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ннотации" sheetId="1" state="visible" r:id="rId1"/>
  </sheets>
  <definedNames>
    <definedName name="_xlnm._FilterDatabase" localSheetId="0" hidden="1">'Аннотации'!$A$1:$P$7304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0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8" customWidth="1" min="3" max="3"/>
    <col width="36" customWidth="1" min="4" max="4"/>
    <col width="6" customWidth="1" min="5" max="5"/>
    <col width="15" customWidth="1" min="6" max="6"/>
    <col width="24" customWidth="1" min="7" max="7"/>
    <col width="7" customWidth="1" min="8" max="8"/>
    <col width="7" customWidth="1" min="9" max="9"/>
    <col width="9" customWidth="1" min="10" max="10"/>
    <col width="70" customWidth="1" min="11" max="11"/>
    <col width="30" customWidth="1" min="12" max="12"/>
    <col width="14" customWidth="1" min="13" max="13"/>
    <col width="70" customWidth="1" min="14" max="14"/>
    <col width="40" customWidth="1" min="15" max="15"/>
    <col width="30" customWidth="1" min="16" max="16"/>
  </cols>
  <sheetData>
    <row r="1">
      <c r="A1" s="1" t="inlineStr">
        <is>
          <t>Приоритет</t>
        </is>
      </c>
      <c r="B1" s="1" t="inlineStr">
        <is>
          <t>Группа</t>
        </is>
      </c>
      <c r="C1" s="1" t="inlineStr">
        <is>
          <t>film_id</t>
        </is>
      </c>
      <c r="D1" s="1" t="inlineStr">
        <is>
          <t>Название</t>
        </is>
      </c>
      <c r="E1" s="1" t="inlineStr">
        <is>
          <t>Год</t>
        </is>
      </c>
      <c r="F1" s="1" t="inlineStr">
        <is>
          <t>Тип</t>
        </is>
      </c>
      <c r="G1" s="1" t="inlineStr">
        <is>
          <t>Студия</t>
        </is>
      </c>
      <c r="H1" s="1" t="inlineStr">
        <is>
          <t>Длина</t>
        </is>
      </c>
      <c r="I1" s="1" t="inlineStr">
        <is>
          <t>Обрыв</t>
        </is>
      </c>
      <c r="J1" s="1" t="inlineStr">
        <is>
          <t>Не сюжет</t>
        </is>
      </c>
      <c r="K1" s="1" t="inlineStr">
        <is>
          <t>Текущая аннотация</t>
        </is>
      </c>
      <c r="L1" s="1" t="inlineStr">
        <is>
          <t>Текущий источник</t>
        </is>
      </c>
      <c r="M1" s="1" t="inlineStr">
        <is>
          <t>Поиск в Википедии</t>
        </is>
      </c>
      <c r="N1" s="1" t="inlineStr">
        <is>
          <t>Новая аннотация</t>
        </is>
      </c>
      <c r="O1" s="1" t="inlineStr">
        <is>
          <t>Источник новой аннотации</t>
        </is>
      </c>
      <c r="P1" s="1" t="inlineStr">
        <is>
          <t>Совпадение</t>
        </is>
      </c>
    </row>
    <row r="2">
      <c r="A2" s="2" t="n">
        <v>1</v>
      </c>
      <c r="B2" s="2" t="inlineStr">
        <is>
          <t>обрыв</t>
        </is>
      </c>
      <c r="C2" s="2" t="n">
        <v>12224</v>
      </c>
      <c r="D2" s="3" t="inlineStr">
        <is>
          <t>У лужи</t>
        </is>
      </c>
      <c r="E2" s="2" t="n">
        <v>1990</v>
      </c>
      <c r="F2" s="2" t="inlineStr">
        <is>
          <t>мультфильм</t>
        </is>
      </c>
      <c r="G2" s="2" t="inlineStr">
        <is>
          <t>УЗБЕКФИЛЬМ</t>
        </is>
      </c>
      <c r="H2" s="2" t="n">
        <v>23</v>
      </c>
      <c r="I2" s="2" t="inlineStr">
        <is>
          <t>да</t>
        </is>
      </c>
      <c r="J2" s="2" t="inlineStr">
        <is>
          <t>да</t>
        </is>
      </c>
      <c r="K2" s="3" t="inlineStr">
        <is>
          <t>Про свинью-дельфиньЮ...</t>
        </is>
      </c>
      <c r="L2" s="2" t="inlineStr">
        <is>
          <t>2026-10_мультфильмы_список_владельца.xlsx; https://animator.ru/db/?p=show_film&amp;fid=3341</t>
        </is>
      </c>
      <c r="M2" s="2">
        <f>HYPERLINK("https://ru.wikipedia.org/w/index.php?search=%D0%A3%20%D0%BB%D1%83%D0%B6%D0%B8%201990%20%D1%84%D0%B8%D0%BB%D1%8C%D0%BC","искать")</f>
        <v/>
      </c>
      <c r="N2" s="3" t="n"/>
      <c r="O2" s="2" t="n"/>
      <c r="P2" s="2" t="n"/>
    </row>
    <row r="3">
      <c r="A3" s="2" t="n">
        <v>2</v>
      </c>
      <c r="B3" s="2" t="inlineStr">
        <is>
          <t>обрыв</t>
        </is>
      </c>
      <c r="C3" s="2" t="n">
        <v>9886</v>
      </c>
      <c r="D3" s="3" t="inlineStr">
        <is>
          <t>Лестница</t>
        </is>
      </c>
      <c r="E3" s="2" t="n">
        <v>1971</v>
      </c>
      <c r="F3" s="2" t="inlineStr">
        <is>
          <t>кинофильм</t>
        </is>
      </c>
      <c r="G3" s="2" t="inlineStr">
        <is>
          <t>ВГИК</t>
        </is>
      </c>
      <c r="H3" s="2" t="n">
        <v>43</v>
      </c>
      <c r="I3" s="2" t="inlineStr">
        <is>
          <t>да</t>
        </is>
      </c>
      <c r="J3" s="2" t="inlineStr"/>
      <c r="K3" s="3" t="inlineStr">
        <is>
          <t>Простая история о возвращении сына домой...</t>
        </is>
      </c>
      <c r="L3" s="2" t="inlineStr">
        <is>
          <t>https://www.kino-teatr.ru/short/movie/sov/107683/annot/</t>
        </is>
      </c>
      <c r="M3" s="2">
        <f>HYPERLINK("https://ru.wikipedia.org/w/index.php?search=%D0%9B%D0%B5%D1%81%D1%82%D0%BD%D0%B8%D1%86%D0%B0%201971%20%D1%84%D0%B8%D0%BB%D1%8C%D0%BC","искать")</f>
        <v/>
      </c>
      <c r="N3" s="3" t="n"/>
      <c r="O3" s="2" t="n"/>
      <c r="P3" s="2" t="n"/>
    </row>
    <row r="4">
      <c r="A4" s="2" t="n">
        <v>3</v>
      </c>
      <c r="B4" s="2" t="inlineStr">
        <is>
          <t>обрыв</t>
        </is>
      </c>
      <c r="C4" s="2" t="n">
        <v>14038</v>
      </c>
      <c r="D4" s="3" t="inlineStr">
        <is>
          <t>Нить</t>
        </is>
      </c>
      <c r="E4" s="2" t="n">
        <v>1989</v>
      </c>
      <c r="F4" s="2" t="inlineStr">
        <is>
          <t>мультфильм</t>
        </is>
      </c>
      <c r="G4" s="2" t="inlineStr">
        <is>
          <t>УЗБЕКФИЛЬМ</t>
        </is>
      </c>
      <c r="H4" s="2" t="n">
        <v>43</v>
      </c>
      <c r="I4" s="2" t="inlineStr">
        <is>
          <t>да</t>
        </is>
      </c>
      <c r="J4" s="2" t="inlineStr"/>
      <c r="K4" s="3" t="inlineStr">
        <is>
          <t>На исходе дней старик вспоминает прошлое...</t>
        </is>
      </c>
      <c r="L4" s="2" t="inlineStr">
        <is>
          <t>https://animator.ru/db/?p=show_film&amp;fid=5434</t>
        </is>
      </c>
      <c r="M4" s="2">
        <f>HYPERLINK("https://ru.wikipedia.org/w/index.php?search=%D0%9D%D0%B8%D1%82%D1%8C%201989%20%D1%84%D0%B8%D0%BB%D1%8C%D0%BC","искать")</f>
        <v/>
      </c>
      <c r="N4" s="3" t="n"/>
      <c r="O4" s="2" t="n"/>
      <c r="P4" s="2" t="n"/>
    </row>
    <row r="5">
      <c r="A5" s="2" t="n">
        <v>4</v>
      </c>
      <c r="B5" s="2" t="inlineStr">
        <is>
          <t>обрыв</t>
        </is>
      </c>
      <c r="C5" s="2" t="n">
        <v>11833</v>
      </c>
      <c r="D5" s="3" t="inlineStr">
        <is>
          <t>Зайчонок и муха</t>
        </is>
      </c>
      <c r="E5" s="2" t="n">
        <v>1977</v>
      </c>
      <c r="F5" s="2" t="inlineStr">
        <is>
          <t>мультфильм</t>
        </is>
      </c>
      <c r="G5" s="2" t="inlineStr">
        <is>
          <t>Союзмультфильм</t>
        </is>
      </c>
      <c r="H5" s="2" t="n">
        <v>48</v>
      </c>
      <c r="I5" s="2" t="inlineStr">
        <is>
          <t>да</t>
        </is>
      </c>
      <c r="J5" s="2" t="inlineStr"/>
      <c r="K5" s="3" t="inlineStr">
        <is>
          <t>Злая муха утащила из дома капризного зайчонка...</t>
        </is>
      </c>
      <c r="L5" s="2" t="inlineStr">
        <is>
          <t>https://animator.ru/db/?p=show_film&amp;fid=2748</t>
        </is>
      </c>
      <c r="M5" s="2">
        <f>HYPERLINK("https://ru.wikipedia.org/w/index.php?search=%D0%97%D0%B0%D0%B9%D1%87%D0%BE%D0%BD%D0%BE%D0%BA%20%D0%B8%20%D0%BC%D1%83%D1%85%D0%B0%201977%20%D1%84%D0%B8%D0%BB%D1%8C%D0%BC","искать")</f>
        <v/>
      </c>
      <c r="N5" s="3" t="n"/>
      <c r="O5" s="2" t="n"/>
      <c r="P5" s="2" t="n"/>
    </row>
    <row r="6">
      <c r="A6" s="2" t="n">
        <v>5</v>
      </c>
      <c r="B6" s="2" t="inlineStr">
        <is>
          <t>обрыв</t>
        </is>
      </c>
      <c r="C6" s="2" t="n">
        <v>12508</v>
      </c>
      <c r="D6" s="3" t="inlineStr">
        <is>
          <t>Посылка из Бомбея</t>
        </is>
      </c>
      <c r="E6" s="2" t="n">
        <v>1983</v>
      </c>
      <c r="F6" s="2" t="inlineStr">
        <is>
          <t>мультфильм</t>
        </is>
      </c>
      <c r="G6" s="2" t="inlineStr">
        <is>
          <t>КИЕВНАУЧФИЛЬМ</t>
        </is>
      </c>
      <c r="H6" s="2" t="n">
        <v>52</v>
      </c>
      <c r="I6" s="2" t="inlineStr">
        <is>
          <t>да</t>
        </is>
      </c>
      <c r="J6" s="2" t="inlineStr"/>
      <c r="K6" s="3" t="inlineStr">
        <is>
          <t>Что делать со слоном, присланным колхозу из Индии...</t>
        </is>
      </c>
      <c r="L6" s="2" t="inlineStr">
        <is>
          <t>2026-10_мультфильмы_список_владельца.xlsx; https://animator.ru/db/?p=show_film&amp;fid=3683</t>
        </is>
      </c>
      <c r="M6" s="2">
        <f>HYPERLINK("https://ru.wikipedia.org/w/index.php?search=%D0%9F%D0%BE%D1%81%D1%8B%D0%BB%D0%BA%D0%B0%20%D0%B8%D0%B7%20%D0%91%D0%BE%D0%BC%D0%B1%D0%B5%D1%8F%201983%20%D1%84%D0%B8%D0%BB%D1%8C%D0%BC","искать")</f>
        <v/>
      </c>
      <c r="N6" s="3" t="n"/>
      <c r="O6" s="2" t="n"/>
      <c r="P6" s="2" t="n"/>
    </row>
    <row r="7">
      <c r="A7" s="2" t="n">
        <v>6</v>
      </c>
      <c r="B7" s="2" t="inlineStr">
        <is>
          <t>обрыв</t>
        </is>
      </c>
      <c r="C7" s="2" t="n">
        <v>13324</v>
      </c>
      <c r="D7" s="3" t="inlineStr">
        <is>
          <t>Пекарь и трубочист</t>
        </is>
      </c>
      <c r="E7" s="2" t="n">
        <v>1982</v>
      </c>
      <c r="F7" s="2" t="inlineStr">
        <is>
          <t>мультфильм</t>
        </is>
      </c>
      <c r="G7" s="2" t="inlineStr">
        <is>
          <t>ТАЛЛИННФИЛЬМ</t>
        </is>
      </c>
      <c r="H7" s="2" t="n">
        <v>56</v>
      </c>
      <c r="I7" s="2" t="inlineStr">
        <is>
          <t>да</t>
        </is>
      </c>
      <c r="J7" s="2" t="inlineStr"/>
      <c r="K7" s="3" t="inlineStr">
        <is>
          <t>Что будет, если пекарь и трубочист поменяются местами...</t>
        </is>
      </c>
      <c r="L7" s="2" t="inlineStr">
        <is>
          <t>https://animator.ru/db/?p=show_film&amp;fid=4593</t>
        </is>
      </c>
      <c r="M7" s="2">
        <f>HYPERLINK("https://ru.wikipedia.org/w/index.php?search=%D0%9F%D0%B5%D0%BA%D0%B0%D1%80%D1%8C%20%D0%B8%20%D1%82%D1%80%D1%83%D0%B1%D0%BE%D1%87%D0%B8%D1%81%D1%82%201982%20%D1%84%D0%B8%D0%BB%D1%8C%D0%BC","искать")</f>
        <v/>
      </c>
      <c r="N7" s="3" t="n"/>
      <c r="O7" s="2" t="n"/>
      <c r="P7" s="2" t="n"/>
    </row>
    <row r="8">
      <c r="A8" s="2" t="n">
        <v>7</v>
      </c>
      <c r="B8" s="2" t="inlineStr">
        <is>
          <t>обрыв</t>
        </is>
      </c>
      <c r="C8" s="2" t="n">
        <v>12707</v>
      </c>
      <c r="D8" s="3" t="inlineStr">
        <is>
          <t>Не боюсь тебя, мороз</t>
        </is>
      </c>
      <c r="E8" s="2" t="n">
        <v>1979</v>
      </c>
      <c r="F8" s="2" t="inlineStr">
        <is>
          <t>мультфильм</t>
        </is>
      </c>
      <c r="G8" s="2" t="inlineStr">
        <is>
          <t>БЕЛАРУСЬФИЛЬМ НАЦИОНАЛЬНАЯ КИНОСТУДИЯ - ГП</t>
        </is>
      </c>
      <c r="H8" s="2" t="n">
        <v>58</v>
      </c>
      <c r="I8" s="2" t="inlineStr">
        <is>
          <t>да</t>
        </is>
      </c>
      <c r="J8" s="2" t="inlineStr">
        <is>
          <t>да</t>
        </is>
      </c>
      <c r="K8" s="3" t="inlineStr">
        <is>
          <t>Музыкальная сказко о борьбе тепла и холода, добра и зла...</t>
        </is>
      </c>
      <c r="L8" s="2" t="inlineStr">
        <is>
          <t>https://animator.ru/db/?p=show_film&amp;fid=3902</t>
        </is>
      </c>
      <c r="M8" s="2">
        <f>HYPERLINK("https://ru.wikipedia.org/w/index.php?search=%D0%9D%D0%B5%20%D0%B1%D0%BE%D1%8E%D1%81%D1%8C%20%D1%82%D0%B5%D0%B1%D1%8F%2C%20%D0%BC%D0%BE%D1%80%D0%BE%D0%B7%201979%20%D1%84%D0%B8%D0%BB%D1%8C%D0%BC","искать")</f>
        <v/>
      </c>
      <c r="N8" s="3" t="n"/>
      <c r="O8" s="2" t="n"/>
      <c r="P8" s="2" t="n"/>
    </row>
    <row r="9">
      <c r="A9" s="2" t="n">
        <v>8</v>
      </c>
      <c r="B9" s="2" t="inlineStr">
        <is>
          <t>обрыв</t>
        </is>
      </c>
      <c r="C9" s="2" t="n">
        <v>13310</v>
      </c>
      <c r="D9" s="3" t="inlineStr">
        <is>
          <t>Мальчик и бабочка</t>
        </is>
      </c>
      <c r="E9" s="2" t="n">
        <v>1978</v>
      </c>
      <c r="F9" s="2" t="inlineStr">
        <is>
          <t>мультфильм</t>
        </is>
      </c>
      <c r="G9" s="2" t="inlineStr">
        <is>
          <t>ТАЛЛИННФИЛЬМ</t>
        </is>
      </c>
      <c r="H9" s="2" t="n">
        <v>60</v>
      </c>
      <c r="I9" s="2" t="inlineStr">
        <is>
          <t>да</t>
        </is>
      </c>
      <c r="J9" s="2" t="inlineStr"/>
      <c r="K9" s="3" t="inlineStr">
        <is>
          <t>Гоняясь за бабочкой, мальчик вытоптал все цветы на поляне...</t>
        </is>
      </c>
      <c r="L9" s="2" t="inlineStr">
        <is>
          <t>https://animator.ru/db/?p=show_film&amp;fid=4568</t>
        </is>
      </c>
      <c r="M9" s="2">
        <f>HYPERLINK("https://ru.wikipedia.org/w/index.php?search=%D0%9C%D0%B0%D0%BB%D1%8C%D1%87%D0%B8%D0%BA%20%D0%B8%20%D0%B1%D0%B0%D0%B1%D0%BE%D1%87%D0%BA%D0%B0%201978%20%D1%84%D0%B8%D0%BB%D1%8C%D0%BC","искать")</f>
        <v/>
      </c>
      <c r="N9" s="3" t="n"/>
      <c r="O9" s="2" t="n"/>
      <c r="P9" s="2" t="n"/>
    </row>
    <row r="10">
      <c r="A10" s="2" t="n">
        <v>9</v>
      </c>
      <c r="B10" s="2" t="inlineStr">
        <is>
          <t>обрыв</t>
        </is>
      </c>
      <c r="C10" s="2" t="n">
        <v>13439</v>
      </c>
      <c r="D10" s="3" t="inlineStr">
        <is>
          <t>Космические пришельцы 1</t>
        </is>
      </c>
      <c r="E10" s="2" t="n">
        <v>1981</v>
      </c>
      <c r="F10" s="2" t="inlineStr">
        <is>
          <t>мультфильм</t>
        </is>
      </c>
      <c r="G10" s="2" t="inlineStr">
        <is>
          <t>ЭКРАН</t>
        </is>
      </c>
      <c r="H10" s="2" t="n">
        <v>60</v>
      </c>
      <c r="I10" s="2" t="inlineStr">
        <is>
          <t>да</t>
        </is>
      </c>
      <c r="J10" s="2" t="inlineStr"/>
      <c r="K10" s="3" t="inlineStr">
        <is>
          <t>Земные ученые пытаются наладить контакт с пришельцами, но...</t>
        </is>
      </c>
      <c r="L10" s="2" t="inlineStr">
        <is>
          <t>https://animator.ru/db/?p=show_film&amp;fid=4720</t>
        </is>
      </c>
      <c r="M10" s="2">
        <f>HYPERLINK("https://ru.wikipedia.org/w/index.php?search=%D0%9A%D0%BE%D1%81%D0%BC%D0%B8%D1%87%D0%B5%D1%81%D0%BA%D0%B8%D0%B5%20%D0%BF%D1%80%D0%B8%D1%88%D0%B5%D0%BB%D1%8C%D1%86%D1%8B%201%201981%20%D1%84%D0%B8%D0%BB%D1%8C%D0%BC","искать")</f>
        <v/>
      </c>
      <c r="N10" s="3" t="n"/>
      <c r="O10" s="2" t="n"/>
      <c r="P10" s="2" t="n"/>
    </row>
    <row r="11">
      <c r="A11" s="2" t="n">
        <v>10</v>
      </c>
      <c r="B11" s="2" t="inlineStr">
        <is>
          <t>обрыв</t>
        </is>
      </c>
      <c r="C11" s="2" t="n">
        <v>14450</v>
      </c>
      <c r="D11" s="3" t="inlineStr">
        <is>
          <t>Фимка</t>
        </is>
      </c>
      <c r="E11" s="2" t="n">
        <v>1990</v>
      </c>
      <c r="F11" s="2" t="inlineStr">
        <is>
          <t>мультфильм</t>
        </is>
      </c>
      <c r="G11" s="2" t="inlineStr">
        <is>
          <t>КИРГИЗФИЛЬМ</t>
        </is>
      </c>
      <c r="H11" s="2" t="n">
        <v>61</v>
      </c>
      <c r="I11" s="2" t="inlineStr">
        <is>
          <t>да</t>
        </is>
      </c>
      <c r="J11" s="2" t="inlineStr">
        <is>
          <t>да</t>
        </is>
      </c>
      <c r="K11" s="3" t="inlineStr">
        <is>
          <t>О том, как бережно надо относиться к детскому мироощущению...</t>
        </is>
      </c>
      <c r="L11" s="2" t="inlineStr">
        <is>
          <t>https://animator.ru/db/?p=show_film&amp;fid=6700</t>
        </is>
      </c>
      <c r="M11" s="2">
        <f>HYPERLINK("https://ru.wikipedia.org/w/index.php?search=%D0%A4%D0%B8%D0%BC%D0%BA%D0%B0%201990%20%D1%84%D0%B8%D0%BB%D1%8C%D0%BC","искать")</f>
        <v/>
      </c>
      <c r="N11" s="3" t="n"/>
      <c r="O11" s="2" t="n"/>
      <c r="P11" s="2" t="n"/>
    </row>
    <row r="12">
      <c r="A12" s="2" t="n">
        <v>11</v>
      </c>
      <c r="B12" s="2" t="inlineStr">
        <is>
          <t>обрыв</t>
        </is>
      </c>
      <c r="C12" s="2" t="n">
        <v>11835</v>
      </c>
      <c r="D12" s="3" t="inlineStr">
        <is>
          <t>Как Маша поссорилась с подушкой</t>
        </is>
      </c>
      <c r="E12" s="2" t="n">
        <v>1977</v>
      </c>
      <c r="F12" s="2" t="inlineStr">
        <is>
          <t>мультфильм</t>
        </is>
      </c>
      <c r="G12" s="2" t="inlineStr">
        <is>
          <t>Союзмультфильм</t>
        </is>
      </c>
      <c r="H12" s="2" t="n">
        <v>69</v>
      </c>
      <c r="I12" s="2" t="inlineStr">
        <is>
          <t>да</t>
        </is>
      </c>
      <c r="J12" s="2" t="inlineStr"/>
      <c r="K12" s="3" t="inlineStr">
        <is>
          <t>Девочке Маше не спится и она решила узнать, кто из зверей как спит...</t>
        </is>
      </c>
      <c r="L12" s="2" t="inlineStr">
        <is>
          <t>https://animator.ru/db/?p=show_film&amp;fid=2750</t>
        </is>
      </c>
      <c r="M12" s="2">
        <f>HYPERLINK("https://ru.wikipedia.org/w/index.php?search=%D0%9A%D0%B0%D0%BA%20%D0%9C%D0%B0%D1%88%D0%B0%20%D0%BF%D0%BE%D1%81%D1%81%D0%BE%D1%80%D0%B8%D0%BB%D0%B0%D1%81%D1%8C%20%D1%81%20%D0%BF%D0%BE%D0%B4%D1%83%D1%88%D0%BA%D0%BE%D0%B9%201977%20%D1%84%D0%B8%D0%BB%D1%8C%D0%BC","искать")</f>
        <v/>
      </c>
      <c r="N12" s="3" t="n"/>
      <c r="O12" s="2" t="n"/>
      <c r="P12" s="2" t="n"/>
    </row>
    <row r="13">
      <c r="A13" s="2" t="n">
        <v>12</v>
      </c>
      <c r="B13" s="2" t="inlineStr">
        <is>
          <t>обрыв</t>
        </is>
      </c>
      <c r="C13" s="2" t="n">
        <v>12039</v>
      </c>
      <c r="D13" s="3" t="inlineStr">
        <is>
          <t>Гирлянда из малышей</t>
        </is>
      </c>
      <c r="E13" s="2" t="n">
        <v>1983</v>
      </c>
      <c r="F13" s="2" t="inlineStr">
        <is>
          <t>мультфильм</t>
        </is>
      </c>
      <c r="G13" s="2" t="inlineStr">
        <is>
          <t>Союзмультфильм</t>
        </is>
      </c>
      <c r="H13" s="2" t="n">
        <v>70</v>
      </c>
      <c r="I13" s="2" t="inlineStr">
        <is>
          <t>да</t>
        </is>
      </c>
      <c r="J13" s="2" t="inlineStr"/>
      <c r="K13" s="3" t="inlineStr">
        <is>
          <t>Приключения группы детей, которые связаны одной веревкой в зоопарке...</t>
        </is>
      </c>
      <c r="L13" s="2" t="inlineStr">
        <is>
          <t>2026-10_мультфильмы_список_владельца.xlsx; https://animator.ru/db/?p=show_film&amp;fid=3154</t>
        </is>
      </c>
      <c r="M13" s="2">
        <f>HYPERLINK("https://ru.wikipedia.org/w/index.php?search=%D0%93%D0%B8%D1%80%D0%BB%D1%8F%D0%BD%D0%B4%D0%B0%20%D0%B8%D0%B7%20%D0%BC%D0%B0%D0%BB%D1%8B%D1%88%D0%B5%D0%B9%201983%20%D1%84%D0%B8%D0%BB%D1%8C%D0%BC","искать")</f>
        <v/>
      </c>
      <c r="N13" s="3" t="n"/>
      <c r="O13" s="2" t="n"/>
      <c r="P13" s="2" t="n"/>
    </row>
    <row r="14">
      <c r="A14" s="2" t="n">
        <v>13</v>
      </c>
      <c r="B14" s="2" t="inlineStr">
        <is>
          <t>обрыв</t>
        </is>
      </c>
      <c r="C14" s="2" t="n">
        <v>8625</v>
      </c>
      <c r="D14" s="3" t="inlineStr">
        <is>
          <t>Аннотация одной судьбы</t>
        </is>
      </c>
      <c r="E14" s="2" t="n">
        <v>1991</v>
      </c>
      <c r="F14" s="2" t="inlineStr">
        <is>
          <t>кинофильм</t>
        </is>
      </c>
      <c r="G14" s="2" t="n"/>
      <c r="H14" s="2" t="n">
        <v>75</v>
      </c>
      <c r="I14" s="2" t="inlineStr">
        <is>
          <t>да</t>
        </is>
      </c>
      <c r="J14" s="2" t="inlineStr">
        <is>
          <t>да</t>
        </is>
      </c>
      <c r="K14" s="3" t="inlineStr">
        <is>
          <t>История отчуждения человеческих судеб. Время не лечит, любовь не спасает...</t>
        </is>
      </c>
      <c r="L14" s="2" t="inlineStr">
        <is>
          <t>Кино_СССР сводный каталог.xlsx: список фильмов (доп.)</t>
        </is>
      </c>
      <c r="M14" s="2">
        <f>HYPERLINK("https://ru.wikipedia.org/w/index.php?search=%D0%90%D0%BD%D0%BD%D0%BE%D1%82%D0%B0%D1%86%D0%B8%D1%8F%20%D0%BE%D0%B4%D0%BD%D0%BE%D0%B9%20%D1%81%D1%83%D0%B4%D1%8C%D0%B1%D1%8B%201991%20%D1%84%D0%B8%D0%BB%D1%8C%D0%BC","искать")</f>
        <v/>
      </c>
      <c r="N14" s="3" t="n"/>
      <c r="O14" s="2" t="n"/>
      <c r="P14" s="2" t="n"/>
    </row>
    <row r="15">
      <c r="A15" s="2" t="n">
        <v>14</v>
      </c>
      <c r="B15" s="2" t="inlineStr">
        <is>
          <t>обрыв</t>
        </is>
      </c>
      <c r="C15" s="2" t="n">
        <v>9906</v>
      </c>
      <c r="D15" s="3" t="inlineStr">
        <is>
          <t>Лётное поле</t>
        </is>
      </c>
      <c r="E15" s="2" t="n">
        <v>1973</v>
      </c>
      <c r="F15" s="2" t="inlineStr">
        <is>
          <t>телефильм</t>
        </is>
      </c>
      <c r="G15" s="2" t="inlineStr">
        <is>
          <t>Узбектелефильм</t>
        </is>
      </c>
      <c r="H15" s="2" t="n">
        <v>78</v>
      </c>
      <c r="I15" s="2" t="inlineStr">
        <is>
          <t>да</t>
        </is>
      </c>
      <c r="J15" s="2" t="inlineStr">
        <is>
          <t>да</t>
        </is>
      </c>
      <c r="K15" s="3" t="inlineStr">
        <is>
          <t>Молодой рабочий Наби мечтает поступить в институт и стать авиаконструктором...</t>
        </is>
      </c>
      <c r="L15" s="2" t="inlineStr">
        <is>
          <t>https://www.kino-teatr.ru/short/movie/sov/92670/annot/</t>
        </is>
      </c>
      <c r="M15" s="2">
        <f>HYPERLINK("https://ru.wikipedia.org/w/index.php?search=%D0%9B%D1%91%D1%82%D0%BD%D0%BE%D0%B5%20%D0%BF%D0%BE%D0%BB%D0%B5%201973%20%D1%84%D0%B8%D0%BB%D1%8C%D0%BC","искать")</f>
        <v/>
      </c>
      <c r="N15" s="3" t="n"/>
      <c r="O15" s="2" t="n"/>
      <c r="P15" s="2" t="n"/>
    </row>
    <row r="16">
      <c r="A16" s="2" t="n">
        <v>15</v>
      </c>
      <c r="B16" s="2" t="inlineStr">
        <is>
          <t>обрыв</t>
        </is>
      </c>
      <c r="C16" s="2" t="n">
        <v>10940</v>
      </c>
      <c r="D16" s="3" t="inlineStr">
        <is>
          <t>Дома на перекрестке</t>
        </is>
      </c>
      <c r="E16" s="2" t="n">
        <v>1982</v>
      </c>
      <c r="F16" s="2" t="inlineStr">
        <is>
          <t>фильм-спектакль</t>
        </is>
      </c>
      <c r="G16" s="2" t="n"/>
      <c r="H16" s="2" t="n">
        <v>84</v>
      </c>
      <c r="I16" s="2" t="inlineStr">
        <is>
          <t>да</t>
        </is>
      </c>
      <c r="J16" s="2" t="inlineStr"/>
      <c r="K16" s="3" t="inlineStr">
        <is>
          <t>У влюбленных сваты перепутали все на свете и в результате происходит неразбериха....</t>
        </is>
      </c>
      <c r="L16" s="2" t="inlineStr">
        <is>
          <t>https://www.kino-teatr.ru/teatr/movie/136556/annot/</t>
        </is>
      </c>
      <c r="M16" s="2">
        <f>HYPERLINK("https://ru.wikipedia.org/w/index.php?search=%D0%94%D0%BE%D0%BC%D0%B0%20%D0%BD%D0%B0%20%D0%BF%D0%B5%D1%80%D0%B5%D0%BA%D1%80%D0%B5%D1%81%D1%82%D0%BA%D0%B5%201982%20%D1%84%D0%B8%D0%BB%D1%8C%D0%BC","искать")</f>
        <v/>
      </c>
      <c r="N16" s="3" t="n"/>
      <c r="O16" s="2" t="n"/>
      <c r="P16" s="2" t="n"/>
    </row>
    <row r="17">
      <c r="A17" s="2" t="n">
        <v>16</v>
      </c>
      <c r="B17" s="2" t="inlineStr">
        <is>
          <t>обрыв</t>
        </is>
      </c>
      <c r="C17" s="2" t="n">
        <v>9845</v>
      </c>
      <c r="D17" s="3" t="inlineStr">
        <is>
          <t>Шаги в солнце</t>
        </is>
      </c>
      <c r="E17" s="2" t="n">
        <v>1967</v>
      </c>
      <c r="F17" s="2" t="inlineStr">
        <is>
          <t>телефильм</t>
        </is>
      </c>
      <c r="G17" s="2" t="inlineStr">
        <is>
          <t>Ростовская студия телевидения</t>
        </is>
      </c>
      <c r="H17" s="2" t="n">
        <v>85</v>
      </c>
      <c r="I17" s="2" t="inlineStr">
        <is>
          <t>да</t>
        </is>
      </c>
      <c r="J17" s="2" t="inlineStr"/>
      <c r="K17" s="3" t="inlineStr">
        <is>
          <t>Солдат возвращается с войны домой. Видит пепелище и вспоминает мирную жизнь, семью...</t>
        </is>
      </c>
      <c r="L17" s="2" t="inlineStr">
        <is>
          <t>https://www.kino-teatr.ru/short/movie/sov/80860/annot/</t>
        </is>
      </c>
      <c r="M17" s="2">
        <f>HYPERLINK("https://ru.wikipedia.org/w/index.php?search=%D0%A8%D0%B0%D0%B3%D0%B8%20%D0%B2%20%D1%81%D0%BE%D0%BB%D0%BD%D1%86%D0%B5%201967%20%D1%84%D0%B8%D0%BB%D1%8C%D0%BC","искать")</f>
        <v/>
      </c>
      <c r="N17" s="3" t="n"/>
      <c r="O17" s="2" t="n"/>
      <c r="P17" s="2" t="n"/>
    </row>
    <row r="18">
      <c r="A18" s="2" t="n">
        <v>17</v>
      </c>
      <c r="B18" s="2" t="inlineStr">
        <is>
          <t>обрыв</t>
        </is>
      </c>
      <c r="C18" s="2" t="n">
        <v>8298</v>
      </c>
      <c r="D18" s="3" t="inlineStr">
        <is>
          <t>Самые красивые корабли</t>
        </is>
      </c>
      <c r="E18" s="2" t="n">
        <v>1972</v>
      </c>
      <c r="F18" s="2" t="inlineStr">
        <is>
          <t>телефильм</t>
        </is>
      </c>
      <c r="G18" s="2" t="n"/>
      <c r="H18" s="2" t="n">
        <v>89</v>
      </c>
      <c r="I18" s="2" t="inlineStr">
        <is>
          <t>да</t>
        </is>
      </c>
      <c r="J18" s="2" t="inlineStr"/>
      <c r="K18" s="3" t="inlineStr">
        <is>
          <t>Юный герой после учебы возвращается на родную Чукотку и начинает самостоятельную жизнь...</t>
        </is>
      </c>
      <c r="L18" s="2" t="inlineStr">
        <is>
          <t>Кино_СССР сводный каталог.xlsx: список телефильмов</t>
        </is>
      </c>
      <c r="M18" s="2">
        <f>HYPERLINK("https://ru.wikipedia.org/w/index.php?search=%D0%A1%D0%B0%D0%BC%D1%8B%D0%B5%20%D0%BA%D1%80%D0%B0%D1%81%D0%B8%D0%B2%D1%8B%D0%B5%20%D0%BA%D0%BE%D1%80%D0%B0%D0%B1%D0%BB%D0%B8%201972%20%D1%84%D0%B8%D0%BB%D1%8C%D0%BC","искать")</f>
        <v/>
      </c>
      <c r="N18" s="3" t="n"/>
      <c r="O18" s="2" t="n"/>
      <c r="P18" s="2" t="n"/>
    </row>
    <row r="19">
      <c r="A19" s="2" t="n">
        <v>18</v>
      </c>
      <c r="B19" s="2" t="inlineStr">
        <is>
          <t>обрыв</t>
        </is>
      </c>
      <c r="C19" s="2" t="n">
        <v>10030</v>
      </c>
      <c r="D19" s="3" t="inlineStr">
        <is>
          <t>Лапта</t>
        </is>
      </c>
      <c r="E19" s="2" t="n">
        <v>1988</v>
      </c>
      <c r="F19" s="2" t="inlineStr">
        <is>
          <t>телефильм</t>
        </is>
      </c>
      <c r="G19" s="2" t="inlineStr">
        <is>
          <t>ТО "Экран"</t>
        </is>
      </c>
      <c r="H19" s="2" t="n">
        <v>90</v>
      </c>
      <c r="I19" s="2" t="inlineStr">
        <is>
          <t>да</t>
        </is>
      </c>
      <c r="J19" s="2" t="inlineStr"/>
      <c r="K19" s="3" t="inlineStr">
        <is>
          <t>Фильм о том, как отцы пытаются научить своих детей играть в лапту - игру своего детства...</t>
        </is>
      </c>
      <c r="L19" s="2" t="inlineStr">
        <is>
          <t>https://www.kino-teatr.ru/short/movie/sov/3395/annot/</t>
        </is>
      </c>
      <c r="M19" s="2">
        <f>HYPERLINK("https://ru.wikipedia.org/w/index.php?search=%D0%9B%D0%B0%D0%BF%D1%82%D0%B0%201988%20%D1%84%D0%B8%D0%BB%D1%8C%D0%BC","искать")</f>
        <v/>
      </c>
      <c r="N19" s="3" t="n"/>
      <c r="O19" s="2" t="n"/>
      <c r="P19" s="2" t="n"/>
    </row>
    <row r="20">
      <c r="A20" s="2" t="n">
        <v>19</v>
      </c>
      <c r="B20" s="2" t="inlineStr">
        <is>
          <t>обрыв</t>
        </is>
      </c>
      <c r="C20" s="2" t="n">
        <v>13312</v>
      </c>
      <c r="D20" s="3" t="inlineStr">
        <is>
          <t>Зеленый медвежонок</t>
        </is>
      </c>
      <c r="E20" s="2" t="n">
        <v>1979</v>
      </c>
      <c r="F20" s="2" t="inlineStr">
        <is>
          <t>мультфильм</t>
        </is>
      </c>
      <c r="G20" s="2" t="inlineStr">
        <is>
          <t>ТАЛЛИННФИЛЬМ</t>
        </is>
      </c>
      <c r="H20" s="2" t="n">
        <v>90</v>
      </c>
      <c r="I20" s="2" t="inlineStr">
        <is>
          <t>да</t>
        </is>
      </c>
      <c r="J20" s="2" t="inlineStr"/>
      <c r="K20" s="3" t="inlineStr">
        <is>
          <t>Зеленый медвежонок обожал необыкновенные превращения и становился то поездом, то слоном...</t>
        </is>
      </c>
      <c r="L20" s="2" t="inlineStr">
        <is>
          <t>https://animator.ru/db/?p=show_film&amp;fid=4570</t>
        </is>
      </c>
      <c r="M20" s="2">
        <f>HYPERLINK("https://ru.wikipedia.org/w/index.php?search=%D0%97%D0%B5%D0%BB%D0%B5%D0%BD%D1%8B%D0%B9%20%D0%BC%D0%B5%D0%B4%D0%B2%D0%B5%D0%B6%D0%BE%D0%BD%D0%BE%D0%BA%201979%20%D1%84%D0%B8%D0%BB%D1%8C%D0%BC","искать")</f>
        <v/>
      </c>
      <c r="N20" s="3" t="n"/>
      <c r="O20" s="2" t="n"/>
      <c r="P20" s="2" t="n"/>
    </row>
    <row r="21">
      <c r="A21" s="2" t="n">
        <v>20</v>
      </c>
      <c r="B21" s="2" t="inlineStr">
        <is>
          <t>обрыв</t>
        </is>
      </c>
      <c r="C21" s="2" t="n">
        <v>14282</v>
      </c>
      <c r="D21" s="3" t="inlineStr">
        <is>
          <t>Ням-ням</t>
        </is>
      </c>
      <c r="E21" s="2" t="n">
        <v>1986</v>
      </c>
      <c r="F21" s="2" t="inlineStr">
        <is>
          <t>мультфильм</t>
        </is>
      </c>
      <c r="G21" s="2" t="inlineStr">
        <is>
          <t>МОЛДОВА-ФИЛЬМ</t>
        </is>
      </c>
      <c r="H21" s="2" t="n">
        <v>94</v>
      </c>
      <c r="I21" s="2" t="inlineStr">
        <is>
          <t>да</t>
        </is>
      </c>
      <c r="J21" s="2" t="inlineStr"/>
      <c r="K21" s="3" t="inlineStr">
        <is>
          <t>Кенгуру воспитывает сначала своего сына, потом его семью, которая переселяется в ее "сумку"...</t>
        </is>
      </c>
      <c r="L21" s="2" t="inlineStr">
        <is>
          <t>2026-10_мультфильмы_список_владельца.xlsx; https://animator.ru/db/?p=show_film&amp;fid=5761</t>
        </is>
      </c>
      <c r="M21" s="2">
        <f>HYPERLINK("https://ru.wikipedia.org/w/index.php?search=%D0%9D%D1%8F%D0%BC-%D0%BD%D1%8F%D0%BC%201986%20%D1%84%D0%B8%D0%BB%D1%8C%D0%BC","искать")</f>
        <v/>
      </c>
      <c r="N21" s="3" t="n"/>
      <c r="O21" s="2" t="n"/>
      <c r="P21" s="2" t="n"/>
    </row>
    <row r="22">
      <c r="A22" s="2" t="n">
        <v>21</v>
      </c>
      <c r="B22" s="2" t="inlineStr">
        <is>
          <t>обрыв</t>
        </is>
      </c>
      <c r="C22" s="2" t="n">
        <v>9334</v>
      </c>
      <c r="D22" s="3" t="inlineStr">
        <is>
          <t>Диверсия</t>
        </is>
      </c>
      <c r="E22" s="2" t="n">
        <v>1989</v>
      </c>
      <c r="F22" s="2" t="inlineStr">
        <is>
          <t>кинофильм</t>
        </is>
      </c>
      <c r="G22" s="2" t="n"/>
      <c r="H22" s="2" t="n">
        <v>101</v>
      </c>
      <c r="I22" s="2" t="inlineStr">
        <is>
          <t>да</t>
        </is>
      </c>
      <c r="J22" s="2" t="inlineStr">
        <is>
          <t>да</t>
        </is>
      </c>
      <c r="K22" s="3" t="inlineStr">
        <is>
          <t>Вернувшись с афганской войны молодой человек не может смириться с несправедливостью и безразличием...</t>
        </is>
      </c>
      <c r="L22" s="2" t="inlineStr">
        <is>
          <t>Кино_СССР сводный каталог.xlsx: список фильмов (доп.)</t>
        </is>
      </c>
      <c r="M22" s="2">
        <f>HYPERLINK("https://ru.wikipedia.org/w/index.php?search=%D0%94%D0%B8%D0%B2%D0%B5%D1%80%D1%81%D0%B8%D1%8F%201989%20%D1%84%D0%B8%D0%BB%D1%8C%D0%BC","искать")</f>
        <v/>
      </c>
      <c r="N22" s="3" t="n"/>
      <c r="O22" s="2" t="n"/>
      <c r="P22" s="2" t="n"/>
    </row>
    <row r="23">
      <c r="A23" s="2" t="n">
        <v>22</v>
      </c>
      <c r="B23" s="2" t="inlineStr">
        <is>
          <t>обрыв</t>
        </is>
      </c>
      <c r="C23" s="2" t="n">
        <v>10265</v>
      </c>
      <c r="D23" s="3" t="inlineStr">
        <is>
          <t>Плащ</t>
        </is>
      </c>
      <c r="E23" s="2" t="n">
        <v>1968</v>
      </c>
      <c r="F23" s="2" t="inlineStr">
        <is>
          <t>фильм-спектакль</t>
        </is>
      </c>
      <c r="G23" s="2" t="inlineStr">
        <is>
          <t>Телевизионный театр</t>
        </is>
      </c>
      <c r="H23" s="2" t="n">
        <v>101</v>
      </c>
      <c r="I23" s="2" t="inlineStr">
        <is>
          <t>да</t>
        </is>
      </c>
      <c r="J23" s="2" t="inlineStr">
        <is>
          <t>да</t>
        </is>
      </c>
      <c r="K23" s="3" t="inlineStr">
        <is>
          <t>Одноактная опера Дж.Пуччини по драме Д.Гольда "Плащ". Действие происходит на реке Сене под Парижем...</t>
        </is>
      </c>
      <c r="L23" s="2" t="inlineStr">
        <is>
          <t>https://www.kino-teatr.ru/teatr/movie/110992/annot/</t>
        </is>
      </c>
      <c r="M23" s="2">
        <f>HYPERLINK("https://ru.wikipedia.org/w/index.php?search=%D0%9F%D0%BB%D0%B0%D1%89%201968%20%D1%84%D0%B8%D0%BB%D1%8C%D0%BC","искать")</f>
        <v/>
      </c>
      <c r="N23" s="3" t="n"/>
      <c r="O23" s="2" t="n"/>
      <c r="P23" s="2" t="n"/>
    </row>
    <row r="24">
      <c r="A24" s="2" t="n">
        <v>23</v>
      </c>
      <c r="B24" s="2" t="inlineStr">
        <is>
          <t>обрыв</t>
        </is>
      </c>
      <c r="C24" s="2" t="n">
        <v>9373</v>
      </c>
      <c r="D24" s="3" t="inlineStr">
        <is>
          <t>Застава у Чёртова брода</t>
        </is>
      </c>
      <c r="E24" s="2" t="n">
        <v>1936</v>
      </c>
      <c r="F24" s="2" t="inlineStr">
        <is>
          <t>кинофильм</t>
        </is>
      </c>
      <c r="G24" s="2" t="n"/>
      <c r="H24" s="2" t="n">
        <v>102</v>
      </c>
      <c r="I24" s="2" t="inlineStr">
        <is>
          <t>да</t>
        </is>
      </c>
      <c r="J24" s="2" t="inlineStr">
        <is>
          <t>да</t>
        </is>
      </c>
      <c r="K24" s="3" t="inlineStr">
        <is>
          <t>Действие происходит на советско-польской границе. Единственная «отрицательная» роль М.А.Ладыниной. ...</t>
        </is>
      </c>
      <c r="L24" s="2" t="inlineStr">
        <is>
          <t>Кино_СССР сводный каталог.xlsx: список фильмов (доп.)</t>
        </is>
      </c>
      <c r="M24" s="2">
        <f>HYPERLINK("https://ru.wikipedia.org/w/index.php?search=%D0%97%D0%B0%D1%81%D1%82%D0%B0%D0%B2%D0%B0%20%D1%83%20%D0%A7%D1%91%D1%80%D1%82%D0%BE%D0%B2%D0%B0%20%D0%B1%D1%80%D0%BE%D0%B4%D0%B0%201936%20%D1%84%D0%B8%D0%BB%D1%8C%D0%BC","искать")</f>
        <v/>
      </c>
      <c r="N24" s="3" t="n"/>
      <c r="O24" s="2" t="n"/>
      <c r="P24" s="2" t="n"/>
    </row>
    <row r="25">
      <c r="A25" s="2" t="n">
        <v>24</v>
      </c>
      <c r="B25" s="2" t="inlineStr">
        <is>
          <t>обрыв</t>
        </is>
      </c>
      <c r="C25" s="2" t="n">
        <v>11684</v>
      </c>
      <c r="D25" s="3" t="inlineStr">
        <is>
          <t>Просчитался</t>
        </is>
      </c>
      <c r="E25" s="2" t="n">
        <v>1972</v>
      </c>
      <c r="F25" s="2" t="inlineStr">
        <is>
          <t>мультфильм</t>
        </is>
      </c>
      <c r="G25" s="2" t="inlineStr">
        <is>
          <t>Союзмультфильм</t>
        </is>
      </c>
      <c r="H25" s="2" t="n">
        <v>102</v>
      </c>
      <c r="I25" s="2" t="inlineStr">
        <is>
          <t>да</t>
        </is>
      </c>
      <c r="J25" s="2" t="inlineStr"/>
      <c r="K25" s="3" t="inlineStr">
        <is>
          <t>Фильм про расчетливого хозяина, который решил сэкономить на страховке дома, и что из этого получилось…</t>
        </is>
      </c>
      <c r="L25" s="2" t="inlineStr">
        <is>
          <t>2026-10_мультфильмы_список_владельца.xlsx; https://animator.ru/db/?p=show_film&amp;fid=2598</t>
        </is>
      </c>
      <c r="M25" s="2">
        <f>HYPERLINK("https://ru.wikipedia.org/w/index.php?search=%D0%9F%D1%80%D0%BE%D1%81%D1%87%D0%B8%D1%82%D0%B0%D0%BB%D1%81%D1%8F%201972%20%D1%84%D0%B8%D0%BB%D1%8C%D0%BC","искать")</f>
        <v/>
      </c>
      <c r="N25" s="3" t="n"/>
      <c r="O25" s="2" t="n"/>
      <c r="P25" s="2" t="n"/>
    </row>
    <row r="26">
      <c r="A26" s="2" t="n">
        <v>25</v>
      </c>
      <c r="B26" s="2" t="inlineStr">
        <is>
          <t>обрыв</t>
        </is>
      </c>
      <c r="C26" s="2" t="n">
        <v>7485</v>
      </c>
      <c r="D26" s="3" t="inlineStr">
        <is>
          <t>Двое в пустыне</t>
        </is>
      </c>
      <c r="E26" s="2" t="n">
        <v>1968</v>
      </c>
      <c r="F26" s="2" t="inlineStr">
        <is>
          <t>телефильм</t>
        </is>
      </c>
      <c r="G26" s="2" t="n"/>
      <c r="H26" s="2" t="n">
        <v>104</v>
      </c>
      <c r="I26" s="2" t="inlineStr">
        <is>
          <t>да</t>
        </is>
      </c>
      <c r="J26" s="2" t="inlineStr"/>
      <c r="K26" s="3" t="inlineStr">
        <is>
          <t>Действие происходит в 1920-е годы в Средней Азии. Красноармеец и пленный басмач заблудились в пустыне...</t>
        </is>
      </c>
      <c r="L26" s="2" t="inlineStr">
        <is>
          <t>Кино_СССР сводный каталог.xlsx: список телефильмов</t>
        </is>
      </c>
      <c r="M26" s="2">
        <f>HYPERLINK("https://ru.wikipedia.org/w/index.php?search=%D0%94%D0%B2%D0%BE%D0%B5%20%D0%B2%20%D0%BF%D1%83%D1%81%D1%82%D1%8B%D0%BD%D0%B5%201968%20%D1%84%D0%B8%D0%BB%D1%8C%D0%BC","искать")</f>
        <v/>
      </c>
      <c r="N26" s="3" t="n"/>
      <c r="O26" s="2" t="n"/>
      <c r="P26" s="2" t="n"/>
    </row>
    <row r="27">
      <c r="A27" s="2" t="n">
        <v>26</v>
      </c>
      <c r="B27" s="2" t="inlineStr">
        <is>
          <t>обрыв</t>
        </is>
      </c>
      <c r="C27" s="2" t="n">
        <v>7673</v>
      </c>
      <c r="D27" s="3" t="inlineStr">
        <is>
          <t>Игра</t>
        </is>
      </c>
      <c r="E27" s="2" t="n">
        <v>1973</v>
      </c>
      <c r="F27" s="2" t="inlineStr">
        <is>
          <t>телефильм</t>
        </is>
      </c>
      <c r="G27" s="2" t="n"/>
      <c r="H27" s="2" t="n">
        <v>104</v>
      </c>
      <c r="I27" s="2" t="inlineStr">
        <is>
          <t>да</t>
        </is>
      </c>
      <c r="J27" s="2" t="inlineStr"/>
      <c r="K27" s="3" t="inlineStr">
        <is>
          <t>Телефильм  о том, как общее дело, мечта помогли обрести дружбу одноклассникам, живущим на берегу моря...</t>
        </is>
      </c>
      <c r="L27" s="2" t="inlineStr">
        <is>
          <t>Кино_СССР сводный каталог.xlsx: список телефильмов</t>
        </is>
      </c>
      <c r="M27" s="2">
        <f>HYPERLINK("https://ru.wikipedia.org/w/index.php?search=%D0%98%D0%B3%D1%80%D0%B0%201973%20%D1%84%D0%B8%D0%BB%D1%8C%D0%BC","искать")</f>
        <v/>
      </c>
      <c r="N27" s="3" t="n"/>
      <c r="O27" s="2" t="n"/>
      <c r="P27" s="2" t="n"/>
    </row>
    <row r="28">
      <c r="A28" s="2" t="n">
        <v>27</v>
      </c>
      <c r="B28" s="2" t="inlineStr">
        <is>
          <t>обрыв</t>
        </is>
      </c>
      <c r="C28" s="2" t="n">
        <v>13503</v>
      </c>
      <c r="D28" s="3" t="inlineStr">
        <is>
          <t>Как мышонок летучим стал</t>
        </is>
      </c>
      <c r="E28" s="2" t="n">
        <v>1991</v>
      </c>
      <c r="F28" s="2" t="inlineStr">
        <is>
          <t>мультфильм</t>
        </is>
      </c>
      <c r="G28" s="2" t="inlineStr">
        <is>
          <t>ЭКРАН</t>
        </is>
      </c>
      <c r="H28" s="2" t="n">
        <v>104</v>
      </c>
      <c r="I28" s="2" t="inlineStr">
        <is>
          <t>да</t>
        </is>
      </c>
      <c r="J28" s="2" t="inlineStr"/>
      <c r="K28" s="3" t="inlineStr">
        <is>
          <t>О двух фантазерах - Страусе и Морской свинке, которые пытались увлечь своей мечтой маленького Мышонка...</t>
        </is>
      </c>
      <c r="L28" s="2" t="inlineStr">
        <is>
          <t>2026-10_мультфильмы_список_владельца.xlsx; https://animator.ru/db/?p=show_film&amp;fid=4793</t>
        </is>
      </c>
      <c r="M28" s="2">
        <f>HYPERLINK("https://ru.wikipedia.org/w/index.php?search=%D0%9A%D0%B0%D0%BA%20%D0%BC%D1%8B%D1%88%D0%BE%D0%BD%D0%BE%D0%BA%20%D0%BB%D0%B5%D1%82%D1%83%D1%87%D0%B8%D0%BC%20%D1%81%D1%82%D0%B0%D0%BB%201991%20%D1%84%D0%B8%D0%BB%D1%8C%D0%BC","искать")</f>
        <v/>
      </c>
      <c r="N28" s="3" t="n"/>
      <c r="O28" s="2" t="n"/>
      <c r="P28" s="2" t="n"/>
    </row>
    <row r="29">
      <c r="A29" s="2" t="n">
        <v>28</v>
      </c>
      <c r="B29" s="2" t="inlineStr">
        <is>
          <t>обрыв</t>
        </is>
      </c>
      <c r="C29" s="2" t="n">
        <v>13485</v>
      </c>
      <c r="D29" s="3" t="inlineStr">
        <is>
          <t>Сничи</t>
        </is>
      </c>
      <c r="E29" s="2" t="n">
        <v>1989</v>
      </c>
      <c r="F29" s="2" t="inlineStr">
        <is>
          <t>мультфильм</t>
        </is>
      </c>
      <c r="G29" s="2" t="inlineStr">
        <is>
          <t>Свердловская киностудия</t>
        </is>
      </c>
      <c r="H29" s="2" t="n">
        <v>106</v>
      </c>
      <c r="I29" s="2" t="inlineStr">
        <is>
          <t>да</t>
        </is>
      </c>
      <c r="J29" s="2" t="inlineStr">
        <is>
          <t>да</t>
        </is>
      </c>
      <c r="K29" s="3" t="inlineStr">
        <is>
          <t>На старом заброшенном пляже жили сничи. У одних из них на животах были звезды, а у других звезд не было...</t>
        </is>
      </c>
      <c r="L29" s="2" t="inlineStr">
        <is>
          <t>2026-10_мультфильмы_список_владельца.xlsx; https://animator.ru/db/?p=show_film&amp;fid=4775</t>
        </is>
      </c>
      <c r="M29" s="2">
        <f>HYPERLINK("https://ru.wikipedia.org/w/index.php?search=%D0%A1%D0%BD%D0%B8%D1%87%D0%B8%201989%20%D1%84%D0%B8%D0%BB%D1%8C%D0%BC","искать")</f>
        <v/>
      </c>
      <c r="N29" s="3" t="n"/>
      <c r="O29" s="2" t="n"/>
      <c r="P29" s="2" t="n"/>
    </row>
    <row r="30">
      <c r="A30" s="2" t="n">
        <v>29</v>
      </c>
      <c r="B30" s="2" t="inlineStr">
        <is>
          <t>обрыв</t>
        </is>
      </c>
      <c r="C30" s="2" t="n">
        <v>13592</v>
      </c>
      <c r="D30" s="3" t="inlineStr">
        <is>
          <t>Ах, принцесса!</t>
        </is>
      </c>
      <c r="E30" s="2" t="n">
        <v>1987</v>
      </c>
      <c r="F30" s="2" t="inlineStr">
        <is>
          <t>мультфильм</t>
        </is>
      </c>
      <c r="G30" s="2" t="inlineStr">
        <is>
          <t>СОЮЗТЕЛЕФИЛЬМ, ЭКРАН</t>
        </is>
      </c>
      <c r="H30" s="2" t="n">
        <v>106</v>
      </c>
      <c r="I30" s="2" t="inlineStr">
        <is>
          <t>да</t>
        </is>
      </c>
      <c r="J30" s="2" t="inlineStr">
        <is>
          <t>да</t>
        </is>
      </c>
      <c r="K30" s="3" t="inlineStr">
        <is>
          <t>По мотивам узбекских сказок, для взрослых. Прозвучали стихи Омара Хайама, Алишера Навои, Низами, Бабура...</t>
        </is>
      </c>
      <c r="L30" s="2" t="inlineStr">
        <is>
          <t>https://animator.ru/db/?p=show_film&amp;fid=4941</t>
        </is>
      </c>
      <c r="M30" s="2">
        <f>HYPERLINK("https://ru.wikipedia.org/w/index.php?search=%D0%90%D1%85%2C%20%D0%BF%D1%80%D0%B8%D0%BD%D1%86%D0%B5%D1%81%D1%81%D0%B0%21%201987%20%D1%84%D0%B8%D0%BB%D1%8C%D0%BC","искать")</f>
        <v/>
      </c>
      <c r="N30" s="3" t="n"/>
      <c r="O30" s="2" t="n"/>
      <c r="P30" s="2" t="n"/>
    </row>
    <row r="31">
      <c r="A31" s="2" t="n">
        <v>30</v>
      </c>
      <c r="B31" s="2" t="inlineStr">
        <is>
          <t>обрыв</t>
        </is>
      </c>
      <c r="C31" s="2" t="n">
        <v>8457</v>
      </c>
      <c r="D31" s="3" t="inlineStr">
        <is>
          <t>То мужчина, то женщина</t>
        </is>
      </c>
      <c r="E31" s="2" t="n">
        <v>1989</v>
      </c>
      <c r="F31" s="2" t="inlineStr">
        <is>
          <t>телефильм</t>
        </is>
      </c>
      <c r="G31" s="2" t="n"/>
      <c r="H31" s="2" t="n">
        <v>107</v>
      </c>
      <c r="I31" s="2" t="inlineStr">
        <is>
          <t>да</t>
        </is>
      </c>
      <c r="J31" s="2" t="inlineStr"/>
      <c r="K31" s="3" t="inlineStr">
        <is>
          <t>Актриса, готовящаяся сыграть легендарную Надежду Дурову, мысленно перевоплощается в свою будущую героиню...</t>
        </is>
      </c>
      <c r="L31" s="2" t="inlineStr">
        <is>
          <t>Кино_СССР сводный каталог.xlsx: список телефильмов</t>
        </is>
      </c>
      <c r="M31" s="2">
        <f>HYPERLINK("https://ru.wikipedia.org/w/index.php?search=%D0%A2%D0%BE%20%D0%BC%D1%83%D0%B6%D1%87%D0%B8%D0%BD%D0%B0%2C%20%D1%82%D0%BE%20%D0%B6%D0%B5%D0%BD%D1%89%D0%B8%D0%BD%D0%B0%201989%20%D1%84%D0%B8%D0%BB%D1%8C%D0%BC","искать")</f>
        <v/>
      </c>
      <c r="N31" s="3" t="n"/>
      <c r="O31" s="2" t="n"/>
      <c r="P31" s="2" t="n"/>
    </row>
    <row r="32">
      <c r="A32" s="2" t="n">
        <v>31</v>
      </c>
      <c r="B32" s="2" t="inlineStr">
        <is>
          <t>обрыв</t>
        </is>
      </c>
      <c r="C32" s="2" t="n">
        <v>7908</v>
      </c>
      <c r="D32" s="3" t="inlineStr">
        <is>
          <t>Мужское самолюбие</t>
        </is>
      </c>
      <c r="E32" s="2" t="n">
        <v>1982</v>
      </c>
      <c r="F32" s="2" t="inlineStr">
        <is>
          <t>телефильм</t>
        </is>
      </c>
      <c r="G32" s="2" t="n"/>
      <c r="H32" s="2" t="n">
        <v>108</v>
      </c>
      <c r="I32" s="2" t="inlineStr">
        <is>
          <t>да</t>
        </is>
      </c>
      <c r="J32" s="2" t="inlineStr"/>
      <c r="K32" s="3" t="inlineStr">
        <is>
          <t>Герои фильма проводят отпуск в деревне. Местная комсомолка Роксана привлекает юношей к работе на сенокосе...</t>
        </is>
      </c>
      <c r="L32" s="2" t="inlineStr">
        <is>
          <t>Кино_СССР сводный каталог.xlsx: список телефильмов</t>
        </is>
      </c>
      <c r="M32" s="2">
        <f>HYPERLINK("https://ru.wikipedia.org/w/index.php?search=%D0%9C%D1%83%D0%B6%D1%81%D0%BA%D0%BE%D0%B5%20%D1%81%D0%B0%D0%BC%D0%BE%D0%BB%D1%8E%D0%B1%D0%B8%D0%B5%201982%20%D1%84%D0%B8%D0%BB%D1%8C%D0%BC","искать")</f>
        <v/>
      </c>
      <c r="N32" s="3" t="n"/>
      <c r="O32" s="2" t="n"/>
      <c r="P32" s="2" t="n"/>
    </row>
    <row r="33">
      <c r="A33" s="2" t="n">
        <v>32</v>
      </c>
      <c r="B33" s="2" t="inlineStr">
        <is>
          <t>обрыв</t>
        </is>
      </c>
      <c r="C33" s="2" t="n">
        <v>14329</v>
      </c>
      <c r="D33" s="3" t="inlineStr">
        <is>
          <t>Непобедимый</t>
        </is>
      </c>
      <c r="E33" s="2" t="n">
        <v>1973</v>
      </c>
      <c r="F33" s="2" t="inlineStr">
        <is>
          <t>мультфильм</t>
        </is>
      </c>
      <c r="G33" s="2" t="inlineStr">
        <is>
          <t>АРМЕНФИЛЬМ</t>
        </is>
      </c>
      <c r="H33" s="2" t="n">
        <v>108</v>
      </c>
      <c r="I33" s="2" t="inlineStr">
        <is>
          <t>да</t>
        </is>
      </c>
      <c r="J33" s="2" t="inlineStr"/>
      <c r="K33" s="3" t="inlineStr">
        <is>
          <t>История о маленьком мальчике, который украл собаку для того чтобы его все боялись и что из этого получилось…</t>
        </is>
      </c>
      <c r="L33" s="2" t="inlineStr">
        <is>
          <t>2026-10_мультфильмы_список_владельца.xlsx; https://animator.ru/db/?p=show_film&amp;fid=5885</t>
        </is>
      </c>
      <c r="M33" s="2">
        <f>HYPERLINK("https://ru.wikipedia.org/w/index.php?search=%D0%9D%D0%B5%D0%BF%D0%BE%D0%B1%D0%B5%D0%B4%D0%B8%D0%BC%D1%8B%D0%B9%201973%20%D1%84%D0%B8%D0%BB%D1%8C%D0%BC","искать")</f>
        <v/>
      </c>
      <c r="N33" s="3" t="n"/>
      <c r="O33" s="2" t="n"/>
      <c r="P33" s="2" t="n"/>
    </row>
    <row r="34">
      <c r="A34" s="2" t="n">
        <v>33</v>
      </c>
      <c r="B34" s="2" t="inlineStr">
        <is>
          <t>обрыв</t>
        </is>
      </c>
      <c r="C34" s="2" t="n">
        <v>14422</v>
      </c>
      <c r="D34" s="3" t="inlineStr">
        <is>
          <t>Кто самый сильный</t>
        </is>
      </c>
      <c r="E34" s="2" t="n">
        <v>1990</v>
      </c>
      <c r="F34" s="2" t="inlineStr">
        <is>
          <t>мультфильм</t>
        </is>
      </c>
      <c r="G34" s="2" t="n"/>
      <c r="H34" s="2" t="n">
        <v>108</v>
      </c>
      <c r="I34" s="2" t="inlineStr">
        <is>
          <t>да</t>
        </is>
      </c>
      <c r="J34" s="2" t="inlineStr"/>
      <c r="K34" s="3" t="inlineStr">
        <is>
          <t>По мотивам казахских народных сказок. О маленькой мышке, которая искала себе сильного друга и покровителя...</t>
        </is>
      </c>
      <c r="L34" s="2" t="inlineStr">
        <is>
          <t>https://animator.ru/db/?p=show_film&amp;fid=6658</t>
        </is>
      </c>
      <c r="M34" s="2">
        <f>HYPERLINK("https://ru.wikipedia.org/w/index.php?search=%D0%9A%D1%82%D0%BE%20%D1%81%D0%B0%D0%BC%D1%8B%D0%B9%20%D1%81%D0%B8%D0%BB%D1%8C%D0%BD%D1%8B%D0%B9%201990%20%D1%84%D0%B8%D0%BB%D1%8C%D0%BC","искать")</f>
        <v/>
      </c>
      <c r="N34" s="3" t="n"/>
      <c r="O34" s="2" t="n"/>
      <c r="P34" s="2" t="n"/>
    </row>
    <row r="35">
      <c r="A35" s="2" t="n">
        <v>34</v>
      </c>
      <c r="B35" s="2" t="inlineStr">
        <is>
          <t>обрыв</t>
        </is>
      </c>
      <c r="C35" s="2" t="n">
        <v>7818</v>
      </c>
      <c r="D35" s="3" t="inlineStr">
        <is>
          <t>Лолита</t>
        </is>
      </c>
      <c r="E35" s="2" t="n">
        <v>1991</v>
      </c>
      <c r="F35" s="2" t="inlineStr">
        <is>
          <t>телефильм</t>
        </is>
      </c>
      <c r="G35" s="2" t="n"/>
      <c r="H35" s="2" t="n">
        <v>110</v>
      </c>
      <c r="I35" s="2" t="inlineStr">
        <is>
          <t>да</t>
        </is>
      </c>
      <c r="J35" s="2" t="inlineStr"/>
      <c r="K35" s="3" t="inlineStr">
        <is>
          <t>Провинциалка Лолита отказалась от дома своего отца и обосновалась в городе, пытаясь найти свой путь в жизни...</t>
        </is>
      </c>
      <c r="L35" s="2" t="inlineStr">
        <is>
          <t>Кино_СССР сводный каталог.xlsx: список телефильмов</t>
        </is>
      </c>
      <c r="M35" s="2">
        <f>HYPERLINK("https://ru.wikipedia.org/w/index.php?search=%D0%9B%D0%BE%D0%BB%D0%B8%D1%82%D0%B0%201991%20%D1%84%D0%B8%D0%BB%D1%8C%D0%BC","искать")</f>
        <v/>
      </c>
      <c r="N35" s="3" t="n"/>
      <c r="O35" s="2" t="n"/>
      <c r="P35" s="2" t="n"/>
    </row>
    <row r="36">
      <c r="A36" s="2" t="n">
        <v>35</v>
      </c>
      <c r="B36" s="2" t="inlineStr">
        <is>
          <t>обрыв</t>
        </is>
      </c>
      <c r="C36" s="2" t="n">
        <v>8783</v>
      </c>
      <c r="D36" s="3" t="inlineStr">
        <is>
          <t>Крыса</t>
        </is>
      </c>
      <c r="E36" s="2" t="n">
        <v>1991</v>
      </c>
      <c r="F36" s="2" t="inlineStr">
        <is>
          <t>кинофильм</t>
        </is>
      </c>
      <c r="G36" s="2" t="n"/>
      <c r="H36" s="2" t="n">
        <v>111</v>
      </c>
      <c r="I36" s="2" t="inlineStr">
        <is>
          <t>да</t>
        </is>
      </c>
      <c r="J36" s="2" t="inlineStr"/>
      <c r="K36" s="3" t="inlineStr">
        <is>
          <t>Молодой человек, в страхе от окружающей его действительности, укрывается в подвале и заводит дружбу с крысой...</t>
        </is>
      </c>
      <c r="L36" s="2" t="inlineStr">
        <is>
          <t>Кино_СССР сводный каталог.xlsx: список фильмов (доп.)</t>
        </is>
      </c>
      <c r="M36" s="2">
        <f>HYPERLINK("https://ru.wikipedia.org/w/index.php?search=%D0%9A%D1%80%D1%8B%D1%81%D0%B0%201991%20%D1%84%D0%B8%D0%BB%D1%8C%D0%BC","искать")</f>
        <v/>
      </c>
      <c r="N36" s="3" t="n"/>
      <c r="O36" s="2" t="n"/>
      <c r="P36" s="2" t="n"/>
    </row>
    <row r="37">
      <c r="A37" s="2" t="n">
        <v>36</v>
      </c>
      <c r="B37" s="2" t="inlineStr">
        <is>
          <t>обрыв</t>
        </is>
      </c>
      <c r="C37" s="2" t="n">
        <v>8023</v>
      </c>
      <c r="D37" s="3" t="inlineStr">
        <is>
          <t>Обретёшь в бою</t>
        </is>
      </c>
      <c r="E37" s="2" t="n">
        <v>1975</v>
      </c>
      <c r="F37" s="2" t="inlineStr">
        <is>
          <t>телефильм</t>
        </is>
      </c>
      <c r="G37" s="2" t="n"/>
      <c r="H37" s="2" t="n">
        <v>113</v>
      </c>
      <c r="I37" s="2" t="inlineStr">
        <is>
          <t>да</t>
        </is>
      </c>
      <c r="J37" s="2" t="inlineStr"/>
      <c r="K37" s="3" t="inlineStr">
        <is>
          <t>Молодой начальник доменного цеха, преодолевая косность коллег, внедряет новый прогрессивный метод плавки стали...</t>
        </is>
      </c>
      <c r="L37" s="2" t="inlineStr">
        <is>
          <t>Кино_СССР сводный каталог.xlsx: список телефильмов</t>
        </is>
      </c>
      <c r="M37" s="2">
        <f>HYPERLINK("https://ru.wikipedia.org/w/index.php?search=%D0%9E%D0%B1%D1%80%D0%B5%D1%82%D1%91%D1%88%D1%8C%20%D0%B2%20%D0%B1%D0%BE%D1%8E%201975%20%D1%84%D0%B8%D0%BB%D1%8C%D0%BC","искать")</f>
        <v/>
      </c>
      <c r="N37" s="3" t="n"/>
      <c r="O37" s="2" t="n"/>
      <c r="P37" s="2" t="n"/>
    </row>
    <row r="38">
      <c r="A38" s="2" t="n">
        <v>37</v>
      </c>
      <c r="B38" s="2" t="inlineStr">
        <is>
          <t>обрыв</t>
        </is>
      </c>
      <c r="C38" s="2" t="n">
        <v>11588</v>
      </c>
      <c r="D38" s="3" t="inlineStr">
        <is>
          <t>Веселая карусель n 2. Самый первый</t>
        </is>
      </c>
      <c r="E38" s="2" t="n">
        <v>1970</v>
      </c>
      <c r="F38" s="2" t="inlineStr">
        <is>
          <t>мультфильм</t>
        </is>
      </c>
      <c r="G38" s="2" t="inlineStr">
        <is>
          <t>Союзмультфильм</t>
        </is>
      </c>
      <c r="H38" s="2" t="n">
        <v>114</v>
      </c>
      <c r="I38" s="2" t="inlineStr">
        <is>
          <t>да</t>
        </is>
      </c>
      <c r="J38" s="2" t="inlineStr"/>
      <c r="K38" s="3" t="inlineStr">
        <is>
          <t>Сюжет из альманаха "Веселая карусель N 2". . О забавных туристах и мальчике, который старался всех обогнать, но...</t>
        </is>
      </c>
      <c r="L38" s="2" t="inlineStr">
        <is>
          <t>https://animator.ru/db/?p=show_film&amp;fid=2501</t>
        </is>
      </c>
      <c r="M38" s="2">
        <f>HYPERLINK("https://ru.wikipedia.org/w/index.php?search=%D0%92%D0%B5%D1%81%D0%B5%D0%BB%D0%B0%D1%8F%20%D0%BA%D0%B0%D1%80%D1%83%D1%81%D0%B5%D0%BB%D1%8C%20n%202.%20%D0%A1%D0%B0%D0%BC%D1%8B%D0%B9%20%D0%BF%D0%B5%D1%80%D0%B2%D1%8B%D0%B9%201970%20%D1%84%D0%B8%D0%BB%D1%8C%D0%BC","искать")</f>
        <v/>
      </c>
      <c r="N38" s="3" t="n"/>
      <c r="O38" s="2" t="n"/>
      <c r="P38" s="2" t="n"/>
    </row>
    <row r="39">
      <c r="A39" s="2" t="n">
        <v>38</v>
      </c>
      <c r="B39" s="2" t="inlineStr">
        <is>
          <t>обрыв</t>
        </is>
      </c>
      <c r="C39" s="2" t="n">
        <v>12013</v>
      </c>
      <c r="D39" s="3" t="inlineStr">
        <is>
          <t>Мой друг зонтик</t>
        </is>
      </c>
      <c r="E39" s="2" t="n">
        <v>1982</v>
      </c>
      <c r="F39" s="2" t="inlineStr">
        <is>
          <t>мультфильм</t>
        </is>
      </c>
      <c r="G39" s="2" t="inlineStr">
        <is>
          <t>Союзмультфильм</t>
        </is>
      </c>
      <c r="H39" s="2" t="n">
        <v>114</v>
      </c>
      <c r="I39" s="2" t="inlineStr">
        <is>
          <t>да</t>
        </is>
      </c>
      <c r="J39" s="2" t="inlineStr"/>
      <c r="K39" s="3" t="inlineStr">
        <is>
          <t>Поросенок подружился со слоненком, п.ч. ему это было выгодно. А слоненок искренне считал, что он друг поросенка...</t>
        </is>
      </c>
      <c r="L39" s="2" t="inlineStr">
        <is>
          <t>2026-10_мультфильмы_список_владельца.xlsx; https://animator.ru/db/?p=show_film&amp;fid=3127</t>
        </is>
      </c>
      <c r="M39" s="2">
        <f>HYPERLINK("https://ru.wikipedia.org/w/index.php?search=%D0%9C%D0%BE%D0%B9%20%D0%B4%D1%80%D1%83%D0%B3%20%D0%B7%D0%BE%D0%BD%D1%82%D0%B8%D0%BA%201982%20%D1%84%D0%B8%D0%BB%D1%8C%D0%BC","искать")</f>
        <v/>
      </c>
      <c r="N39" s="3" t="n"/>
      <c r="O39" s="2" t="n"/>
      <c r="P39" s="2" t="n"/>
    </row>
    <row r="40">
      <c r="A40" s="2" t="n">
        <v>39</v>
      </c>
      <c r="B40" s="2" t="inlineStr">
        <is>
          <t>обрыв</t>
        </is>
      </c>
      <c r="C40" s="2" t="n">
        <v>9333</v>
      </c>
      <c r="D40" s="3" t="inlineStr">
        <is>
          <t>Дети солнца</t>
        </is>
      </c>
      <c r="E40" s="2" t="n">
        <v>1991</v>
      </c>
      <c r="F40" s="2" t="inlineStr">
        <is>
          <t>кинофильм</t>
        </is>
      </c>
      <c r="G40" s="2" t="n"/>
      <c r="H40" s="2" t="n">
        <v>118</v>
      </c>
      <c r="I40" s="2" t="inlineStr">
        <is>
          <t>да</t>
        </is>
      </c>
      <c r="J40" s="2" t="inlineStr">
        <is>
          <t>да</t>
        </is>
      </c>
      <c r="K40" s="3" t="inlineStr">
        <is>
          <t>1940. Период, так называемого, безвременья. Заканчивается учеба у старшеклассников. Юные герои — в ожидании свободы...</t>
        </is>
      </c>
      <c r="L40" s="2" t="inlineStr">
        <is>
          <t>Кино_СССР сводный каталог.xlsx: список фильмов (доп.)</t>
        </is>
      </c>
      <c r="M40" s="2">
        <f>HYPERLINK("https://ru.wikipedia.org/w/index.php?search=%D0%94%D0%B5%D1%82%D0%B8%20%D1%81%D0%BE%D0%BB%D0%BD%D1%86%D0%B0%201991%20%D1%84%D0%B8%D0%BB%D1%8C%D0%BC","искать")</f>
        <v/>
      </c>
      <c r="N40" s="3" t="n"/>
      <c r="O40" s="2" t="n"/>
      <c r="P40" s="2" t="n"/>
    </row>
    <row r="41">
      <c r="A41" s="2" t="n">
        <v>40</v>
      </c>
      <c r="B41" s="2" t="inlineStr">
        <is>
          <t>обрыв</t>
        </is>
      </c>
      <c r="C41" s="2" t="n">
        <v>9962</v>
      </c>
      <c r="D41" s="3" t="inlineStr">
        <is>
          <t>Гиблое дело</t>
        </is>
      </c>
      <c r="E41" s="2" t="n">
        <v>1981</v>
      </c>
      <c r="F41" s="2" t="inlineStr">
        <is>
          <t>кинофильм</t>
        </is>
      </c>
      <c r="G41" s="2" t="inlineStr">
        <is>
          <t>Мосфильм, ЭТМО "Дебют"(Ленфильм)</t>
        </is>
      </c>
      <c r="H41" s="2" t="n">
        <v>118</v>
      </c>
      <c r="I41" s="2" t="inlineStr">
        <is>
          <t>да</t>
        </is>
      </c>
      <c r="J41" s="2" t="inlineStr"/>
      <c r="K41" s="3" t="inlineStr">
        <is>
          <t>Пассажир поезда обнаружил пропажу сумки с деньгами, вырученными от продажи дома. Подозреваются все пассажиры вагона...</t>
        </is>
      </c>
      <c r="L41" s="2" t="inlineStr">
        <is>
          <t>https://www.kino-teatr.ru/short/movie/sov/1369/annot/</t>
        </is>
      </c>
      <c r="M41" s="2">
        <f>HYPERLINK("https://ru.wikipedia.org/w/index.php?search=%D0%93%D0%B8%D0%B1%D0%BB%D0%BE%D0%B5%20%D0%B4%D0%B5%D0%BB%D0%BE%201981%20%D1%84%D0%B8%D0%BB%D1%8C%D0%BC","искать")</f>
        <v/>
      </c>
      <c r="N41" s="3" t="n"/>
      <c r="O41" s="2" t="n"/>
      <c r="P41" s="2" t="n"/>
    </row>
    <row r="42">
      <c r="A42" s="2" t="n">
        <v>41</v>
      </c>
      <c r="B42" s="2" t="inlineStr">
        <is>
          <t>обрыв</t>
        </is>
      </c>
      <c r="C42" s="2" t="n">
        <v>11375</v>
      </c>
      <c r="D42" s="3" t="inlineStr">
        <is>
          <t>Карамболина-карамболетта</t>
        </is>
      </c>
      <c r="E42" s="2" t="n">
        <v>1983</v>
      </c>
      <c r="F42" s="2" t="inlineStr">
        <is>
          <t>не игровое</t>
        </is>
      </c>
      <c r="G42" s="2" t="n"/>
      <c r="H42" s="2" t="n">
        <v>118</v>
      </c>
      <c r="I42" s="2" t="inlineStr">
        <is>
          <t>да</t>
        </is>
      </c>
      <c r="J42" s="2" t="inlineStr">
        <is>
          <t>да</t>
        </is>
      </c>
      <c r="K42" s="3" t="inlineStr">
        <is>
          <t>Пожилая костюмерша музыкального театра вспоминает о своей жизни. Перед ее взором оживают картины из любимых оперетт...</t>
        </is>
      </c>
      <c r="L42" s="2" t="inlineStr">
        <is>
          <t>Кино_СССР телефильмы и пропуски включить в базу.xlsx</t>
        </is>
      </c>
      <c r="M42" s="2">
        <f>HYPERLINK("https://ru.wikipedia.org/w/index.php?search=%D0%9A%D0%B0%D1%80%D0%B0%D0%BC%D0%B1%D0%BE%D0%BB%D0%B8%D0%BD%D0%B0-%D0%BA%D0%B0%D1%80%D0%B0%D0%BC%D0%B1%D0%BE%D0%BB%D0%B5%D1%82%D1%82%D0%B0%201983%20%D1%84%D0%B8%D0%BB%D1%8C%D0%BC","искать")</f>
        <v/>
      </c>
      <c r="N42" s="3" t="n"/>
      <c r="O42" s="2" t="n"/>
      <c r="P42" s="2" t="n"/>
    </row>
    <row r="43">
      <c r="A43" s="2" t="n">
        <v>42</v>
      </c>
      <c r="B43" s="2" t="inlineStr">
        <is>
          <t>обрыв</t>
        </is>
      </c>
      <c r="C43" s="2" t="n">
        <v>13131</v>
      </c>
      <c r="D43" s="3" t="inlineStr">
        <is>
          <t>И было хорошо</t>
        </is>
      </c>
      <c r="E43" s="2" t="n">
        <v>1990</v>
      </c>
      <c r="F43" s="2" t="inlineStr">
        <is>
          <t>мультфильм</t>
        </is>
      </c>
      <c r="G43" s="2" t="inlineStr">
        <is>
          <t>МОЛДОВА-ФИЛЬМ</t>
        </is>
      </c>
      <c r="H43" s="2" t="n">
        <v>120</v>
      </c>
      <c r="I43" s="2" t="inlineStr">
        <is>
          <t>да</t>
        </is>
      </c>
      <c r="J43" s="2" t="inlineStr"/>
      <c r="K43" s="3" t="inlineStr">
        <is>
          <t>Рыцарь, победивший Дракона, получил власть и сам превратился в Дракона, против которого готов бороться новый Рыцарь и...</t>
        </is>
      </c>
      <c r="L43" s="2" t="inlineStr">
        <is>
          <t>https://animator.ru/db/?p=show_film&amp;fid=4363</t>
        </is>
      </c>
      <c r="M43" s="2">
        <f>HYPERLINK("https://ru.wikipedia.org/w/index.php?search=%D0%98%20%D0%B1%D1%8B%D0%BB%D0%BE%20%D1%85%D0%BE%D1%80%D0%BE%D1%88%D0%BE%201990%20%D1%84%D0%B8%D0%BB%D1%8C%D0%BC","искать")</f>
        <v/>
      </c>
      <c r="N43" s="3" t="n"/>
      <c r="O43" s="2" t="n"/>
      <c r="P43" s="2" t="n"/>
    </row>
    <row r="44">
      <c r="A44" s="2" t="n">
        <v>43</v>
      </c>
      <c r="B44" s="2" t="inlineStr">
        <is>
          <t>обрыв</t>
        </is>
      </c>
      <c r="C44" s="2" t="n">
        <v>8150</v>
      </c>
      <c r="D44" s="3" t="inlineStr">
        <is>
          <t>Поздняя любовь</t>
        </is>
      </c>
      <c r="E44" s="2" t="n">
        <v>1983</v>
      </c>
      <c r="F44" s="2" t="inlineStr">
        <is>
          <t>телефильм</t>
        </is>
      </c>
      <c r="G44" s="2" t="n"/>
      <c r="H44" s="2" t="n">
        <v>122</v>
      </c>
      <c r="I44" s="2" t="inlineStr">
        <is>
          <t>да</t>
        </is>
      </c>
      <c r="J44" s="2" t="inlineStr">
        <is>
          <t>да</t>
        </is>
      </c>
      <c r="K44" s="3" t="inlineStr">
        <is>
          <t>По одноименной пьесе А.Н. Островского. О верности и коварстве, о чистоте человеческих чувств и вере в подлинное счастье...</t>
        </is>
      </c>
      <c r="L44" s="2" t="inlineStr">
        <is>
          <t>Кино_СССР сводный каталог.xlsx: список телефильмов</t>
        </is>
      </c>
      <c r="M44" s="2">
        <f>HYPERLINK("https://ru.wikipedia.org/w/index.php?search=%D0%9F%D0%BE%D0%B7%D0%B4%D0%BD%D1%8F%D1%8F%20%D0%BB%D1%8E%D0%B1%D0%BE%D0%B2%D1%8C%201983%20%D1%84%D0%B8%D0%BB%D1%8C%D0%BC","искать")</f>
        <v/>
      </c>
      <c r="N44" s="3" t="n"/>
      <c r="O44" s="2" t="n"/>
      <c r="P44" s="2" t="n"/>
    </row>
    <row r="45">
      <c r="A45" s="2" t="n">
        <v>44</v>
      </c>
      <c r="B45" s="2" t="inlineStr">
        <is>
          <t>обрыв</t>
        </is>
      </c>
      <c r="C45" s="2" t="n">
        <v>12229</v>
      </c>
      <c r="D45" s="3" t="inlineStr">
        <is>
          <t>Три лягушонка ч.1</t>
        </is>
      </c>
      <c r="E45" s="2" t="n">
        <v>1987</v>
      </c>
      <c r="F45" s="2" t="inlineStr">
        <is>
          <t>мультфильм</t>
        </is>
      </c>
      <c r="G45" s="2" t="inlineStr">
        <is>
          <t>Союзмультфильм</t>
        </is>
      </c>
      <c r="H45" s="2" t="n">
        <v>123</v>
      </c>
      <c r="I45" s="2" t="inlineStr">
        <is>
          <t>да</t>
        </is>
      </c>
      <c r="J45" s="2" t="inlineStr"/>
      <c r="K45" s="3" t="inlineStr">
        <is>
          <t>Три малыша-лягушонка живут в пруду, в котором, увы, столько грязи. Да и этот высох. И решили лягушата отправиться к морю...</t>
        </is>
      </c>
      <c r="L45" s="2" t="inlineStr">
        <is>
          <t>2026-10_мультфильмы_список_владельца.xlsx; https://animator.ru/db/?p=show_film&amp;fid=3346</t>
        </is>
      </c>
      <c r="M45" s="2">
        <f>HYPERLINK("https://ru.wikipedia.org/w/index.php?search=%D0%A2%D1%80%D0%B8%20%D0%BB%D1%8F%D0%B3%D1%83%D1%88%D0%BE%D0%BD%D0%BA%D0%B0%20%D1%87.1%201987%20%D1%84%D0%B8%D0%BB%D1%8C%D0%BC","искать")</f>
        <v/>
      </c>
      <c r="N45" s="3" t="n"/>
      <c r="O45" s="2" t="n"/>
      <c r="P45" s="2" t="n"/>
    </row>
    <row r="46">
      <c r="A46" s="2" t="n">
        <v>45</v>
      </c>
      <c r="B46" s="2" t="inlineStr">
        <is>
          <t>обрыв</t>
        </is>
      </c>
      <c r="C46" s="2" t="n">
        <v>8218</v>
      </c>
      <c r="D46" s="3" t="inlineStr">
        <is>
          <t>Причал</t>
        </is>
      </c>
      <c r="E46" s="2" t="n">
        <v>1973</v>
      </c>
      <c r="F46" s="2" t="inlineStr">
        <is>
          <t>телефильм</t>
        </is>
      </c>
      <c r="G46" s="2" t="n"/>
      <c r="H46" s="2" t="n">
        <v>124</v>
      </c>
      <c r="I46" s="2" t="inlineStr">
        <is>
          <t>да</t>
        </is>
      </c>
      <c r="J46" s="2" t="inlineStr"/>
      <c r="K46" s="3" t="inlineStr">
        <is>
          <t>О бригаде докеров, в сложной обстановке испытывающих сплошную технологическую линию, созданную по предложению их товарища...</t>
        </is>
      </c>
      <c r="L46" s="2" t="inlineStr">
        <is>
          <t>Кино_СССР сводный каталог.xlsx: список телефильмов</t>
        </is>
      </c>
      <c r="M46" s="2">
        <f>HYPERLINK("https://ru.wikipedia.org/w/index.php?search=%D0%9F%D1%80%D0%B8%D1%87%D0%B0%D0%BB%201973%20%D1%84%D0%B8%D0%BB%D1%8C%D0%BC","искать")</f>
        <v/>
      </c>
      <c r="N46" s="3" t="n"/>
      <c r="O46" s="2" t="n"/>
      <c r="P46" s="2" t="n"/>
    </row>
    <row r="47">
      <c r="A47" s="2" t="n">
        <v>46</v>
      </c>
      <c r="B47" s="2" t="inlineStr">
        <is>
          <t>обрыв</t>
        </is>
      </c>
      <c r="C47" s="2" t="n">
        <v>7647</v>
      </c>
      <c r="D47" s="3" t="inlineStr">
        <is>
          <t>Зима в раю</t>
        </is>
      </c>
      <c r="E47" s="2" t="n">
        <v>1989</v>
      </c>
      <c r="F47" s="2" t="inlineStr">
        <is>
          <t>телефильм</t>
        </is>
      </c>
      <c r="G47" s="2" t="n"/>
      <c r="H47" s="2" t="n">
        <v>126</v>
      </c>
      <c r="I47" s="2" t="inlineStr">
        <is>
          <t>да</t>
        </is>
      </c>
      <c r="J47" s="2" t="inlineStr"/>
      <c r="K47" s="3" t="inlineStr">
        <is>
          <t>Восемнадцатилетняя Катя, снимавшаяся в массовке фильма, остаётся на зиму в Крыму и поселяется у одинокого пожилого плотника...</t>
        </is>
      </c>
      <c r="L47" s="2" t="inlineStr">
        <is>
          <t>Кино_СССР сводный каталог.xlsx: список телефильмов</t>
        </is>
      </c>
      <c r="M47" s="2">
        <f>HYPERLINK("https://ru.wikipedia.org/w/index.php?search=%D0%97%D0%B8%D0%BC%D0%B0%20%D0%B2%20%D1%80%D0%B0%D1%8E%201989%20%D1%84%D0%B8%D0%BB%D1%8C%D0%BC","искать")</f>
        <v/>
      </c>
      <c r="N47" s="3" t="n"/>
      <c r="O47" s="2" t="n"/>
      <c r="P47" s="2" t="n"/>
    </row>
    <row r="48">
      <c r="A48" s="2" t="n">
        <v>47</v>
      </c>
      <c r="B48" s="2" t="inlineStr">
        <is>
          <t>обрыв</t>
        </is>
      </c>
      <c r="C48" s="2" t="n">
        <v>8270</v>
      </c>
      <c r="D48" s="3" t="inlineStr">
        <is>
          <t>Ребячий патруль</t>
        </is>
      </c>
      <c r="E48" s="2" t="n">
        <v>1984</v>
      </c>
      <c r="F48" s="2" t="inlineStr">
        <is>
          <t>телефильм</t>
        </is>
      </c>
      <c r="G48" s="2" t="n"/>
      <c r="H48" s="2" t="n">
        <v>126</v>
      </c>
      <c r="I48" s="2" t="inlineStr">
        <is>
          <t>да</t>
        </is>
      </c>
      <c r="J48" s="2" t="inlineStr"/>
      <c r="K48" s="3" t="inlineStr">
        <is>
          <t>Телефильм. Поселковые ребята своими силами организуют патруль по борьбе с браконьерами, уничтожающими рыбу в местных озерах...</t>
        </is>
      </c>
      <c r="L48" s="2" t="inlineStr">
        <is>
          <t>Кино_СССР сводный каталог.xlsx: список телефильмов</t>
        </is>
      </c>
      <c r="M48" s="2">
        <f>HYPERLINK("https://ru.wikipedia.org/w/index.php?search=%D0%A0%D0%B5%D0%B1%D1%8F%D1%87%D0%B8%D0%B9%20%D0%BF%D0%B0%D1%82%D1%80%D1%83%D0%BB%D1%8C%201984%20%D1%84%D0%B8%D0%BB%D1%8C%D0%BC","искать")</f>
        <v/>
      </c>
      <c r="N48" s="3" t="n"/>
      <c r="O48" s="2" t="n"/>
      <c r="P48" s="2" t="n"/>
    </row>
    <row r="49">
      <c r="A49" s="2" t="n">
        <v>48</v>
      </c>
      <c r="B49" s="2" t="inlineStr">
        <is>
          <t>обрыв</t>
        </is>
      </c>
      <c r="C49" s="2" t="n">
        <v>8592</v>
      </c>
      <c r="D49" s="3" t="inlineStr">
        <is>
          <t>Эта весёлая планета</t>
        </is>
      </c>
      <c r="E49" s="2" t="n">
        <v>1973</v>
      </c>
      <c r="F49" s="2" t="inlineStr">
        <is>
          <t>телефильм</t>
        </is>
      </c>
      <c r="G49" s="2" t="inlineStr">
        <is>
          <t>Мосфильм</t>
        </is>
      </c>
      <c r="H49" s="2" t="n">
        <v>126</v>
      </c>
      <c r="I49" s="2" t="inlineStr">
        <is>
          <t>да</t>
        </is>
      </c>
      <c r="J49" s="2" t="inlineStr"/>
      <c r="K49" s="3" t="inlineStr">
        <is>
          <t>Телевизионная музыкальная фантастическая комедия о том, как на Землю прилетели инопланетяне и попали на встречу Нового года...</t>
        </is>
      </c>
      <c r="L49" s="2" t="inlineStr">
        <is>
          <t>Кино_СССР сводный каталог.xlsx: список телефильмов</t>
        </is>
      </c>
      <c r="M49" s="2">
        <f>HYPERLINK("https://ru.wikipedia.org/w/index.php?search=%D0%AD%D1%82%D0%B0%20%D0%B2%D0%B5%D1%81%D1%91%D0%BB%D0%B0%D1%8F%20%D0%BF%D0%BB%D0%B0%D0%BD%D0%B5%D1%82%D0%B0%201973%20%D1%84%D0%B8%D0%BB%D1%8C%D0%BC","искать")</f>
        <v/>
      </c>
      <c r="N49" s="3" t="n"/>
      <c r="O49" s="2" t="n"/>
      <c r="P49" s="2" t="n"/>
    </row>
    <row r="50">
      <c r="A50" s="2" t="n">
        <v>49</v>
      </c>
      <c r="B50" s="2" t="inlineStr">
        <is>
          <t>обрыв</t>
        </is>
      </c>
      <c r="C50" s="2" t="n">
        <v>10843</v>
      </c>
      <c r="D50" s="3" t="inlineStr">
        <is>
          <t>Ещё о войне</t>
        </is>
      </c>
      <c r="E50" s="2" t="n">
        <v>1980</v>
      </c>
      <c r="F50" s="2" t="inlineStr">
        <is>
          <t>фильм-спектакль</t>
        </is>
      </c>
      <c r="G50" s="2" t="inlineStr">
        <is>
          <t>Ленинградское телевидение</t>
        </is>
      </c>
      <c r="H50" s="2" t="n">
        <v>127</v>
      </c>
      <c r="I50" s="2" t="inlineStr">
        <is>
          <t>да</t>
        </is>
      </c>
      <c r="J50" s="2" t="inlineStr"/>
      <c r="K50" s="3" t="inlineStr">
        <is>
          <t>Телеспектакль по рассказу Виктор Конецкого.
Двое влюблённых и разгар войны. Володе и Марии предстоит узнать силу своей любви...</t>
        </is>
      </c>
      <c r="L50" s="2" t="inlineStr">
        <is>
          <t>https://www.kino-teatr.ru/teatr/movie/122798/annot/</t>
        </is>
      </c>
      <c r="M50" s="2">
        <f>HYPERLINK("https://ru.wikipedia.org/w/index.php?search=%D0%95%D1%89%D1%91%20%D0%BE%20%D0%B2%D0%BE%D0%B9%D0%BD%D0%B5%201980%20%D1%84%D0%B8%D0%BB%D1%8C%D0%BC","искать")</f>
        <v/>
      </c>
      <c r="N50" s="3" t="n"/>
      <c r="O50" s="2" t="n"/>
      <c r="P50" s="2" t="n"/>
    </row>
    <row r="51">
      <c r="A51" s="2" t="n">
        <v>50</v>
      </c>
      <c r="B51" s="2" t="inlineStr">
        <is>
          <t>обрыв</t>
        </is>
      </c>
      <c r="C51" s="2" t="n">
        <v>9130</v>
      </c>
      <c r="D51" s="3" t="inlineStr">
        <is>
          <t>Улыбнись соседу</t>
        </is>
      </c>
      <c r="E51" s="2" t="n">
        <v>1968</v>
      </c>
      <c r="F51" s="2" t="inlineStr">
        <is>
          <t>кинофильм</t>
        </is>
      </c>
      <c r="G51" s="2" t="n"/>
      <c r="H51" s="2" t="n">
        <v>129</v>
      </c>
      <c r="I51" s="2" t="inlineStr">
        <is>
          <t>да</t>
        </is>
      </c>
      <c r="J51" s="2" t="inlineStr">
        <is>
          <t>да</t>
        </is>
      </c>
      <c r="K51" s="3" t="inlineStr">
        <is>
          <t>О том, как складывались отношения семьи Ивановых, получившей новую квартиру в доме, где жили певцы, музыканты, артисты эстрады...</t>
        </is>
      </c>
      <c r="L51" s="2" t="inlineStr">
        <is>
          <t>Кино_СССР сводный каталог.xlsx: список фильмов (доп.)</t>
        </is>
      </c>
      <c r="M51" s="2">
        <f>HYPERLINK("https://ru.wikipedia.org/w/index.php?search=%D0%A3%D0%BB%D1%8B%D0%B1%D0%BD%D0%B8%D1%81%D1%8C%20%D1%81%D0%BE%D1%81%D0%B5%D0%B4%D1%83%201968%20%D1%84%D0%B8%D0%BB%D1%8C%D0%BC","искать")</f>
        <v/>
      </c>
      <c r="N51" s="3" t="n"/>
      <c r="O51" s="2" t="n"/>
      <c r="P51" s="2" t="n"/>
    </row>
    <row r="52">
      <c r="A52" s="2" t="n">
        <v>51</v>
      </c>
      <c r="B52" s="2" t="inlineStr">
        <is>
          <t>обрыв</t>
        </is>
      </c>
      <c r="C52" s="2" t="n">
        <v>8657</v>
      </c>
      <c r="D52" s="3" t="inlineStr">
        <is>
          <t>Вне</t>
        </is>
      </c>
      <c r="E52" s="2" t="n">
        <v>1991</v>
      </c>
      <c r="F52" s="2" t="inlineStr">
        <is>
          <t>кинофильм</t>
        </is>
      </c>
      <c r="G52" s="2" t="n"/>
      <c r="H52" s="2" t="n">
        <v>130</v>
      </c>
      <c r="I52" s="2" t="inlineStr">
        <is>
          <t>да</t>
        </is>
      </c>
      <c r="J52" s="2" t="inlineStr"/>
      <c r="K52" s="3" t="inlineStr">
        <is>
          <t>Герой фильма, без убеждений и принципов, не следующий никаким правилам, в конце концов приходит к тому, что предает самого себя...</t>
        </is>
      </c>
      <c r="L52" s="2" t="inlineStr">
        <is>
          <t>Кино_СССР сводный каталог.xlsx: список фильмов (доп.)</t>
        </is>
      </c>
      <c r="M52" s="2">
        <f>HYPERLINK("https://ru.wikipedia.org/w/index.php?search=%D0%92%D0%BD%D0%B5%201991%20%D1%84%D0%B8%D0%BB%D1%8C%D0%BC","искать")</f>
        <v/>
      </c>
      <c r="N52" s="3" t="n"/>
      <c r="O52" s="2" t="n"/>
      <c r="P52" s="2" t="n"/>
    </row>
    <row r="53">
      <c r="A53" s="2" t="n">
        <v>52</v>
      </c>
      <c r="B53" s="2" t="inlineStr">
        <is>
          <t>обрыв</t>
        </is>
      </c>
      <c r="C53" s="2" t="n">
        <v>10176</v>
      </c>
      <c r="D53" s="3" t="inlineStr">
        <is>
          <t>Тебе, юность!</t>
        </is>
      </c>
      <c r="E53" s="2" t="n">
        <v>1966</v>
      </c>
      <c r="F53" s="2" t="inlineStr">
        <is>
          <t>фильм-спектакль</t>
        </is>
      </c>
      <c r="G53" s="2" t="n"/>
      <c r="H53" s="2" t="n">
        <v>130</v>
      </c>
      <c r="I53" s="2" t="inlineStr">
        <is>
          <t>да</t>
        </is>
      </c>
      <c r="J53" s="2" t="inlineStr"/>
      <c r="K53" s="3" t="inlineStr">
        <is>
          <t>Рассказ о подготовке старшеклассников к новогоднему вечеру и о том, что может получиться, если за дело возьмется не тот человек...</t>
        </is>
      </c>
      <c r="L53" s="2" t="inlineStr">
        <is>
          <t>https://www.kino-teatr.ru/teatr/movie/135086/annot/</t>
        </is>
      </c>
      <c r="M53" s="2">
        <f>HYPERLINK("https://ru.wikipedia.org/w/index.php?search=%D0%A2%D0%B5%D0%B1%D0%B5%2C%20%D1%8E%D0%BD%D0%BE%D1%81%D1%82%D1%8C%21%201966%20%D1%84%D0%B8%D0%BB%D1%8C%D0%BC","искать")</f>
        <v/>
      </c>
      <c r="N53" s="3" t="n"/>
      <c r="O53" s="2" t="n"/>
      <c r="P53" s="2" t="n"/>
    </row>
    <row r="54">
      <c r="A54" s="2" t="n">
        <v>53</v>
      </c>
      <c r="B54" s="2" t="inlineStr">
        <is>
          <t>обрыв</t>
        </is>
      </c>
      <c r="C54" s="2" t="n">
        <v>9367</v>
      </c>
      <c r="D54" s="3" t="inlineStr">
        <is>
          <t>Заговор</t>
        </is>
      </c>
      <c r="E54" s="2" t="n">
        <v>1989</v>
      </c>
      <c r="F54" s="2" t="inlineStr">
        <is>
          <t>кинофильм</t>
        </is>
      </c>
      <c r="G54" s="2" t="n"/>
      <c r="H54" s="2" t="n">
        <v>133</v>
      </c>
      <c r="I54" s="2" t="inlineStr">
        <is>
          <t>да</t>
        </is>
      </c>
      <c r="J54" s="2" t="inlineStr"/>
      <c r="K54" s="3" t="inlineStr">
        <is>
          <t>Калман, освобожденный по амнистии из колонии, оказывается единственным, кто приходит на помощь женщине, у которой похитили ребенка...</t>
        </is>
      </c>
      <c r="L54" s="2" t="inlineStr">
        <is>
          <t>Кино_СССР сводный каталог.xlsx: список фильмов (доп.)</t>
        </is>
      </c>
      <c r="M54" s="2">
        <f>HYPERLINK("https://ru.wikipedia.org/w/index.php?search=%D0%97%D0%B0%D0%B3%D0%BE%D0%B2%D0%BE%D1%80%201989%20%D1%84%D0%B8%D0%BB%D1%8C%D0%BC","искать")</f>
        <v/>
      </c>
      <c r="N54" s="3" t="n"/>
      <c r="O54" s="2" t="n"/>
      <c r="P54" s="2" t="n"/>
    </row>
    <row r="55">
      <c r="A55" s="2" t="n">
        <v>54</v>
      </c>
      <c r="B55" s="2" t="inlineStr">
        <is>
          <t>обрыв</t>
        </is>
      </c>
      <c r="C55" s="2" t="n">
        <v>8237</v>
      </c>
      <c r="D55" s="3" t="inlineStr">
        <is>
          <t>Пространство для манёвра</t>
        </is>
      </c>
      <c r="E55" s="2" t="n">
        <v>1982</v>
      </c>
      <c r="F55" s="2" t="inlineStr">
        <is>
          <t>телефильм</t>
        </is>
      </c>
      <c r="G55" s="2" t="n"/>
      <c r="H55" s="2" t="n">
        <v>134</v>
      </c>
      <c r="I55" s="2" t="inlineStr">
        <is>
          <t>да</t>
        </is>
      </c>
      <c r="J55" s="2" t="inlineStr"/>
      <c r="K55" s="3" t="inlineStr">
        <is>
          <t>По одноименной повести Юрия Чернякова. В конструкторское бюро приходит новый руководитель, нестандартно мыслящий, отметающий рутину...</t>
        </is>
      </c>
      <c r="L55" s="2" t="inlineStr">
        <is>
          <t>Кино_СССР сводный каталог.xlsx: список телефильмов</t>
        </is>
      </c>
      <c r="M55" s="2">
        <f>HYPERLINK("https://ru.wikipedia.org/w/index.php?search=%D0%9F%D1%80%D0%BE%D1%81%D1%82%D1%80%D0%B0%D0%BD%D1%81%D1%82%D0%B2%D0%BE%20%D0%B4%D0%BB%D1%8F%20%D0%BC%D0%B0%D0%BD%D1%91%D0%B2%D1%80%D0%B0%201982%20%D1%84%D0%B8%D0%BB%D1%8C%D0%BC","искать")</f>
        <v/>
      </c>
      <c r="N55" s="3" t="n"/>
      <c r="O55" s="2" t="n"/>
      <c r="P55" s="2" t="n"/>
    </row>
    <row r="56">
      <c r="A56" s="2" t="n">
        <v>55</v>
      </c>
      <c r="B56" s="2" t="inlineStr">
        <is>
          <t>обрыв</t>
        </is>
      </c>
      <c r="C56" s="2" t="n">
        <v>8776</v>
      </c>
      <c r="D56" s="3" t="inlineStr">
        <is>
          <t>Кошечка</t>
        </is>
      </c>
      <c r="E56" s="2" t="n">
        <v>1991</v>
      </c>
      <c r="F56" s="2" t="inlineStr">
        <is>
          <t>кинофильм</t>
        </is>
      </c>
      <c r="G56" s="2" t="n"/>
      <c r="H56" s="2" t="n">
        <v>134</v>
      </c>
      <c r="I56" s="2" t="inlineStr">
        <is>
          <t>да</t>
        </is>
      </c>
      <c r="J56" s="2" t="inlineStr"/>
      <c r="K56" s="3" t="inlineStr">
        <is>
          <t>Крутой супермен с мешком денег снимает самый шикарный номер в приморском отеле. Он может купить все, но ему нужно только одно - она...</t>
        </is>
      </c>
      <c r="L56" s="2" t="inlineStr">
        <is>
          <t>Кино_СССР сводный каталог.xlsx: список фильмов (доп.)</t>
        </is>
      </c>
      <c r="M56" s="2">
        <f>HYPERLINK("https://ru.wikipedia.org/w/index.php?search=%D0%9A%D0%BE%D1%88%D0%B5%D1%87%D0%BA%D0%B0%201991%20%D1%84%D0%B8%D0%BB%D1%8C%D0%BC","искать")</f>
        <v/>
      </c>
      <c r="N56" s="3" t="n"/>
      <c r="O56" s="2" t="n"/>
      <c r="P56" s="2" t="n"/>
    </row>
    <row r="57">
      <c r="A57" s="2" t="n">
        <v>56</v>
      </c>
      <c r="B57" s="2" t="inlineStr">
        <is>
          <t>обрыв</t>
        </is>
      </c>
      <c r="C57" s="2" t="n">
        <v>13925</v>
      </c>
      <c r="D57" s="3" t="inlineStr">
        <is>
          <t>Телеманы</t>
        </is>
      </c>
      <c r="E57" s="2" t="n">
        <v>1988</v>
      </c>
      <c r="F57" s="2" t="inlineStr">
        <is>
          <t>мультфильм</t>
        </is>
      </c>
      <c r="G57" s="2" t="inlineStr">
        <is>
          <t>ЭКРАН</t>
        </is>
      </c>
      <c r="H57" s="2" t="n">
        <v>137</v>
      </c>
      <c r="I57" s="2" t="inlineStr">
        <is>
          <t>да</t>
        </is>
      </c>
      <c r="J57" s="2" t="inlineStr">
        <is>
          <t>да</t>
        </is>
      </c>
      <c r="K57" s="3" t="inlineStr">
        <is>
          <t>Мультфильм о том, как в современном мире телевизор заменяет человеку все. Главное чтобы телевизор был исправный и шла любимая передача...</t>
        </is>
      </c>
      <c r="L57" s="2" t="inlineStr">
        <is>
          <t>2026-10_мультфильмы_список_владельца.xlsx; https://animator.ru/db/?p=show_film&amp;fid=5319</t>
        </is>
      </c>
      <c r="M57" s="2">
        <f>HYPERLINK("https://ru.wikipedia.org/w/index.php?search=%D0%A2%D0%B5%D0%BB%D0%B5%D0%BC%D0%B0%D0%BD%D1%8B%201988%20%D1%84%D0%B8%D0%BB%D1%8C%D0%BC","искать")</f>
        <v/>
      </c>
      <c r="N57" s="3" t="n"/>
      <c r="O57" s="2" t="n"/>
      <c r="P57" s="2" t="n"/>
    </row>
    <row r="58">
      <c r="A58" s="2" t="n">
        <v>57</v>
      </c>
      <c r="B58" s="2" t="inlineStr">
        <is>
          <t>обрыв</t>
        </is>
      </c>
      <c r="C58" s="2" t="n">
        <v>9357</v>
      </c>
      <c r="D58" s="3" t="inlineStr">
        <is>
          <t>Женский день</t>
        </is>
      </c>
      <c r="E58" s="2" t="n">
        <v>1990</v>
      </c>
      <c r="F58" s="2" t="inlineStr">
        <is>
          <t>кинофильм</t>
        </is>
      </c>
      <c r="G58" s="2" t="n"/>
      <c r="H58" s="2" t="n">
        <v>138</v>
      </c>
      <c r="I58" s="2" t="inlineStr">
        <is>
          <t>да</t>
        </is>
      </c>
      <c r="J58" s="2" t="inlineStr"/>
      <c r="K58" s="3" t="inlineStr">
        <is>
          <t>О современной женщине, её борьбе за лидерство на работе и дома, в результате чего проходит любовь, распадается семья. Она остается одна...</t>
        </is>
      </c>
      <c r="L58" s="2" t="inlineStr">
        <is>
          <t>Кино_СССР сводный каталог.xlsx: список фильмов (доп.)</t>
        </is>
      </c>
      <c r="M58" s="2">
        <f>HYPERLINK("https://ru.wikipedia.org/w/index.php?search=%D0%96%D0%B5%D0%BD%D1%81%D0%BA%D0%B8%D0%B9%20%D0%B4%D0%B5%D0%BD%D1%8C%201990%20%D1%84%D0%B8%D0%BB%D1%8C%D0%BC","искать")</f>
        <v/>
      </c>
      <c r="N58" s="3" t="n"/>
      <c r="O58" s="2" t="n"/>
      <c r="P58" s="2" t="n"/>
    </row>
    <row r="59">
      <c r="A59" s="2" t="n">
        <v>58</v>
      </c>
      <c r="B59" s="2" t="inlineStr">
        <is>
          <t>обрыв</t>
        </is>
      </c>
      <c r="C59" s="2" t="n">
        <v>12280</v>
      </c>
      <c r="D59" s="3" t="inlineStr">
        <is>
          <t>Крылатый, Мохнатый, Масляный</t>
        </is>
      </c>
      <c r="E59" s="2" t="n">
        <v>1990</v>
      </c>
      <c r="F59" s="2" t="inlineStr">
        <is>
          <t>мультфильм</t>
        </is>
      </c>
      <c r="G59" s="2" t="inlineStr">
        <is>
          <t>Союзмультфильм</t>
        </is>
      </c>
      <c r="H59" s="2" t="n">
        <v>138</v>
      </c>
      <c r="I59" s="2" t="inlineStr">
        <is>
          <t>да</t>
        </is>
      </c>
      <c r="J59" s="2" t="inlineStr"/>
      <c r="K59" s="3" t="inlineStr">
        <is>
          <t>По мотивам русской народной сказки в обработке И.Карнауховой.
Жили-были три братца: Воробей крылатый, Мышонок мохнатый да Блин масляный...</t>
        </is>
      </c>
      <c r="L59" s="2" t="inlineStr">
        <is>
          <t>https://animator.ru/db/?p=show_film&amp;fid=3397</t>
        </is>
      </c>
      <c r="M59" s="2">
        <f>HYPERLINK("https://ru.wikipedia.org/w/index.php?search=%D0%9A%D1%80%D1%8B%D0%BB%D0%B0%D1%82%D1%8B%D0%B9%2C%20%D0%9C%D0%BE%D1%85%D0%BD%D0%B0%D1%82%D1%8B%D0%B9%2C%20%D0%9C%D0%B0%D1%81%D0%BB%D1%8F%D0%BD%D1%8B%D0%B9%201990%20%D1%84%D0%B8%D0%BB%D1%8C%D0%BC","искать")</f>
        <v/>
      </c>
      <c r="N59" s="3" t="n"/>
      <c r="O59" s="2" t="n"/>
      <c r="P59" s="2" t="n"/>
    </row>
    <row r="60">
      <c r="A60" s="2" t="n">
        <v>59</v>
      </c>
      <c r="B60" s="2" t="inlineStr">
        <is>
          <t>обрыв</t>
        </is>
      </c>
      <c r="C60" s="2" t="n">
        <v>7228</v>
      </c>
      <c r="D60" s="3" t="inlineStr">
        <is>
          <t>Ах, любовь!..</t>
        </is>
      </c>
      <c r="E60" s="2" t="n">
        <v>1977</v>
      </c>
      <c r="F60" s="2" t="inlineStr">
        <is>
          <t>телефильм</t>
        </is>
      </c>
      <c r="G60" s="2" t="n"/>
      <c r="H60" s="2" t="n">
        <v>140</v>
      </c>
      <c r="I60" s="2" t="inlineStr">
        <is>
          <t>да</t>
        </is>
      </c>
      <c r="J60" s="2" t="inlineStr">
        <is>
          <t>да</t>
        </is>
      </c>
      <c r="K60" s="3" t="inlineStr">
        <is>
          <t>Телефильм. Рассказ о незатейливом, но очень сердобольном почтальоне Бицко, который сердечно переживает радости и печали своих односельчан...</t>
        </is>
      </c>
      <c r="L60" s="2" t="inlineStr">
        <is>
          <t>Кино_СССР сводный каталог.xlsx: список телефильмов</t>
        </is>
      </c>
      <c r="M60" s="2">
        <f>HYPERLINK("https://ru.wikipedia.org/w/index.php?search=%D0%90%D1%85%2C%20%D0%BB%D1%8E%D0%B1%D0%BE%D0%B2%D1%8C%21..%201977%20%D1%84%D0%B8%D0%BB%D1%8C%D0%BC","искать")</f>
        <v/>
      </c>
      <c r="N60" s="3" t="n"/>
      <c r="O60" s="2" t="n"/>
      <c r="P60" s="2" t="n"/>
    </row>
    <row r="61">
      <c r="A61" s="2" t="n">
        <v>60</v>
      </c>
      <c r="B61" s="2" t="inlineStr">
        <is>
          <t>обрыв</t>
        </is>
      </c>
      <c r="C61" s="2" t="n">
        <v>7522</v>
      </c>
      <c r="D61" s="3" t="inlineStr">
        <is>
          <t>До луны рукой подать</t>
        </is>
      </c>
      <c r="E61" s="2" t="n">
        <v>1986</v>
      </c>
      <c r="F61" s="2" t="inlineStr">
        <is>
          <t>телефильм</t>
        </is>
      </c>
      <c r="G61" s="2" t="n"/>
      <c r="H61" s="2" t="n">
        <v>142</v>
      </c>
      <c r="I61" s="2" t="inlineStr">
        <is>
          <t>да</t>
        </is>
      </c>
      <c r="J61" s="2" t="inlineStr"/>
      <c r="K61" s="3" t="inlineStr">
        <is>
          <t>ახალი არკადია Смешная и в то же время грустная история о том, как два пенсионера приютили заблудшую корову на девятом этаже городского дома...</t>
        </is>
      </c>
      <c r="L61" s="2" t="inlineStr">
        <is>
          <t>Кино_СССР сводный каталог.xlsx: список телефильмов</t>
        </is>
      </c>
      <c r="M61" s="2">
        <f>HYPERLINK("https://ru.wikipedia.org/w/index.php?search=%D0%94%D0%BE%20%D0%BB%D1%83%D0%BD%D1%8B%20%D1%80%D1%83%D0%BA%D0%BE%D0%B9%20%D0%BF%D0%BE%D0%B4%D0%B0%D1%82%D1%8C%201986%20%D1%84%D0%B8%D0%BB%D1%8C%D0%BC","искать")</f>
        <v/>
      </c>
      <c r="N61" s="3" t="n"/>
      <c r="O61" s="2" t="n"/>
      <c r="P61" s="2" t="n"/>
    </row>
    <row r="62">
      <c r="A62" s="2" t="n">
        <v>61</v>
      </c>
      <c r="B62" s="2" t="inlineStr">
        <is>
          <t>обрыв</t>
        </is>
      </c>
      <c r="C62" s="2" t="n">
        <v>8905</v>
      </c>
      <c r="D62" s="3" t="inlineStr">
        <is>
          <t>Остров змей</t>
        </is>
      </c>
      <c r="E62" s="2" t="n">
        <v>1991</v>
      </c>
      <c r="F62" s="2" t="inlineStr">
        <is>
          <t>кинофильм</t>
        </is>
      </c>
      <c r="G62" s="2" t="n"/>
      <c r="H62" s="2" t="n">
        <v>142</v>
      </c>
      <c r="I62" s="2" t="inlineStr">
        <is>
          <t>да</t>
        </is>
      </c>
      <c r="J62" s="2" t="inlineStr"/>
      <c r="K62" s="3" t="inlineStr">
        <is>
          <t>Героиня фильма, Жерген, бежит из дома, попадая при этом в самые различные ситуации, её молодой человек Бегли отправляется на поиски девушки...</t>
        </is>
      </c>
      <c r="L62" s="2" t="inlineStr">
        <is>
          <t>Кино_СССР сводный каталог.xlsx: список фильмов (доп.)</t>
        </is>
      </c>
      <c r="M62" s="2">
        <f>HYPERLINK("https://ru.wikipedia.org/w/index.php?search=%D0%9E%D1%81%D1%82%D1%80%D0%BE%D0%B2%20%D0%B7%D0%BC%D0%B5%D0%B9%201991%20%D1%84%D0%B8%D0%BB%D1%8C%D0%BC","искать")</f>
        <v/>
      </c>
      <c r="N62" s="3" t="n"/>
      <c r="O62" s="2" t="n"/>
      <c r="P62" s="2" t="n"/>
    </row>
    <row r="63">
      <c r="A63" s="2" t="n">
        <v>62</v>
      </c>
      <c r="B63" s="2" t="inlineStr">
        <is>
          <t>обрыв</t>
        </is>
      </c>
      <c r="C63" s="2" t="n">
        <v>12743</v>
      </c>
      <c r="D63" s="3" t="inlineStr">
        <is>
          <t>Как медвежата китов кормили</t>
        </is>
      </c>
      <c r="E63" s="2" t="n">
        <v>1975</v>
      </c>
      <c r="F63" s="2" t="inlineStr">
        <is>
          <t>мультфильм</t>
        </is>
      </c>
      <c r="G63" s="2" t="inlineStr">
        <is>
          <t>АРМЕНФИЛЬМ</t>
        </is>
      </c>
      <c r="H63" s="2" t="n">
        <v>144</v>
      </c>
      <c r="I63" s="2" t="inlineStr">
        <is>
          <t>да</t>
        </is>
      </c>
      <c r="J63" s="2" t="inlineStr"/>
      <c r="K63" s="3" t="inlineStr">
        <is>
          <t>Решили два медвежонка покормить кита, но вот беда - они его никогда не видели. Этим решила воспользоваться морская черепаха, выдав себя за кита…</t>
        </is>
      </c>
      <c r="L63" s="2" t="inlineStr">
        <is>
          <t>2026-10_мультфильмы_список_владельца.xlsx; https://animator.ru/db/?p=show_film&amp;fid=3952</t>
        </is>
      </c>
      <c r="M63" s="2">
        <f>HYPERLINK("https://ru.wikipedia.org/w/index.php?search=%D0%9A%D0%B0%D0%BA%20%D0%BC%D0%B5%D0%B4%D0%B2%D0%B5%D0%B6%D0%B0%D1%82%D0%B0%20%D0%BA%D0%B8%D1%82%D0%BE%D0%B2%20%D0%BA%D0%BE%D1%80%D0%BC%D0%B8%D0%BB%D0%B8%201975%20%D1%84%D0%B8%D0%BB%D1%8C%D0%BC","искать")</f>
        <v/>
      </c>
      <c r="N63" s="3" t="n"/>
      <c r="O63" s="2" t="n"/>
      <c r="P63" s="2" t="n"/>
    </row>
    <row r="64">
      <c r="A64" s="2" t="n">
        <v>63</v>
      </c>
      <c r="B64" s="2" t="inlineStr">
        <is>
          <t>обрыв</t>
        </is>
      </c>
      <c r="C64" s="2" t="n">
        <v>7860</v>
      </c>
      <c r="D64" s="3" t="inlineStr">
        <is>
          <t>Медвежонок</t>
        </is>
      </c>
      <c r="E64" s="2" t="n">
        <v>1981</v>
      </c>
      <c r="F64" s="2" t="inlineStr">
        <is>
          <t>телефильм</t>
        </is>
      </c>
      <c r="G64" s="2" t="inlineStr">
        <is>
          <t>Киевнаучфильм</t>
        </is>
      </c>
      <c r="H64" s="2" t="n">
        <v>145</v>
      </c>
      <c r="I64" s="2" t="inlineStr">
        <is>
          <t>да</t>
        </is>
      </c>
      <c r="J64" s="2" t="inlineStr"/>
      <c r="K64" s="3" t="inlineStr">
        <is>
          <t>По одноименной повести С.Сергеева-Ценского. В доме полковника царской армии Алпатова появляется медвежонок Миш-Миш и становится любимцем семьи...</t>
        </is>
      </c>
      <c r="L64" s="2" t="inlineStr">
        <is>
          <t>Кино_СССР сводный каталог.xlsx: список телефильмов</t>
        </is>
      </c>
      <c r="M64" s="2">
        <f>HYPERLINK("https://ru.wikipedia.org/w/index.php?search=%D0%9C%D0%B5%D0%B4%D0%B2%D0%B5%D0%B6%D0%BE%D0%BD%D0%BE%D0%BA%201981%20%D1%84%D0%B8%D0%BB%D1%8C%D0%BC","искать")</f>
        <v/>
      </c>
      <c r="N64" s="3" t="n"/>
      <c r="O64" s="2" t="n"/>
      <c r="P64" s="2" t="n"/>
    </row>
    <row r="65">
      <c r="A65" s="2" t="n">
        <v>64</v>
      </c>
      <c r="B65" s="2" t="inlineStr">
        <is>
          <t>обрыв</t>
        </is>
      </c>
      <c r="C65" s="2" t="n">
        <v>8018</v>
      </c>
      <c r="D65" s="3" t="inlineStr">
        <is>
          <t>О тебе</t>
        </is>
      </c>
      <c r="E65" s="2" t="n">
        <v>1981</v>
      </c>
      <c r="F65" s="2" t="inlineStr">
        <is>
          <t>телефильм</t>
        </is>
      </c>
      <c r="G65" s="2" t="inlineStr">
        <is>
          <t>ТО «Экран»</t>
        </is>
      </c>
      <c r="H65" s="2" t="n">
        <v>145</v>
      </c>
      <c r="I65" s="2" t="inlineStr">
        <is>
          <t>да</t>
        </is>
      </c>
      <c r="J65" s="2" t="inlineStr">
        <is>
          <t>да</t>
        </is>
      </c>
      <c r="K65" s="3" t="inlineStr">
        <is>
          <t>Героиня этой не вполне реальной истории родилась с необычайным талантом: вместо того, чтобы говорить, она поет - поет всегда, везде и при всех...</t>
        </is>
      </c>
      <c r="L65" s="2" t="inlineStr">
        <is>
          <t>Кино_СССР сводный каталог.xlsx: список телефильмов</t>
        </is>
      </c>
      <c r="M65" s="2">
        <f>HYPERLINK("https://ru.wikipedia.org/w/index.php?search=%D0%9E%20%D1%82%D0%B5%D0%B1%D0%B5%201981%20%D1%84%D0%B8%D0%BB%D1%8C%D0%BC","искать")</f>
        <v/>
      </c>
      <c r="N65" s="3" t="n"/>
      <c r="O65" s="2" t="n"/>
      <c r="P65" s="2" t="n"/>
    </row>
    <row r="66">
      <c r="A66" s="2" t="n">
        <v>65</v>
      </c>
      <c r="B66" s="2" t="inlineStr">
        <is>
          <t>обрыв</t>
        </is>
      </c>
      <c r="C66" s="2" t="n">
        <v>10323</v>
      </c>
      <c r="D66" s="3" t="inlineStr">
        <is>
          <t>Пещерные люди</t>
        </is>
      </c>
      <c r="E66" s="2" t="n">
        <v>1969</v>
      </c>
      <c r="F66" s="2" t="inlineStr">
        <is>
          <t>фильм-спектакль</t>
        </is>
      </c>
      <c r="G66" s="2" t="inlineStr">
        <is>
          <t>Главная редакция литературно-драматических программ</t>
        </is>
      </c>
      <c r="H66" s="2" t="n">
        <v>146</v>
      </c>
      <c r="I66" s="2" t="inlineStr">
        <is>
          <t>да</t>
        </is>
      </c>
      <c r="J66" s="2" t="inlineStr"/>
      <c r="K66" s="3" t="inlineStr">
        <is>
          <t>По одноименной пьесе американского писателя Уильяма Сарояна.
В жизни обнищавших актеров, живущих в брошенном доме, появляется бездомная девушка...</t>
        </is>
      </c>
      <c r="L66" s="2" t="inlineStr">
        <is>
          <t>https://www.kino-teatr.ru/teatr/movie/93048/annot/</t>
        </is>
      </c>
      <c r="M66" s="2">
        <f>HYPERLINK("https://ru.wikipedia.org/w/index.php?search=%D0%9F%D0%B5%D1%89%D0%B5%D1%80%D0%BD%D1%8B%D0%B5%20%D0%BB%D1%8E%D0%B4%D0%B8%201969%20%D1%84%D0%B8%D0%BB%D1%8C%D0%BC","искать")</f>
        <v/>
      </c>
      <c r="N66" s="3" t="n"/>
      <c r="O66" s="2" t="n"/>
      <c r="P66" s="2" t="n"/>
    </row>
    <row r="67">
      <c r="A67" s="2" t="n">
        <v>66</v>
      </c>
      <c r="B67" s="2" t="inlineStr">
        <is>
          <t>обрыв</t>
        </is>
      </c>
      <c r="C67" s="2" t="n">
        <v>10199</v>
      </c>
      <c r="D67" s="3" t="inlineStr">
        <is>
          <t>Ключ от пропасти</t>
        </is>
      </c>
      <c r="E67" s="2" t="n">
        <v>1967</v>
      </c>
      <c r="F67" s="2" t="inlineStr">
        <is>
          <t>фильм-спектакль</t>
        </is>
      </c>
      <c r="G67" s="2" t="inlineStr">
        <is>
          <t>Ленинградское телевидение</t>
        </is>
      </c>
      <c r="H67" s="2" t="n">
        <v>147</v>
      </c>
      <c r="I67" s="2" t="inlineStr">
        <is>
          <t>да</t>
        </is>
      </c>
      <c r="J67" s="2" t="inlineStr"/>
      <c r="K67" s="3" t="inlineStr">
        <is>
          <t>По пьесе Кшиштофа Грущинского.
Человек, сбросивший бомбу на Хиросиму, хочет уйти в монахи. Чтобы отговорить его, вся семья приезжает в монастырь...</t>
        </is>
      </c>
      <c r="L67" s="2" t="inlineStr">
        <is>
          <t>https://www.kino-teatr.ru/teatr/movie/117298/annot/</t>
        </is>
      </c>
      <c r="M67" s="2">
        <f>HYPERLINK("https://ru.wikipedia.org/w/index.php?search=%D0%9A%D0%BB%D1%8E%D1%87%20%D0%BE%D1%82%20%D0%BF%D1%80%D0%BE%D0%BF%D0%B0%D1%81%D1%82%D0%B8%201967%20%D1%84%D0%B8%D0%BB%D1%8C%D0%BC","искать")</f>
        <v/>
      </c>
      <c r="N67" s="3" t="n"/>
      <c r="O67" s="2" t="n"/>
      <c r="P67" s="2" t="n"/>
    </row>
    <row r="68">
      <c r="A68" s="2" t="n">
        <v>67</v>
      </c>
      <c r="B68" s="2" t="inlineStr">
        <is>
          <t>обрыв</t>
        </is>
      </c>
      <c r="C68" s="2" t="n">
        <v>11081</v>
      </c>
      <c r="D68" s="3" t="inlineStr">
        <is>
          <t>Смерть коммивояжёра</t>
        </is>
      </c>
      <c r="E68" s="2" t="n">
        <v>1985</v>
      </c>
      <c r="F68" s="2" t="inlineStr">
        <is>
          <t>фильм-спектакль</t>
        </is>
      </c>
      <c r="G68" s="2" t="inlineStr">
        <is>
          <t>Болгарское телевидение</t>
        </is>
      </c>
      <c r="H68" s="2" t="n">
        <v>147</v>
      </c>
      <c r="I68" s="2" t="inlineStr">
        <is>
          <t>да</t>
        </is>
      </c>
      <c r="J68" s="2" t="inlineStr"/>
      <c r="K68" s="3" t="inlineStr">
        <is>
          <t>Телевизионная постановка пьесы американского писателя Артура Миллера.
Вилли Ломан, неудачливый коммивояжёр, подводит печальные итоги своей жизни...</t>
        </is>
      </c>
      <c r="L68" s="2" t="inlineStr">
        <is>
          <t>https://www.kino-teatr.ru/teatr/movie/173594/annot/</t>
        </is>
      </c>
      <c r="M68" s="2">
        <f>HYPERLINK("https://ru.wikipedia.org/w/index.php?search=%D0%A1%D0%BC%D0%B5%D1%80%D1%82%D1%8C%20%D0%BA%D0%BE%D0%BC%D0%BC%D0%B8%D0%B2%D0%BE%D1%8F%D0%B6%D1%91%D1%80%D0%B0%201985%20%D1%84%D0%B8%D0%BB%D1%8C%D0%BC","искать")</f>
        <v/>
      </c>
      <c r="N68" s="3" t="n"/>
      <c r="O68" s="2" t="n"/>
      <c r="P68" s="2" t="n"/>
    </row>
    <row r="69">
      <c r="A69" s="2" t="n">
        <v>68</v>
      </c>
      <c r="B69" s="2" t="inlineStr">
        <is>
          <t>обрыв</t>
        </is>
      </c>
      <c r="C69" s="2" t="n">
        <v>9942</v>
      </c>
      <c r="D69" s="3" t="inlineStr">
        <is>
          <t>Лабиринт</t>
        </is>
      </c>
      <c r="E69" s="2" t="n">
        <v>1979</v>
      </c>
      <c r="F69" s="2" t="inlineStr">
        <is>
          <t>кинофильм</t>
        </is>
      </c>
      <c r="G69" s="2" t="inlineStr">
        <is>
          <t>Учебная студия ВГИК</t>
        </is>
      </c>
      <c r="H69" s="2" t="n">
        <v>148</v>
      </c>
      <c r="I69" s="2" t="inlineStr">
        <is>
          <t>да</t>
        </is>
      </c>
      <c r="J69" s="2" t="inlineStr"/>
      <c r="K69" s="3" t="inlineStr">
        <is>
          <t>Курсовая работа ВГИК режиссера Евгения Марковского.
Главный герой попадает в таинственную деревню, и его мысли постоянно возвращают его в детство...</t>
        </is>
      </c>
      <c r="L69" s="2" t="inlineStr">
        <is>
          <t>https://www.kino-teatr.ru/short/movie/sov/99134/annot/</t>
        </is>
      </c>
      <c r="M69" s="2">
        <f>HYPERLINK("https://ru.wikipedia.org/w/index.php?search=%D0%9B%D0%B0%D0%B1%D0%B8%D1%80%D0%B8%D0%BD%D1%82%201979%20%D1%84%D0%B8%D0%BB%D1%8C%D0%BC","искать")</f>
        <v/>
      </c>
      <c r="N69" s="3" t="n"/>
      <c r="O69" s="2" t="n"/>
      <c r="P69" s="2" t="n"/>
    </row>
    <row r="70">
      <c r="A70" s="2" t="n">
        <v>69</v>
      </c>
      <c r="B70" s="2" t="inlineStr">
        <is>
          <t>обрыв</t>
        </is>
      </c>
      <c r="C70" s="2" t="n">
        <v>10143</v>
      </c>
      <c r="D70" s="3" t="inlineStr">
        <is>
          <t>Комната</t>
        </is>
      </c>
      <c r="E70" s="2" t="n">
        <v>1965</v>
      </c>
      <c r="F70" s="2" t="inlineStr">
        <is>
          <t>фильм-спектакль</t>
        </is>
      </c>
      <c r="G70" s="2" t="inlineStr">
        <is>
          <t>Центральное телевидение</t>
        </is>
      </c>
      <c r="H70" s="2" t="n">
        <v>150</v>
      </c>
      <c r="I70" s="2" t="inlineStr">
        <is>
          <t>да</t>
        </is>
      </c>
      <c r="J70" s="2" t="inlineStr"/>
      <c r="K70" s="3" t="inlineStr">
        <is>
          <t>По пьесе Бориса Ермолаева.
Двое любят друг друга и хотят жить вместе, но им негде. И тут у них появляется комната. Друзья решают отметить это событие…</t>
        </is>
      </c>
      <c r="L70" s="2" t="inlineStr">
        <is>
          <t>https://www.kino-teatr.ru/teatr/movie/136076/annot/</t>
        </is>
      </c>
      <c r="M70" s="2">
        <f>HYPERLINK("https://ru.wikipedia.org/w/index.php?search=%D0%9A%D0%BE%D0%BC%D0%BD%D0%B0%D1%82%D0%B0%201965%20%D1%84%D0%B8%D0%BB%D1%8C%D0%BC","искать")</f>
        <v/>
      </c>
      <c r="N70" s="3" t="n"/>
      <c r="O70" s="2" t="n"/>
      <c r="P70" s="2" t="n"/>
    </row>
    <row r="71">
      <c r="A71" s="2" t="n">
        <v>70</v>
      </c>
      <c r="B71" s="2" t="inlineStr">
        <is>
          <t>обрыв</t>
        </is>
      </c>
      <c r="C71" s="2" t="n">
        <v>14424</v>
      </c>
      <c r="D71" s="3" t="inlineStr">
        <is>
          <t>Мотылек</t>
        </is>
      </c>
      <c r="E71" s="2" t="n">
        <v>1991</v>
      </c>
      <c r="F71" s="2" t="inlineStr">
        <is>
          <t>мультфильм</t>
        </is>
      </c>
      <c r="G71" s="2" t="inlineStr">
        <is>
          <t>СОЮЗТЕЛЕФИЛЬМ</t>
        </is>
      </c>
      <c r="H71" s="2" t="n">
        <v>150</v>
      </c>
      <c r="I71" s="2" t="inlineStr">
        <is>
          <t>да</t>
        </is>
      </c>
      <c r="J71" s="2" t="inlineStr"/>
      <c r="K71" s="3" t="inlineStr">
        <is>
          <t>Папа Лис рассказывает Лисенку о том, что в детстве случайно погубил мотылька. Чтобы спасти его, маленький Лисенок и папа решают вернуться в прошлое...</t>
        </is>
      </c>
      <c r="L71" s="2" t="inlineStr">
        <is>
          <t>https://animator.ru/db/?p=show_film&amp;fid=6663</t>
        </is>
      </c>
      <c r="M71" s="2">
        <f>HYPERLINK("https://ru.wikipedia.org/w/index.php?search=%D0%9C%D0%BE%D1%82%D1%8B%D0%BB%D0%B5%D0%BA%201991%20%D1%84%D0%B8%D0%BB%D1%8C%D0%BC","искать")</f>
        <v/>
      </c>
      <c r="N71" s="3" t="n"/>
      <c r="O71" s="2" t="n"/>
      <c r="P71" s="2" t="n"/>
    </row>
    <row r="72">
      <c r="A72" s="2" t="n">
        <v>71</v>
      </c>
      <c r="B72" s="2" t="inlineStr">
        <is>
          <t>обрыв</t>
        </is>
      </c>
      <c r="C72" s="2" t="n">
        <v>9421</v>
      </c>
      <c r="D72" s="3" t="inlineStr">
        <is>
          <t>Когда святые маршируют</t>
        </is>
      </c>
      <c r="E72" s="2" t="n">
        <v>1990</v>
      </c>
      <c r="F72" s="2" t="inlineStr">
        <is>
          <t>кинофильм</t>
        </is>
      </c>
      <c r="G72" s="2" t="n"/>
      <c r="H72" s="2" t="n">
        <v>152</v>
      </c>
      <c r="I72" s="2" t="inlineStr">
        <is>
          <t>да</t>
        </is>
      </c>
      <c r="J72" s="2" t="inlineStr"/>
      <c r="K72" s="3" t="inlineStr">
        <is>
          <t>Жизнь разбросала участников первого Ленинградского джаз-банда. Накануне тридцатилетия джаз-клуба один из энтузиастов пытается собрать всех музыкантов...</t>
        </is>
      </c>
      <c r="L72" s="2" t="inlineStr">
        <is>
          <t>Кино_СССР сводный каталог.xlsx: список фильмов (доп.)</t>
        </is>
      </c>
      <c r="M72" s="2">
        <f>HYPERLINK("https://ru.wikipedia.org/w/index.php?search=%D0%9A%D0%BE%D0%B3%D0%B4%D0%B0%20%D1%81%D0%B2%D1%8F%D1%82%D1%8B%D0%B5%20%D0%BC%D0%B0%D1%80%D1%88%D0%B8%D1%80%D1%83%D1%8E%D1%82%201990%20%D1%84%D0%B8%D0%BB%D1%8C%D0%BC","искать")</f>
        <v/>
      </c>
      <c r="N72" s="3" t="n"/>
      <c r="O72" s="2" t="n"/>
      <c r="P72" s="2" t="n"/>
    </row>
    <row r="73">
      <c r="A73" s="2" t="n">
        <v>72</v>
      </c>
      <c r="B73" s="2" t="inlineStr">
        <is>
          <t>обрыв</t>
        </is>
      </c>
      <c r="C73" s="2" t="n">
        <v>9337</v>
      </c>
      <c r="D73" s="3" t="inlineStr">
        <is>
          <t>Динозавры ХХ века</t>
        </is>
      </c>
      <c r="E73" s="2" t="n">
        <v>1990</v>
      </c>
      <c r="F73" s="2" t="inlineStr">
        <is>
          <t>кинофильм</t>
        </is>
      </c>
      <c r="G73" s="2" t="n"/>
      <c r="H73" s="2" t="n">
        <v>153</v>
      </c>
      <c r="I73" s="2" t="inlineStr">
        <is>
          <t>да</t>
        </is>
      </c>
      <c r="J73" s="2" t="inlineStr"/>
      <c r="K73" s="3" t="inlineStr">
        <is>
          <t>Вернувшись в родную деревню, демобилизованный десантник узнает, что его брат стал жертвой наркомафии. Он решает отомстить за его смерть и едет в город...</t>
        </is>
      </c>
      <c r="L73" s="2" t="inlineStr">
        <is>
          <t>Кино_СССР сводный каталог.xlsx: список фильмов (доп.)</t>
        </is>
      </c>
      <c r="M73" s="2">
        <f>HYPERLINK("https://ru.wikipedia.org/w/index.php?search=%D0%94%D0%B8%D0%BD%D0%BE%D0%B7%D0%B0%D0%B2%D1%80%D1%8B%20%D0%A5%D0%A5%20%D0%B2%D0%B5%D0%BA%D0%B0%201990%20%D1%84%D0%B8%D0%BB%D1%8C%D0%BC","искать")</f>
        <v/>
      </c>
      <c r="N73" s="3" t="n"/>
      <c r="O73" s="2" t="n"/>
      <c r="P73" s="2" t="n"/>
    </row>
    <row r="74">
      <c r="A74" s="2" t="n">
        <v>73</v>
      </c>
      <c r="B74" s="2" t="inlineStr">
        <is>
          <t>обрыв</t>
        </is>
      </c>
      <c r="C74" s="2" t="n">
        <v>10043</v>
      </c>
      <c r="D74" s="3" t="inlineStr">
        <is>
          <t>Возвращение</t>
        </is>
      </c>
      <c r="E74" s="2" t="n">
        <v>1990</v>
      </c>
      <c r="F74" s="2" t="inlineStr">
        <is>
          <t>телефильм</t>
        </is>
      </c>
      <c r="G74" s="2" t="inlineStr">
        <is>
          <t>Грузия-фильм</t>
        </is>
      </c>
      <c r="H74" s="2" t="n">
        <v>155</v>
      </c>
      <c r="I74" s="2" t="inlineStr">
        <is>
          <t>да</t>
        </is>
      </c>
      <c r="J74" s="2" t="inlineStr"/>
      <c r="K74" s="3" t="inlineStr">
        <is>
          <t>Телефильм. Новелла.
Молодой человек за три месяца до освобождения сбегает из тюрьмы, но после общения с отцом и друзьями решает заявить о себе в милицию...</t>
        </is>
      </c>
      <c r="L74" s="2" t="inlineStr">
        <is>
          <t>https://www.kino-teatr.ru/short/movie/sov/12430/annot/</t>
        </is>
      </c>
      <c r="M74" s="2">
        <f>HYPERLINK("https://ru.wikipedia.org/w/index.php?search=%D0%92%D0%BE%D0%B7%D0%B2%D1%80%D0%B0%D1%89%D0%B5%D0%BD%D0%B8%D0%B5%201990%20%D1%84%D0%B8%D0%BB%D1%8C%D0%BC","искать")</f>
        <v/>
      </c>
      <c r="N74" s="3" t="n"/>
      <c r="O74" s="2" t="n"/>
      <c r="P74" s="2" t="n"/>
    </row>
    <row r="75">
      <c r="A75" s="2" t="n">
        <v>74</v>
      </c>
      <c r="B75" s="2" t="inlineStr">
        <is>
          <t>обрыв</t>
        </is>
      </c>
      <c r="C75" s="2" t="n">
        <v>10373</v>
      </c>
      <c r="D75" s="3" t="inlineStr">
        <is>
          <t>Тим Талер, или Проданный смех</t>
        </is>
      </c>
      <c r="E75" s="2" t="n">
        <v>1970</v>
      </c>
      <c r="F75" s="2" t="inlineStr">
        <is>
          <t>фильм-спектакль</t>
        </is>
      </c>
      <c r="G75" s="2" t="inlineStr">
        <is>
          <t>Ленинградское ТВ</t>
        </is>
      </c>
      <c r="H75" s="2" t="n">
        <v>157</v>
      </c>
      <c r="I75" s="2" t="inlineStr">
        <is>
          <t>да</t>
        </is>
      </c>
      <c r="J75" s="2" t="inlineStr"/>
      <c r="K75" s="3" t="inlineStr">
        <is>
          <t>По сказочно-философской повести Джеймса Крюса.
Мальчик заключает сделку с чертом, продав ему свой смех. Но вскоре он понимает, что не все в мире продается...</t>
        </is>
      </c>
      <c r="L75" s="2" t="inlineStr">
        <is>
          <t>https://www.kino-teatr.ru/teatr/movie/79273/annot/</t>
        </is>
      </c>
      <c r="M75" s="2">
        <f>HYPERLINK("https://ru.wikipedia.org/w/index.php?search=%D0%A2%D0%B8%D0%BC%20%D0%A2%D0%B0%D0%BB%D0%B5%D1%80%2C%20%D0%B8%D0%BB%D0%B8%20%D0%9F%D1%80%D0%BE%D0%B4%D0%B0%D0%BD%D0%BD%D1%8B%D0%B9%20%D1%81%D0%BC%D0%B5%D1%85%201970%20%D1%84%D0%B8%D0%BB%D1%8C%D0%BC","искать")</f>
        <v/>
      </c>
      <c r="N75" s="3" t="n"/>
      <c r="O75" s="2" t="n"/>
      <c r="P75" s="2" t="n"/>
    </row>
    <row r="76">
      <c r="A76" s="2" t="n">
        <v>75</v>
      </c>
      <c r="B76" s="2" t="inlineStr">
        <is>
          <t>обрыв</t>
        </is>
      </c>
      <c r="C76" s="2" t="n">
        <v>11178</v>
      </c>
      <c r="D76" s="3" t="inlineStr">
        <is>
          <t>Парижский поезд</t>
        </is>
      </c>
      <c r="E76" s="2" t="n">
        <v>1987</v>
      </c>
      <c r="F76" s="2" t="inlineStr">
        <is>
          <t>фильм-спектакль</t>
        </is>
      </c>
      <c r="G76" s="2" t="inlineStr">
        <is>
          <t>Литовское телевидение</t>
        </is>
      </c>
      <c r="H76" s="2" t="n">
        <v>157</v>
      </c>
      <c r="I76" s="2" t="inlineStr">
        <is>
          <t>да</t>
        </is>
      </c>
      <c r="J76" s="2" t="inlineStr"/>
      <c r="K76" s="3" t="inlineStr">
        <is>
          <t>Спектакль об экзистенции человека, о желании вырваться из монотонной провинциальной жизни в Париж и - наконец - понимание преимуществ провинциальной жизни...</t>
        </is>
      </c>
      <c r="L76" s="2" t="inlineStr">
        <is>
          <t>https://www.kino-teatr.ru/teatr/movie/105788/annot/</t>
        </is>
      </c>
      <c r="M76" s="2">
        <f>HYPERLINK("https://ru.wikipedia.org/w/index.php?search=%D0%9F%D0%B0%D1%80%D0%B8%D0%B6%D1%81%D0%BA%D0%B8%D0%B9%20%D0%BF%D0%BE%D0%B5%D0%B7%D0%B4%201987%20%D1%84%D0%B8%D0%BB%D1%8C%D0%BC","искать")</f>
        <v/>
      </c>
      <c r="N76" s="3" t="n"/>
      <c r="O76" s="2" t="n"/>
      <c r="P76" s="2" t="n"/>
    </row>
    <row r="77">
      <c r="A77" s="2" t="n">
        <v>76</v>
      </c>
      <c r="B77" s="2" t="inlineStr">
        <is>
          <t>обрыв</t>
        </is>
      </c>
      <c r="C77" s="2" t="n">
        <v>8064</v>
      </c>
      <c r="D77" s="3" t="inlineStr">
        <is>
          <t>Отдать швартовы!</t>
        </is>
      </c>
      <c r="E77" s="2" t="n">
        <v>1971</v>
      </c>
      <c r="F77" s="2" t="inlineStr">
        <is>
          <t>телефильм</t>
        </is>
      </c>
      <c r="G77" s="2" t="n"/>
      <c r="H77" s="2" t="n">
        <v>158</v>
      </c>
      <c r="I77" s="2" t="inlineStr">
        <is>
          <t>да</t>
        </is>
      </c>
      <c r="J77" s="2" t="inlineStr"/>
      <c r="K77" s="3" t="inlineStr">
        <is>
          <t>Отправившись на поиски клада, ребята попадают на учебный корабль. Забыв о своих детских фантазиях, юные герои совершают на нем поход по местам боевой славы...</t>
        </is>
      </c>
      <c r="L77" s="2" t="inlineStr">
        <is>
          <t>Кино_СССР сводный каталог.xlsx: список телефильмов</t>
        </is>
      </c>
      <c r="M77" s="2">
        <f>HYPERLINK("https://ru.wikipedia.org/w/index.php?search=%D0%9E%D1%82%D0%B4%D0%B0%D1%82%D1%8C%20%D1%88%D0%B2%D0%B0%D1%80%D1%82%D0%BE%D0%B2%D1%8B%21%201971%20%D1%84%D0%B8%D0%BB%D1%8C%D0%BC","искать")</f>
        <v/>
      </c>
      <c r="N77" s="3" t="n"/>
      <c r="O77" s="2" t="n"/>
      <c r="P77" s="2" t="n"/>
    </row>
    <row r="78">
      <c r="A78" s="2" t="n">
        <v>77</v>
      </c>
      <c r="B78" s="2" t="inlineStr">
        <is>
          <t>обрыв</t>
        </is>
      </c>
      <c r="C78" s="2" t="n">
        <v>10089</v>
      </c>
      <c r="D78" s="3" t="inlineStr">
        <is>
          <t>Ревизор</t>
        </is>
      </c>
      <c r="E78" s="2" t="n">
        <v>1961</v>
      </c>
      <c r="F78" s="2" t="inlineStr">
        <is>
          <t>фильм-спектакль</t>
        </is>
      </c>
      <c r="G78" s="2" t="inlineStr">
        <is>
          <t>Radiotelevisão Portuguesa (RTP)</t>
        </is>
      </c>
      <c r="H78" s="2" t="n">
        <v>158</v>
      </c>
      <c r="I78" s="2" t="inlineStr">
        <is>
          <t>да</t>
        </is>
      </c>
      <c r="J78" s="2" t="inlineStr"/>
      <c r="K78" s="3" t="inlineStr">
        <is>
          <t>Телеэкранизация пьесы Николая Гоголя, перевод и адаптация Энрикета Лейтан.
История чиновника, который, выдавая себя за ревизора и пользуется этой ситуацией...</t>
        </is>
      </c>
      <c r="L78" s="2" t="inlineStr">
        <is>
          <t>https://www.kino-teatr.ru/teatr/movie/120204/annot/</t>
        </is>
      </c>
      <c r="M78" s="2">
        <f>HYPERLINK("https://ru.wikipedia.org/w/index.php?search=%D0%A0%D0%B5%D0%B2%D0%B8%D0%B7%D0%BE%D1%80%201961%20%D1%84%D0%B8%D0%BB%D1%8C%D0%BC","искать")</f>
        <v/>
      </c>
      <c r="N78" s="3" t="n"/>
      <c r="O78" s="2" t="n"/>
      <c r="P78" s="2" t="n"/>
    </row>
    <row r="79">
      <c r="A79" s="2" t="n">
        <v>78</v>
      </c>
      <c r="B79" s="2" t="inlineStr">
        <is>
          <t>обрыв</t>
        </is>
      </c>
      <c r="C79" s="2" t="n">
        <v>8368</v>
      </c>
      <c r="D79" s="3" t="inlineStr">
        <is>
          <t>Снег в сентябре</t>
        </is>
      </c>
      <c r="E79" s="2" t="n">
        <v>1984</v>
      </c>
      <c r="F79" s="2" t="inlineStr">
        <is>
          <t>телефильм</t>
        </is>
      </c>
      <c r="G79" s="2" t="n"/>
      <c r="H79" s="2" t="n">
        <v>159</v>
      </c>
      <c r="I79" s="2" t="inlineStr">
        <is>
          <t>да</t>
        </is>
      </c>
      <c r="J79" s="2" t="inlineStr"/>
      <c r="K79" s="3" t="inlineStr">
        <is>
          <t>По рассказу Ф.Искандера "Заира". Ученый-историк Сергей приезжает на родину в Кабардино-Балкарию. Он встречает давно им любимую Заиру, с которой он расстался...</t>
        </is>
      </c>
      <c r="L79" s="2" t="inlineStr">
        <is>
          <t>Кино_СССР сводный каталог.xlsx: список телефильмов</t>
        </is>
      </c>
      <c r="M79" s="2">
        <f>HYPERLINK("https://ru.wikipedia.org/w/index.php?search=%D0%A1%D0%BD%D0%B5%D0%B3%20%D0%B2%20%D1%81%D0%B5%D0%BD%D1%82%D1%8F%D0%B1%D1%80%D0%B5%201984%20%D1%84%D0%B8%D0%BB%D1%8C%D0%BC","искать")</f>
        <v/>
      </c>
      <c r="N79" s="3" t="n"/>
      <c r="O79" s="2" t="n"/>
      <c r="P79" s="2" t="n"/>
    </row>
    <row r="80">
      <c r="A80" s="2" t="n">
        <v>79</v>
      </c>
      <c r="B80" s="2" t="inlineStr">
        <is>
          <t>обрыв</t>
        </is>
      </c>
      <c r="C80" s="2" t="n">
        <v>9080</v>
      </c>
      <c r="D80" s="3" t="inlineStr">
        <is>
          <t>Счастливого рождества в Париже! или Банда лесбиянок</t>
        </is>
      </c>
      <c r="E80" s="2" t="n">
        <v>1991</v>
      </c>
      <c r="F80" s="2" t="inlineStr">
        <is>
          <t>кинофильм</t>
        </is>
      </c>
      <c r="G80" s="2" t="n"/>
      <c r="H80" s="2" t="n">
        <v>159</v>
      </c>
      <c r="I80" s="2" t="inlineStr">
        <is>
          <t>да</t>
        </is>
      </c>
      <c r="J80" s="2" t="inlineStr"/>
      <c r="K80" s="3" t="inlineStr">
        <is>
          <t>Юные, обаятельные девицы - Рыжик, Черныш, Ландыш и Ирина - вымогают деньги у пожилых мужчин. В эту семью-компанию входит еще и телохранитель по кличке Бабан...</t>
        </is>
      </c>
      <c r="L80" s="2" t="inlineStr">
        <is>
          <t>Кино_СССР сводный каталог.xlsx: список фильмов (доп.)</t>
        </is>
      </c>
      <c r="M80" s="2">
        <f>HYPERLINK("https://ru.wikipedia.org/w/index.php?search=%D0%A1%D1%87%D0%B0%D1%81%D1%82%D0%BB%D0%B8%D0%B2%D0%BE%D0%B3%D0%BE%20%D1%80%D0%BE%D0%B6%D0%B4%D0%B5%D1%81%D1%82%D0%B2%D0%B0%20%D0%B2%20%D0%9F%D0%B0%D1%80%D0%B8%D0%B6%D0%B5%21%20%D0%B8%D0%BB%D0%B8%20%D0%91%D0%B0%D0%BD%D0%B4%D0%B0%20%D0%BB%D0%B5%D1%81%D0%B1%D0%B8%D1%8F%D0%BD%D0%BE%D0%BA%201991%20%D1%84%D0%B8%D0%BB%D1%8C%D0%BC","искать")</f>
        <v/>
      </c>
      <c r="N80" s="3" t="n"/>
      <c r="O80" s="2" t="n"/>
      <c r="P80" s="2" t="n"/>
    </row>
    <row r="81">
      <c r="A81" s="2" t="n">
        <v>80</v>
      </c>
      <c r="B81" s="2" t="inlineStr">
        <is>
          <t>обрыв</t>
        </is>
      </c>
      <c r="C81" s="2" t="n">
        <v>10389</v>
      </c>
      <c r="D81" s="3" t="inlineStr">
        <is>
          <t>Дни нашей жизни</t>
        </is>
      </c>
      <c r="E81" s="2" t="n">
        <v>1971</v>
      </c>
      <c r="F81" s="2" t="inlineStr">
        <is>
          <t>фильм-спектакль</t>
        </is>
      </c>
      <c r="G81" s="2" t="inlineStr">
        <is>
          <t>Гл. ред. лит.-драм. программ</t>
        </is>
      </c>
      <c r="H81" s="2" t="n">
        <v>159</v>
      </c>
      <c r="I81" s="2" t="inlineStr">
        <is>
          <t>да</t>
        </is>
      </c>
      <c r="J81" s="2" t="inlineStr"/>
      <c r="K81" s="3" t="inlineStr">
        <is>
          <t>По одноименной пьесе Л.Н.Андреева в исполнении актеров московского театра им. А.С.Пушкина.
Студент Николай и девушка из бедной семьи Оля полюбили друг друга...</t>
        </is>
      </c>
      <c r="L81" s="2" t="inlineStr">
        <is>
          <t>https://www.kino-teatr.ru/teatr/movie/93007/annot/</t>
        </is>
      </c>
      <c r="M81" s="2">
        <f>HYPERLINK("https://ru.wikipedia.org/w/index.php?search=%D0%94%D0%BD%D0%B8%20%D0%BD%D0%B0%D1%88%D0%B5%D0%B9%20%D0%B6%D0%B8%D0%B7%D0%BD%D0%B8%201971%20%D1%84%D0%B8%D0%BB%D1%8C%D0%BC","искать")</f>
        <v/>
      </c>
      <c r="N81" s="3" t="n"/>
      <c r="O81" s="2" t="n"/>
      <c r="P81" s="2" t="n"/>
    </row>
    <row r="82">
      <c r="A82" s="2" t="n">
        <v>81</v>
      </c>
      <c r="B82" s="2" t="inlineStr">
        <is>
          <t>обрыв</t>
        </is>
      </c>
      <c r="C82" s="2" t="n">
        <v>7728</v>
      </c>
      <c r="D82" s="3" t="inlineStr">
        <is>
          <t>Клад</t>
        </is>
      </c>
      <c r="E82" s="2" t="n">
        <v>1988</v>
      </c>
      <c r="F82" s="2" t="inlineStr">
        <is>
          <t>телефильм</t>
        </is>
      </c>
      <c r="G82" s="2" t="n"/>
      <c r="H82" s="2" t="n">
        <v>160</v>
      </c>
      <c r="I82" s="2" t="inlineStr">
        <is>
          <t>да</t>
        </is>
      </c>
      <c r="J82" s="2" t="inlineStr"/>
      <c r="K82" s="3" t="inlineStr">
        <is>
          <t>Во время полевых работ шоферы находят клад золотых монет. Герои не против сдать его государству, но никто не хочет брать ответственность за сохранность клада...</t>
        </is>
      </c>
      <c r="L82" s="2" t="inlineStr">
        <is>
          <t>Кино_СССР сводный каталог.xlsx: список телефильмов</t>
        </is>
      </c>
      <c r="M82" s="2">
        <f>HYPERLINK("https://ru.wikipedia.org/w/index.php?search=%D0%9A%D0%BB%D0%B0%D0%B4%201988%20%D1%84%D0%B8%D0%BB%D1%8C%D0%BC","искать")</f>
        <v/>
      </c>
      <c r="N82" s="3" t="n"/>
      <c r="O82" s="2" t="n"/>
      <c r="P82" s="2" t="n"/>
    </row>
    <row r="83">
      <c r="A83" s="2" t="n">
        <v>82</v>
      </c>
      <c r="B83" s="2" t="inlineStr">
        <is>
          <t>обрыв</t>
        </is>
      </c>
      <c r="C83" s="2" t="n">
        <v>8491</v>
      </c>
      <c r="D83" s="3" t="inlineStr">
        <is>
          <t>Ты не один</t>
        </is>
      </c>
      <c r="E83" s="2" t="n">
        <v>1963</v>
      </c>
      <c r="F83" s="2" t="inlineStr">
        <is>
          <t>телефильм</t>
        </is>
      </c>
      <c r="G83" s="2" t="inlineStr">
        <is>
          <t>Мосфильм</t>
        </is>
      </c>
      <c r="H83" s="2" t="n">
        <v>160</v>
      </c>
      <c r="I83" s="2" t="inlineStr">
        <is>
          <t>да</t>
        </is>
      </c>
      <c r="J83" s="2" t="inlineStr"/>
      <c r="K83" s="3" t="inlineStr">
        <is>
          <t>Телефильм по мотивам повести Г.Беленького. Мальчишка-подросток, сирота, устраивается на завод, и начинает познавать другую — взрослую и ответственную — жизнь...</t>
        </is>
      </c>
      <c r="L83" s="2" t="inlineStr">
        <is>
          <t>Кино_СССР сводный каталог.xlsx: список телефильмов</t>
        </is>
      </c>
      <c r="M83" s="2">
        <f>HYPERLINK("https://ru.wikipedia.org/w/index.php?search=%D0%A2%D1%8B%20%D0%BD%D0%B5%20%D0%BE%D0%B4%D0%B8%D0%BD%201963%20%D1%84%D0%B8%D0%BB%D1%8C%D0%BC","искать")</f>
        <v/>
      </c>
      <c r="N83" s="3" t="n"/>
      <c r="O83" s="2" t="n"/>
      <c r="P83" s="2" t="n"/>
    </row>
    <row r="84">
      <c r="A84" s="2" t="n">
        <v>83</v>
      </c>
      <c r="B84" s="2" t="inlineStr">
        <is>
          <t>обрыв</t>
        </is>
      </c>
      <c r="C84" s="2" t="n">
        <v>8750</v>
      </c>
      <c r="D84" s="3" t="inlineStr">
        <is>
          <t>Исход</t>
        </is>
      </c>
      <c r="E84" s="2" t="n">
        <v>1990</v>
      </c>
      <c r="F84" s="2" t="inlineStr">
        <is>
          <t>кинофильм</t>
        </is>
      </c>
      <c r="G84" s="2" t="n"/>
      <c r="H84" s="2" t="n">
        <v>160</v>
      </c>
      <c r="I84" s="2" t="inlineStr">
        <is>
          <t>да</t>
        </is>
      </c>
      <c r="J84" s="2" t="inlineStr"/>
      <c r="K84" s="3" t="inlineStr">
        <is>
          <t>Вначале над ней долго и изощренно издевались. Потом убили. В зале суда отцу девочки стало понятно, что против подонков улик нет и суд придется вершить самому...</t>
        </is>
      </c>
      <c r="L84" s="2" t="inlineStr">
        <is>
          <t>Кино_СССР сводный каталог.xlsx: список фильмов (доп.)</t>
        </is>
      </c>
      <c r="M84" s="2">
        <f>HYPERLINK("https://ru.wikipedia.org/w/index.php?search=%D0%98%D1%81%D1%85%D0%BE%D0%B4%201990%20%D1%84%D0%B8%D0%BB%D1%8C%D0%BC","искать")</f>
        <v/>
      </c>
      <c r="N84" s="3" t="n"/>
      <c r="O84" s="2" t="n"/>
      <c r="P84" s="2" t="n"/>
    </row>
    <row r="85">
      <c r="A85" s="2" t="n">
        <v>84</v>
      </c>
      <c r="B85" s="2" t="inlineStr">
        <is>
          <t>обрыв</t>
        </is>
      </c>
      <c r="C85" s="2" t="n">
        <v>10053</v>
      </c>
      <c r="D85" s="3" t="inlineStr">
        <is>
          <t>Кешка и спецназ</t>
        </is>
      </c>
      <c r="E85" s="2" t="n">
        <v>1991</v>
      </c>
      <c r="F85" s="2" t="inlineStr">
        <is>
          <t>телефильм</t>
        </is>
      </c>
      <c r="G85" s="2" t="inlineStr">
        <is>
          <t>СОЮЗТЕЛЕФИЛЬМ, АРЕНА (Беларусь)</t>
        </is>
      </c>
      <c r="H85" s="2" t="n">
        <v>161</v>
      </c>
      <c r="I85" s="2" t="inlineStr">
        <is>
          <t>да</t>
        </is>
      </c>
      <c r="J85" s="2" t="inlineStr"/>
      <c r="K85" s="3" t="inlineStr">
        <is>
          <t>Из-за неисправного будильника Кешка отправляется в школу глубокой ночью и в подъезде встречает квартирных воров. Эта встреча оказывается роковой для последних...</t>
        </is>
      </c>
      <c r="L85" s="2" t="inlineStr">
        <is>
          <t>https://www.kino-teatr.ru/short/movie/sov/2975/annot/</t>
        </is>
      </c>
      <c r="M85" s="2">
        <f>HYPERLINK("https://ru.wikipedia.org/w/index.php?search=%D0%9A%D0%B5%D1%88%D0%BA%D0%B0%20%D0%B8%20%D1%81%D0%BF%D0%B5%D1%86%D0%BD%D0%B0%D0%B7%201991%20%D1%84%D0%B8%D0%BB%D1%8C%D0%BC","искать")</f>
        <v/>
      </c>
      <c r="N85" s="3" t="n"/>
      <c r="O85" s="2" t="n"/>
      <c r="P85" s="2" t="n"/>
    </row>
    <row r="86">
      <c r="A86" s="2" t="n">
        <v>85</v>
      </c>
      <c r="B86" s="2" t="inlineStr">
        <is>
          <t>обрыв</t>
        </is>
      </c>
      <c r="C86" s="2" t="n">
        <v>14267</v>
      </c>
      <c r="D86" s="3" t="inlineStr">
        <is>
          <t>Вечные льды</t>
        </is>
      </c>
      <c r="E86" s="2" t="n">
        <v>1987</v>
      </c>
      <c r="F86" s="2" t="inlineStr">
        <is>
          <t>мультфильм</t>
        </is>
      </c>
      <c r="G86" s="2" t="inlineStr">
        <is>
          <t>Союзмультфильм</t>
        </is>
      </c>
      <c r="H86" s="2" t="n">
        <v>161</v>
      </c>
      <c r="I86" s="2" t="inlineStr">
        <is>
          <t>да</t>
        </is>
      </c>
      <c r="J86" s="2" t="inlineStr"/>
      <c r="K86" s="3" t="inlineStr">
        <is>
          <t>Сюжет из фильма Не любо - не слушай. Жители Архангельска, сдают в прокат приезжим вечные льдины, для катания по морю. Но некоторые получают бракованные льдины...</t>
        </is>
      </c>
      <c r="L86" s="2" t="inlineStr">
        <is>
          <t>https://animator.ru/db/?p=show_film&amp;fid=5724</t>
        </is>
      </c>
      <c r="M86" s="2">
        <f>HYPERLINK("https://ru.wikipedia.org/w/index.php?search=%D0%92%D0%B5%D1%87%D0%BD%D1%8B%D0%B5%20%D0%BB%D1%8C%D0%B4%D1%8B%201987%20%D1%84%D0%B8%D0%BB%D1%8C%D0%BC","искать")</f>
        <v/>
      </c>
      <c r="N86" s="3" t="n"/>
      <c r="O86" s="2" t="n"/>
      <c r="P86" s="2" t="n"/>
    </row>
    <row r="87">
      <c r="A87" s="2" t="n">
        <v>86</v>
      </c>
      <c r="B87" s="2" t="inlineStr">
        <is>
          <t>обрыв</t>
        </is>
      </c>
      <c r="C87" s="2" t="n">
        <v>9172</v>
      </c>
      <c r="D87" s="3" t="inlineStr">
        <is>
          <t>Шереметьево-2</t>
        </is>
      </c>
      <c r="E87" s="2" t="n">
        <v>1990</v>
      </c>
      <c r="F87" s="2" t="inlineStr">
        <is>
          <t>кинофильм</t>
        </is>
      </c>
      <c r="G87" s="2" t="n"/>
      <c r="H87" s="2" t="n">
        <v>162</v>
      </c>
      <c r="I87" s="2" t="inlineStr">
        <is>
          <t>да</t>
        </is>
      </c>
      <c r="J87" s="2" t="inlineStr"/>
      <c r="K87" s="3" t="inlineStr">
        <is>
          <t>Преуспевающий кооператор, упрашивающий неверную жену уехать с ним на Запад, подстраивает её похищение. Выкупленная собственным мужем, она соглашается на отъезд...</t>
        </is>
      </c>
      <c r="L87" s="2" t="inlineStr">
        <is>
          <t>Кино_СССР сводный каталог.xlsx: список фильмов (доп.)</t>
        </is>
      </c>
      <c r="M87" s="2">
        <f>HYPERLINK("https://ru.wikipedia.org/w/index.php?search=%D0%A8%D0%B5%D1%80%D0%B5%D0%BC%D0%B5%D1%82%D1%8C%D0%B5%D0%B2%D0%BE-2%201990%20%D1%84%D0%B8%D0%BB%D1%8C%D0%BC","искать")</f>
        <v/>
      </c>
      <c r="N87" s="3" t="n"/>
      <c r="O87" s="2" t="n"/>
      <c r="P87" s="2" t="n"/>
    </row>
    <row r="88">
      <c r="A88" s="2" t="n">
        <v>87</v>
      </c>
      <c r="B88" s="2" t="inlineStr">
        <is>
          <t>обрыв</t>
        </is>
      </c>
      <c r="C88" s="2" t="n">
        <v>11127</v>
      </c>
      <c r="D88" s="3" t="inlineStr">
        <is>
          <t>Прекрасная Галатея</t>
        </is>
      </c>
      <c r="E88" s="2" t="n">
        <v>1986</v>
      </c>
      <c r="F88" s="2" t="inlineStr">
        <is>
          <t>фильм-спектакль</t>
        </is>
      </c>
      <c r="G88" s="2" t="n"/>
      <c r="H88" s="2" t="n">
        <v>162</v>
      </c>
      <c r="I88" s="2" t="inlineStr">
        <is>
          <t>да</t>
        </is>
      </c>
      <c r="J88" s="2" t="inlineStr"/>
      <c r="K88" s="3" t="inlineStr">
        <is>
          <t>Спектакль Московского театра оперетты.
Прекрасная Галатея! Древняя и вечно юная история о статуе, оживленной силой великого Таланта и великой любви его создателя…</t>
        </is>
      </c>
      <c r="L88" s="2" t="inlineStr">
        <is>
          <t>https://www.kino-teatr.ru/teatr/movie/86578/annot/</t>
        </is>
      </c>
      <c r="M88" s="2">
        <f>HYPERLINK("https://ru.wikipedia.org/w/index.php?search=%D0%9F%D1%80%D0%B5%D0%BA%D1%80%D0%B0%D1%81%D0%BD%D0%B0%D1%8F%20%D0%93%D0%B0%D0%BB%D0%B0%D1%82%D0%B5%D1%8F%201986%20%D1%84%D0%B8%D0%BB%D1%8C%D0%BC","искать")</f>
        <v/>
      </c>
      <c r="N88" s="3" t="n"/>
      <c r="O88" s="2" t="n"/>
      <c r="P88" s="2" t="n"/>
    </row>
    <row r="89">
      <c r="A89" s="2" t="n">
        <v>88</v>
      </c>
      <c r="B89" s="2" t="inlineStr">
        <is>
          <t>обрыв</t>
        </is>
      </c>
      <c r="C89" s="2" t="n">
        <v>8897</v>
      </c>
      <c r="D89" s="3" t="inlineStr">
        <is>
          <t>Опасная женщина</t>
        </is>
      </c>
      <c r="E89" s="2" t="n">
        <v>1991</v>
      </c>
      <c r="F89" s="2" t="inlineStr">
        <is>
          <t>кинофильм</t>
        </is>
      </c>
      <c r="G89" s="2" t="n"/>
      <c r="H89" s="2" t="n">
        <v>165</v>
      </c>
      <c r="I89" s="2" t="inlineStr">
        <is>
          <t>да</t>
        </is>
      </c>
      <c r="J89" s="2" t="inlineStr"/>
      <c r="K89" s="3" t="inlineStr">
        <is>
          <t>Героиня фильма, пытаясь спасти благополучие своей семьи, в поисках анонимщика начинает собственное расследование - и невинные люди становятся жертвами ее упорства...</t>
        </is>
      </c>
      <c r="L89" s="2" t="inlineStr">
        <is>
          <t>Кино_СССР сводный каталог.xlsx: список фильмов (доп.)</t>
        </is>
      </c>
      <c r="M89" s="2">
        <f>HYPERLINK("https://ru.wikipedia.org/w/index.php?search=%D0%9E%D0%BF%D0%B0%D1%81%D0%BD%D0%B0%D1%8F%20%D0%B6%D0%B5%D0%BD%D1%89%D0%B8%D0%BD%D0%B0%201991%20%D1%84%D0%B8%D0%BB%D1%8C%D0%BC","искать")</f>
        <v/>
      </c>
      <c r="N89" s="3" t="n"/>
      <c r="O89" s="2" t="n"/>
      <c r="P89" s="2" t="n"/>
    </row>
    <row r="90">
      <c r="A90" s="2" t="n">
        <v>89</v>
      </c>
      <c r="B90" s="2" t="inlineStr">
        <is>
          <t>обрыв</t>
        </is>
      </c>
      <c r="C90" s="2" t="n">
        <v>9060</v>
      </c>
      <c r="D90" s="3" t="inlineStr">
        <is>
          <t>Сон девственницы</t>
        </is>
      </c>
      <c r="E90" s="2" t="n">
        <v>1990</v>
      </c>
      <c r="F90" s="2" t="inlineStr">
        <is>
          <t>кинофильм</t>
        </is>
      </c>
      <c r="G90" s="2" t="n"/>
      <c r="H90" s="2" t="n">
        <v>165</v>
      </c>
      <c r="I90" s="2" t="inlineStr">
        <is>
          <t>да</t>
        </is>
      </c>
      <c r="J90" s="2" t="inlineStr"/>
      <c r="K90" s="3" t="inlineStr">
        <is>
          <t>Съемки фильма продвигаются трудно и без надежды на какой-либо успех. Режиссер засыпает и не видит, что рядом - юное чистое создание, полное сильной и нежной любви...</t>
        </is>
      </c>
      <c r="L90" s="2" t="inlineStr">
        <is>
          <t>Кино_СССР сводный каталог.xlsx: список фильмов (доп.)</t>
        </is>
      </c>
      <c r="M90" s="2">
        <f>HYPERLINK("https://ru.wikipedia.org/w/index.php?search=%D0%A1%D0%BE%D0%BD%20%D0%B4%D0%B5%D0%B2%D1%81%D1%82%D0%B2%D0%B5%D0%BD%D0%BD%D0%B8%D1%86%D1%8B%201990%20%D1%84%D0%B8%D0%BB%D1%8C%D0%BC","искать")</f>
        <v/>
      </c>
      <c r="N90" s="3" t="n"/>
      <c r="O90" s="2" t="n"/>
      <c r="P90" s="2" t="n"/>
    </row>
    <row r="91">
      <c r="A91" s="2" t="n">
        <v>90</v>
      </c>
      <c r="B91" s="2" t="inlineStr">
        <is>
          <t>обрыв</t>
        </is>
      </c>
      <c r="C91" s="2" t="n">
        <v>9299</v>
      </c>
      <c r="D91" s="3" t="inlineStr">
        <is>
          <t>Гамлет из Сузака, или Мамайя Кэро</t>
        </is>
      </c>
      <c r="E91" s="2" t="n">
        <v>1990</v>
      </c>
      <c r="F91" s="2" t="inlineStr">
        <is>
          <t>кинофильм</t>
        </is>
      </c>
      <c r="G91" s="2" t="n"/>
      <c r="H91" s="2" t="n">
        <v>165</v>
      </c>
      <c r="I91" s="2" t="inlineStr">
        <is>
          <t>да</t>
        </is>
      </c>
      <c r="J91" s="2" t="inlineStr"/>
      <c r="K91" s="3" t="inlineStr">
        <is>
          <t>По одноименной повести Сакена Нарымбетова. Рабфак — одинокий холостяк меняющий одну работу за другой. Он мечтает завести семью и ищет жену по газетным объявлениям...</t>
        </is>
      </c>
      <c r="L91" s="2" t="inlineStr">
        <is>
          <t>Кино_СССР сводный каталог.xlsx: список фильмов (доп.)</t>
        </is>
      </c>
      <c r="M91" s="2">
        <f>HYPERLINK("https://ru.wikipedia.org/w/index.php?search=%D0%93%D0%B0%D0%BC%D0%BB%D0%B5%D1%82%20%D0%B8%D0%B7%20%D0%A1%D1%83%D0%B7%D0%B0%D0%BA%D0%B0%2C%20%D0%B8%D0%BB%D0%B8%20%D0%9C%D0%B0%D0%BC%D0%B0%D0%B9%D1%8F%20%D0%9A%D1%8D%D1%80%D0%BE%201990%20%D1%84%D0%B8%D0%BB%D1%8C%D0%BC","искать")</f>
        <v/>
      </c>
      <c r="N91" s="3" t="n"/>
      <c r="O91" s="2" t="n"/>
      <c r="P91" s="2" t="n"/>
    </row>
    <row r="92">
      <c r="A92" s="2" t="n">
        <v>91</v>
      </c>
      <c r="B92" s="2" t="inlineStr">
        <is>
          <t>обрыв</t>
        </is>
      </c>
      <c r="C92" s="2" t="n">
        <v>9156</v>
      </c>
      <c r="D92" s="3" t="inlineStr">
        <is>
          <t>Человеческий голос</t>
        </is>
      </c>
      <c r="E92" s="2" t="n">
        <v>1979</v>
      </c>
      <c r="F92" s="2" t="inlineStr">
        <is>
          <t>кинофильм</t>
        </is>
      </c>
      <c r="G92" s="2" t="n"/>
      <c r="H92" s="2" t="n">
        <v>166</v>
      </c>
      <c r="I92" s="2" t="inlineStr">
        <is>
          <t>да</t>
        </is>
      </c>
      <c r="J92" s="2" t="inlineStr"/>
      <c r="K92" s="3" t="inlineStr">
        <is>
          <t>Моноопера по одноактной пьесе Жана Кокто на музыку Франсиса Пуленка. Женщина, брошенная любовником, разговаривает с ним по телефону, но связь постоянно прерывается...</t>
        </is>
      </c>
      <c r="L92" s="2" t="inlineStr">
        <is>
          <t>Кино_СССР сводный каталог.xlsx: список фильмов (доп.)</t>
        </is>
      </c>
      <c r="M92" s="2">
        <f>HYPERLINK("https://ru.wikipedia.org/w/index.php?search=%D0%A7%D0%B5%D0%BB%D0%BE%D0%B2%D0%B5%D1%87%D0%B5%D1%81%D0%BA%D0%B8%D0%B9%20%D0%B3%D0%BE%D0%BB%D0%BE%D1%81%201979%20%D1%84%D0%B8%D0%BB%D1%8C%D0%BC","искать")</f>
        <v/>
      </c>
      <c r="N92" s="3" t="n"/>
      <c r="O92" s="2" t="n"/>
      <c r="P92" s="2" t="n"/>
    </row>
    <row r="93">
      <c r="A93" s="2" t="n">
        <v>92</v>
      </c>
      <c r="B93" s="2" t="inlineStr">
        <is>
          <t>обрыв</t>
        </is>
      </c>
      <c r="C93" s="2" t="n">
        <v>9901</v>
      </c>
      <c r="D93" s="3" t="inlineStr">
        <is>
          <t>Гулька</t>
        </is>
      </c>
      <c r="E93" s="2" t="n">
        <v>1973</v>
      </c>
      <c r="F93" s="2" t="inlineStr">
        <is>
          <t>телефильм</t>
        </is>
      </c>
      <c r="G93" s="2" t="inlineStr">
        <is>
          <t>Узбектелефильм</t>
        </is>
      </c>
      <c r="H93" s="2" t="n">
        <v>168</v>
      </c>
      <c r="I93" s="2" t="inlineStr">
        <is>
          <t>да</t>
        </is>
      </c>
      <c r="J93" s="2" t="inlineStr"/>
      <c r="K93" s="3" t="inlineStr">
        <is>
          <t>Пятиклассница Гуля утром провожает брата и сестру в детский сад, идет в школу. На стенах домов, тротуарах она видит свое изображение, нарисованное его другом Тимуром...</t>
        </is>
      </c>
      <c r="L93" s="2" t="inlineStr">
        <is>
          <t>https://www.kino-teatr.ru/short/movie/sov/88545/annot/</t>
        </is>
      </c>
      <c r="M93" s="2">
        <f>HYPERLINK("https://ru.wikipedia.org/w/index.php?search=%D0%93%D1%83%D0%BB%D1%8C%D0%BA%D0%B0%201973%20%D1%84%D0%B8%D0%BB%D1%8C%D0%BC","искать")</f>
        <v/>
      </c>
      <c r="N93" s="3" t="n"/>
      <c r="O93" s="2" t="n"/>
      <c r="P93" s="2" t="n"/>
    </row>
    <row r="94">
      <c r="A94" s="2" t="n">
        <v>93</v>
      </c>
      <c r="B94" s="2" t="inlineStr">
        <is>
          <t>обрыв</t>
        </is>
      </c>
      <c r="C94" s="2" t="n">
        <v>10868</v>
      </c>
      <c r="D94" s="3" t="inlineStr">
        <is>
          <t>Тьяга или чудесное перевоплощение</t>
        </is>
      </c>
      <c r="E94" s="2" t="n">
        <v>1980</v>
      </c>
      <c r="F94" s="2" t="inlineStr">
        <is>
          <t>фильм-спектакль</t>
        </is>
      </c>
      <c r="G94" s="2" t="inlineStr">
        <is>
          <t>RTP</t>
        </is>
      </c>
      <c r="H94" s="2" t="n">
        <v>168</v>
      </c>
      <c r="I94" s="2" t="inlineStr">
        <is>
          <t>да</t>
        </is>
      </c>
      <c r="J94" s="2" t="inlineStr"/>
      <c r="K94" s="3" t="inlineStr">
        <is>
          <t>Телеспектакль по рассказу португальского писателя Акилину Рибейру.
Бедная старуха получает в подарок молодость от доброго волшебника, в вознаграждение за свою помощь...</t>
        </is>
      </c>
      <c r="L94" s="2" t="inlineStr">
        <is>
          <t>https://www.kino-teatr.ru/teatr/movie/131589/annot/</t>
        </is>
      </c>
      <c r="M94" s="2">
        <f>HYPERLINK("https://ru.wikipedia.org/w/index.php?search=%D0%A2%D1%8C%D1%8F%D0%B3%D0%B0%20%D0%B8%D0%BB%D0%B8%20%D1%87%D1%83%D0%B4%D0%B5%D1%81%D0%BD%D0%BE%D0%B5%20%D0%BF%D0%B5%D1%80%D0%B5%D0%B2%D0%BE%D0%BF%D0%BB%D0%BE%D1%89%D0%B5%D0%BD%D0%B8%D0%B5%201980%20%D1%84%D0%B8%D0%BB%D1%8C%D0%BC","искать")</f>
        <v/>
      </c>
      <c r="N94" s="3" t="n"/>
      <c r="O94" s="2" t="n"/>
      <c r="P94" s="2" t="n"/>
    </row>
    <row r="95">
      <c r="A95" s="2" t="n">
        <v>94</v>
      </c>
      <c r="B95" s="2" t="inlineStr">
        <is>
          <t>обрыв</t>
        </is>
      </c>
      <c r="C95" s="2" t="n">
        <v>8667</v>
      </c>
      <c r="D95" s="3" t="inlineStr">
        <is>
          <t>Восточный коридор, или Рэкет по...</t>
        </is>
      </c>
      <c r="E95" s="2" t="n">
        <v>1990</v>
      </c>
      <c r="F95" s="2" t="inlineStr">
        <is>
          <t>кинофильм</t>
        </is>
      </c>
      <c r="G95" s="2" t="n"/>
      <c r="H95" s="2" t="n">
        <v>169</v>
      </c>
      <c r="I95" s="2" t="inlineStr">
        <is>
          <t>да</t>
        </is>
      </c>
      <c r="J95" s="2" t="inlineStr"/>
      <c r="K95" s="3" t="inlineStr">
        <is>
          <t>В старинном замке, резиденции местной мафии, Хозяин ждет встречи с представителями «высшей инстанции». Недоверие друг к другу приводит к кровавому единоборству героев...</t>
        </is>
      </c>
      <c r="L95" s="2" t="inlineStr">
        <is>
          <t>Кино_СССР сводный каталог.xlsx: список фильмов (доп.)</t>
        </is>
      </c>
      <c r="M95" s="2">
        <f>HYPERLINK("https://ru.wikipedia.org/w/index.php?search=%D0%92%D0%BE%D1%81%D1%82%D0%BE%D1%87%D0%BD%D1%8B%D0%B9%20%D0%BA%D0%BE%D1%80%D0%B8%D0%B4%D0%BE%D1%80%2C%20%D0%B8%D0%BB%D0%B8%20%D0%A0%D1%8D%D0%BA%D0%B5%D1%82%20%D0%BF%D0%BE...%201990%20%D1%84%D0%B8%D0%BB%D1%8C%D0%BC","искать")</f>
        <v/>
      </c>
      <c r="N95" s="3" t="n"/>
      <c r="O95" s="2" t="n"/>
      <c r="P95" s="2" t="n"/>
    </row>
    <row r="96">
      <c r="A96" s="2" t="n">
        <v>95</v>
      </c>
      <c r="B96" s="2" t="inlineStr">
        <is>
          <t>обрыв</t>
        </is>
      </c>
      <c r="C96" s="2" t="n">
        <v>8777</v>
      </c>
      <c r="D96" s="3" t="inlineStr">
        <is>
          <t>Кредиторы</t>
        </is>
      </c>
      <c r="E96" s="2" t="n">
        <v>1991</v>
      </c>
      <c r="F96" s="2" t="inlineStr">
        <is>
          <t>кинофильм</t>
        </is>
      </c>
      <c r="G96" s="2" t="n"/>
      <c r="H96" s="2" t="n">
        <v>171</v>
      </c>
      <c r="I96" s="2" t="inlineStr">
        <is>
          <t>да</t>
        </is>
      </c>
      <c r="J96" s="2" t="inlineStr"/>
      <c r="K96" s="3" t="inlineStr">
        <is>
          <t>Действие фильма происходит на борту теплохода. Молодой писатель неожиданно встречает свою бывшую жену и начинает плести интригу в духе только что законченного им романа...</t>
        </is>
      </c>
      <c r="L96" s="2" t="inlineStr">
        <is>
          <t>Кино_СССР сводный каталог.xlsx: список фильмов (доп.)</t>
        </is>
      </c>
      <c r="M96" s="2">
        <f>HYPERLINK("https://ru.wikipedia.org/w/index.php?search=%D0%9A%D1%80%D0%B5%D0%B4%D0%B8%D1%82%D0%BE%D1%80%D1%8B%201991%20%D1%84%D0%B8%D0%BB%D1%8C%D0%BC","искать")</f>
        <v/>
      </c>
      <c r="N96" s="3" t="n"/>
      <c r="O96" s="2" t="n"/>
      <c r="P96" s="2" t="n"/>
    </row>
    <row r="97">
      <c r="A97" s="2" t="n">
        <v>96</v>
      </c>
      <c r="B97" s="2" t="inlineStr">
        <is>
          <t>обрыв</t>
        </is>
      </c>
      <c r="C97" s="2" t="n">
        <v>8021</v>
      </c>
      <c r="D97" s="3" t="inlineStr">
        <is>
          <t>Обман</t>
        </is>
      </c>
      <c r="E97" s="2" t="n">
        <v>1983</v>
      </c>
      <c r="F97" s="2" t="inlineStr">
        <is>
          <t>телефильм</t>
        </is>
      </c>
      <c r="G97" s="2" t="n"/>
      <c r="H97" s="2" t="n">
        <v>172</v>
      </c>
      <c r="I97" s="2" t="inlineStr">
        <is>
          <t>да</t>
        </is>
      </c>
      <c r="J97" s="2" t="inlineStr"/>
      <c r="K97" s="3" t="inlineStr">
        <is>
          <t>Телефильм снят по рассказу Н. Соломко "Любовь октябрёнка Овечкина". Маленький мальчик влюбляется в старшеклассницу. Закручивается треугольник, т.к. у девочки есть парень...</t>
        </is>
      </c>
      <c r="L97" s="2" t="inlineStr">
        <is>
          <t>Кино_СССР сводный каталог.xlsx: список телефильмов</t>
        </is>
      </c>
      <c r="M97" s="2">
        <f>HYPERLINK("https://ru.wikipedia.org/w/index.php?search=%D0%9E%D0%B1%D0%BC%D0%B0%D0%BD%201983%20%D1%84%D0%B8%D0%BB%D1%8C%D0%BC","искать")</f>
        <v/>
      </c>
      <c r="N97" s="3" t="n"/>
      <c r="O97" s="2" t="n"/>
      <c r="P97" s="2" t="n"/>
    </row>
    <row r="98">
      <c r="A98" s="2" t="n">
        <v>97</v>
      </c>
      <c r="B98" s="2" t="inlineStr">
        <is>
          <t>обрыв</t>
        </is>
      </c>
      <c r="C98" s="2" t="n">
        <v>7552</v>
      </c>
      <c r="D98" s="3" t="inlineStr">
        <is>
          <t>Дорога домой</t>
        </is>
      </c>
      <c r="E98" s="2" t="n">
        <v>1967</v>
      </c>
      <c r="F98" s="2" t="inlineStr">
        <is>
          <t>телефильм</t>
        </is>
      </c>
      <c r="G98" s="2" t="n"/>
      <c r="H98" s="2" t="n">
        <v>173</v>
      </c>
      <c r="I98" s="2" t="inlineStr">
        <is>
          <t>да</t>
        </is>
      </c>
      <c r="J98" s="2" t="inlineStr"/>
      <c r="K98" s="3" t="inlineStr">
        <is>
          <t>По повести Ежи Пшезьдецкого "Конец". Весна 1944 года. Польша. Партизанский отряд, сформированный из советских военнопленных, бежавших из концлагеря, пробивается на Родину...</t>
        </is>
      </c>
      <c r="L98" s="2" t="inlineStr">
        <is>
          <t>Кино_СССР сводный каталог.xlsx: список телефильмов</t>
        </is>
      </c>
      <c r="M98" s="2">
        <f>HYPERLINK("https://ru.wikipedia.org/w/index.php?search=%D0%94%D0%BE%D1%80%D0%BE%D0%B3%D0%B0%20%D0%B4%D0%BE%D0%BC%D0%BE%D0%B9%201967%20%D1%84%D0%B8%D0%BB%D1%8C%D0%BC","искать")</f>
        <v/>
      </c>
      <c r="N98" s="3" t="n"/>
      <c r="O98" s="2" t="n"/>
      <c r="P98" s="2" t="n"/>
    </row>
    <row r="99">
      <c r="A99" s="2" t="n">
        <v>98</v>
      </c>
      <c r="B99" s="2" t="inlineStr">
        <is>
          <t>обрыв</t>
        </is>
      </c>
      <c r="C99" s="2" t="n">
        <v>7194</v>
      </c>
      <c r="D99" s="3" t="inlineStr">
        <is>
          <t>Азиз</t>
        </is>
      </c>
      <c r="E99" s="2" t="n">
        <v>1977</v>
      </c>
      <c r="F99" s="2" t="inlineStr">
        <is>
          <t>телефильм</t>
        </is>
      </c>
      <c r="G99" s="2" t="n"/>
      <c r="H99" s="2" t="n">
        <v>174</v>
      </c>
      <c r="I99" s="2" t="inlineStr">
        <is>
          <t>да</t>
        </is>
      </c>
      <c r="J99" s="2" t="inlineStr"/>
      <c r="K99" s="3" t="inlineStr">
        <is>
          <t>Маленькому Азизу подарили голубей. Всей душой привязался к ним мальчик, с нетерпением ждал птенцов. Но кто-то убил одного из голубей. Для Азиза это было первым большим горем…</t>
        </is>
      </c>
      <c r="L99" s="2" t="inlineStr">
        <is>
          <t>Кино_СССР сводный каталог.xlsx: список телефильмов</t>
        </is>
      </c>
      <c r="M99" s="2">
        <f>HYPERLINK("https://ru.wikipedia.org/w/index.php?search=%D0%90%D0%B7%D0%B8%D0%B7%201977%20%D1%84%D0%B8%D0%BB%D1%8C%D0%BC","искать")</f>
        <v/>
      </c>
      <c r="N99" s="3" t="n"/>
      <c r="O99" s="2" t="n"/>
      <c r="P99" s="2" t="n"/>
    </row>
    <row r="100">
      <c r="A100" s="2" t="n">
        <v>99</v>
      </c>
      <c r="B100" s="2" t="inlineStr">
        <is>
          <t>обрыв</t>
        </is>
      </c>
      <c r="C100" s="2" t="n">
        <v>9203</v>
      </c>
      <c r="D100" s="3" t="inlineStr">
        <is>
          <t>Анекдоты</t>
        </is>
      </c>
      <c r="E100" s="2" t="n">
        <v>1990</v>
      </c>
      <c r="F100" s="2" t="inlineStr">
        <is>
          <t>кинофильм</t>
        </is>
      </c>
      <c r="G100" s="2" t="n"/>
      <c r="H100" s="2" t="n">
        <v>174</v>
      </c>
      <c r="I100" s="2" t="inlineStr">
        <is>
          <t>да</t>
        </is>
      </c>
      <c r="J100" s="2" t="inlineStr"/>
      <c r="K100" s="3" t="inlineStr">
        <is>
          <t>Анекдот в анекдоте: талантливый рассказчик анекдотов В.И.Кутузов (А.Абдулов), пациент сумасшедшего дома, ведет беседы на животрепещущие темы с Марксом, Сталиным, Брежневым...</t>
        </is>
      </c>
      <c r="L100" s="2" t="inlineStr">
        <is>
          <t>Кино_СССР сводный каталог.xlsx: список фильмов (доп.)</t>
        </is>
      </c>
      <c r="M100" s="2">
        <f>HYPERLINK("https://ru.wikipedia.org/w/index.php?search=%D0%90%D0%BD%D0%B5%D0%BA%D0%B4%D0%BE%D1%82%D1%8B%201990%20%D1%84%D0%B8%D0%BB%D1%8C%D0%BC","искать")</f>
        <v/>
      </c>
      <c r="N100" s="3" t="n"/>
      <c r="O100" s="2" t="n"/>
      <c r="P100" s="2" t="n"/>
    </row>
    <row r="101">
      <c r="A101" s="2" t="n">
        <v>100</v>
      </c>
      <c r="B101" s="2" t="inlineStr">
        <is>
          <t>обрыв</t>
        </is>
      </c>
      <c r="C101" s="2" t="n">
        <v>9885</v>
      </c>
      <c r="D101" s="3" t="inlineStr">
        <is>
          <t>Варька</t>
        </is>
      </c>
      <c r="E101" s="2" t="n">
        <v>1971</v>
      </c>
      <c r="F101" s="2" t="inlineStr">
        <is>
          <t>телефильм</t>
        </is>
      </c>
      <c r="G101" s="2" t="inlineStr">
        <is>
          <t>ЭКРАН (ОСТАНКИНО)</t>
        </is>
      </c>
      <c r="H101" s="2" t="n">
        <v>174</v>
      </c>
      <c r="I101" s="2" t="inlineStr">
        <is>
          <t>да</t>
        </is>
      </c>
      <c r="J101" s="2" t="inlineStr"/>
      <c r="K101" s="3" t="inlineStr">
        <is>
          <t>По мотивам рассказа Евгения Носова.
Подруги молодой птичницы Варьки часто просят ее подежурить за них, уходя на свидания и танцы. Но однажды Варька не выполняет их просьбу...</t>
        </is>
      </c>
      <c r="L101" s="2" t="inlineStr">
        <is>
          <t>https://www.kino-teatr.ru/short/movie/sov/11171/annot/</t>
        </is>
      </c>
      <c r="M101" s="2">
        <f>HYPERLINK("https://ru.wikipedia.org/w/index.php?search=%D0%92%D0%B0%D1%80%D1%8C%D0%BA%D0%B0%201971%20%D1%84%D0%B8%D0%BB%D1%8C%D0%BC","искать")</f>
        <v/>
      </c>
      <c r="N101" s="3" t="n"/>
      <c r="O101" s="2" t="n"/>
      <c r="P101" s="2" t="n"/>
    </row>
    <row r="102">
      <c r="A102" s="2" t="n">
        <v>101</v>
      </c>
      <c r="B102" s="2" t="inlineStr">
        <is>
          <t>обрыв</t>
        </is>
      </c>
      <c r="C102" s="2" t="n">
        <v>10297</v>
      </c>
      <c r="D102" s="3" t="inlineStr">
        <is>
          <t>Взрывы на уроках</t>
        </is>
      </c>
      <c r="E102" s="2" t="n">
        <v>1969</v>
      </c>
      <c r="F102" s="2" t="inlineStr">
        <is>
          <t>фильм-спектакль</t>
        </is>
      </c>
      <c r="G102" s="2" t="inlineStr">
        <is>
          <t>Ленинградское ТВ</t>
        </is>
      </c>
      <c r="H102" s="2" t="n">
        <v>174</v>
      </c>
      <c r="I102" s="2" t="inlineStr">
        <is>
          <t>да</t>
        </is>
      </c>
      <c r="J102" s="2" t="inlineStr"/>
      <c r="K102" s="3" t="inlineStr">
        <is>
          <t>По повести Игоря Ефимова.
О дружном классе и их новой учительнице Дине Борисовне, которая нарушает каноны ведения урока, отчего детям становится гораздо интереснее учиться...</t>
        </is>
      </c>
      <c r="L102" s="2" t="inlineStr">
        <is>
          <t>https://www.kino-teatr.ru/teatr/movie/121559/annot/</t>
        </is>
      </c>
      <c r="M102" s="2">
        <f>HYPERLINK("https://ru.wikipedia.org/w/index.php?search=%D0%92%D0%B7%D1%80%D1%8B%D0%B2%D1%8B%20%D0%BD%D0%B0%20%D1%83%D1%80%D0%BE%D0%BA%D0%B0%D1%85%201969%20%D1%84%D0%B8%D0%BB%D1%8C%D0%BC","искать")</f>
        <v/>
      </c>
      <c r="N102" s="3" t="n"/>
      <c r="O102" s="2" t="n"/>
      <c r="P102" s="2" t="n"/>
    </row>
    <row r="103">
      <c r="A103" s="2" t="n">
        <v>102</v>
      </c>
      <c r="B103" s="2" t="inlineStr">
        <is>
          <t>обрыв</t>
        </is>
      </c>
      <c r="C103" s="2" t="n">
        <v>10953</v>
      </c>
      <c r="D103" s="3" t="inlineStr">
        <is>
          <t>Платон Кречет</t>
        </is>
      </c>
      <c r="E103" s="2" t="n">
        <v>1982</v>
      </c>
      <c r="F103" s="2" t="inlineStr">
        <is>
          <t>фильм-спектакль</t>
        </is>
      </c>
      <c r="G103" s="2" t="inlineStr">
        <is>
          <t>Литовское телевидение</t>
        </is>
      </c>
      <c r="H103" s="2" t="n">
        <v>174</v>
      </c>
      <c r="I103" s="2" t="inlineStr">
        <is>
          <t>да</t>
        </is>
      </c>
      <c r="J103" s="2" t="inlineStr"/>
      <c r="K103" s="3" t="inlineStr">
        <is>
          <t>В спектакле речь идёт о проблемах врачей и моральных принципах, осуждается карьерист, директор больницы, который ради личных интересов мешает работе перспективного хирурга...</t>
        </is>
      </c>
      <c r="L103" s="2" t="inlineStr">
        <is>
          <t>https://www.kino-teatr.ru/teatr/movie/107344/annot/</t>
        </is>
      </c>
      <c r="M103" s="2">
        <f>HYPERLINK("https://ru.wikipedia.org/w/index.php?search=%D0%9F%D0%BB%D0%B0%D1%82%D0%BE%D0%BD%20%D0%9A%D1%80%D0%B5%D1%87%D0%B5%D1%82%201982%20%D1%84%D0%B8%D0%BB%D1%8C%D0%BC","искать")</f>
        <v/>
      </c>
      <c r="N103" s="3" t="n"/>
      <c r="O103" s="2" t="n"/>
      <c r="P103" s="2" t="n"/>
    </row>
    <row r="104">
      <c r="A104" s="2" t="n">
        <v>103</v>
      </c>
      <c r="B104" s="2" t="inlineStr">
        <is>
          <t>обрыв</t>
        </is>
      </c>
      <c r="C104" s="2" t="n">
        <v>8233</v>
      </c>
      <c r="D104" s="3" t="inlineStr">
        <is>
          <t>Прости нас, сад...</t>
        </is>
      </c>
      <c r="E104" s="2" t="n">
        <v>1988</v>
      </c>
      <c r="F104" s="2" t="inlineStr">
        <is>
          <t>телефильм</t>
        </is>
      </c>
      <c r="G104" s="2" t="n"/>
      <c r="H104" s="2" t="n">
        <v>175</v>
      </c>
      <c r="I104" s="2" t="inlineStr">
        <is>
          <t>да</t>
        </is>
      </c>
      <c r="J104" s="2" t="inlineStr"/>
      <c r="K104" s="3" t="inlineStr">
        <is>
          <t>В годы своей комсомольской юности первостроители города заложили общественный сад. И теперь они решительно возражают против решения горкома разделить сад на садовые участки...</t>
        </is>
      </c>
      <c r="L104" s="2" t="inlineStr">
        <is>
          <t>Кино_СССР сводный каталог.xlsx: список телефильмов</t>
        </is>
      </c>
      <c r="M104" s="2">
        <f>HYPERLINK("https://ru.wikipedia.org/w/index.php?search=%D0%9F%D1%80%D0%BE%D1%81%D1%82%D0%B8%20%D0%BD%D0%B0%D1%81%2C%20%D1%81%D0%B0%D0%B4...%201988%20%D1%84%D0%B8%D0%BB%D1%8C%D0%BC","искать")</f>
        <v/>
      </c>
      <c r="N104" s="3" t="n"/>
      <c r="O104" s="2" t="n"/>
      <c r="P104" s="2" t="n"/>
    </row>
    <row r="105">
      <c r="A105" s="2" t="n">
        <v>104</v>
      </c>
      <c r="B105" s="2" t="inlineStr">
        <is>
          <t>обрыв</t>
        </is>
      </c>
      <c r="C105" s="2" t="n">
        <v>10025</v>
      </c>
      <c r="D105" s="3" t="inlineStr">
        <is>
          <t>Тихоня</t>
        </is>
      </c>
      <c r="E105" s="2" t="n">
        <v>1987</v>
      </c>
      <c r="F105" s="2" t="inlineStr">
        <is>
          <t>кинофильм</t>
        </is>
      </c>
      <c r="G105" s="2" t="inlineStr">
        <is>
          <t>Узбекфильм</t>
        </is>
      </c>
      <c r="H105" s="2" t="n">
        <v>175</v>
      </c>
      <c r="I105" s="2" t="inlineStr">
        <is>
          <t>да</t>
        </is>
      </c>
      <c r="J105" s="2" t="inlineStr"/>
      <c r="K105" s="3" t="inlineStr">
        <is>
          <t>Школьница Нодира, тихоня и фантазерка, обращает на себя внимание тем, что выдумывает геройский поступок, который она якобы совершила, спасая ребенка из-под колес автомобиля...</t>
        </is>
      </c>
      <c r="L105" s="2" t="inlineStr">
        <is>
          <t>https://www.kino-teatr.ru/short/movie/sov/7161/annot/</t>
        </is>
      </c>
      <c r="M105" s="2">
        <f>HYPERLINK("https://ru.wikipedia.org/w/index.php?search=%D0%A2%D0%B8%D1%85%D0%BE%D0%BD%D1%8F%201987%20%D1%84%D0%B8%D0%BB%D1%8C%D0%BC","искать")</f>
        <v/>
      </c>
      <c r="N105" s="3" t="n"/>
      <c r="O105" s="2" t="n"/>
      <c r="P105" s="2" t="n"/>
    </row>
    <row r="106">
      <c r="A106" s="2" t="n">
        <v>105</v>
      </c>
      <c r="B106" s="2" t="inlineStr">
        <is>
          <t>обрыв</t>
        </is>
      </c>
      <c r="C106" s="2" t="n">
        <v>8460</v>
      </c>
      <c r="D106" s="3" t="inlineStr">
        <is>
          <t>Только в мюзик-холле</t>
        </is>
      </c>
      <c r="E106" s="2" t="n">
        <v>1980</v>
      </c>
      <c r="F106" s="2" t="inlineStr">
        <is>
          <t>телефильм</t>
        </is>
      </c>
      <c r="G106" s="2" t="n"/>
      <c r="H106" s="2" t="n">
        <v>176</v>
      </c>
      <c r="I106" s="2" t="inlineStr">
        <is>
          <t>да</t>
        </is>
      </c>
      <c r="J106" s="2" t="inlineStr"/>
      <c r="K106" s="3" t="inlineStr">
        <is>
          <t>Студент-химик Ванадий мечтает стать артистом мюзик-холла. Но этому противится мама. Когда-то она тоже была артисткой. Всеми правдами и неправдами Ванадий рвется к своей цели...</t>
        </is>
      </c>
      <c r="L106" s="2" t="inlineStr">
        <is>
          <t>Кино_СССР сводный каталог.xlsx: список телефильмов</t>
        </is>
      </c>
      <c r="M106" s="2">
        <f>HYPERLINK("https://ru.wikipedia.org/w/index.php?search=%D0%A2%D0%BE%D0%BB%D1%8C%D0%BA%D0%BE%20%D0%B2%20%D0%BC%D1%8E%D0%B7%D0%B8%D0%BA-%D1%85%D0%BE%D0%BB%D0%BB%D0%B5%201980%20%D1%84%D0%B8%D0%BB%D1%8C%D0%BC","искать")</f>
        <v/>
      </c>
      <c r="N106" s="3" t="n"/>
      <c r="O106" s="2" t="n"/>
      <c r="P106" s="2" t="n"/>
    </row>
    <row r="107">
      <c r="A107" s="2" t="n">
        <v>106</v>
      </c>
      <c r="B107" s="2" t="inlineStr">
        <is>
          <t>обрыв</t>
        </is>
      </c>
      <c r="C107" s="2" t="n">
        <v>8767</v>
      </c>
      <c r="D107" s="3" t="inlineStr">
        <is>
          <t>Ключ</t>
        </is>
      </c>
      <c r="E107" s="2" t="n">
        <v>1980</v>
      </c>
      <c r="F107" s="2" t="inlineStr">
        <is>
          <t>кинофильм</t>
        </is>
      </c>
      <c r="G107" s="2" t="n"/>
      <c r="H107" s="2" t="n">
        <v>176</v>
      </c>
      <c r="I107" s="2" t="inlineStr">
        <is>
          <t>да</t>
        </is>
      </c>
      <c r="J107" s="2" t="inlineStr"/>
      <c r="K107" s="3" t="inlineStr">
        <is>
          <t>Молодоженам-строителям вручают на комсомольской свадьбе ключи от квартиры. Узнав, что дом еще не достроен, молодые решают занять кабинет секретаря комитета комсомола стройки...</t>
        </is>
      </c>
      <c r="L107" s="2" t="inlineStr">
        <is>
          <t>Кино_СССР сводный каталог.xlsx: список фильмов (доп.)</t>
        </is>
      </c>
      <c r="M107" s="2">
        <f>HYPERLINK("https://ru.wikipedia.org/w/index.php?search=%D0%9A%D0%BB%D1%8E%D1%87%201980%20%D1%84%D0%B8%D0%BB%D1%8C%D0%BC","искать")</f>
        <v/>
      </c>
      <c r="N107" s="3" t="n"/>
      <c r="O107" s="2" t="n"/>
      <c r="P107" s="2" t="n"/>
    </row>
    <row r="108">
      <c r="A108" s="2" t="n">
        <v>107</v>
      </c>
      <c r="B108" s="2" t="inlineStr">
        <is>
          <t>обрыв</t>
        </is>
      </c>
      <c r="C108" s="2" t="n">
        <v>7643</v>
      </c>
      <c r="D108" s="3" t="inlineStr">
        <is>
          <t>Земля моего детства</t>
        </is>
      </c>
      <c r="E108" s="2" t="n">
        <v>1986</v>
      </c>
      <c r="F108" s="2" t="inlineStr">
        <is>
          <t>телефильм</t>
        </is>
      </c>
      <c r="G108" s="2" t="n"/>
      <c r="H108" s="2" t="n">
        <v>179</v>
      </c>
      <c r="I108" s="2" t="inlineStr">
        <is>
          <t>да</t>
        </is>
      </c>
      <c r="J108" s="2" t="inlineStr"/>
      <c r="K108" s="3" t="inlineStr">
        <is>
          <t>Более двадцати лет назад деревню Лужное объявили неперспективной и распахали пойменные луга. Но нашлись люди, которые захотели возродить плодородные земли и заброшенную деревню...</t>
        </is>
      </c>
      <c r="L108" s="2" t="inlineStr">
        <is>
          <t>Кино_СССР сводный каталог.xlsx: список телефильмов</t>
        </is>
      </c>
      <c r="M108" s="2">
        <f>HYPERLINK("https://ru.wikipedia.org/w/index.php?search=%D0%97%D0%B5%D0%BC%D0%BB%D1%8F%20%D0%BC%D0%BE%D0%B5%D0%B3%D0%BE%20%D0%B4%D0%B5%D1%82%D1%81%D1%82%D0%B2%D0%B0%201986%20%D1%84%D0%B8%D0%BB%D1%8C%D0%BC","искать")</f>
        <v/>
      </c>
      <c r="N108" s="3" t="n"/>
      <c r="O108" s="2" t="n"/>
      <c r="P108" s="2" t="n"/>
    </row>
    <row r="109">
      <c r="A109" s="2" t="n">
        <v>108</v>
      </c>
      <c r="B109" s="2" t="inlineStr">
        <is>
          <t>обрыв</t>
        </is>
      </c>
      <c r="C109" s="2" t="n">
        <v>13802</v>
      </c>
      <c r="D109" s="3" t="inlineStr">
        <is>
          <t>Одуванчик</t>
        </is>
      </c>
      <c r="E109" s="2" t="n">
        <v>1975</v>
      </c>
      <c r="F109" s="2" t="inlineStr">
        <is>
          <t>мультфильм</t>
        </is>
      </c>
      <c r="G109" s="2" t="inlineStr">
        <is>
          <t>ЭКРАН</t>
        </is>
      </c>
      <c r="H109" s="2" t="n">
        <v>179</v>
      </c>
      <c r="I109" s="2" t="inlineStr">
        <is>
          <t>да</t>
        </is>
      </c>
      <c r="J109" s="2" t="inlineStr"/>
      <c r="K109" s="3" t="inlineStr">
        <is>
          <t>Притча о смысле жизни._x000D_
Мальчику Одуванчику три гнома дарят по ключу.Ночь темна, работа горяча,Дел у нас хоть пруд пруди...Мы тебе подарим три ключа,Ну а двери сам найди....</t>
        </is>
      </c>
      <c r="L109" s="2" t="inlineStr">
        <is>
          <t>2026-10_мультфильмы_список_владельца.xlsx; https://animator.ru/db/?p=show_film&amp;fid=5195</t>
        </is>
      </c>
      <c r="M109" s="2">
        <f>HYPERLINK("https://ru.wikipedia.org/w/index.php?search=%D0%9E%D0%B4%D1%83%D0%B2%D0%B0%D0%BD%D1%87%D0%B8%D0%BA%201975%20%D1%84%D0%B8%D0%BB%D1%8C%D0%BC","искать")</f>
        <v/>
      </c>
      <c r="N109" s="3" t="inlineStr">
        <is>
          <t>Притча о смысле жизни.
Мальчику Одуванчику три гнома дарят по ключу.Ночь темна, работа горяча,Дел у нас хоть пруд пруди...Мы тебе подарим три ключа,Ну а двери сам найди....</t>
        </is>
      </c>
      <c r="O109" s="2" t="inlineStr">
        <is>
          <t>2026-10_мультфильмы_список_владельца.xlsx; https://animator.ru/db/?p=show_film&amp;fid=5195</t>
        </is>
      </c>
      <c r="P109" s="2" t="inlineStr">
        <is>
          <t>исправление: латинские буквы в русских словах</t>
        </is>
      </c>
    </row>
    <row r="110">
      <c r="A110" s="2" t="n">
        <v>109</v>
      </c>
      <c r="B110" s="2" t="inlineStr">
        <is>
          <t>обрыв</t>
        </is>
      </c>
      <c r="C110" s="2" t="n">
        <v>7432</v>
      </c>
      <c r="D110" s="3" t="inlineStr">
        <is>
          <t>Где бы ни работать..</t>
        </is>
      </c>
      <c r="E110" s="2" t="n">
        <v>1987</v>
      </c>
      <c r="F110" s="2" t="inlineStr">
        <is>
          <t>телефильм</t>
        </is>
      </c>
      <c r="G110" s="2" t="n"/>
      <c r="H110" s="2" t="n">
        <v>181</v>
      </c>
      <c r="I110" s="2" t="inlineStr">
        <is>
          <t>да</t>
        </is>
      </c>
      <c r="J110" s="2" t="inlineStr"/>
      <c r="K110" s="3" t="inlineStr">
        <is>
          <t>Бездельник Петр Петрович Белкин в поисках "теплого местечка" кочует с одного места работы на другое. В конце концов герой оказывается в коллективе, котоpый решает проучить лодыря...</t>
        </is>
      </c>
      <c r="L110" s="2" t="inlineStr">
        <is>
          <t>Кино_СССР сводный каталог.xlsx: список телефильмов</t>
        </is>
      </c>
      <c r="M110" s="2">
        <f>HYPERLINK("https://ru.wikipedia.org/w/index.php?search=%D0%93%D0%B4%D0%B5%20%D0%B1%D1%8B%20%D0%BD%D0%B8%20%D1%80%D0%B0%D0%B1%D0%BE%D1%82%D0%B0%D1%82%D1%8C..%201987%20%D1%84%D0%B8%D0%BB%D1%8C%D0%BC","искать")</f>
        <v/>
      </c>
      <c r="N110" s="3" t="inlineStr">
        <is>
          <t>Бездельник Петр Петрович Белкин в поисках "теплого местечка" кочует с одного места работы на другое. В конце концов герой оказывается в коллективе, который решает проучить лодыря...</t>
        </is>
      </c>
      <c r="O110" s="2" t="inlineStr">
        <is>
          <t>Кино_СССР сводный каталог.xlsx: список телефильмов</t>
        </is>
      </c>
      <c r="P110" s="2" t="inlineStr">
        <is>
          <t>исправление: латинские буквы в русских словах</t>
        </is>
      </c>
    </row>
    <row r="111">
      <c r="A111" s="2" t="n">
        <v>110</v>
      </c>
      <c r="B111" s="2" t="inlineStr">
        <is>
          <t>обрыв</t>
        </is>
      </c>
      <c r="C111" s="2" t="n">
        <v>8483</v>
      </c>
      <c r="D111" s="3" t="inlineStr">
        <is>
          <t>Троица</t>
        </is>
      </c>
      <c r="E111" s="2" t="n">
        <v>1990</v>
      </c>
      <c r="F111" s="2" t="inlineStr">
        <is>
          <t>телефильм</t>
        </is>
      </c>
      <c r="G111" s="2" t="n"/>
      <c r="H111" s="2" t="n">
        <v>181</v>
      </c>
      <c r="I111" s="2" t="inlineStr">
        <is>
          <t>да</t>
        </is>
      </c>
      <c r="J111" s="2" t="inlineStr"/>
      <c r="K111" s="3" t="inlineStr">
        <is>
          <t>О людях, собирающих богатство, при этом теряющих богатство собственной души...Никанор, хозяин дома, всю жизнь занимался накоплением и вдруг, в одночасье, терпит крах и теряет всё...</t>
        </is>
      </c>
      <c r="L111" s="2" t="inlineStr">
        <is>
          <t>Кино_СССР сводный каталог.xlsx: список телефильмов</t>
        </is>
      </c>
      <c r="M111" s="2">
        <f>HYPERLINK("https://ru.wikipedia.org/w/index.php?search=%D0%A2%D1%80%D0%BE%D0%B8%D1%86%D0%B0%201990%20%D1%84%D0%B8%D0%BB%D1%8C%D0%BC","искать")</f>
        <v/>
      </c>
      <c r="N111" s="3" t="n"/>
      <c r="O111" s="2" t="n"/>
      <c r="P111" s="2" t="n"/>
    </row>
    <row r="112">
      <c r="A112" s="2" t="n">
        <v>111</v>
      </c>
      <c r="B112" s="2" t="inlineStr">
        <is>
          <t>обрыв</t>
        </is>
      </c>
      <c r="C112" s="2" t="n">
        <v>8586</v>
      </c>
      <c r="D112" s="3" t="inlineStr">
        <is>
          <t>Эгле</t>
        </is>
      </c>
      <c r="E112" s="2" t="n">
        <v>1981</v>
      </c>
      <c r="F112" s="2" t="inlineStr">
        <is>
          <t>телефильм</t>
        </is>
      </c>
      <c r="G112" s="2" t="n"/>
      <c r="H112" s="2" t="n">
        <v>183</v>
      </c>
      <c r="I112" s="2" t="inlineStr">
        <is>
          <t>да</t>
        </is>
      </c>
      <c r="J112" s="2" t="inlineStr">
        <is>
          <t>да</t>
        </is>
      </c>
      <c r="K112" s="3" t="inlineStr">
        <is>
          <t>По поэме литовской поэтессы Саломеи Нерис "Эгле - королева ужей". В фильме использован литовский музыкальный фольклор. Красивая литовская сказка о любви, верности и людской зависти...</t>
        </is>
      </c>
      <c r="L112" s="2" t="inlineStr">
        <is>
          <t>Кино_СССР сводный каталог.xlsx: список телефильмов</t>
        </is>
      </c>
      <c r="M112" s="2">
        <f>HYPERLINK("https://ru.wikipedia.org/w/index.php?search=%D0%AD%D0%B3%D0%BB%D0%B5%201981%20%D1%84%D0%B8%D0%BB%D1%8C%D0%BC","искать")</f>
        <v/>
      </c>
      <c r="N112" s="3" t="n"/>
      <c r="O112" s="2" t="n"/>
      <c r="P112" s="2" t="n"/>
    </row>
    <row r="113">
      <c r="A113" s="2" t="n">
        <v>112</v>
      </c>
      <c r="B113" s="2" t="inlineStr">
        <is>
          <t>обрыв</t>
        </is>
      </c>
      <c r="C113" s="2" t="n">
        <v>9251</v>
      </c>
      <c r="D113" s="3" t="inlineStr">
        <is>
          <t>Бомж. Без определенного места жительства</t>
        </is>
      </c>
      <c r="E113" s="2" t="n">
        <v>1988</v>
      </c>
      <c r="F113" s="2" t="inlineStr">
        <is>
          <t>кинофильм</t>
        </is>
      </c>
      <c r="G113" s="2" t="n"/>
      <c r="H113" s="2" t="n">
        <v>183</v>
      </c>
      <c r="I113" s="2" t="inlineStr">
        <is>
          <t>да</t>
        </is>
      </c>
      <c r="J113" s="2" t="inlineStr"/>
      <c r="K113" s="3" t="inlineStr">
        <is>
          <t>Прожив добрую половину жизни и вспомнив о том, что где-то в далеком провинциальном городке живет бывшая жена с уже повзрослевшим сыном, герой едет туда, где его не ждут и не помнят...</t>
        </is>
      </c>
      <c r="L113" s="2" t="inlineStr">
        <is>
          <t>Кино_СССР сводный каталог.xlsx: список фильмов (доп.)</t>
        </is>
      </c>
      <c r="M113" s="2">
        <f>HYPERLINK("https://ru.wikipedia.org/w/index.php?search=%D0%91%D0%BE%D0%BC%D0%B6.%20%D0%91%D0%B5%D0%B7%20%D0%BE%D0%BF%D1%80%D0%B5%D0%B4%D0%B5%D0%BB%D0%B5%D0%BD%D0%BD%D0%BE%D0%B3%D0%BE%20%D0%BC%D0%B5%D1%81%D1%82%D0%B0%20%D0%B6%D0%B8%D1%82%D0%B5%D0%BB%D1%8C%D1%81%D1%82%D0%B2%D0%B0%201988%20%D1%84%D0%B8%D0%BB%D1%8C%D0%BC","искать")</f>
        <v/>
      </c>
      <c r="N113" s="3" t="n"/>
      <c r="O113" s="2" t="n"/>
      <c r="P113" s="2" t="n"/>
    </row>
    <row r="114">
      <c r="A114" s="2" t="n">
        <v>113</v>
      </c>
      <c r="B114" s="2" t="inlineStr">
        <is>
          <t>обрыв</t>
        </is>
      </c>
      <c r="C114" s="2" t="n">
        <v>14370</v>
      </c>
      <c r="D114" s="3" t="inlineStr">
        <is>
          <t>Курица</t>
        </is>
      </c>
      <c r="E114" s="2" t="n">
        <v>1990</v>
      </c>
      <c r="F114" s="2" t="inlineStr">
        <is>
          <t>мультфильм</t>
        </is>
      </c>
      <c r="G114" s="2" t="inlineStr">
        <is>
          <t>СОЮЗТЕЛЕФИЛЬМ</t>
        </is>
      </c>
      <c r="H114" s="2" t="n">
        <v>184</v>
      </c>
      <c r="I114" s="2" t="inlineStr">
        <is>
          <t>да</t>
        </is>
      </c>
      <c r="J114" s="2" t="inlineStr"/>
      <c r="K114" s="3" t="inlineStr">
        <is>
          <t>По мотивам одноименного рассказа Ф.Кривина. Петух ухаживает за молоденькой курочкой, но она увлечена дождем. Выйдя замуж за петуха, курица не может забыть свою прежнюю привязанность...</t>
        </is>
      </c>
      <c r="L114" s="2" t="inlineStr">
        <is>
          <t>https://animator.ru/db/?p=show_film&amp;fid=6200</t>
        </is>
      </c>
      <c r="M114" s="2">
        <f>HYPERLINK("https://ru.wikipedia.org/w/index.php?search=%D0%9A%D1%83%D1%80%D0%B8%D1%86%D0%B0%201990%20%D1%84%D0%B8%D0%BB%D1%8C%D0%BC","искать")</f>
        <v/>
      </c>
      <c r="N114" s="3" t="n"/>
      <c r="O114" s="2" t="n"/>
      <c r="P114" s="2" t="inlineStr">
        <is>
          <t>ГФФ: «КУРИЦА» 1991 — год отличается, проверить — по сверке другой фильм, не предложено</t>
        </is>
      </c>
    </row>
    <row r="115">
      <c r="A115" s="2" t="n">
        <v>114</v>
      </c>
      <c r="B115" s="2" t="inlineStr">
        <is>
          <t>обрыв</t>
        </is>
      </c>
      <c r="C115" s="2" t="n">
        <v>8293</v>
      </c>
      <c r="D115" s="3" t="inlineStr">
        <is>
          <t>Рядом с тобой</t>
        </is>
      </c>
      <c r="E115" s="2" t="n">
        <v>1976</v>
      </c>
      <c r="F115" s="2" t="inlineStr">
        <is>
          <t>телефильм</t>
        </is>
      </c>
      <c r="G115" s="2" t="n"/>
      <c r="H115" s="2" t="n">
        <v>185</v>
      </c>
      <c r="I115" s="2" t="inlineStr">
        <is>
          <t>да</t>
        </is>
      </c>
      <c r="J115" s="2" t="inlineStr"/>
      <c r="K115" s="3" t="inlineStr">
        <is>
          <t>Телефильм по мотивам повести А.Драбкиной "...И чуть впереди". Героиня фильма - Маша, - готовясь к поступлению в педагогический институт, решила поработать вожатой в пионерском лагере...</t>
        </is>
      </c>
      <c r="L115" s="2" t="inlineStr">
        <is>
          <t>Кино_СССР сводный каталог.xlsx: список телефильмов</t>
        </is>
      </c>
      <c r="M115" s="2">
        <f>HYPERLINK("https://ru.wikipedia.org/w/index.php?search=%D0%A0%D1%8F%D0%B4%D0%BE%D0%BC%20%D1%81%20%D1%82%D0%BE%D0%B1%D0%BE%D0%B9%201976%20%D1%84%D0%B8%D0%BB%D1%8C%D0%BC","искать")</f>
        <v/>
      </c>
      <c r="N115" s="3" t="n"/>
      <c r="O115" s="2" t="n"/>
      <c r="P115" s="2" t="n"/>
    </row>
    <row r="116">
      <c r="A116" s="2" t="n">
        <v>115</v>
      </c>
      <c r="B116" s="2" t="inlineStr">
        <is>
          <t>обрыв</t>
        </is>
      </c>
      <c r="C116" s="2" t="n">
        <v>9586</v>
      </c>
      <c r="D116" s="3" t="inlineStr">
        <is>
          <t>Призрак</t>
        </is>
      </c>
      <c r="E116" s="2" t="n">
        <v>1991</v>
      </c>
      <c r="F116" s="2" t="inlineStr">
        <is>
          <t>кинофильм</t>
        </is>
      </c>
      <c r="G116" s="2" t="n"/>
      <c r="H116" s="2" t="n">
        <v>185</v>
      </c>
      <c r="I116" s="2" t="inlineStr">
        <is>
          <t>да</t>
        </is>
      </c>
      <c r="J116" s="2" t="inlineStr"/>
      <c r="K116" s="3" t="inlineStr">
        <is>
          <t>Неожиданная гибель брата - инспектора рыбнадзора, изменяет жизнь спивающегося бывшего спортсмена, которому прочили блестящую карьеру. Заподозрив местных браконьеров, он решает мстить...</t>
        </is>
      </c>
      <c r="L116" s="2" t="inlineStr">
        <is>
          <t>Кино_СССР сводный каталог.xlsx: список фильмов (доп.)</t>
        </is>
      </c>
      <c r="M116" s="2">
        <f>HYPERLINK("https://ru.wikipedia.org/w/index.php?search=%D0%9F%D1%80%D0%B8%D0%B7%D1%80%D0%B0%D0%BA%201991%20%D1%84%D0%B8%D0%BB%D1%8C%D0%BC","искать")</f>
        <v/>
      </c>
      <c r="N116" s="3" t="n"/>
      <c r="O116" s="2" t="n"/>
      <c r="P116" s="2" t="n"/>
    </row>
    <row r="117">
      <c r="A117" s="2" t="n">
        <v>116</v>
      </c>
      <c r="B117" s="2" t="inlineStr">
        <is>
          <t>обрыв</t>
        </is>
      </c>
      <c r="C117" s="2" t="n">
        <v>12784</v>
      </c>
      <c r="D117" s="3" t="inlineStr">
        <is>
          <t>Кикос</t>
        </is>
      </c>
      <c r="E117" s="2" t="n">
        <v>1979</v>
      </c>
      <c r="F117" s="2" t="inlineStr">
        <is>
          <t>мультфильм</t>
        </is>
      </c>
      <c r="G117" s="2" t="inlineStr">
        <is>
          <t>АРМЕНФИЛЬМ</t>
        </is>
      </c>
      <c r="H117" s="2" t="n">
        <v>185</v>
      </c>
      <c r="I117" s="2" t="inlineStr">
        <is>
          <t>да</t>
        </is>
      </c>
      <c r="J117" s="2" t="inlineStr"/>
      <c r="K117" s="3" t="inlineStr">
        <is>
          <t>по мотивам сказки Ов.Туманяна "Смерть Кикоса"
Убитая горем семья оплакивает смерть сына, племянника и внука Кикоса. Комичность ситуации в том, что бедный Кикос еще не родился на свет...</t>
        </is>
      </c>
      <c r="L117" s="2" t="inlineStr">
        <is>
          <t>https://animator.ru/db/?p=show_film&amp;fid=3993</t>
        </is>
      </c>
      <c r="M117" s="2">
        <f>HYPERLINK("https://ru.wikipedia.org/w/index.php?search=%D0%9A%D0%B8%D0%BA%D0%BE%D1%81%201979%20%D1%84%D0%B8%D0%BB%D1%8C%D0%BC","искать")</f>
        <v/>
      </c>
      <c r="N117" s="3" t="n"/>
      <c r="O117" s="2" t="n"/>
      <c r="P117" s="2" t="n"/>
    </row>
    <row r="118">
      <c r="A118" s="2" t="n">
        <v>117</v>
      </c>
      <c r="B118" s="2" t="inlineStr">
        <is>
          <t>обрыв</t>
        </is>
      </c>
      <c r="C118" s="2" t="n">
        <v>8310</v>
      </c>
      <c r="D118" s="3" t="inlineStr">
        <is>
          <t>Свет и тени</t>
        </is>
      </c>
      <c r="E118" s="2" t="n">
        <v>1970</v>
      </c>
      <c r="F118" s="2" t="inlineStr">
        <is>
          <t>телефильм</t>
        </is>
      </c>
      <c r="G118" s="2" t="n"/>
      <c r="H118" s="2" t="n">
        <v>187</v>
      </c>
      <c r="I118" s="2" t="inlineStr">
        <is>
          <t>да</t>
        </is>
      </c>
      <c r="J118" s="2" t="inlineStr">
        <is>
          <t>да</t>
        </is>
      </c>
      <c r="K118" s="3" t="inlineStr">
        <is>
          <t>Телефильм по мотивам рассказов Рабиндраната Тагора. Действие фильма происходит в индийской деревне в конце XIX века. Колониальная действительность, произвол властей, забитость крестьян...</t>
        </is>
      </c>
      <c r="L118" s="2" t="inlineStr">
        <is>
          <t>Кино_СССР сводный каталог.xlsx: список телефильмов</t>
        </is>
      </c>
      <c r="M118" s="2">
        <f>HYPERLINK("https://ru.wikipedia.org/w/index.php?search=%D0%A1%D0%B2%D0%B5%D1%82%20%D0%B8%20%D1%82%D0%B5%D0%BD%D0%B8%201970%20%D1%84%D0%B8%D0%BB%D1%8C%D0%BC","искать")</f>
        <v/>
      </c>
      <c r="N118" s="3" t="n"/>
      <c r="O118" s="2" t="n"/>
      <c r="P118" s="2" t="n"/>
    </row>
    <row r="119">
      <c r="A119" s="2" t="n">
        <v>118</v>
      </c>
      <c r="B119" s="2" t="inlineStr">
        <is>
          <t>обрыв</t>
        </is>
      </c>
      <c r="C119" s="2" t="n">
        <v>11305</v>
      </c>
      <c r="D119" s="3" t="inlineStr">
        <is>
          <t>Крыша</t>
        </is>
      </c>
      <c r="E119" s="2" t="n">
        <v>1990</v>
      </c>
      <c r="F119" s="2" t="inlineStr">
        <is>
          <t>фильм-спектакль</t>
        </is>
      </c>
      <c r="G119" s="2" t="inlineStr">
        <is>
          <t>ЦТ</t>
        </is>
      </c>
      <c r="H119" s="2" t="n">
        <v>187</v>
      </c>
      <c r="I119" s="2" t="inlineStr">
        <is>
          <t>да</t>
        </is>
      </c>
      <c r="J119" s="2" t="inlineStr"/>
      <c r="K119" s="3" t="inlineStr">
        <is>
          <t>По одноименной пьесе Александра Галина.
Постановка Олега Табакова в Театре-студии.
Начало 1970-х. Обычное течение жизни студенческого общежития нарушает человек по прозвищу «Могильщик»...</t>
        </is>
      </c>
      <c r="L119" s="2" t="inlineStr">
        <is>
          <t>https://www.kino-teatr.ru/teatr/movie/3332/annot/</t>
        </is>
      </c>
      <c r="M119" s="2">
        <f>HYPERLINK("https://ru.wikipedia.org/w/index.php?search=%D0%9A%D1%80%D1%8B%D1%88%D0%B0%201990%20%D1%84%D0%B8%D0%BB%D1%8C%D0%BC","искать")</f>
        <v/>
      </c>
      <c r="N119" s="3" t="n"/>
      <c r="O119" s="2" t="n"/>
      <c r="P119" s="2" t="n"/>
    </row>
    <row r="120">
      <c r="A120" s="2" t="n">
        <v>119</v>
      </c>
      <c r="B120" s="2" t="inlineStr">
        <is>
          <t>обрыв</t>
        </is>
      </c>
      <c r="C120" s="2" t="n">
        <v>8548</v>
      </c>
      <c r="D120" s="3" t="inlineStr">
        <is>
          <t>Человек на мотоцикле</t>
        </is>
      </c>
      <c r="E120" s="2" t="n">
        <v>1986</v>
      </c>
      <c r="F120" s="2" t="inlineStr">
        <is>
          <t>телефильм</t>
        </is>
      </c>
      <c r="G120" s="2" t="n"/>
      <c r="H120" s="2" t="n">
        <v>192</v>
      </c>
      <c r="I120" s="2" t="inlineStr">
        <is>
          <t>да</t>
        </is>
      </c>
      <c r="J120" s="2" t="inlineStr"/>
      <c r="K120" s="3" t="inlineStr">
        <is>
          <t>Молодой шахтер Ахан увлекается фотоохотой. Во время одного из походов в горы он сфотографировал браконьеров на месте преступления. Несмотря на угрозы и шантаж, Ахан разоблачает преступников...</t>
        </is>
      </c>
      <c r="L120" s="2" t="inlineStr">
        <is>
          <t>Кино_СССР сводный каталог.xlsx: список телефильмов</t>
        </is>
      </c>
      <c r="M120" s="2">
        <f>HYPERLINK("https://ru.wikipedia.org/w/index.php?search=%D0%A7%D0%B5%D0%BB%D0%BE%D0%B2%D0%B5%D0%BA%20%D0%BD%D0%B0%20%D0%BC%D0%BE%D1%82%D0%BE%D1%86%D0%B8%D0%BA%D0%BB%D0%B5%201986%20%D1%84%D0%B8%D0%BB%D1%8C%D0%BC","искать")</f>
        <v/>
      </c>
      <c r="N120" s="3" t="n"/>
      <c r="O120" s="2" t="n"/>
      <c r="P120" s="2" t="n"/>
    </row>
    <row r="121">
      <c r="A121" s="2" t="n">
        <v>120</v>
      </c>
      <c r="B121" s="2" t="inlineStr">
        <is>
          <t>обрыв</t>
        </is>
      </c>
      <c r="C121" s="2" t="n">
        <v>7983</v>
      </c>
      <c r="D121" s="3" t="inlineStr">
        <is>
          <t>Немухинские музыканты</t>
        </is>
      </c>
      <c r="E121" s="2" t="n">
        <v>1981</v>
      </c>
      <c r="F121" s="2" t="inlineStr">
        <is>
          <t>телефильм</t>
        </is>
      </c>
      <c r="G121" s="2" t="inlineStr">
        <is>
          <t>ТО «Экран»</t>
        </is>
      </c>
      <c r="H121" s="2" t="n">
        <v>193</v>
      </c>
      <c r="I121" s="2" t="inlineStr">
        <is>
          <t>да</t>
        </is>
      </c>
      <c r="J121" s="2" t="inlineStr"/>
      <c r="K121" s="3" t="inlineStr">
        <is>
          <t>По одноименной сказке В.Каверина. О весьма примерном и ничем непримечательном городе Немухине, в котором после приезда молодой учительницы музыки, стали происходить невероятно странные события…</t>
        </is>
      </c>
      <c r="L121" s="2" t="inlineStr">
        <is>
          <t>Кино_СССР сводный каталог.xlsx: список телефильмов</t>
        </is>
      </c>
      <c r="M121" s="2">
        <f>HYPERLINK("https://ru.wikipedia.org/w/index.php?search=%D0%9D%D0%B5%D0%BC%D1%83%D1%85%D0%B8%D0%BD%D1%81%D0%BA%D0%B8%D0%B5%20%D0%BC%D1%83%D0%B7%D1%8B%D0%BA%D0%B0%D0%BD%D1%82%D1%8B%201981%20%D1%84%D0%B8%D0%BB%D1%8C%D0%BC","искать")</f>
        <v/>
      </c>
      <c r="N121" s="3" t="n"/>
      <c r="O121" s="2" t="n"/>
      <c r="P121" s="2" t="n"/>
    </row>
    <row r="122">
      <c r="A122" s="2" t="n">
        <v>121</v>
      </c>
      <c r="B122" s="2" t="inlineStr">
        <is>
          <t>обрыв</t>
        </is>
      </c>
      <c r="C122" s="2" t="n">
        <v>8040</v>
      </c>
      <c r="D122" s="3" t="inlineStr">
        <is>
          <t>Ой, ой, не наливай!!</t>
        </is>
      </c>
      <c r="E122" s="2" t="n">
        <v>1991</v>
      </c>
      <c r="F122" s="2" t="inlineStr">
        <is>
          <t>телефильм</t>
        </is>
      </c>
      <c r="G122" s="2" t="n"/>
      <c r="H122" s="2" t="n">
        <v>193</v>
      </c>
      <c r="I122" s="2" t="inlineStr">
        <is>
          <t>да</t>
        </is>
      </c>
      <c r="J122" s="2" t="inlineStr"/>
      <c r="K122" s="3" t="inlineStr">
        <is>
          <t>Забавная  комедия о том, как безалкогольная кампания времен перестройки докатилась и до молдавского села. Демонстративная борьба с застольями, лозунги "Долой пьянство!", лицемерие и глупость...</t>
        </is>
      </c>
      <c r="L122" s="2" t="inlineStr">
        <is>
          <t>Кино_СССР сводный каталог.xlsx: список телефильмов</t>
        </is>
      </c>
      <c r="M122" s="2">
        <f>HYPERLINK("https://ru.wikipedia.org/w/index.php?search=%D0%9E%D0%B9%2C%20%D0%BE%D0%B9%2C%20%D0%BD%D0%B5%20%D0%BD%D0%B0%D0%BB%D0%B8%D0%B2%D0%B0%D0%B9%21%21%201991%20%D1%84%D0%B8%D0%BB%D1%8C%D0%BC","искать")</f>
        <v/>
      </c>
      <c r="N122" s="3" t="n"/>
      <c r="O122" s="2" t="n"/>
      <c r="P122" s="2" t="n"/>
    </row>
    <row r="123">
      <c r="A123" s="2" t="n">
        <v>122</v>
      </c>
      <c r="B123" s="2" t="inlineStr">
        <is>
          <t>обрыв</t>
        </is>
      </c>
      <c r="C123" s="2" t="n">
        <v>7407</v>
      </c>
      <c r="D123" s="3" t="inlineStr">
        <is>
          <t>Встреча у высоких снегов</t>
        </is>
      </c>
      <c r="E123" s="2" t="n">
        <v>1981</v>
      </c>
      <c r="F123" s="2" t="inlineStr">
        <is>
          <t>телефильм</t>
        </is>
      </c>
      <c r="G123" s="2" t="n"/>
      <c r="H123" s="2" t="n">
        <v>194</v>
      </c>
      <c r="I123" s="2" t="inlineStr">
        <is>
          <t>да</t>
        </is>
      </c>
      <c r="J123" s="2" t="inlineStr"/>
      <c r="K123" s="3" t="inlineStr">
        <is>
          <t>Телесериал по мотивам повести Ульмаса Умарбекова "Встреча". Джума Саидов по вине богача Аппанбая попал на каторгу. Спустя годы он вернулся в родные места и принял участие в борьбе с басмачами...</t>
        </is>
      </c>
      <c r="L123" s="2" t="inlineStr">
        <is>
          <t>Кино_СССР сводный каталог.xlsx: список телефильмов</t>
        </is>
      </c>
      <c r="M123" s="2">
        <f>HYPERLINK("https://ru.wikipedia.org/w/index.php?search=%D0%92%D1%81%D1%82%D1%80%D0%B5%D1%87%D0%B0%20%D1%83%20%D0%B2%D1%8B%D1%81%D0%BE%D0%BA%D0%B8%D1%85%20%D1%81%D0%BD%D0%B5%D0%B3%D0%BE%D0%B2%201981%20%D1%84%D0%B8%D0%BB%D1%8C%D0%BC","искать")</f>
        <v/>
      </c>
      <c r="N123" s="3" t="n"/>
      <c r="O123" s="2" t="n"/>
      <c r="P123" s="2" t="n"/>
    </row>
    <row r="124">
      <c r="A124" s="2" t="n">
        <v>123</v>
      </c>
      <c r="B124" s="2" t="inlineStr">
        <is>
          <t>обрыв</t>
        </is>
      </c>
      <c r="C124" s="2" t="n">
        <v>8997</v>
      </c>
      <c r="D124" s="3" t="inlineStr">
        <is>
          <t>Путники земли</t>
        </is>
      </c>
      <c r="E124" s="2" t="n">
        <v>1991</v>
      </c>
      <c r="F124" s="2" t="inlineStr">
        <is>
          <t>кинофильм</t>
        </is>
      </c>
      <c r="G124" s="2" t="n"/>
      <c r="H124" s="2" t="n">
        <v>194</v>
      </c>
      <c r="I124" s="2" t="inlineStr">
        <is>
          <t>да</t>
        </is>
      </c>
      <c r="J124" s="2" t="inlineStr">
        <is>
          <t>да</t>
        </is>
      </c>
      <c r="K124" s="3" t="inlineStr">
        <is>
          <t>По новеллам Р.Шавялиса. Действие происходит в маленьком литовском городке, герои — провинциальные интеллигенты. Им и прежде было несладко, но и к новой жизни они никак не могут приспособиться...</t>
        </is>
      </c>
      <c r="L124" s="2" t="inlineStr">
        <is>
          <t>Кино_СССР сводный каталог.xlsx: список фильмов (доп.)</t>
        </is>
      </c>
      <c r="M124" s="2">
        <f>HYPERLINK("https://ru.wikipedia.org/w/index.php?search=%D0%9F%D1%83%D1%82%D0%BD%D0%B8%D0%BA%D0%B8%20%D0%B7%D0%B5%D0%BC%D0%BB%D0%B8%201991%20%D1%84%D0%B8%D0%BB%D1%8C%D0%BC","искать")</f>
        <v/>
      </c>
      <c r="N124" s="3" t="n"/>
      <c r="O124" s="2" t="n"/>
      <c r="P124" s="2" t="n"/>
    </row>
    <row r="125">
      <c r="A125" s="2" t="n">
        <v>124</v>
      </c>
      <c r="B125" s="2" t="inlineStr">
        <is>
          <t>обрыв</t>
        </is>
      </c>
      <c r="C125" s="2" t="n">
        <v>12290</v>
      </c>
      <c r="D125" s="3" t="inlineStr">
        <is>
          <t>Серый волк энд Красная шапочка</t>
        </is>
      </c>
      <c r="E125" s="2" t="n">
        <v>1990</v>
      </c>
      <c r="F125" s="2" t="inlineStr">
        <is>
          <t>мультфильм</t>
        </is>
      </c>
      <c r="G125" s="2" t="inlineStr">
        <is>
          <t>Союзмультфильм</t>
        </is>
      </c>
      <c r="H125" s="2" t="n">
        <v>194</v>
      </c>
      <c r="I125" s="2" t="inlineStr">
        <is>
          <t>да</t>
        </is>
      </c>
      <c r="J125" s="2" t="inlineStr">
        <is>
          <t>да</t>
        </is>
      </c>
      <c r="K125" s="3" t="inlineStr">
        <is>
          <t>Современная музыкальная комедия по мотивам известной сказки в пластилиновом исполнениицитата:— О, ля рус, какой красивый внучка!Съесть хочу я этот вкусный штучка,С чем пирог, а ну-ка отвечай?...</t>
        </is>
      </c>
      <c r="L125" s="2" t="inlineStr">
        <is>
          <t>2026-10_мультфильмы_список_владельца.xlsx; https://animator.ru/db/?p=show_film&amp;fid=3407</t>
        </is>
      </c>
      <c r="M125" s="2">
        <f>HYPERLINK("https://ru.wikipedia.org/w/index.php?search=%D0%A1%D0%B5%D1%80%D1%8B%D0%B9%20%D0%B2%D0%BE%D0%BB%D0%BA%20%D1%8D%D0%BD%D0%B4%20%D0%9A%D1%80%D0%B0%D1%81%D0%BD%D0%B0%D1%8F%20%D1%88%D0%B0%D0%BF%D0%BE%D1%87%D0%BA%D0%B0%201990%20%D1%84%D0%B8%D0%BB%D1%8C%D0%BC","искать")</f>
        <v/>
      </c>
      <c r="N125" s="3" t="n"/>
      <c r="O125" s="2" t="n"/>
      <c r="P125" s="2" t="n"/>
    </row>
    <row r="126">
      <c r="A126" s="2" t="n">
        <v>125</v>
      </c>
      <c r="B126" s="2" t="inlineStr">
        <is>
          <t>обрыв</t>
        </is>
      </c>
      <c r="C126" s="2" t="n">
        <v>7444</v>
      </c>
      <c r="D126" s="3" t="inlineStr">
        <is>
          <t>Голубка</t>
        </is>
      </c>
      <c r="E126" s="2" t="n">
        <v>1978</v>
      </c>
      <c r="F126" s="2" t="inlineStr">
        <is>
          <t>телефильм</t>
        </is>
      </c>
      <c r="G126" s="2" t="n"/>
      <c r="H126" s="2" t="n">
        <v>195</v>
      </c>
      <c r="I126" s="2" t="inlineStr">
        <is>
          <t>да</t>
        </is>
      </c>
      <c r="J126" s="2" t="inlineStr"/>
      <c r="K126" s="3" t="inlineStr">
        <is>
          <t>Сериал. Голубкой друзья зовут москвичку Женю Голубеву, окончившую строительный институт и уехавшую на большую стройку в Сибирь вместе с другими выпускниками МИСИ. По-разному сложатся их судьбы...</t>
        </is>
      </c>
      <c r="L126" s="2" t="inlineStr">
        <is>
          <t>Кино_СССР сводный каталог.xlsx: список телефильмов</t>
        </is>
      </c>
      <c r="M126" s="2">
        <f>HYPERLINK("https://ru.wikipedia.org/w/index.php?search=%D0%93%D0%BE%D0%BB%D1%83%D0%B1%D0%BA%D0%B0%201978%20%D1%84%D0%B8%D0%BB%D1%8C%D0%BC","искать")</f>
        <v/>
      </c>
      <c r="N126" s="3" t="n"/>
      <c r="O126" s="2" t="n"/>
      <c r="P126" s="2" t="n"/>
    </row>
    <row r="127">
      <c r="A127" s="2" t="n">
        <v>126</v>
      </c>
      <c r="B127" s="2" t="inlineStr">
        <is>
          <t>обрыв</t>
        </is>
      </c>
      <c r="C127" s="2" t="n">
        <v>7730</v>
      </c>
      <c r="D127" s="3" t="inlineStr">
        <is>
          <t>Клуб женщин</t>
        </is>
      </c>
      <c r="E127" s="2" t="n">
        <v>1987</v>
      </c>
      <c r="F127" s="2" t="inlineStr">
        <is>
          <t>телефильм</t>
        </is>
      </c>
      <c r="G127" s="2" t="n"/>
      <c r="H127" s="2" t="n">
        <v>195</v>
      </c>
      <c r="I127" s="2" t="inlineStr">
        <is>
          <t>да</t>
        </is>
      </c>
      <c r="J127" s="2" t="inlineStr"/>
      <c r="K127" s="3" t="inlineStr">
        <is>
          <t>Выйдя на пенсию, Майя Дмитриевна решила активизировать свою жизнь и жизнь своих подруг. Они изучают французский язык, совершают туристические поездки. Неожиданно устраивается и их личная жизнь...</t>
        </is>
      </c>
      <c r="L127" s="2" t="inlineStr">
        <is>
          <t>Кино_СССР сводный каталог.xlsx: список телефильмов</t>
        </is>
      </c>
      <c r="M127" s="2">
        <f>HYPERLINK("https://ru.wikipedia.org/w/index.php?search=%D0%9A%D0%BB%D1%83%D0%B1%20%D0%B6%D0%B5%D0%BD%D1%89%D0%B8%D0%BD%201987%20%D1%84%D0%B8%D0%BB%D1%8C%D0%BC","искать")</f>
        <v/>
      </c>
      <c r="N127" s="3" t="n"/>
      <c r="O127" s="2" t="n"/>
      <c r="P127" s="2" t="n"/>
    </row>
    <row r="128">
      <c r="A128" s="2" t="n">
        <v>127</v>
      </c>
      <c r="B128" s="2" t="inlineStr">
        <is>
          <t>обрыв</t>
        </is>
      </c>
      <c r="C128" s="2" t="n">
        <v>10191</v>
      </c>
      <c r="D128" s="3" t="inlineStr">
        <is>
          <t>Доктор Солт уезжает</t>
        </is>
      </c>
      <c r="E128" s="2" t="n">
        <v>1967</v>
      </c>
      <c r="F128" s="2" t="inlineStr">
        <is>
          <t>фильм-спектакль</t>
        </is>
      </c>
      <c r="G128" s="2" t="inlineStr">
        <is>
          <t>Ленинградское ТВ</t>
        </is>
      </c>
      <c r="H128" s="2" t="n">
        <v>195</v>
      </c>
      <c r="I128" s="2" t="inlineStr">
        <is>
          <t>да</t>
        </is>
      </c>
      <c r="J128" s="2" t="inlineStr"/>
      <c r="K128" s="3" t="inlineStr">
        <is>
          <t>Телефильм создан по пьесе Джона Бойтона Пристли.
Действия фильма происходят в Англии. Происходит убийство. Несмотря на попытки скрыть преступление доктор Солт устанавливает истинного виновника...</t>
        </is>
      </c>
      <c r="L128" s="2" t="inlineStr">
        <is>
          <t>https://www.kino-teatr.ru/teatr/movie/92885/annot/</t>
        </is>
      </c>
      <c r="M128" s="2">
        <f>HYPERLINK("https://ru.wikipedia.org/w/index.php?search=%D0%94%D0%BE%D0%BA%D1%82%D0%BE%D1%80%20%D0%A1%D0%BE%D0%BB%D1%82%20%D1%83%D0%B5%D0%B7%D0%B6%D0%B0%D0%B5%D1%82%201967%20%D1%84%D0%B8%D0%BB%D1%8C%D0%BC","искать")</f>
        <v/>
      </c>
      <c r="N128" s="3" t="n"/>
      <c r="O128" s="2" t="n"/>
      <c r="P128" s="2" t="n"/>
    </row>
    <row r="129">
      <c r="A129" s="2" t="n">
        <v>128</v>
      </c>
      <c r="B129" s="2" t="inlineStr">
        <is>
          <t>обрыв</t>
        </is>
      </c>
      <c r="C129" s="2" t="n">
        <v>11196</v>
      </c>
      <c r="D129" s="3" t="inlineStr">
        <is>
          <t>Дон Жуан, или Любовь к геометрии</t>
        </is>
      </c>
      <c r="E129" s="2" t="n">
        <v>1988</v>
      </c>
      <c r="F129" s="2" t="inlineStr">
        <is>
          <t>фильм-спектакль</t>
        </is>
      </c>
      <c r="G129" s="2" t="inlineStr">
        <is>
          <t>Ленинградское телевидение</t>
        </is>
      </c>
      <c r="H129" s="2" t="n">
        <v>195</v>
      </c>
      <c r="I129" s="2" t="inlineStr">
        <is>
          <t>да</t>
        </is>
      </c>
      <c r="J129" s="2" t="inlineStr">
        <is>
          <t>да</t>
        </is>
      </c>
      <c r="K129" s="3" t="inlineStr">
        <is>
          <t>Фильм-спектакль по пьесе Макса Фриша.
Действие разворачивается в Севилье. Дон Жуан, двадцатилетний молодой человек, совершенно не интересуется женщинами. Душа его всецело принадлежит геометрии...</t>
        </is>
      </c>
      <c r="L129" s="2" t="inlineStr">
        <is>
          <t>https://www.kino-teatr.ru/teatr/movie/98279/annot/</t>
        </is>
      </c>
      <c r="M129" s="2">
        <f>HYPERLINK("https://ru.wikipedia.org/w/index.php?search=%D0%94%D0%BE%D0%BD%20%D0%96%D1%83%D0%B0%D0%BD%2C%20%D0%B8%D0%BB%D0%B8%20%D0%9B%D1%8E%D0%B1%D0%BE%D0%B2%D1%8C%20%D0%BA%20%D0%B3%D0%B5%D0%BE%D0%BC%D0%B5%D1%82%D1%80%D0%B8%D0%B8%201988%20%D1%84%D0%B8%D0%BB%D1%8C%D0%BC","искать")</f>
        <v/>
      </c>
      <c r="N129" s="3" t="n"/>
      <c r="O129" s="2" t="n"/>
      <c r="P129" s="2" t="n"/>
    </row>
    <row r="130">
      <c r="A130" s="2" t="n">
        <v>129</v>
      </c>
      <c r="B130" s="2" t="inlineStr">
        <is>
          <t>обрыв</t>
        </is>
      </c>
      <c r="C130" s="2" t="n">
        <v>7553</v>
      </c>
      <c r="D130" s="3" t="inlineStr">
        <is>
          <t>Дорога к себе</t>
        </is>
      </c>
      <c r="E130" s="2" t="n">
        <v>1984</v>
      </c>
      <c r="F130" s="2" t="inlineStr">
        <is>
          <t>телефильм</t>
        </is>
      </c>
      <c r="G130" s="2" t="n"/>
      <c r="H130" s="2" t="n">
        <v>196</v>
      </c>
      <c r="I130" s="2" t="inlineStr">
        <is>
          <t>да</t>
        </is>
      </c>
      <c r="J130" s="2" t="inlineStr"/>
      <c r="K130" s="3" t="inlineStr">
        <is>
          <t>Телефильм. Веня Сидельников тайком от родителей уезжает на большую стройку. Только встретившись с настоящими трудностями, юноша сможет проявить лучшие черты характера и найти свое место в жизни...</t>
        </is>
      </c>
      <c r="L130" s="2" t="inlineStr">
        <is>
          <t>Кино_СССР сводный каталог.xlsx: список телефильмов</t>
        </is>
      </c>
      <c r="M130" s="2">
        <f>HYPERLINK("https://ru.wikipedia.org/w/index.php?search=%D0%94%D0%BE%D1%80%D0%BE%D0%B3%D0%B0%20%D0%BA%20%D1%81%D0%B5%D0%B1%D0%B5%201984%20%D1%84%D0%B8%D0%BB%D1%8C%D0%BC","искать")</f>
        <v/>
      </c>
      <c r="N130" s="3" t="n"/>
      <c r="O130" s="2" t="n"/>
      <c r="P130" s="2" t="n"/>
    </row>
    <row r="131">
      <c r="A131" s="2" t="n">
        <v>130</v>
      </c>
      <c r="B131" s="2" t="inlineStr">
        <is>
          <t>обрыв</t>
        </is>
      </c>
      <c r="C131" s="2" t="n">
        <v>8123</v>
      </c>
      <c r="D131" s="3" t="inlineStr">
        <is>
          <t>По следам Карабаира</t>
        </is>
      </c>
      <c r="E131" s="2" t="n">
        <v>1979</v>
      </c>
      <c r="F131" s="2" t="inlineStr">
        <is>
          <t>телефильм</t>
        </is>
      </c>
      <c r="G131" s="2" t="n"/>
      <c r="H131" s="2" t="n">
        <v>196</v>
      </c>
      <c r="I131" s="2" t="inlineStr">
        <is>
          <t>да</t>
        </is>
      </c>
      <c r="J131" s="2" t="inlineStr">
        <is>
          <t>да</t>
        </is>
      </c>
      <c r="K131" s="3" t="inlineStr">
        <is>
          <t>По одноимённому роману Рашида Кешокова. Доблестная советская милиция борется с контрреволюционным бандитизмом, помогая кавказской бедноте идти трудной дорогой в светлое социалистическое будущее...</t>
        </is>
      </c>
      <c r="L131" s="2" t="inlineStr">
        <is>
          <t>Кино_СССР сводный каталог.xlsx: список телефильмов</t>
        </is>
      </c>
      <c r="M131" s="2">
        <f>HYPERLINK("https://ru.wikipedia.org/w/index.php?search=%D0%9F%D0%BE%20%D1%81%D0%BB%D0%B5%D0%B4%D0%B0%D0%BC%20%D0%9A%D0%B0%D1%80%D0%B0%D0%B1%D0%B0%D0%B8%D1%80%D0%B0%201979%20%D1%84%D0%B8%D0%BB%D1%8C%D0%BC","искать")</f>
        <v/>
      </c>
      <c r="N131" s="3" t="n"/>
      <c r="O131" s="2" t="n"/>
      <c r="P131" s="2" t="n"/>
    </row>
    <row r="132">
      <c r="A132" s="2" t="n">
        <v>131</v>
      </c>
      <c r="B132" s="2" t="inlineStr">
        <is>
          <t>обрыв</t>
        </is>
      </c>
      <c r="C132" s="2" t="n">
        <v>8820</v>
      </c>
      <c r="D132" s="3" t="inlineStr">
        <is>
          <t>Мария</t>
        </is>
      </c>
      <c r="E132" s="2" t="n">
        <v>1988</v>
      </c>
      <c r="F132" s="2" t="inlineStr">
        <is>
          <t>кинофильм</t>
        </is>
      </c>
      <c r="G132" s="2" t="n"/>
      <c r="H132" s="2" t="n">
        <v>196</v>
      </c>
      <c r="I132" s="2" t="inlineStr">
        <is>
          <t>да</t>
        </is>
      </c>
      <c r="J132" s="2" t="inlineStr">
        <is>
          <t>да</t>
        </is>
      </c>
      <c r="K132" s="3" t="inlineStr">
        <is>
          <t>По мотивам новеллы Евгения Гуала "Копитами збито". Действие фильма разворачивается в первые месяцы после окончания Великой Отечественной войны. Люди, залечивая раны, возвращаются в мирную жизнь...</t>
        </is>
      </c>
      <c r="L132" s="2" t="inlineStr">
        <is>
          <t>Кино_СССР сводный каталог.xlsx: список фильмов (доп.)</t>
        </is>
      </c>
      <c r="M132" s="2">
        <f>HYPERLINK("https://ru.wikipedia.org/w/index.php?search=%D0%9C%D0%B0%D1%80%D0%B8%D1%8F%201988%20%D1%84%D0%B8%D0%BB%D1%8C%D0%BC","искать")</f>
        <v/>
      </c>
      <c r="N132" s="3" t="n"/>
      <c r="O132" s="2" t="n"/>
      <c r="P132" s="2" t="n"/>
    </row>
    <row r="133">
      <c r="A133" s="2" t="n">
        <v>132</v>
      </c>
      <c r="B133" s="2" t="inlineStr">
        <is>
          <t>обрыв</t>
        </is>
      </c>
      <c r="C133" s="2" t="n">
        <v>9652</v>
      </c>
      <c r="D133" s="3" t="inlineStr">
        <is>
          <t>Случайный вальс</t>
        </is>
      </c>
      <c r="E133" s="2" t="n">
        <v>1989</v>
      </c>
      <c r="F133" s="2" t="inlineStr">
        <is>
          <t>кинофильм</t>
        </is>
      </c>
      <c r="G133" s="2" t="n"/>
      <c r="H133" s="2" t="n">
        <v>196</v>
      </c>
      <c r="I133" s="2" t="inlineStr">
        <is>
          <t>да</t>
        </is>
      </c>
      <c r="J133" s="2" t="inlineStr"/>
      <c r="K133" s="3" t="inlineStr">
        <is>
          <t>Чтобы избавиться от тоски и зарядиться оптимизмом, Татьяна Прокофьевна - немолодая женщина с привычками и повадками красавицы - приглашает к себе юных постояльцев и принимается их щедро опекать...</t>
        </is>
      </c>
      <c r="L133" s="2" t="inlineStr">
        <is>
          <t>Кино_СССР сводный каталог.xlsx: список фильмов (доп.)</t>
        </is>
      </c>
      <c r="M133" s="2">
        <f>HYPERLINK("https://ru.wikipedia.org/w/index.php?search=%D0%A1%D0%BB%D1%83%D1%87%D0%B0%D0%B9%D0%BD%D1%8B%D0%B9%20%D0%B2%D0%B0%D0%BB%D1%8C%D1%81%201989%20%D1%84%D0%B8%D0%BB%D1%8C%D0%BC","искать")</f>
        <v/>
      </c>
      <c r="N133" s="3" t="n"/>
      <c r="O133" s="2" t="n"/>
      <c r="P133" s="2" t="n"/>
    </row>
    <row r="134">
      <c r="A134" s="2" t="n">
        <v>133</v>
      </c>
      <c r="B134" s="2" t="inlineStr">
        <is>
          <t>обрыв</t>
        </is>
      </c>
      <c r="C134" s="2" t="n">
        <v>10697</v>
      </c>
      <c r="D134" s="3" t="inlineStr">
        <is>
          <t>Мгновение правды</t>
        </is>
      </c>
      <c r="E134" s="2" t="n">
        <v>1977</v>
      </c>
      <c r="F134" s="2" t="inlineStr">
        <is>
          <t>фильм-спектакль</t>
        </is>
      </c>
      <c r="G134" s="2" t="inlineStr">
        <is>
          <t>Литовское телевидение</t>
        </is>
      </c>
      <c r="H134" s="2" t="n">
        <v>198</v>
      </c>
      <c r="I134" s="2" t="inlineStr">
        <is>
          <t>да</t>
        </is>
      </c>
      <c r="J134" s="2" t="inlineStr"/>
      <c r="K134" s="3" t="inlineStr">
        <is>
          <t>Спектакль по пьесе А.Лауринчюкаса, в которой персонажи втянуты в интригующий сюжет с элементами детектива и мелодрамы . По мере того как развиваются события, проявляются моральные принципы героев...</t>
        </is>
      </c>
      <c r="L134" s="2" t="inlineStr">
        <is>
          <t>https://www.kino-teatr.ru/teatr/movie/106588/annot/</t>
        </is>
      </c>
      <c r="M134" s="2">
        <f>HYPERLINK("https://ru.wikipedia.org/w/index.php?search=%D0%9C%D0%B3%D0%BD%D0%BE%D0%B2%D0%B5%D0%BD%D0%B8%D0%B5%20%D0%BF%D1%80%D0%B0%D0%B2%D0%B4%D1%8B%201977%20%D1%84%D0%B8%D0%BB%D1%8C%D0%BC","искать")</f>
        <v/>
      </c>
      <c r="N134" s="3" t="n"/>
      <c r="O134" s="2" t="n"/>
      <c r="P134" s="2" t="n"/>
    </row>
    <row r="135">
      <c r="A135" s="2" t="n">
        <v>134</v>
      </c>
      <c r="B135" s="2" t="inlineStr">
        <is>
          <t>обрыв</t>
        </is>
      </c>
      <c r="C135" s="2" t="n">
        <v>10685</v>
      </c>
      <c r="D135" s="3" t="inlineStr">
        <is>
          <t>Деревья умирают стоя</t>
        </is>
      </c>
      <c r="E135" s="2" t="n">
        <v>1977</v>
      </c>
      <c r="F135" s="2" t="inlineStr">
        <is>
          <t>фильм-спектакль</t>
        </is>
      </c>
      <c r="G135" s="2" t="inlineStr">
        <is>
          <t>Ленинградское телевидение</t>
        </is>
      </c>
      <c r="H135" s="2" t="n">
        <v>199</v>
      </c>
      <c r="I135" s="2" t="inlineStr">
        <is>
          <t>да</t>
        </is>
      </c>
      <c r="J135" s="2" t="inlineStr"/>
      <c r="K135" s="3" t="inlineStr">
        <is>
          <t>По мотивам пьесы испанского драматурга Алехандро Касона.
Прошло 20 лет с тех самых пор, как мистер Бальбоа, будучи не в состоянии смириться с дурными наклонностями своего внука, выгнал его из дома...</t>
        </is>
      </c>
      <c r="L135" s="2" t="inlineStr">
        <is>
          <t>https://www.kino-teatr.ru/teatr/movie/16162/annot/</t>
        </is>
      </c>
      <c r="M135" s="2">
        <f>HYPERLINK("https://ru.wikipedia.org/w/index.php?search=%D0%94%D0%B5%D1%80%D0%B5%D0%B2%D1%8C%D1%8F%20%D1%83%D0%BC%D0%B8%D1%80%D0%B0%D1%8E%D1%82%20%D1%81%D1%82%D0%BE%D1%8F%201977%20%D1%84%D0%B8%D0%BB%D1%8C%D0%BC","искать")</f>
        <v/>
      </c>
      <c r="N135" s="3" t="n"/>
      <c r="O135" s="2" t="n"/>
      <c r="P135" s="2" t="n"/>
    </row>
    <row r="136">
      <c r="A136" s="2" t="n">
        <v>135</v>
      </c>
      <c r="B136" s="2" t="inlineStr">
        <is>
          <t>обрыв</t>
        </is>
      </c>
      <c r="C136" s="2" t="n">
        <v>9762</v>
      </c>
      <c r="D136" s="3" t="inlineStr">
        <is>
          <t>Шакалы</t>
        </is>
      </c>
      <c r="E136" s="2" t="n">
        <v>1989</v>
      </c>
      <c r="F136" s="2" t="inlineStr">
        <is>
          <t>кинофильм</t>
        </is>
      </c>
      <c r="G136" s="2" t="n"/>
      <c r="H136" s="2" t="n">
        <v>201</v>
      </c>
      <c r="I136" s="2" t="inlineStr">
        <is>
          <t>да</t>
        </is>
      </c>
      <c r="J136" s="2" t="inlineStr"/>
      <c r="K136" s="3" t="inlineStr">
        <is>
          <t>Трое демобилизованных «афганцев» прибывают в один из городов Средней Азии. И уже в аэропорту между ними и местной неофашистской организацией, безнаказанно бесчинствующей в городе, начинается схватка...</t>
        </is>
      </c>
      <c r="L136" s="2" t="inlineStr">
        <is>
          <t>Кино_СССР сводный каталог.xlsx: список фильмов (доп.)</t>
        </is>
      </c>
      <c r="M136" s="2">
        <f>HYPERLINK("https://ru.wikipedia.org/w/index.php?search=%D0%A8%D0%B0%D0%BA%D0%B0%D0%BB%D1%8B%201989%20%D1%84%D0%B8%D0%BB%D1%8C%D0%BC","искать")</f>
        <v/>
      </c>
      <c r="N136" s="3" t="n"/>
      <c r="O136" s="2" t="n"/>
      <c r="P136" s="2" t="n"/>
    </row>
    <row r="137">
      <c r="A137" s="2" t="n">
        <v>136</v>
      </c>
      <c r="B137" s="2" t="inlineStr">
        <is>
          <t>обрыв</t>
        </is>
      </c>
      <c r="C137" s="2" t="n">
        <v>10065</v>
      </c>
      <c r="D137" s="3" t="inlineStr">
        <is>
          <t>Три маски</t>
        </is>
      </c>
      <c r="E137" s="2" t="n">
        <v>1957</v>
      </c>
      <c r="F137" s="2" t="inlineStr">
        <is>
          <t>фильм-спектакль</t>
        </is>
      </c>
      <c r="G137" s="2" t="inlineStr">
        <is>
          <t>Radiotelevisão Portuguesa (RTP)</t>
        </is>
      </c>
      <c r="H137" s="2" t="n">
        <v>201</v>
      </c>
      <c r="I137" s="2" t="inlineStr">
        <is>
          <t>да</t>
        </is>
      </c>
      <c r="J137" s="2" t="inlineStr"/>
      <c r="K137" s="3" t="inlineStr">
        <is>
          <t>По пьесе португальского драматурга Жозе Режиу.
Главные персонажи-маски телеспектакля - Мефистофель, Коломбина и Пьеро. Пьеро и Мефистофель соперничают за сердце служанки Коломбины во время карнавала...</t>
        </is>
      </c>
      <c r="L137" s="2" t="inlineStr">
        <is>
          <t>https://www.kino-teatr.ru/teatr/movie/130573/annot/</t>
        </is>
      </c>
      <c r="M137" s="2">
        <f>HYPERLINK("https://ru.wikipedia.org/w/index.php?search=%D0%A2%D1%80%D0%B8%20%D0%BC%D0%B0%D1%81%D0%BA%D0%B8%201957%20%D1%84%D0%B8%D0%BB%D1%8C%D0%BC","искать")</f>
        <v/>
      </c>
      <c r="N137" s="3" t="n"/>
      <c r="O137" s="2" t="n"/>
      <c r="P137" s="2" t="n"/>
    </row>
    <row r="138">
      <c r="A138" s="2" t="n">
        <v>137</v>
      </c>
      <c r="B138" s="2" t="inlineStr">
        <is>
          <t>обрыв</t>
        </is>
      </c>
      <c r="C138" s="2" t="n">
        <v>8383</v>
      </c>
      <c r="D138" s="3" t="inlineStr">
        <is>
          <t>Сорванцы, вперёд!</t>
        </is>
      </c>
      <c r="E138" s="2" t="n">
        <v>1986</v>
      </c>
      <c r="F138" s="2" t="inlineStr">
        <is>
          <t>телефильм</t>
        </is>
      </c>
      <c r="G138" s="2" t="n"/>
      <c r="H138" s="2" t="n">
        <v>202</v>
      </c>
      <c r="I138" s="2" t="inlineStr">
        <is>
          <t>да</t>
        </is>
      </c>
      <c r="J138" s="2" t="inlineStr">
        <is>
          <t>да</t>
        </is>
      </c>
      <c r="K138" s="3" t="inlineStr">
        <is>
          <t>Фильм поставлен по мотивам повести В.Даутартаса "Он - капитан Сорвиголова" и рассказывает о трёх мальчишках, обделённых вниманием родителей и в чём-то разочаровавшихся, ищущих романтики и приключений...</t>
        </is>
      </c>
      <c r="L138" s="2" t="inlineStr">
        <is>
          <t>Кино_СССР сводный каталог.xlsx: список телефильмов</t>
        </is>
      </c>
      <c r="M138" s="2">
        <f>HYPERLINK("https://ru.wikipedia.org/w/index.php?search=%D0%A1%D0%BE%D1%80%D0%B2%D0%B0%D0%BD%D1%86%D1%8B%2C%20%D0%B2%D0%BF%D0%B5%D1%80%D1%91%D0%B4%21%201986%20%D1%84%D0%B8%D0%BB%D1%8C%D0%BC","искать")</f>
        <v/>
      </c>
      <c r="N138" s="3" t="n"/>
      <c r="O138" s="2" t="n"/>
      <c r="P138" s="2" t="n"/>
    </row>
    <row r="139">
      <c r="A139" s="2" t="n">
        <v>138</v>
      </c>
      <c r="B139" s="2" t="inlineStr">
        <is>
          <t>обрыв</t>
        </is>
      </c>
      <c r="C139" s="2" t="n">
        <v>7388</v>
      </c>
      <c r="D139" s="3" t="inlineStr">
        <is>
          <t>Время выбрало нас</t>
        </is>
      </c>
      <c r="E139" s="2" t="n">
        <v>1976</v>
      </c>
      <c r="F139" s="2" t="inlineStr">
        <is>
          <t>телефильм</t>
        </is>
      </c>
      <c r="G139" s="2" t="n"/>
      <c r="H139" s="2" t="n">
        <v>203</v>
      </c>
      <c r="I139" s="2" t="inlineStr">
        <is>
          <t>да</t>
        </is>
      </c>
      <c r="J139" s="2" t="inlineStr"/>
      <c r="K139" s="3" t="inlineStr">
        <is>
          <t>Многосерийный телефильм. Партизанская сага. Зима 1942 года. Ивану Воронецкому в качестве уполномоченного Центрального комитета комсомола Белоруссии и его группе из пяти человек поручают особое задание...</t>
        </is>
      </c>
      <c r="L139" s="2" t="inlineStr">
        <is>
          <t>Кино_СССР сводный каталог.xlsx: список телефильмов</t>
        </is>
      </c>
      <c r="M139" s="2">
        <f>HYPERLINK("https://ru.wikipedia.org/w/index.php?search=%D0%92%D1%80%D0%B5%D0%BC%D1%8F%20%D0%B2%D1%8B%D0%B1%D1%80%D0%B0%D0%BB%D0%BE%20%D0%BD%D0%B0%D1%81%201976%20%D1%84%D0%B8%D0%BB%D1%8C%D0%BC","искать")</f>
        <v/>
      </c>
      <c r="N139" s="3" t="n"/>
      <c r="O139" s="2" t="n"/>
      <c r="P139" s="2" t="n"/>
    </row>
    <row r="140">
      <c r="A140" s="2" t="n">
        <v>139</v>
      </c>
      <c r="B140" s="2" t="inlineStr">
        <is>
          <t>обрыв</t>
        </is>
      </c>
      <c r="C140" s="2" t="n">
        <v>7762</v>
      </c>
      <c r="D140" s="3" t="inlineStr">
        <is>
          <t>Красная юрта</t>
        </is>
      </c>
      <c r="E140" s="2" t="n">
        <v>1982</v>
      </c>
      <c r="F140" s="2" t="inlineStr">
        <is>
          <t>телефильм</t>
        </is>
      </c>
      <c r="G140" s="2" t="n"/>
      <c r="H140" s="2" t="n">
        <v>203</v>
      </c>
      <c r="I140" s="2" t="inlineStr">
        <is>
          <t>да</t>
        </is>
      </c>
      <c r="J140" s="2" t="inlineStr"/>
      <c r="K140" s="3" t="inlineStr">
        <is>
          <t>В годы коллективизации в глухой казахский аул приехала агитбригада "Красная юрта". Боясь организации в ауле колхоза, местные жители пытались бежать за границу, но члены агитбригады вступили с ними в бой…</t>
        </is>
      </c>
      <c r="L140" s="2" t="inlineStr">
        <is>
          <t>Кино_СССР сводный каталог.xlsx: список телефильмов</t>
        </is>
      </c>
      <c r="M140" s="2">
        <f>HYPERLINK("https://ru.wikipedia.org/w/index.php?search=%D0%9A%D1%80%D0%B0%D1%81%D0%BD%D0%B0%D1%8F%20%D1%8E%D1%80%D1%82%D0%B0%201982%20%D1%84%D0%B8%D0%BB%D1%8C%D0%BC","искать")</f>
        <v/>
      </c>
      <c r="N140" s="3" t="n"/>
      <c r="O140" s="2" t="n"/>
      <c r="P140" s="2" t="n"/>
    </row>
    <row r="141">
      <c r="A141" s="2" t="n">
        <v>140</v>
      </c>
      <c r="B141" s="2" t="inlineStr">
        <is>
          <t>обрыв</t>
        </is>
      </c>
      <c r="C141" s="2" t="n">
        <v>12096</v>
      </c>
      <c r="D141" s="3" t="inlineStr">
        <is>
          <t>Синеглазка</t>
        </is>
      </c>
      <c r="E141" s="2" t="n">
        <v>1984</v>
      </c>
      <c r="F141" s="2" t="inlineStr">
        <is>
          <t>мультфильм</t>
        </is>
      </c>
      <c r="G141" s="2" t="inlineStr">
        <is>
          <t>Союзмультфильм</t>
        </is>
      </c>
      <c r="H141" s="2" t="n">
        <v>204</v>
      </c>
      <c r="I141" s="2" t="inlineStr">
        <is>
          <t>да</t>
        </is>
      </c>
      <c r="J141" s="2" t="inlineStr"/>
      <c r="K141" s="3" t="inlineStr">
        <is>
          <t>Мультипликационный фильм, созданный на основе фольклора и стилизованный под Палех, в музыкально-поэтической форме повествующий о любви и преданности... О Синеглазке, которая ждет друга милого Никитушку...</t>
        </is>
      </c>
      <c r="L141" s="2" t="inlineStr">
        <is>
          <t>2026-10_мультфильмы_список_владельца.xlsx; https://animator.ru/db/?p=show_film&amp;fid=3212</t>
        </is>
      </c>
      <c r="M141" s="2">
        <f>HYPERLINK("https://ru.wikipedia.org/w/index.php?search=%D0%A1%D0%B8%D0%BD%D0%B5%D0%B3%D0%BB%D0%B0%D0%B7%D0%BA%D0%B0%201984%20%D1%84%D0%B8%D0%BB%D1%8C%D0%BC","искать")</f>
        <v/>
      </c>
      <c r="N141" s="3" t="n"/>
      <c r="O141" s="2" t="n"/>
      <c r="P141" s="2" t="n"/>
    </row>
    <row r="142">
      <c r="A142" s="2" t="n">
        <v>141</v>
      </c>
      <c r="B142" s="2" t="inlineStr">
        <is>
          <t>обрыв</t>
        </is>
      </c>
      <c r="C142" s="2" t="n">
        <v>8552</v>
      </c>
      <c r="D142" s="3" t="inlineStr">
        <is>
          <t>Чемпион</t>
        </is>
      </c>
      <c r="E142" s="2" t="n">
        <v>1979</v>
      </c>
      <c r="F142" s="2" t="inlineStr">
        <is>
          <t>телефильм</t>
        </is>
      </c>
      <c r="G142" s="2" t="n"/>
      <c r="H142" s="2" t="n">
        <v>205</v>
      </c>
      <c r="I142" s="2" t="inlineStr">
        <is>
          <t>да</t>
        </is>
      </c>
      <c r="J142" s="2" t="inlineStr"/>
      <c r="K142" s="3" t="inlineStr">
        <is>
          <t>По мотивам одноименной повести Б.Сокпакбаева. О том, как дружба с веселой и находчивой девочкой помогла герою фильма преодолеть свою нерешительность и стать победителем в школьных соревнованиях по боксу...</t>
        </is>
      </c>
      <c r="L142" s="2" t="inlineStr">
        <is>
          <t>Кино_СССР сводный каталог.xlsx: список телефильмов</t>
        </is>
      </c>
      <c r="M142" s="2">
        <f>HYPERLINK("https://ru.wikipedia.org/w/index.php?search=%D0%A7%D0%B5%D0%BC%D0%BF%D0%B8%D0%BE%D0%BD%201979%20%D1%84%D0%B8%D0%BB%D1%8C%D0%BC","искать")</f>
        <v/>
      </c>
      <c r="N142" s="3" t="n"/>
      <c r="O142" s="2" t="n"/>
      <c r="P142" s="2" t="n"/>
    </row>
    <row r="143">
      <c r="A143" s="2" t="n">
        <v>142</v>
      </c>
      <c r="B143" s="2" t="inlineStr">
        <is>
          <t>обрыв</t>
        </is>
      </c>
      <c r="C143" s="2" t="n">
        <v>8162</v>
      </c>
      <c r="D143" s="3" t="inlineStr">
        <is>
          <t>Пора летних гроз</t>
        </is>
      </c>
      <c r="E143" s="2" t="n">
        <v>1980</v>
      </c>
      <c r="F143" s="2" t="inlineStr">
        <is>
          <t>телефильм</t>
        </is>
      </c>
      <c r="G143" s="2" t="n"/>
      <c r="H143" s="2" t="n">
        <v>209</v>
      </c>
      <c r="I143" s="2" t="inlineStr">
        <is>
          <t>да</t>
        </is>
      </c>
      <c r="J143" s="2" t="inlineStr">
        <is>
          <t>да</t>
        </is>
      </c>
      <c r="K143" s="3" t="inlineStr">
        <is>
          <t>Каждый рабочий день героев фильма Ксении Барышевой, секретаря Просторненского сельского райкома, и Сергея Грачева, второго секретаря райкома, наполнен думами и заботами, связанными с будущим колхозного села...</t>
        </is>
      </c>
      <c r="L143" s="2" t="inlineStr">
        <is>
          <t>Кино_СССР сводный каталог.xlsx: список телефильмов</t>
        </is>
      </c>
      <c r="M143" s="2">
        <f>HYPERLINK("https://ru.wikipedia.org/w/index.php?search=%D0%9F%D0%BE%D1%80%D0%B0%20%D0%BB%D0%B5%D1%82%D0%BD%D0%B8%D1%85%20%D0%B3%D1%80%D0%BE%D0%B7%201980%20%D1%84%D0%B8%D0%BB%D1%8C%D0%BC","искать")</f>
        <v/>
      </c>
      <c r="N143" s="3" t="n"/>
      <c r="O143" s="2" t="n"/>
      <c r="P143" s="2" t="n"/>
    </row>
    <row r="144">
      <c r="A144" s="2" t="n">
        <v>143</v>
      </c>
      <c r="B144" s="2" t="inlineStr">
        <is>
          <t>обрыв</t>
        </is>
      </c>
      <c r="C144" s="2" t="n">
        <v>9167</v>
      </c>
      <c r="D144" s="3" t="inlineStr">
        <is>
          <t>Шаг вправо... шаг влево...</t>
        </is>
      </c>
      <c r="E144" s="2" t="n">
        <v>1991</v>
      </c>
      <c r="F144" s="2" t="inlineStr">
        <is>
          <t>кинофильм</t>
        </is>
      </c>
      <c r="G144" s="2" t="n"/>
      <c r="H144" s="2" t="n">
        <v>209</v>
      </c>
      <c r="I144" s="2" t="inlineStr">
        <is>
          <t>да</t>
        </is>
      </c>
      <c r="J144" s="2" t="inlineStr"/>
      <c r="K144" s="3" t="inlineStr">
        <is>
          <t>Можно ли убежать от судьбы, если тихо и незаметно жить, не причиняя никому зла? Оказывается нельзя. Так приезд известной певицы и популярной тележурналистки влечет за собой роковые и непредсказуемые события...</t>
        </is>
      </c>
      <c r="L144" s="2" t="inlineStr">
        <is>
          <t>Кино_СССР сводный каталог.xlsx: список фильмов (доп.)</t>
        </is>
      </c>
      <c r="M144" s="2">
        <f>HYPERLINK("https://ru.wikipedia.org/w/index.php?search=%D0%A8%D0%B0%D0%B3%20%D0%B2%D0%BF%D1%80%D0%B0%D0%B2%D0%BE...%20%D1%88%D0%B0%D0%B3%20%D0%B2%D0%BB%D0%B5%D0%B2%D0%BE...%201991%20%D1%84%D0%B8%D0%BB%D1%8C%D0%BC","искать")</f>
        <v/>
      </c>
      <c r="N144" s="3" t="n"/>
      <c r="O144" s="2" t="n"/>
      <c r="P144" s="2" t="n"/>
    </row>
    <row r="145">
      <c r="A145" s="2" t="n">
        <v>144</v>
      </c>
      <c r="B145" s="2" t="inlineStr">
        <is>
          <t>обрыв</t>
        </is>
      </c>
      <c r="C145" s="2" t="n">
        <v>9760</v>
      </c>
      <c r="D145" s="3" t="inlineStr">
        <is>
          <t>Чудовище или кто-то другой...</t>
        </is>
      </c>
      <c r="E145" s="2" t="n">
        <v>1988</v>
      </c>
      <c r="F145" s="2" t="inlineStr">
        <is>
          <t>кинофильм</t>
        </is>
      </c>
      <c r="G145" s="2" t="n"/>
      <c r="H145" s="2" t="n">
        <v>210</v>
      </c>
      <c r="I145" s="2" t="inlineStr">
        <is>
          <t>да</t>
        </is>
      </c>
      <c r="J145" s="2" t="inlineStr"/>
      <c r="K145" s="3" t="inlineStr">
        <is>
          <t>Сорокалетний оперный хорист Пулат Мухамеджанов, застряв в лифте многоэтажного дома, вспоминает родных и близких, наилучшие и наихудшие качества, которые он унаследовал от них и, конечно, надеется на спасение...</t>
        </is>
      </c>
      <c r="L145" s="2" t="inlineStr">
        <is>
          <t>Кино_СССР сводный каталог.xlsx: список фильмов (доп.)</t>
        </is>
      </c>
      <c r="M145" s="2">
        <f>HYPERLINK("https://ru.wikipedia.org/w/index.php?search=%D0%A7%D1%83%D0%B4%D0%BE%D0%B2%D0%B8%D1%89%D0%B5%20%D0%B8%D0%BB%D0%B8%20%D0%BA%D1%82%D0%BE-%D1%82%D0%BE%20%D0%B4%D1%80%D1%83%D0%B3%D0%BE%D0%B9...%201988%20%D1%84%D0%B8%D0%BB%D1%8C%D0%BC","искать")</f>
        <v/>
      </c>
      <c r="N145" s="3" t="n"/>
      <c r="O145" s="2" t="n"/>
      <c r="P145" s="2" t="n"/>
    </row>
    <row r="146">
      <c r="A146" s="2" t="n">
        <v>145</v>
      </c>
      <c r="B146" s="2" t="inlineStr">
        <is>
          <t>обрыв</t>
        </is>
      </c>
      <c r="C146" s="2" t="n">
        <v>7572</v>
      </c>
      <c r="D146" s="3" t="inlineStr">
        <is>
          <t>Единственный мужчина</t>
        </is>
      </c>
      <c r="E146" s="2" t="n">
        <v>1981</v>
      </c>
      <c r="F146" s="2" t="inlineStr">
        <is>
          <t>телефильм</t>
        </is>
      </c>
      <c r="G146" s="2" t="n"/>
      <c r="H146" s="2" t="n">
        <v>211</v>
      </c>
      <c r="I146" s="2" t="inlineStr">
        <is>
          <t>да</t>
        </is>
      </c>
      <c r="J146" s="2" t="inlineStr"/>
      <c r="K146" s="3" t="inlineStr">
        <is>
          <t>Телефильм по роману Леонида Лиходеева «Четыре главы из жизни Марии Николаевны». Героиня фильма - директор крупного научно-производственного объединения - однажды делает вывод, что ее личная жизнь не сложилась...</t>
        </is>
      </c>
      <c r="L146" s="2" t="inlineStr">
        <is>
          <t>Кино_СССР сводный каталог.xlsx: список телефильмов</t>
        </is>
      </c>
      <c r="M146" s="2">
        <f>HYPERLINK("https://ru.wikipedia.org/w/index.php?search=%D0%95%D0%B4%D0%B8%D0%BD%D1%81%D1%82%D0%B2%D0%B5%D0%BD%D0%BD%D1%8B%D0%B9%20%D0%BC%D1%83%D0%B6%D1%87%D0%B8%D0%BD%D0%B0%201981%20%D1%84%D0%B8%D0%BB%D1%8C%D0%BC","искать")</f>
        <v/>
      </c>
      <c r="N146" s="3" t="n"/>
      <c r="O146" s="2" t="n"/>
      <c r="P146" s="2" t="n"/>
    </row>
    <row r="147">
      <c r="A147" s="2" t="n">
        <v>146</v>
      </c>
      <c r="B147" s="2" t="inlineStr">
        <is>
          <t>обрыв</t>
        </is>
      </c>
      <c r="C147" s="2" t="n">
        <v>9314</v>
      </c>
      <c r="D147" s="3" t="inlineStr">
        <is>
          <t>Господня рыба</t>
        </is>
      </c>
      <c r="E147" s="2" t="n">
        <v>1991</v>
      </c>
      <c r="F147" s="2" t="inlineStr">
        <is>
          <t>кинофильм</t>
        </is>
      </c>
      <c r="G147" s="2" t="n"/>
      <c r="H147" s="2" t="n">
        <v>211</v>
      </c>
      <c r="I147" s="2" t="inlineStr">
        <is>
          <t>да</t>
        </is>
      </c>
      <c r="J147" s="2" t="inlineStr"/>
      <c r="K147" s="3" t="inlineStr">
        <is>
          <t>По мотивам рассказов Александра Ивановича Куприна. Журналист приезжает в Одессу и попадает в руки мошенников, которые его ловко обворовывают. Ситуации порой анекдотичны, а порой нелепы, но жизнь такова и есть...</t>
        </is>
      </c>
      <c r="L147" s="2" t="inlineStr">
        <is>
          <t>Кино_СССР сводный каталог.xlsx: список фильмов (доп.)</t>
        </is>
      </c>
      <c r="M147" s="2">
        <f>HYPERLINK("https://ru.wikipedia.org/w/index.php?search=%D0%93%D0%BE%D1%81%D0%BF%D0%BE%D0%B4%D0%BD%D1%8F%20%D1%80%D1%8B%D0%B1%D0%B0%201991%20%D1%84%D0%B8%D0%BB%D1%8C%D0%BC","искать")</f>
        <v/>
      </c>
      <c r="N147" s="3" t="n"/>
      <c r="O147" s="2" t="n"/>
      <c r="P147" s="2" t="n"/>
    </row>
    <row r="148">
      <c r="A148" s="2" t="n">
        <v>147</v>
      </c>
      <c r="B148" s="2" t="inlineStr">
        <is>
          <t>обрыв</t>
        </is>
      </c>
      <c r="C148" s="2" t="n">
        <v>7233</v>
      </c>
      <c r="D148" s="3" t="inlineStr">
        <is>
          <t>Баллада о белогривой</t>
        </is>
      </c>
      <c r="E148" s="2" t="n">
        <v>1975</v>
      </c>
      <c r="F148" s="2" t="inlineStr">
        <is>
          <t>телефильм</t>
        </is>
      </c>
      <c r="G148" s="2" t="n"/>
      <c r="H148" s="2" t="n">
        <v>212</v>
      </c>
      <c r="I148" s="2" t="inlineStr">
        <is>
          <t>да</t>
        </is>
      </c>
      <c r="J148" s="2" t="inlineStr">
        <is>
          <t>да</t>
        </is>
      </c>
      <c r="K148" s="3" t="inlineStr">
        <is>
          <t>О душевной красоте человека, о его любви к людям, природе и родным местам. Действие фильма происходит в узбекском кишлаке, где издавна живет легенда о белогривой лошади, которую могут увидеть только влюбленные...</t>
        </is>
      </c>
      <c r="L148" s="2" t="inlineStr">
        <is>
          <t>Кино_СССР сводный каталог.xlsx: список телефильмов</t>
        </is>
      </c>
      <c r="M148" s="2">
        <f>HYPERLINK("https://ru.wikipedia.org/w/index.php?search=%D0%91%D0%B0%D0%BB%D0%BB%D0%B0%D0%B4%D0%B0%20%D0%BE%20%D0%B1%D0%B5%D0%BB%D0%BE%D0%B3%D1%80%D0%B8%D0%B2%D0%BE%D0%B9%201975%20%D1%84%D0%B8%D0%BB%D1%8C%D0%BC","искать")</f>
        <v/>
      </c>
      <c r="N148" s="3" t="n"/>
      <c r="O148" s="2" t="n"/>
      <c r="P148" s="2" t="n"/>
    </row>
    <row r="149">
      <c r="A149" s="2" t="n">
        <v>148</v>
      </c>
      <c r="B149" s="2" t="inlineStr">
        <is>
          <t>обрыв</t>
        </is>
      </c>
      <c r="C149" s="2" t="n">
        <v>8049</v>
      </c>
      <c r="D149" s="3" t="inlineStr">
        <is>
          <t>Оружие Зевса</t>
        </is>
      </c>
      <c r="E149" s="2" t="n">
        <v>1991</v>
      </c>
      <c r="F149" s="2" t="inlineStr">
        <is>
          <t>телефильм</t>
        </is>
      </c>
      <c r="G149" s="2" t="n"/>
      <c r="H149" s="2" t="n">
        <v>212</v>
      </c>
      <c r="I149" s="2" t="inlineStr">
        <is>
          <t>да</t>
        </is>
      </c>
      <c r="J149" s="2" t="inlineStr"/>
      <c r="K149" s="3" t="inlineStr">
        <is>
          <t>Телесериал по роману Евгения Велтистова "Ноктюрн пустоты"  рассказывает о работе ученых над теорией управления стихиями под названием "Оружие Зевса", призванной способствовать сохранению экологии планеты Земля...</t>
        </is>
      </c>
      <c r="L149" s="2" t="inlineStr">
        <is>
          <t>Кино_СССР сводный каталог.xlsx: список телефильмов</t>
        </is>
      </c>
      <c r="M149" s="2">
        <f>HYPERLINK("https://ru.wikipedia.org/w/index.php?search=%D0%9E%D1%80%D1%83%D0%B6%D0%B8%D0%B5%20%D0%97%D0%B5%D0%B2%D1%81%D0%B0%201991%20%D1%84%D0%B8%D0%BB%D1%8C%D0%BC","искать")</f>
        <v/>
      </c>
      <c r="N149" s="3" t="n"/>
      <c r="O149" s="2" t="n"/>
      <c r="P149" s="2" t="n"/>
    </row>
    <row r="150">
      <c r="A150" s="2" t="n">
        <v>149</v>
      </c>
      <c r="B150" s="2" t="inlineStr">
        <is>
          <t>обрыв</t>
        </is>
      </c>
      <c r="C150" s="2" t="n">
        <v>8788</v>
      </c>
      <c r="D150" s="3" t="inlineStr">
        <is>
          <t>Курьер на Восток</t>
        </is>
      </c>
      <c r="E150" s="2" t="n">
        <v>1991</v>
      </c>
      <c r="F150" s="2" t="inlineStr">
        <is>
          <t>кинофильм</t>
        </is>
      </c>
      <c r="G150" s="2" t="n"/>
      <c r="H150" s="2" t="n">
        <v>212</v>
      </c>
      <c r="I150" s="2" t="inlineStr">
        <is>
          <t>да</t>
        </is>
      </c>
      <c r="J150" s="2" t="inlineStr"/>
      <c r="K150" s="3" t="inlineStr">
        <is>
          <t>Двое бывших детдомовцев связали свои судьбы с мафией. Один погиб, а другой был арестован в среднеазиатском городке. Поняв, что они с другом стали жертвами обмана и "шестерками" в чужой игре, он решил отомстить...</t>
        </is>
      </c>
      <c r="L150" s="2" t="inlineStr">
        <is>
          <t>Кино_СССР сводный каталог.xlsx: список фильмов (доп.)</t>
        </is>
      </c>
      <c r="M150" s="2">
        <f>HYPERLINK("https://ru.wikipedia.org/w/index.php?search=%D0%9A%D1%83%D1%80%D1%8C%D0%B5%D1%80%20%D0%BD%D0%B0%20%D0%92%D0%BE%D1%81%D1%82%D0%BE%D0%BA%201991%20%D1%84%D0%B8%D0%BB%D1%8C%D0%BC","искать")</f>
        <v/>
      </c>
      <c r="N150" s="3" t="n"/>
      <c r="O150" s="2" t="n"/>
      <c r="P150" s="2" t="n"/>
    </row>
    <row r="151">
      <c r="A151" s="2" t="n">
        <v>150</v>
      </c>
      <c r="B151" s="2" t="inlineStr">
        <is>
          <t>обрыв</t>
        </is>
      </c>
      <c r="C151" s="2" t="n">
        <v>8984</v>
      </c>
      <c r="D151" s="3" t="inlineStr">
        <is>
          <t>Происшествие</t>
        </is>
      </c>
      <c r="E151" s="2" t="n">
        <v>1974</v>
      </c>
      <c r="F151" s="2" t="inlineStr">
        <is>
          <t>кинофильм</t>
        </is>
      </c>
      <c r="G151" s="2" t="n"/>
      <c r="H151" s="2" t="n">
        <v>212</v>
      </c>
      <c r="I151" s="2" t="inlineStr">
        <is>
          <t>да</t>
        </is>
      </c>
      <c r="J151" s="2" t="inlineStr"/>
      <c r="K151" s="3" t="inlineStr">
        <is>
          <t>Заключительная часть трилогии: "Вот моя деревня"(1972), "Аварийное положение"(1973). В основе сюжета - работа школьного "зеленого патруля", который помогает леснику лечить раненого лосенка и искать браконьеров...</t>
        </is>
      </c>
      <c r="L151" s="2" t="inlineStr">
        <is>
          <t>Кино_СССР сводный каталог.xlsx: список фильмов (доп.)</t>
        </is>
      </c>
      <c r="M151" s="2">
        <f>HYPERLINK("https://ru.wikipedia.org/w/index.php?search=%D0%9F%D1%80%D0%BE%D0%B8%D1%81%D1%88%D0%B5%D1%81%D1%82%D0%B2%D0%B8%D0%B5%201974%20%D1%84%D0%B8%D0%BB%D1%8C%D0%BC","искать")</f>
        <v/>
      </c>
      <c r="N151" s="3" t="n"/>
      <c r="O151" s="2" t="n"/>
      <c r="P151" s="2" t="n"/>
    </row>
    <row r="152">
      <c r="A152" s="2" t="n">
        <v>151</v>
      </c>
      <c r="B152" s="2" t="inlineStr">
        <is>
          <t>обрыв</t>
        </is>
      </c>
      <c r="C152" s="2" t="n">
        <v>9275</v>
      </c>
      <c r="D152" s="3" t="inlineStr">
        <is>
          <t>Возвращение на обетованную землю</t>
        </is>
      </c>
      <c r="E152" s="2" t="n">
        <v>1991</v>
      </c>
      <c r="F152" s="2" t="inlineStr">
        <is>
          <t>кинофильм</t>
        </is>
      </c>
      <c r="G152" s="2" t="n"/>
      <c r="H152" s="2" t="n">
        <v>212</v>
      </c>
      <c r="I152" s="2" t="inlineStr">
        <is>
          <t>да</t>
        </is>
      </c>
      <c r="J152" s="2" t="inlineStr"/>
      <c r="K152" s="3" t="inlineStr">
        <is>
          <t>Герои фильма пришли на землю северной Армении отнюдь не из рая - они беженцы, бежали от насилия. Он и она молоды. Ждут ребенка. Они творят мир вокруг себя и тем самым творят самих себя, умножаясь в своих делах...</t>
        </is>
      </c>
      <c r="L152" s="2" t="inlineStr">
        <is>
          <t>Кино_СССР сводный каталог.xlsx: список фильмов (доп.)</t>
        </is>
      </c>
      <c r="M152" s="2">
        <f>HYPERLINK("https://ru.wikipedia.org/w/index.php?search=%D0%92%D0%BE%D0%B7%D0%B2%D1%80%D0%B0%D1%89%D0%B5%D0%BD%D0%B8%D0%B5%20%D0%BD%D0%B0%20%D0%BE%D0%B1%D0%B5%D1%82%D0%BE%D0%B2%D0%B0%D0%BD%D0%BD%D1%83%D1%8E%20%D0%B7%D0%B5%D0%BC%D0%BB%D1%8E%201991%20%D1%84%D0%B8%D0%BB%D1%8C%D0%BC","искать")</f>
        <v/>
      </c>
      <c r="N152" s="3" t="n"/>
      <c r="O152" s="2" t="n"/>
      <c r="P152" s="2" t="n"/>
    </row>
    <row r="153">
      <c r="A153" s="2" t="n">
        <v>152</v>
      </c>
      <c r="B153" s="2" t="inlineStr">
        <is>
          <t>обрыв</t>
        </is>
      </c>
      <c r="C153" s="2" t="n">
        <v>10425</v>
      </c>
      <c r="D153" s="3" t="inlineStr">
        <is>
          <t>Фиеста</t>
        </is>
      </c>
      <c r="E153" s="2" t="n">
        <v>1971</v>
      </c>
      <c r="F153" s="2" t="inlineStr">
        <is>
          <t>фильм-спектакль</t>
        </is>
      </c>
      <c r="G153" s="2" t="inlineStr">
        <is>
          <t>ЛенТВ</t>
        </is>
      </c>
      <c r="H153" s="2" t="n">
        <v>213</v>
      </c>
      <c r="I153" s="2" t="inlineStr">
        <is>
          <t>да</t>
        </is>
      </c>
      <c r="J153" s="2" t="inlineStr">
        <is>
          <t>да</t>
        </is>
      </c>
      <c r="K153" s="3" t="inlineStr">
        <is>
          <t>Телеспектакль по роману Э.Хемингуэя "И восходит солнце" в постановке БДТ им. Г.Товстоногова. В условных бюджетных декорациях
молодые театральные актеры играли азартно, они будто жили в далеких Испании и Франции...</t>
        </is>
      </c>
      <c r="L153" s="2" t="inlineStr">
        <is>
          <t>https://www.kino-teatr.ru/teatr/movie/81672/annot/</t>
        </is>
      </c>
      <c r="M153" s="2">
        <f>HYPERLINK("https://ru.wikipedia.org/w/index.php?search=%D0%A4%D0%B8%D0%B5%D1%81%D1%82%D0%B0%201971%20%D1%84%D0%B8%D0%BB%D1%8C%D0%BC","искать")</f>
        <v/>
      </c>
      <c r="N153" s="3" t="n"/>
      <c r="O153" s="2" t="n"/>
      <c r="P153" s="2" t="n"/>
    </row>
    <row r="154">
      <c r="A154" s="2" t="n">
        <v>153</v>
      </c>
      <c r="B154" s="2" t="inlineStr">
        <is>
          <t>обрыв</t>
        </is>
      </c>
      <c r="C154" s="2" t="n">
        <v>7840</v>
      </c>
      <c r="D154" s="3" t="inlineStr">
        <is>
          <t>Мал да удал</t>
        </is>
      </c>
      <c r="E154" s="2" t="n">
        <v>1974</v>
      </c>
      <c r="F154" s="2" t="inlineStr">
        <is>
          <t>телефильм</t>
        </is>
      </c>
      <c r="G154" s="2" t="n"/>
      <c r="H154" s="2" t="n">
        <v>214</v>
      </c>
      <c r="I154" s="2" t="inlineStr">
        <is>
          <t>да</t>
        </is>
      </c>
      <c r="J154" s="2" t="inlineStr"/>
      <c r="K154" s="3" t="inlineStr">
        <is>
          <t>По мотивам туркменских народных сказок. Плохо жилось на свете бедному Алты-ага. Детей у него не было, кибитка была худая, а казан пустой. Но после встречи с крошечным мальчиком Яртыгулаком его жизнь переменилась...</t>
        </is>
      </c>
      <c r="L154" s="2" t="inlineStr">
        <is>
          <t>Кино_СССР сводный каталог.xlsx: список телефильмов</t>
        </is>
      </c>
      <c r="M154" s="2">
        <f>HYPERLINK("https://ru.wikipedia.org/w/index.php?search=%D0%9C%D0%B0%D0%BB%20%D0%B4%D0%B0%20%D1%83%D0%B4%D0%B0%D0%BB%201974%20%D1%84%D0%B8%D0%BB%D1%8C%D0%BC","искать")</f>
        <v/>
      </c>
      <c r="N154" s="3" t="n"/>
      <c r="O154" s="2" t="n"/>
      <c r="P154" s="2" t="n"/>
    </row>
    <row r="155">
      <c r="A155" s="2" t="n">
        <v>154</v>
      </c>
      <c r="B155" s="2" t="inlineStr">
        <is>
          <t>обрыв</t>
        </is>
      </c>
      <c r="C155" s="2" t="n">
        <v>8141</v>
      </c>
      <c r="D155" s="3" t="inlineStr">
        <is>
          <t>Подружка моя</t>
        </is>
      </c>
      <c r="E155" s="2" t="n">
        <v>1985</v>
      </c>
      <c r="F155" s="2" t="inlineStr">
        <is>
          <t>телефильм</t>
        </is>
      </c>
      <c r="G155" s="2" t="n"/>
      <c r="H155" s="2" t="n">
        <v>215</v>
      </c>
      <c r="I155" s="2" t="inlineStr">
        <is>
          <t>да</t>
        </is>
      </c>
      <c r="J155" s="2" t="inlineStr"/>
      <c r="K155" s="3" t="inlineStr">
        <is>
          <t>Таня Топтыгина с увлечением работает в Подмосковье мастером передвижной механизированной колонны. Однажды ей предлагают заключить фиктивный брак, гарантирующий московскую прописку. Таню соблазняет это предложение...</t>
        </is>
      </c>
      <c r="L155" s="2" t="inlineStr">
        <is>
          <t>Кино_СССР сводный каталог.xlsx: список телефильмов</t>
        </is>
      </c>
      <c r="M155" s="2">
        <f>HYPERLINK("https://ru.wikipedia.org/w/index.php?search=%D0%9F%D0%BE%D0%B4%D1%80%D1%83%D0%B6%D0%BA%D0%B0%20%D0%BC%D0%BE%D1%8F%201985%20%D1%84%D0%B8%D0%BB%D1%8C%D0%BC","искать")</f>
        <v/>
      </c>
      <c r="N155" s="3" t="n"/>
      <c r="O155" s="2" t="n"/>
      <c r="P155" s="2" t="n"/>
    </row>
    <row r="156">
      <c r="A156" s="2" t="n">
        <v>155</v>
      </c>
      <c r="B156" s="2" t="inlineStr">
        <is>
          <t>обрыв</t>
        </is>
      </c>
      <c r="C156" s="2" t="n">
        <v>10001</v>
      </c>
      <c r="D156" s="3" t="inlineStr">
        <is>
          <t>Смотрины</t>
        </is>
      </c>
      <c r="E156" s="2" t="n">
        <v>1984</v>
      </c>
      <c r="F156" s="2" t="inlineStr">
        <is>
          <t>телефильм</t>
        </is>
      </c>
      <c r="G156" s="2" t="inlineStr">
        <is>
          <t>"Минсктелефильм"</t>
        </is>
      </c>
      <c r="H156" s="2" t="n">
        <v>215</v>
      </c>
      <c r="I156" s="2" t="inlineStr">
        <is>
          <t>да</t>
        </is>
      </c>
      <c r="J156" s="2" t="inlineStr"/>
      <c r="K156" s="3" t="inlineStr">
        <is>
          <t>Смотрины обычно проходят в доме невесты, но, случалось, и на гуляньях, в клубе. Овдовевший колхозник, отец двух детей, Дмитрий Неборако по прозвищу Цапля предлагает директору школы Петру Федотовичу стать его сватом…</t>
        </is>
      </c>
      <c r="L156" s="2" t="inlineStr">
        <is>
          <t>https://www.kino-teatr.ru/short/movie/sov/6570/annot/</t>
        </is>
      </c>
      <c r="M156" s="2">
        <f>HYPERLINK("https://ru.wikipedia.org/w/index.php?search=%D0%A1%D0%BC%D0%BE%D1%82%D1%80%D0%B8%D0%BD%D1%8B%201984%20%D1%84%D0%B8%D0%BB%D1%8C%D0%BC","искать")</f>
        <v/>
      </c>
      <c r="N156" s="3" t="n"/>
      <c r="O156" s="2" t="n"/>
      <c r="P156" s="2" t="n"/>
    </row>
    <row r="157">
      <c r="A157" s="2" t="n">
        <v>156</v>
      </c>
      <c r="B157" s="2" t="inlineStr">
        <is>
          <t>обрыв</t>
        </is>
      </c>
      <c r="C157" s="2" t="n">
        <v>7588</v>
      </c>
      <c r="D157" s="3" t="inlineStr">
        <is>
          <t>Жёлтая птица</t>
        </is>
      </c>
      <c r="E157" s="2" t="n">
        <v>1983</v>
      </c>
      <c r="F157" s="2" t="inlineStr">
        <is>
          <t>телефильм</t>
        </is>
      </c>
      <c r="G157" s="2" t="n"/>
      <c r="H157" s="2" t="n">
        <v>216</v>
      </c>
      <c r="I157" s="2" t="inlineStr">
        <is>
          <t>да</t>
        </is>
      </c>
      <c r="J157" s="2" t="inlineStr"/>
      <c r="K157" s="3" t="inlineStr">
        <is>
          <t>Эстрадная певица Нино Мтиули потеряла веру в себя - нет былой популярности у публики, неудачно сложилась личная жизнь. Однако героиня фильма постепенно обретает уверенность, что сможет выйти из творческого кризиса...</t>
        </is>
      </c>
      <c r="L157" s="2" t="inlineStr">
        <is>
          <t>Кино_СССР сводный каталог.xlsx: список телефильмов</t>
        </is>
      </c>
      <c r="M157" s="2">
        <f>HYPERLINK("https://ru.wikipedia.org/w/index.php?search=%D0%96%D1%91%D0%BB%D1%82%D0%B0%D1%8F%20%D0%BF%D1%82%D0%B8%D1%86%D0%B0%201983%20%D1%84%D0%B8%D0%BB%D1%8C%D0%BC","искать")</f>
        <v/>
      </c>
      <c r="N157" s="3" t="n"/>
      <c r="O157" s="2" t="n"/>
      <c r="P157" s="2" t="n"/>
    </row>
    <row r="158">
      <c r="A158" s="2" t="n">
        <v>157</v>
      </c>
      <c r="B158" s="2" t="inlineStr">
        <is>
          <t>обрыв</t>
        </is>
      </c>
      <c r="C158" s="2" t="n">
        <v>7843</v>
      </c>
      <c r="D158" s="3" t="inlineStr">
        <is>
          <t>Маленькое одолжение</t>
        </is>
      </c>
      <c r="E158" s="2" t="n">
        <v>1984</v>
      </c>
      <c r="F158" s="2" t="inlineStr">
        <is>
          <t>телефильм</t>
        </is>
      </c>
      <c r="G158" s="2" t="n"/>
      <c r="H158" s="2" t="n">
        <v>216</v>
      </c>
      <c r="I158" s="2" t="inlineStr">
        <is>
          <t>да</t>
        </is>
      </c>
      <c r="J158" s="2" t="inlineStr"/>
      <c r="K158" s="3" t="inlineStr">
        <is>
          <t>Однажды известный эстрадный певец Валентин Озерников, вернувшись из очередной гастрольной поездки, задумался над быстротекущей жизнью и попытался сформулировать себе нравственные критерии дальнейшего существования...</t>
        </is>
      </c>
      <c r="L158" s="2" t="inlineStr">
        <is>
          <t>Кино_СССР сводный каталог.xlsx: список телефильмов</t>
        </is>
      </c>
      <c r="M158" s="2">
        <f>HYPERLINK("https://ru.wikipedia.org/w/index.php?search=%D0%9C%D0%B0%D0%BB%D0%B5%D0%BD%D1%8C%D0%BA%D0%BE%D0%B5%20%D0%BE%D0%B4%D0%BE%D0%BB%D0%B6%D0%B5%D0%BD%D0%B8%D0%B5%201984%20%D1%84%D0%B8%D0%BB%D1%8C%D0%BC","искать")</f>
        <v/>
      </c>
      <c r="N158" s="3" t="n"/>
      <c r="O158" s="2" t="n"/>
      <c r="P158" s="2" t="n"/>
    </row>
    <row r="159">
      <c r="A159" s="2" t="n">
        <v>158</v>
      </c>
      <c r="B159" s="2" t="inlineStr">
        <is>
          <t>обрыв</t>
        </is>
      </c>
      <c r="C159" s="2" t="n">
        <v>9599</v>
      </c>
      <c r="D159" s="3" t="inlineStr">
        <is>
          <t>Пропавший путь</t>
        </is>
      </c>
      <c r="E159" s="2" t="n">
        <v>1990</v>
      </c>
      <c r="F159" s="2" t="inlineStr">
        <is>
          <t>кинофильм</t>
        </is>
      </c>
      <c r="G159" s="2" t="n"/>
      <c r="H159" s="2" t="n">
        <v>216</v>
      </c>
      <c r="I159" s="2" t="inlineStr">
        <is>
          <t>да</t>
        </is>
      </c>
      <c r="J159" s="2" t="inlineStr"/>
      <c r="K159" s="3" t="inlineStr">
        <is>
          <t>По мотивам произведений Августа Мялка. После смерти матери Юлиус воспитывается в семье рыбака. Окончив школу, герой покидает рыбачий поселок и едет в город на поиски отца, от которого много лет не получал известий...</t>
        </is>
      </c>
      <c r="L159" s="2" t="inlineStr">
        <is>
          <t>Кино_СССР сводный каталог.xlsx: список фильмов (доп.)</t>
        </is>
      </c>
      <c r="M159" s="2">
        <f>HYPERLINK("https://ru.wikipedia.org/w/index.php?search=%D0%9F%D1%80%D0%BE%D0%BF%D0%B0%D0%B2%D1%88%D0%B8%D0%B9%20%D0%BF%D1%83%D1%82%D1%8C%201990%20%D1%84%D0%B8%D0%BB%D1%8C%D0%BC","искать")</f>
        <v/>
      </c>
      <c r="N159" s="3" t="n"/>
      <c r="O159" s="2" t="n"/>
      <c r="P159" s="2" t="n"/>
    </row>
    <row r="160">
      <c r="A160" s="2" t="n">
        <v>159</v>
      </c>
      <c r="B160" s="2" t="inlineStr">
        <is>
          <t>обрыв</t>
        </is>
      </c>
      <c r="C160" s="2" t="n">
        <v>9736</v>
      </c>
      <c r="D160" s="3" t="inlineStr">
        <is>
          <t>Хомоновус</t>
        </is>
      </c>
      <c r="E160" s="2" t="n">
        <v>1990</v>
      </c>
      <c r="F160" s="2" t="inlineStr">
        <is>
          <t>кинофильм</t>
        </is>
      </c>
      <c r="G160" s="2" t="n"/>
      <c r="H160" s="2" t="n">
        <v>216</v>
      </c>
      <c r="I160" s="2" t="inlineStr">
        <is>
          <t>да</t>
        </is>
      </c>
      <c r="J160" s="2" t="inlineStr"/>
      <c r="K160" s="3" t="inlineStr">
        <is>
          <t>В ответ на несдержанность учительницы ученики объявляют ей бойкот. Увлеченные травлей, они уже не думают о границах дозволенного. Коллективная месть подобно снежному кому обрастает все новыми и новыми жестокостями...</t>
        </is>
      </c>
      <c r="L160" s="2" t="inlineStr">
        <is>
          <t>Кино_СССР сводный каталог.xlsx: список фильмов (доп.)</t>
        </is>
      </c>
      <c r="M160" s="2">
        <f>HYPERLINK("https://ru.wikipedia.org/w/index.php?search=%D0%A5%D0%BE%D0%BC%D0%BE%D0%BD%D0%BE%D0%B2%D1%83%D1%81%201990%20%D1%84%D0%B8%D0%BB%D1%8C%D0%BC","искать")</f>
        <v/>
      </c>
      <c r="N160" s="3" t="n"/>
      <c r="O160" s="2" t="n"/>
      <c r="P160" s="2" t="n"/>
    </row>
    <row r="161">
      <c r="A161" s="2" t="n">
        <v>160</v>
      </c>
      <c r="B161" s="2" t="inlineStr">
        <is>
          <t>обрыв</t>
        </is>
      </c>
      <c r="C161" s="2" t="n">
        <v>9904</v>
      </c>
      <c r="D161" s="3" t="inlineStr">
        <is>
          <t>Здравствуй, сосед!</t>
        </is>
      </c>
      <c r="E161" s="2" t="n">
        <v>1973</v>
      </c>
      <c r="F161" s="2" t="inlineStr">
        <is>
          <t>телефильм</t>
        </is>
      </c>
      <c r="G161" s="2" t="inlineStr">
        <is>
          <t>Грузия-фильм, по заказу Гостелерадио</t>
        </is>
      </c>
      <c r="H161" s="2" t="n">
        <v>216</v>
      </c>
      <c r="I161" s="2" t="inlineStr">
        <is>
          <t>да</t>
        </is>
      </c>
      <c r="J161" s="2" t="inlineStr"/>
      <c r="K161" s="3" t="inlineStr">
        <is>
          <t>Границей между дворами Даты и Михи служила белая линия. Но свинья и куры постоянно нарушали эту границу. Тогда соседи возвели каменную стену. Однако теперь они не могли общаться друг с другом, и тогда стену снесли...</t>
        </is>
      </c>
      <c r="L161" s="2" t="inlineStr">
        <is>
          <t>https://www.kino-teatr.ru/short/movie/sov/83561/annot/</t>
        </is>
      </c>
      <c r="M161" s="2">
        <f>HYPERLINK("https://ru.wikipedia.org/w/index.php?search=%D0%97%D0%B4%D1%80%D0%B0%D0%B2%D1%81%D1%82%D0%B2%D1%83%D0%B9%2C%20%D1%81%D0%BE%D1%81%D0%B5%D0%B4%21%201973%20%D1%84%D0%B8%D0%BB%D1%8C%D0%BC","искать")</f>
        <v/>
      </c>
      <c r="N161" s="3" t="n"/>
      <c r="O161" s="2" t="n"/>
      <c r="P161" s="2" t="n"/>
    </row>
    <row r="162">
      <c r="A162" s="2" t="n">
        <v>161</v>
      </c>
      <c r="B162" s="2" t="inlineStr">
        <is>
          <t>обрыв</t>
        </is>
      </c>
      <c r="C162" s="2" t="n">
        <v>10819</v>
      </c>
      <c r="D162" s="3" t="inlineStr">
        <is>
          <t>Стакан чая с лимоном</t>
        </is>
      </c>
      <c r="E162" s="2" t="n">
        <v>1979</v>
      </c>
      <c r="F162" s="2" t="inlineStr">
        <is>
          <t>фильм-спектакль</t>
        </is>
      </c>
      <c r="G162" s="2" t="inlineStr">
        <is>
          <t>Литовское телевидение</t>
        </is>
      </c>
      <c r="H162" s="2" t="n">
        <v>216</v>
      </c>
      <c r="I162" s="2" t="inlineStr">
        <is>
          <t>да</t>
        </is>
      </c>
      <c r="J162" s="2" t="inlineStr"/>
      <c r="K162" s="3" t="inlineStr">
        <is>
          <t>Преуспевающий писатель Арвид Винге из-за своей слабости к женщинам нередко попадает в затруднительное положение. И всякий раз ему на помощь приходит его жена Эльна, весьма ловко избавляющая Арвида от неприятностей...</t>
        </is>
      </c>
      <c r="L162" s="2" t="inlineStr">
        <is>
          <t>https://www.kino-teatr.ru/teatr/movie/107804/annot/</t>
        </is>
      </c>
      <c r="M162" s="2">
        <f>HYPERLINK("https://ru.wikipedia.org/w/index.php?search=%D0%A1%D1%82%D0%B0%D0%BA%D0%B0%D0%BD%20%D1%87%D0%B0%D1%8F%20%D1%81%20%D0%BB%D0%B8%D0%BC%D0%BE%D0%BD%D0%BE%D0%BC%201979%20%D1%84%D0%B8%D0%BB%D1%8C%D0%BC","искать")</f>
        <v/>
      </c>
      <c r="N162" s="3" t="n"/>
      <c r="O162" s="2" t="n"/>
      <c r="P162" s="2" t="n"/>
    </row>
    <row r="163">
      <c r="A163" s="2" t="n">
        <v>162</v>
      </c>
      <c r="B163" s="2" t="inlineStr">
        <is>
          <t>обрыв</t>
        </is>
      </c>
      <c r="C163" s="2" t="n">
        <v>8792</v>
      </c>
      <c r="D163" s="3" t="inlineStr">
        <is>
          <t>Латыши?!</t>
        </is>
      </c>
      <c r="E163" s="2" t="n">
        <v>1989</v>
      </c>
      <c r="F163" s="2" t="inlineStr">
        <is>
          <t>кинофильм</t>
        </is>
      </c>
      <c r="G163" s="2" t="n"/>
      <c r="H163" s="2" t="n">
        <v>217</v>
      </c>
      <c r="I163" s="2" t="inlineStr">
        <is>
          <t>да</t>
        </is>
      </c>
      <c r="J163" s="2" t="inlineStr"/>
      <c r="K163" s="3" t="inlineStr">
        <is>
          <t>В семье Лацисов страшное горе - погиб в Афганистане младший сын. За поминальным столом собрались все члены семьи: отец, вдова погибшего, его старший брат Август с женой и сыном Янисом. Они вспоминают прожитую жизнь...</t>
        </is>
      </c>
      <c r="L163" s="2" t="inlineStr">
        <is>
          <t>Кино_СССР сводный каталог.xlsx: список фильмов (доп.)</t>
        </is>
      </c>
      <c r="M163" s="2">
        <f>HYPERLINK("https://ru.wikipedia.org/w/index.php?search=%D0%9B%D0%B0%D1%82%D1%8B%D1%88%D0%B8%3F%21%201989%20%D1%84%D0%B8%D0%BB%D1%8C%D0%BC","искать")</f>
        <v/>
      </c>
      <c r="N163" s="3" t="n"/>
      <c r="O163" s="2" t="n"/>
      <c r="P163" s="2" t="n"/>
    </row>
    <row r="164">
      <c r="A164" s="2" t="n">
        <v>163</v>
      </c>
      <c r="B164" s="2" t="inlineStr">
        <is>
          <t>обрыв</t>
        </is>
      </c>
      <c r="C164" s="2" t="n">
        <v>9517</v>
      </c>
      <c r="D164" s="3" t="inlineStr">
        <is>
          <t>Ночь при дороге</t>
        </is>
      </c>
      <c r="E164" s="2" t="n">
        <v>1991</v>
      </c>
      <c r="F164" s="2" t="inlineStr">
        <is>
          <t>кинофильм</t>
        </is>
      </c>
      <c r="G164" s="2" t="n"/>
      <c r="H164" s="2" t="n">
        <v>217</v>
      </c>
      <c r="I164" s="2" t="inlineStr">
        <is>
          <t>да</t>
        </is>
      </c>
      <c r="J164" s="2" t="inlineStr"/>
      <c r="K164" s="3" t="inlineStr">
        <is>
          <t>По мотивам ранней прозы Кузьмы Черного и Максима Горецкого. О сложном трагическом времени коллективизации - раскрестьянивания. Два батлейщика (кукольника) ходят по деревням, попадая в различные конфликтные ситуации...</t>
        </is>
      </c>
      <c r="L164" s="2" t="inlineStr">
        <is>
          <t>Кино_СССР сводный каталог.xlsx: список фильмов (доп.)</t>
        </is>
      </c>
      <c r="M164" s="2">
        <f>HYPERLINK("https://ru.wikipedia.org/w/index.php?search=%D0%9D%D0%BE%D1%87%D1%8C%20%D0%BF%D1%80%D0%B8%20%D0%B4%D0%BE%D1%80%D0%BE%D0%B3%D0%B5%201991%20%D1%84%D0%B8%D0%BB%D1%8C%D0%BC","искать")</f>
        <v/>
      </c>
      <c r="N164" s="3" t="n"/>
      <c r="O164" s="2" t="n"/>
      <c r="P164" s="2" t="n"/>
    </row>
    <row r="165">
      <c r="A165" s="2" t="n">
        <v>164</v>
      </c>
      <c r="B165" s="2" t="inlineStr">
        <is>
          <t>обрыв</t>
        </is>
      </c>
      <c r="C165" s="2" t="n">
        <v>10730</v>
      </c>
      <c r="D165" s="3" t="inlineStr">
        <is>
          <t>Весенняя песнь</t>
        </is>
      </c>
      <c r="E165" s="2" t="n">
        <v>1978</v>
      </c>
      <c r="F165" s="2" t="inlineStr">
        <is>
          <t>фильм-спектакль</t>
        </is>
      </c>
      <c r="G165" s="2" t="inlineStr">
        <is>
          <t>Литовское телевидение</t>
        </is>
      </c>
      <c r="H165" s="2" t="n">
        <v>217</v>
      </c>
      <c r="I165" s="2" t="inlineStr">
        <is>
          <t>да</t>
        </is>
      </c>
      <c r="J165" s="2" t="inlineStr">
        <is>
          <t>да</t>
        </is>
      </c>
      <c r="K165" s="3" t="inlineStr">
        <is>
          <t>По одноименной пьесе Балиса Сруоги.
Усадьба в довоенной Литве, отношения между людьми, конфликт между христианским и языческим мировоззрением, жажда жизни и любви, эгоистическое осуществление желаний ведёт к гибели...</t>
        </is>
      </c>
      <c r="L165" s="2" t="inlineStr">
        <is>
          <t>https://www.kino-teatr.ru/teatr/movie/107476/annot/</t>
        </is>
      </c>
      <c r="M165" s="2">
        <f>HYPERLINK("https://ru.wikipedia.org/w/index.php?search=%D0%92%D0%B5%D1%81%D0%B5%D0%BD%D0%BD%D1%8F%D1%8F%20%D0%BF%D0%B5%D1%81%D0%BD%D1%8C%201978%20%D1%84%D0%B8%D0%BB%D1%8C%D0%BC","искать")</f>
        <v/>
      </c>
      <c r="N165" s="3" t="n"/>
      <c r="O165" s="2" t="n"/>
      <c r="P165" s="2" t="n"/>
    </row>
    <row r="166">
      <c r="A166" s="2" t="n">
        <v>165</v>
      </c>
      <c r="B166" s="2" t="inlineStr">
        <is>
          <t>обрыв</t>
        </is>
      </c>
      <c r="C166" s="2" t="n">
        <v>7383</v>
      </c>
      <c r="D166" s="3" t="inlineStr">
        <is>
          <t>Вот такая история...</t>
        </is>
      </c>
      <c r="E166" s="2" t="n">
        <v>1987</v>
      </c>
      <c r="F166" s="2" t="inlineStr">
        <is>
          <t>телефильм</t>
        </is>
      </c>
      <c r="G166" s="2" t="n"/>
      <c r="H166" s="2" t="n">
        <v>218</v>
      </c>
      <c r="I166" s="2" t="inlineStr">
        <is>
          <t>да</t>
        </is>
      </c>
      <c r="J166" s="2" t="inlineStr"/>
      <c r="K166" s="3" t="inlineStr">
        <is>
          <t>В НИИ на базе старой лаборатории создаются две новые. Ведущие инженеры Сергей и Владимир имеют равные возможности возглавить их. Для этого нужно немногое - помочь начальству сместить неугодного прежнего руководителя...</t>
        </is>
      </c>
      <c r="L166" s="2" t="inlineStr">
        <is>
          <t>Кино_СССР сводный каталог.xlsx: список телефильмов</t>
        </is>
      </c>
      <c r="M166" s="2">
        <f>HYPERLINK("https://ru.wikipedia.org/w/index.php?search=%D0%92%D0%BE%D1%82%20%D1%82%D0%B0%D0%BA%D0%B0%D1%8F%20%D0%B8%D1%81%D1%82%D0%BE%D1%80%D0%B8%D1%8F...%201987%20%D1%84%D0%B8%D0%BB%D1%8C%D0%BC","искать")</f>
        <v/>
      </c>
      <c r="N166" s="3" t="n"/>
      <c r="O166" s="2" t="n"/>
      <c r="P166" s="2" t="n"/>
    </row>
    <row r="167">
      <c r="A167" s="2" t="n">
        <v>166</v>
      </c>
      <c r="B167" s="2" t="inlineStr">
        <is>
          <t>обрыв</t>
        </is>
      </c>
      <c r="C167" s="2" t="n">
        <v>9965</v>
      </c>
      <c r="D167" s="3" t="inlineStr">
        <is>
          <t>Добро ксендза черти ловят</t>
        </is>
      </c>
      <c r="E167" s="2" t="n">
        <v>1981</v>
      </c>
      <c r="F167" s="2" t="inlineStr">
        <is>
          <t>телефильм</t>
        </is>
      </c>
      <c r="G167" s="2" t="inlineStr">
        <is>
          <t>Литовское телевидение</t>
        </is>
      </c>
      <c r="H167" s="2" t="n">
        <v>218</v>
      </c>
      <c r="I167" s="2" t="inlineStr">
        <is>
          <t>да</t>
        </is>
      </c>
      <c r="J167" s="2" t="inlineStr"/>
      <c r="K167" s="3" t="inlineStr">
        <is>
          <t>Фильм поставлен по мотивам рассказов Юлии Жемайте.
Приехавшие на похороны ксёндза родственники делят его добро, забыв о покойном. Не отстают от них и прихожане, которые считают, что им нужно вернуть их пожертвования...</t>
        </is>
      </c>
      <c r="L167" s="2" t="inlineStr">
        <is>
          <t>https://www.kino-teatr.ru/short/movie/sov/103170/annot/</t>
        </is>
      </c>
      <c r="M167" s="2">
        <f>HYPERLINK("https://ru.wikipedia.org/w/index.php?search=%D0%94%D0%BE%D0%B1%D1%80%D0%BE%20%D0%BA%D1%81%D0%B5%D0%BD%D0%B4%D0%B7%D0%B0%20%D1%87%D0%B5%D1%80%D1%82%D0%B8%20%D0%BB%D0%BE%D0%B2%D1%8F%D1%82%201981%20%D1%84%D0%B8%D0%BB%D1%8C%D0%BC","искать")</f>
        <v/>
      </c>
      <c r="N167" s="3" t="n"/>
      <c r="O167" s="2" t="n"/>
      <c r="P167" s="2" t="n"/>
    </row>
    <row r="168">
      <c r="A168" s="2" t="n">
        <v>167</v>
      </c>
      <c r="B168" s="2" t="inlineStr">
        <is>
          <t>обрыв</t>
        </is>
      </c>
      <c r="C168" s="2" t="n">
        <v>7955</v>
      </c>
      <c r="D168" s="3" t="inlineStr">
        <is>
          <t>Наша дача</t>
        </is>
      </c>
      <c r="E168" s="2" t="n">
        <v>1990</v>
      </c>
      <c r="F168" s="2" t="inlineStr">
        <is>
          <t>телефильм</t>
        </is>
      </c>
      <c r="G168" s="2" t="inlineStr">
        <is>
          <t>ТО «Экран»</t>
        </is>
      </c>
      <c r="H168" s="2" t="n">
        <v>221</v>
      </c>
      <c r="I168" s="2" t="inlineStr">
        <is>
          <t>да</t>
        </is>
      </c>
      <c r="J168" s="2" t="inlineStr"/>
      <c r="K168" s="3" t="inlineStr">
        <is>
          <t>Телефильм. Действие фильма происходит на некогда респектабельной даче, куда съехались две семьи. Хозяин дачи - дед Андрей - хотел видеть здесь родовое гнездо и не предполагал, что она станет предметом семейного раздора...</t>
        </is>
      </c>
      <c r="L168" s="2" t="inlineStr">
        <is>
          <t>Кино_СССР сводный каталог.xlsx: список телефильмов</t>
        </is>
      </c>
      <c r="M168" s="2">
        <f>HYPERLINK("https://ru.wikipedia.org/w/index.php?search=%D0%9D%D0%B0%D1%88%D0%B0%20%D0%B4%D0%B0%D1%87%D0%B0%201990%20%D1%84%D0%B8%D0%BB%D1%8C%D0%BC","искать")</f>
        <v/>
      </c>
      <c r="N168" s="3" t="n"/>
      <c r="O168" s="2" t="n"/>
      <c r="P168" s="2" t="n"/>
    </row>
    <row r="169">
      <c r="A169" s="2" t="n">
        <v>168</v>
      </c>
      <c r="B169" s="2" t="inlineStr">
        <is>
          <t>обрыв</t>
        </is>
      </c>
      <c r="C169" s="2" t="n">
        <v>9092</v>
      </c>
      <c r="D169" s="3" t="inlineStr">
        <is>
          <t>Там, у нас</t>
        </is>
      </c>
      <c r="E169" s="2" t="n">
        <v>1990</v>
      </c>
      <c r="F169" s="2" t="inlineStr">
        <is>
          <t>кинофильм</t>
        </is>
      </c>
      <c r="G169" s="2" t="n"/>
      <c r="H169" s="2" t="n">
        <v>221</v>
      </c>
      <c r="I169" s="2" t="inlineStr">
        <is>
          <t>да</t>
        </is>
      </c>
      <c r="J169" s="2" t="inlineStr"/>
      <c r="K169" s="3" t="inlineStr">
        <is>
          <t>Жители маленького аджарского села живут трудно, бедно, в постоянном страхе перед оползнем. Часто, собрав вещи в узлы, они покидают свои жилища и прячутся в безопасных местах. Затем возвращаются, работают и растят детей...</t>
        </is>
      </c>
      <c r="L169" s="2" t="inlineStr">
        <is>
          <t>Кино_СССР сводный каталог.xlsx: список фильмов (доп.)</t>
        </is>
      </c>
      <c r="M169" s="2">
        <f>HYPERLINK("https://ru.wikipedia.org/w/index.php?search=%D0%A2%D0%B0%D0%BC%2C%20%D1%83%20%D0%BD%D0%B0%D1%81%201990%20%D1%84%D0%B8%D0%BB%D1%8C%D0%BC","искать")</f>
        <v/>
      </c>
      <c r="N169" s="3" t="n"/>
      <c r="O169" s="2" t="n"/>
      <c r="P169" s="2" t="n"/>
    </row>
    <row r="170">
      <c r="A170" s="2" t="n">
        <v>169</v>
      </c>
      <c r="B170" s="2" t="inlineStr">
        <is>
          <t>обрыв</t>
        </is>
      </c>
      <c r="C170" s="2" t="n">
        <v>13522</v>
      </c>
      <c r="D170" s="3" t="inlineStr">
        <is>
          <t>Николай Угодник и охотники</t>
        </is>
      </c>
      <c r="E170" s="2" t="n">
        <v>1991</v>
      </c>
      <c r="F170" s="2" t="inlineStr">
        <is>
          <t>мультфильм</t>
        </is>
      </c>
      <c r="G170" s="2" t="inlineStr">
        <is>
          <t>ЭКРАН</t>
        </is>
      </c>
      <c r="H170" s="2" t="n">
        <v>221</v>
      </c>
      <c r="I170" s="2" t="inlineStr">
        <is>
          <t>да</t>
        </is>
      </c>
      <c r="J170" s="2" t="inlineStr"/>
      <c r="K170" s="3" t="inlineStr">
        <is>
          <t>Сказка о том, как Николай Угодник предупредил двух охотников об опасности, подстерегавшей их в лесу. Но Агафон и Спиридон, приняв старца за обыкновенного человека, посмеялись над его словами, за что жестоко поплатились...</t>
        </is>
      </c>
      <c r="L170" s="2" t="inlineStr">
        <is>
          <t>https://animator.ru/db/?p=show_film&amp;fid=4834</t>
        </is>
      </c>
      <c r="M170" s="2">
        <f>HYPERLINK("https://ru.wikipedia.org/w/index.php?search=%D0%9D%D0%B8%D0%BA%D0%BE%D0%BB%D0%B0%D0%B9%20%D0%A3%D0%B3%D0%BE%D0%B4%D0%BD%D0%B8%D0%BA%20%D0%B8%20%D0%BE%D1%85%D0%BE%D1%82%D0%BD%D0%B8%D0%BA%D0%B8%201991%20%D1%84%D0%B8%D0%BB%D1%8C%D0%BC","искать")</f>
        <v/>
      </c>
      <c r="N170" s="3" t="n"/>
      <c r="O170" s="2" t="n"/>
      <c r="P170" s="2" t="n"/>
    </row>
    <row r="171">
      <c r="A171" s="2" t="n">
        <v>170</v>
      </c>
      <c r="B171" s="2" t="inlineStr">
        <is>
          <t>обрыв</t>
        </is>
      </c>
      <c r="C171" s="2" t="n">
        <v>9949</v>
      </c>
      <c r="D171" s="3" t="inlineStr">
        <is>
          <t>Враги</t>
        </is>
      </c>
      <c r="E171" s="2" t="n">
        <v>1980</v>
      </c>
      <c r="F171" s="2" t="inlineStr">
        <is>
          <t>кинофильм</t>
        </is>
      </c>
      <c r="G171" s="2" t="inlineStr">
        <is>
          <t>Ленфильм, 2 ТО</t>
        </is>
      </c>
      <c r="H171" s="2" t="n">
        <v>222</v>
      </c>
      <c r="I171" s="2" t="inlineStr">
        <is>
          <t>да</t>
        </is>
      </c>
      <c r="J171" s="2" t="inlineStr"/>
      <c r="K171" s="3" t="inlineStr">
        <is>
          <t>Дипломная работа режиссера
По одноименному рассказу Антона Чехова.
У доктора умер сын. К нему приезжает из соседней усадьбы помещик и умоляет ехать к больной жене. Еле живой от горя, доктор едет, но жена вовсе не больна...</t>
        </is>
      </c>
      <c r="L171" s="2" t="inlineStr">
        <is>
          <t>https://www.kino-teatr.ru/short/movie/sov/84693/annot/</t>
        </is>
      </c>
      <c r="M171" s="2">
        <f>HYPERLINK("https://ru.wikipedia.org/w/index.php?search=%D0%92%D1%80%D0%B0%D0%B3%D0%B8%201980%20%D1%84%D0%B8%D0%BB%D1%8C%D0%BC","искать")</f>
        <v/>
      </c>
      <c r="N171" s="3" t="n"/>
      <c r="O171" s="2" t="n"/>
      <c r="P171" s="2" t="n"/>
    </row>
    <row r="172">
      <c r="A172" s="2" t="n">
        <v>171</v>
      </c>
      <c r="B172" s="2" t="inlineStr">
        <is>
          <t>обрыв</t>
        </is>
      </c>
      <c r="C172" s="2" t="n">
        <v>10217</v>
      </c>
      <c r="D172" s="3" t="inlineStr">
        <is>
          <t>Северный свет</t>
        </is>
      </c>
      <c r="E172" s="2" t="n">
        <v>1967</v>
      </c>
      <c r="F172" s="2" t="inlineStr">
        <is>
          <t>фильм-спектакль</t>
        </is>
      </c>
      <c r="G172" s="2" t="n"/>
      <c r="H172" s="2" t="n">
        <v>222</v>
      </c>
      <c r="I172" s="2" t="inlineStr">
        <is>
          <t>да</t>
        </is>
      </c>
      <c r="J172" s="2" t="inlineStr"/>
      <c r="K172" s="3" t="inlineStr">
        <is>
          <t>По мотивам одноименного романа английского писателя А.Кронина.
В основе сюжета - история английской провинциальной газеты "Северный свет", которой удалось выстоять в жестокой конкуренции с крупными газетными монополиями...</t>
        </is>
      </c>
      <c r="L172" s="2" t="inlineStr">
        <is>
          <t>https://www.kino-teatr.ru/teatr/movie/80982/annot/</t>
        </is>
      </c>
      <c r="M172" s="2">
        <f>HYPERLINK("https://ru.wikipedia.org/w/index.php?search=%D0%A1%D0%B5%D0%B2%D0%B5%D1%80%D0%BD%D1%8B%D0%B9%20%D1%81%D0%B2%D0%B5%D1%82%201967%20%D1%84%D0%B8%D0%BB%D1%8C%D0%BC","искать")</f>
        <v/>
      </c>
      <c r="N172" s="3" t="n"/>
      <c r="O172" s="2" t="n"/>
      <c r="P172" s="2" t="n"/>
    </row>
    <row r="173">
      <c r="A173" s="2" t="n">
        <v>172</v>
      </c>
      <c r="B173" s="2" t="inlineStr">
        <is>
          <t>обрыв</t>
        </is>
      </c>
      <c r="C173" s="2" t="n">
        <v>7965</v>
      </c>
      <c r="D173" s="3" t="inlineStr">
        <is>
          <t>Не пройдёт и года...</t>
        </is>
      </c>
      <c r="E173" s="2" t="n">
        <v>1973</v>
      </c>
      <c r="F173" s="2" t="inlineStr">
        <is>
          <t>телефильм</t>
        </is>
      </c>
      <c r="G173" s="2" t="n"/>
      <c r="H173" s="2" t="n">
        <v>224</v>
      </c>
      <c r="I173" s="2" t="inlineStr">
        <is>
          <t>да</t>
        </is>
      </c>
      <c r="J173" s="2" t="inlineStr"/>
      <c r="K173" s="3" t="inlineStr">
        <is>
          <t>Телефильм. Петра Ивановича, опытного прораба, долго уговаривали стать главным инженером треста. С трудом уговорили. А через год он вернулся на свою стройку, полусерьезно утверждая, что прораб — не должность, а специальность…</t>
        </is>
      </c>
      <c r="L173" s="2" t="inlineStr">
        <is>
          <t>Кино_СССР сводный каталог.xlsx: список телефильмов</t>
        </is>
      </c>
      <c r="M173" s="2">
        <f>HYPERLINK("https://ru.wikipedia.org/w/index.php?search=%D0%9D%D0%B5%20%D0%BF%D1%80%D0%BE%D0%B9%D0%B4%D1%91%D1%82%20%D0%B8%20%D0%B3%D0%BE%D0%B4%D0%B0...%201973%20%D1%84%D0%B8%D0%BB%D1%8C%D0%BC","искать")</f>
        <v/>
      </c>
      <c r="N173" s="3" t="n"/>
      <c r="O173" s="2" t="n"/>
      <c r="P173" s="2" t="n"/>
    </row>
    <row r="174">
      <c r="A174" s="2" t="n">
        <v>173</v>
      </c>
      <c r="B174" s="2" t="inlineStr">
        <is>
          <t>обрыв</t>
        </is>
      </c>
      <c r="C174" s="2" t="n">
        <v>8998</v>
      </c>
      <c r="D174" s="3" t="inlineStr">
        <is>
          <t>Путь к себе</t>
        </is>
      </c>
      <c r="E174" s="2" t="n">
        <v>1986</v>
      </c>
      <c r="F174" s="2" t="inlineStr">
        <is>
          <t>кинофильм</t>
        </is>
      </c>
      <c r="G174" s="2" t="n"/>
      <c r="H174" s="2" t="n">
        <v>224</v>
      </c>
      <c r="I174" s="2" t="inlineStr">
        <is>
          <t>да</t>
        </is>
      </c>
      <c r="J174" s="2" t="inlineStr"/>
      <c r="K174" s="3" t="inlineStr">
        <is>
          <t>Сотрудник НИИ инженер Крылов, вступивший в конфликт с администрацией, увольняется из института. Будучи спортсменом, Крылов начинает работать каскадером. Но и здесь, встречаясь с разными людьми, попадает в трудные ситуации...</t>
        </is>
      </c>
      <c r="L174" s="2" t="inlineStr">
        <is>
          <t>Кино_СССР сводный каталог.xlsx: список фильмов (доп.)</t>
        </is>
      </c>
      <c r="M174" s="2">
        <f>HYPERLINK("https://ru.wikipedia.org/w/index.php?search=%D0%9F%D1%83%D1%82%D1%8C%20%D0%BA%20%D1%81%D0%B5%D0%B1%D0%B5%201986%20%D1%84%D0%B8%D0%BB%D1%8C%D0%BC","искать")</f>
        <v/>
      </c>
      <c r="N174" s="3" t="n"/>
      <c r="O174" s="2" t="n"/>
      <c r="P174" s="2" t="n"/>
    </row>
    <row r="175">
      <c r="A175" s="2" t="n">
        <v>174</v>
      </c>
      <c r="B175" s="2" t="inlineStr">
        <is>
          <t>обрыв</t>
        </is>
      </c>
      <c r="C175" s="2" t="n">
        <v>10759</v>
      </c>
      <c r="D175" s="3" t="inlineStr">
        <is>
          <t>Москва. Чистые пруды</t>
        </is>
      </c>
      <c r="E175" s="2" t="n">
        <v>1978</v>
      </c>
      <c r="F175" s="2" t="inlineStr">
        <is>
          <t>фильм-спектакль</t>
        </is>
      </c>
      <c r="G175" s="2" t="n"/>
      <c r="H175" s="2" t="n">
        <v>224</v>
      </c>
      <c r="I175" s="2" t="inlineStr">
        <is>
          <t>да</t>
        </is>
      </c>
      <c r="J175" s="2" t="inlineStr"/>
      <c r="K175" s="3" t="inlineStr">
        <is>
          <t>Фильм о встрече двух уже немолодых людей - участкового врача Валентины Михайловны и мастера взрывных работ Жигулина. Они познакомились в самом конце войны, были вместе несколько дней, а затем расстались на много-много лет...</t>
        </is>
      </c>
      <c r="L175" s="2" t="inlineStr">
        <is>
          <t>https://www.kino-teatr.ru/teatr/movie/13974/annot/</t>
        </is>
      </c>
      <c r="M175" s="2">
        <f>HYPERLINK("https://ru.wikipedia.org/w/index.php?search=%D0%9C%D0%BE%D1%81%D0%BA%D0%B2%D0%B0.%20%D0%A7%D0%B8%D1%81%D1%82%D1%8B%D0%B5%20%D0%BF%D1%80%D1%83%D0%B4%D1%8B%201978%20%D1%84%D0%B8%D0%BB%D1%8C%D0%BC","искать")</f>
        <v/>
      </c>
      <c r="N175" s="3" t="n"/>
      <c r="O175" s="2" t="n"/>
      <c r="P175" s="2" t="n"/>
    </row>
    <row r="176">
      <c r="A176" s="2" t="n">
        <v>175</v>
      </c>
      <c r="B176" s="2" t="inlineStr">
        <is>
          <t>обрыв</t>
        </is>
      </c>
      <c r="C176" s="2" t="n">
        <v>8717</v>
      </c>
      <c r="D176" s="3" t="inlineStr">
        <is>
          <t>Жди меня</t>
        </is>
      </c>
      <c r="E176" s="2" t="n">
        <v>1991</v>
      </c>
      <c r="F176" s="2" t="inlineStr">
        <is>
          <t>кинофильм</t>
        </is>
      </c>
      <c r="G176" s="2" t="n"/>
      <c r="H176" s="2" t="n">
        <v>226</v>
      </c>
      <c r="I176" s="2" t="inlineStr">
        <is>
          <t>да</t>
        </is>
      </c>
      <c r="J176" s="2" t="inlineStr"/>
      <c r="K176" s="3" t="inlineStr">
        <is>
          <t>Главный герой фильма, Озод, водитель кинопередвижки, он ездит по кишлакам и показывает кино. Но однажды попадает в трудную и опасную ситуацию, он столкнулся в горах, с наркодельцами, и они заставляют его перевести наркотики...</t>
        </is>
      </c>
      <c r="L176" s="2" t="inlineStr">
        <is>
          <t>Кино_СССР сводный каталог.xlsx: список фильмов (доп.)</t>
        </is>
      </c>
      <c r="M176" s="2">
        <f>HYPERLINK("https://ru.wikipedia.org/w/index.php?search=%D0%96%D0%B4%D0%B8%20%D0%BC%D0%B5%D0%BD%D1%8F%201991%20%D1%84%D0%B8%D0%BB%D1%8C%D0%BC","искать")</f>
        <v/>
      </c>
      <c r="N176" s="3" t="n"/>
      <c r="O176" s="2" t="n"/>
      <c r="P176" s="2" t="n"/>
    </row>
    <row r="177">
      <c r="A177" s="2" t="n">
        <v>176</v>
      </c>
      <c r="B177" s="2" t="inlineStr">
        <is>
          <t>обрыв</t>
        </is>
      </c>
      <c r="C177" s="2" t="n">
        <v>9577</v>
      </c>
      <c r="D177" s="3" t="inlineStr">
        <is>
          <t>Потерпевший</t>
        </is>
      </c>
      <c r="E177" s="2" t="n">
        <v>1990</v>
      </c>
      <c r="F177" s="2" t="inlineStr">
        <is>
          <t>кинофильм</t>
        </is>
      </c>
      <c r="G177" s="2" t="n"/>
      <c r="H177" s="2" t="n">
        <v>226</v>
      </c>
      <c r="I177" s="2" t="inlineStr">
        <is>
          <t>да</t>
        </is>
      </c>
      <c r="J177" s="2" t="inlineStr"/>
      <c r="K177" s="3" t="inlineStr">
        <is>
          <t>Герой фильма - старший уполномоченный милиции Кузьмин. В основе сюжета - ограбление сберкассы, нападение на женщину с кражей сумки, судьба талантливого художника, загнанного жизнью в тупик и, наконец, проблемы отцов и детей...</t>
        </is>
      </c>
      <c r="L177" s="2" t="inlineStr">
        <is>
          <t>Кино_СССР сводный каталог.xlsx: список фильмов (доп.)</t>
        </is>
      </c>
      <c r="M177" s="2">
        <f>HYPERLINK("https://ru.wikipedia.org/w/index.php?search=%D0%9F%D0%BE%D1%82%D0%B5%D1%80%D0%BF%D0%B5%D0%B2%D1%88%D0%B8%D0%B9%201990%20%D1%84%D0%B8%D0%BB%D1%8C%D0%BC","искать")</f>
        <v/>
      </c>
      <c r="N177" s="3" t="n"/>
      <c r="O177" s="2" t="n"/>
      <c r="P177" s="2" t="n"/>
    </row>
    <row r="178">
      <c r="A178" s="2" t="n">
        <v>177</v>
      </c>
      <c r="B178" s="2" t="inlineStr">
        <is>
          <t>обрыв</t>
        </is>
      </c>
      <c r="C178" s="2" t="n">
        <v>11226</v>
      </c>
      <c r="D178" s="3" t="inlineStr">
        <is>
          <t>С луны свалился</t>
        </is>
      </c>
      <c r="E178" s="2" t="n">
        <v>1988</v>
      </c>
      <c r="F178" s="2" t="inlineStr">
        <is>
          <t>фильм-спектакль</t>
        </is>
      </c>
      <c r="G178" s="2" t="inlineStr">
        <is>
          <t>Главная редакция литературно-драматических программ ЦТ</t>
        </is>
      </c>
      <c r="H178" s="2" t="n">
        <v>226</v>
      </c>
      <c r="I178" s="2" t="inlineStr">
        <is>
          <t>да</t>
        </is>
      </c>
      <c r="J178" s="2" t="inlineStr">
        <is>
          <t>да</t>
        </is>
      </c>
      <c r="K178" s="3" t="inlineStr">
        <is>
          <t>Сатирическая комедия по мотивам рассказов Михаила Зощенко "С луны свалился", "Слабая тара", "Сильное средство", "Волокита", "Лимонад", "Не надо спекулировать".
Наступили новые времена, где нет места взяткам, но вместо этого...</t>
        </is>
      </c>
      <c r="L178" s="2" t="inlineStr">
        <is>
          <t>https://www.kino-teatr.ru/teatr/movie/80544/annot/</t>
        </is>
      </c>
      <c r="M178" s="2">
        <f>HYPERLINK("https://ru.wikipedia.org/w/index.php?search=%D0%A1%20%D0%BB%D1%83%D0%BD%D1%8B%20%D1%81%D0%B2%D0%B0%D0%BB%D0%B8%D0%BB%D1%81%D1%8F%201988%20%D1%84%D0%B8%D0%BB%D1%8C%D0%BC","искать")</f>
        <v/>
      </c>
      <c r="N178" s="3" t="n"/>
      <c r="O178" s="2" t="n"/>
      <c r="P178" s="2" t="n"/>
    </row>
    <row r="179">
      <c r="A179" s="2" t="n">
        <v>178</v>
      </c>
      <c r="B179" s="2" t="inlineStr">
        <is>
          <t>обрыв</t>
        </is>
      </c>
      <c r="C179" s="2" t="n">
        <v>9443</v>
      </c>
      <c r="D179" s="3" t="inlineStr">
        <is>
          <t>Круглянский мост</t>
        </is>
      </c>
      <c r="E179" s="2" t="n">
        <v>1989</v>
      </c>
      <c r="F179" s="2" t="inlineStr">
        <is>
          <t>кинофильм</t>
        </is>
      </c>
      <c r="G179" s="2" t="n"/>
      <c r="H179" s="2" t="n">
        <v>227</v>
      </c>
      <c r="I179" s="2" t="inlineStr">
        <is>
          <t>да</t>
        </is>
      </c>
      <c r="J179" s="2" t="inlineStr"/>
      <c r="K179" s="3" t="inlineStr">
        <is>
          <t>Повесть военных лет. По одноименной повести Василя Быкова. Четверо солдат получили задание взорвать не имеющий стратегического значения мост. Приказ непонятен и тем не менее, не возражая начальству, герои отправляются в путь...</t>
        </is>
      </c>
      <c r="L179" s="2" t="inlineStr">
        <is>
          <t>Кино_СССР сводный каталог.xlsx: список фильмов (доп.)</t>
        </is>
      </c>
      <c r="M179" s="2">
        <f>HYPERLINK("https://ru.wikipedia.org/w/index.php?search=%D0%9A%D1%80%D1%83%D0%B3%D0%BB%D1%8F%D0%BD%D1%81%D0%BA%D0%B8%D0%B9%20%D0%BC%D0%BE%D1%81%D1%82%201989%20%D1%84%D0%B8%D0%BB%D1%8C%D0%BC","искать")</f>
        <v/>
      </c>
      <c r="N179" s="3" t="n"/>
      <c r="O179" s="2" t="n"/>
      <c r="P179" s="2" t="n"/>
    </row>
    <row r="180">
      <c r="A180" s="2" t="n">
        <v>179</v>
      </c>
      <c r="B180" s="2" t="inlineStr">
        <is>
          <t>обрыв</t>
        </is>
      </c>
      <c r="C180" s="2" t="n">
        <v>7917</v>
      </c>
      <c r="D180" s="3" t="inlineStr">
        <is>
          <t>Мы - взрослые</t>
        </is>
      </c>
      <c r="E180" s="2" t="n">
        <v>1980</v>
      </c>
      <c r="F180" s="2" t="inlineStr">
        <is>
          <t>телефильм</t>
        </is>
      </c>
      <c r="G180" s="2" t="n"/>
      <c r="H180" s="2" t="n">
        <v>228</v>
      </c>
      <c r="I180" s="2" t="inlineStr">
        <is>
          <t>да</t>
        </is>
      </c>
      <c r="J180" s="2" t="inlineStr"/>
      <c r="K180" s="3" t="inlineStr">
        <is>
          <t>По мотивам повести А.Сараева "Звездное поле". По окончании школы Жоламан приезжает на полуостров Мангышлак и становится рабочим-нефтяником. Зрители узнают о том, как он взрослеет и мужает, о его друзьях и первой юношеской любви…</t>
        </is>
      </c>
      <c r="L180" s="2" t="inlineStr">
        <is>
          <t>Кино_СССР сводный каталог.xlsx: список телефильмов</t>
        </is>
      </c>
      <c r="M180" s="2">
        <f>HYPERLINK("https://ru.wikipedia.org/w/index.php?search=%D0%9C%D1%8B%20-%20%D0%B2%D0%B7%D1%80%D0%BE%D1%81%D0%BB%D1%8B%D0%B5%201980%20%D1%84%D0%B8%D0%BB%D1%8C%D0%BC","искать")</f>
        <v/>
      </c>
      <c r="N180" s="3" t="n"/>
      <c r="O180" s="2" t="n"/>
      <c r="P180" s="2" t="n"/>
    </row>
    <row r="181">
      <c r="A181" s="2" t="n">
        <v>180</v>
      </c>
      <c r="B181" s="2" t="inlineStr">
        <is>
          <t>обрыв</t>
        </is>
      </c>
      <c r="C181" s="2" t="n">
        <v>8940</v>
      </c>
      <c r="D181" s="3" t="inlineStr">
        <is>
          <t>Под маской "Черной кошки"</t>
        </is>
      </c>
      <c r="E181" s="2" t="n">
        <v>1990</v>
      </c>
      <c r="F181" s="2" t="inlineStr">
        <is>
          <t>кинофильм</t>
        </is>
      </c>
      <c r="G181" s="2" t="n"/>
      <c r="H181" s="2" t="n">
        <v>229</v>
      </c>
      <c r="I181" s="2" t="inlineStr">
        <is>
          <t>да</t>
        </is>
      </c>
      <c r="J181" s="2" t="inlineStr"/>
      <c r="K181" s="3" t="inlineStr">
        <is>
          <t>Киновариант в одной серии. Ташкент - город хлебный для тысяч и тысяч уставших от голода и холода военного времени. Но в этом разряженном пространстве действуют и преступные группировки. Имя одной из таких банд - "Черная кошка"...</t>
        </is>
      </c>
      <c r="L181" s="2" t="inlineStr">
        <is>
          <t>Кино_СССР сводный каталог.xlsx: список фильмов (доп.)</t>
        </is>
      </c>
      <c r="M181" s="2">
        <f>HYPERLINK("https://ru.wikipedia.org/w/index.php?search=%D0%9F%D0%BE%D0%B4%20%D0%BC%D0%B0%D1%81%D0%BA%D0%BE%D0%B9%20%22%D0%A7%D0%B5%D1%80%D0%BD%D0%BE%D0%B9%20%D0%BA%D0%BE%D1%88%D0%BA%D0%B8%22%201990%20%D1%84%D0%B8%D0%BB%D1%8C%D0%BC","искать")</f>
        <v/>
      </c>
      <c r="N181" s="3" t="n"/>
      <c r="O181" s="2" t="n"/>
      <c r="P181" s="2" t="n"/>
    </row>
    <row r="182">
      <c r="A182" s="2" t="n">
        <v>181</v>
      </c>
      <c r="B182" s="2" t="inlineStr">
        <is>
          <t>обрыв</t>
        </is>
      </c>
      <c r="C182" s="2" t="n">
        <v>7858</v>
      </c>
      <c r="D182" s="3" t="inlineStr">
        <is>
          <t>Машенька</t>
        </is>
      </c>
      <c r="E182" s="2" t="n">
        <v>1991</v>
      </c>
      <c r="F182" s="2" t="inlineStr">
        <is>
          <t>телефильм</t>
        </is>
      </c>
      <c r="G182" s="2" t="n"/>
      <c r="H182" s="2" t="n">
        <v>230</v>
      </c>
      <c r="I182" s="2" t="inlineStr">
        <is>
          <t>да</t>
        </is>
      </c>
      <c r="J182" s="2" t="inlineStr"/>
      <c r="K182" s="3" t="inlineStr">
        <is>
          <t>По роману Владимира Набокова. Берлин, 20-е годы, пансион, где живут русские эмигранты. Один из героев фильма, ожидающий приезда жены, показывает её фотографию соседу по пансиону, который узнает в ней свою первую любовь — Машеньку…</t>
        </is>
      </c>
      <c r="L182" s="2" t="inlineStr">
        <is>
          <t>Кино_СССР сводный каталог.xlsx: список телефильмов</t>
        </is>
      </c>
      <c r="M182" s="2">
        <f>HYPERLINK("https://ru.wikipedia.org/w/index.php?search=%D0%9C%D0%B0%D1%88%D0%B5%D0%BD%D1%8C%D0%BA%D0%B0%201991%20%D1%84%D0%B8%D0%BB%D1%8C%D0%BC","искать")</f>
        <v/>
      </c>
      <c r="N182" s="3" t="n"/>
      <c r="O182" s="2" t="n"/>
      <c r="P182" s="2" t="n"/>
    </row>
    <row r="183">
      <c r="A183" s="2" t="n">
        <v>182</v>
      </c>
      <c r="B183" s="2" t="inlineStr">
        <is>
          <t>обрыв</t>
        </is>
      </c>
      <c r="C183" s="2" t="n">
        <v>8509</v>
      </c>
      <c r="D183" s="3" t="inlineStr">
        <is>
          <t>Фантазии Веснухина</t>
        </is>
      </c>
      <c r="E183" s="2" t="n">
        <v>1977</v>
      </c>
      <c r="F183" s="2" t="inlineStr">
        <is>
          <t>телефильм</t>
        </is>
      </c>
      <c r="G183" s="2" t="inlineStr">
        <is>
          <t>Одесская киностудия</t>
        </is>
      </c>
      <c r="H183" s="2" t="n">
        <v>230</v>
      </c>
      <c r="I183" s="2" t="inlineStr">
        <is>
          <t>да</t>
        </is>
      </c>
      <c r="J183" s="2" t="inlineStr"/>
      <c r="K183" s="3" t="inlineStr">
        <is>
          <t>Первоклассник Кирилл мечтает выступить в цирке со своим котом Тишей. Его увлечение дрессировкой доставляет много хлопот родителям, учительнице и одноклассникам. Но однажды Кирилл встречает клоуна, который соглашается помочь ему...</t>
        </is>
      </c>
      <c r="L183" s="2" t="inlineStr">
        <is>
          <t>Кино_СССР сводный каталог.xlsx: список телефильмов</t>
        </is>
      </c>
      <c r="M183" s="2">
        <f>HYPERLINK("https://ru.wikipedia.org/w/index.php?search=%D0%A4%D0%B0%D0%BD%D1%82%D0%B0%D0%B7%D0%B8%D0%B8%20%D0%92%D0%B5%D1%81%D0%BD%D1%83%D1%85%D0%B8%D0%BD%D0%B0%201977%20%D1%84%D0%B8%D0%BB%D1%8C%D0%BC","искать")</f>
        <v/>
      </c>
      <c r="N183" s="3" t="n"/>
      <c r="O183" s="2" t="n"/>
      <c r="P183" s="2" t="n"/>
    </row>
    <row r="184">
      <c r="A184" s="2" t="n">
        <v>183</v>
      </c>
      <c r="B184" s="2" t="inlineStr">
        <is>
          <t>обрыв</t>
        </is>
      </c>
      <c r="C184" s="2" t="n">
        <v>8554</v>
      </c>
      <c r="D184" s="3" t="inlineStr">
        <is>
          <t>Чёрная пантера и Белый медведь</t>
        </is>
      </c>
      <c r="E184" s="2" t="n">
        <v>1990</v>
      </c>
      <c r="F184" s="2" t="inlineStr">
        <is>
          <t>телефильм</t>
        </is>
      </c>
      <c r="G184" s="2" t="n"/>
      <c r="H184" s="2" t="n">
        <v>230</v>
      </c>
      <c r="I184" s="2" t="inlineStr">
        <is>
          <t>да</t>
        </is>
      </c>
      <c r="J184" s="2" t="inlineStr"/>
      <c r="K184" s="3" t="inlineStr">
        <is>
          <t>По повести Владимира Винниченко. Рита, жена художника Корнея, уговаривает мужа продать одну из картин, чтобы выручить деньги на лечение сына. Не согласившись, Корней заставляет жену и больного сына позировать для нового полотна...</t>
        </is>
      </c>
      <c r="L184" s="2" t="inlineStr">
        <is>
          <t>Кино_СССР сводный каталог.xlsx: список телефильмов</t>
        </is>
      </c>
      <c r="M184" s="2">
        <f>HYPERLINK("https://ru.wikipedia.org/w/index.php?search=%D0%A7%D1%91%D1%80%D0%BD%D0%B0%D1%8F%20%D0%BF%D0%B0%D0%BD%D1%82%D0%B5%D1%80%D0%B0%20%D0%B8%20%D0%91%D0%B5%D0%BB%D1%8B%D0%B9%20%D0%BC%D0%B5%D0%B4%D0%B2%D0%B5%D0%B4%D1%8C%201990%20%D1%84%D0%B8%D0%BB%D1%8C%D0%BC","искать")</f>
        <v/>
      </c>
      <c r="N184" s="3" t="n"/>
      <c r="O184" s="2" t="n"/>
      <c r="P184" s="2" t="n"/>
    </row>
    <row r="185">
      <c r="A185" s="2" t="n">
        <v>184</v>
      </c>
      <c r="B185" s="2" t="inlineStr">
        <is>
          <t>обрыв</t>
        </is>
      </c>
      <c r="C185" s="2" t="n">
        <v>9126</v>
      </c>
      <c r="D185" s="3" t="inlineStr">
        <is>
          <t>Улица мира</t>
        </is>
      </c>
      <c r="E185" s="2" t="n">
        <v>1991</v>
      </c>
      <c r="F185" s="2" t="inlineStr">
        <is>
          <t>кинофильм</t>
        </is>
      </c>
      <c r="G185" s="2" t="n"/>
      <c r="H185" s="2" t="n">
        <v>230</v>
      </c>
      <c r="I185" s="2" t="inlineStr">
        <is>
          <t>да</t>
        </is>
      </c>
      <c r="J185" s="2" t="inlineStr"/>
      <c r="K185" s="3" t="inlineStr">
        <is>
          <t>На обычной улице в уютных теплых домах обычной жизнью живут обычные люди. Однажды в новогоднюю ночь случается неожиданное - рядом с домом появляется часовой, затем приползает танк, и вскоре неизвестная армия занимает весь город...</t>
        </is>
      </c>
      <c r="L185" s="2" t="inlineStr">
        <is>
          <t>Кино_СССР сводный каталог.xlsx: список фильмов (доп.)</t>
        </is>
      </c>
      <c r="M185" s="2">
        <f>HYPERLINK("https://ru.wikipedia.org/w/index.php?search=%D0%A3%D0%BB%D0%B8%D1%86%D0%B0%20%D0%BC%D0%B8%D1%80%D0%B0%201991%20%D1%84%D0%B8%D0%BB%D1%8C%D0%BC","искать")</f>
        <v/>
      </c>
      <c r="N185" s="3" t="n"/>
      <c r="O185" s="2" t="n"/>
      <c r="P185" s="2" t="n"/>
    </row>
    <row r="186">
      <c r="A186" s="2" t="n">
        <v>185</v>
      </c>
      <c r="B186" s="2" t="inlineStr">
        <is>
          <t>обрыв</t>
        </is>
      </c>
      <c r="C186" s="2" t="n">
        <v>10041</v>
      </c>
      <c r="D186" s="3" t="inlineStr">
        <is>
          <t>Рычаги</t>
        </is>
      </c>
      <c r="E186" s="2" t="n">
        <v>1989</v>
      </c>
      <c r="F186" s="2" t="inlineStr">
        <is>
          <t>кинофильм</t>
        </is>
      </c>
      <c r="G186" s="2" t="inlineStr">
        <is>
          <t>“Мосфильм” при участии “Ленфильма”, студия “Ладога”</t>
        </is>
      </c>
      <c r="H186" s="2" t="n">
        <v>230</v>
      </c>
      <c r="I186" s="2" t="inlineStr">
        <is>
          <t>да</t>
        </is>
      </c>
      <c r="J186" s="2" t="inlineStr"/>
      <c r="K186" s="3" t="inlineStr">
        <is>
          <t>По одноименному рассказу Александра Яшина.
В канун ХХ съезда КПСС в деревенском клубе колхозники перед собранием откровенно говорят о своей трудной жизни. Начинается собрание - и эти же самые люди превращаются в "рычаги партии"...</t>
        </is>
      </c>
      <c r="L186" s="2" t="inlineStr">
        <is>
          <t>https://www.kino-teatr.ru/short/movie/sov/6130/annot/</t>
        </is>
      </c>
      <c r="M186" s="2">
        <f>HYPERLINK("https://ru.wikipedia.org/w/index.php?search=%D0%A0%D1%8B%D1%87%D0%B0%D0%B3%D0%B8%201989%20%D1%84%D0%B8%D0%BB%D1%8C%D0%BC","искать")</f>
        <v/>
      </c>
      <c r="N186" s="3" t="n"/>
      <c r="O186" s="2" t="n"/>
      <c r="P186" s="2" t="n"/>
    </row>
    <row r="187">
      <c r="A187" s="2" t="n">
        <v>186</v>
      </c>
      <c r="B187" s="2" t="inlineStr">
        <is>
          <t>обрыв</t>
        </is>
      </c>
      <c r="C187" s="2" t="n">
        <v>7275</v>
      </c>
      <c r="D187" s="3" t="inlineStr">
        <is>
          <t>Бубенчик</t>
        </is>
      </c>
      <c r="E187" s="2" t="n">
        <v>1974</v>
      </c>
      <c r="F187" s="2" t="inlineStr">
        <is>
          <t>телефильм</t>
        </is>
      </c>
      <c r="G187" s="2" t="n"/>
      <c r="H187" s="2" t="n">
        <v>231</v>
      </c>
      <c r="I187" s="2" t="inlineStr">
        <is>
          <t>да</t>
        </is>
      </c>
      <c r="J187" s="2" t="inlineStr"/>
      <c r="K187" s="3" t="inlineStr">
        <is>
          <t>Телефильм. В конце XIX века в живописную жямайтийскую деревню пришли Вилимас и Улис, искатели воды. Обоим понравилась единственная дочь вдовы Григене - Циля. Под влиянием матери  Циля выбирает не Вилимаса, а более богатого Улиса...</t>
        </is>
      </c>
      <c r="L187" s="2" t="inlineStr">
        <is>
          <t>Кино_СССР сводный каталог.xlsx: список телефильмов</t>
        </is>
      </c>
      <c r="M187" s="2">
        <f>HYPERLINK("https://ru.wikipedia.org/w/index.php?search=%D0%91%D1%83%D0%B1%D0%B5%D0%BD%D1%87%D0%B8%D0%BA%201974%20%D1%84%D0%B8%D0%BB%D1%8C%D0%BC","искать")</f>
        <v/>
      </c>
      <c r="N187" s="3" t="n"/>
      <c r="O187" s="2" t="n"/>
      <c r="P187" s="2" t="n"/>
    </row>
    <row r="188">
      <c r="A188" s="2" t="n">
        <v>187</v>
      </c>
      <c r="B188" s="2" t="inlineStr">
        <is>
          <t>обрыв</t>
        </is>
      </c>
      <c r="C188" s="2" t="n">
        <v>12577</v>
      </c>
      <c r="D188" s="3" t="inlineStr">
        <is>
          <t>Тайна страны земляники</t>
        </is>
      </c>
      <c r="E188" s="2" t="n">
        <v>1973</v>
      </c>
      <c r="F188" s="2" t="inlineStr">
        <is>
          <t>мультфильм</t>
        </is>
      </c>
      <c r="G188" s="2" t="inlineStr">
        <is>
          <t>КИЕВНАУЧФИЛЬМ</t>
        </is>
      </c>
      <c r="H188" s="2" t="n">
        <v>231</v>
      </c>
      <c r="I188" s="2" t="inlineStr">
        <is>
          <t>да</t>
        </is>
      </c>
      <c r="J188" s="2" t="inlineStr"/>
      <c r="K188" s="3" t="inlineStr">
        <is>
          <t>По сказке Радия Полонского. Решив набрать земляники к завтраку двое пионеров отправляются в лес. В пути некто похищает у них компас. В погоне за компасом они попадают в загадочную страну, из которой, кажется нет выхода, или есть...</t>
        </is>
      </c>
      <c r="L188" s="2" t="inlineStr">
        <is>
          <t>2026-10_мультфильмы_список_владельца.xlsx; https://animator.ru/db/?p=show_film&amp;fid=3757</t>
        </is>
      </c>
      <c r="M188" s="2">
        <f>HYPERLINK("https://ru.wikipedia.org/w/index.php?search=%D0%A2%D0%B0%D0%B9%D0%BD%D0%B0%20%D1%81%D1%82%D1%80%D0%B0%D0%BD%D1%8B%20%D0%B7%D0%B5%D0%BC%D0%BB%D1%8F%D0%BD%D0%B8%D0%BA%D0%B8%201973%20%D1%84%D0%B8%D0%BB%D1%8C%D0%BC","искать")</f>
        <v/>
      </c>
      <c r="N188" s="3" t="n"/>
      <c r="O188" s="2" t="n"/>
      <c r="P188" s="2" t="n"/>
    </row>
    <row r="189">
      <c r="A189" s="2" t="n">
        <v>188</v>
      </c>
      <c r="B189" s="2" t="inlineStr">
        <is>
          <t>обрыв</t>
        </is>
      </c>
      <c r="C189" s="2" t="n">
        <v>8943</v>
      </c>
      <c r="D189" s="3" t="inlineStr">
        <is>
          <t>Подвал</t>
        </is>
      </c>
      <c r="E189" s="2" t="n">
        <v>1990</v>
      </c>
      <c r="F189" s="2" t="inlineStr">
        <is>
          <t>кинофильм</t>
        </is>
      </c>
      <c r="G189" s="2" t="n"/>
      <c r="H189" s="2" t="n">
        <v>232</v>
      </c>
      <c r="I189" s="2" t="inlineStr">
        <is>
          <t>да</t>
        </is>
      </c>
      <c r="J189" s="2" t="inlineStr"/>
      <c r="K189" s="3" t="inlineStr">
        <is>
          <t>После долгих лет старания и терпения ей так и не удалось сохранить семью. Она с болью смотрела на то, как муж, архитектор по образованию, губит свою жизнь бездельем и тоской. Не выдержав скуки совместной жизни, она уходит из дома...</t>
        </is>
      </c>
      <c r="L189" s="2" t="inlineStr">
        <is>
          <t>Кино_СССР сводный каталог.xlsx: список фильмов (доп.)</t>
        </is>
      </c>
      <c r="M189" s="2">
        <f>HYPERLINK("https://ru.wikipedia.org/w/index.php?search=%D0%9F%D0%BE%D0%B4%D0%B2%D0%B0%D0%BB%201990%20%D1%84%D0%B8%D0%BB%D1%8C%D0%BC","искать")</f>
        <v/>
      </c>
      <c r="N189" s="3" t="n"/>
      <c r="O189" s="2" t="n"/>
      <c r="P189" s="2" t="n"/>
    </row>
    <row r="190">
      <c r="A190" s="2" t="n">
        <v>189</v>
      </c>
      <c r="B190" s="2" t="inlineStr">
        <is>
          <t>обрыв</t>
        </is>
      </c>
      <c r="C190" s="2" t="n">
        <v>8628</v>
      </c>
      <c r="D190" s="3" t="inlineStr">
        <is>
          <t>Ах, как сладка эта нежная печаль расставания</t>
        </is>
      </c>
      <c r="E190" s="2" t="n">
        <v>1991</v>
      </c>
      <c r="F190" s="2" t="inlineStr">
        <is>
          <t>кинофильм</t>
        </is>
      </c>
      <c r="G190" s="2" t="n"/>
      <c r="H190" s="2" t="n">
        <v>233</v>
      </c>
      <c r="I190" s="2" t="inlineStr">
        <is>
          <t>да</t>
        </is>
      </c>
      <c r="J190" s="2" t="inlineStr">
        <is>
          <t>да</t>
        </is>
      </c>
      <c r="K190" s="3" t="inlineStr">
        <is>
          <t>По мотивам пьесы Жана Ануйя "Эвридика". Современная интерпретация мифа об Орфее и Эвридике, о жизни и смерти. Действие фильма происходит на железнодорожной платформе, которая является символом ожидания, расставания, символом жизни...</t>
        </is>
      </c>
      <c r="L190" s="2" t="inlineStr">
        <is>
          <t>Кино_СССР сводный каталог.xlsx: список фильмов (доп.)</t>
        </is>
      </c>
      <c r="M190" s="2">
        <f>HYPERLINK("https://ru.wikipedia.org/w/index.php?search=%D0%90%D1%85%2C%20%D0%BA%D0%B0%D0%BA%20%D1%81%D0%BB%D0%B0%D0%B4%D0%BA%D0%B0%20%D1%8D%D1%82%D0%B0%20%D0%BD%D0%B5%D0%B6%D0%BD%D0%B0%D1%8F%20%D0%BF%D0%B5%D1%87%D0%B0%D0%BB%D1%8C%20%D1%80%D0%B0%D1%81%D1%81%D1%82%D0%B0%D0%B2%D0%B0%D0%BD%D0%B8%D1%8F%201991%20%D1%84%D0%B8%D0%BB%D1%8C%D0%BC","искать")</f>
        <v/>
      </c>
      <c r="N190" s="3" t="n"/>
      <c r="O190" s="2" t="n"/>
      <c r="P190" s="2" t="n"/>
    </row>
    <row r="191">
      <c r="A191" s="2" t="n">
        <v>190</v>
      </c>
      <c r="B191" s="2" t="inlineStr">
        <is>
          <t>обрыв</t>
        </is>
      </c>
      <c r="C191" s="2" t="n">
        <v>8779</v>
      </c>
      <c r="D191" s="3" t="inlineStr">
        <is>
          <t>Крик о помощи</t>
        </is>
      </c>
      <c r="E191" s="2" t="n">
        <v>1988</v>
      </c>
      <c r="F191" s="2" t="inlineStr">
        <is>
          <t>кинофильм</t>
        </is>
      </c>
      <c r="G191" s="2" t="n"/>
      <c r="H191" s="2" t="n">
        <v>233</v>
      </c>
      <c r="I191" s="2" t="inlineStr">
        <is>
          <t>да</t>
        </is>
      </c>
      <c r="J191" s="2" t="inlineStr"/>
      <c r="K191" s="3" t="inlineStr">
        <is>
          <t>Учащийся ПТУ Антон Коломийцев, взявший на себя за крупную сумму денег вину другого, - попадает в труднейшую ситуацию. Никто из "приятелей" и не пытается прийти к нему на помощь. Коломийцев находит для себя лишь один выход - гибель...</t>
        </is>
      </c>
      <c r="L191" s="2" t="inlineStr">
        <is>
          <t>Кино_СССР сводный каталог.xlsx: список фильмов (доп.)</t>
        </is>
      </c>
      <c r="M191" s="2">
        <f>HYPERLINK("https://ru.wikipedia.org/w/index.php?search=%D0%9A%D1%80%D0%B8%D0%BA%20%D0%BE%20%D0%BF%D0%BE%D0%BC%D0%BE%D1%89%D0%B8%201988%20%D1%84%D0%B8%D0%BB%D1%8C%D0%BC","искать")</f>
        <v/>
      </c>
      <c r="N191" s="3" t="n"/>
      <c r="O191" s="2" t="n"/>
      <c r="P191" s="2" t="n"/>
    </row>
    <row r="192">
      <c r="A192" s="2" t="n">
        <v>191</v>
      </c>
      <c r="B192" s="2" t="inlineStr">
        <is>
          <t>обрыв</t>
        </is>
      </c>
      <c r="C192" s="2" t="n">
        <v>8923</v>
      </c>
      <c r="D192" s="3" t="inlineStr">
        <is>
          <t>Первые пассажиры</t>
        </is>
      </c>
      <c r="E192" s="2" t="n">
        <v>1975</v>
      </c>
      <c r="F192" s="2" t="inlineStr">
        <is>
          <t>кинофильм</t>
        </is>
      </c>
      <c r="G192" s="2" t="n"/>
      <c r="H192" s="2" t="n">
        <v>233</v>
      </c>
      <c r="I192" s="2" t="inlineStr">
        <is>
          <t>да</t>
        </is>
      </c>
      <c r="J192" s="2" t="inlineStr"/>
      <c r="K192" s="3" t="inlineStr">
        <is>
          <t>Экранизация по мотивам повести П.Кадырова "Вольность". Герой фильма - один из руководителей строительства первого в Средней Азии Ташкентского метрополитена, проявивший себя не только хорошим специалистом, но и умелым организатором...</t>
        </is>
      </c>
      <c r="L192" s="2" t="inlineStr">
        <is>
          <t>Кино_СССР сводный каталог.xlsx: список фильмов (доп.)</t>
        </is>
      </c>
      <c r="M192" s="2">
        <f>HYPERLINK("https://ru.wikipedia.org/w/index.php?search=%D0%9F%D0%B5%D1%80%D0%B2%D1%8B%D0%B5%20%D0%BF%D0%B0%D1%81%D1%81%D0%B0%D0%B6%D0%B8%D1%80%D1%8B%201975%20%D1%84%D0%B8%D0%BB%D1%8C%D0%BC","искать")</f>
        <v/>
      </c>
      <c r="N192" s="3" t="n"/>
      <c r="O192" s="2" t="n"/>
      <c r="P192" s="2" t="n"/>
    </row>
    <row r="193">
      <c r="A193" s="2" t="n">
        <v>192</v>
      </c>
      <c r="B193" s="2" t="inlineStr">
        <is>
          <t>обрыв</t>
        </is>
      </c>
      <c r="C193" s="2" t="n">
        <v>10931</v>
      </c>
      <c r="D193" s="3" t="inlineStr">
        <is>
          <t>Блондинка</t>
        </is>
      </c>
      <c r="E193" s="2" t="n">
        <v>1982</v>
      </c>
      <c r="F193" s="2" t="inlineStr">
        <is>
          <t>фильм-спектакль</t>
        </is>
      </c>
      <c r="G193" s="2" t="inlineStr">
        <is>
          <t>Литовское телевидение</t>
        </is>
      </c>
      <c r="H193" s="2" t="n">
        <v>233</v>
      </c>
      <c r="I193" s="2" t="inlineStr">
        <is>
          <t>да</t>
        </is>
      </c>
      <c r="J193" s="2" t="inlineStr">
        <is>
          <t>да</t>
        </is>
      </c>
      <c r="K193" s="3" t="inlineStr">
        <is>
          <t>В ТВ спектакле, как и в пьесе А.Володина, проблемы молодой девушки, ищущей свой жизненный путь, взаимоотношения с людьми, отрицание обыденной жизни, поиски идеала, необыкновенного человека и необыкновенной жизни, и - разочарование...</t>
        </is>
      </c>
      <c r="L193" s="2" t="inlineStr">
        <is>
          <t>https://www.kino-teatr.ru/teatr/movie/107733/annot/</t>
        </is>
      </c>
      <c r="M193" s="2">
        <f>HYPERLINK("https://ru.wikipedia.org/w/index.php?search=%D0%91%D0%BB%D0%BE%D0%BD%D0%B4%D0%B8%D0%BD%D0%BA%D0%B0%201982%20%D1%84%D0%B8%D0%BB%D1%8C%D0%BC","искать")</f>
        <v/>
      </c>
      <c r="N193" s="3" t="n"/>
      <c r="O193" s="2" t="n"/>
      <c r="P193" s="2" t="n"/>
    </row>
    <row r="194">
      <c r="A194" s="2" t="n">
        <v>193</v>
      </c>
      <c r="B194" s="2" t="inlineStr">
        <is>
          <t>обрыв</t>
        </is>
      </c>
      <c r="C194" s="2" t="n">
        <v>7963</v>
      </c>
      <c r="D194" s="3" t="inlineStr">
        <is>
          <t>Не отдавай королеву</t>
        </is>
      </c>
      <c r="E194" s="2" t="n">
        <v>1975</v>
      </c>
      <c r="F194" s="2" t="inlineStr">
        <is>
          <t>телефильм</t>
        </is>
      </c>
      <c r="G194" s="2" t="n"/>
      <c r="H194" s="2" t="n">
        <v>234</v>
      </c>
      <c r="I194" s="2" t="inlineStr">
        <is>
          <t>да</t>
        </is>
      </c>
      <c r="J194" s="2" t="inlineStr"/>
      <c r="K194" s="3" t="inlineStr">
        <is>
          <t>Телефильм по мотивам "Барбинских повестей" Сергея Сартакова. Костя Барбин и Илья Шахворостов - матросы теплохода, курсирующего по Енисею. Они дружили с детских лет, но выросли разными по своим взглядам на жизнь, нравственным устоям...</t>
        </is>
      </c>
      <c r="L194" s="2" t="inlineStr">
        <is>
          <t>Кино_СССР сводный каталог.xlsx: список телефильмов</t>
        </is>
      </c>
      <c r="M194" s="2">
        <f>HYPERLINK("https://ru.wikipedia.org/w/index.php?search=%D0%9D%D0%B5%20%D0%BE%D1%82%D0%B4%D0%B0%D0%B2%D0%B0%D0%B9%20%D0%BA%D0%BE%D1%80%D0%BE%D0%BB%D0%B5%D0%B2%D1%83%201975%20%D1%84%D0%B8%D0%BB%D1%8C%D0%BC","искать")</f>
        <v/>
      </c>
      <c r="N194" s="3" t="n"/>
      <c r="O194" s="2" t="n"/>
      <c r="P194" s="2" t="n"/>
    </row>
    <row r="195">
      <c r="A195" s="2" t="n">
        <v>194</v>
      </c>
      <c r="B195" s="2" t="inlineStr">
        <is>
          <t>обрыв</t>
        </is>
      </c>
      <c r="C195" s="2" t="n">
        <v>10491</v>
      </c>
      <c r="D195" s="3" t="inlineStr">
        <is>
          <t>Волки и овцы</t>
        </is>
      </c>
      <c r="E195" s="2" t="n">
        <v>1973</v>
      </c>
      <c r="F195" s="2" t="inlineStr">
        <is>
          <t>фильм-спектакль</t>
        </is>
      </c>
      <c r="G195" s="2" t="n"/>
      <c r="H195" s="2" t="n">
        <v>234</v>
      </c>
      <c r="I195" s="2" t="inlineStr">
        <is>
          <t>да</t>
        </is>
      </c>
      <c r="J195" s="2" t="inlineStr"/>
      <c r="K195" s="3" t="inlineStr">
        <is>
          <t>Островский и Малый театр рассказывают нам старую, как мир, историю о том, что одним людям суждено быть простодушными и кроткими, как овечки, а другим — хищными и опасными, как волки. Порою, однако, и матерый хищник попадает впросак...</t>
        </is>
      </c>
      <c r="L195" s="2" t="inlineStr">
        <is>
          <t>https://www.kino-teatr.ru/teatr/movie/79995/annot/</t>
        </is>
      </c>
      <c r="M195" s="2">
        <f>HYPERLINK("https://ru.wikipedia.org/w/index.php?search=%D0%92%D0%BE%D0%BB%D0%BA%D0%B8%20%D0%B8%20%D0%BE%D0%B2%D1%86%D1%8B%201973%20%D1%84%D0%B8%D0%BB%D1%8C%D0%BC","искать")</f>
        <v/>
      </c>
      <c r="N195" s="3" t="n"/>
      <c r="O195" s="2" t="n"/>
      <c r="P195" s="2" t="n"/>
    </row>
    <row r="196">
      <c r="A196" s="2" t="n">
        <v>195</v>
      </c>
      <c r="B196" s="2" t="inlineStr">
        <is>
          <t>обрыв</t>
        </is>
      </c>
      <c r="C196" s="2" t="n">
        <v>7490</v>
      </c>
      <c r="D196" s="3" t="inlineStr">
        <is>
          <t>Девять кругов падения</t>
        </is>
      </c>
      <c r="E196" s="2" t="n">
        <v>1984</v>
      </c>
      <c r="F196" s="2" t="inlineStr">
        <is>
          <t>телефильм</t>
        </is>
      </c>
      <c r="G196" s="2" t="n"/>
      <c r="H196" s="2" t="n">
        <v>235</v>
      </c>
      <c r="I196" s="2" t="inlineStr">
        <is>
          <t>да</t>
        </is>
      </c>
      <c r="J196" s="2" t="inlineStr">
        <is>
          <t>да</t>
        </is>
      </c>
      <c r="K196" s="3" t="inlineStr">
        <is>
          <t>Фильм основан на действительных фактах. Картина об известном священнике, политическом деятеле Константинасе Олшаускасе и его любовной связи со Станиславой Устьянаускене, убийство которой осенью 1928 года до сих пор остаётся загадкой...</t>
        </is>
      </c>
      <c r="L196" s="2" t="inlineStr">
        <is>
          <t>Кино_СССР сводный каталог.xlsx: список телефильмов</t>
        </is>
      </c>
      <c r="M196" s="2">
        <f>HYPERLINK("https://ru.wikipedia.org/w/index.php?search=%D0%94%D0%B5%D0%B2%D1%8F%D1%82%D1%8C%20%D0%BA%D1%80%D1%83%D0%B3%D0%BE%D0%B2%20%D0%BF%D0%B0%D0%B4%D0%B5%D0%BD%D0%B8%D1%8F%201984%20%D1%84%D0%B8%D0%BB%D1%8C%D0%BC","искать")</f>
        <v/>
      </c>
      <c r="N196" s="3" t="n"/>
      <c r="O196" s="2" t="n"/>
      <c r="P196" s="2" t="n"/>
    </row>
    <row r="197">
      <c r="A197" s="2" t="n">
        <v>196</v>
      </c>
      <c r="B197" s="2" t="inlineStr">
        <is>
          <t>обрыв</t>
        </is>
      </c>
      <c r="C197" s="2" t="n">
        <v>8110</v>
      </c>
      <c r="D197" s="3" t="inlineStr">
        <is>
          <t>Печальный горн</t>
        </is>
      </c>
      <c r="E197" s="2" t="n">
        <v>1982</v>
      </c>
      <c r="F197" s="2" t="inlineStr">
        <is>
          <t>телефильм</t>
        </is>
      </c>
      <c r="G197" s="2" t="n"/>
      <c r="H197" s="2" t="n">
        <v>235</v>
      </c>
      <c r="I197" s="2" t="inlineStr">
        <is>
          <t>да</t>
        </is>
      </c>
      <c r="J197" s="2" t="inlineStr"/>
      <c r="K197" s="3" t="inlineStr">
        <is>
          <t>Мальчики Лука и Бачо живут и учатся в интернате. У обоих нет родителей. Лука прекрасно рисует. Но, когда профессиональный художник Гоги Карсанидзе усыновляет его, мальчик возвращается в интернат, так как не может жить без друга Бачо...</t>
        </is>
      </c>
      <c r="L197" s="2" t="inlineStr">
        <is>
          <t>Кино_СССР сводный каталог.xlsx: список телефильмов</t>
        </is>
      </c>
      <c r="M197" s="2">
        <f>HYPERLINK("https://ru.wikipedia.org/w/index.php?search=%D0%9F%D0%B5%D1%87%D0%B0%D0%BB%D1%8C%D0%BD%D1%8B%D0%B9%20%D0%B3%D0%BE%D1%80%D0%BD%201982%20%D1%84%D0%B8%D0%BB%D1%8C%D0%BC","искать")</f>
        <v/>
      </c>
      <c r="N197" s="3" t="n"/>
      <c r="O197" s="2" t="n"/>
      <c r="P197" s="2" t="n"/>
    </row>
    <row r="198">
      <c r="A198" s="2" t="n">
        <v>197</v>
      </c>
      <c r="B198" s="2" t="inlineStr">
        <is>
          <t>обрыв</t>
        </is>
      </c>
      <c r="C198" s="2" t="n">
        <v>8922</v>
      </c>
      <c r="D198" s="3" t="inlineStr">
        <is>
          <t>Пейзаж глазами спринтера</t>
        </is>
      </c>
      <c r="E198" s="2" t="n">
        <v>1988</v>
      </c>
      <c r="F198" s="2" t="inlineStr">
        <is>
          <t>кинофильм</t>
        </is>
      </c>
      <c r="G198" s="2" t="n"/>
      <c r="H198" s="2" t="n">
        <v>235</v>
      </c>
      <c r="I198" s="2" t="inlineStr">
        <is>
          <t>да</t>
        </is>
      </c>
      <c r="J198" s="2" t="inlineStr"/>
      <c r="K198" s="3" t="inlineStr">
        <is>
          <t>Аспирант Тимур Камбаров живет по принципу - цель оправдывает средства. Для достижения личного благополучия в ход идет всё: деньги, знакомства, "дружеские" услуги нужным людям. И как ни странно, Камбаров ни от кого не получает отпора...</t>
        </is>
      </c>
      <c r="L198" s="2" t="inlineStr">
        <is>
          <t>Кино_СССР сводный каталог.xlsx: список фильмов (доп.)</t>
        </is>
      </c>
      <c r="M198" s="2">
        <f>HYPERLINK("https://ru.wikipedia.org/w/index.php?search=%D0%9F%D0%B5%D0%B9%D0%B7%D0%B0%D0%B6%20%D0%B3%D0%BB%D0%B0%D0%B7%D0%B0%D0%BC%D0%B8%20%D1%81%D0%BF%D1%80%D0%B8%D0%BD%D1%82%D0%B5%D1%80%D0%B0%201988%20%D1%84%D0%B8%D0%BB%D1%8C%D0%BC","искать")</f>
        <v/>
      </c>
      <c r="N198" s="3" t="n"/>
      <c r="O198" s="2" t="n"/>
      <c r="P198" s="2" t="n"/>
    </row>
    <row r="199">
      <c r="A199" s="2" t="n">
        <v>198</v>
      </c>
      <c r="B199" s="2" t="inlineStr">
        <is>
          <t>обрыв</t>
        </is>
      </c>
      <c r="C199" s="2" t="n">
        <v>11281</v>
      </c>
      <c r="D199" s="3" t="inlineStr">
        <is>
          <t>Село Степанчиково и его обитатели</t>
        </is>
      </c>
      <c r="E199" s="2" t="n">
        <v>1989</v>
      </c>
      <c r="F199" s="2" t="inlineStr">
        <is>
          <t>фильм-спектакль</t>
        </is>
      </c>
      <c r="G199" s="2" t="inlineStr">
        <is>
          <t>Лентелефильм</t>
        </is>
      </c>
      <c r="H199" s="2" t="n">
        <v>235</v>
      </c>
      <c r="I199" s="2" t="inlineStr">
        <is>
          <t>да</t>
        </is>
      </c>
      <c r="J199" s="2" t="inlineStr"/>
      <c r="K199" s="3" t="inlineStr">
        <is>
          <t>Фильм-спектакль по повести Федора Михайловича Достоевского. Запись 1989 года.
Печальная история о том, как приживал в доме полковника Ростанева, демагог и бездельник Фома Опискин, завладел душами и умами образованных, неглупых людей...</t>
        </is>
      </c>
      <c r="L199" s="2" t="inlineStr">
        <is>
          <t>https://www.kino-teatr.ru/teatr/movie/6329/annot/</t>
        </is>
      </c>
      <c r="M199" s="2">
        <f>HYPERLINK("https://ru.wikipedia.org/w/index.php?search=%D0%A1%D0%B5%D0%BB%D0%BE%20%D0%A1%D1%82%D0%B5%D0%BF%D0%B0%D0%BD%D1%87%D0%B8%D0%BA%D0%BE%D0%B2%D0%BE%20%D0%B8%20%D0%B5%D0%B3%D0%BE%20%D0%BE%D0%B1%D0%B8%D1%82%D0%B0%D1%82%D0%B5%D0%BB%D0%B8%201989%20%D1%84%D0%B8%D0%BB%D1%8C%D0%BC","искать")</f>
        <v/>
      </c>
      <c r="N199" s="3" t="n"/>
      <c r="O199" s="2" t="n"/>
      <c r="P199" s="2" t="n"/>
    </row>
    <row r="200">
      <c r="A200" s="2" t="n">
        <v>199</v>
      </c>
      <c r="B200" s="2" t="inlineStr">
        <is>
          <t>обрыв</t>
        </is>
      </c>
      <c r="C200" s="2" t="n">
        <v>7192</v>
      </c>
      <c r="D200" s="3" t="inlineStr">
        <is>
          <t>Адвокат</t>
        </is>
      </c>
      <c r="E200" s="2" t="n">
        <v>1990</v>
      </c>
      <c r="F200" s="2" t="inlineStr">
        <is>
          <t>телефильм</t>
        </is>
      </c>
      <c r="G200" s="2" t="n"/>
      <c r="H200" s="2" t="n">
        <v>236</v>
      </c>
      <c r="I200" s="2" t="inlineStr">
        <is>
          <t>да</t>
        </is>
      </c>
      <c r="J200" s="2" t="inlineStr"/>
      <c r="K200" s="3" t="inlineStr">
        <is>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is>
      </c>
      <c r="L200" s="2" t="inlineStr">
        <is>
          <t>Кино_СССР сводный каталог.xlsx: список телефильмов</t>
        </is>
      </c>
      <c r="M200" s="2">
        <f>HYPERLINK("https://ru.wikipedia.org/w/index.php?search=%D0%90%D0%B4%D0%B2%D0%BE%D0%BA%D0%B0%D1%82%201990%20%D1%84%D0%B8%D0%BB%D1%8C%D0%BC","искать")</f>
        <v/>
      </c>
      <c r="N200" s="3" t="n"/>
      <c r="O200" s="2" t="n"/>
      <c r="P200" s="2" t="n"/>
    </row>
    <row r="201">
      <c r="A201" s="2" t="n">
        <v>200</v>
      </c>
      <c r="B201" s="2" t="inlineStr">
        <is>
          <t>обрыв</t>
        </is>
      </c>
      <c r="C201" s="2" t="n">
        <v>7971</v>
      </c>
      <c r="D201" s="3" t="inlineStr">
        <is>
          <t>Невеста для брата</t>
        </is>
      </c>
      <c r="E201" s="2" t="n">
        <v>1979</v>
      </c>
      <c r="F201" s="2" t="inlineStr">
        <is>
          <t>телефильм</t>
        </is>
      </c>
      <c r="G201" s="2" t="n"/>
      <c r="H201" s="2" t="n">
        <v>236</v>
      </c>
      <c r="I201" s="2" t="inlineStr">
        <is>
          <t>да</t>
        </is>
      </c>
      <c r="J201" s="2" t="inlineStr"/>
      <c r="K201" s="3" t="inlineStr">
        <is>
          <t>Телефильм. Батырбек, провалившись на вступительных экзаменах в институт, возвращается домой, в родной аул. Его младший брат, Аян, решает помочь Батырбеку начать самостоятельную жизнь - построить новый дом и подыскать подходящую невесту…</t>
        </is>
      </c>
      <c r="L201" s="2" t="inlineStr">
        <is>
          <t>Кино_СССР сводный каталог.xlsx: список телефильмов</t>
        </is>
      </c>
      <c r="M201" s="2">
        <f>HYPERLINK("https://ru.wikipedia.org/w/index.php?search=%D0%9D%D0%B5%D0%B2%D0%B5%D1%81%D1%82%D0%B0%20%D0%B4%D0%BB%D1%8F%20%D0%B1%D1%80%D0%B0%D1%82%D0%B0%201979%20%D1%84%D0%B8%D0%BB%D1%8C%D0%BC","искать")</f>
        <v/>
      </c>
      <c r="N201" s="3" t="n"/>
      <c r="O201" s="2" t="n"/>
      <c r="P201" s="2" t="n"/>
    </row>
    <row r="202">
      <c r="A202" s="2" t="n">
        <v>201</v>
      </c>
      <c r="B202" s="2" t="inlineStr">
        <is>
          <t>обрыв</t>
        </is>
      </c>
      <c r="C202" s="2" t="n">
        <v>7471</v>
      </c>
      <c r="D202" s="3" t="inlineStr">
        <is>
          <t>Далеко-далече</t>
        </is>
      </c>
      <c r="E202" s="2" t="n">
        <v>1990</v>
      </c>
      <c r="F202" s="2" t="inlineStr">
        <is>
          <t>телефильм</t>
        </is>
      </c>
      <c r="G202" s="2" t="n"/>
      <c r="H202" s="2" t="n">
        <v>237</v>
      </c>
      <c r="I202" s="2" t="inlineStr">
        <is>
          <t>да</t>
        </is>
      </c>
      <c r="J202" s="2" t="inlineStr"/>
      <c r="K202" s="3" t="inlineStr">
        <is>
          <t>По мотивам повести Ю.Грибова "Сороковой бор". Из города к старому леснику приезжает Сергей с сыном. Их связывает давнее знакомство. Между дочерью лесника Ксенией и Сергеем завязывается роман, но неожиданно появляется бывший муж Ксении...</t>
        </is>
      </c>
      <c r="L202" s="2" t="inlineStr">
        <is>
          <t>Кино_СССР сводный каталог.xlsx: список телефильмов</t>
        </is>
      </c>
      <c r="M202" s="2">
        <f>HYPERLINK("https://ru.wikipedia.org/w/index.php?search=%D0%94%D0%B0%D0%BB%D0%B5%D0%BA%D0%BE-%D0%B4%D0%B0%D0%BB%D0%B5%D1%87%D0%B5%201990%20%D1%84%D0%B8%D0%BB%D1%8C%D0%BC","искать")</f>
        <v/>
      </c>
      <c r="N202" s="3" t="n"/>
      <c r="O202" s="2" t="n"/>
      <c r="P202" s="2" t="n"/>
    </row>
    <row r="203">
      <c r="A203" s="2" t="n">
        <v>202</v>
      </c>
      <c r="B203" s="2" t="inlineStr">
        <is>
          <t>обрыв</t>
        </is>
      </c>
      <c r="C203" s="2" t="n">
        <v>7481</v>
      </c>
      <c r="D203" s="3" t="inlineStr">
        <is>
          <t>Двенадцать месяцев</t>
        </is>
      </c>
      <c r="E203" s="2" t="n">
        <v>1972</v>
      </c>
      <c r="F203" s="2" t="inlineStr">
        <is>
          <t>телефильм</t>
        </is>
      </c>
      <c r="G203" s="2" t="n"/>
      <c r="H203" s="2" t="n">
        <v>237</v>
      </c>
      <c r="I203" s="2" t="inlineStr">
        <is>
          <t>да</t>
        </is>
      </c>
      <c r="J203" s="2" t="inlineStr"/>
      <c r="K203" s="3" t="inlineStr">
        <is>
          <t>Телефильм-сказка по одноименной пьесе С. Я. Маршака. Снежной холодной зимой, под вечер, в канун Нового года, когда люди сидят в домах, прислушиваясь к треску поленьев в печи, злая мачеха отправила свою падчерицу в лес за подснежниками...</t>
        </is>
      </c>
      <c r="L203" s="2" t="inlineStr">
        <is>
          <t>Кино_СССР сводный каталог.xlsx: список телефильмов</t>
        </is>
      </c>
      <c r="M203" s="2">
        <f>HYPERLINK("https://ru.wikipedia.org/w/index.php?search=%D0%94%D0%B2%D0%B5%D0%BD%D0%B0%D0%B4%D1%86%D0%B0%D1%82%D1%8C%20%D0%BC%D0%B5%D1%81%D1%8F%D1%86%D0%B5%D0%B2%201972%20%D1%84%D0%B8%D0%BB%D1%8C%D0%BC","искать")</f>
        <v/>
      </c>
      <c r="N203" s="3" t="n"/>
      <c r="O203" s="2" t="n"/>
      <c r="P203" s="2" t="n"/>
    </row>
    <row r="204">
      <c r="A204" s="2" t="n">
        <v>203</v>
      </c>
      <c r="B204" s="2" t="inlineStr">
        <is>
          <t>обрыв</t>
        </is>
      </c>
      <c r="C204" s="2" t="n">
        <v>8465</v>
      </c>
      <c r="D204" s="3" t="inlineStr">
        <is>
          <t>Точка возврата</t>
        </is>
      </c>
      <c r="E204" s="2" t="n">
        <v>1986</v>
      </c>
      <c r="F204" s="2" t="inlineStr">
        <is>
          <t>телефильм</t>
        </is>
      </c>
      <c r="G204" s="2" t="n"/>
      <c r="H204" s="2" t="n">
        <v>237</v>
      </c>
      <c r="I204" s="2" t="inlineStr">
        <is>
          <t>да</t>
        </is>
      </c>
      <c r="J204" s="2" t="inlineStr"/>
      <c r="K204" s="3" t="inlineStr">
        <is>
          <t>По одноименной повести Владимира Санина. 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is>
      </c>
      <c r="L204" s="2" t="inlineStr">
        <is>
          <t>Кино_СССР сводный каталог.xlsx: список телефильмов</t>
        </is>
      </c>
      <c r="M204" s="2">
        <f>HYPERLINK("https://ru.wikipedia.org/w/index.php?search=%D0%A2%D0%BE%D1%87%D0%BA%D0%B0%20%D0%B2%D0%BE%D0%B7%D0%B2%D1%80%D0%B0%D1%82%D0%B0%201986%20%D1%84%D0%B8%D0%BB%D1%8C%D0%BC","искать")</f>
        <v/>
      </c>
      <c r="N204" s="3" t="n"/>
      <c r="O204" s="2" t="n"/>
      <c r="P204" s="2" t="n"/>
    </row>
    <row r="205">
      <c r="A205" s="2" t="n">
        <v>204</v>
      </c>
      <c r="B205" s="2" t="inlineStr">
        <is>
          <t>обрыв</t>
        </is>
      </c>
      <c r="C205" s="2" t="n">
        <v>8858</v>
      </c>
      <c r="D205" s="3" t="inlineStr">
        <is>
          <t>На железной дороге</t>
        </is>
      </c>
      <c r="E205" s="2" t="n">
        <v>1988</v>
      </c>
      <c r="F205" s="2" t="inlineStr">
        <is>
          <t>кинофильм</t>
        </is>
      </c>
      <c r="G205" s="2" t="n"/>
      <c r="H205" s="2" t="n">
        <v>238</v>
      </c>
      <c r="I205" s="2" t="inlineStr">
        <is>
          <t>да</t>
        </is>
      </c>
      <c r="J205" s="2" t="inlineStr"/>
      <c r="K205" s="3" t="inlineStr">
        <is>
          <t>Среди голода, разрухи, тифа и полного хаоса едут в разбитом вагоне-теплушке молодой, искалеченный гражданской войной солдат Евмен и девушка Мария. Так на страшной дороге жизни у двух одиноких людей зарождаются глубокие и чистые чувства...</t>
        </is>
      </c>
      <c r="L205" s="2" t="inlineStr">
        <is>
          <t>Кино_СССР сводный каталог.xlsx: список фильмов (доп.)</t>
        </is>
      </c>
      <c r="M205" s="2">
        <f>HYPERLINK("https://ru.wikipedia.org/w/index.php?search=%D0%9D%D0%B0%20%D0%B6%D0%B5%D0%BB%D0%B5%D0%B7%D0%BD%D0%BE%D0%B9%20%D0%B4%D0%BE%D1%80%D0%BE%D0%B3%D0%B5%201988%20%D1%84%D0%B8%D0%BB%D1%8C%D0%BC","искать")</f>
        <v/>
      </c>
      <c r="N205" s="3" t="n"/>
      <c r="O205" s="2" t="n"/>
      <c r="P205" s="2" t="n"/>
    </row>
    <row r="206">
      <c r="A206" s="2" t="n">
        <v>205</v>
      </c>
      <c r="B206" s="2" t="inlineStr">
        <is>
          <t>обрыв</t>
        </is>
      </c>
      <c r="C206" s="2" t="n">
        <v>9362</v>
      </c>
      <c r="D206" s="3" t="inlineStr">
        <is>
          <t>Житие Александра Невского</t>
        </is>
      </c>
      <c r="E206" s="2" t="n">
        <v>1991</v>
      </c>
      <c r="F206" s="2" t="inlineStr">
        <is>
          <t>кинофильм</t>
        </is>
      </c>
      <c r="G206" s="2" t="n"/>
      <c r="H206" s="2" t="n">
        <v>238</v>
      </c>
      <c r="I206" s="2" t="inlineStr">
        <is>
          <t>да</t>
        </is>
      </c>
      <c r="J206" s="2" t="inlineStr"/>
      <c r="K206" s="3" t="inlineStr">
        <is>
          <t>Иллюстрация к текстам «Житий» русских святых. Последние дни жизни князя Александра, который возвращается из Орды во Владимир, свою вотчину. В пути князю становится плохо. Временами к нему возвращается сознание — и прошлое не дает покоя...</t>
        </is>
      </c>
      <c r="L206" s="2" t="inlineStr">
        <is>
          <t>Кино_СССР сводный каталог.xlsx: список фильмов (доп.)</t>
        </is>
      </c>
      <c r="M206" s="2">
        <f>HYPERLINK("https://ru.wikipedia.org/w/index.php?search=%D0%96%D0%B8%D1%82%D0%B8%D0%B5%20%D0%90%D0%BB%D0%B5%D0%BA%D1%81%D0%B0%D0%BD%D0%B4%D1%80%D0%B0%20%D0%9D%D0%B5%D0%B2%D1%81%D0%BA%D0%BE%D0%B3%D0%BE%201991%20%D1%84%D0%B8%D0%BB%D1%8C%D0%BC","искать")</f>
        <v/>
      </c>
      <c r="N206" s="3" t="n"/>
      <c r="O206" s="2" t="n"/>
      <c r="P206" s="2" t="n"/>
    </row>
    <row r="207">
      <c r="A207" s="2" t="n">
        <v>206</v>
      </c>
      <c r="B207" s="2" t="inlineStr">
        <is>
          <t>обрыв</t>
        </is>
      </c>
      <c r="C207" s="2" t="n">
        <v>7652</v>
      </c>
      <c r="D207" s="3" t="inlineStr">
        <is>
          <t>Золотая свадьба</t>
        </is>
      </c>
      <c r="E207" s="2" t="n">
        <v>1987</v>
      </c>
      <c r="F207" s="2" t="inlineStr">
        <is>
          <t>телефильм</t>
        </is>
      </c>
      <c r="G207" s="2" t="n"/>
      <c r="H207" s="2" t="n">
        <v>240</v>
      </c>
      <c r="I207" s="2" t="inlineStr">
        <is>
          <t>да</t>
        </is>
      </c>
      <c r="J207" s="2" t="inlineStr"/>
      <c r="K207" s="3" t="inlineStr">
        <is>
          <t>Действие фильма происходит в день золотой свадьбы семьи Клима и Анастасии Даник. Счастливую жизнь прожили супруги, вырастили троих детей, теперь воспитывают внуков. Но так же, как и в далекой молодости, их волнует всё происходящее вокруг...</t>
        </is>
      </c>
      <c r="L207" s="2" t="inlineStr">
        <is>
          <t>Кино_СССР сводный каталог.xlsx: список телефильмов</t>
        </is>
      </c>
      <c r="M207" s="2">
        <f>HYPERLINK("https://ru.wikipedia.org/w/index.php?search=%D0%97%D0%BE%D0%BB%D0%BE%D1%82%D0%B0%D1%8F%20%D1%81%D0%B2%D0%B0%D0%B4%D1%8C%D0%B1%D0%B0%201987%20%D1%84%D0%B8%D0%BB%D1%8C%D0%BC","искать")</f>
        <v/>
      </c>
      <c r="N207" s="3" t="n"/>
      <c r="O207" s="2" t="n"/>
      <c r="P207" s="2" t="n"/>
    </row>
    <row r="208">
      <c r="A208" s="2" t="n">
        <v>207</v>
      </c>
      <c r="B208" s="2" t="inlineStr">
        <is>
          <t>обрыв</t>
        </is>
      </c>
      <c r="C208" s="2" t="n">
        <v>8128</v>
      </c>
      <c r="D208" s="3" t="inlineStr">
        <is>
          <t>Повод</t>
        </is>
      </c>
      <c r="E208" s="2" t="n">
        <v>1986</v>
      </c>
      <c r="F208" s="2" t="inlineStr">
        <is>
          <t>телефильм</t>
        </is>
      </c>
      <c r="G208" s="2" t="n"/>
      <c r="H208" s="2" t="n">
        <v>240</v>
      </c>
      <c r="I208" s="2" t="inlineStr">
        <is>
          <t>да</t>
        </is>
      </c>
      <c r="J208" s="2" t="inlineStr"/>
      <c r="K208" s="3" t="inlineStr">
        <is>
          <t>По мотивам одноименной повести А.Жукова. Идет товарищеский суд. Домашний кот Адам обвиняется в воровстве колбасы из магазина, утят из колхозной птицефермы и многих других прегрешениях, которые списывают на беднягу буквально все жители села…</t>
        </is>
      </c>
      <c r="L208" s="2" t="inlineStr">
        <is>
          <t>Кино_СССР сводный каталог.xlsx: список телефильмов</t>
        </is>
      </c>
      <c r="M208" s="2">
        <f>HYPERLINK("https://ru.wikipedia.org/w/index.php?search=%D0%9F%D0%BE%D0%B2%D0%BE%D0%B4%201986%20%D1%84%D0%B8%D0%BB%D1%8C%D0%BC","искать")</f>
        <v/>
      </c>
      <c r="N208" s="3" t="n"/>
      <c r="O208" s="2" t="n"/>
      <c r="P208" s="2" t="n"/>
    </row>
    <row r="209">
      <c r="A209" s="2" t="n">
        <v>208</v>
      </c>
      <c r="B209" s="2" t="inlineStr">
        <is>
          <t>обрыв</t>
        </is>
      </c>
      <c r="C209" s="2" t="n">
        <v>8134</v>
      </c>
      <c r="D209" s="3" t="inlineStr">
        <is>
          <t>Под ступеньками</t>
        </is>
      </c>
      <c r="E209" s="2" t="n">
        <v>1989</v>
      </c>
      <c r="F209" s="2" t="inlineStr">
        <is>
          <t>телефильм</t>
        </is>
      </c>
      <c r="G209" s="2" t="n"/>
      <c r="H209" s="2" t="n">
        <v>240</v>
      </c>
      <c r="I209" s="2" t="inlineStr">
        <is>
          <t>да</t>
        </is>
      </c>
      <c r="J209" s="2" t="inlineStr"/>
      <c r="K209" s="3" t="inlineStr">
        <is>
          <t>Яков Дерябин возвращается из мест заключения, куда он попал по милости своей жены, и мается в поисках работы и жилья. Никто не принимает участия в судьбе доброго и несчастного человека. И пока он спит в подъезде жилого дома под лестницей...</t>
        </is>
      </c>
      <c r="L209" s="2" t="inlineStr">
        <is>
          <t>Кино_СССР сводный каталог.xlsx: список телефильмов</t>
        </is>
      </c>
      <c r="M209" s="2">
        <f>HYPERLINK("https://ru.wikipedia.org/w/index.php?search=%D0%9F%D0%BE%D0%B4%20%D1%81%D1%82%D1%83%D0%BF%D0%B5%D0%BD%D1%8C%D0%BA%D0%B0%D0%BC%D0%B8%201989%20%D1%84%D0%B8%D0%BB%D1%8C%D0%BC","искать")</f>
        <v/>
      </c>
      <c r="N209" s="3" t="n"/>
      <c r="O209" s="2" t="n"/>
      <c r="P209" s="2" t="n"/>
    </row>
    <row r="210">
      <c r="A210" s="2" t="n">
        <v>209</v>
      </c>
      <c r="B210" s="2" t="inlineStr">
        <is>
          <t>обрыв</t>
        </is>
      </c>
      <c r="C210" s="2" t="n">
        <v>8311</v>
      </c>
      <c r="D210" s="3" t="inlineStr">
        <is>
          <t>Свет маяка</t>
        </is>
      </c>
      <c r="E210" s="2" t="n">
        <v>1977</v>
      </c>
      <c r="F210" s="2" t="inlineStr">
        <is>
          <t>телефильм</t>
        </is>
      </c>
      <c r="G210" s="2" t="n"/>
      <c r="H210" s="2" t="n">
        <v>240</v>
      </c>
      <c r="I210" s="2" t="inlineStr">
        <is>
          <t>да</t>
        </is>
      </c>
      <c r="J210" s="2" t="inlineStr"/>
      <c r="K210" s="3" t="inlineStr">
        <is>
          <t>Телефильм. На маяке живут старый больной смотритель и девушка Марал. Неизвестно, как долго девушка жила бы отшельницей на маяке, если бы не любовь, которая возникла между ней и капитаном катера Мурадом, привезшим врача к больному старику...</t>
        </is>
      </c>
      <c r="L210" s="2" t="inlineStr">
        <is>
          <t>Кино_СССР сводный каталог.xlsx: список телефильмов</t>
        </is>
      </c>
      <c r="M210" s="2">
        <f>HYPERLINK("https://ru.wikipedia.org/w/index.php?search=%D0%A1%D0%B2%D0%B5%D1%82%20%D0%BC%D0%B0%D1%8F%D0%BA%D0%B0%201977%20%D1%84%D0%B8%D0%BB%D1%8C%D0%BC","искать")</f>
        <v/>
      </c>
      <c r="N210" s="3" t="n"/>
      <c r="O210" s="2" t="n"/>
      <c r="P210" s="2" t="n"/>
    </row>
    <row r="211">
      <c r="A211" s="2" t="n">
        <v>210</v>
      </c>
      <c r="B211" s="2" t="inlineStr">
        <is>
          <t>обрыв</t>
        </is>
      </c>
      <c r="C211" s="2" t="n">
        <v>8503</v>
      </c>
      <c r="D211" s="3" t="inlineStr">
        <is>
          <t>Уроки ненависти</t>
        </is>
      </c>
      <c r="E211" s="2" t="n">
        <v>1983</v>
      </c>
      <c r="F211" s="2" t="inlineStr">
        <is>
          <t>телефильм</t>
        </is>
      </c>
      <c r="G211" s="2" t="n"/>
      <c r="H211" s="2" t="n">
        <v>240</v>
      </c>
      <c r="I211" s="2" t="inlineStr">
        <is>
          <t>да</t>
        </is>
      </c>
      <c r="J211" s="2" t="inlineStr"/>
      <c r="K211" s="3" t="inlineStr">
        <is>
          <t>Телефильм. Действие происходит в литовской деревне в годы Великой Отечественной войны. Фашистские оккупанты издевались над жителями деревни, в том числе и над учителем, отцом шестилетнего Томаса. Навсегда запомнил мальчик ужасы этих дней...</t>
        </is>
      </c>
      <c r="L211" s="2" t="inlineStr">
        <is>
          <t>Кино_СССР сводный каталог.xlsx: список телефильмов</t>
        </is>
      </c>
      <c r="M211" s="2">
        <f>HYPERLINK("https://ru.wikipedia.org/w/index.php?search=%D0%A3%D1%80%D0%BE%D0%BA%D0%B8%20%D0%BD%D0%B5%D0%BD%D0%B0%D0%B2%D0%B8%D1%81%D1%82%D0%B8%201983%20%D1%84%D0%B8%D0%BB%D1%8C%D0%BC","искать")</f>
        <v/>
      </c>
      <c r="N211" s="3" t="n"/>
      <c r="O211" s="2" t="n"/>
      <c r="P211" s="2" t="n"/>
    </row>
    <row r="212">
      <c r="A212" s="2" t="n">
        <v>211</v>
      </c>
      <c r="B212" s="2" t="inlineStr">
        <is>
          <t>обрыв</t>
        </is>
      </c>
      <c r="C212" s="2" t="n">
        <v>9716</v>
      </c>
      <c r="D212" s="3" t="inlineStr">
        <is>
          <t>Утоли моя печали</t>
        </is>
      </c>
      <c r="E212" s="2" t="n">
        <v>1989</v>
      </c>
      <c r="F212" s="2" t="inlineStr">
        <is>
          <t>кинофильм</t>
        </is>
      </c>
      <c r="G212" s="2" t="n"/>
      <c r="H212" s="2" t="n">
        <v>240</v>
      </c>
      <c r="I212" s="2" t="inlineStr">
        <is>
          <t>да</t>
        </is>
      </c>
      <c r="J212" s="2" t="inlineStr"/>
      <c r="K212" s="3" t="inlineStr">
        <is>
          <t>Уставший от беспросветной жизни, герой бросает работу бульдозериста и поступает в институт культуры. Рушится его семейная жизнь. Но не так-то просто отпустить того, кто постоянно жертвовал собой во имя любви. Но развод все-таки состоится...</t>
        </is>
      </c>
      <c r="L212" s="2" t="inlineStr">
        <is>
          <t>Кино_СССР сводный каталог.xlsx: список фильмов (доп.)</t>
        </is>
      </c>
      <c r="M212" s="2">
        <f>HYPERLINK("https://ru.wikipedia.org/w/index.php?search=%D0%A3%D1%82%D0%BE%D0%BB%D0%B8%20%D0%BC%D0%BE%D1%8F%20%D0%BF%D0%B5%D1%87%D0%B0%D0%BB%D0%B8%201989%20%D1%84%D0%B8%D0%BB%D1%8C%D0%BC","искать")</f>
        <v/>
      </c>
      <c r="N212" s="3" t="n"/>
      <c r="O212" s="2" t="n"/>
      <c r="P212" s="2" t="n"/>
    </row>
    <row r="213">
      <c r="A213" s="2" t="n">
        <v>212</v>
      </c>
      <c r="B213" s="2" t="inlineStr">
        <is>
          <t>обрыв</t>
        </is>
      </c>
      <c r="C213" s="2" t="n">
        <v>9836</v>
      </c>
      <c r="D213" s="3" t="inlineStr">
        <is>
          <t>Последний бросок</t>
        </is>
      </c>
      <c r="E213" s="2" t="n">
        <v>1966</v>
      </c>
      <c r="F213" s="2" t="inlineStr">
        <is>
          <t>телефильм</t>
        </is>
      </c>
      <c r="G213" s="2" t="inlineStr">
        <is>
          <t>Ереванское ТВ</t>
        </is>
      </c>
      <c r="H213" s="2" t="n">
        <v>240</v>
      </c>
      <c r="I213" s="2" t="inlineStr">
        <is>
          <t>да</t>
        </is>
      </c>
      <c r="J213" s="2" t="inlineStr"/>
      <c r="K213" s="3" t="inlineStr">
        <is>
          <t>Герой фильма во время Второй мировой войны попадает в плен к гитлеровцам и, воспользовавшись капризом эсэсовского офицера, пытается спасти жизнь себе и товарищам, благодаря точным броскам по баскетбольному кольцу. Но фашисты обманули его...</t>
        </is>
      </c>
      <c r="L213" s="2" t="inlineStr">
        <is>
          <t>https://www.kino-teatr.ru/short/movie/sov/14951/annot/</t>
        </is>
      </c>
      <c r="M213" s="2">
        <f>HYPERLINK("https://ru.wikipedia.org/w/index.php?search=%D0%9F%D0%BE%D1%81%D0%BB%D0%B5%D0%B4%D0%BD%D0%B8%D0%B9%20%D0%B1%D1%80%D0%BE%D1%81%D0%BE%D0%BA%201966%20%D1%84%D0%B8%D0%BB%D1%8C%D0%BC","искать")</f>
        <v/>
      </c>
      <c r="N213" s="3" t="n"/>
      <c r="O213" s="2" t="n"/>
      <c r="P213" s="2" t="n"/>
    </row>
    <row r="214">
      <c r="A214" s="2" t="n">
        <v>213</v>
      </c>
      <c r="B214" s="2" t="inlineStr">
        <is>
          <t>обрыв</t>
        </is>
      </c>
      <c r="C214" s="2" t="n">
        <v>10825</v>
      </c>
      <c r="D214" s="3" t="inlineStr">
        <is>
          <t>Цезарь и Клеопатра</t>
        </is>
      </c>
      <c r="E214" s="2" t="n">
        <v>1979</v>
      </c>
      <c r="F214" s="2" t="inlineStr">
        <is>
          <t>фильм-спектакль</t>
        </is>
      </c>
      <c r="G214" s="2" t="inlineStr">
        <is>
          <t>Гл. ред. лит-драм программ</t>
        </is>
      </c>
      <c r="H214" s="2" t="n">
        <v>240</v>
      </c>
      <c r="I214" s="2" t="inlineStr">
        <is>
          <t>да</t>
        </is>
      </c>
      <c r="J214" s="2" t="inlineStr">
        <is>
          <t>да</t>
        </is>
      </c>
      <c r="K214" s="3" t="inlineStr">
        <is>
          <t>По одноименной пьесе английского драматурга Б.Шоу из цикла "Три пьесы для пуритан".
В образах Цезаря (Иннокентий Смоктуновский) и Клеопатры (Елена Коренева) даны две нравственные позиции, в столкновении которых выясняется, что есть добро...</t>
        </is>
      </c>
      <c r="L214" s="2" t="inlineStr">
        <is>
          <t>https://www.kino-teatr.ru/teatr/movie/7695/annot/</t>
        </is>
      </c>
      <c r="M214" s="2">
        <f>HYPERLINK("https://ru.wikipedia.org/w/index.php?search=%D0%A6%D0%B5%D0%B7%D0%B0%D1%80%D1%8C%20%D0%B8%20%D0%9A%D0%BB%D0%B5%D0%BE%D0%BF%D0%B0%D1%82%D1%80%D0%B0%201979%20%D1%84%D0%B8%D0%BB%D1%8C%D0%BC","искать")</f>
        <v/>
      </c>
      <c r="N214" s="3" t="n"/>
      <c r="O214" s="2" t="n"/>
      <c r="P214" s="2" t="n"/>
    </row>
    <row r="215">
      <c r="A215" s="2" t="n">
        <v>214</v>
      </c>
      <c r="B215" s="2" t="inlineStr">
        <is>
          <t>обрыв</t>
        </is>
      </c>
      <c r="C215" s="2" t="n">
        <v>9483</v>
      </c>
      <c r="D215" s="3" t="inlineStr">
        <is>
          <t>Мы странно встретились</t>
        </is>
      </c>
      <c r="E215" s="2" t="n">
        <v>1990</v>
      </c>
      <c r="F215" s="2" t="inlineStr">
        <is>
          <t>кинофильм</t>
        </is>
      </c>
      <c r="G215" s="2" t="n"/>
      <c r="H215" s="2" t="n">
        <v>241</v>
      </c>
      <c r="I215" s="2" t="inlineStr">
        <is>
          <t>да</t>
        </is>
      </c>
      <c r="J215" s="2" t="inlineStr"/>
      <c r="K215" s="3" t="inlineStr">
        <is>
          <t>Год назад на этой же скамейке они познакомились, он представился Юрой. Ночью Юра бросил Веру, пообещав, что скоро вернется. Теперь, спустя год, он не узнал ее, сказал, что зовут Николаем, затем Алексеем. Но Вера все еще на что-то надеется...</t>
        </is>
      </c>
      <c r="L215" s="2" t="inlineStr">
        <is>
          <t>Кино_СССР сводный каталог.xlsx: список фильмов (доп.)</t>
        </is>
      </c>
      <c r="M215" s="2">
        <f>HYPERLINK("https://ru.wikipedia.org/w/index.php?search=%D0%9C%D1%8B%20%D1%81%D1%82%D1%80%D0%B0%D0%BD%D0%BD%D0%BE%20%D0%B2%D1%81%D1%82%D1%80%D0%B5%D1%82%D0%B8%D0%BB%D0%B8%D1%81%D1%8C%201990%20%D1%84%D0%B8%D0%BB%D1%8C%D0%BC","искать")</f>
        <v/>
      </c>
      <c r="N215" s="3" t="n"/>
      <c r="O215" s="2" t="n"/>
      <c r="P215" s="2" t="n"/>
    </row>
    <row r="216">
      <c r="A216" s="2" t="n">
        <v>215</v>
      </c>
      <c r="B216" s="2" t="inlineStr">
        <is>
          <t>обрыв</t>
        </is>
      </c>
      <c r="C216" s="2" t="n">
        <v>9857</v>
      </c>
      <c r="D216" s="3" t="inlineStr">
        <is>
          <t>Берег принцессы Люськи</t>
        </is>
      </c>
      <c r="E216" s="2" t="n">
        <v>1969</v>
      </c>
      <c r="F216" s="2" t="inlineStr">
        <is>
          <t>телефильм</t>
        </is>
      </c>
      <c r="G216" s="2" t="inlineStr">
        <is>
          <t>Беларусьфильм</t>
        </is>
      </c>
      <c r="H216" s="2" t="n">
        <v>241</v>
      </c>
      <c r="I216" s="2" t="inlineStr">
        <is>
          <t>да</t>
        </is>
      </c>
      <c r="J216" s="2" t="inlineStr"/>
      <c r="K216" s="3" t="inlineStr">
        <is>
          <t>Телефильм по одноименному рассказу О.М.Куваева.
В глухом лесу на берегу озера работает небольшая геологическая партия. Из Москвы к ним прилетает студентка-практикантка Люська и, шутя, объявляет себя королевой, а трех ребят - своими рыцарями…</t>
        </is>
      </c>
      <c r="L216" s="2" t="inlineStr">
        <is>
          <t>https://www.kino-teatr.ru/short/movie/sov/84003/annot/</t>
        </is>
      </c>
      <c r="M216" s="2">
        <f>HYPERLINK("https://ru.wikipedia.org/w/index.php?search=%D0%91%D0%B5%D1%80%D0%B5%D0%B3%20%D0%BF%D1%80%D0%B8%D0%BD%D1%86%D0%B5%D1%81%D1%81%D1%8B%20%D0%9B%D1%8E%D1%81%D1%8C%D0%BA%D0%B8%201969%20%D1%84%D0%B8%D0%BB%D1%8C%D0%BC","искать")</f>
        <v/>
      </c>
      <c r="N216" s="3" t="n"/>
      <c r="O216" s="2" t="n"/>
      <c r="P216" s="2" t="n"/>
    </row>
    <row r="217">
      <c r="A217" s="2" t="n">
        <v>216</v>
      </c>
      <c r="B217" s="2" t="inlineStr">
        <is>
          <t>обрыв</t>
        </is>
      </c>
      <c r="C217" s="2" t="n">
        <v>9930</v>
      </c>
      <c r="D217" s="3" t="inlineStr">
        <is>
          <t>Ошибка</t>
        </is>
      </c>
      <c r="E217" s="2" t="n">
        <v>1977</v>
      </c>
      <c r="F217" s="2" t="inlineStr">
        <is>
          <t>телефильм</t>
        </is>
      </c>
      <c r="G217" s="2" t="inlineStr">
        <is>
          <t>"Киргизфильм" по заказу Гостелерадио СССР</t>
        </is>
      </c>
      <c r="H217" s="2" t="n">
        <v>241</v>
      </c>
      <c r="I217" s="2" t="inlineStr">
        <is>
          <t>да</t>
        </is>
      </c>
      <c r="J217" s="2" t="inlineStr"/>
      <c r="K217" s="3" t="inlineStr">
        <is>
          <t>По мотивам одноименного рассказа М.Байджиева.
Асанбек хорошо зарабатывает, обеспечивает свою семью, но он безразличен к жене и к ее повседневным заботам. И только ее внезапная болезнь заставляет Асанбека понять, как эгоистично он вел себя...</t>
        </is>
      </c>
      <c r="L217" s="2" t="inlineStr">
        <is>
          <t>https://www.kino-teatr.ru/short/movie/sov/80889/annot/</t>
        </is>
      </c>
      <c r="M217" s="2">
        <f>HYPERLINK("https://ru.wikipedia.org/w/index.php?search=%D0%9E%D1%88%D0%B8%D0%B1%D0%BA%D0%B0%201977%20%D1%84%D0%B8%D0%BB%D1%8C%D0%BC","искать")</f>
        <v/>
      </c>
      <c r="N217" s="3" t="n"/>
      <c r="O217" s="2" t="n"/>
      <c r="P217" s="2" t="n"/>
    </row>
    <row r="218">
      <c r="A218" s="2" t="n">
        <v>217</v>
      </c>
      <c r="B218" s="2" t="inlineStr">
        <is>
          <t>обрыв</t>
        </is>
      </c>
      <c r="C218" s="2" t="n">
        <v>10844</v>
      </c>
      <c r="D218" s="3" t="inlineStr">
        <is>
          <t>Заговор Фиеско в Генуе</t>
        </is>
      </c>
      <c r="E218" s="2" t="n">
        <v>1980</v>
      </c>
      <c r="F218" s="2" t="inlineStr">
        <is>
          <t>фильм-спектакль</t>
        </is>
      </c>
      <c r="G218" s="2" t="n"/>
      <c r="H218" s="2" t="n">
        <v>241</v>
      </c>
      <c r="I218" s="2" t="inlineStr">
        <is>
          <t>да</t>
        </is>
      </c>
      <c r="J218" s="2" t="inlineStr"/>
      <c r="K218" s="3" t="inlineStr">
        <is>
          <t>Малый театр. Ф.Шиллер. Место и время событий автор указывает точно - Генуя, 1547 год. Граф Фиеско ди Лаванья должен возглавить восстание против правителя Генуи графа Дории. Но в хаосе, сопровождающем борьбу за власть, гибнут невинные люди...</t>
        </is>
      </c>
      <c r="L218" s="2" t="inlineStr">
        <is>
          <t>https://www.kino-teatr.ru/teatr/movie/81731/annot/</t>
        </is>
      </c>
      <c r="M218" s="2">
        <f>HYPERLINK("https://ru.wikipedia.org/w/index.php?search=%D0%97%D0%B0%D0%B3%D0%BE%D0%B2%D0%BE%D1%80%20%D0%A4%D0%B8%D0%B5%D1%81%D0%BA%D0%BE%20%D0%B2%20%D0%93%D0%B5%D0%BD%D1%83%D0%B5%201980%20%D1%84%D0%B8%D0%BB%D1%8C%D0%BC","искать")</f>
        <v/>
      </c>
      <c r="N218" s="3" t="n"/>
      <c r="O218" s="2" t="n"/>
      <c r="P218" s="2" t="n"/>
    </row>
    <row r="219">
      <c r="A219" s="2" t="n">
        <v>218</v>
      </c>
      <c r="B219" s="2" t="inlineStr">
        <is>
          <t>обрыв</t>
        </is>
      </c>
      <c r="C219" s="2" t="n">
        <v>13539</v>
      </c>
      <c r="D219" s="3" t="inlineStr">
        <is>
          <t>Даровитый ослик</t>
        </is>
      </c>
      <c r="E219" s="2" t="n">
        <v>1985</v>
      </c>
      <c r="F219" s="2" t="inlineStr">
        <is>
          <t>мультфильм</t>
        </is>
      </c>
      <c r="G219" s="2" t="inlineStr">
        <is>
          <t>АРМЕНФИЛЬМ</t>
        </is>
      </c>
      <c r="H219" s="2" t="n">
        <v>241</v>
      </c>
      <c r="I219" s="2" t="inlineStr">
        <is>
          <t>да</t>
        </is>
      </c>
      <c r="J219" s="2" t="inlineStr"/>
      <c r="K219" s="3" t="inlineStr">
        <is>
          <t>Веселый мультфильм о том, как родители маленького ослика решили отдать ослика на обучение «мудрым» учителям – коту и собаке, но каждый из учителей старается научить ослика тому, что умеет сам и быть похожим на каждого из них – но не на осла…</t>
        </is>
      </c>
      <c r="L219" s="2" t="inlineStr">
        <is>
          <t>2026-10_мультфильмы_список_владельца.xlsx; https://animator.ru/db/?p=show_film&amp;fid=4859</t>
        </is>
      </c>
      <c r="M219" s="2">
        <f>HYPERLINK("https://ru.wikipedia.org/w/index.php?search=%D0%94%D0%B0%D1%80%D0%BE%D0%B2%D0%B8%D1%82%D1%8B%D0%B9%20%D0%BE%D1%81%D0%BB%D0%B8%D0%BA%201985%20%D1%84%D0%B8%D0%BB%D1%8C%D0%BC","искать")</f>
        <v/>
      </c>
      <c r="N219" s="3" t="n"/>
      <c r="O219" s="2" t="n"/>
      <c r="P219" s="2" t="n"/>
    </row>
    <row r="220">
      <c r="A220" s="2" t="n">
        <v>219</v>
      </c>
      <c r="B220" s="2" t="inlineStr">
        <is>
          <t>обрыв</t>
        </is>
      </c>
      <c r="C220" s="2" t="n">
        <v>8769</v>
      </c>
      <c r="D220" s="3" t="inlineStr">
        <is>
          <t>Кодекс молчания</t>
        </is>
      </c>
      <c r="E220" s="2" t="n">
        <v>1989</v>
      </c>
      <c r="F220" s="2" t="inlineStr">
        <is>
          <t>кинофильм</t>
        </is>
      </c>
      <c r="G220" s="2" t="n"/>
      <c r="H220" s="2" t="n">
        <v>242</v>
      </c>
      <c r="I220" s="2" t="inlineStr">
        <is>
          <t>да</t>
        </is>
      </c>
      <c r="J220" s="2" t="inlineStr"/>
      <c r="K220" s="3" t="inlineStr">
        <is>
          <t>Названия телеверсии: "На темной стороне Луны", "Обратная сторона Луны" (в четырех сериях). Работник милиции, убедившись в процессе расследования преступления в том, что его непосредственный шеф - мафиози, решается на самостоятельные действия…</t>
        </is>
      </c>
      <c r="L220" s="2" t="inlineStr">
        <is>
          <t>Кино_СССР сводный каталог.xlsx: список фильмов (доп.)</t>
        </is>
      </c>
      <c r="M220" s="2">
        <f>HYPERLINK("https://ru.wikipedia.org/w/index.php?search=%D0%9A%D0%BE%D0%B4%D0%B5%D0%BA%D1%81%20%D0%BC%D0%BE%D0%BB%D1%87%D0%B0%D0%BD%D0%B8%D1%8F%201989%20%D1%84%D0%B8%D0%BB%D1%8C%D0%BC","искать")</f>
        <v/>
      </c>
      <c r="N220" s="3" t="n"/>
      <c r="O220" s="2" t="n"/>
      <c r="P220" s="2" t="n"/>
    </row>
    <row r="221">
      <c r="A221" s="2" t="n">
        <v>220</v>
      </c>
      <c r="B221" s="2" t="inlineStr">
        <is>
          <t>обрыв</t>
        </is>
      </c>
      <c r="C221" s="2" t="n">
        <v>9612</v>
      </c>
      <c r="D221" s="3" t="inlineStr">
        <is>
          <t>Райский сад Евы</t>
        </is>
      </c>
      <c r="E221" s="2" t="n">
        <v>1990</v>
      </c>
      <c r="F221" s="2" t="inlineStr">
        <is>
          <t>кинофильм</t>
        </is>
      </c>
      <c r="G221" s="2" t="n"/>
      <c r="H221" s="2" t="n">
        <v>242</v>
      </c>
      <c r="I221" s="2" t="inlineStr">
        <is>
          <t>да</t>
        </is>
      </c>
      <c r="J221" s="2" t="inlineStr"/>
      <c r="K221" s="3" t="inlineStr">
        <is>
          <t>По роману Арвидиса Григулиса "Люди из сада" Латвия, 1939 год. В роскошном саду, принадлежащем вдовцу доктору Бурсу, разыгрывается романтическая любовная история между фокусником Томом и флейтисткой Евой, в которую тайно влюблен хозяин сада...</t>
        </is>
      </c>
      <c r="L221" s="2" t="inlineStr">
        <is>
          <t>Кино_СССР сводный каталог.xlsx: список фильмов (доп.)</t>
        </is>
      </c>
      <c r="M221" s="2">
        <f>HYPERLINK("https://ru.wikipedia.org/w/index.php?search=%D0%A0%D0%B0%D0%B9%D1%81%D0%BA%D0%B8%D0%B9%20%D1%81%D0%B0%D0%B4%20%D0%95%D0%B2%D1%8B%201990%20%D1%84%D0%B8%D0%BB%D1%8C%D0%BC","искать")</f>
        <v/>
      </c>
      <c r="N221" s="3" t="n"/>
      <c r="O221" s="2" t="n"/>
      <c r="P221" s="2" t="n"/>
    </row>
    <row r="222">
      <c r="A222" s="2" t="n">
        <v>221</v>
      </c>
      <c r="B222" s="2" t="inlineStr">
        <is>
          <t>обрыв</t>
        </is>
      </c>
      <c r="C222" s="2" t="n">
        <v>8796</v>
      </c>
      <c r="D222" s="3" t="inlineStr">
        <is>
          <t>Лесорубы</t>
        </is>
      </c>
      <c r="E222" s="2" t="n">
        <v>1982</v>
      </c>
      <c r="F222" s="2" t="inlineStr">
        <is>
          <t>кинофильм</t>
        </is>
      </c>
      <c r="G222" s="2" t="n"/>
      <c r="H222" s="2" t="n">
        <v>243</v>
      </c>
      <c r="I222" s="2" t="inlineStr">
        <is>
          <t>да</t>
        </is>
      </c>
      <c r="J222" s="2" t="inlineStr"/>
      <c r="K222" s="3" t="inlineStr">
        <is>
          <t>Фильм поставлен по произведению литовского писателя В.Римкявичюса и рассказывает о буднях лесорубов, которые ищут утешение в водке, что становится причиной многих бед и несчастий. Но у старых лесорубов своя философия и свой взгляд на жизнь....</t>
        </is>
      </c>
      <c r="L222" s="2" t="inlineStr">
        <is>
          <t>Кино_СССР сводный каталог.xlsx: список фильмов (доп.)</t>
        </is>
      </c>
      <c r="M222" s="2">
        <f>HYPERLINK("https://ru.wikipedia.org/w/index.php?search=%D0%9B%D0%B5%D1%81%D0%BE%D1%80%D1%83%D0%B1%D1%8B%201982%20%D1%84%D0%B8%D0%BB%D1%8C%D0%BC","искать")</f>
        <v/>
      </c>
      <c r="N222" s="3" t="n"/>
      <c r="O222" s="2" t="n"/>
      <c r="P222" s="2" t="n"/>
    </row>
    <row r="223">
      <c r="A223" s="2" t="n">
        <v>222</v>
      </c>
      <c r="B223" s="2" t="inlineStr">
        <is>
          <t>обрыв</t>
        </is>
      </c>
      <c r="C223" s="2" t="n">
        <v>7353</v>
      </c>
      <c r="D223" s="3" t="inlineStr">
        <is>
          <t>Возвращение</t>
        </is>
      </c>
      <c r="E223" s="2" t="n">
        <v>1987</v>
      </c>
      <c r="F223" s="2" t="inlineStr">
        <is>
          <t>телефильм</t>
        </is>
      </c>
      <c r="G223" s="2" t="n"/>
      <c r="H223" s="2" t="n">
        <v>244</v>
      </c>
      <c r="I223" s="2" t="inlineStr">
        <is>
          <t>да</t>
        </is>
      </c>
      <c r="J223" s="2" t="inlineStr"/>
      <c r="K223" s="3" t="inlineStr">
        <is>
          <t>Сергей Михайлович Сорокин, приезжает в родное село продать свой дом. Встретившись с односельчанами, он многое узнает об их жизни. Сергей Михайлович принимает решение остаться работать в родном совхозе, чтобы навсегда вернуться к родной земле...</t>
        </is>
      </c>
      <c r="L223" s="2" t="inlineStr">
        <is>
          <t>Кино_СССР сводный каталог.xlsx: список телефильмов</t>
        </is>
      </c>
      <c r="M223" s="2">
        <f>HYPERLINK("https://ru.wikipedia.org/w/index.php?search=%D0%92%D0%BE%D0%B7%D0%B2%D1%80%D0%B0%D1%89%D0%B5%D0%BD%D0%B8%D0%B5%201987%20%D1%84%D0%B8%D0%BB%D1%8C%D0%BC","искать")</f>
        <v/>
      </c>
      <c r="N223" s="3" t="n"/>
      <c r="O223" s="2" t="n"/>
      <c r="P223" s="2" t="n"/>
    </row>
    <row r="224">
      <c r="A224" s="2" t="n">
        <v>223</v>
      </c>
      <c r="B224" s="2" t="inlineStr">
        <is>
          <t>обрыв</t>
        </is>
      </c>
      <c r="C224" s="2" t="n">
        <v>8536</v>
      </c>
      <c r="D224" s="3" t="inlineStr">
        <is>
          <t>Цирк приехал</t>
        </is>
      </c>
      <c r="E224" s="2" t="n">
        <v>1987</v>
      </c>
      <c r="F224" s="2" t="inlineStr">
        <is>
          <t>телефильм</t>
        </is>
      </c>
      <c r="G224" s="2" t="n"/>
      <c r="H224" s="2" t="n">
        <v>244</v>
      </c>
      <c r="I224" s="2" t="inlineStr">
        <is>
          <t>да</t>
        </is>
      </c>
      <c r="J224" s="2" t="inlineStr"/>
      <c r="K224" s="3" t="inlineStr">
        <is>
          <t>По одноименной повести Александра Аронова. В 1927 году в провинциальный городок приезжает частный цирк. Спасаясь от побоев отчима, за кулисы цирка случайно попадает сирота Борька. Здесь он знакомится с мальчиком Сандро и силачом дядей Проней...</t>
        </is>
      </c>
      <c r="L224" s="2" t="inlineStr">
        <is>
          <t>Кино_СССР сводный каталог.xlsx: список телефильмов</t>
        </is>
      </c>
      <c r="M224" s="2">
        <f>HYPERLINK("https://ru.wikipedia.org/w/index.php?search=%D0%A6%D0%B8%D1%80%D0%BA%20%D0%BF%D1%80%D0%B8%D0%B5%D1%85%D0%B0%D0%BB%201987%20%D1%84%D0%B8%D0%BB%D1%8C%D0%BC","искать")</f>
        <v/>
      </c>
      <c r="N224" s="3" t="n"/>
      <c r="O224" s="2" t="n"/>
      <c r="P224" s="2" t="n"/>
    </row>
    <row r="225">
      <c r="A225" s="2" t="n">
        <v>224</v>
      </c>
      <c r="B225" s="2" t="inlineStr">
        <is>
          <t>обрыв</t>
        </is>
      </c>
      <c r="C225" s="2" t="n">
        <v>10595</v>
      </c>
      <c r="D225" s="3" t="inlineStr">
        <is>
          <t>Хозяин</t>
        </is>
      </c>
      <c r="E225" s="2" t="n">
        <v>1974</v>
      </c>
      <c r="F225" s="2" t="inlineStr">
        <is>
          <t>фильм-спектакль</t>
        </is>
      </c>
      <c r="G225" s="2" t="inlineStr">
        <is>
          <t>Гл. ред. лит-драм программ</t>
        </is>
      </c>
      <c r="H225" s="2" t="n">
        <v>244</v>
      </c>
      <c r="I225" s="2" t="inlineStr">
        <is>
          <t>да</t>
        </is>
      </c>
      <c r="J225" s="2" t="inlineStr">
        <is>
          <t>да</t>
        </is>
      </c>
      <c r="K225" s="3" t="inlineStr">
        <is>
          <t>По мотивам одноименной повести М.Горького. Непомерно тяжел труд рабочих в пекарне у Василия Семенова, который сам в прошлом был хлебопеком, да выбился в хозяева. И деньги у него есть, и квартальный кланяется, а счастья как не было, так и нет...</t>
        </is>
      </c>
      <c r="L225" s="2" t="inlineStr">
        <is>
          <t>https://www.kino-teatr.ru/teatr/movie/17234/annot/</t>
        </is>
      </c>
      <c r="M225" s="2">
        <f>HYPERLINK("https://ru.wikipedia.org/w/index.php?search=%D0%A5%D0%BE%D0%B7%D1%8F%D0%B8%D0%BD%201974%20%D1%84%D0%B8%D0%BB%D1%8C%D0%BC","искать")</f>
        <v/>
      </c>
      <c r="N225" s="3" t="n"/>
      <c r="O225" s="2" t="n"/>
      <c r="P225" s="2" t="n"/>
    </row>
    <row r="226">
      <c r="A226" s="2" t="n">
        <v>225</v>
      </c>
      <c r="B226" s="2" t="inlineStr">
        <is>
          <t>обрыв</t>
        </is>
      </c>
      <c r="C226" s="2" t="n">
        <v>8569</v>
      </c>
      <c r="D226" s="3" t="inlineStr">
        <is>
          <t>Чужая сторона</t>
        </is>
      </c>
      <c r="E226" s="2" t="n">
        <v>1991</v>
      </c>
      <c r="F226" s="2" t="inlineStr">
        <is>
          <t>телефильм</t>
        </is>
      </c>
      <c r="G226" s="2" t="n"/>
      <c r="H226" s="2" t="n">
        <v>245</v>
      </c>
      <c r="I226" s="2" t="inlineStr">
        <is>
          <t>да</t>
        </is>
      </c>
      <c r="J226" s="2" t="inlineStr"/>
      <c r="K226" s="3" t="inlineStr">
        <is>
          <t>Действие фильма разворачивается в ноябре 1982 года, в день кончины Л.И.Брежнева. Иван Чашкин, рабочий из сибирского поселка, спешит на похороны своей матери в Подмосковье. Похороны вождя создают многочисленные препятствия на пути героя фильма...</t>
        </is>
      </c>
      <c r="L226" s="2" t="inlineStr">
        <is>
          <t>Кино_СССР сводный каталог.xlsx: список телефильмов</t>
        </is>
      </c>
      <c r="M226" s="2">
        <f>HYPERLINK("https://ru.wikipedia.org/w/index.php?search=%D0%A7%D1%83%D0%B6%D0%B0%D1%8F%20%D1%81%D1%82%D0%BE%D1%80%D0%BE%D0%BD%D0%B0%201991%20%D1%84%D0%B8%D0%BB%D1%8C%D0%BC","искать")</f>
        <v/>
      </c>
      <c r="N226" s="3" t="n"/>
      <c r="O226" s="2" t="n"/>
      <c r="P226" s="2" t="n"/>
    </row>
    <row r="227">
      <c r="A227" s="2" t="n">
        <v>226</v>
      </c>
      <c r="B227" s="2" t="inlineStr">
        <is>
          <t>обрыв</t>
        </is>
      </c>
      <c r="C227" s="2" t="n">
        <v>10839</v>
      </c>
      <c r="D227" s="3" t="inlineStr">
        <is>
          <t>Все кончено</t>
        </is>
      </c>
      <c r="E227" s="2" t="n">
        <v>1980</v>
      </c>
      <c r="F227" s="2" t="inlineStr">
        <is>
          <t>фильм-спектакль</t>
        </is>
      </c>
      <c r="G227" s="2" t="inlineStr">
        <is>
          <t>МХАТ им. Горького и творческое объединение «Экран»</t>
        </is>
      </c>
      <c r="H227" s="2" t="n">
        <v>245</v>
      </c>
      <c r="I227" s="2" t="inlineStr">
        <is>
          <t>да</t>
        </is>
      </c>
      <c r="J227" s="2" t="inlineStr"/>
      <c r="K227" s="3" t="inlineStr">
        <is>
          <t>По пьесе Э.Олби в постановке Московского Художественного академического театра. У постели умирающего миллионера собираются близкие люди. Обычная светская беседа сменяется в эту ночь откровенным разговором. Постепенно выясняется подлинная суть...</t>
        </is>
      </c>
      <c r="L227" s="2" t="inlineStr">
        <is>
          <t>https://www.kino-teatr.ru/teatr/movie/10678/annot/</t>
        </is>
      </c>
      <c r="M227" s="2">
        <f>HYPERLINK("https://ru.wikipedia.org/w/index.php?search=%D0%92%D1%81%D0%B5%20%D0%BA%D0%BE%D0%BD%D1%87%D0%B5%D0%BD%D0%BE%201980%20%D1%84%D0%B8%D0%BB%D1%8C%D0%BC","искать")</f>
        <v/>
      </c>
      <c r="N227" s="3" t="n"/>
      <c r="O227" s="2" t="n"/>
      <c r="P227" s="2" t="n"/>
    </row>
    <row r="228">
      <c r="A228" s="2" t="n">
        <v>227</v>
      </c>
      <c r="B228" s="2" t="inlineStr">
        <is>
          <t>обрыв</t>
        </is>
      </c>
      <c r="C228" s="2" t="n">
        <v>7853</v>
      </c>
      <c r="D228" s="3" t="inlineStr">
        <is>
          <t>Марюс</t>
        </is>
      </c>
      <c r="E228" s="2" t="n">
        <v>1990</v>
      </c>
      <c r="F228" s="2" t="inlineStr">
        <is>
          <t>телефильм</t>
        </is>
      </c>
      <c r="G228" s="2" t="n"/>
      <c r="H228" s="2" t="n">
        <v>248</v>
      </c>
      <c r="I228" s="2" t="inlineStr">
        <is>
          <t>да</t>
        </is>
      </c>
      <c r="J228" s="2" t="inlineStr"/>
      <c r="K228" s="3" t="inlineStr">
        <is>
          <t>По мотивам исторического романа Казиса Альменаса "Сенокос". Литва, первая половина XVIII века. Молодого героя — незаконнорожденного, отвергнутого своим родом и вынужденного самостоятельно пробивать дорогу в жизни — ждут захватывающие приключения...</t>
        </is>
      </c>
      <c r="L228" s="2" t="inlineStr">
        <is>
          <t>Кино_СССР сводный каталог.xlsx: список телефильмов</t>
        </is>
      </c>
      <c r="M228" s="2">
        <f>HYPERLINK("https://ru.wikipedia.org/w/index.php?search=%D0%9C%D0%B0%D1%80%D1%8E%D1%81%201990%20%D1%84%D0%B8%D0%BB%D1%8C%D0%BC","искать")</f>
        <v/>
      </c>
      <c r="N228" s="3" t="n"/>
      <c r="O228" s="2" t="n"/>
      <c r="P228" s="2" t="n"/>
    </row>
    <row r="229">
      <c r="A229" s="2" t="n">
        <v>228</v>
      </c>
      <c r="B229" s="2" t="inlineStr">
        <is>
          <t>обрыв</t>
        </is>
      </c>
      <c r="C229" s="2" t="n">
        <v>8530</v>
      </c>
      <c r="D229" s="3" t="inlineStr">
        <is>
          <t>Хроника одного лета</t>
        </is>
      </c>
      <c r="E229" s="2" t="n">
        <v>1984</v>
      </c>
      <c r="F229" s="2" t="inlineStr">
        <is>
          <t>телефильм</t>
        </is>
      </c>
      <c r="G229" s="2" t="inlineStr">
        <is>
          <t>ТО «Экран»</t>
        </is>
      </c>
      <c r="H229" s="2" t="n">
        <v>248</v>
      </c>
      <c r="I229" s="2" t="inlineStr">
        <is>
          <t>да</t>
        </is>
      </c>
      <c r="J229" s="2" t="inlineStr"/>
      <c r="K229" s="3" t="inlineStr">
        <is>
          <t>Председатель райисполкома Владимир Иванович Колесников по-хозяйски, принципиально решает важные вопросы. Среди них - целесообразность строительства в районе крупного молочного комбината, решительная борьба со злоупотреблениями в системе торговли...</t>
        </is>
      </c>
      <c r="L229" s="2" t="inlineStr">
        <is>
          <t>Кино_СССР сводный каталог.xlsx: список телефильмов</t>
        </is>
      </c>
      <c r="M229" s="2">
        <f>HYPERLINK("https://ru.wikipedia.org/w/index.php?search=%D0%A5%D1%80%D0%BE%D0%BD%D0%B8%D0%BA%D0%B0%20%D0%BE%D0%B4%D0%BD%D0%BE%D0%B3%D0%BE%20%D0%BB%D0%B5%D1%82%D0%B0%201984%20%D1%84%D0%B8%D0%BB%D1%8C%D0%BC","искать")</f>
        <v/>
      </c>
      <c r="N229" s="3" t="n"/>
      <c r="O229" s="2" t="n"/>
      <c r="P229" s="2" t="n"/>
    </row>
    <row r="230">
      <c r="A230" s="2" t="n">
        <v>229</v>
      </c>
      <c r="B230" s="2" t="inlineStr">
        <is>
          <t>обрыв</t>
        </is>
      </c>
      <c r="C230" s="2" t="n">
        <v>8701</v>
      </c>
      <c r="D230" s="3" t="inlineStr">
        <is>
          <t>Дина</t>
        </is>
      </c>
      <c r="E230" s="2" t="n">
        <v>1991</v>
      </c>
      <c r="F230" s="2" t="inlineStr">
        <is>
          <t>кинофильм</t>
        </is>
      </c>
      <c r="G230" s="2" t="n"/>
      <c r="H230" s="2" t="n">
        <v>248</v>
      </c>
      <c r="I230" s="2" t="inlineStr">
        <is>
          <t>да</t>
        </is>
      </c>
      <c r="J230" s="2" t="inlineStr"/>
      <c r="K230" s="3" t="inlineStr">
        <is>
          <t>Современная девушка одержима видениями из эпохи гражданской войны. После загадочного исчезновения ее отца, уездного врача, Дину по ночам посещает призрак и предсказывает несчастье односельчанам. Героиня пытается предостеречь беду, но ей не верят...</t>
        </is>
      </c>
      <c r="L230" s="2" t="inlineStr">
        <is>
          <t>Кино_СССР сводный каталог.xlsx: список фильмов (доп.)</t>
        </is>
      </c>
      <c r="M230" s="2">
        <f>HYPERLINK("https://ru.wikipedia.org/w/index.php?search=%D0%94%D0%B8%D0%BD%D0%B0%201991%20%D1%84%D0%B8%D0%BB%D1%8C%D0%BC","искать")</f>
        <v/>
      </c>
      <c r="N230" s="3" t="n"/>
      <c r="O230" s="2" t="n"/>
      <c r="P230" s="2" t="n"/>
    </row>
    <row r="231">
      <c r="A231" s="2" t="n">
        <v>230</v>
      </c>
      <c r="B231" s="2" t="inlineStr">
        <is>
          <t>обрыв</t>
        </is>
      </c>
      <c r="C231" s="2" t="n">
        <v>8739</v>
      </c>
      <c r="D231" s="3" t="inlineStr">
        <is>
          <t>Зохре и Тахир</t>
        </is>
      </c>
      <c r="E231" s="2" t="n">
        <v>1991</v>
      </c>
      <c r="F231" s="2" t="inlineStr">
        <is>
          <t>кинофильм</t>
        </is>
      </c>
      <c r="G231" s="2" t="n"/>
      <c r="H231" s="2" t="n">
        <v>248</v>
      </c>
      <c r="I231" s="2" t="inlineStr">
        <is>
          <t>да</t>
        </is>
      </c>
      <c r="J231" s="2" t="inlineStr"/>
      <c r="K231" s="3" t="inlineStr">
        <is>
          <t>По мотивам восточных легенд. История трагической любви молодых людей, которым нет места в жестоком мире. Дочь шаха Зохре и сын визиря Тахир не смогли соединить свои судьбы, они погибли в неравной схватке с циничными, корыстолюбивыми царедворцами...</t>
        </is>
      </c>
      <c r="L231" s="2" t="inlineStr">
        <is>
          <t>Кино_СССР сводный каталог.xlsx: список фильмов (доп.)</t>
        </is>
      </c>
      <c r="M231" s="2">
        <f>HYPERLINK("https://ru.wikipedia.org/w/index.php?search=%D0%97%D0%BE%D1%85%D1%80%D0%B5%20%D0%B8%20%D0%A2%D0%B0%D1%85%D0%B8%D1%80%201991%20%D1%84%D0%B8%D0%BB%D1%8C%D0%BC","искать")</f>
        <v/>
      </c>
      <c r="N231" s="3" t="n"/>
      <c r="O231" s="2" t="n"/>
      <c r="P231" s="2" t="n"/>
    </row>
    <row r="232">
      <c r="A232" s="2" t="n">
        <v>231</v>
      </c>
      <c r="B232" s="2" t="inlineStr">
        <is>
          <t>обрыв</t>
        </is>
      </c>
      <c r="C232" s="2" t="n">
        <v>7418</v>
      </c>
      <c r="D232" s="3" t="inlineStr">
        <is>
          <t>Выбор</t>
        </is>
      </c>
      <c r="E232" s="2" t="n">
        <v>1975</v>
      </c>
      <c r="F232" s="2" t="inlineStr">
        <is>
          <t>телефильм</t>
        </is>
      </c>
      <c r="G232" s="2" t="inlineStr">
        <is>
          <t>Казахфильм</t>
        </is>
      </c>
      <c r="H232" s="2" t="n">
        <v>249</v>
      </c>
      <c r="I232" s="2" t="inlineStr">
        <is>
          <t>да</t>
        </is>
      </c>
      <c r="J232" s="2" t="inlineStr"/>
      <c r="K232" s="3" t="inlineStr">
        <is>
          <t>Телефильм. Егерь Макен, принципиальный и неподкупный, выслеживает браконьеров. Преступникам ясно, что ни на какой компромисс с советью егерь не пойдет, и, не подозревая о том, что сюда уже спешит доблестная милиция, решают избавиться от свидетеля...</t>
        </is>
      </c>
      <c r="L232" s="2" t="inlineStr">
        <is>
          <t>Кино_СССР сводный каталог.xlsx: список телефильмов</t>
        </is>
      </c>
      <c r="M232" s="2">
        <f>HYPERLINK("https://ru.wikipedia.org/w/index.php?search=%D0%92%D1%8B%D0%B1%D0%BE%D1%80%201975%20%D1%84%D0%B8%D0%BB%D1%8C%D0%BC","искать")</f>
        <v/>
      </c>
      <c r="N232" s="3" t="n"/>
      <c r="O232" s="2" t="n"/>
      <c r="P232" s="2" t="n"/>
    </row>
    <row r="233">
      <c r="A233" s="2" t="n">
        <v>232</v>
      </c>
      <c r="B233" s="2" t="inlineStr">
        <is>
          <t>обрыв</t>
        </is>
      </c>
      <c r="C233" s="2" t="n">
        <v>8074</v>
      </c>
      <c r="D233" s="3" t="inlineStr">
        <is>
          <t>Очень скучная история</t>
        </is>
      </c>
      <c r="E233" s="2" t="n">
        <v>1988</v>
      </c>
      <c r="F233" s="2" t="inlineStr">
        <is>
          <t>телефильм</t>
        </is>
      </c>
      <c r="G233" s="2" t="inlineStr">
        <is>
          <t>Азербайджанфильм</t>
        </is>
      </c>
      <c r="H233" s="2" t="n">
        <v>249</v>
      </c>
      <c r="I233" s="2" t="inlineStr">
        <is>
          <t>да</t>
        </is>
      </c>
      <c r="J233" s="2" t="inlineStr"/>
      <c r="K233" s="3" t="inlineStr">
        <is>
          <t>Телефильм. Сыновья уехали в город и за повседневными делами совсем забыли о своих стареющих родителях, оставшихся в селе. Лишь известие о болезни отца заставляет их собраться в родном доме и почувствовать, насколько они близки и дороги друг другу...</t>
        </is>
      </c>
      <c r="L233" s="2" t="inlineStr">
        <is>
          <t>Кино_СССР сводный каталог.xlsx: список телефильмов</t>
        </is>
      </c>
      <c r="M233" s="2">
        <f>HYPERLINK("https://ru.wikipedia.org/w/index.php?search=%D0%9E%D1%87%D0%B5%D0%BD%D1%8C%20%D1%81%D0%BA%D1%83%D1%87%D0%BD%D0%B0%D1%8F%20%D0%B8%D1%81%D1%82%D0%BE%D1%80%D0%B8%D1%8F%201988%20%D1%84%D0%B8%D0%BB%D1%8C%D0%BC","искать")</f>
        <v/>
      </c>
      <c r="N233" s="3" t="n"/>
      <c r="O233" s="2" t="n"/>
      <c r="P233" s="2" t="n"/>
    </row>
    <row r="234">
      <c r="A234" s="2" t="n">
        <v>233</v>
      </c>
      <c r="B234" s="2" t="inlineStr">
        <is>
          <t>обрыв</t>
        </is>
      </c>
      <c r="C234" s="2" t="n">
        <v>9190</v>
      </c>
      <c r="D234" s="3" t="inlineStr">
        <is>
          <t>Я объявляю вам войну</t>
        </is>
      </c>
      <c r="E234" s="2" t="n">
        <v>1990</v>
      </c>
      <c r="F234" s="2" t="inlineStr">
        <is>
          <t>кинофильм</t>
        </is>
      </c>
      <c r="G234" s="2" t="n"/>
      <c r="H234" s="2" t="n">
        <v>249</v>
      </c>
      <c r="I234" s="2" t="inlineStr">
        <is>
          <t>да</t>
        </is>
      </c>
      <c r="J234" s="2" t="inlineStr"/>
      <c r="K234" s="3" t="inlineStr">
        <is>
          <t>Отслужив в Афганистане, офицер Ерохин возвращается в родной город и надеется на спокойную жизнь. Однако профессиональный опыт подсказывает ему, что и здесь все погрязло в коррупции. Получив поддержку друзей, Ерохин вступает в борьбу с преступниками…</t>
        </is>
      </c>
      <c r="L234" s="2" t="inlineStr">
        <is>
          <t>Кино_СССР сводный каталог.xlsx: список фильмов (доп.)</t>
        </is>
      </c>
      <c r="M234" s="2">
        <f>HYPERLINK("https://ru.wikipedia.org/w/index.php?search=%D0%AF%20%D0%BE%D0%B1%D1%8A%D1%8F%D0%B2%D0%BB%D1%8F%D1%8E%20%D0%B2%D0%B0%D0%BC%20%D0%B2%D0%BE%D0%B9%D0%BD%D1%83%201990%20%D1%84%D0%B8%D0%BB%D1%8C%D0%BC","искать")</f>
        <v/>
      </c>
      <c r="N234" s="3" t="n"/>
      <c r="O234" s="2" t="n"/>
      <c r="P234" s="2" t="n"/>
    </row>
    <row r="235">
      <c r="A235" s="2" t="n">
        <v>234</v>
      </c>
      <c r="B235" s="2" t="inlineStr">
        <is>
          <t>обрыв</t>
        </is>
      </c>
      <c r="C235" s="2" t="n">
        <v>9489</v>
      </c>
      <c r="D235" s="3" t="inlineStr">
        <is>
          <t>Наваждение</t>
        </is>
      </c>
      <c r="E235" s="2" t="n">
        <v>1989</v>
      </c>
      <c r="F235" s="2" t="inlineStr">
        <is>
          <t>кинофильм</t>
        </is>
      </c>
      <c r="G235" s="2" t="n"/>
      <c r="H235" s="2" t="n">
        <v>249</v>
      </c>
      <c r="I235" s="2" t="inlineStr">
        <is>
          <t>да</t>
        </is>
      </c>
      <c r="J235" s="2" t="inlineStr"/>
      <c r="K235" s="3" t="inlineStr">
        <is>
          <t>Боксер Геннадий Стахов приходит к своей невесте - десятикласснице Майе, чтобы познакомиться с ее родителями. Но там встречает Лиду, старшую сестру Майи, с которой у него когда-то был роман. И теперь успехи и неудачи боксера во власти старой любви...</t>
        </is>
      </c>
      <c r="L235" s="2" t="inlineStr">
        <is>
          <t>Кино_СССР сводный каталог.xlsx: список фильмов (доп.)</t>
        </is>
      </c>
      <c r="M235" s="2">
        <f>HYPERLINK("https://ru.wikipedia.org/w/index.php?search=%D0%9D%D0%B0%D0%B2%D0%B0%D0%B6%D0%B4%D0%B5%D0%BD%D0%B8%D0%B5%201989%20%D1%84%D0%B8%D0%BB%D1%8C%D0%BC","искать")</f>
        <v/>
      </c>
      <c r="N235" s="3" t="n"/>
      <c r="O235" s="2" t="n"/>
      <c r="P235" s="2" t="n"/>
    </row>
    <row r="236">
      <c r="A236" s="2" t="n">
        <v>235</v>
      </c>
      <c r="B236" s="2" t="inlineStr">
        <is>
          <t>обрыв</t>
        </is>
      </c>
      <c r="C236" s="2" t="n">
        <v>7254</v>
      </c>
      <c r="D236" s="3" t="inlineStr">
        <is>
          <t>Беспокойное лето</t>
        </is>
      </c>
      <c r="E236" s="2" t="n">
        <v>1981</v>
      </c>
      <c r="F236" s="2" t="inlineStr">
        <is>
          <t>телефильм</t>
        </is>
      </c>
      <c r="G236" s="2" t="n"/>
      <c r="H236" s="2" t="n">
        <v>252</v>
      </c>
      <c r="I236" s="2" t="inlineStr">
        <is>
          <t>да</t>
        </is>
      </c>
      <c r="J236" s="2" t="inlineStr"/>
      <c r="K236" s="3" t="inlineStr">
        <is>
          <t>Телефильм по мотивам повести Евгения Шатько "Эти жаркие заволжские дни". Двенадцатилетний Коля узнает, что мама выходит замуж. Мальчик не может примириться с мыслью, что дядя, который ему совсем не нравится, будет его отцом. Коля решает уйти из дома...</t>
        </is>
      </c>
      <c r="L236" s="2" t="inlineStr">
        <is>
          <t>Кино_СССР сводный каталог.xlsx: список телефильмов</t>
        </is>
      </c>
      <c r="M236" s="2">
        <f>HYPERLINK("https://ru.wikipedia.org/w/index.php?search=%D0%91%D0%B5%D1%81%D0%BF%D0%BE%D0%BA%D0%BE%D0%B9%D0%BD%D0%BE%D0%B5%20%D0%BB%D0%B5%D1%82%D0%BE%201981%20%D1%84%D0%B8%D0%BB%D1%8C%D0%BC","искать")</f>
        <v/>
      </c>
      <c r="N236" s="3" t="n"/>
      <c r="O236" s="2" t="n"/>
      <c r="P236" s="2" t="n"/>
    </row>
    <row r="237">
      <c r="A237" s="2" t="n">
        <v>236</v>
      </c>
      <c r="B237" s="2" t="inlineStr">
        <is>
          <t>обрыв</t>
        </is>
      </c>
      <c r="C237" s="2" t="n">
        <v>7724</v>
      </c>
      <c r="D237" s="3" t="inlineStr">
        <is>
          <t>Качели</t>
        </is>
      </c>
      <c r="E237" s="2" t="n">
        <v>1970</v>
      </c>
      <c r="F237" s="2" t="inlineStr">
        <is>
          <t>телефильм</t>
        </is>
      </c>
      <c r="G237" s="2" t="n"/>
      <c r="H237" s="2" t="n">
        <v>252</v>
      </c>
      <c r="I237" s="2" t="inlineStr">
        <is>
          <t>да</t>
        </is>
      </c>
      <c r="J237" s="2" t="inlineStr"/>
      <c r="K237" s="3" t="inlineStr">
        <is>
          <t>Мать с двумя дочерьми приезжает к сестре умершего мужа на Рижское взморье. Здесь она встречает мужчину своей мечты. Но ситуация осложняется тем, что старшая дочь, испытав горькое разочарование в любимом человеке, противится сближению матери и Иманта...</t>
        </is>
      </c>
      <c r="L237" s="2" t="inlineStr">
        <is>
          <t>Кино_СССР сводный каталог.xlsx: список телефильмов</t>
        </is>
      </c>
      <c r="M237" s="2">
        <f>HYPERLINK("https://ru.wikipedia.org/w/index.php?search=%D0%9A%D0%B0%D1%87%D0%B5%D0%BB%D0%B8%201970%20%D1%84%D0%B8%D0%BB%D1%8C%D0%BC","искать")</f>
        <v/>
      </c>
      <c r="N237" s="3" t="n"/>
      <c r="O237" s="2" t="n"/>
      <c r="P237" s="2" t="n"/>
    </row>
    <row r="238">
      <c r="A238" s="2" t="n">
        <v>237</v>
      </c>
      <c r="B238" s="2" t="inlineStr">
        <is>
          <t>обрыв</t>
        </is>
      </c>
      <c r="C238" s="2" t="n">
        <v>11176</v>
      </c>
      <c r="D238" s="3" t="inlineStr">
        <is>
          <t>Он приехал в день поминовения</t>
        </is>
      </c>
      <c r="E238" s="2" t="n">
        <v>1987</v>
      </c>
      <c r="F238" s="2" t="inlineStr">
        <is>
          <t>фильм-спектакль</t>
        </is>
      </c>
      <c r="G238" s="2" t="inlineStr">
        <is>
          <t>Ленинградское ТВ</t>
        </is>
      </c>
      <c r="H238" s="2" t="n">
        <v>252</v>
      </c>
      <c r="I238" s="2" t="inlineStr">
        <is>
          <t>да</t>
        </is>
      </c>
      <c r="J238" s="2" t="inlineStr"/>
      <c r="K238" s="3" t="inlineStr">
        <is>
          <t>По одноименному роману Жоржа Сименона (перевод Ю. Корнеева).
Девятнадцатилетний Жиль Мовуазен, сын известных артистов мюзик-холла, внезапно становится сиротой. Чтобы сохранить внутренюю свободу, наследник отказывается от соблазнов обеспеченной жизни...</t>
        </is>
      </c>
      <c r="L238" s="2" t="inlineStr">
        <is>
          <t>https://www.kino-teatr.ru/teatr/movie/15888/annot/</t>
        </is>
      </c>
      <c r="M238" s="2">
        <f>HYPERLINK("https://ru.wikipedia.org/w/index.php?search=%D0%9E%D0%BD%20%D0%BF%D1%80%D0%B8%D0%B5%D1%85%D0%B0%D0%BB%20%D0%B2%20%D0%B4%D0%B5%D0%BD%D1%8C%20%D0%BF%D0%BE%D0%BC%D0%B8%D0%BD%D0%BE%D0%B2%D0%B5%D0%BD%D0%B8%D1%8F%201987%20%D1%84%D0%B8%D0%BB%D1%8C%D0%BC","искать")</f>
        <v/>
      </c>
      <c r="N238" s="3" t="n"/>
      <c r="O238" s="2" t="n"/>
      <c r="P238" s="2" t="n"/>
    </row>
    <row r="239">
      <c r="A239" s="2" t="n">
        <v>238</v>
      </c>
      <c r="B239" s="2" t="inlineStr">
        <is>
          <t>обрыв</t>
        </is>
      </c>
      <c r="C239" s="2" t="n">
        <v>8177</v>
      </c>
      <c r="D239" s="3" t="inlineStr">
        <is>
          <t>Похищение</t>
        </is>
      </c>
      <c r="E239" s="2" t="n">
        <v>1969</v>
      </c>
      <c r="F239" s="2" t="inlineStr">
        <is>
          <t>телефильм</t>
        </is>
      </c>
      <c r="G239" s="2" t="inlineStr">
        <is>
          <t>Творческое объединение «Экран»; Центральное телевидение</t>
        </is>
      </c>
      <c r="H239" s="2" t="n">
        <v>253</v>
      </c>
      <c r="I239" s="2" t="inlineStr">
        <is>
          <t>да</t>
        </is>
      </c>
      <c r="J239" s="2" t="inlineStr"/>
      <c r="K239" s="3" t="inlineStr">
        <is>
          <t>В пожарной части готовятся к встрече Нового года. Трое активистов xудожественной самодеятельности решают поxитить для новогоднего концерта профессиональныx артистов. Капитан милиции расследует поxищение и выслушивает жалобы от "непоxищенныx" артистов...</t>
        </is>
      </c>
      <c r="L239" s="2" t="inlineStr">
        <is>
          <t>Кино_СССР сводный каталог.xlsx: список телефильмов</t>
        </is>
      </c>
      <c r="M239" s="2">
        <f>HYPERLINK("https://ru.wikipedia.org/w/index.php?search=%D0%9F%D0%BE%D1%85%D0%B8%D1%89%D0%B5%D0%BD%D0%B8%D0%B5%201969%20%D1%84%D0%B8%D0%BB%D1%8C%D0%BC","искать")</f>
        <v/>
      </c>
      <c r="N239" s="3" t="inlineStr">
        <is>
          <t>В пожарной части готовятся к встрече Нового года. Трое активистов художественной самодеятельности решают похитить для новогоднего концерта профессиональных артистов. Капитан милиции расследует похищение и выслушивает жалобы от "непохищенных" артистов...</t>
        </is>
      </c>
      <c r="O239" s="2" t="inlineStr">
        <is>
          <t>Кино_СССР сводный каталог.xlsx: список телефильмов</t>
        </is>
      </c>
      <c r="P239" s="2" t="inlineStr">
        <is>
          <t>исправление: латинские буквы в русских словах</t>
        </is>
      </c>
    </row>
    <row r="240">
      <c r="A240" s="2" t="n">
        <v>239</v>
      </c>
      <c r="B240" s="2" t="inlineStr">
        <is>
          <t>обрыв</t>
        </is>
      </c>
      <c r="C240" s="2" t="n">
        <v>7726</v>
      </c>
      <c r="D240" s="3" t="inlineStr">
        <is>
          <t>Квартет Гварнери</t>
        </is>
      </c>
      <c r="E240" s="2" t="n">
        <v>1978</v>
      </c>
      <c r="F240" s="2" t="inlineStr">
        <is>
          <t>телефильм</t>
        </is>
      </c>
      <c r="G240" s="2" t="n"/>
      <c r="H240" s="2" t="n">
        <v>254</v>
      </c>
      <c r="I240" s="2" t="inlineStr">
        <is>
          <t>да</t>
        </is>
      </c>
      <c r="J240" s="2" t="inlineStr"/>
      <c r="K240" s="3" t="inlineStr">
        <is>
          <t>Действие фильма происходит в 1920-е годы. Чекист Возницын и четверо музыкантов вступают в противоборство с группой иностранцев, которые, используя право дипломатической неприкосновенности, пытаются вывезти коллекцию раритетных музыкальных инструментов...</t>
        </is>
      </c>
      <c r="L240" s="2" t="inlineStr">
        <is>
          <t>Кино_СССР сводный каталог.xlsx: список телефильмов</t>
        </is>
      </c>
      <c r="M240" s="2">
        <f>HYPERLINK("https://ru.wikipedia.org/w/index.php?search=%D0%9A%D0%B2%D0%B0%D1%80%D1%82%D0%B5%D1%82%20%D0%93%D0%B2%D0%B0%D1%80%D0%BD%D0%B5%D1%80%D0%B8%201978%20%D1%84%D0%B8%D0%BB%D1%8C%D0%BC","искать")</f>
        <v/>
      </c>
      <c r="N240" s="3" t="n"/>
      <c r="O240" s="2" t="n"/>
      <c r="P240" s="2" t="n"/>
    </row>
    <row r="241">
      <c r="A241" s="2" t="n">
        <v>240</v>
      </c>
      <c r="B241" s="2" t="inlineStr">
        <is>
          <t>обрыв</t>
        </is>
      </c>
      <c r="C241" s="2" t="n">
        <v>9425</v>
      </c>
      <c r="D241" s="3" t="inlineStr">
        <is>
          <t>Кома</t>
        </is>
      </c>
      <c r="E241" s="2" t="n">
        <v>1989</v>
      </c>
      <c r="F241" s="2" t="inlineStr">
        <is>
          <t>кинофильм</t>
        </is>
      </c>
      <c r="G241" s="2" t="n"/>
      <c r="H241" s="2" t="n">
        <v>254</v>
      </c>
      <c r="I241" s="2" t="inlineStr">
        <is>
          <t>да</t>
        </is>
      </c>
      <c r="J241" s="2" t="inlineStr"/>
      <c r="K241" s="3" t="inlineStr">
        <is>
          <t>Марию арестовали после студенческой вечеринки, где она с упоением прочитала цветаевскую "Повесть о Сонечке". Драматичность событий достигает накала, когда ради того, чтобы спасти ребенка, родившегося в лагере, она вынуждена подписать донос на его отца...</t>
        </is>
      </c>
      <c r="L241" s="2" t="inlineStr">
        <is>
          <t>Кино_СССР сводный каталог.xlsx: список фильмов (доп.)</t>
        </is>
      </c>
      <c r="M241" s="2">
        <f>HYPERLINK("https://ru.wikipedia.org/w/index.php?search=%D0%9A%D0%BE%D0%BC%D0%B0%201989%20%D1%84%D0%B8%D0%BB%D1%8C%D0%BC","искать")</f>
        <v/>
      </c>
      <c r="N241" s="3" t="n"/>
      <c r="O241" s="2" t="n"/>
      <c r="P241" s="2" t="n"/>
    </row>
    <row r="242">
      <c r="A242" s="2" t="n">
        <v>241</v>
      </c>
      <c r="B242" s="2" t="inlineStr">
        <is>
          <t>обрыв</t>
        </is>
      </c>
      <c r="C242" s="2" t="n">
        <v>10137</v>
      </c>
      <c r="D242" s="3" t="inlineStr">
        <is>
          <t>Большая кошачья сказка</t>
        </is>
      </c>
      <c r="E242" s="2" t="n">
        <v>1965</v>
      </c>
      <c r="F242" s="2" t="inlineStr">
        <is>
          <t>фильм-спектакль</t>
        </is>
      </c>
      <c r="G242" s="2" t="inlineStr">
        <is>
          <t>Ленинградское Телевидение</t>
        </is>
      </c>
      <c r="H242" s="2" t="n">
        <v>254</v>
      </c>
      <c r="I242" s="2" t="inlineStr">
        <is>
          <t>да</t>
        </is>
      </c>
      <c r="J242" s="2" t="inlineStr"/>
      <c r="K242" s="3" t="inlineStr">
        <is>
          <t>По мотивам одноименной сказки К.Чапека. В гротескной форме рассказывается о плачущей принцессе, которую развеселили “неведомой зверушкой” - котенком. Он убегает, и на поиски волшебника, будто бы похитившего котенка, отправляются самые известные сыщики...</t>
        </is>
      </c>
      <c r="L242" s="2" t="inlineStr">
        <is>
          <t>https://www.kino-teatr.ru/teatr/movie/17361/annot/</t>
        </is>
      </c>
      <c r="M242" s="2">
        <f>HYPERLINK("https://ru.wikipedia.org/w/index.php?search=%D0%91%D0%BE%D0%BB%D1%8C%D1%88%D0%B0%D1%8F%20%D0%BA%D0%BE%D1%88%D0%B0%D1%87%D1%8C%D1%8F%20%D1%81%D0%BA%D0%B0%D0%B7%D0%BA%D0%B0%201965%20%D1%84%D0%B8%D0%BB%D1%8C%D0%BC","искать")</f>
        <v/>
      </c>
      <c r="N242" s="3" t="n"/>
      <c r="O242" s="2" t="n"/>
      <c r="P242" s="2" t="n"/>
    </row>
    <row r="243">
      <c r="A243" s="2" t="n">
        <v>242</v>
      </c>
      <c r="B243" s="2" t="inlineStr">
        <is>
          <t>обрыв</t>
        </is>
      </c>
      <c r="C243" s="2" t="n">
        <v>10840</v>
      </c>
      <c r="D243" s="3" t="inlineStr">
        <is>
          <t>Выход из случая</t>
        </is>
      </c>
      <c r="E243" s="2" t="n">
        <v>1980</v>
      </c>
      <c r="F243" s="2" t="inlineStr">
        <is>
          <t>фильм-спектакль</t>
        </is>
      </c>
      <c r="G243" s="2" t="inlineStr">
        <is>
          <t>Ленинградское телевидение</t>
        </is>
      </c>
      <c r="H243" s="2" t="n">
        <v>254</v>
      </c>
      <c r="I243" s="2" t="inlineStr">
        <is>
          <t>да</t>
        </is>
      </c>
      <c r="J243" s="2" t="inlineStr"/>
      <c r="K243" s="3" t="inlineStr">
        <is>
          <t>4-серийный спектакль по повести ленинградской писательницы Зои Журавлевой о буднях метрополитена.
В центре фильма — одна семья: отец — машинист метрополитена, сын сдаёт экзамены на звание машиниста, мать — поездной диспетчер, дочь — начальник станции....</t>
        </is>
      </c>
      <c r="L243" s="2" t="inlineStr">
        <is>
          <t>https://www.kino-teatr.ru/teatr/movie/137641/annot/</t>
        </is>
      </c>
      <c r="M243" s="2">
        <f>HYPERLINK("https://ru.wikipedia.org/w/index.php?search=%D0%92%D1%8B%D1%85%D0%BE%D0%B4%20%D0%B8%D0%B7%20%D1%81%D0%BB%D1%83%D1%87%D0%B0%D1%8F%201980%20%D1%84%D0%B8%D0%BB%D1%8C%D0%BC","искать")</f>
        <v/>
      </c>
      <c r="N243" s="3" t="n"/>
      <c r="O243" s="2" t="n"/>
      <c r="P243" s="2" t="n"/>
    </row>
    <row r="244">
      <c r="A244" s="2" t="n">
        <v>243</v>
      </c>
      <c r="B244" s="2" t="inlineStr">
        <is>
          <t>обрыв</t>
        </is>
      </c>
      <c r="C244" s="2" t="n">
        <v>7340</v>
      </c>
      <c r="D244" s="3" t="inlineStr">
        <is>
          <t>Вижу цель!</t>
        </is>
      </c>
      <c r="E244" s="2" t="n">
        <v>1978</v>
      </c>
      <c r="F244" s="2" t="inlineStr">
        <is>
          <t>телефильм</t>
        </is>
      </c>
      <c r="G244" s="2" t="n"/>
      <c r="H244" s="2" t="n">
        <v>255</v>
      </c>
      <c r="I244" s="2" t="inlineStr">
        <is>
          <t>да</t>
        </is>
      </c>
      <c r="J244" s="2" t="inlineStr"/>
      <c r="K244" s="3" t="inlineStr">
        <is>
          <t>Подполковник Клоков, командир подразделения ПВО, руководит строительством стратегически важного объекта. В ходе работ обнаруживаются следы древнего поселения. Клоков берет на себя ответственность и переносит месторасположение строительства в другое место…</t>
        </is>
      </c>
      <c r="L244" s="2" t="inlineStr">
        <is>
          <t>Кино_СССР сводный каталог.xlsx: список телефильмов</t>
        </is>
      </c>
      <c r="M244" s="2">
        <f>HYPERLINK("https://ru.wikipedia.org/w/index.php?search=%D0%92%D0%B8%D0%B6%D1%83%20%D1%86%D0%B5%D0%BB%D1%8C%21%201978%20%D1%84%D0%B8%D0%BB%D1%8C%D0%BC","искать")</f>
        <v/>
      </c>
      <c r="N244" s="3" t="n"/>
      <c r="O244" s="2" t="n"/>
      <c r="P244" s="2" t="n"/>
    </row>
    <row r="245">
      <c r="A245" s="2" t="n">
        <v>244</v>
      </c>
      <c r="B245" s="2" t="inlineStr">
        <is>
          <t>обрыв</t>
        </is>
      </c>
      <c r="C245" s="2" t="n">
        <v>8223</v>
      </c>
      <c r="D245" s="3" t="inlineStr">
        <is>
          <t>Проводы</t>
        </is>
      </c>
      <c r="E245" s="2" t="n">
        <v>1978</v>
      </c>
      <c r="F245" s="2" t="inlineStr">
        <is>
          <t>телефильм</t>
        </is>
      </c>
      <c r="G245" s="2" t="n"/>
      <c r="H245" s="2" t="n">
        <v>255</v>
      </c>
      <c r="I245" s="2" t="inlineStr">
        <is>
          <t>да</t>
        </is>
      </c>
      <c r="J245" s="2" t="inlineStr"/>
      <c r="K245" s="3" t="inlineStr">
        <is>
          <t>По пьесе Игнатия Дворецкого. В связи с переводом в Москву начальнику Управления Старосельскому приходится расставаться с любимым делом и с людьми, работавшими с ним долгое время. Его проводы помогают до конца выяснить сложившиеся в коллективе отношения...</t>
        </is>
      </c>
      <c r="L245" s="2" t="inlineStr">
        <is>
          <t>Кино_СССР сводный каталог.xlsx: список телефильмов</t>
        </is>
      </c>
      <c r="M245" s="2">
        <f>HYPERLINK("https://ru.wikipedia.org/w/index.php?search=%D0%9F%D1%80%D0%BE%D0%B2%D0%BE%D0%B4%D1%8B%201978%20%D1%84%D0%B8%D0%BB%D1%8C%D0%BC","искать")</f>
        <v/>
      </c>
      <c r="N245" s="3" t="n"/>
      <c r="O245" s="2" t="n"/>
      <c r="P245" s="2" t="n"/>
    </row>
    <row r="246">
      <c r="A246" s="2" t="n">
        <v>245</v>
      </c>
      <c r="B246" s="2" t="inlineStr">
        <is>
          <t>обрыв</t>
        </is>
      </c>
      <c r="C246" s="2" t="n">
        <v>10055</v>
      </c>
      <c r="D246" s="3" t="inlineStr">
        <is>
          <t>Наваждение</t>
        </is>
      </c>
      <c r="E246" s="2" t="n">
        <v>1991</v>
      </c>
      <c r="F246" s="2" t="inlineStr">
        <is>
          <t>кинофильм</t>
        </is>
      </c>
      <c r="G246" s="2" t="inlineStr">
        <is>
          <t>"Дебют" (к/с им. Довженко)</t>
        </is>
      </c>
      <c r="H246" s="2" t="n">
        <v>255</v>
      </c>
      <c r="I246" s="2" t="inlineStr">
        <is>
          <t>да</t>
        </is>
      </c>
      <c r="J246" s="2" t="inlineStr"/>
      <c r="K246" s="3" t="inlineStr">
        <is>
          <t>По мотивам повести Юрия Домбровского «Ручка, ножка, огуречик…».
Реабилитированного писателя кто-то преследует. Мафия, КГБ — он точно не знает, но смело идет навстречу развивающихся событий, в эпицентре которых — собственный страх и абсолютное одиночество…</t>
        </is>
      </c>
      <c r="L246" s="2" t="inlineStr">
        <is>
          <t>https://www.kino-teatr.ru/short/movie/sov/4213/annot/</t>
        </is>
      </c>
      <c r="M246" s="2">
        <f>HYPERLINK("https://ru.wikipedia.org/w/index.php?search=%D0%9D%D0%B0%D0%B2%D0%B0%D0%B6%D0%B4%D0%B5%D0%BD%D0%B8%D0%B5%201991%20%D1%84%D0%B8%D0%BB%D1%8C%D0%BC","искать")</f>
        <v/>
      </c>
      <c r="N246" s="3" t="n"/>
      <c r="O246" s="2" t="n"/>
      <c r="P246" s="2" t="n"/>
    </row>
    <row r="247">
      <c r="A247" s="2" t="n">
        <v>246</v>
      </c>
      <c r="B247" s="2" t="inlineStr">
        <is>
          <t>обрыв</t>
        </is>
      </c>
      <c r="C247" s="2" t="n">
        <v>11258</v>
      </c>
      <c r="D247" s="3" t="inlineStr">
        <is>
          <t>Звезды на утреннем небе</t>
        </is>
      </c>
      <c r="E247" s="2" t="n">
        <v>1989</v>
      </c>
      <c r="F247" s="2" t="inlineStr">
        <is>
          <t>фильм-спектакль</t>
        </is>
      </c>
      <c r="G247" s="2" t="inlineStr">
        <is>
          <t>Союзтеатр, Синтез, Ленинградский государственный Малый драматический театр</t>
        </is>
      </c>
      <c r="H247" s="2" t="n">
        <v>255</v>
      </c>
      <c r="I247" s="2" t="inlineStr">
        <is>
          <t>да</t>
        </is>
      </c>
      <c r="J247" s="2" t="inlineStr">
        <is>
          <t>да</t>
        </is>
      </c>
      <c r="K247" s="3" t="inlineStr">
        <is>
          <t>Драма в двух действиях по мотивам одноименной пьесы А. Галина возвращает нас в дни Московской олимпиады, когда блестел парадный фасад Москвы, все радовались празднику, а на 101 километре от Москвы жили и страдали те, кого выселили на время из праздника...</t>
        </is>
      </c>
      <c r="L247" s="2" t="inlineStr">
        <is>
          <t>https://www.kino-teatr.ru/teatr/movie/112232/annot/</t>
        </is>
      </c>
      <c r="M247" s="2">
        <f>HYPERLINK("https://ru.wikipedia.org/w/index.php?search=%D0%97%D0%B2%D0%B5%D0%B7%D0%B4%D1%8B%20%D0%BD%D0%B0%20%D1%83%D1%82%D1%80%D0%B5%D0%BD%D0%BD%D0%B5%D0%BC%20%D0%BD%D0%B5%D0%B1%D0%B5%201989%20%D1%84%D0%B8%D0%BB%D1%8C%D0%BC","искать")</f>
        <v/>
      </c>
      <c r="N247" s="3" t="n"/>
      <c r="O247" s="2" t="n"/>
      <c r="P247" s="2" t="n"/>
    </row>
    <row r="248">
      <c r="A248" s="2" t="n">
        <v>247</v>
      </c>
      <c r="B248" s="2" t="inlineStr">
        <is>
          <t>обрыв</t>
        </is>
      </c>
      <c r="C248" s="2" t="n">
        <v>10911</v>
      </c>
      <c r="D248" s="3" t="inlineStr">
        <is>
          <t>Свадьба</t>
        </is>
      </c>
      <c r="E248" s="2" t="n">
        <v>1981</v>
      </c>
      <c r="F248" s="2" t="inlineStr">
        <is>
          <t>фильм-спектакль</t>
        </is>
      </c>
      <c r="G248" s="2" t="inlineStr">
        <is>
          <t>Литовское телевидение</t>
        </is>
      </c>
      <c r="H248" s="2" t="n">
        <v>256</v>
      </c>
      <c r="I248" s="2" t="inlineStr">
        <is>
          <t>да</t>
        </is>
      </c>
      <c r="J248" s="2" t="inlineStr"/>
      <c r="K248" s="3" t="inlineStr">
        <is>
          <t>По одноименному водевилю А. П. Чехова. Мещане Жигаловы, у которых на выданье дочь Даша, к ужасу своему узнают, что чиновник Апломбов, все лето ухаживавший за Дашей, ежедневно обедавший у них и зарекомендовавший себя женихом, жениться вовсе не собирается...</t>
        </is>
      </c>
      <c r="L248" s="2" t="inlineStr">
        <is>
          <t>https://www.kino-teatr.ru/teatr/movie/105360/annot/</t>
        </is>
      </c>
      <c r="M248" s="2">
        <f>HYPERLINK("https://ru.wikipedia.org/w/index.php?search=%D0%A1%D0%B2%D0%B0%D0%B4%D1%8C%D0%B1%D0%B0%201981%20%D1%84%D0%B8%D0%BB%D1%8C%D0%BC","искать")</f>
        <v/>
      </c>
      <c r="N248" s="3" t="n"/>
      <c r="O248" s="2" t="n"/>
      <c r="P248" s="2" t="n"/>
    </row>
    <row r="249">
      <c r="A249" s="2" t="n">
        <v>248</v>
      </c>
      <c r="B249" s="2" t="inlineStr">
        <is>
          <t>обрыв</t>
        </is>
      </c>
      <c r="C249" s="2" t="n">
        <v>10257</v>
      </c>
      <c r="D249" s="3" t="inlineStr">
        <is>
          <t>Мятеж</t>
        </is>
      </c>
      <c r="E249" s="2" t="n">
        <v>1968</v>
      </c>
      <c r="F249" s="2" t="inlineStr">
        <is>
          <t>фильм-спектакль</t>
        </is>
      </c>
      <c r="G249" s="2" t="n"/>
      <c r="H249" s="2" t="n">
        <v>257</v>
      </c>
      <c r="I249" s="2" t="inlineStr">
        <is>
          <t>да</t>
        </is>
      </c>
      <c r="J249" s="2" t="inlineStr"/>
      <c r="K249" s="3" t="inlineStr">
        <is>
          <t>Телеспектакль по одноименному роману Дмитрия Фурманова.
1920 год. Враг Советской России не сломлен повсюду. В Туркестане бесчинствуют банды басмачей. Группа кулаков при поддержке местных купцов и баев подбивает красноармейцев к контрреволюционному мятежу...</t>
        </is>
      </c>
      <c r="L249" s="2" t="inlineStr">
        <is>
          <t>https://www.kino-teatr.ru/teatr/movie/170194/annot/</t>
        </is>
      </c>
      <c r="M249" s="2">
        <f>HYPERLINK("https://ru.wikipedia.org/w/index.php?search=%D0%9C%D1%8F%D1%82%D0%B5%D0%B6%201968%20%D1%84%D0%B8%D0%BB%D1%8C%D0%BC","искать")</f>
        <v/>
      </c>
      <c r="N249" s="3" t="n"/>
      <c r="O249" s="2" t="n"/>
      <c r="P249" s="2" t="n"/>
    </row>
    <row r="250">
      <c r="A250" s="2" t="n">
        <v>249</v>
      </c>
      <c r="B250" s="2" t="inlineStr">
        <is>
          <t>обрыв</t>
        </is>
      </c>
      <c r="C250" s="2" t="n">
        <v>8516</v>
      </c>
      <c r="D250" s="3" t="inlineStr">
        <is>
          <t>Фотографии на стене</t>
        </is>
      </c>
      <c r="E250" s="2" t="n">
        <v>1978</v>
      </c>
      <c r="F250" s="2" t="inlineStr">
        <is>
          <t>телефильм</t>
        </is>
      </c>
      <c r="G250" s="2" t="n"/>
      <c r="H250" s="2" t="n">
        <v>258</v>
      </c>
      <c r="I250" s="2" t="inlineStr">
        <is>
          <t>да</t>
        </is>
      </c>
      <c r="J250" s="2" t="inlineStr"/>
      <c r="K250" s="3" t="inlineStr">
        <is>
          <t>Все благополучно в семье Сережи Емельянова. Но однажды, когда родители находились в командировке, приходит письмо, в котором неизвестная женщина просит отца срочно прийти ей на помощь. Сережа идет и знакомится с Ниной Георгиевной и ее приемным сыном Шурой...</t>
        </is>
      </c>
      <c r="L250" s="2" t="inlineStr">
        <is>
          <t>Кино_СССР сводный каталог.xlsx: список телефильмов</t>
        </is>
      </c>
      <c r="M250" s="2">
        <f>HYPERLINK("https://ru.wikipedia.org/w/index.php?search=%D0%A4%D0%BE%D1%82%D0%BE%D0%B3%D1%80%D0%B0%D1%84%D0%B8%D0%B8%20%D0%BD%D0%B0%20%D1%81%D1%82%D0%B5%D0%BD%D0%B5%201978%20%D1%84%D0%B8%D0%BB%D1%8C%D0%BC","искать")</f>
        <v/>
      </c>
      <c r="N250" s="3" t="n"/>
      <c r="O250" s="2" t="n"/>
      <c r="P250" s="2" t="n"/>
    </row>
    <row r="251">
      <c r="A251" s="2" t="n">
        <v>250</v>
      </c>
      <c r="B251" s="2" t="inlineStr">
        <is>
          <t>обрыв</t>
        </is>
      </c>
      <c r="C251" s="2" t="n">
        <v>9408</v>
      </c>
      <c r="D251" s="3" t="inlineStr">
        <is>
          <t>Кара-Бугаз</t>
        </is>
      </c>
      <c r="E251" s="2" t="n">
        <v>1935</v>
      </c>
      <c r="F251" s="2" t="inlineStr">
        <is>
          <t>кинофильм</t>
        </is>
      </c>
      <c r="G251" s="2" t="n"/>
      <c r="H251" s="2" t="n">
        <v>259</v>
      </c>
      <c r="I251" s="2" t="inlineStr">
        <is>
          <t>да</t>
        </is>
      </c>
      <c r="J251" s="2" t="inlineStr"/>
      <c r="K251" s="3" t="inlineStr">
        <is>
          <t>При отступлении из Баку в 1920 году узников белогвардейской контрразведки высаживают на необитаемый остров в Каспийском море, где они должны погибнуть от голода и жажды. Четверым - большевикам Миллеру, Занозе, Нестеровой и ученому Шацкому удается спастись....</t>
        </is>
      </c>
      <c r="L251" s="2" t="inlineStr">
        <is>
          <t>Кино_СССР сводный каталог.xlsx: список фильмов (доп.)</t>
        </is>
      </c>
      <c r="M251" s="2">
        <f>HYPERLINK("https://ru.wikipedia.org/w/index.php?search=%D0%9A%D0%B0%D1%80%D0%B0-%D0%91%D1%83%D0%B3%D0%B0%D0%B7%201935%20%D1%84%D0%B8%D0%BB%D1%8C%D0%BC","искать")</f>
        <v/>
      </c>
      <c r="N251" s="3" t="n"/>
      <c r="O251" s="2" t="n"/>
      <c r="P251" s="2" t="n"/>
    </row>
    <row r="252">
      <c r="A252" s="2" t="n">
        <v>251</v>
      </c>
      <c r="B252" s="2" t="inlineStr">
        <is>
          <t>обрыв</t>
        </is>
      </c>
      <c r="C252" s="2" t="n">
        <v>7856</v>
      </c>
      <c r="D252" s="3" t="inlineStr">
        <is>
          <t>Матрос Железняк</t>
        </is>
      </c>
      <c r="E252" s="2" t="n">
        <v>1985</v>
      </c>
      <c r="F252" s="2" t="inlineStr">
        <is>
          <t>телефильм</t>
        </is>
      </c>
      <c r="G252" s="2" t="inlineStr">
        <is>
          <t>Одесская к/с</t>
        </is>
      </c>
      <c r="H252" s="2" t="n">
        <v>260</v>
      </c>
      <c r="I252" s="2" t="inlineStr">
        <is>
          <t>да</t>
        </is>
      </c>
      <c r="J252" s="2" t="inlineStr"/>
      <c r="K252" s="3" t="inlineStr">
        <is>
          <t>Биографический телефильм о герое гражданской войны Анатолии Железнякове. Его фразой: "Караул устал, часовые хотят спать" закончилась старая жизнь. Железняков - матрос-анархист, лирик, романтик - погиб, не узнав к чему пришло то, за что он героически боролся...</t>
        </is>
      </c>
      <c r="L252" s="2" t="inlineStr">
        <is>
          <t>Кино_СССР сводный каталог.xlsx: список телефильмов</t>
        </is>
      </c>
      <c r="M252" s="2">
        <f>HYPERLINK("https://ru.wikipedia.org/w/index.php?search=%D0%9C%D0%B0%D1%82%D1%80%D0%BE%D1%81%20%D0%96%D0%B5%D0%BB%D0%B5%D0%B7%D0%BD%D1%8F%D0%BA%201985%20%D1%84%D0%B8%D0%BB%D1%8C%D0%BC","искать")</f>
        <v/>
      </c>
      <c r="N252" s="3" t="n"/>
      <c r="O252" s="2" t="n"/>
      <c r="P252" s="2" t="n"/>
    </row>
    <row r="253">
      <c r="A253" s="2" t="n">
        <v>252</v>
      </c>
      <c r="B253" s="2" t="inlineStr">
        <is>
          <t>обрыв</t>
        </is>
      </c>
      <c r="C253" s="2" t="n">
        <v>9017</v>
      </c>
      <c r="D253" s="3" t="inlineStr">
        <is>
          <t>Родник</t>
        </is>
      </c>
      <c r="E253" s="2" t="n">
        <v>1985</v>
      </c>
      <c r="F253" s="2" t="inlineStr">
        <is>
          <t>кинофильм</t>
        </is>
      </c>
      <c r="G253" s="2" t="n"/>
      <c r="H253" s="2" t="n">
        <v>260</v>
      </c>
      <c r="I253" s="2" t="inlineStr">
        <is>
          <t>да</t>
        </is>
      </c>
      <c r="J253" s="2" t="inlineStr"/>
      <c r="K253" s="3" t="inlineStr">
        <is>
          <t>Герой фильма Лазаре, однажды помог бабушке Варо, приехавшей в город из деревни, заполнить билет спортлото. Спустя несколько дней, молодой человек обнаружил, что именно этот билет и оказался выигрышным. Недолго думая, Лазаре отправился на поиски бабушки Варо...</t>
        </is>
      </c>
      <c r="L253" s="2" t="inlineStr">
        <is>
          <t>Кино_СССР сводный каталог.xlsx: список фильмов (доп.)</t>
        </is>
      </c>
      <c r="M253" s="2">
        <f>HYPERLINK("https://ru.wikipedia.org/w/index.php?search=%D0%A0%D0%BE%D0%B4%D0%BD%D0%B8%D0%BA%201985%20%D1%84%D0%B8%D0%BB%D1%8C%D0%BC","искать")</f>
        <v/>
      </c>
      <c r="N253" s="3" t="n"/>
      <c r="O253" s="2" t="n"/>
      <c r="P253" s="2" t="n"/>
    </row>
    <row r="254">
      <c r="A254" s="2" t="n">
        <v>253</v>
      </c>
      <c r="B254" s="2" t="inlineStr">
        <is>
          <t>обрыв</t>
        </is>
      </c>
      <c r="C254" s="2" t="n">
        <v>11252</v>
      </c>
      <c r="D254" s="3" t="inlineStr">
        <is>
          <t>Вдовий пароход</t>
        </is>
      </c>
      <c r="E254" s="2" t="n">
        <v>1989</v>
      </c>
      <c r="F254" s="2" t="inlineStr">
        <is>
          <t>фильм-спектакль</t>
        </is>
      </c>
      <c r="G254" s="2" t="n"/>
      <c r="H254" s="2" t="n">
        <v>261</v>
      </c>
      <c r="I254" s="2" t="inlineStr">
        <is>
          <t>да</t>
        </is>
      </c>
      <c r="J254" s="2" t="inlineStr"/>
      <c r="K254" s="3" t="inlineStr">
        <is>
          <t>По одноименному роману И. Грековой в постановке Театра им. Моссовета. Рассказ о женщинах, живущих в одной коммунальной квартире, которую они сами прозвали "Вдовий пароход". У каждой своя история и свое горе. В 1943-м возвращается сюда с фронта Анфиса Громова...</t>
        </is>
      </c>
      <c r="L254" s="2" t="inlineStr">
        <is>
          <t>https://www.kino-teatr.ru/teatr/movie/81472/annot/</t>
        </is>
      </c>
      <c r="M254" s="2">
        <f>HYPERLINK("https://ru.wikipedia.org/w/index.php?search=%D0%92%D0%B4%D0%BE%D0%B2%D0%B8%D0%B9%20%D0%BF%D0%B0%D1%80%D0%BE%D1%85%D0%BE%D0%B4%201989%20%D1%84%D0%B8%D0%BB%D1%8C%D0%BC","искать")</f>
        <v/>
      </c>
      <c r="N254" s="3" t="n"/>
      <c r="O254" s="2" t="n"/>
      <c r="P254" s="2" t="n"/>
    </row>
    <row r="255">
      <c r="A255" s="2" t="n">
        <v>254</v>
      </c>
      <c r="B255" s="2" t="inlineStr">
        <is>
          <t>обрыв</t>
        </is>
      </c>
      <c r="C255" s="2" t="n">
        <v>9486</v>
      </c>
      <c r="D255" s="3" t="inlineStr">
        <is>
          <t>На окраине, где-то в городе...</t>
        </is>
      </c>
      <c r="E255" s="2" t="n">
        <v>1988</v>
      </c>
      <c r="F255" s="2" t="inlineStr">
        <is>
          <t>кинофильм</t>
        </is>
      </c>
      <c r="G255" s="2" t="n"/>
      <c r="H255" s="2" t="n">
        <v>262</v>
      </c>
      <c r="I255" s="2" t="inlineStr">
        <is>
          <t>да</t>
        </is>
      </c>
      <c r="J255" s="2" t="inlineStr">
        <is>
          <t>да</t>
        </is>
      </c>
      <c r="K255" s="3" t="inlineStr">
        <is>
          <t>О проблемах современной школы. Мать, уставшая и отупевшая от беспросветных двоек сына, отчим, привычно-стращающий профессионально-техническим образованием, учитель, пытающийся достучаться до сердца каждого ученика, ребята, не знающие, куда девать свою энергию...</t>
        </is>
      </c>
      <c r="L255" s="2" t="inlineStr">
        <is>
          <t>Кино_СССР сводный каталог.xlsx: список фильмов (доп.)</t>
        </is>
      </c>
      <c r="M255" s="2">
        <f>HYPERLINK("https://ru.wikipedia.org/w/index.php?search=%D0%9D%D0%B0%20%D0%BE%D0%BA%D1%80%D0%B0%D0%B8%D0%BD%D0%B5%2C%20%D0%B3%D0%B4%D0%B5-%D1%82%D0%BE%20%D0%B2%20%D0%B3%D0%BE%D1%80%D0%BE%D0%B4%D0%B5...%201988%20%D1%84%D0%B8%D0%BB%D1%8C%D0%BC","искать")</f>
        <v/>
      </c>
      <c r="N255" s="3" t="n"/>
      <c r="O255" s="2" t="n"/>
      <c r="P255" s="2" t="n"/>
    </row>
    <row r="256">
      <c r="A256" s="2" t="n">
        <v>255</v>
      </c>
      <c r="B256" s="2" t="inlineStr">
        <is>
          <t>обрыв</t>
        </is>
      </c>
      <c r="C256" s="2" t="n">
        <v>9751</v>
      </c>
      <c r="D256" s="3" t="inlineStr">
        <is>
          <t>Чёрная роза – эмблема печали, красная роза – эмблема любви</t>
        </is>
      </c>
      <c r="E256" s="2" t="n">
        <v>1989</v>
      </c>
      <c r="F256" s="2" t="inlineStr">
        <is>
          <t>кинофильм</t>
        </is>
      </c>
      <c r="G256" s="2" t="n"/>
      <c r="H256" s="2" t="n">
        <v>262</v>
      </c>
      <c r="I256" s="2" t="inlineStr">
        <is>
          <t>да</t>
        </is>
      </c>
      <c r="J256" s="2" t="inlineStr"/>
      <c r="K256" s="3" t="inlineStr">
        <is>
          <t>Второй фильм трилогии Сергея Соловьева, начатой фильмом "Асса". Герои фильма - 15-летний миллионер, комсомолец и дворянин, а также арбатская красавица, лимитчик-диссидент и элегантный супермен разыгрывают историю нашей жизни - трагическую, но полную оптимизма...</t>
        </is>
      </c>
      <c r="L256" s="2" t="inlineStr">
        <is>
          <t>Кино_СССР сводный каталог.xlsx: список фильмов (доп.)</t>
        </is>
      </c>
      <c r="M256" s="2">
        <f>HYPERLINK("https://ru.wikipedia.org/w/index.php?search=%D0%A7%D1%91%D1%80%D0%BD%D0%B0%D1%8F%20%D1%80%D0%BE%D0%B7%D0%B0%20%E2%80%93%20%D1%8D%D0%BC%D0%B1%D0%BB%D0%B5%D0%BC%D0%B0%20%D0%BF%D0%B5%D1%87%D0%B0%D0%BB%D0%B8%2C%20%D0%BA%D1%80%D0%B0%D1%81%D0%BD%D0%B0%D1%8F%20%D1%80%D0%BE%D0%B7%D0%B0%20%E2%80%93%20%D1%8D%D0%BC%D0%B1%D0%BB%D0%B5%D0%BC%D0%B0%20%D0%BB%D1%8E%D0%B1%D0%B2%D0%B8%201989%20%D1%84%D0%B8%D0%BB%D1%8C%D0%BC","искать")</f>
        <v/>
      </c>
      <c r="N256" s="3" t="n"/>
      <c r="O256" s="2" t="n"/>
      <c r="P256" s="2" t="n"/>
    </row>
    <row r="257">
      <c r="A257" s="2" t="n">
        <v>256</v>
      </c>
      <c r="B257" s="2" t="inlineStr">
        <is>
          <t>обрыв</t>
        </is>
      </c>
      <c r="C257" s="2" t="n">
        <v>7480</v>
      </c>
      <c r="D257" s="3" t="inlineStr">
        <is>
          <t>Две сестры</t>
        </is>
      </c>
      <c r="E257" s="2" t="n">
        <v>1970</v>
      </c>
      <c r="F257" s="2" t="inlineStr">
        <is>
          <t>телефильм</t>
        </is>
      </c>
      <c r="G257" s="2" t="n"/>
      <c r="H257" s="2" t="n">
        <v>263</v>
      </c>
      <c r="I257" s="2" t="inlineStr">
        <is>
          <t>да</t>
        </is>
      </c>
      <c r="J257" s="2" t="inlineStr"/>
      <c r="K257" s="3" t="inlineStr">
        <is>
          <t>По одноименной пьесе Ф.Кнорре. Люся и Сергей дружат с детства. Ирина, старшая сестра Люси, вернувшись из Москвы после неудачной попытки поступить в театральный институт, очаровывает Сергея. Потребовалось время, чтобы он сумел оценить неподдельность чувств Люси...</t>
        </is>
      </c>
      <c r="L257" s="2" t="inlineStr">
        <is>
          <t>Кино_СССР сводный каталог.xlsx: список телефильмов</t>
        </is>
      </c>
      <c r="M257" s="2">
        <f>HYPERLINK("https://ru.wikipedia.org/w/index.php?search=%D0%94%D0%B2%D0%B5%20%D1%81%D0%B5%D1%81%D1%82%D1%80%D1%8B%201970%20%D1%84%D0%B8%D0%BB%D1%8C%D0%BC","искать")</f>
        <v/>
      </c>
      <c r="N257" s="3" t="n"/>
      <c r="O257" s="2" t="n"/>
      <c r="P257" s="2" t="n"/>
    </row>
    <row r="258">
      <c r="A258" s="2" t="n">
        <v>257</v>
      </c>
      <c r="B258" s="2" t="inlineStr">
        <is>
          <t>обрыв</t>
        </is>
      </c>
      <c r="C258" s="2" t="n">
        <v>10709</v>
      </c>
      <c r="D258" s="3" t="inlineStr">
        <is>
          <t>Пена</t>
        </is>
      </c>
      <c r="E258" s="2" t="n">
        <v>1977</v>
      </c>
      <c r="F258" s="2" t="inlineStr">
        <is>
          <t>фильм-спектакль</t>
        </is>
      </c>
      <c r="G258" s="2" t="n"/>
      <c r="H258" s="2" t="n">
        <v>263</v>
      </c>
      <c r="I258" s="2" t="inlineStr">
        <is>
          <t>да</t>
        </is>
      </c>
      <c r="J258" s="2" t="inlineStr"/>
      <c r="K258" s="3" t="inlineStr">
        <is>
          <t>Спектакль в постановке Московского академического театра сатиры по мотивам одноименной пьесы С.Михалкова.
Герой спектакля - руководитель одного из научных институтов Махонин, окружив себя подхалимами, становится на бесчестный путь "покупки" готовой диссертации...</t>
        </is>
      </c>
      <c r="L258" s="2" t="inlineStr">
        <is>
          <t>https://www.kino-teatr.ru/teatr/movie/81439/annot/</t>
        </is>
      </c>
      <c r="M258" s="2">
        <f>HYPERLINK("https://ru.wikipedia.org/w/index.php?search=%D0%9F%D0%B5%D0%BD%D0%B0%201977%20%D1%84%D0%B8%D0%BB%D1%8C%D0%BC","искать")</f>
        <v/>
      </c>
      <c r="N258" s="3" t="n"/>
      <c r="O258" s="2" t="n"/>
      <c r="P258" s="2" t="n"/>
    </row>
    <row r="259">
      <c r="A259" s="2" t="n">
        <v>258</v>
      </c>
      <c r="B259" s="2" t="inlineStr">
        <is>
          <t>обрыв</t>
        </is>
      </c>
      <c r="C259" s="2" t="n">
        <v>10886</v>
      </c>
      <c r="D259" s="3" t="inlineStr">
        <is>
          <t>Карл и Анна</t>
        </is>
      </c>
      <c r="E259" s="2" t="n">
        <v>1981</v>
      </c>
      <c r="F259" s="2" t="inlineStr">
        <is>
          <t>фильм-спектакль</t>
        </is>
      </c>
      <c r="G259" s="2" t="inlineStr">
        <is>
          <t>Литовское телевидение</t>
        </is>
      </c>
      <c r="H259" s="2" t="n">
        <v>263</v>
      </c>
      <c r="I259" s="2" t="inlineStr">
        <is>
          <t>да</t>
        </is>
      </c>
      <c r="J259" s="2" t="inlineStr"/>
      <c r="K259" s="3" t="inlineStr">
        <is>
          <t>Поставлен по одноименной пьесе немецкого драматурга и писателя Леонгарда Франка (1882-1961).
Это история о любви двух людей в трудное военное время, о любви, которая побеждает все препятствия, возникая неожиданно, ниоткуда, овладевая всеми помыслами влюбленных...</t>
        </is>
      </c>
      <c r="L259" s="2" t="inlineStr">
        <is>
          <t>https://www.kino-teatr.ru/teatr/movie/107439/annot/</t>
        </is>
      </c>
      <c r="M259" s="2">
        <f>HYPERLINK("https://ru.wikipedia.org/w/index.php?search=%D0%9A%D0%B0%D1%80%D0%BB%20%D0%B8%20%D0%90%D0%BD%D0%BD%D0%B0%201981%20%D1%84%D0%B8%D0%BB%D1%8C%D0%BC","искать")</f>
        <v/>
      </c>
      <c r="N259" s="3" t="n"/>
      <c r="O259" s="2" t="n"/>
      <c r="P259" s="2" t="n"/>
    </row>
    <row r="260">
      <c r="A260" s="2" t="n">
        <v>259</v>
      </c>
      <c r="B260" s="2" t="inlineStr">
        <is>
          <t>обрыв</t>
        </is>
      </c>
      <c r="C260" s="2" t="n">
        <v>10966</v>
      </c>
      <c r="D260" s="3" t="inlineStr">
        <is>
          <t>Рудин</t>
        </is>
      </c>
      <c r="E260" s="2" t="n">
        <v>1982</v>
      </c>
      <c r="F260" s="2" t="inlineStr">
        <is>
          <t>фильм-спектакль</t>
        </is>
      </c>
      <c r="G260" s="2" t="inlineStr">
        <is>
          <t>Лентелефильм</t>
        </is>
      </c>
      <c r="H260" s="2" t="n">
        <v>263</v>
      </c>
      <c r="I260" s="2" t="inlineStr">
        <is>
          <t>да</t>
        </is>
      </c>
      <c r="J260" s="2" t="inlineStr"/>
      <c r="K260" s="3" t="inlineStr">
        <is>
          <t>Телеспектакль по одноименному роману Ивана Сергеевича Тургенева.
Дмитрий Николаевич Рудин, появляется в поместье богатой барыни Дарьи Михайловны Ласунской. Встреча с ним становится событием, привлекшим самое заинтересованное внимание обитателей и гостей имения...</t>
        </is>
      </c>
      <c r="L260" s="2" t="inlineStr">
        <is>
          <t>https://www.kino-teatr.ru/teatr/movie/123860/annot/</t>
        </is>
      </c>
      <c r="M260" s="2">
        <f>HYPERLINK("https://ru.wikipedia.org/w/index.php?search=%D0%A0%D1%83%D0%B4%D0%B8%D0%BD%201982%20%D1%84%D0%B8%D0%BB%D1%8C%D0%BC","искать")</f>
        <v/>
      </c>
      <c r="N260" s="3" t="n"/>
      <c r="O260" s="2" t="n"/>
      <c r="P260" s="2" t="n"/>
    </row>
    <row r="261">
      <c r="A261" s="2" t="n">
        <v>260</v>
      </c>
      <c r="B261" s="2" t="inlineStr">
        <is>
          <t>обрыв</t>
        </is>
      </c>
      <c r="C261" s="2" t="n">
        <v>8821</v>
      </c>
      <c r="D261" s="3" t="inlineStr">
        <is>
          <t>Мария Магдалина</t>
        </is>
      </c>
      <c r="E261" s="2" t="n">
        <v>1990</v>
      </c>
      <c r="F261" s="2" t="inlineStr">
        <is>
          <t>кинофильм</t>
        </is>
      </c>
      <c r="G261" s="2" t="n"/>
      <c r="H261" s="2" t="n">
        <v>264</v>
      </c>
      <c r="I261" s="2" t="inlineStr">
        <is>
          <t>да</t>
        </is>
      </c>
      <c r="J261" s="2" t="inlineStr"/>
      <c r="K261" s="3" t="inlineStr">
        <is>
          <t>Муж героини трагически погиб в море - и теперь ее жизнь постепенно превращается в бесконечную цепь унижений. Неустроенность, невозможность защитить себя и свою дочь от повседневного грубого обмана приводят к тому, что одинокая женщина становится портовой шлюхой...</t>
        </is>
      </c>
      <c r="L261" s="2" t="inlineStr">
        <is>
          <t>Кино_СССР сводный каталог.xlsx: список фильмов (доп.)</t>
        </is>
      </c>
      <c r="M261" s="2">
        <f>HYPERLINK("https://ru.wikipedia.org/w/index.php?search=%D0%9C%D0%B0%D1%80%D0%B8%D1%8F%20%D0%9C%D0%B0%D0%B3%D0%B4%D0%B0%D0%BB%D0%B8%D0%BD%D0%B0%201990%20%D1%84%D0%B8%D0%BB%D1%8C%D0%BC","искать")</f>
        <v/>
      </c>
      <c r="N261" s="3" t="n"/>
      <c r="O261" s="2" t="n"/>
      <c r="P261" s="2" t="n"/>
    </row>
    <row r="262">
      <c r="A262" s="2" t="n">
        <v>261</v>
      </c>
      <c r="B262" s="2" t="inlineStr">
        <is>
          <t>обрыв</t>
        </is>
      </c>
      <c r="C262" s="2" t="n">
        <v>14430</v>
      </c>
      <c r="D262" s="3" t="inlineStr">
        <is>
          <t>Преступление лорда Артура Сэвила</t>
        </is>
      </c>
      <c r="E262" s="2" t="n">
        <v>1991</v>
      </c>
      <c r="F262" s="2" t="inlineStr">
        <is>
          <t>мультфильм</t>
        </is>
      </c>
      <c r="G262" s="2" t="inlineStr">
        <is>
          <t>СОЮЗТЕЛЕФИЛЬМ</t>
        </is>
      </c>
      <c r="H262" s="2" t="n">
        <v>265</v>
      </c>
      <c r="I262" s="2" t="inlineStr">
        <is>
          <t>да</t>
        </is>
      </c>
      <c r="J262" s="2" t="inlineStr"/>
      <c r="K262" s="3" t="inlineStr">
        <is>
          <t>По мотивам одноименной новеллы Оскара Уайльда. Лорду Артуру Сэвилу "звезда хиромантии" мистер Поджерс предсказал совершение убийства. Потрясенный лорд Артур решил во что бы то ни стало совершить его до своей свадьбы, которая должна состояться в ближайший четверг...</t>
        </is>
      </c>
      <c r="L262" s="2" t="inlineStr">
        <is>
          <t>https://animator.ru/db/?p=show_film&amp;fid=6672</t>
        </is>
      </c>
      <c r="M262" s="2">
        <f>HYPERLINK("https://ru.wikipedia.org/w/index.php?search=%D0%9F%D1%80%D0%B5%D1%81%D1%82%D1%83%D0%BF%D0%BB%D0%B5%D0%BD%D0%B8%D0%B5%20%D0%BB%D0%BE%D1%80%D0%B4%D0%B0%20%D0%90%D1%80%D1%82%D1%83%D1%80%D0%B0%20%D0%A1%D1%8D%D0%B2%D0%B8%D0%BB%D0%B0%201991%20%D1%84%D0%B8%D0%BB%D1%8C%D0%BC","искать")</f>
        <v/>
      </c>
      <c r="N262" s="3" t="n"/>
      <c r="O262" s="2" t="n"/>
      <c r="P262" s="2" t="n"/>
    </row>
    <row r="263">
      <c r="A263" s="2" t="n">
        <v>262</v>
      </c>
      <c r="B263" s="2" t="inlineStr">
        <is>
          <t>обрыв</t>
        </is>
      </c>
      <c r="C263" s="2" t="n">
        <v>10720</v>
      </c>
      <c r="D263" s="3" t="inlineStr">
        <is>
          <t>Чао!</t>
        </is>
      </c>
      <c r="E263" s="2" t="n">
        <v>1977</v>
      </c>
      <c r="F263" s="2" t="inlineStr">
        <is>
          <t>фильм-спектакль</t>
        </is>
      </c>
      <c r="G263" s="2" t="inlineStr">
        <is>
          <t>Главная редакция литературно-драматических программ ЦТ</t>
        </is>
      </c>
      <c r="H263" s="2" t="n">
        <v>266</v>
      </c>
      <c r="I263" s="2" t="inlineStr">
        <is>
          <t>да</t>
        </is>
      </c>
      <c r="J263" s="2" t="inlineStr"/>
      <c r="K263" s="3" t="inlineStr">
        <is>
          <t>По пьесе французского драматурга Мари-Жильбера Соважона "Чао!".
Жером Куфисель, глава фирмы покупает мощный компьютер и увольняет ряд сотрудников, в том числе служащего Мартине. Однако судьба коварна: Софи, дочь Жерома Куфиселя, влюбляется в Венсана, сына Мартине...</t>
        </is>
      </c>
      <c r="L263" s="2" t="inlineStr">
        <is>
          <t>https://www.kino-teatr.ru/teatr/movie/14266/annot/</t>
        </is>
      </c>
      <c r="M263" s="2">
        <f>HYPERLINK("https://ru.wikipedia.org/w/index.php?search=%D0%A7%D0%B0%D0%BE%21%201977%20%D1%84%D0%B8%D0%BB%D1%8C%D0%BC","искать")</f>
        <v/>
      </c>
      <c r="N263" s="3" t="n"/>
      <c r="O263" s="2" t="n"/>
      <c r="P263" s="2" t="n"/>
    </row>
    <row r="264">
      <c r="A264" s="2" t="n">
        <v>263</v>
      </c>
      <c r="B264" s="2" t="inlineStr">
        <is>
          <t>обрыв</t>
        </is>
      </c>
      <c r="C264" s="2" t="n">
        <v>7756</v>
      </c>
      <c r="D264" s="3" t="inlineStr">
        <is>
          <t>Короткая игра</t>
        </is>
      </c>
      <c r="E264" s="2" t="n">
        <v>1990</v>
      </c>
      <c r="F264" s="2" t="inlineStr">
        <is>
          <t>телефильм</t>
        </is>
      </c>
      <c r="G264" s="2" t="n"/>
      <c r="H264" s="2" t="n">
        <v>268</v>
      </c>
      <c r="I264" s="2" t="inlineStr">
        <is>
          <t>да</t>
        </is>
      </c>
      <c r="J264" s="2" t="inlineStr"/>
      <c r="K264" s="3" t="inlineStr">
        <is>
          <t>Поблекший от беспросветно серой жизни архитектор встречает друга детства и приходит в недоумение от его шикарного существования. Но ничего не просит и даже отказывается от помощи. Однако решается на дикий и непонятный шаг: крадет у него сына и требует за него выкуп...</t>
        </is>
      </c>
      <c r="L264" s="2" t="inlineStr">
        <is>
          <t>Кино_СССР сводный каталог.xlsx: список телефильмов</t>
        </is>
      </c>
      <c r="M264" s="2">
        <f>HYPERLINK("https://ru.wikipedia.org/w/index.php?search=%D0%9A%D0%BE%D1%80%D0%BE%D1%82%D0%BA%D0%B0%D1%8F%20%D0%B8%D0%B3%D1%80%D0%B0%201990%20%D1%84%D0%B8%D0%BB%D1%8C%D0%BC","искать")</f>
        <v/>
      </c>
      <c r="N264" s="3" t="n"/>
      <c r="O264" s="2" t="n"/>
      <c r="P264" s="2" t="n"/>
    </row>
    <row r="265">
      <c r="A265" s="2" t="n">
        <v>264</v>
      </c>
      <c r="B265" s="2" t="inlineStr">
        <is>
          <t>обрыв</t>
        </is>
      </c>
      <c r="C265" s="2" t="n">
        <v>9944</v>
      </c>
      <c r="D265" s="3" t="inlineStr">
        <is>
          <t>Новоселье</t>
        </is>
      </c>
      <c r="E265" s="2" t="n">
        <v>1979</v>
      </c>
      <c r="F265" s="2" t="inlineStr">
        <is>
          <t>телефильм</t>
        </is>
      </c>
      <c r="G265" s="2" t="inlineStr">
        <is>
          <t>"Белтелефильм"</t>
        </is>
      </c>
      <c r="H265" s="2" t="n">
        <v>268</v>
      </c>
      <c r="I265" s="2" t="inlineStr">
        <is>
          <t>да</t>
        </is>
      </c>
      <c r="J265" s="2" t="inlineStr"/>
      <c r="K265" s="3" t="inlineStr">
        <is>
          <t>Молодая семья забирает к себе бабушку. Ведь городскую квартиру нужно обставить новой мебелью, которую они покупают на вырученные деньги от продажи деревенского дома. Вот только сын с невесткой никак не могут найти бабушке подходящего места в своей просторной квартире…</t>
        </is>
      </c>
      <c r="L265" s="2" t="inlineStr">
        <is>
          <t>https://www.kino-teatr.ru/short/movie/sov/92664/annot/</t>
        </is>
      </c>
      <c r="M265" s="2">
        <f>HYPERLINK("https://ru.wikipedia.org/w/index.php?search=%D0%9D%D0%BE%D0%B2%D0%BE%D1%81%D0%B5%D0%BB%D1%8C%D0%B5%201979%20%D1%84%D0%B8%D0%BB%D1%8C%D0%BC","искать")</f>
        <v/>
      </c>
      <c r="N265" s="3" t="n"/>
      <c r="O265" s="2" t="n"/>
      <c r="P265" s="2" t="n"/>
    </row>
    <row r="266">
      <c r="A266" s="2" t="n">
        <v>265</v>
      </c>
      <c r="B266" s="2" t="inlineStr">
        <is>
          <t>обрыв</t>
        </is>
      </c>
      <c r="C266" s="2" t="n">
        <v>7338</v>
      </c>
      <c r="D266" s="3" t="inlineStr">
        <is>
          <t>Взятка. Из блокнота журналиста В.Цветкова</t>
        </is>
      </c>
      <c r="E266" s="2" t="n">
        <v>1983</v>
      </c>
      <c r="F266" s="2" t="inlineStr">
        <is>
          <t>телефильм</t>
        </is>
      </c>
      <c r="G266" s="2" t="inlineStr">
        <is>
          <t>Творческое объединение «Экран»</t>
        </is>
      </c>
      <c r="H266" s="2" t="n">
        <v>269</v>
      </c>
      <c r="I266" s="2" t="inlineStr">
        <is>
          <t>да</t>
        </is>
      </c>
      <c r="J266" s="2" t="inlineStr"/>
      <c r="K266" s="3" t="inlineStr">
        <is>
          <t>Работники райжилотдела Курихин и Оловянникова вымогают взятки у тех, кому по праву предоставляются квартиры. Так они поступают и с семьей ветерана войны Михова. Узнав, что его дочь дала взятку, Михов, человек безупречной честности, не может пережить этого беззакония...</t>
        </is>
      </c>
      <c r="L266" s="2" t="inlineStr">
        <is>
          <t>Кино_СССР сводный каталог.xlsx: список телефильмов</t>
        </is>
      </c>
      <c r="M266" s="2">
        <f>HYPERLINK("https://ru.wikipedia.org/w/index.php?search=%D0%92%D0%B7%D1%8F%D1%82%D0%BA%D0%B0.%20%D0%98%D0%B7%20%D0%B1%D0%BB%D0%BE%D0%BA%D0%BD%D0%BE%D1%82%D0%B0%20%D0%B6%D1%83%D1%80%D0%BD%D0%B0%D0%BB%D0%B8%D1%81%D1%82%D0%B0%20%D0%92.%D0%A6%D0%B2%D0%B5%D1%82%D0%BA%D0%BE%D0%B2%D0%B0%201983%20%D1%84%D0%B8%D0%BB%D1%8C%D0%BC","искать")</f>
        <v/>
      </c>
      <c r="N266" s="3" t="n"/>
      <c r="O266" s="2" t="n"/>
      <c r="P266" s="2" t="n"/>
    </row>
    <row r="267">
      <c r="A267" s="2" t="n">
        <v>266</v>
      </c>
      <c r="B267" s="2" t="inlineStr">
        <is>
          <t>обрыв</t>
        </is>
      </c>
      <c r="C267" s="2" t="n">
        <v>8648</v>
      </c>
      <c r="D267" s="3" t="inlineStr">
        <is>
          <t>Верный Руслан (История караульной собаки)</t>
        </is>
      </c>
      <c r="E267" s="2" t="n">
        <v>1991</v>
      </c>
      <c r="F267" s="2" t="inlineStr">
        <is>
          <t>кинофильм</t>
        </is>
      </c>
      <c r="G267" s="2" t="n"/>
      <c r="H267" s="2" t="n">
        <v>269</v>
      </c>
      <c r="I267" s="2" t="inlineStr">
        <is>
          <t>да</t>
        </is>
      </c>
      <c r="J267" s="2" t="inlineStr"/>
      <c r="K267" s="3" t="inlineStr">
        <is>
          <t>По одноимённой повести Георгия Владимова о немецкой овчарке по кличке Руслан, в числе прочих караульных собак задействованной в охране лагеря заключённых. После расформирования лагеря собаки оказываются предоставлены сами себе и пытаются приспособиться к новой жизни...</t>
        </is>
      </c>
      <c r="L267" s="2" t="inlineStr">
        <is>
          <t>Кино_СССР сводный каталог.xlsx: список фильмов (доп.)</t>
        </is>
      </c>
      <c r="M267" s="2">
        <f>HYPERLINK("https://ru.wikipedia.org/w/index.php?search=%D0%92%D0%B5%D1%80%D0%BD%D1%8B%D0%B9%20%D0%A0%D1%83%D1%81%D0%BB%D0%B0%D0%BD%20%28%D0%98%D1%81%D1%82%D0%BE%D1%80%D0%B8%D1%8F%20%D0%BA%D0%B0%D1%80%D0%B0%D1%83%D0%BB%D1%8C%D0%BD%D0%BE%D0%B9%20%D1%81%D0%BE%D0%B1%D0%B0%D0%BA%D0%B8%29%201991%20%D1%84%D0%B8%D0%BB%D1%8C%D0%BC","искать")</f>
        <v/>
      </c>
      <c r="N267" s="3" t="n"/>
      <c r="O267" s="2" t="n"/>
      <c r="P267" s="2" t="n"/>
    </row>
    <row r="268">
      <c r="A268" s="2" t="n">
        <v>267</v>
      </c>
      <c r="B268" s="2" t="inlineStr">
        <is>
          <t>обрыв</t>
        </is>
      </c>
      <c r="C268" s="2" t="n">
        <v>9280</v>
      </c>
      <c r="D268" s="3" t="inlineStr">
        <is>
          <t>Волчья стая</t>
        </is>
      </c>
      <c r="E268" s="2" t="n">
        <v>1990</v>
      </c>
      <c r="F268" s="2" t="inlineStr">
        <is>
          <t>кинофильм</t>
        </is>
      </c>
      <c r="G268" s="2" t="n"/>
      <c r="H268" s="2" t="n">
        <v>270</v>
      </c>
      <c r="I268" s="2" t="inlineStr">
        <is>
          <t>да</t>
        </is>
      </c>
      <c r="J268" s="2" t="inlineStr">
        <is>
          <t>да</t>
        </is>
      </c>
      <c r="K268" s="3" t="inlineStr">
        <is>
          <t>После того, как в Ираке было применено против курдов химическое оружие, многие погибли, а многие вместе с семьями покинули отравленные земли и укрылись в горах. Но и там они не находят покоя. Теперь их преследуют волки и каждая ночь - это время страха и ожидания утра...</t>
        </is>
      </c>
      <c r="L268" s="2" t="inlineStr">
        <is>
          <t>Кино_СССР сводный каталог.xlsx: список фильмов (доп.)</t>
        </is>
      </c>
      <c r="M268" s="2">
        <f>HYPERLINK("https://ru.wikipedia.org/w/index.php?search=%D0%92%D0%BE%D0%BB%D1%87%D1%8C%D1%8F%20%D1%81%D1%82%D0%B0%D1%8F%201990%20%D1%84%D0%B8%D0%BB%D1%8C%D0%BC","искать")</f>
        <v/>
      </c>
      <c r="N268" s="3" t="n"/>
      <c r="O268" s="2" t="n"/>
      <c r="P268" s="2" t="n"/>
    </row>
    <row r="269">
      <c r="A269" s="2" t="n">
        <v>268</v>
      </c>
      <c r="B269" s="2" t="inlineStr">
        <is>
          <t>обрыв</t>
        </is>
      </c>
      <c r="C269" s="2" t="n">
        <v>9297</v>
      </c>
      <c r="D269" s="3" t="inlineStr">
        <is>
          <t>Высший класс</t>
        </is>
      </c>
      <c r="E269" s="2" t="n">
        <v>1991</v>
      </c>
      <c r="F269" s="2" t="inlineStr">
        <is>
          <t>кинофильм</t>
        </is>
      </c>
      <c r="G269" s="2" t="inlineStr">
        <is>
          <t>Антарес-Фильм, Издат-Банк</t>
        </is>
      </c>
      <c r="H269" s="2" t="n">
        <v>270</v>
      </c>
      <c r="I269" s="2" t="inlineStr">
        <is>
          <t>да</t>
        </is>
      </c>
      <c r="J269" s="2" t="inlineStr"/>
      <c r="K269" s="3" t="inlineStr">
        <is>
          <t>Милашка Верочка (потом она станет Верой Павловной)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is>
      </c>
      <c r="L269" s="2" t="inlineStr">
        <is>
          <t>Кино_СССР сводный каталог.xlsx: список фильмов (доп.)</t>
        </is>
      </c>
      <c r="M269" s="2">
        <f>HYPERLINK("https://ru.wikipedia.org/w/index.php?search=%D0%92%D1%8B%D1%81%D1%88%D0%B8%D0%B9%20%D0%BA%D0%BB%D0%B0%D1%81%D1%81%201991%20%D1%84%D0%B8%D0%BB%D1%8C%D0%BC","искать")</f>
        <v/>
      </c>
      <c r="N269" s="3" t="n"/>
      <c r="O269" s="2" t="n"/>
      <c r="P269" s="2" t="n"/>
    </row>
    <row r="270">
      <c r="A270" s="2" t="n">
        <v>269</v>
      </c>
      <c r="B270" s="2" t="inlineStr">
        <is>
          <t>обрыв</t>
        </is>
      </c>
      <c r="C270" s="2" t="n">
        <v>8176</v>
      </c>
      <c r="D270" s="3" t="inlineStr">
        <is>
          <t>Посылка для Светланы</t>
        </is>
      </c>
      <c r="E270" s="2" t="n">
        <v>1974</v>
      </c>
      <c r="F270" s="2" t="inlineStr">
        <is>
          <t>телефильм</t>
        </is>
      </c>
      <c r="G270" s="2" t="n"/>
      <c r="H270" s="2" t="n">
        <v>271</v>
      </c>
      <c r="I270" s="2" t="inlineStr">
        <is>
          <t>да</t>
        </is>
      </c>
      <c r="J270" s="2" t="inlineStr"/>
      <c r="K270" s="3" t="inlineStr">
        <is>
          <t>Телефильм. Скромная девушка Светлана на свою беду связалась с бывалой аферисткой-спекулянткой, муж которой привозил из разных стран дорогие вещи, все привезенное они продавали втридорога. Вскоре чрезмерное увлечение Светланы шмотками привело и к ее духовному обнищанию...</t>
        </is>
      </c>
      <c r="L270" s="2" t="inlineStr">
        <is>
          <t>Кино_СССР сводный каталог.xlsx: список телефильмов</t>
        </is>
      </c>
      <c r="M270" s="2">
        <f>HYPERLINK("https://ru.wikipedia.org/w/index.php?search=%D0%9F%D0%BE%D1%81%D1%8B%D0%BB%D0%BA%D0%B0%20%D0%B4%D0%BB%D1%8F%20%D0%A1%D0%B2%D0%B5%D1%82%D0%BB%D0%B0%D0%BD%D1%8B%201974%20%D1%84%D0%B8%D0%BB%D1%8C%D0%BC","искать")</f>
        <v/>
      </c>
      <c r="N270" s="3" t="n"/>
      <c r="O270" s="2" t="n"/>
      <c r="P270" s="2" t="n"/>
    </row>
    <row r="271">
      <c r="A271" s="2" t="n">
        <v>270</v>
      </c>
      <c r="B271" s="2" t="inlineStr">
        <is>
          <t>обрыв</t>
        </is>
      </c>
      <c r="C271" s="2" t="n">
        <v>10103</v>
      </c>
      <c r="D271" s="3" t="inlineStr">
        <is>
          <t>Четвёртый</t>
        </is>
      </c>
      <c r="E271" s="2" t="n">
        <v>1962</v>
      </c>
      <c r="F271" s="2" t="inlineStr">
        <is>
          <t>фильм-спектакль</t>
        </is>
      </c>
      <c r="G271" s="2" t="inlineStr">
        <is>
          <t>Новосибирская студия телевидения</t>
        </is>
      </c>
      <c r="H271" s="2" t="n">
        <v>271</v>
      </c>
      <c r="I271" s="2" t="inlineStr">
        <is>
          <t>да</t>
        </is>
      </c>
      <c r="J271" s="2" t="inlineStr"/>
      <c r="K271" s="3" t="inlineStr">
        <is>
          <t>По одноименной пьесе Константина Симонова.
Американский журналист волей обстоятельств узнает преступные планы сторонников войны и должен сделать выбор: предать огласке эту информацию, рискуя при этом лишиться всех благ, которых добился за последние годы, или отступить...</t>
        </is>
      </c>
      <c r="L271" s="2" t="inlineStr">
        <is>
          <t>https://www.kino-teatr.ru/teatr/movie/119400/annot/</t>
        </is>
      </c>
      <c r="M271" s="2">
        <f>HYPERLINK("https://ru.wikipedia.org/w/index.php?search=%D0%A7%D0%B5%D1%82%D0%B2%D1%91%D1%80%D1%82%D1%8B%D0%B9%201962%20%D1%84%D0%B8%D0%BB%D1%8C%D0%BC","искать")</f>
        <v/>
      </c>
      <c r="N271" s="3" t="n"/>
      <c r="O271" s="2" t="n"/>
      <c r="P271" s="2" t="n"/>
    </row>
    <row r="272">
      <c r="A272" s="2" t="n">
        <v>271</v>
      </c>
      <c r="B272" s="2" t="inlineStr">
        <is>
          <t>обрыв</t>
        </is>
      </c>
      <c r="C272" s="2" t="n">
        <v>10923</v>
      </c>
      <c r="D272" s="3" t="inlineStr">
        <is>
          <t>Фамильная реликвия</t>
        </is>
      </c>
      <c r="E272" s="2" t="n">
        <v>1981</v>
      </c>
      <c r="F272" s="2" t="inlineStr">
        <is>
          <t>фильм-спектакль</t>
        </is>
      </c>
      <c r="G272" s="2" t="inlineStr">
        <is>
          <t>Ленинградское телевидение</t>
        </is>
      </c>
      <c r="H272" s="2" t="n">
        <v>271</v>
      </c>
      <c r="I272" s="2" t="inlineStr">
        <is>
          <t>да</t>
        </is>
      </c>
      <c r="J272" s="2" t="inlineStr"/>
      <c r="K272" s="3" t="inlineStr">
        <is>
          <t>По мотивам одноименной повести Анатолия Жаренова.
Сокровища... Их блеск завораживает, лишает рассудка, особенно, если это уникальные старинные ценности, случайно доставшиеся тому, кто не имеет понятия об их истинной стоимости. Ради них ловкие авантюристы готовы на все...</t>
        </is>
      </c>
      <c r="L272" s="2" t="inlineStr">
        <is>
          <t>https://www.kino-teatr.ru/teatr/movie/131474/annot/</t>
        </is>
      </c>
      <c r="M272" s="2">
        <f>HYPERLINK("https://ru.wikipedia.org/w/index.php?search=%D0%A4%D0%B0%D0%BC%D0%B8%D0%BB%D1%8C%D0%BD%D0%B0%D1%8F%20%D1%80%D0%B5%D0%BB%D0%B8%D0%BA%D0%B2%D0%B8%D1%8F%201981%20%D1%84%D0%B8%D0%BB%D1%8C%D0%BC","искать")</f>
        <v/>
      </c>
      <c r="N272" s="3" t="n"/>
      <c r="O272" s="2" t="n"/>
      <c r="P272" s="2" t="n"/>
    </row>
    <row r="273">
      <c r="A273" s="2" t="n">
        <v>272</v>
      </c>
      <c r="B273" s="2" t="inlineStr">
        <is>
          <t>обрыв</t>
        </is>
      </c>
      <c r="C273" s="2" t="n">
        <v>8291</v>
      </c>
      <c r="D273" s="3" t="inlineStr">
        <is>
          <t>Рядом с вами</t>
        </is>
      </c>
      <c r="E273" s="2" t="n">
        <v>1986</v>
      </c>
      <c r="F273" s="2" t="inlineStr">
        <is>
          <t>телефильм</t>
        </is>
      </c>
      <c r="G273" s="2" t="n"/>
      <c r="H273" s="2" t="n">
        <v>272</v>
      </c>
      <c r="I273" s="2" t="inlineStr">
        <is>
          <t>да</t>
        </is>
      </c>
      <c r="J273" s="2" t="inlineStr"/>
      <c r="K273" s="3" t="inlineStr">
        <is>
          <t>Лирическая комедия по мотивам рассказов Сергея Баруздина. Про добрую фею, которая стремится помочь всем и каждому. В фильме — это восемнадцатилетняя Леля. После окончания школы девушка работает в прачечной и ничего постыдного в этом не видит. Какова жизнь, такова и фея...</t>
        </is>
      </c>
      <c r="L273" s="2" t="inlineStr">
        <is>
          <t>Кино_СССР сводный каталог.xlsx: список телефильмов</t>
        </is>
      </c>
      <c r="M273" s="2">
        <f>HYPERLINK("https://ru.wikipedia.org/w/index.php?search=%D0%A0%D1%8F%D0%B4%D0%BE%D0%BC%20%D1%81%20%D0%B2%D0%B0%D0%BC%D0%B8%201986%20%D1%84%D0%B8%D0%BB%D1%8C%D0%BC","искать")</f>
        <v/>
      </c>
      <c r="N273" s="3" t="n"/>
      <c r="O273" s="2" t="n"/>
      <c r="P273" s="2" t="n"/>
    </row>
    <row r="274">
      <c r="A274" s="2" t="n">
        <v>273</v>
      </c>
      <c r="B274" s="2" t="inlineStr">
        <is>
          <t>обрыв</t>
        </is>
      </c>
      <c r="C274" s="2" t="n">
        <v>9091</v>
      </c>
      <c r="D274" s="3" t="inlineStr">
        <is>
          <t>Там, где небо лежит на земле</t>
        </is>
      </c>
      <c r="E274" s="2" t="n">
        <v>1989</v>
      </c>
      <c r="F274" s="2" t="inlineStr">
        <is>
          <t>кинофильм</t>
        </is>
      </c>
      <c r="G274" s="2" t="n"/>
      <c r="H274" s="2" t="n">
        <v>272</v>
      </c>
      <c r="I274" s="2" t="inlineStr">
        <is>
          <t>да</t>
        </is>
      </c>
      <c r="J274" s="2" t="inlineStr"/>
      <c r="K274" s="3" t="inlineStr">
        <is>
          <t>Дед Самсон прожил интересную жизнь — и с турками воевал, и с фашистами. А сейчас, когда воевать не с кем и дети выросли, дела себе найти не смог — и потребовал преждевременный памятник себе на могиле. Так извел любимого внука, что тот прыгнул с крыши деревенской церкви...</t>
        </is>
      </c>
      <c r="L274" s="2" t="inlineStr">
        <is>
          <t>Кино_СССР сводный каталог.xlsx: список фильмов (доп.)</t>
        </is>
      </c>
      <c r="M274" s="2">
        <f>HYPERLINK("https://ru.wikipedia.org/w/index.php?search=%D0%A2%D0%B0%D0%BC%2C%20%D0%B3%D0%B4%D0%B5%20%D0%BD%D0%B5%D0%B1%D0%BE%20%D0%BB%D0%B5%D0%B6%D0%B8%D1%82%20%D0%BD%D0%B0%20%D0%B7%D0%B5%D0%BC%D0%BB%D0%B5%201989%20%D1%84%D0%B8%D0%BB%D1%8C%D0%BC","искать")</f>
        <v/>
      </c>
      <c r="N274" s="3" t="n"/>
      <c r="O274" s="2" t="n"/>
      <c r="P274" s="2" t="inlineStr">
        <is>
          <t>ГФФ: «ТАМ, ГДЕ НЕБО ЛЕЖИТ НА ЗЕМЛЕ» 1990 — год отличается, проверить — по сверке другой фильм, не предложено</t>
        </is>
      </c>
    </row>
    <row r="275">
      <c r="A275" s="2" t="n">
        <v>274</v>
      </c>
      <c r="B275" s="2" t="inlineStr">
        <is>
          <t>обрыв</t>
        </is>
      </c>
      <c r="C275" s="2" t="n">
        <v>9561</v>
      </c>
      <c r="D275" s="3" t="inlineStr">
        <is>
          <t>Подарок на именины</t>
        </is>
      </c>
      <c r="E275" s="2" t="n">
        <v>1991</v>
      </c>
      <c r="F275" s="2" t="inlineStr">
        <is>
          <t>кинофильм</t>
        </is>
      </c>
      <c r="G275" s="2" t="n"/>
      <c r="H275" s="2" t="n">
        <v>272</v>
      </c>
      <c r="I275" s="2" t="inlineStr">
        <is>
          <t>да</t>
        </is>
      </c>
      <c r="J275" s="2" t="inlineStr"/>
      <c r="K275" s="3" t="inlineStr">
        <is>
          <t>По мотивам произведений Михаила Коцюбинского. Молодая революционерка осуществила теракт. Её ждёт смертный приговор. Полицейский надзиратель, который арестовал девушку, дарит своему маленькому сыну на именины довольно необычный подарок - берёт мальчика на смертную казнь...</t>
        </is>
      </c>
      <c r="L275" s="2" t="inlineStr">
        <is>
          <t>Кино_СССР сводный каталог.xlsx: список фильмов (доп.)</t>
        </is>
      </c>
      <c r="M275" s="2">
        <f>HYPERLINK("https://ru.wikipedia.org/w/index.php?search=%D0%9F%D0%BE%D0%B4%D0%B0%D1%80%D0%BE%D0%BA%20%D0%BD%D0%B0%20%D0%B8%D0%BC%D0%B5%D0%BD%D0%B8%D0%BD%D1%8B%201991%20%D1%84%D0%B8%D0%BB%D1%8C%D0%BC","искать")</f>
        <v/>
      </c>
      <c r="N275" s="3" t="n"/>
      <c r="O275" s="2" t="n"/>
      <c r="P275" s="2" t="n"/>
    </row>
    <row r="276">
      <c r="A276" s="2" t="n">
        <v>275</v>
      </c>
      <c r="B276" s="2" t="inlineStr">
        <is>
          <t>обрыв</t>
        </is>
      </c>
      <c r="C276" s="2" t="n">
        <v>11025</v>
      </c>
      <c r="D276" s="3" t="inlineStr">
        <is>
          <t>Антигона</t>
        </is>
      </c>
      <c r="E276" s="2" t="n">
        <v>1984</v>
      </c>
      <c r="F276" s="2" t="inlineStr">
        <is>
          <t>фильм-спектакль</t>
        </is>
      </c>
      <c r="G276" s="2" t="inlineStr">
        <is>
          <t>Radiotelevisão Portuguesa (RTP)</t>
        </is>
      </c>
      <c r="H276" s="2" t="n">
        <v>272</v>
      </c>
      <c r="I276" s="2" t="inlineStr">
        <is>
          <t>да</t>
        </is>
      </c>
      <c r="J276" s="2" t="inlineStr">
        <is>
          <t>да</t>
        </is>
      </c>
      <c r="K276" s="3" t="inlineStr">
        <is>
          <t>По одноименной пьесе французского драматурга Жана Ануя.
В 1943 году Жан Ануй на основе трагедии Софокла написал свою "Антигону" — античная драма стала для Ануя тем эзоповым языком, который позволил ему в оккупированном Париже призвать со сцены к неподчинению оккупантам...</t>
        </is>
      </c>
      <c r="L276" s="2" t="inlineStr">
        <is>
          <t>https://www.kino-teatr.ru/teatr/movie/129449/annot/</t>
        </is>
      </c>
      <c r="M276" s="2">
        <f>HYPERLINK("https://ru.wikipedia.org/w/index.php?search=%D0%90%D0%BD%D1%82%D0%B8%D0%B3%D0%BE%D0%BD%D0%B0%201984%20%D1%84%D0%B8%D0%BB%D1%8C%D0%BC","искать")</f>
        <v/>
      </c>
      <c r="N276" s="3" t="n"/>
      <c r="O276" s="2" t="n"/>
      <c r="P276" s="2" t="n"/>
    </row>
    <row r="277">
      <c r="A277" s="2" t="n">
        <v>276</v>
      </c>
      <c r="B277" s="2" t="inlineStr">
        <is>
          <t>обрыв</t>
        </is>
      </c>
      <c r="C277" s="2" t="n">
        <v>9022</v>
      </c>
      <c r="D277" s="3" t="inlineStr">
        <is>
          <t>Русская рулетка</t>
        </is>
      </c>
      <c r="E277" s="2" t="n">
        <v>1990</v>
      </c>
      <c r="F277" s="2" t="inlineStr">
        <is>
          <t>кинофильм</t>
        </is>
      </c>
      <c r="G277" s="2" t="n"/>
      <c r="H277" s="2" t="n">
        <v>273</v>
      </c>
      <c r="I277" s="2" t="inlineStr">
        <is>
          <t>да</t>
        </is>
      </c>
      <c r="J277" s="2" t="inlineStr"/>
      <c r="K277" s="3" t="inlineStr">
        <is>
          <t>Герои фильма - "прожигатели жизни" Малышка и Стас - живут на свете не самым праведным способом: обкрадывают богатых соотечественников. Для них мало что имеет значение в этой жизни, кроме любви друг к другу. Прозрение приходит поздно - его цена оказывается слишком высока...</t>
        </is>
      </c>
      <c r="L277" s="2" t="inlineStr">
        <is>
          <t>Кино_СССР сводный каталог.xlsx: список фильмов (доп.)</t>
        </is>
      </c>
      <c r="M277" s="2">
        <f>HYPERLINK("https://ru.wikipedia.org/w/index.php?search=%D0%A0%D1%83%D1%81%D1%81%D0%BA%D0%B0%D1%8F%20%D1%80%D1%83%D0%BB%D0%B5%D1%82%D0%BA%D0%B0%201990%20%D1%84%D0%B8%D0%BB%D1%8C%D0%BC","искать")</f>
        <v/>
      </c>
      <c r="N277" s="3" t="n"/>
      <c r="O277" s="2" t="n"/>
      <c r="P277" s="2" t="n"/>
    </row>
    <row r="278">
      <c r="A278" s="2" t="n">
        <v>277</v>
      </c>
      <c r="B278" s="2" t="inlineStr">
        <is>
          <t>обрыв</t>
        </is>
      </c>
      <c r="C278" s="2" t="n">
        <v>9615</v>
      </c>
      <c r="D278" s="3" t="inlineStr">
        <is>
          <t>Распятые</t>
        </is>
      </c>
      <c r="E278" s="2" t="n">
        <v>1990</v>
      </c>
      <c r="F278" s="2" t="inlineStr">
        <is>
          <t>кинофильм</t>
        </is>
      </c>
      <c r="G278" s="2" t="n"/>
      <c r="H278" s="2" t="n">
        <v>273</v>
      </c>
      <c r="I278" s="2" t="inlineStr">
        <is>
          <t>да</t>
        </is>
      </c>
      <c r="J278" s="2" t="inlineStr"/>
      <c r="K278" s="3" t="inlineStr">
        <is>
          <t>О драматической судьбе большой семьи Анны Житухи. После ареста мужа ("врага народа" 1938 года), она вернулась с детьми в родную деревню. Думала - жить будет легче. Но через какое-то время ее арестовали, детей развезли по разным приютам, оставив в деревне только старшего...</t>
        </is>
      </c>
      <c r="L278" s="2" t="inlineStr">
        <is>
          <t>Кино_СССР сводный каталог.xlsx: список фильмов (доп.)</t>
        </is>
      </c>
      <c r="M278" s="2">
        <f>HYPERLINK("https://ru.wikipedia.org/w/index.php?search=%D0%A0%D0%B0%D1%81%D0%BF%D1%8F%D1%82%D1%8B%D0%B5%201990%20%D1%84%D0%B8%D0%BB%D1%8C%D0%BC","искать")</f>
        <v/>
      </c>
      <c r="N278" s="3" t="n"/>
      <c r="O278" s="2" t="n"/>
      <c r="P278" s="2" t="n"/>
    </row>
    <row r="279">
      <c r="A279" s="2" t="n">
        <v>278</v>
      </c>
      <c r="B279" s="2" t="inlineStr">
        <is>
          <t>обрыв</t>
        </is>
      </c>
      <c r="C279" s="2" t="n">
        <v>10554</v>
      </c>
      <c r="D279" s="3" t="inlineStr">
        <is>
          <t>Господин Пунтила и его слуга Матти</t>
        </is>
      </c>
      <c r="E279" s="2" t="n">
        <v>1974</v>
      </c>
      <c r="F279" s="2" t="inlineStr">
        <is>
          <t>фильм-спектакль</t>
        </is>
      </c>
      <c r="G279" s="2" t="inlineStr">
        <is>
          <t>Центральное телевидение</t>
        </is>
      </c>
      <c r="H279" s="2" t="n">
        <v>273</v>
      </c>
      <c r="I279" s="2" t="inlineStr">
        <is>
          <t>да</t>
        </is>
      </c>
      <c r="J279" s="2" t="inlineStr"/>
      <c r="K279" s="3" t="inlineStr">
        <is>
          <t>По пьесе Бертольда Брехта в постановке Центрального академического театра Советской Армии.
Господин Пунтила добр со своими слугами только тогда, когда пьян, а в остальное время они терпят от него одни обиды. Но слуге Матти удается сохранить свое человеческое достоинство...</t>
        </is>
      </c>
      <c r="L279" s="2" t="inlineStr">
        <is>
          <t>https://www.kino-teatr.ru/teatr/movie/8930/annot/</t>
        </is>
      </c>
      <c r="M279" s="2">
        <f>HYPERLINK("https://ru.wikipedia.org/w/index.php?search=%D0%93%D0%BE%D1%81%D0%BF%D0%BE%D0%B4%D0%B8%D0%BD%20%D0%9F%D1%83%D0%BD%D1%82%D0%B8%D0%BB%D0%B0%20%D0%B8%20%D0%B5%D0%B3%D0%BE%20%D1%81%D0%BB%D1%83%D0%B3%D0%B0%20%D0%9C%D0%B0%D1%82%D1%82%D0%B8%201974%20%D1%84%D0%B8%D0%BB%D1%8C%D0%BC","искать")</f>
        <v/>
      </c>
      <c r="N279" s="3" t="n"/>
      <c r="O279" s="2" t="n"/>
      <c r="P279" s="2" t="n"/>
    </row>
    <row r="280">
      <c r="A280" s="2" t="n">
        <v>279</v>
      </c>
      <c r="B280" s="2" t="inlineStr">
        <is>
          <t>обрыв</t>
        </is>
      </c>
      <c r="C280" s="2" t="n">
        <v>8403</v>
      </c>
      <c r="D280" s="3" t="inlineStr">
        <is>
          <t>Степан Сергеич</t>
        </is>
      </c>
      <c r="E280" s="2" t="n">
        <v>1989</v>
      </c>
      <c r="F280" s="2" t="inlineStr">
        <is>
          <t>телефильм</t>
        </is>
      </c>
      <c r="G280" s="2" t="n"/>
      <c r="H280" s="2" t="n">
        <v>275</v>
      </c>
      <c r="I280" s="2" t="inlineStr">
        <is>
          <t>да</t>
        </is>
      </c>
      <c r="J280" s="2" t="inlineStr"/>
      <c r="K280" s="3" t="inlineStr">
        <is>
          <t>Фильм снят по мотивам романа Анатолия Азольского. Действие происходит в 1950-1960-е годы. Герой фильма – бывший боевой офицер – человек честный, который, куда бы ни забрасывала его судьба, вел бескомпромиссную войну со стяжателями, хотя иногда, может, и слишком прямолинейно…</t>
        </is>
      </c>
      <c r="L280" s="2" t="inlineStr">
        <is>
          <t>Кино_СССР сводный каталог.xlsx: список телефильмов</t>
        </is>
      </c>
      <c r="M280" s="2">
        <f>HYPERLINK("https://ru.wikipedia.org/w/index.php?search=%D0%A1%D1%82%D0%B5%D0%BF%D0%B0%D0%BD%20%D0%A1%D0%B5%D1%80%D0%B3%D0%B5%D0%B8%D1%87%201989%20%D1%84%D0%B8%D0%BB%D1%8C%D0%BC","искать")</f>
        <v/>
      </c>
      <c r="N280" s="3" t="n"/>
      <c r="O280" s="2" t="n"/>
      <c r="P280" s="2" t="n"/>
    </row>
    <row r="281">
      <c r="A281" s="2" t="n">
        <v>280</v>
      </c>
      <c r="B281" s="2" t="inlineStr">
        <is>
          <t>обрыв</t>
        </is>
      </c>
      <c r="C281" s="2" t="n">
        <v>10530</v>
      </c>
      <c r="D281" s="3" t="inlineStr">
        <is>
          <t>Трибунал</t>
        </is>
      </c>
      <c r="E281" s="2" t="n">
        <v>1973</v>
      </c>
      <c r="F281" s="2" t="inlineStr">
        <is>
          <t>фильм-спектакль</t>
        </is>
      </c>
      <c r="G281" s="2" t="n"/>
      <c r="H281" s="2" t="n">
        <v>275</v>
      </c>
      <c r="I281" s="2" t="inlineStr">
        <is>
          <t>да</t>
        </is>
      </c>
      <c r="J281" s="2" t="inlineStr"/>
      <c r="K281" s="3" t="inlineStr">
        <is>
          <t>По одноименной пьесе А. Макаенка в постановке Московского драматического театра на Малой Бронной.
Действие происходит в Белоруссии в годы Великой Отечественной войны. О том, как жена и дети старосты деревни, не зная, что он выполняет задание партизан судили его за измену....</t>
        </is>
      </c>
      <c r="L281" s="2" t="inlineStr">
        <is>
          <t>https://www.kino-teatr.ru/teatr/movie/81470/annot/</t>
        </is>
      </c>
      <c r="M281" s="2">
        <f>HYPERLINK("https://ru.wikipedia.org/w/index.php?search=%D0%A2%D1%80%D0%B8%D0%B1%D1%83%D0%BD%D0%B0%D0%BB%201973%20%D1%84%D0%B8%D0%BB%D1%8C%D0%BC","искать")</f>
        <v/>
      </c>
      <c r="N281" s="3" t="n"/>
      <c r="O281" s="2" t="n"/>
      <c r="P281" s="2" t="n"/>
    </row>
    <row r="282">
      <c r="A282" s="2" t="n">
        <v>281</v>
      </c>
      <c r="B282" s="2" t="inlineStr">
        <is>
          <t>обрыв</t>
        </is>
      </c>
      <c r="C282" s="2" t="n">
        <v>11357</v>
      </c>
      <c r="D282" s="3" t="inlineStr">
        <is>
          <t>Беспокойтесь, пожалуйста</t>
        </is>
      </c>
      <c r="E282" s="2" t="n">
        <v>1980</v>
      </c>
      <c r="F282" s="2" t="inlineStr">
        <is>
          <t>не игровое</t>
        </is>
      </c>
      <c r="G282" s="2" t="n"/>
      <c r="H282" s="2" t="n">
        <v>275</v>
      </c>
      <c r="I282" s="2" t="inlineStr">
        <is>
          <t>да</t>
        </is>
      </c>
      <c r="J282" s="2" t="inlineStr">
        <is>
          <t>да</t>
        </is>
      </c>
      <c r="K282" s="3" t="inlineStr">
        <is>
          <t>Телевизионная запись спектакля знаменитых юмористов-сатириков народных артистов Украинской ССР Юрия Тимошенко и Ефима Березина (дуэт Тарапунька и Штепсель)  "Беспокойтесь, пожалуйста" на сцене Дворца культуры "Украина" в Киеве. Итак, жизнь человека от рождения до старости...</t>
        </is>
      </c>
      <c r="L282" s="2" t="inlineStr">
        <is>
          <t>Кино_СССР телефильмы и пропуски включить в базу.xlsx</t>
        </is>
      </c>
      <c r="M282" s="2">
        <f>HYPERLINK("https://ru.wikipedia.org/w/index.php?search=%D0%91%D0%B5%D1%81%D0%BF%D0%BE%D0%BA%D0%BE%D0%B9%D1%82%D0%B5%D1%81%D1%8C%2C%20%D0%BF%D0%BE%D0%B6%D0%B0%D0%BB%D1%83%D0%B9%D1%81%D1%82%D0%B0%201980%20%D1%84%D0%B8%D0%BB%D1%8C%D0%BC","искать")</f>
        <v/>
      </c>
      <c r="N282" s="3" t="n"/>
      <c r="O282" s="2" t="n"/>
      <c r="P282" s="2" t="n"/>
    </row>
    <row r="283">
      <c r="A283" s="2" t="n">
        <v>282</v>
      </c>
      <c r="B283" s="2" t="inlineStr">
        <is>
          <t>обрыв</t>
        </is>
      </c>
      <c r="C283" s="2" t="n">
        <v>7649</v>
      </c>
      <c r="D283" s="3" t="inlineStr">
        <is>
          <t>Злая судьба</t>
        </is>
      </c>
      <c r="E283" s="2" t="n">
        <v>1969</v>
      </c>
      <c r="F283" s="2" t="inlineStr">
        <is>
          <t>телефильм</t>
        </is>
      </c>
      <c r="G283" s="2" t="n"/>
      <c r="H283" s="2" t="n">
        <v>276</v>
      </c>
      <c r="I283" s="2" t="inlineStr">
        <is>
          <t>да</t>
        </is>
      </c>
      <c r="J283" s="2" t="inlineStr"/>
      <c r="K283" s="3" t="inlineStr">
        <is>
          <t>По мотивам пьесы Михаила Старицкого "Цыганка Аза". Цыган Василий полюбил украинскую красавицу Галю. Забыл кочевую жизнь, мать, цыганку Азу - и решил ради Гали остаться в деревне. Галя не послушав отца, выходит за Василя замуж. Но пройдет время и Василий заскучает по табору...</t>
        </is>
      </c>
      <c r="L283" s="2" t="inlineStr">
        <is>
          <t>Кино_СССР сводный каталог.xlsx: список телефильмов</t>
        </is>
      </c>
      <c r="M283" s="2">
        <f>HYPERLINK("https://ru.wikipedia.org/w/index.php?search=%D0%97%D0%BB%D0%B0%D1%8F%20%D1%81%D1%83%D0%B4%D1%8C%D0%B1%D0%B0%201969%20%D1%84%D0%B8%D0%BB%D1%8C%D0%BC","искать")</f>
        <v/>
      </c>
      <c r="N283" s="3" t="n"/>
      <c r="O283" s="2" t="n"/>
      <c r="P283" s="2" t="n"/>
    </row>
    <row r="284">
      <c r="A284" s="2" t="n">
        <v>283</v>
      </c>
      <c r="B284" s="2" t="inlineStr">
        <is>
          <t>обрыв</t>
        </is>
      </c>
      <c r="C284" s="2" t="n">
        <v>9398</v>
      </c>
      <c r="D284" s="3" t="inlineStr">
        <is>
          <t>Испанская актриса для русского министра</t>
        </is>
      </c>
      <c r="E284" s="2" t="n">
        <v>1990</v>
      </c>
      <c r="F284" s="2" t="inlineStr">
        <is>
          <t>кинофильм</t>
        </is>
      </c>
      <c r="G284" s="2" t="n"/>
      <c r="H284" s="2" t="n">
        <v>276</v>
      </c>
      <c r="I284" s="2" t="inlineStr">
        <is>
          <t>да</t>
        </is>
      </c>
      <c r="J284" s="2" t="inlineStr"/>
      <c r="K284" s="3" t="inlineStr">
        <is>
          <t>Учитель физкультуры отправляется в турпоездку на родину своего отца в Испанию. Попав на банкет, знакомится с испанской актрисой. Новые друзья в шутку представляют его министром кино. Он же, сраженный ее красотой, приглашает актрису на встречу - обсуждение будущего сценария...</t>
        </is>
      </c>
      <c r="L284" s="2" t="inlineStr">
        <is>
          <t>Кино_СССР сводный каталог.xlsx: список фильмов (доп.)</t>
        </is>
      </c>
      <c r="M284" s="2">
        <f>HYPERLINK("https://ru.wikipedia.org/w/index.php?search=%D0%98%D1%81%D0%BF%D0%B0%D0%BD%D1%81%D0%BA%D0%B0%D1%8F%20%D0%B0%D0%BA%D1%82%D1%80%D0%B8%D1%81%D0%B0%20%D0%B4%D0%BB%D1%8F%20%D1%80%D1%83%D1%81%D1%81%D0%BA%D0%BE%D0%B3%D0%BE%20%D0%BC%D0%B8%D0%BD%D0%B8%D1%81%D1%82%D1%80%D0%B0%201990%20%D1%84%D0%B8%D0%BB%D1%8C%D0%BC","искать")</f>
        <v/>
      </c>
      <c r="N284" s="3" t="n"/>
      <c r="O284" s="2" t="n"/>
      <c r="P284" s="2" t="n"/>
    </row>
    <row r="285">
      <c r="A285" s="2" t="n">
        <v>284</v>
      </c>
      <c r="B285" s="2" t="inlineStr">
        <is>
          <t>обрыв</t>
        </is>
      </c>
      <c r="C285" s="2" t="n">
        <v>8038</v>
      </c>
      <c r="D285" s="3" t="inlineStr">
        <is>
          <t>Однофамилец</t>
        </is>
      </c>
      <c r="E285" s="2" t="n">
        <v>1978</v>
      </c>
      <c r="F285" s="2" t="inlineStr">
        <is>
          <t>телефильм</t>
        </is>
      </c>
      <c r="G285" s="2" t="n"/>
      <c r="H285" s="2" t="n">
        <v>277</v>
      </c>
      <c r="I285" s="2" t="inlineStr">
        <is>
          <t>да</t>
        </is>
      </c>
      <c r="J285" s="2" t="inlineStr"/>
      <c r="K285" s="3" t="inlineStr">
        <is>
          <t>Телефильм по одноименной повести Даниила Гранина. Имея возможность посвятить себя науке, герой фильма, талантливый инженер Кузьмин, остается работать на производстве. Борясь с бюрократией и карьеризмом, главный герой преодолевает все препятствия на пути к поставленным целям...</t>
        </is>
      </c>
      <c r="L285" s="2" t="inlineStr">
        <is>
          <t>Кино_СССР сводный каталог.xlsx: список телефильмов</t>
        </is>
      </c>
      <c r="M285" s="2">
        <f>HYPERLINK("https://ru.wikipedia.org/w/index.php?search=%D0%9E%D0%B4%D0%BD%D0%BE%D1%84%D0%B0%D0%BC%D0%B8%D0%BB%D0%B5%D1%86%201978%20%D1%84%D0%B8%D0%BB%D1%8C%D0%BC","искать")</f>
        <v/>
      </c>
      <c r="N285" s="3" t="n"/>
      <c r="O285" s="2" t="n"/>
      <c r="P285" s="2" t="n"/>
    </row>
    <row r="286">
      <c r="A286" s="2" t="n">
        <v>285</v>
      </c>
      <c r="B286" s="2" t="inlineStr">
        <is>
          <t>обрыв</t>
        </is>
      </c>
      <c r="C286" s="2" t="n">
        <v>7829</v>
      </c>
      <c r="D286" s="3" t="inlineStr">
        <is>
          <t>Любовь не прощает</t>
        </is>
      </c>
      <c r="E286" s="2" t="n">
        <v>1980</v>
      </c>
      <c r="F286" s="2" t="inlineStr">
        <is>
          <t>телефильм</t>
        </is>
      </c>
      <c r="G286" s="2" t="n"/>
      <c r="H286" s="2" t="n">
        <v>278</v>
      </c>
      <c r="I286" s="2" t="inlineStr">
        <is>
          <t>да</t>
        </is>
      </c>
      <c r="J286" s="2" t="inlineStr"/>
      <c r="K286" s="3" t="inlineStr">
        <is>
          <t>Односельчане Аджап и Мейлис полюбили друг друга. Однако родственники Аджап, приверженцы старых традиций, разлучили влюбленных. Прошли годы. Вновь встретились Аджап и Мейлис, возродились прежние чувства. Однако Аджап навсегда прощается с Мейлисом, чтобы не разрушать его семью...</t>
        </is>
      </c>
      <c r="L286" s="2" t="inlineStr">
        <is>
          <t>Кино_СССР сводный каталог.xlsx: список телефильмов</t>
        </is>
      </c>
      <c r="M286" s="2">
        <f>HYPERLINK("https://ru.wikipedia.org/w/index.php?search=%D0%9B%D1%8E%D0%B1%D0%BE%D0%B2%D1%8C%20%D0%BD%D0%B5%20%D0%BF%D1%80%D0%BE%D1%89%D0%B0%D0%B5%D1%82%201980%20%D1%84%D0%B8%D0%BB%D1%8C%D0%BC","искать")</f>
        <v/>
      </c>
      <c r="N286" s="3" t="n"/>
      <c r="O286" s="2" t="n"/>
      <c r="P286" s="2" t="n"/>
    </row>
    <row r="287">
      <c r="A287" s="2" t="n">
        <v>286</v>
      </c>
      <c r="B287" s="2" t="inlineStr">
        <is>
          <t>обрыв</t>
        </is>
      </c>
      <c r="C287" s="2" t="n">
        <v>9531</v>
      </c>
      <c r="D287" s="3" t="inlineStr">
        <is>
          <t>Отель Эдем</t>
        </is>
      </c>
      <c r="E287" s="2" t="n">
        <v>1991</v>
      </c>
      <c r="F287" s="2" t="inlineStr">
        <is>
          <t>кинофильм</t>
        </is>
      </c>
      <c r="G287" s="2" t="n"/>
      <c r="H287" s="2" t="n">
        <v>278</v>
      </c>
      <c r="I287" s="2" t="inlineStr">
        <is>
          <t>да</t>
        </is>
      </c>
      <c r="J287" s="2" t="inlineStr"/>
      <c r="K287" s="3" t="inlineStr">
        <is>
          <t>Молодые очень милые женщины - Вера, Надежда, Любовь - приехали в Крым отдохнуть. Поселяются в отеле "Эдем" и не ведают о том, что по дьявольскому замыслу всякий, кто прибыл в этот отель, должен на седьмой день предаться греховным утехам, а на тринадцатый - отдать душу Сатане...</t>
        </is>
      </c>
      <c r="L287" s="2" t="inlineStr">
        <is>
          <t>Кино_СССР сводный каталог.xlsx: список фильмов (доп.)</t>
        </is>
      </c>
      <c r="M287" s="2">
        <f>HYPERLINK("https://ru.wikipedia.org/w/index.php?search=%D0%9E%D1%82%D0%B5%D0%BB%D1%8C%20%D0%AD%D0%B4%D0%B5%D0%BC%201991%20%D1%84%D0%B8%D0%BB%D1%8C%D0%BC","искать")</f>
        <v/>
      </c>
      <c r="N287" s="3" t="n"/>
      <c r="O287" s="2" t="n"/>
      <c r="P287" s="2" t="n"/>
    </row>
    <row r="288">
      <c r="A288" s="2" t="n">
        <v>287</v>
      </c>
      <c r="B288" s="2" t="inlineStr">
        <is>
          <t>обрыв</t>
        </is>
      </c>
      <c r="C288" s="2" t="n">
        <v>10202</v>
      </c>
      <c r="D288" s="3" t="inlineStr">
        <is>
          <t>Крыжовник</t>
        </is>
      </c>
      <c r="E288" s="2" t="n">
        <v>1967</v>
      </c>
      <c r="F288" s="2" t="inlineStr">
        <is>
          <t>фильм-спектакль</t>
        </is>
      </c>
      <c r="G288" s="2" t="n"/>
      <c r="H288" s="2" t="n">
        <v>278</v>
      </c>
      <c r="I288" s="2" t="inlineStr">
        <is>
          <t>да</t>
        </is>
      </c>
      <c r="J288" s="2" t="inlineStr"/>
      <c r="K288" s="3" t="inlineStr">
        <is>
          <t>По рассказу Антона Павловича Чехова.
Необычное режиссерское решение: черно-белый фото-ряд, создавая необходимое ретро-настроение, перебивается неспешным голосом рассказчика. И лишь на 9-й минуте начинается само действие: три собеседника в уютной прихожей ведут степенную беседу…</t>
        </is>
      </c>
      <c r="L288" s="2" t="inlineStr">
        <is>
          <t>https://www.kino-teatr.ru/teatr/movie/86379/annot/</t>
        </is>
      </c>
      <c r="M288" s="2">
        <f>HYPERLINK("https://ru.wikipedia.org/w/index.php?search=%D0%9A%D1%80%D1%8B%D0%B6%D0%BE%D0%B2%D0%BD%D0%B8%D0%BA%201967%20%D1%84%D0%B8%D0%BB%D1%8C%D0%BC","искать")</f>
        <v/>
      </c>
      <c r="N288" s="3" t="n"/>
      <c r="O288" s="2" t="n"/>
      <c r="P288" s="2" t="n"/>
    </row>
    <row r="289">
      <c r="A289" s="2" t="n">
        <v>288</v>
      </c>
      <c r="B289" s="2" t="inlineStr">
        <is>
          <t>обрыв</t>
        </is>
      </c>
      <c r="C289" s="2" t="n">
        <v>7954</v>
      </c>
      <c r="D289" s="3" t="inlineStr">
        <is>
          <t>Наталка Полтавка</t>
        </is>
      </c>
      <c r="E289" s="2" t="n">
        <v>1978</v>
      </c>
      <c r="F289" s="2" t="inlineStr">
        <is>
          <t>телефильм</t>
        </is>
      </c>
      <c r="G289" s="2" t="n"/>
      <c r="H289" s="2" t="n">
        <v>279</v>
      </c>
      <c r="I289" s="2" t="inlineStr">
        <is>
          <t>да</t>
        </is>
      </c>
      <c r="J289" s="2" t="inlineStr"/>
      <c r="K289" s="3" t="inlineStr">
        <is>
          <t>Экранизация пьесы Ивана Котляревского с музыкой Николая Лысенко. К красивой и работящей, но бедной Наталке сватается богатый возный Тетерваковский. Подчинясь воле матери, Наталка дает согласие на брак с нелюбимым. Но в это время в село возвращается Петро, возлюбленный Наталки...</t>
        </is>
      </c>
      <c r="L289" s="2" t="inlineStr">
        <is>
          <t>Кино_СССР сводный каталог.xlsx: список телефильмов</t>
        </is>
      </c>
      <c r="M289" s="2">
        <f>HYPERLINK("https://ru.wikipedia.org/w/index.php?search=%D0%9D%D0%B0%D1%82%D0%B0%D0%BB%D0%BA%D0%B0%20%D0%9F%D0%BE%D0%BB%D1%82%D0%B0%D0%B2%D0%BA%D0%B0%201978%20%D1%84%D0%B8%D0%BB%D1%8C%D0%BC","искать")</f>
        <v/>
      </c>
      <c r="N289" s="3" t="n"/>
      <c r="O289" s="2" t="n"/>
      <c r="P289" s="2" t="n"/>
    </row>
    <row r="290">
      <c r="A290" s="2" t="n">
        <v>289</v>
      </c>
      <c r="B290" s="2" t="inlineStr">
        <is>
          <t>обрыв</t>
        </is>
      </c>
      <c r="C290" s="2" t="n">
        <v>10993</v>
      </c>
      <c r="D290" s="3" t="inlineStr">
        <is>
          <t>Июнь, начало лета</t>
        </is>
      </c>
      <c r="E290" s="2" t="n">
        <v>1983</v>
      </c>
      <c r="F290" s="2" t="inlineStr">
        <is>
          <t>фильм-спектакль</t>
        </is>
      </c>
      <c r="G290" s="2" t="inlineStr">
        <is>
          <t>Гл. ред. литературно-драматических программ ЦТ</t>
        </is>
      </c>
      <c r="H290" s="2" t="n">
        <v>279</v>
      </c>
      <c r="I290" s="2" t="inlineStr">
        <is>
          <t>да</t>
        </is>
      </c>
      <c r="J290" s="2" t="inlineStr"/>
      <c r="K290" s="3" t="inlineStr">
        <is>
          <t>Из цикла «По Вашему письму».
Варю Грачеву оставил муж. В эти тяжелые дни к ней на помощь приходит случайный знакомый, телевизионный мастер Митя Парамонов. Он помогает Варе разобраться в своих чувствах, пытается помирить ее с мужем. Но Варя пока не может простить предательства...</t>
        </is>
      </c>
      <c r="L290" s="2" t="inlineStr">
        <is>
          <t>https://www.kino-teatr.ru/teatr/movie/139855/annot/</t>
        </is>
      </c>
      <c r="M290" s="2">
        <f>HYPERLINK("https://ru.wikipedia.org/w/index.php?search=%D0%98%D1%8E%D0%BD%D1%8C%2C%20%D0%BD%D0%B0%D1%87%D0%B0%D0%BB%D0%BE%20%D0%BB%D0%B5%D1%82%D0%B0%201983%20%D1%84%D0%B8%D0%BB%D1%8C%D0%BC","искать")</f>
        <v/>
      </c>
      <c r="N290" s="3" t="n"/>
      <c r="O290" s="2" t="n"/>
      <c r="P290" s="2" t="n"/>
    </row>
    <row r="291">
      <c r="A291" s="2" t="n">
        <v>290</v>
      </c>
      <c r="B291" s="2" t="inlineStr">
        <is>
          <t>обрыв</t>
        </is>
      </c>
      <c r="C291" s="2" t="n">
        <v>7735</v>
      </c>
      <c r="D291" s="3" t="inlineStr">
        <is>
          <t>Когда становятся взрослыми</t>
        </is>
      </c>
      <c r="E291" s="2" t="n">
        <v>1985</v>
      </c>
      <c r="F291" s="2" t="inlineStr">
        <is>
          <t>телефильм</t>
        </is>
      </c>
      <c r="G291" s="2" t="n"/>
      <c r="H291" s="2" t="n">
        <v>280</v>
      </c>
      <c r="I291" s="2" t="inlineStr">
        <is>
          <t>да</t>
        </is>
      </c>
      <c r="J291" s="2" t="inlineStr"/>
      <c r="K291" s="3" t="inlineStr">
        <is>
          <t>Телефильм. Рабочий завода Володя Кузнецов поступил в институт. Надеясь иметь больше свободного времени для учебы, он перешёл на работу мастера-наставника в ПТУ. Вскоре Володя понимает, насколько ответственна и интересна его работа. Он уже не мыслит себя без своих воспитанников...</t>
        </is>
      </c>
      <c r="L291" s="2" t="inlineStr">
        <is>
          <t>Кино_СССР сводный каталог.xlsx: список телефильмов</t>
        </is>
      </c>
      <c r="M291" s="2">
        <f>HYPERLINK("https://ru.wikipedia.org/w/index.php?search=%D0%9A%D0%BE%D0%B3%D0%B4%D0%B0%20%D1%81%D1%82%D0%B0%D0%BD%D0%BE%D0%B2%D1%8F%D1%82%D1%81%D1%8F%20%D0%B2%D0%B7%D1%80%D0%BE%D1%81%D0%BB%D1%8B%D0%BC%D0%B8%201985%20%D1%84%D0%B8%D0%BB%D1%8C%D0%BC","искать")</f>
        <v/>
      </c>
      <c r="N291" s="3" t="n"/>
      <c r="O291" s="2" t="n"/>
      <c r="P291" s="2" t="n"/>
    </row>
    <row r="292">
      <c r="A292" s="2" t="n">
        <v>291</v>
      </c>
      <c r="B292" s="2" t="inlineStr">
        <is>
          <t>обрыв</t>
        </is>
      </c>
      <c r="C292" s="2" t="n">
        <v>8014</v>
      </c>
      <c r="D292" s="3" t="inlineStr">
        <is>
          <t>Ночь председателя</t>
        </is>
      </c>
      <c r="E292" s="2" t="n">
        <v>1981</v>
      </c>
      <c r="F292" s="2" t="inlineStr">
        <is>
          <t>телефильм</t>
        </is>
      </c>
      <c r="G292" s="2" t="n"/>
      <c r="H292" s="2" t="n">
        <v>280</v>
      </c>
      <c r="I292" s="2" t="inlineStr">
        <is>
          <t>да</t>
        </is>
      </c>
      <c r="J292" s="2" t="inlineStr"/>
      <c r="K292" s="3" t="inlineStr">
        <is>
          <t>Телефильм. Вся жизнь Павла Сергеевича связана с родным селом. Вернувшись с фронта, он возглавил колхоз в родном селе и стал его бессменным председателем. Тогда-то и испортились отношения со старшим братом Петром, уехавшим в город. И вот новая встреча братьев спустя многие годы...</t>
        </is>
      </c>
      <c r="L292" s="2" t="inlineStr">
        <is>
          <t>Кино_СССР сводный каталог.xlsx: список телефильмов</t>
        </is>
      </c>
      <c r="M292" s="2">
        <f>HYPERLINK("https://ru.wikipedia.org/w/index.php?search=%D0%9D%D0%BE%D1%87%D1%8C%20%D0%BF%D1%80%D0%B5%D0%B4%D1%81%D0%B5%D0%B4%D0%B0%D1%82%D0%B5%D0%BB%D1%8F%201981%20%D1%84%D0%B8%D0%BB%D1%8C%D0%BC","искать")</f>
        <v/>
      </c>
      <c r="N292" s="3" t="n"/>
      <c r="O292" s="2" t="n"/>
      <c r="P292" s="2" t="n"/>
    </row>
    <row r="293">
      <c r="A293" s="2" t="n">
        <v>292</v>
      </c>
      <c r="B293" s="2" t="inlineStr">
        <is>
          <t>обрыв</t>
        </is>
      </c>
      <c r="C293" s="2" t="n">
        <v>9048</v>
      </c>
      <c r="D293" s="3" t="inlineStr">
        <is>
          <t>Слоны</t>
        </is>
      </c>
      <c r="E293" s="2" t="n">
        <v>1988</v>
      </c>
      <c r="F293" s="2" t="inlineStr">
        <is>
          <t>кинофильм</t>
        </is>
      </c>
      <c r="G293" s="2" t="n"/>
      <c r="H293" s="2" t="n">
        <v>280</v>
      </c>
      <c r="I293" s="2" t="inlineStr">
        <is>
          <t>да</t>
        </is>
      </c>
      <c r="J293" s="2" t="inlineStr"/>
      <c r="K293" s="3" t="inlineStr">
        <is>
          <t>Пятилетний Вася уверен, что слоны уже устали поддерживать землю на своих спинах и скоро придут к нему в гости. Пётр Фомич с Васькой выходят их встречать, но тут захлопывается дверь в квартиру, в которой спят брат Василия Витька, его девушка и многочисленные пьяные родственники...</t>
        </is>
      </c>
      <c r="L293" s="2" t="inlineStr">
        <is>
          <t>Кино_СССР сводный каталог.xlsx: список фильмов (доп.)</t>
        </is>
      </c>
      <c r="M293" s="2">
        <f>HYPERLINK("https://ru.wikipedia.org/w/index.php?search=%D0%A1%D0%BB%D0%BE%D0%BD%D1%8B%201988%20%D1%84%D0%B8%D0%BB%D1%8C%D0%BC","искать")</f>
        <v/>
      </c>
      <c r="N293" s="3" t="n"/>
      <c r="O293" s="2" t="n"/>
      <c r="P293" s="2" t="n"/>
    </row>
    <row r="294">
      <c r="A294" s="2" t="n">
        <v>293</v>
      </c>
      <c r="B294" s="2" t="inlineStr">
        <is>
          <t>обрыв</t>
        </is>
      </c>
      <c r="C294" s="2" t="n">
        <v>9938</v>
      </c>
      <c r="D294" s="3" t="inlineStr">
        <is>
          <t>Огонь в глубине дерева</t>
        </is>
      </c>
      <c r="E294" s="2" t="n">
        <v>1978</v>
      </c>
      <c r="F294" s="2" t="inlineStr">
        <is>
          <t>телефильм</t>
        </is>
      </c>
      <c r="G294" s="2" t="inlineStr">
        <is>
          <t>Одесская киностудия по заказу Гостелерадио СССР</t>
        </is>
      </c>
      <c r="H294" s="2" t="n">
        <v>280</v>
      </c>
      <c r="I294" s="2" t="inlineStr">
        <is>
          <t>да</t>
        </is>
      </c>
      <c r="J294" s="2" t="inlineStr"/>
      <c r="K294" s="3" t="inlineStr">
        <is>
          <t>Двенадцатилетний Женька замкнут, необщителен, хотя растет в благополучной семье, где его окружают вниманием, покупают дорогие игрушки. Он любит мастерить. Но никто не разделяет его увлечения, у него нет товарищей. Случайная встреча Женьки с пожилым человеком изменяет его жизнь...</t>
        </is>
      </c>
      <c r="L294" s="2" t="inlineStr">
        <is>
          <t>https://www.kino-teatr.ru/short/movie/sov/4661/annot/</t>
        </is>
      </c>
      <c r="M294" s="2">
        <f>HYPERLINK("https://ru.wikipedia.org/w/index.php?search=%D0%9E%D0%B3%D0%BE%D0%BD%D1%8C%20%D0%B2%20%D0%B3%D0%BB%D1%83%D0%B1%D0%B8%D0%BD%D0%B5%20%D0%B4%D0%B5%D1%80%D0%B5%D0%B2%D0%B0%201978%20%D1%84%D0%B8%D0%BB%D1%8C%D0%BC","искать")</f>
        <v/>
      </c>
      <c r="N294" s="3" t="n"/>
      <c r="O294" s="2" t="n"/>
      <c r="P294" s="2" t="n"/>
    </row>
    <row r="295">
      <c r="A295" s="2" t="n">
        <v>294</v>
      </c>
      <c r="B295" s="2" t="inlineStr">
        <is>
          <t>обрыв</t>
        </is>
      </c>
      <c r="C295" s="2" t="n">
        <v>10207</v>
      </c>
      <c r="D295" s="3" t="inlineStr">
        <is>
          <t>Митя</t>
        </is>
      </c>
      <c r="E295" s="2" t="n">
        <v>1967</v>
      </c>
      <c r="F295" s="2" t="inlineStr">
        <is>
          <t>фильм-спектакль</t>
        </is>
      </c>
      <c r="G295" s="2" t="inlineStr">
        <is>
          <t>ЦТ</t>
        </is>
      </c>
      <c r="H295" s="2" t="n">
        <v>280</v>
      </c>
      <c r="I295" s="2" t="inlineStr">
        <is>
          <t>да</t>
        </is>
      </c>
      <c r="J295" s="2" t="inlineStr"/>
      <c r="K295" s="3" t="inlineStr">
        <is>
          <t>По одноименному произведению Г.Никитина. Главный инженер строительства завода в Перми - Дмитрий Иванович - приезжает в Москву по служебной надобности. Здесь живет его бывшая жена, художница Кира. У каждого из них своя жизнь, но все равно они остаются близкими друг другу людьми...</t>
        </is>
      </c>
      <c r="L295" s="2" t="inlineStr">
        <is>
          <t>https://www.kino-teatr.ru/teatr/movie/15469/annot/</t>
        </is>
      </c>
      <c r="M295" s="2">
        <f>HYPERLINK("https://ru.wikipedia.org/w/index.php?search=%D0%9C%D0%B8%D1%82%D1%8F%201967%20%D1%84%D0%B8%D0%BB%D1%8C%D0%BC","искать")</f>
        <v/>
      </c>
      <c r="N295" s="3" t="n"/>
      <c r="O295" s="2" t="n"/>
      <c r="P295" s="2" t="n"/>
    </row>
    <row r="296">
      <c r="A296" s="2" t="n">
        <v>295</v>
      </c>
      <c r="B296" s="2" t="inlineStr">
        <is>
          <t>обрыв</t>
        </is>
      </c>
      <c r="C296" s="2" t="n">
        <v>13339</v>
      </c>
      <c r="D296" s="3" t="inlineStr">
        <is>
          <t>Клабуш</t>
        </is>
      </c>
      <c r="E296" s="2" t="n">
        <v>1979</v>
      </c>
      <c r="F296" s="2" t="inlineStr">
        <is>
          <t>мультфильм</t>
        </is>
      </c>
      <c r="G296" s="2" t="inlineStr">
        <is>
          <t>ТАЛЛИННФИЛЬМ</t>
        </is>
      </c>
      <c r="H296" s="2" t="n">
        <v>281</v>
      </c>
      <c r="I296" s="2" t="inlineStr">
        <is>
          <t>да</t>
        </is>
      </c>
      <c r="J296" s="2" t="inlineStr"/>
      <c r="K296" s="3" t="inlineStr">
        <is>
          <t>Мультфильм о приключениях Клабуша. Снесла птичка яйцо, но не простое, а с глазками, ручками, ножками и ушками-рожками, которые постоянно меняются, в зависимости от ситуации. И называется оно Клабуш. Вот ходило оно, летало и даже плавало и наконец встретило родственную душу Нипи...</t>
        </is>
      </c>
      <c r="L296" s="2" t="inlineStr">
        <is>
          <t>2026-10_мультфильмы_список_владельца.xlsx; https://animator.ru/db/?p=show_film&amp;fid=4610</t>
        </is>
      </c>
      <c r="M296" s="2">
        <f>HYPERLINK("https://ru.wikipedia.org/w/index.php?search=%D0%9A%D0%BB%D0%B0%D0%B1%D1%83%D1%88%201979%20%D1%84%D0%B8%D0%BB%D1%8C%D0%BC","искать")</f>
        <v/>
      </c>
      <c r="N296" s="3" t="n"/>
      <c r="O296" s="2" t="n"/>
      <c r="P296" s="2" t="n"/>
    </row>
    <row r="297">
      <c r="A297" s="2" t="n">
        <v>296</v>
      </c>
      <c r="B297" s="2" t="inlineStr">
        <is>
          <t>обрыв</t>
        </is>
      </c>
      <c r="C297" s="2" t="n">
        <v>9493</v>
      </c>
      <c r="D297" s="3" t="inlineStr">
        <is>
          <t>Наш бронепоезд</t>
        </is>
      </c>
      <c r="E297" s="2" t="n">
        <v>1988</v>
      </c>
      <c r="F297" s="2" t="inlineStr">
        <is>
          <t>кинофильм</t>
        </is>
      </c>
      <c r="G297" s="2" t="n"/>
      <c r="H297" s="2" t="n">
        <v>282</v>
      </c>
      <c r="I297" s="2" t="inlineStr">
        <is>
          <t>да</t>
        </is>
      </c>
      <c r="J297" s="2" t="inlineStr"/>
      <c r="K297" s="3" t="inlineStr">
        <is>
          <t>События фильма происходят в первые майские дни 1966 года. Заслуженный ветеран Великой Отечественной войны, бывший лагерный охранник Николай Кузнецов случайно встречается с одним из бывших заключенных. Это событие влечет за собой новые встречи - и новые прозрения о прожитых годах...</t>
        </is>
      </c>
      <c r="L297" s="2" t="inlineStr">
        <is>
          <t>Кино_СССР сводный каталог.xlsx: список фильмов (доп.)</t>
        </is>
      </c>
      <c r="M297" s="2">
        <f>HYPERLINK("https://ru.wikipedia.org/w/index.php?search=%D0%9D%D0%B0%D1%88%20%D0%B1%D1%80%D0%BE%D0%BD%D0%B5%D0%BF%D0%BE%D0%B5%D0%B7%D0%B4%201988%20%D1%84%D0%B8%D0%BB%D1%8C%D0%BC","искать")</f>
        <v/>
      </c>
      <c r="N297" s="3" t="n"/>
      <c r="O297" s="2" t="n"/>
      <c r="P297" s="2" t="n"/>
    </row>
    <row r="298">
      <c r="A298" s="2" t="n">
        <v>297</v>
      </c>
      <c r="B298" s="2" t="inlineStr">
        <is>
          <t>обрыв</t>
        </is>
      </c>
      <c r="C298" s="2" t="n">
        <v>10988</v>
      </c>
      <c r="D298" s="3" t="inlineStr">
        <is>
          <t>Жизель</t>
        </is>
      </c>
      <c r="E298" s="2" t="n">
        <v>1983</v>
      </c>
      <c r="F298" s="2" t="inlineStr">
        <is>
          <t>фильм-спектакль</t>
        </is>
      </c>
      <c r="G298" s="2" t="n"/>
      <c r="H298" s="2" t="n">
        <v>282</v>
      </c>
      <c r="I298" s="2" t="inlineStr">
        <is>
          <t>да</t>
        </is>
      </c>
      <c r="J298" s="2" t="inlineStr"/>
      <c r="K298" s="3" t="inlineStr">
        <is>
          <t>Фантастический балет в 2-х действиях. Съёмка выполнена в июле 1983 года на сцене Мариинского театра
Граф Альберт, влюбленный в крестьянскую девушку Жизель, скрывает свой титул. Другой поклонник Жизели, лесничий Ганс, пытается объяснить ей, что Альберт не тот, за кого выдает себя...</t>
        </is>
      </c>
      <c r="L298" s="2" t="inlineStr">
        <is>
          <t>https://www.kino-teatr.ru/teatr/movie/106291/annot/</t>
        </is>
      </c>
      <c r="M298" s="2">
        <f>HYPERLINK("https://ru.wikipedia.org/w/index.php?search=%D0%96%D0%B8%D0%B7%D0%B5%D0%BB%D1%8C%201983%20%D1%84%D0%B8%D0%BB%D1%8C%D0%BC","искать")</f>
        <v/>
      </c>
      <c r="N298" s="3" t="n"/>
      <c r="O298" s="2" t="n"/>
      <c r="P298" s="2" t="n"/>
    </row>
    <row r="299">
      <c r="A299" s="2" t="n">
        <v>298</v>
      </c>
      <c r="B299" s="2" t="inlineStr">
        <is>
          <t>обрыв</t>
        </is>
      </c>
      <c r="C299" s="2" t="n">
        <v>8258</v>
      </c>
      <c r="D299" s="3" t="inlineStr">
        <is>
          <t>Расколотое небо</t>
        </is>
      </c>
      <c r="E299" s="2" t="n">
        <v>1979</v>
      </c>
      <c r="F299" s="2" t="inlineStr">
        <is>
          <t>телефильм</t>
        </is>
      </c>
      <c r="G299" s="2" t="n"/>
      <c r="H299" s="2" t="n">
        <v>283</v>
      </c>
      <c r="I299" s="2" t="inlineStr">
        <is>
          <t>да</t>
        </is>
      </c>
      <c r="J299" s="2" t="inlineStr"/>
      <c r="K299" s="3" t="inlineStr">
        <is>
          <t>Телесериал. 1918 год. Группа русских авиаторов, обучавшихся летному делу во Франции, возвращается в Россию и присоединяется к белогвардейскому отряду. Однако двое летчиков вскоре переходят на сторону революции и сражаются в составе первого авиационного подразделения Красной Армии...</t>
        </is>
      </c>
      <c r="L299" s="2" t="inlineStr">
        <is>
          <t>Кино_СССР сводный каталог.xlsx: список телефильмов</t>
        </is>
      </c>
      <c r="M299" s="2">
        <f>HYPERLINK("https://ru.wikipedia.org/w/index.php?search=%D0%A0%D0%B0%D1%81%D0%BA%D0%BE%D0%BB%D0%BE%D1%82%D0%BE%D0%B5%20%D0%BD%D0%B5%D0%B1%D0%BE%201979%20%D1%84%D0%B8%D0%BB%D1%8C%D0%BC","искать")</f>
        <v/>
      </c>
      <c r="N299" s="3" t="n"/>
      <c r="O299" s="2" t="n"/>
      <c r="P299" s="2" t="n"/>
    </row>
    <row r="300">
      <c r="A300" s="2" t="n">
        <v>299</v>
      </c>
      <c r="B300" s="2" t="inlineStr">
        <is>
          <t>обрыв</t>
        </is>
      </c>
      <c r="C300" s="2" t="n">
        <v>11219</v>
      </c>
      <c r="D300" s="3" t="inlineStr">
        <is>
          <t>Ночь на размышление</t>
        </is>
      </c>
      <c r="E300" s="2" t="n">
        <v>1988</v>
      </c>
      <c r="F300" s="2" t="inlineStr">
        <is>
          <t>фильм-спектакль</t>
        </is>
      </c>
      <c r="G300" s="2" t="inlineStr">
        <is>
          <t>Главная редакция литературно-драматических программ ЦТ</t>
        </is>
      </c>
      <c r="H300" s="2" t="n">
        <v>283</v>
      </c>
      <c r="I300" s="2" t="inlineStr">
        <is>
          <t>да</t>
        </is>
      </c>
      <c r="J300" s="2" t="inlineStr"/>
      <c r="K300" s="3" t="inlineStr">
        <is>
          <t>По одноименной пьесе Александра Косенкова.
В областном театре молодой режиссёр репетирует пьесу о крупном руководителе, решившем перестроить доверенное ему производство. Режиссёр приходит к выводу, что в пьесе отражена ситуация, в которой находятся и они сами, и театр, и вся страна…</t>
        </is>
      </c>
      <c r="L300" s="2" t="inlineStr">
        <is>
          <t>https://www.kino-teatr.ru/teatr/movie/127637/annot/</t>
        </is>
      </c>
      <c r="M300" s="2">
        <f>HYPERLINK("https://ru.wikipedia.org/w/index.php?search=%D0%9D%D0%BE%D1%87%D1%8C%20%D0%BD%D0%B0%20%D1%80%D0%B0%D0%B7%D0%BC%D1%8B%D1%88%D0%BB%D0%B5%D0%BD%D0%B8%D0%B5%201988%20%D1%84%D0%B8%D0%BB%D1%8C%D0%BC","искать")</f>
        <v/>
      </c>
      <c r="N300" s="3" t="n"/>
      <c r="O300" s="2" t="n"/>
      <c r="P300" s="2" t="n"/>
    </row>
    <row r="301">
      <c r="A301" s="2" t="n">
        <v>300</v>
      </c>
      <c r="B301" s="2" t="inlineStr">
        <is>
          <t>обрыв</t>
        </is>
      </c>
      <c r="C301" s="2" t="n">
        <v>8039</v>
      </c>
      <c r="D301" s="3" t="inlineStr">
        <is>
          <t>Ожидание</t>
        </is>
      </c>
      <c r="E301" s="2" t="n">
        <v>1981</v>
      </c>
      <c r="F301" s="2" t="inlineStr">
        <is>
          <t>телефильм</t>
        </is>
      </c>
      <c r="G301" s="2" t="n"/>
      <c r="H301" s="2" t="n">
        <v>285</v>
      </c>
      <c r="I301" s="2" t="inlineStr">
        <is>
          <t>да</t>
        </is>
      </c>
      <c r="J301" s="2" t="inlineStr"/>
      <c r="K301" s="3" t="inlineStr">
        <is>
          <t>Телефильм по одноименной повести Радия Погодина. Капитан теплохода на борту своего корабля встречает друга детства. Они вспоминают совместные игры, первое чувство к жившей по соседству девочке, все веселое и грустное, что в конечном итоге осветило добрым светом давно прошедшие годы...</t>
        </is>
      </c>
      <c r="L301" s="2" t="inlineStr">
        <is>
          <t>Кино_СССР сводный каталог.xlsx: список телефильмов</t>
        </is>
      </c>
      <c r="M301" s="2">
        <f>HYPERLINK("https://ru.wikipedia.org/w/index.php?search=%D0%9E%D0%B6%D0%B8%D0%B4%D0%B0%D0%BD%D0%B8%D0%B5%201981%20%D1%84%D0%B8%D0%BB%D1%8C%D0%BC","искать")</f>
        <v/>
      </c>
      <c r="N301" s="3" t="n"/>
      <c r="O301" s="2" t="n"/>
      <c r="P301" s="2" t="inlineStr">
        <is>
          <t>ГФФ: «ОЖИДАНИЕ» 1980 — год отличается, проверить — по сверке другой фильм, не предложено</t>
        </is>
      </c>
    </row>
    <row r="302">
      <c r="A302" s="2" t="n">
        <v>301</v>
      </c>
      <c r="B302" s="2" t="inlineStr">
        <is>
          <t>обрыв</t>
        </is>
      </c>
      <c r="C302" s="2" t="n">
        <v>11038</v>
      </c>
      <c r="D302" s="3" t="inlineStr">
        <is>
          <t>Пчёлка</t>
        </is>
      </c>
      <c r="E302" s="2" t="n">
        <v>1984</v>
      </c>
      <c r="F302" s="2" t="inlineStr">
        <is>
          <t>фильм-спектакль</t>
        </is>
      </c>
      <c r="G302" s="2" t="n"/>
      <c r="H302" s="2" t="n">
        <v>285</v>
      </c>
      <c r="I302" s="2" t="inlineStr">
        <is>
          <t>да</t>
        </is>
      </c>
      <c r="J302" s="2" t="inlineStr"/>
      <c r="K302" s="3" t="inlineStr">
        <is>
          <t>Запись спектакля Театра им. Моссовета.
"Пчёлка" - по одноименной сказке А.Франса. Сказка о большой и настоящей любви двух детей Жоржа и Пчелки. Чтобы увидеть волшебное озеро, они убегают из дома и пропадают. Жорж попадает в подводное царство ундин, а Пчелка в подземное царство гномов…</t>
        </is>
      </c>
      <c r="L302" s="2" t="inlineStr">
        <is>
          <t>https://www.kino-teatr.ru/teatr/movie/84339/annot/</t>
        </is>
      </c>
      <c r="M302" s="2">
        <f>HYPERLINK("https://ru.wikipedia.org/w/index.php?search=%D0%9F%D1%87%D1%91%D0%BB%D0%BA%D0%B0%201984%20%D1%84%D0%B8%D0%BB%D1%8C%D0%BC","искать")</f>
        <v/>
      </c>
      <c r="N302" s="3" t="n"/>
      <c r="O302" s="2" t="n"/>
      <c r="P302" s="2" t="n"/>
    </row>
    <row r="303">
      <c r="A303" s="2" t="n">
        <v>302</v>
      </c>
      <c r="B303" s="2" t="inlineStr">
        <is>
          <t>обрыв</t>
        </is>
      </c>
      <c r="C303" s="2" t="n">
        <v>8340</v>
      </c>
      <c r="D303" s="3" t="inlineStr">
        <is>
          <t>Сероманец</t>
        </is>
      </c>
      <c r="E303" s="2" t="n">
        <v>1989</v>
      </c>
      <c r="F303" s="2" t="inlineStr">
        <is>
          <t>телефильм</t>
        </is>
      </c>
      <c r="G303" s="2" t="n"/>
      <c r="H303" s="2" t="n">
        <v>287</v>
      </c>
      <c r="I303" s="2" t="inlineStr">
        <is>
          <t>да</t>
        </is>
      </c>
      <c r="J303" s="2" t="inlineStr"/>
      <c r="K303" s="3" t="inlineStr">
        <is>
          <t>По одноименной повести Мыколы Винграновского. После жестокой охоты из большой стаи волков уцелел только один - Сероманец. Он прятался в овраге возле села, где жил его друг - мальчик Сашко, подкармливавший волка и спасавший его от охотников. Но пришла еще одна беда - старый волк ослеп...</t>
        </is>
      </c>
      <c r="L303" s="2" t="inlineStr">
        <is>
          <t>Кино_СССР сводный каталог.xlsx: список телефильмов</t>
        </is>
      </c>
      <c r="M303" s="2">
        <f>HYPERLINK("https://ru.wikipedia.org/w/index.php?search=%D0%A1%D0%B5%D1%80%D0%BE%D0%BC%D0%B0%D0%BD%D0%B5%D1%86%201989%20%D1%84%D0%B8%D0%BB%D1%8C%D0%BC","искать")</f>
        <v/>
      </c>
      <c r="N303" s="3" t="n"/>
      <c r="O303" s="2" t="n"/>
      <c r="P303" s="2" t="n"/>
    </row>
    <row r="304">
      <c r="A304" s="2" t="n">
        <v>303</v>
      </c>
      <c r="B304" s="2" t="inlineStr">
        <is>
          <t>обрыв</t>
        </is>
      </c>
      <c r="C304" s="2" t="n">
        <v>10707</v>
      </c>
      <c r="D304" s="3" t="inlineStr">
        <is>
          <t>Осторожно, листопад!</t>
        </is>
      </c>
      <c r="E304" s="2" t="n">
        <v>1977</v>
      </c>
      <c r="F304" s="2" t="inlineStr">
        <is>
          <t>фильм-спектакль</t>
        </is>
      </c>
      <c r="G304" s="2" t="inlineStr">
        <is>
          <t>Главная редакция литературно-драматических программ ЦТ</t>
        </is>
      </c>
      <c r="H304" s="2" t="n">
        <v>287</v>
      </c>
      <c r="I304" s="2" t="inlineStr">
        <is>
          <t>да</t>
        </is>
      </c>
      <c r="J304" s="2" t="inlineStr"/>
      <c r="K304" s="3" t="inlineStr">
        <is>
          <t>По одноименной пьесе Сергея Михалкова.
В семье инженера Сергея Шубина царят мир и благополучие. Но встреча с Мариной все изменяет. Сергею кажется, что к нему пришла истинная любовь, и он решает создать новую семью. Проходит время, но ни Сергей, ни Марина не чувствуют себя счастливыми...</t>
        </is>
      </c>
      <c r="L304" s="2" t="inlineStr">
        <is>
          <t>https://www.kino-teatr.ru/teatr/movie/80863/annot/</t>
        </is>
      </c>
      <c r="M304" s="2">
        <f>HYPERLINK("https://ru.wikipedia.org/w/index.php?search=%D0%9E%D1%81%D1%82%D0%BE%D1%80%D0%BE%D0%B6%D0%BD%D0%BE%2C%20%D0%BB%D0%B8%D1%81%D1%82%D0%BE%D0%BF%D0%B0%D0%B4%21%201977%20%D1%84%D0%B8%D0%BB%D1%8C%D0%BC","искать")</f>
        <v/>
      </c>
      <c r="N304" s="3" t="n"/>
      <c r="O304" s="2" t="n"/>
      <c r="P304" s="2" t="n"/>
    </row>
    <row r="305">
      <c r="A305" s="2" t="n">
        <v>304</v>
      </c>
      <c r="B305" s="2" t="inlineStr">
        <is>
          <t>обрыв</t>
        </is>
      </c>
      <c r="C305" s="2" t="n">
        <v>8174</v>
      </c>
      <c r="D305" s="3" t="inlineStr">
        <is>
          <t>Последняя осень</t>
        </is>
      </c>
      <c r="E305" s="2" t="n">
        <v>1990</v>
      </c>
      <c r="F305" s="2" t="inlineStr">
        <is>
          <t>телефильм</t>
        </is>
      </c>
      <c r="G305" s="2" t="n"/>
      <c r="H305" s="2" t="n">
        <v>288</v>
      </c>
      <c r="I305" s="2" t="inlineStr">
        <is>
          <t>да</t>
        </is>
      </c>
      <c r="J305" s="2" t="inlineStr"/>
      <c r="K305" s="3" t="inlineStr">
        <is>
          <t>Поздняя осень 1982 года, в Москве действует банда налетчиков, грабящих квартиры по чьей-то наводке. Этим делом занимается сотрудник уголовного розыска майор Корнеев, человек честный и неподкупный. Корнееву предстоит сложное расследование, которое выведет его на высшие милицейские чины...</t>
        </is>
      </c>
      <c r="L305" s="2" t="inlineStr">
        <is>
          <t>Кино_СССР сводный каталог.xlsx: список телефильмов</t>
        </is>
      </c>
      <c r="M305" s="2">
        <f>HYPERLINK("https://ru.wikipedia.org/w/index.php?search=%D0%9F%D0%BE%D1%81%D0%BB%D0%B5%D0%B4%D0%BD%D1%8F%D1%8F%20%D0%BE%D1%81%D0%B5%D0%BD%D1%8C%201990%20%D1%84%D0%B8%D0%BB%D1%8C%D0%BC","искать")</f>
        <v/>
      </c>
      <c r="N305" s="3" t="n"/>
      <c r="O305" s="2" t="n"/>
      <c r="P305" s="2" t="n"/>
    </row>
    <row r="306">
      <c r="A306" s="2" t="n">
        <v>305</v>
      </c>
      <c r="B306" s="2" t="inlineStr">
        <is>
          <t>обрыв</t>
        </is>
      </c>
      <c r="C306" s="2" t="n">
        <v>11203</v>
      </c>
      <c r="D306" s="3" t="inlineStr">
        <is>
          <t>И свет во тьме светит</t>
        </is>
      </c>
      <c r="E306" s="2" t="n">
        <v>1988</v>
      </c>
      <c r="F306" s="2" t="inlineStr">
        <is>
          <t>фильм-спектакль</t>
        </is>
      </c>
      <c r="G306" s="2" t="inlineStr">
        <is>
          <t>Главная редакция литературно-драматических программ ЦТ</t>
        </is>
      </c>
      <c r="H306" s="2" t="n">
        <v>288</v>
      </c>
      <c r="I306" s="2" t="inlineStr">
        <is>
          <t>да</t>
        </is>
      </c>
      <c r="J306" s="2" t="inlineStr">
        <is>
          <t>да</t>
        </is>
      </c>
      <c r="K306" s="3" t="inlineStr">
        <is>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is>
      </c>
      <c r="L306" s="2" t="inlineStr">
        <is>
          <t>https://www.kino-teatr.ru/teatr/movie/2596/annot/</t>
        </is>
      </c>
      <c r="M306" s="2">
        <f>HYPERLINK("https://ru.wikipedia.org/w/index.php?search=%D0%98%20%D1%81%D0%B2%D0%B5%D1%82%20%D0%B2%D0%BE%20%D1%82%D1%8C%D0%BC%D0%B5%20%D1%81%D0%B2%D0%B5%D1%82%D0%B8%D1%82%201988%20%D1%84%D0%B8%D0%BB%D1%8C%D0%BC","искать")</f>
        <v/>
      </c>
      <c r="N306" s="3" t="n"/>
      <c r="O306" s="2" t="n"/>
      <c r="P306" s="2" t="n"/>
    </row>
    <row r="307">
      <c r="A307" s="2" t="n">
        <v>306</v>
      </c>
      <c r="B307" s="2" t="inlineStr">
        <is>
          <t>обрыв</t>
        </is>
      </c>
      <c r="C307" s="2" t="n">
        <v>7504</v>
      </c>
      <c r="D307" s="3" t="inlineStr">
        <is>
          <t>День приезда… день отъезда!</t>
        </is>
      </c>
      <c r="E307" s="2" t="n">
        <v>1966</v>
      </c>
      <c r="F307" s="2" t="inlineStr">
        <is>
          <t>телефильм</t>
        </is>
      </c>
      <c r="G307" s="2" t="n"/>
      <c r="H307" s="2" t="n">
        <v>289</v>
      </c>
      <c r="I307" s="2" t="inlineStr">
        <is>
          <t>да</t>
        </is>
      </c>
      <c r="J307" s="2" t="inlineStr"/>
      <c r="K307" s="3" t="inlineStr">
        <is>
          <t>Эта простая и потому особенно трогательная история произошла в одном городке, куда приехали четверо мужчин, каждый по своему делу. Они встретились случайно, но это не помешало им за два коротких дня принять участие в судьбе каждого из них и добрым советом, и, что еще важнее, добрым делом…</t>
        </is>
      </c>
      <c r="L307" s="2" t="inlineStr">
        <is>
          <t>Кино_СССР сводный каталог.xlsx: список телефильмов</t>
        </is>
      </c>
      <c r="M307" s="2">
        <f>HYPERLINK("https://ru.wikipedia.org/w/index.php?search=%D0%94%D0%B5%D0%BD%D1%8C%20%D0%BF%D1%80%D0%B8%D0%B5%D0%B7%D0%B4%D0%B0%E2%80%A6%20%D0%B4%D0%B5%D0%BD%D1%8C%20%D0%BE%D1%82%D1%8A%D0%B5%D0%B7%D0%B4%D0%B0%21%201966%20%D1%84%D0%B8%D0%BB%D1%8C%D0%BC","искать")</f>
        <v/>
      </c>
      <c r="N307" s="3" t="n"/>
      <c r="O307" s="2" t="n"/>
      <c r="P307" s="2" t="n"/>
    </row>
    <row r="308">
      <c r="A308" s="2" t="n">
        <v>307</v>
      </c>
      <c r="B308" s="2" t="inlineStr">
        <is>
          <t>обрыв</t>
        </is>
      </c>
      <c r="C308" s="2" t="n">
        <v>8832</v>
      </c>
      <c r="D308" s="3" t="inlineStr">
        <is>
          <t>Месть</t>
        </is>
      </c>
      <c r="E308" s="2" t="n">
        <v>1989</v>
      </c>
      <c r="F308" s="2" t="inlineStr">
        <is>
          <t>кинофильм</t>
        </is>
      </c>
      <c r="G308" s="2" t="n"/>
      <c r="H308" s="2" t="n">
        <v>289</v>
      </c>
      <c r="I308" s="2" t="inlineStr">
        <is>
          <t>да</t>
        </is>
      </c>
      <c r="J308" s="2" t="inlineStr"/>
      <c r="K308" s="3" t="inlineStr">
        <is>
          <t>Хрупкие плечи корейского юноши Сунгу придавлены тяжкой ношей. С детских лет он влачит этот груз, завещанный отцом, и обречен жить одной только идеей мести. Иначе будет нарушена священная традиция, и не успокоится душа отца, отлетевшая в небесные просторы. Иначе Сунгу нет места на земле...</t>
        </is>
      </c>
      <c r="L308" s="2" t="inlineStr">
        <is>
          <t>Кино_СССР сводный каталог.xlsx: список фильмов (доп.)</t>
        </is>
      </c>
      <c r="M308" s="2">
        <f>HYPERLINK("https://ru.wikipedia.org/w/index.php?search=%D0%9C%D0%B5%D1%81%D1%82%D1%8C%201989%20%D1%84%D0%B8%D0%BB%D1%8C%D0%BC","искать")</f>
        <v/>
      </c>
      <c r="N308" s="3" t="n"/>
      <c r="O308" s="2" t="n"/>
      <c r="P308" s="2" t="n"/>
    </row>
    <row r="309">
      <c r="A309" s="2" t="n">
        <v>308</v>
      </c>
      <c r="B309" s="2" t="inlineStr">
        <is>
          <t>обрыв</t>
        </is>
      </c>
      <c r="C309" s="2" t="n">
        <v>7747</v>
      </c>
      <c r="D309" s="3" t="inlineStr">
        <is>
          <t>Комический любовник, или Любовные затеи сэра Джона Фальстафа</t>
        </is>
      </c>
      <c r="E309" s="2" t="n">
        <v>1983</v>
      </c>
      <c r="F309" s="2" t="inlineStr">
        <is>
          <t>телефильм</t>
        </is>
      </c>
      <c r="G309" s="2" t="n"/>
      <c r="H309" s="2" t="n">
        <v>290</v>
      </c>
      <c r="I309" s="2" t="inlineStr">
        <is>
          <t>да</t>
        </is>
      </c>
      <c r="J309" s="2" t="inlineStr"/>
      <c r="K309" s="3" t="inlineStr">
        <is>
          <t>Обаятельный старый плут, хвастун, кутила и бабник, друг и собутыльник знаменитого Принца Уэльского - сэр Джон Фальстаф - пытается наставить рога сразу и герцогу, и виконту с помощью смазливой сводни, которая и сама не прочь... Смачный средневековый юмор.Экзотика времен короля Генриха IV...</t>
        </is>
      </c>
      <c r="L309" s="2" t="inlineStr">
        <is>
          <t>Кино_СССР сводный каталог.xlsx: список телефильмов</t>
        </is>
      </c>
      <c r="M309" s="2">
        <f>HYPERLINK("https://ru.wikipedia.org/w/index.php?search=%D0%9A%D0%BE%D0%BC%D0%B8%D1%87%D0%B5%D1%81%D0%BA%D0%B8%D0%B9%20%D0%BB%D1%8E%D0%B1%D0%BE%D0%B2%D0%BD%D0%B8%D0%BA%2C%20%D0%B8%D0%BB%D0%B8%20%D0%9B%D1%8E%D0%B1%D0%BE%D0%B2%D0%BD%D1%8B%D0%B5%20%D0%B7%D0%B0%D1%82%D0%B5%D0%B8%20%D1%81%D1%8D%D1%80%D0%B0%20%D0%94%D0%B6%D0%BE%D0%BD%D0%B0%20%D0%A4%D0%B0%D0%BB%D1%8C%D1%81%D1%82%D0%B0%D1%84%D0%B0%201983%20%D1%84%D0%B8%D0%BB%D1%8C%D0%BC","искать")</f>
        <v/>
      </c>
      <c r="N309" s="3" t="n"/>
      <c r="O309" s="2" t="n"/>
      <c r="P309" s="2" t="n"/>
    </row>
    <row r="310">
      <c r="A310" s="2" t="n">
        <v>309</v>
      </c>
      <c r="B310" s="2" t="inlineStr">
        <is>
          <t>обрыв</t>
        </is>
      </c>
      <c r="C310" s="2" t="n">
        <v>7750</v>
      </c>
      <c r="D310" s="3" t="inlineStr">
        <is>
          <t>Контакт</t>
        </is>
      </c>
      <c r="E310" s="2" t="n">
        <v>1981</v>
      </c>
      <c r="F310" s="2" t="inlineStr">
        <is>
          <t>телефильм</t>
        </is>
      </c>
      <c r="G310" s="2" t="n"/>
      <c r="H310" s="2" t="n">
        <v>290</v>
      </c>
      <c r="I310" s="2" t="inlineStr">
        <is>
          <t>да</t>
        </is>
      </c>
      <c r="J310" s="2" t="inlineStr"/>
      <c r="K310" s="3" t="inlineStr">
        <is>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is>
      </c>
      <c r="L310" s="2" t="inlineStr">
        <is>
          <t>Кино_СССР сводный каталог.xlsx: список телефильмов</t>
        </is>
      </c>
      <c r="M310" s="2">
        <f>HYPERLINK("https://ru.wikipedia.org/w/index.php?search=%D0%9A%D0%BE%D0%BD%D1%82%D0%B0%D0%BA%D1%82%201981%20%D1%84%D0%B8%D0%BB%D1%8C%D0%BC","искать")</f>
        <v/>
      </c>
      <c r="N310" s="3" t="n"/>
      <c r="O310" s="2" t="n"/>
      <c r="P310" s="2" t="n"/>
    </row>
    <row r="311">
      <c r="A311" s="2" t="n">
        <v>310</v>
      </c>
      <c r="B311" s="2" t="inlineStr">
        <is>
          <t>обрыв</t>
        </is>
      </c>
      <c r="C311" s="2" t="n">
        <v>8906</v>
      </c>
      <c r="D311" s="3" t="inlineStr">
        <is>
          <t>Отдушина</t>
        </is>
      </c>
      <c r="E311" s="2" t="n">
        <v>1991</v>
      </c>
      <c r="F311" s="2" t="inlineStr">
        <is>
          <t>кинофильм</t>
        </is>
      </c>
      <c r="G311" s="2" t="n"/>
      <c r="H311" s="2" t="n">
        <v>290</v>
      </c>
      <c r="I311" s="2" t="inlineStr">
        <is>
          <t>да</t>
        </is>
      </c>
      <c r="J311" s="2" t="inlineStr"/>
      <c r="K311" s="3" t="inlineStr">
        <is>
          <t>По мотивам повести Владимира Маканина. Мастер-краснодеревщик (Вл.Меньшов) влюбился в поэтессу (В.Теличкина), за который ухаживает старый друг-интеллектуал (Г.Яковлев). У каждого есть семья, но свежих впечатлений мужчины ищут у Алевтины. А она делает своим фаворитом то одного, то другого...</t>
        </is>
      </c>
      <c r="L311" s="2" t="inlineStr">
        <is>
          <t>Кино_СССР сводный каталог.xlsx: список фильмов (доп.)</t>
        </is>
      </c>
      <c r="M311" s="2">
        <f>HYPERLINK("https://ru.wikipedia.org/w/index.php?search=%D0%9E%D1%82%D0%B4%D1%83%D1%88%D0%B8%D0%BD%D0%B0%201991%20%D1%84%D0%B8%D0%BB%D1%8C%D0%BC","искать")</f>
        <v/>
      </c>
      <c r="N311" s="3" t="n"/>
      <c r="O311" s="2" t="n"/>
      <c r="P311" s="2" t="n"/>
    </row>
    <row r="312">
      <c r="A312" s="2" t="n">
        <v>311</v>
      </c>
      <c r="B312" s="2" t="inlineStr">
        <is>
          <t>обрыв</t>
        </is>
      </c>
      <c r="C312" s="2" t="n">
        <v>9663</v>
      </c>
      <c r="D312" s="3" t="inlineStr">
        <is>
          <t>Сообщница</t>
        </is>
      </c>
      <c r="E312" s="2" t="n">
        <v>1990</v>
      </c>
      <c r="F312" s="2" t="inlineStr">
        <is>
          <t>кинофильм</t>
        </is>
      </c>
      <c r="G312" s="2" t="n"/>
      <c r="H312" s="2" t="n">
        <v>290</v>
      </c>
      <c r="I312" s="2" t="inlineStr">
        <is>
          <t>да</t>
        </is>
      </c>
      <c r="J312" s="2" t="inlineStr"/>
      <c r="K312" s="3" t="inlineStr">
        <is>
          <t>Юная Нина принята на работу в ПТУ воспитательницей. Она полна оптимизма. Пытаясь войти в контакт с подопечными, заглядывая в книги по психологии и делая робкие шаги на сближение, она старается понять их проблемы и прочувствовать тот самый "материал", с которым ей придется лишь смириться...</t>
        </is>
      </c>
      <c r="L312" s="2" t="inlineStr">
        <is>
          <t>Кино_СССР сводный каталог.xlsx: список фильмов (доп.)</t>
        </is>
      </c>
      <c r="M312" s="2">
        <f>HYPERLINK("https://ru.wikipedia.org/w/index.php?search=%D0%A1%D0%BE%D0%BE%D0%B1%D1%89%D0%BD%D0%B8%D1%86%D0%B0%201990%20%D1%84%D0%B8%D0%BB%D1%8C%D0%BC","искать")</f>
        <v/>
      </c>
      <c r="N312" s="3" t="n"/>
      <c r="O312" s="2" t="n"/>
      <c r="P312" s="2" t="n"/>
    </row>
    <row r="313">
      <c r="A313" s="2" t="n">
        <v>312</v>
      </c>
      <c r="B313" s="2" t="inlineStr">
        <is>
          <t>обрыв</t>
        </is>
      </c>
      <c r="C313" s="2" t="n">
        <v>10300</v>
      </c>
      <c r="D313" s="3" t="inlineStr">
        <is>
          <t>Встреча</t>
        </is>
      </c>
      <c r="E313" s="2" t="n">
        <v>1969</v>
      </c>
      <c r="F313" s="2" t="inlineStr">
        <is>
          <t>фильм-спектакль</t>
        </is>
      </c>
      <c r="G313" s="2" t="inlineStr">
        <is>
          <t>Гл. ред. лит.-драм. программ</t>
        </is>
      </c>
      <c r="H313" s="2" t="n">
        <v>291</v>
      </c>
      <c r="I313" s="2" t="inlineStr">
        <is>
          <t>да</t>
        </is>
      </c>
      <c r="J313" s="2" t="inlineStr"/>
      <c r="K313" s="3" t="inlineStr">
        <is>
          <t>По одноименному произведению В.Василевской.
Герой спектакля увидел среди сослуживцев человека, которого встречал в годы войны в застенках гестапо. Этот человек донес, что пытался бежать вор из той же камеры. "Вора" расстреляли, а впоследствии выяснилось, что он был руководителем подполья...</t>
        </is>
      </c>
      <c r="L313" s="2" t="inlineStr">
        <is>
          <t>https://www.kino-teatr.ru/teatr/movie/93041/annot/</t>
        </is>
      </c>
      <c r="M313" s="2">
        <f>HYPERLINK("https://ru.wikipedia.org/w/index.php?search=%D0%92%D1%81%D1%82%D1%80%D0%B5%D1%87%D0%B0%201969%20%D1%84%D0%B8%D0%BB%D1%8C%D0%BC","искать")</f>
        <v/>
      </c>
      <c r="N313" s="3" t="n"/>
      <c r="O313" s="2" t="n"/>
      <c r="P313" s="2" t="n"/>
    </row>
    <row r="314">
      <c r="A314" s="2" t="n">
        <v>313</v>
      </c>
      <c r="B314" s="2" t="inlineStr">
        <is>
          <t>обрыв</t>
        </is>
      </c>
      <c r="C314" s="2" t="n">
        <v>9331</v>
      </c>
      <c r="D314" s="3" t="inlineStr">
        <is>
          <t>Держись, казак!</t>
        </is>
      </c>
      <c r="E314" s="2" t="n">
        <v>1991</v>
      </c>
      <c r="F314" s="2" t="inlineStr">
        <is>
          <t>кинофильм</t>
        </is>
      </c>
      <c r="G314" s="2" t="n"/>
      <c r="H314" s="2" t="n">
        <v>292</v>
      </c>
      <c r="I314" s="2" t="inlineStr">
        <is>
          <t>да</t>
        </is>
      </c>
      <c r="J314" s="2" t="inlineStr"/>
      <c r="K314" s="3" t="inlineStr">
        <is>
          <t>Из турецкого плена в Запорожскую Сечь бежит казак Максим и девушка, которая переоделась в мужскую одежду и назвала себя Арсеном. По дороге, полной приключений и неожиданностей, им приходится освобождать детей, украденных злыми янычарами. Влюбленные преодолевают все препятствия и побеждают...</t>
        </is>
      </c>
      <c r="L314" s="2" t="inlineStr">
        <is>
          <t>Кино_СССР сводный каталог.xlsx: список фильмов (доп.)</t>
        </is>
      </c>
      <c r="M314" s="2">
        <f>HYPERLINK("https://ru.wikipedia.org/w/index.php?search=%D0%94%D0%B5%D1%80%D0%B6%D0%B8%D1%81%D1%8C%2C%20%D0%BA%D0%B0%D0%B7%D0%B0%D0%BA%21%201991%20%D1%84%D0%B8%D0%BB%D1%8C%D0%BC","искать")</f>
        <v/>
      </c>
      <c r="N314" s="3" t="n"/>
      <c r="O314" s="2" t="n"/>
      <c r="P314" s="2" t="n"/>
    </row>
    <row r="315">
      <c r="A315" s="2" t="n">
        <v>314</v>
      </c>
      <c r="B315" s="2" t="inlineStr">
        <is>
          <t>обрыв</t>
        </is>
      </c>
      <c r="C315" s="2" t="n">
        <v>12769</v>
      </c>
      <c r="D315" s="3" t="inlineStr">
        <is>
          <t>Сказка о зеркале</t>
        </is>
      </c>
      <c r="E315" s="2" t="n">
        <v>1983</v>
      </c>
      <c r="F315" s="2" t="inlineStr">
        <is>
          <t>мультфильм</t>
        </is>
      </c>
      <c r="G315" s="2" t="inlineStr">
        <is>
          <t>АРМЕНФИЛЬМ</t>
        </is>
      </c>
      <c r="H315" s="2" t="n">
        <v>292</v>
      </c>
      <c r="I315" s="2" t="inlineStr">
        <is>
          <t>да</t>
        </is>
      </c>
      <c r="J315" s="2" t="inlineStr"/>
      <c r="K315" s="3" t="inlineStr">
        <is>
          <t>В одном царстве, бедный крестьянин пошел в город продать шерсть, по дороге он встречает хитрого торговца, который меняет шерсть крестьянина на волшебную вещь – зеркало. Никто в этом царстве до этого времени не видел и не знал что такое зеркало.Люди не понимали, что смотрят на свое отражение…</t>
        </is>
      </c>
      <c r="L315" s="2" t="inlineStr">
        <is>
          <t>2026-10_мультфильмы_список_владельца.xlsx; https://animator.ru/db/?p=show_film&amp;fid=3978</t>
        </is>
      </c>
      <c r="M315" s="2">
        <f>HYPERLINK("https://ru.wikipedia.org/w/index.php?search=%D0%A1%D0%BA%D0%B0%D0%B7%D0%BA%D0%B0%20%D0%BE%20%D0%B7%D0%B5%D1%80%D0%BA%D0%B0%D0%BB%D0%B5%201983%20%D1%84%D0%B8%D0%BB%D1%8C%D0%BC","искать")</f>
        <v/>
      </c>
      <c r="N315" s="3" t="n"/>
      <c r="O315" s="2" t="n"/>
      <c r="P315" s="2" t="n"/>
    </row>
    <row r="316">
      <c r="A316" s="2" t="n">
        <v>315</v>
      </c>
      <c r="B316" s="2" t="inlineStr">
        <is>
          <t>обрыв</t>
        </is>
      </c>
      <c r="C316" s="2" t="n">
        <v>8127</v>
      </c>
      <c r="D316" s="3" t="inlineStr">
        <is>
          <t>Повестка в суд</t>
        </is>
      </c>
      <c r="E316" s="2" t="n">
        <v>1988</v>
      </c>
      <c r="F316" s="2" t="inlineStr">
        <is>
          <t>телефильм</t>
        </is>
      </c>
      <c r="G316" s="2" t="inlineStr">
        <is>
          <t>Беларусьфильм</t>
        </is>
      </c>
      <c r="H316" s="2" t="n">
        <v>294</v>
      </c>
      <c r="I316" s="2" t="inlineStr">
        <is>
          <t>да</t>
        </is>
      </c>
      <c r="J316" s="2" t="inlineStr"/>
      <c r="K316" s="3" t="inlineStr">
        <is>
          <t>Жена электрика Ивана, устав от пьянства мужа, обращается в колхозный суд с иском о лишении его отцовских прав. Старший брат Ивана, когда-то бросивший осиротевшего братишку одного в деревне и теперь приехавший в гости из Москвы, решает не осуждать его, а помочь ему выбраться из трясины запоя...</t>
        </is>
      </c>
      <c r="L316" s="2" t="inlineStr">
        <is>
          <t>Кино_СССР сводный каталог.xlsx: список телефильмов</t>
        </is>
      </c>
      <c r="M316" s="2">
        <f>HYPERLINK("https://ru.wikipedia.org/w/index.php?search=%D0%9F%D0%BE%D0%B2%D0%B5%D1%81%D1%82%D0%BA%D0%B0%20%D0%B2%20%D1%81%D1%83%D0%B4%201988%20%D1%84%D0%B8%D0%BB%D1%8C%D0%BC","искать")</f>
        <v/>
      </c>
      <c r="N316" s="3" t="n"/>
      <c r="O316" s="2" t="n"/>
      <c r="P316" s="2" t="n"/>
    </row>
    <row r="317">
      <c r="A317" s="2" t="n">
        <v>316</v>
      </c>
      <c r="B317" s="2" t="inlineStr">
        <is>
          <t>обрыв</t>
        </is>
      </c>
      <c r="C317" s="2" t="n">
        <v>9879</v>
      </c>
      <c r="D317" s="3" t="inlineStr">
        <is>
          <t>Представление начинается!</t>
        </is>
      </c>
      <c r="E317" s="2" t="n">
        <v>1970</v>
      </c>
      <c r="F317" s="2" t="inlineStr">
        <is>
          <t>телефильм</t>
        </is>
      </c>
      <c r="G317" s="2" t="inlineStr">
        <is>
          <t>Экран</t>
        </is>
      </c>
      <c r="H317" s="2" t="n">
        <v>294</v>
      </c>
      <c r="I317" s="2" t="inlineStr">
        <is>
          <t>да</t>
        </is>
      </c>
      <c r="J317" s="2" t="inlineStr"/>
      <c r="K317" s="3" t="inlineStr">
        <is>
          <t>Двое юных поклонников цирка приходят на представление и узнают, что все билеты проданы. Проходящий мимо клоун Олег Попов помогает мальчишкам проникнуть в цирк, "заколдовав" бдительного дядю Сашу. Мальчики видят подготовку представления, репетиции и сами иногда становятся участниками событий...</t>
        </is>
      </c>
      <c r="L317" s="2" t="inlineStr">
        <is>
          <t>https://www.kino-teatr.ru/short/movie/sov/97963/annot/</t>
        </is>
      </c>
      <c r="M317" s="2">
        <f>HYPERLINK("https://ru.wikipedia.org/w/index.php?search=%D0%9F%D1%80%D0%B5%D0%B4%D1%81%D1%82%D0%B0%D0%B2%D0%BB%D0%B5%D0%BD%D0%B8%D0%B5%20%D0%BD%D0%B0%D1%87%D0%B8%D0%BD%D0%B0%D0%B5%D1%82%D1%81%D1%8F%21%201970%20%D1%84%D0%B8%D0%BB%D1%8C%D0%BC","искать")</f>
        <v/>
      </c>
      <c r="N317" s="3" t="n"/>
      <c r="O317" s="2" t="n"/>
      <c r="P317" s="2" t="n"/>
    </row>
    <row r="318">
      <c r="A318" s="2" t="n">
        <v>317</v>
      </c>
      <c r="B318" s="2" t="inlineStr">
        <is>
          <t>обрыв</t>
        </is>
      </c>
      <c r="C318" s="2" t="n">
        <v>9972</v>
      </c>
      <c r="D318" s="3" t="inlineStr">
        <is>
          <t>Осенняя дорога к маме</t>
        </is>
      </c>
      <c r="E318" s="2" t="n">
        <v>1981</v>
      </c>
      <c r="F318" s="2" t="inlineStr">
        <is>
          <t>телефильм</t>
        </is>
      </c>
      <c r="G318" s="2" t="inlineStr">
        <is>
          <t>Укртелефильм</t>
        </is>
      </c>
      <c r="H318" s="2" t="n">
        <v>294</v>
      </c>
      <c r="I318" s="2" t="inlineStr">
        <is>
          <t>да</t>
        </is>
      </c>
      <c r="J318" s="2" t="inlineStr"/>
      <c r="K318" s="3" t="inlineStr">
        <is>
          <t>Успешный кинорежиссер Дмитрий Павлович дожен лететь самолетом в Москву, а потом в Рим. Но у него в доме раздается телефонный звонок и ему сообщают, что заболела его старенькая мать, живущая в Меловатке, его родном селе. Дмитрий Павлович нанимает такси и начинает свою "осеннюю дорогу к маме"...</t>
        </is>
      </c>
      <c r="L318" s="2" t="inlineStr">
        <is>
          <t>https://www.kino-teatr.ru/short/movie/sov/8703/annot/</t>
        </is>
      </c>
      <c r="M318" s="2">
        <f>HYPERLINK("https://ru.wikipedia.org/w/index.php?search=%D0%9E%D1%81%D0%B5%D0%BD%D0%BD%D1%8F%D1%8F%20%D0%B4%D0%BE%D1%80%D0%BE%D0%B3%D0%B0%20%D0%BA%20%D0%BC%D0%B0%D0%BC%D0%B5%201981%20%D1%84%D0%B8%D0%BB%D1%8C%D0%BC","искать")</f>
        <v/>
      </c>
      <c r="N318" s="3" t="n"/>
      <c r="O318" s="2" t="n"/>
      <c r="P318" s="2" t="n"/>
    </row>
    <row r="319">
      <c r="A319" s="2" t="n">
        <v>318</v>
      </c>
      <c r="B319" s="2" t="inlineStr">
        <is>
          <t>обрыв</t>
        </is>
      </c>
      <c r="C319" s="2" t="n">
        <v>7176</v>
      </c>
      <c r="D319" s="3" t="inlineStr">
        <is>
          <t>...и час эстрады</t>
        </is>
      </c>
      <c r="E319" s="2" t="n">
        <v>1971</v>
      </c>
      <c r="F319" s="2" t="inlineStr">
        <is>
          <t>телефильм</t>
        </is>
      </c>
      <c r="G319" s="2" t="inlineStr">
        <is>
          <t>ТО «Экран»</t>
        </is>
      </c>
      <c r="H319" s="2" t="n">
        <v>295</v>
      </c>
      <c r="I319" s="2" t="inlineStr">
        <is>
          <t>да</t>
        </is>
      </c>
      <c r="J319" s="2" t="inlineStr">
        <is>
          <t>да</t>
        </is>
      </c>
      <c r="K319" s="3" t="inlineStr">
        <is>
          <t>В новогоднем фильме-концерте принимают участие Людмила и Альвиан Гайдаровы, Майя Розова, Любовь Писаренкова, ансамбль "Ингури", Михаил Шишков, Мухаббат Абдуллаева, Владимир Матусов, Наталья Мордкович, Л. и В.Васильевы, ВИА "Песняры", Юлий Слободкин, Э.Кастерина и В.Немоляев, Маргарита Суворова…</t>
        </is>
      </c>
      <c r="L319" s="2" t="inlineStr">
        <is>
          <t>Кино_СССР сводный каталог.xlsx: список телефильмов</t>
        </is>
      </c>
      <c r="M319" s="2">
        <f>HYPERLINK("https://ru.wikipedia.org/w/index.php?search=...%D0%B8%20%D1%87%D0%B0%D1%81%20%D1%8D%D1%81%D1%82%D1%80%D0%B0%D0%B4%D1%8B%201971%20%D1%84%D0%B8%D0%BB%D1%8C%D0%BC","искать")</f>
        <v/>
      </c>
      <c r="N319" s="3" t="n"/>
      <c r="O319" s="2" t="n"/>
      <c r="P319" s="2" t="n"/>
    </row>
    <row r="320">
      <c r="A320" s="2" t="n">
        <v>319</v>
      </c>
      <c r="B320" s="2" t="inlineStr">
        <is>
          <t>обрыв</t>
        </is>
      </c>
      <c r="C320" s="2" t="n">
        <v>11291</v>
      </c>
      <c r="D320" s="3" t="inlineStr">
        <is>
          <t>Этот фантастический мир. Выпуск 15</t>
        </is>
      </c>
      <c r="E320" s="2" t="n">
        <v>1989</v>
      </c>
      <c r="F320" s="2" t="inlineStr">
        <is>
          <t>фильм-спектакль</t>
        </is>
      </c>
      <c r="G320" s="2" t="inlineStr">
        <is>
          <t>Главная редакция программ для детей и юношества ЦТ</t>
        </is>
      </c>
      <c r="H320" s="2" t="n">
        <v>295</v>
      </c>
      <c r="I320" s="2" t="inlineStr">
        <is>
          <t>да</t>
        </is>
      </c>
      <c r="J320" s="2" t="inlineStr"/>
      <c r="K320" s="3" t="inlineStr">
        <is>
          <t>Экранизация фрагментов рассказа "Абсолютная защита" (другое название - "Призрак-5") американского писателя-фантаста Роберта Шекли.
Два приятеля основали компанию по очистке планет. Пока они очищали планеты от мусора, все шло хорошо. Но однажды их попросили очистить новую планету от призраков...</t>
        </is>
      </c>
      <c r="L320" s="2" t="inlineStr">
        <is>
          <t>https://www.kino-teatr.ru/teatr/movie/78751/annot/</t>
        </is>
      </c>
      <c r="M320" s="2">
        <f>HYPERLINK("https://ru.wikipedia.org/w/index.php?search=%D0%AD%D1%82%D0%BE%D1%82%20%D1%84%D0%B0%D0%BD%D1%82%D0%B0%D1%81%D1%82%D0%B8%D1%87%D0%B5%D1%81%D0%BA%D0%B8%D0%B9%20%D0%BC%D0%B8%D1%80.%20%D0%92%D1%8B%D0%BF%D1%83%D1%81%D0%BA%2015%201989%20%D1%84%D0%B8%D0%BB%D1%8C%D0%BC","искать")</f>
        <v/>
      </c>
      <c r="N320" s="3" t="n"/>
      <c r="O320" s="2" t="n"/>
      <c r="P320" s="2" t="n"/>
    </row>
    <row r="321">
      <c r="A321" s="2" t="n">
        <v>320</v>
      </c>
      <c r="B321" s="2" t="inlineStr">
        <is>
          <t>обрыв</t>
        </is>
      </c>
      <c r="C321" s="2" t="n">
        <v>11821</v>
      </c>
      <c r="D321" s="3" t="inlineStr">
        <is>
          <t>Шкатулка с секретом</t>
        </is>
      </c>
      <c r="E321" s="2" t="n">
        <v>1976</v>
      </c>
      <c r="F321" s="2" t="inlineStr">
        <is>
          <t>мультфильм</t>
        </is>
      </c>
      <c r="G321" s="2" t="inlineStr">
        <is>
          <t>Союзмультфильм</t>
        </is>
      </c>
      <c r="H321" s="2" t="n">
        <v>295</v>
      </c>
      <c r="I321" s="2" t="inlineStr">
        <is>
          <t>да</t>
        </is>
      </c>
      <c r="J321" s="2" t="inlineStr"/>
      <c r="K321" s="3" t="inlineStr">
        <is>
          <t>Музыкальная фантазия на тему сказки В.Одоевского "Городок в табакерке"Папа показывает сыну музыкальную шкатулку, с которой он любил играть, когда сам был маленьким. Но шкатулка сломалась. Мальчик хочет ее починить, становится маленьким и попадает внутрь шкатулки в сказочный мир ее обитателей...</t>
        </is>
      </c>
      <c r="L321" s="2" t="inlineStr">
        <is>
          <t>2026-10_мультфильмы_список_владельца.xlsx; https://animator.ru/db/?p=show_film&amp;fid=2736</t>
        </is>
      </c>
      <c r="M321" s="2">
        <f>HYPERLINK("https://ru.wikipedia.org/w/index.php?search=%D0%A8%D0%BA%D0%B0%D1%82%D1%83%D0%BB%D0%BA%D0%B0%20%D1%81%20%D1%81%D0%B5%D0%BA%D1%80%D0%B5%D1%82%D0%BE%D0%BC%201976%20%D1%84%D0%B8%D0%BB%D1%8C%D0%BC","искать")</f>
        <v/>
      </c>
      <c r="N321" s="3" t="n"/>
      <c r="O321" s="2" t="n"/>
      <c r="P321" s="2" t="n"/>
    </row>
    <row r="322">
      <c r="A322" s="2" t="n">
        <v>321</v>
      </c>
      <c r="B322" s="2" t="inlineStr">
        <is>
          <t>обрыв</t>
        </is>
      </c>
      <c r="C322" s="2" t="n">
        <v>9324</v>
      </c>
      <c r="D322" s="3" t="inlineStr">
        <is>
          <t>Две стрелы. Детектив каменного века</t>
        </is>
      </c>
      <c r="E322" s="2" t="n">
        <v>1989</v>
      </c>
      <c r="F322" s="2" t="inlineStr">
        <is>
          <t>кинофильм</t>
        </is>
      </c>
      <c r="G322" s="2" t="inlineStr">
        <is>
          <t>Мосфильм</t>
        </is>
      </c>
      <c r="H322" s="2" t="n">
        <v>296</v>
      </c>
      <c r="I322" s="2" t="inlineStr">
        <is>
          <t>да</t>
        </is>
      </c>
      <c r="J322" s="2" t="inlineStr"/>
      <c r="K322" s="3" t="inlineStr">
        <is>
          <t>Действие фильма происходит в доисторические времена. С одной стороны - дикая природа, люди-варвары, еще не вкусившие плодов цивилизации. А с другой - борьба за власть, наивность художника, верящего в людскую справедливость, и жестокость воинов, готовых раздавить любое проявление независимости...</t>
        </is>
      </c>
      <c r="L322" s="2" t="inlineStr">
        <is>
          <t>Кино_СССР сводный каталог.xlsx: список фильмов (доп.)</t>
        </is>
      </c>
      <c r="M322" s="2">
        <f>HYPERLINK("https://ru.wikipedia.org/w/index.php?search=%D0%94%D0%B2%D0%B5%20%D1%81%D1%82%D1%80%D0%B5%D0%BB%D1%8B.%20%D0%94%D0%B5%D1%82%D0%B5%D0%BA%D1%82%D0%B8%D0%B2%20%D0%BA%D0%B0%D0%BC%D0%B5%D0%BD%D0%BD%D0%BE%D0%B3%D0%BE%20%D0%B2%D0%B5%D0%BA%D0%B0%201989%20%D1%84%D0%B8%D0%BB%D1%8C%D0%BC","искать")</f>
        <v/>
      </c>
      <c r="N322" s="3" t="n"/>
      <c r="O322" s="2" t="n"/>
      <c r="P322" s="2" t="n"/>
    </row>
    <row r="323">
      <c r="A323" s="2" t="n">
        <v>322</v>
      </c>
      <c r="B323" s="2" t="inlineStr">
        <is>
          <t>обрыв</t>
        </is>
      </c>
      <c r="C323" s="2" t="n">
        <v>10802</v>
      </c>
      <c r="D323" s="3" t="inlineStr">
        <is>
          <t>Дом окнами в поле</t>
        </is>
      </c>
      <c r="E323" s="2" t="n">
        <v>1979</v>
      </c>
      <c r="F323" s="2" t="inlineStr">
        <is>
          <t>фильм-спектакль</t>
        </is>
      </c>
      <c r="G323" s="2" t="inlineStr">
        <is>
          <t>Главная редакция литературно-драматический программ ЦТ</t>
        </is>
      </c>
      <c r="H323" s="2" t="n">
        <v>297</v>
      </c>
      <c r="I323" s="2" t="inlineStr">
        <is>
          <t>да</t>
        </is>
      </c>
      <c r="J323" s="2" t="inlineStr"/>
      <c r="K323" s="3" t="inlineStr">
        <is>
          <t>По одноименной пьесе Александра Вампилова.
Нерешительность и застенчивость сельского учителя Третьякова мешает ему объясниться в любви заведующей молочной фермой колхоза Астафьевой. Не понимая, что его любовь взаимна, Третьяков намерен уехать из села. Однако героиня сама приходит ему на помощь...</t>
        </is>
      </c>
      <c r="L323" s="2" t="inlineStr">
        <is>
          <t>https://www.kino-teatr.ru/teatr/movie/9336/annot/</t>
        </is>
      </c>
      <c r="M323" s="2">
        <f>HYPERLINK("https://ru.wikipedia.org/w/index.php?search=%D0%94%D0%BE%D0%BC%20%D0%BE%D0%BA%D0%BD%D0%B0%D0%BC%D0%B8%20%D0%B2%20%D0%BF%D0%BE%D0%BB%D0%B5%201979%20%D1%84%D0%B8%D0%BB%D1%8C%D0%BC","искать")</f>
        <v/>
      </c>
      <c r="N323" s="3" t="n"/>
      <c r="O323" s="2" t="n"/>
      <c r="P323" s="2" t="n"/>
    </row>
    <row r="324">
      <c r="A324" s="2" t="n">
        <v>323</v>
      </c>
      <c r="B324" s="2" t="inlineStr">
        <is>
          <t>обрыв</t>
        </is>
      </c>
      <c r="C324" s="2" t="n">
        <v>7529</v>
      </c>
      <c r="D324" s="3" t="inlineStr">
        <is>
          <t>Долгая дорога в дюнах</t>
        </is>
      </c>
      <c r="E324" s="2" t="n">
        <v>1980</v>
      </c>
      <c r="F324" s="2" t="inlineStr">
        <is>
          <t>телефильм</t>
        </is>
      </c>
      <c r="G324" s="2" t="n"/>
      <c r="H324" s="2" t="n">
        <v>299</v>
      </c>
      <c r="I324" s="2" t="inlineStr">
        <is>
          <t>да</t>
        </is>
      </c>
      <c r="J324" s="2" t="inlineStr">
        <is>
          <t>да</t>
        </is>
      </c>
      <c r="K324" s="3" t="inlineStr">
        <is>
          <t>Телесериал. Действие фильма происходит в Латвии и охватывает период с 1939 года до начала 1970-х годов. События, происходившие в стране, по-разному повлияли на судьбы героев. Но всех их вела по жизни любовь - разбрасывала и собирала, заставляла жестоко страдать и делала самыми счастливыми в мире...</t>
        </is>
      </c>
      <c r="L324" s="2" t="inlineStr">
        <is>
          <t>Кино_СССР сводный каталог.xlsx: список телефильмов</t>
        </is>
      </c>
      <c r="M324" s="2">
        <f>HYPERLINK("https://ru.wikipedia.org/w/index.php?search=%D0%94%D0%BE%D0%BB%D0%B3%D0%B0%D1%8F%20%D0%B4%D0%BE%D1%80%D0%BE%D0%B3%D0%B0%20%D0%B2%20%D0%B4%D1%8E%D0%BD%D0%B0%D1%85%201980%20%D1%84%D0%B8%D0%BB%D1%8C%D0%BC","искать")</f>
        <v/>
      </c>
      <c r="N324" s="3" t="n"/>
      <c r="O324" s="2" t="n"/>
      <c r="P324" s="2" t="n"/>
    </row>
    <row r="325">
      <c r="A325" s="2" t="n">
        <v>324</v>
      </c>
      <c r="B325" s="2" t="inlineStr">
        <is>
          <t>обрыв</t>
        </is>
      </c>
      <c r="C325" s="2" t="n">
        <v>9788</v>
      </c>
      <c r="D325" s="3" t="inlineStr">
        <is>
          <t>Ятринская ведьма</t>
        </is>
      </c>
      <c r="E325" s="2" t="n">
        <v>1991</v>
      </c>
      <c r="F325" s="2" t="inlineStr">
        <is>
          <t>кинофильм</t>
        </is>
      </c>
      <c r="G325" s="2" t="n"/>
      <c r="H325" s="2" t="n">
        <v>299</v>
      </c>
      <c r="I325" s="2" t="inlineStr">
        <is>
          <t>да</t>
        </is>
      </c>
      <c r="J325" s="2" t="inlineStr"/>
      <c r="K325" s="3" t="inlineStr">
        <is>
          <t>Сюжет фильма заимствован из исторических хроник XVI века. Корсака, сына воеводы, ожидает служба у короля. Но он влюблен в жену ятринского священника Раину и для него отъезд теперь равносилен смерти. Он остается, а красавицу Раину злые языки называют колдуньей. Готовится суд и ее ожидает сожжение...</t>
        </is>
      </c>
      <c r="L325" s="2" t="inlineStr">
        <is>
          <t>Кино_СССР сводный каталог.xlsx: список фильмов (доп.)</t>
        </is>
      </c>
      <c r="M325" s="2">
        <f>HYPERLINK("https://ru.wikipedia.org/w/index.php?search=%D0%AF%D1%82%D1%80%D0%B8%D0%BD%D1%81%D0%BA%D0%B0%D1%8F%20%D0%B2%D0%B5%D0%B4%D1%8C%D0%BC%D0%B0%201991%20%D1%84%D0%B8%D0%BB%D1%8C%D0%BC","искать")</f>
        <v/>
      </c>
      <c r="N325" s="3" t="n"/>
      <c r="O325" s="2" t="n"/>
      <c r="P325" s="2" t="n"/>
    </row>
    <row r="326">
      <c r="A326" s="2" t="n">
        <v>325</v>
      </c>
      <c r="B326" s="2" t="inlineStr">
        <is>
          <t>обрыв</t>
        </is>
      </c>
      <c r="C326" s="2" t="n">
        <v>9799</v>
      </c>
      <c r="D326" s="3" t="inlineStr">
        <is>
          <t>Ночь на 4-ом круге</t>
        </is>
      </c>
      <c r="E326" s="2" t="n">
        <v>1981</v>
      </c>
      <c r="F326" s="2" t="inlineStr">
        <is>
          <t>кинофильм</t>
        </is>
      </c>
      <c r="G326" s="2" t="inlineStr">
        <is>
          <t>Ленфильм</t>
        </is>
      </c>
      <c r="H326" s="2" t="n">
        <v>300</v>
      </c>
      <c r="I326" s="2" t="inlineStr">
        <is>
          <t>да</t>
        </is>
      </c>
      <c r="J326" s="2" t="inlineStr"/>
      <c r="K326" s="3" t="inlineStr">
        <is>
          <t>На узловую железнодорожную станцию вне расписания должен подойти состав с атомным реактором. Пропустить его - значит сорвать движение других поездов. Дежурный принимает на себя ответственность и решает задержать внеплановый состав. И теперь - в течение этой ночи - он будет отстаивать свое решение...</t>
        </is>
      </c>
      <c r="L326" s="2" t="inlineStr">
        <is>
          <t>https://www.kino-teatr.ru/kino/movie/sov/4560/annot/</t>
        </is>
      </c>
      <c r="M326" s="2">
        <f>HYPERLINK("https://ru.wikipedia.org/w/index.php?search=%D0%9D%D0%BE%D1%87%D1%8C%20%D0%BD%D0%B0%204-%D0%BE%D0%BC%20%D0%BA%D1%80%D1%83%D0%B3%D0%B5%201981%20%D1%84%D0%B8%D0%BB%D1%8C%D0%BC","искать")</f>
        <v/>
      </c>
      <c r="N326" s="3" t="n"/>
      <c r="O326" s="2" t="n"/>
      <c r="P326" s="2" t="n"/>
    </row>
    <row r="327">
      <c r="A327" s="2" t="n">
        <v>326</v>
      </c>
      <c r="B327" s="2" t="inlineStr">
        <is>
          <t>обрыв</t>
        </is>
      </c>
      <c r="C327" s="2" t="n">
        <v>10975</v>
      </c>
      <c r="D327" s="3" t="inlineStr">
        <is>
          <t>Этот фантастический мир. Выпуск 7</t>
        </is>
      </c>
      <c r="E327" s="2" t="n">
        <v>1982</v>
      </c>
      <c r="F327" s="2" t="inlineStr">
        <is>
          <t>фильм-спектакль</t>
        </is>
      </c>
      <c r="G327" s="2" t="inlineStr">
        <is>
          <t>Главная редакция программ для детей и юношества ЦТ</t>
        </is>
      </c>
      <c r="H327" s="2" t="n">
        <v>301</v>
      </c>
      <c r="I327" s="2" t="inlineStr">
        <is>
          <t>да</t>
        </is>
      </c>
      <c r="J327" s="2" t="inlineStr"/>
      <c r="K327" s="3" t="inlineStr">
        <is>
          <t>Главные действующие лица этого выпуска популярного телеальманаха - герои фантастических рассказов советского писателя О.Лукьянова "Принцип неопределенности" и американского писателя А.Порджеса "Ценный товар". Во время встречи с обитателями иных планет земляне сталкиваются с удивительными явлениями...</t>
        </is>
      </c>
      <c r="L327" s="2" t="inlineStr">
        <is>
          <t>https://www.kino-teatr.ru/teatr/movie/30884/annot/</t>
        </is>
      </c>
      <c r="M327" s="2">
        <f>HYPERLINK("https://ru.wikipedia.org/w/index.php?search=%D0%AD%D1%82%D0%BE%D1%82%20%D1%84%D0%B0%D0%BD%D1%82%D0%B0%D1%81%D1%82%D0%B8%D1%87%D0%B5%D1%81%D0%BA%D0%B8%D0%B9%20%D0%BC%D0%B8%D1%80.%20%D0%92%D1%8B%D0%BF%D1%83%D1%81%D0%BA%207%201982%20%D1%84%D0%B8%D0%BB%D1%8C%D0%BC","искать")</f>
        <v/>
      </c>
      <c r="N327" s="3" t="n"/>
      <c r="O327" s="2" t="n"/>
      <c r="P327" s="2" t="n"/>
    </row>
    <row r="328">
      <c r="A328" s="2" t="n">
        <v>327</v>
      </c>
      <c r="B328" s="2" t="inlineStr">
        <is>
          <t>обрыв</t>
        </is>
      </c>
      <c r="C328" s="2" t="n">
        <v>10024</v>
      </c>
      <c r="D328" s="3" t="inlineStr">
        <is>
          <t>Теплый хлеб</t>
        </is>
      </c>
      <c r="E328" s="2" t="n">
        <v>1987</v>
      </c>
      <c r="F328" s="2" t="inlineStr">
        <is>
          <t>кинофильм</t>
        </is>
      </c>
      <c r="G328" s="2" t="inlineStr">
        <is>
          <t>Киевнаучфильм, Подборки фильмов, экранизации Константина Паустовского</t>
        </is>
      </c>
      <c r="H328" s="2" t="n">
        <v>302</v>
      </c>
      <c r="I328" s="2" t="inlineStr">
        <is>
          <t>да</t>
        </is>
      </c>
      <c r="J328" s="2" t="inlineStr"/>
      <c r="K328" s="3" t="inlineStr">
        <is>
          <t>По мотивам одноименной сказки К.Паустовского "Теплый хлеб".
О том, как сельский мальчик Филька обидел раненую лошадь. Этот дурной поступок нарушает естественный порядок вещей и приносит несчастье всем жителям деревни - в разгаре лета наступает зима. И только добро способно все вернуть на свои места...</t>
        </is>
      </c>
      <c r="L328" s="2" t="inlineStr">
        <is>
          <t>https://www.kino-teatr.ru/short/movie/sov/81192/annot/</t>
        </is>
      </c>
      <c r="M328" s="2">
        <f>HYPERLINK("https://ru.wikipedia.org/w/index.php?search=%D0%A2%D0%B5%D0%BF%D0%BB%D1%8B%D0%B9%20%D1%85%D0%BB%D0%B5%D0%B1%201987%20%D1%84%D0%B8%D0%BB%D1%8C%D0%BC","искать")</f>
        <v/>
      </c>
      <c r="N328" s="3" t="n"/>
      <c r="O328" s="2" t="n"/>
      <c r="P328" s="2" t="n"/>
    </row>
    <row r="329">
      <c r="A329" s="2" t="n">
        <v>328</v>
      </c>
      <c r="B329" s="2" t="inlineStr">
        <is>
          <t>обрыв</t>
        </is>
      </c>
      <c r="C329" s="2" t="n">
        <v>11145</v>
      </c>
      <c r="D329" s="3" t="inlineStr">
        <is>
          <t>Гнездо глухаря</t>
        </is>
      </c>
      <c r="E329" s="2" t="n">
        <v>1987</v>
      </c>
      <c r="F329" s="2" t="inlineStr">
        <is>
          <t>фильм-спектакль</t>
        </is>
      </c>
      <c r="G329" s="2" t="inlineStr">
        <is>
          <t>Главная редакция литературно-драматических программ ЦТ</t>
        </is>
      </c>
      <c r="H329" s="2" t="n">
        <v>302</v>
      </c>
      <c r="I329" s="2" t="inlineStr">
        <is>
          <t>да</t>
        </is>
      </c>
      <c r="J329" s="2" t="inlineStr"/>
      <c r="K329" s="3" t="inlineStr">
        <is>
          <t>По одноменной пьесе В.Розова в постановке Московского академического театра сатиры.
Действие происходит в семье ответственного работника Судакова. Он умен, практичен, умеет поддерживать полезные связи и, конечно, уверен в благополучии своей семьи. Но оказывается, что не всё ладно в "гнезде глухаря"...</t>
        </is>
      </c>
      <c r="L329" s="2" t="inlineStr">
        <is>
          <t>https://www.kino-teatr.ru/teatr/movie/16083/annot/</t>
        </is>
      </c>
      <c r="M329" s="2">
        <f>HYPERLINK("https://ru.wikipedia.org/w/index.php?search=%D0%93%D0%BD%D0%B5%D0%B7%D0%B4%D0%BE%20%D0%B3%D0%BB%D1%83%D1%85%D0%B0%D1%80%D1%8F%201987%20%D1%84%D0%B8%D0%BB%D1%8C%D0%BC","искать")</f>
        <v/>
      </c>
      <c r="N329" s="3" t="n"/>
      <c r="O329" s="2" t="n"/>
      <c r="P329" s="2" t="n"/>
    </row>
    <row r="330">
      <c r="A330" s="2" t="n">
        <v>329</v>
      </c>
      <c r="B330" s="2" t="inlineStr">
        <is>
          <t>обрыв</t>
        </is>
      </c>
      <c r="C330" s="2" t="n">
        <v>10722</v>
      </c>
      <c r="D330" s="3" t="inlineStr">
        <is>
          <t>Человек с ружьём</t>
        </is>
      </c>
      <c r="E330" s="2" t="n">
        <v>1977</v>
      </c>
      <c r="F330" s="2" t="inlineStr">
        <is>
          <t>фильм-спектакль</t>
        </is>
      </c>
      <c r="G330" s="2" t="n"/>
      <c r="H330" s="2" t="n">
        <v>304</v>
      </c>
      <c r="I330" s="2" t="inlineStr">
        <is>
          <t>да</t>
        </is>
      </c>
      <c r="J330" s="2" t="inlineStr"/>
      <c r="K330" s="3" t="inlineStr">
        <is>
          <t>Пьеса Николая Погодина в постановке Театра им. Е.Вахтангова.
1917 год. Солдат Иван Шадрин отправляется с фронта в революционный Петроград, с письмом к Ленину. Шадрин и его товарищи верят, что Ленин даст ответы на все вопросы, волнующие рабочих. В то время на Петроград наступает войско генерала Краснова…</t>
        </is>
      </c>
      <c r="L330" s="2" t="inlineStr">
        <is>
          <t>https://www.kino-teatr.ru/teatr/movie/15414/annot/</t>
        </is>
      </c>
      <c r="M330" s="2">
        <f>HYPERLINK("https://ru.wikipedia.org/w/index.php?search=%D0%A7%D0%B5%D0%BB%D0%BE%D0%B2%D0%B5%D0%BA%20%D1%81%20%D1%80%D1%83%D0%B6%D1%8C%D1%91%D0%BC%201977%20%D1%84%D0%B8%D0%BB%D1%8C%D0%BC","искать")</f>
        <v/>
      </c>
      <c r="N330" s="3" t="n"/>
      <c r="O330" s="2" t="n"/>
      <c r="P330" s="2" t="n"/>
    </row>
    <row r="331">
      <c r="A331" s="2" t="n">
        <v>330</v>
      </c>
      <c r="B331" s="2" t="inlineStr">
        <is>
          <t>обрыв</t>
        </is>
      </c>
      <c r="C331" s="2" t="n">
        <v>8664</v>
      </c>
      <c r="D331" s="3" t="inlineStr">
        <is>
          <t>Волшебный мир балета</t>
        </is>
      </c>
      <c r="E331" s="2" t="n">
        <v>1988</v>
      </c>
      <c r="F331" s="2" t="inlineStr">
        <is>
          <t>кинофильм</t>
        </is>
      </c>
      <c r="G331" s="2" t="n"/>
      <c r="H331" s="2" t="n">
        <v>307</v>
      </c>
      <c r="I331" s="2" t="inlineStr">
        <is>
          <t>да</t>
        </is>
      </c>
      <c r="J331" s="2" t="inlineStr"/>
      <c r="K331" s="3" t="inlineStr">
        <is>
          <t>В многосерийном фильме «Волшебный мир балета» представлены: «Щелкунчик» на музыку П.И.Чайковского, «Конек-Горбунок» на музыку Родиона Щедрина, «Золушка» по мотивам сказки Ш.Перро на музыку С.Прокофьева, "Петя и Волк" на музыку С.Прокофьева, «Буря» на музыку оркестровой пьесы П.Чайковского по мотивам пьесы…</t>
        </is>
      </c>
      <c r="L331" s="2" t="inlineStr">
        <is>
          <t>Кино_СССР сводный каталог.xlsx: список фильмов (доп.)</t>
        </is>
      </c>
      <c r="M331" s="2">
        <f>HYPERLINK("https://ru.wikipedia.org/w/index.php?search=%D0%92%D0%BE%D0%BB%D1%88%D0%B5%D0%B1%D0%BD%D1%8B%D0%B9%20%D0%BC%D0%B8%D1%80%20%D0%B1%D0%B0%D0%BB%D0%B5%D1%82%D0%B0%201988%20%D1%84%D0%B8%D0%BB%D1%8C%D0%BC","искать")</f>
        <v/>
      </c>
      <c r="N331" s="3" t="n"/>
      <c r="O331" s="2" t="n"/>
      <c r="P331" s="2" t="n"/>
    </row>
    <row r="332">
      <c r="A332" s="2" t="n">
        <v>331</v>
      </c>
      <c r="B332" s="2" t="inlineStr">
        <is>
          <t>обрыв</t>
        </is>
      </c>
      <c r="C332" s="2" t="n">
        <v>10824</v>
      </c>
      <c r="D332" s="3" t="inlineStr">
        <is>
          <t>Цветок душистый прерий</t>
        </is>
      </c>
      <c r="E332" s="2" t="n">
        <v>1979</v>
      </c>
      <c r="F332" s="2" t="inlineStr">
        <is>
          <t>фильм-спектакль</t>
        </is>
      </c>
      <c r="G332" s="2" t="inlineStr">
        <is>
          <t>Главная редакция музыкальных программ ЦТ</t>
        </is>
      </c>
      <c r="H332" s="2" t="n">
        <v>308</v>
      </c>
      <c r="I332" s="2" t="inlineStr">
        <is>
          <t>да</t>
        </is>
      </c>
      <c r="J332" s="2" t="inlineStr"/>
      <c r="K332" s="3" t="inlineStr">
        <is>
          <t>По оперетте "Роз-Мари" Р.Фримля и Г.Стотгарта.
История эта произошла в конце ХIХ века в Канаде во времена золотой лихорадки. Владелец золотых приисков намерен жениться на сестре своего секретаря - прекрасной Роз Мари. Но девушка влюблена в ковбоя и золотоискателя Джима Каньона, которого обвиняют в убийстве…</t>
        </is>
      </c>
      <c r="L332" s="2" t="inlineStr">
        <is>
          <t>https://www.kino-teatr.ru/teatr/movie/137880/annot/</t>
        </is>
      </c>
      <c r="M332" s="2">
        <f>HYPERLINK("https://ru.wikipedia.org/w/index.php?search=%D0%A6%D0%B2%D0%B5%D1%82%D0%BE%D0%BA%20%D0%B4%D1%83%D1%88%D0%B8%D1%81%D1%82%D1%8B%D0%B9%20%D0%BF%D1%80%D0%B5%D1%80%D0%B8%D0%B9%201979%20%D1%84%D0%B8%D0%BB%D1%8C%D0%BC","искать")</f>
        <v/>
      </c>
      <c r="N332" s="3" t="n"/>
      <c r="O332" s="2" t="n"/>
      <c r="P332" s="2" t="n"/>
    </row>
    <row r="333">
      <c r="A333" s="2" t="n">
        <v>332</v>
      </c>
      <c r="B333" s="2" t="inlineStr">
        <is>
          <t>обрыв</t>
        </is>
      </c>
      <c r="C333" s="2" t="n">
        <v>10937</v>
      </c>
      <c r="D333" s="3" t="inlineStr">
        <is>
          <t>Джентльмены из Конгресса</t>
        </is>
      </c>
      <c r="E333" s="2" t="n">
        <v>1982</v>
      </c>
      <c r="F333" s="2" t="inlineStr">
        <is>
          <t>фильм-спектакль</t>
        </is>
      </c>
      <c r="G333" s="2" t="inlineStr">
        <is>
          <t>Гл. ред. лит-драм программ</t>
        </is>
      </c>
      <c r="H333" s="2" t="n">
        <v>310</v>
      </c>
      <c r="I333" s="2" t="inlineStr">
        <is>
          <t>да</t>
        </is>
      </c>
      <c r="J333" s="2" t="inlineStr"/>
      <c r="K333" s="3" t="inlineStr">
        <is>
          <t>По сюжету американского драматурга М.Андерсена "Оба ваши дома". Молодой конгрессмен Аллен Маклин, выбранный в комиссию по ассигнованиям конгресса США, узнает о многочисленных финансовых махинациях членов этой комиссии. Наивно полагая, что он сможет их разоблачить, Аллен сам попадает в ловушку конгрессменов...</t>
        </is>
      </c>
      <c r="L333" s="2" t="inlineStr">
        <is>
          <t>https://www.kino-teatr.ru/teatr/movie/81196/annot/</t>
        </is>
      </c>
      <c r="M333" s="2">
        <f>HYPERLINK("https://ru.wikipedia.org/w/index.php?search=%D0%94%D0%B6%D0%B5%D0%BD%D1%82%D0%BB%D1%8C%D0%BC%D0%B5%D0%BD%D1%8B%20%D0%B8%D0%B7%20%D0%9A%D0%BE%D0%BD%D0%B3%D1%80%D0%B5%D1%81%D1%81%D0%B0%201982%20%D1%84%D0%B8%D0%BB%D1%8C%D0%BC","искать")</f>
        <v/>
      </c>
      <c r="N333" s="3" t="n"/>
      <c r="O333" s="2" t="n"/>
      <c r="P333" s="2" t="n"/>
    </row>
    <row r="334">
      <c r="A334" s="2" t="n">
        <v>333</v>
      </c>
      <c r="B334" s="2" t="inlineStr">
        <is>
          <t>обрыв</t>
        </is>
      </c>
      <c r="C334" s="2" t="n">
        <v>10010</v>
      </c>
      <c r="D334" s="3" t="inlineStr">
        <is>
          <t>Холода в начале весны</t>
        </is>
      </c>
      <c r="E334" s="2" t="n">
        <v>1985</v>
      </c>
      <c r="F334" s="2" t="inlineStr">
        <is>
          <t>кинофильм</t>
        </is>
      </c>
      <c r="G334" s="2" t="inlineStr">
        <is>
          <t>Беларусьфильм</t>
        </is>
      </c>
      <c r="H334" s="2" t="n">
        <v>311</v>
      </c>
      <c r="I334" s="2" t="inlineStr">
        <is>
          <t>да</t>
        </is>
      </c>
      <c r="J334" s="2" t="inlineStr"/>
      <c r="K334" s="3" t="inlineStr">
        <is>
          <t>По мотивам рассказа А.Кудравца. Действие происходит в годы Великой Отечественной войны в Белоруссии. Деревня, в которой жил мальчик Кастусь, находилась в партизанской зоне. Вскоре он подружился с партизанами, которые стали для него близкими людьми. Неожиданна и тяжела стала для Кастуся потеря старших друзей...</t>
        </is>
      </c>
      <c r="L334" s="2" t="inlineStr">
        <is>
          <t>https://www.kino-teatr.ru/short/movie/sov/106097/annot/</t>
        </is>
      </c>
      <c r="M334" s="2">
        <f>HYPERLINK("https://ru.wikipedia.org/w/index.php?search=%D0%A5%D0%BE%D0%BB%D0%BE%D0%B4%D0%B0%20%D0%B2%20%D0%BD%D0%B0%D1%87%D0%B0%D0%BB%D0%B5%20%D0%B2%D0%B5%D1%81%D0%BD%D1%8B%201985%20%D1%84%D0%B8%D0%BB%D1%8C%D0%BC","искать")</f>
        <v/>
      </c>
      <c r="N334" s="3" t="n"/>
      <c r="O334" s="2" t="n"/>
      <c r="P334" s="2" t="n"/>
    </row>
    <row r="335">
      <c r="A335" s="2" t="n">
        <v>334</v>
      </c>
      <c r="B335" s="2" t="inlineStr">
        <is>
          <t>обрыв</t>
        </is>
      </c>
      <c r="C335" s="2" t="n">
        <v>10026</v>
      </c>
      <c r="D335" s="3" t="inlineStr">
        <is>
          <t>Билет в один конец</t>
        </is>
      </c>
      <c r="E335" s="2" t="n">
        <v>1988</v>
      </c>
      <c r="F335" s="2" t="inlineStr">
        <is>
          <t>телефильм</t>
        </is>
      </c>
      <c r="G335" s="2" t="inlineStr">
        <is>
          <t>Одесская к/ст по заказу Гостелерадио СССР</t>
        </is>
      </c>
      <c r="H335" s="2" t="n">
        <v>311</v>
      </c>
      <c r="I335" s="2" t="inlineStr">
        <is>
          <t>да</t>
        </is>
      </c>
      <c r="J335" s="2" t="inlineStr"/>
      <c r="K335" s="3" t="inlineStr">
        <is>
          <t>Четырнадцатилетний Мик за хулиганство попадает в отделение милиции. Здесь он сочиняет про себя, что будто бы занимается акробатикой у тренера Крылова. В милицию вызывают теперь и Крылова. Но странное дело, Крылов подтверждает показания подростка, дает за него поручительство и зачисляет мальчишку в свою группу…</t>
        </is>
      </c>
      <c r="L335" s="2" t="inlineStr">
        <is>
          <t>https://www.kino-teatr.ru/short/movie/sov/540/annot/</t>
        </is>
      </c>
      <c r="M335" s="2">
        <f>HYPERLINK("https://ru.wikipedia.org/w/index.php?search=%D0%91%D0%B8%D0%BB%D0%B5%D1%82%20%D0%B2%20%D0%BE%D0%B4%D0%B8%D0%BD%20%D0%BA%D0%BE%D0%BD%D0%B5%D1%86%201988%20%D1%84%D0%B8%D0%BB%D1%8C%D0%BC","искать")</f>
        <v/>
      </c>
      <c r="N335" s="3" t="n"/>
      <c r="O335" s="2" t="n"/>
      <c r="P335" s="2" t="n"/>
    </row>
    <row r="336">
      <c r="A336" s="2" t="n">
        <v>335</v>
      </c>
      <c r="B336" s="2" t="inlineStr">
        <is>
          <t>обрыв</t>
        </is>
      </c>
      <c r="C336" s="2" t="n">
        <v>10551</v>
      </c>
      <c r="D336" s="3" t="inlineStr">
        <is>
          <t>Время и семья Конвей</t>
        </is>
      </c>
      <c r="E336" s="2" t="n">
        <v>1974</v>
      </c>
      <c r="F336" s="2" t="inlineStr">
        <is>
          <t>фильм-спектакль</t>
        </is>
      </c>
      <c r="G336" s="2" t="inlineStr">
        <is>
          <t>Гл. ред. лит-драм программ</t>
        </is>
      </c>
      <c r="H336" s="2" t="n">
        <v>312</v>
      </c>
      <c r="I336" s="2" t="inlineStr">
        <is>
          <t>да</t>
        </is>
      </c>
      <c r="J336" s="2" t="inlineStr"/>
      <c r="K336" s="3" t="inlineStr">
        <is>
          <t>По одноименной драме Дж.Пристли в постановке Московского театра им. М.Н.Ермоловой.
Действие происходит в одном из провинциальных городов Англии. Окончилась первая мировая война. Каждый из членов семьи Конвей мечтает об исполнении надежд. Однако выясняется, что финансовое состояние их матери крайне расстроено...</t>
        </is>
      </c>
      <c r="L336" s="2" t="inlineStr">
        <is>
          <t>https://www.kino-teatr.ru/teatr/movie/16331/annot/</t>
        </is>
      </c>
      <c r="M336" s="2">
        <f>HYPERLINK("https://ru.wikipedia.org/w/index.php?search=%D0%92%D1%80%D0%B5%D0%BC%D1%8F%20%D0%B8%20%D1%81%D0%B5%D0%BC%D1%8C%D1%8F%20%D0%9A%D0%BE%D0%BD%D0%B2%D0%B5%D0%B9%201974%20%D1%84%D0%B8%D0%BB%D1%8C%D0%BC","искать")</f>
        <v/>
      </c>
      <c r="N336" s="3" t="n"/>
      <c r="O336" s="2" t="n"/>
      <c r="P336" s="2" t="n"/>
    </row>
    <row r="337">
      <c r="A337" s="2" t="n">
        <v>336</v>
      </c>
      <c r="B337" s="2" t="inlineStr">
        <is>
          <t>обрыв</t>
        </is>
      </c>
      <c r="C337" s="2" t="n">
        <v>10526</v>
      </c>
      <c r="D337" s="3" t="inlineStr">
        <is>
          <t>Так и будет</t>
        </is>
      </c>
      <c r="E337" s="2" t="n">
        <v>1973</v>
      </c>
      <c r="F337" s="2" t="inlineStr">
        <is>
          <t>фильм-спектакль</t>
        </is>
      </c>
      <c r="G337" s="2" t="inlineStr">
        <is>
          <t>Гл. ред. лит-драм программ</t>
        </is>
      </c>
      <c r="H337" s="2" t="n">
        <v>313</v>
      </c>
      <c r="I337" s="2" t="inlineStr">
        <is>
          <t>да</t>
        </is>
      </c>
      <c r="J337" s="2" t="inlineStr"/>
      <c r="K337" s="3" t="inlineStr">
        <is>
          <t>По одноименной пьесе К.Симонова в постановке Государственного академического Малого театра Союза ССР.
Описаны события сентября 1944 года, когда в Москву на несколько дней приезжает военный инженер Савельев. В своей квартире он застает новых жильцов – семью Воронцовых. Между ним и Олей вспыхивает взаимная любовь…</t>
        </is>
      </c>
      <c r="L337" s="2" t="inlineStr">
        <is>
          <t>https://www.kino-teatr.ru/teatr/movie/10677/annot/</t>
        </is>
      </c>
      <c r="M337" s="2">
        <f>HYPERLINK("https://ru.wikipedia.org/w/index.php?search=%D0%A2%D0%B0%D0%BA%20%D0%B8%20%D0%B1%D1%83%D0%B4%D0%B5%D1%82%201973%20%D1%84%D0%B8%D0%BB%D1%8C%D0%BC","искать")</f>
        <v/>
      </c>
      <c r="N337" s="3" t="n"/>
      <c r="O337" s="2" t="n"/>
      <c r="P337" s="2" t="n"/>
    </row>
    <row r="338">
      <c r="A338" s="2" t="n">
        <v>337</v>
      </c>
      <c r="B338" s="2" t="inlineStr">
        <is>
          <t>обрыв</t>
        </is>
      </c>
      <c r="C338" s="2" t="n">
        <v>11095</v>
      </c>
      <c r="D338" s="3" t="inlineStr">
        <is>
          <t>Белая лошадь - горе не моё</t>
        </is>
      </c>
      <c r="E338" s="2" t="n">
        <v>1986</v>
      </c>
      <c r="F338" s="2" t="inlineStr">
        <is>
          <t>фильм-спектакль</t>
        </is>
      </c>
      <c r="G338" s="2" t="inlineStr">
        <is>
          <t>Главная редакция программ для детей Центральное телевидение</t>
        </is>
      </c>
      <c r="H338" s="2" t="n">
        <v>313</v>
      </c>
      <c r="I338" s="2" t="inlineStr">
        <is>
          <t>да</t>
        </is>
      </c>
      <c r="J338" s="2" t="inlineStr"/>
      <c r="K338" s="3" t="inlineStr">
        <is>
          <t>По одноименной повести Наталии Соломко.
О молодом учителе географии Александре Арсеньевиче, который пытается по-новому решать школьные проблемы. Однако отсутствие опыта мешает ему реализовать свои намерения. С помощью опытного педагога Матвея Ивановича герой старается постичь премудрости учительской профессии...</t>
        </is>
      </c>
      <c r="L338" s="2" t="inlineStr">
        <is>
          <t>https://www.kino-teatr.ru/teatr/movie/83733/annot/</t>
        </is>
      </c>
      <c r="M338" s="2">
        <f>HYPERLINK("https://ru.wikipedia.org/w/index.php?search=%D0%91%D0%B5%D0%BB%D0%B0%D1%8F%20%D0%BB%D0%BE%D1%88%D0%B0%D0%B4%D1%8C%20-%20%D0%B3%D0%BE%D1%80%D0%B5%20%D0%BD%D0%B5%20%D0%BC%D0%BE%D1%91%201986%20%D1%84%D0%B8%D0%BB%D1%8C%D0%BC","искать")</f>
        <v/>
      </c>
      <c r="N338" s="3" t="n"/>
      <c r="O338" s="2" t="n"/>
      <c r="P338" s="2" t="n"/>
    </row>
    <row r="339">
      <c r="A339" s="2" t="n">
        <v>338</v>
      </c>
      <c r="B339" s="2" t="inlineStr">
        <is>
          <t>обрыв</t>
        </is>
      </c>
      <c r="C339" s="2" t="n">
        <v>7953</v>
      </c>
      <c r="D339" s="3" t="inlineStr">
        <is>
          <t>Насыпь</t>
        </is>
      </c>
      <c r="E339" s="2" t="n">
        <v>1970</v>
      </c>
      <c r="F339" s="2" t="inlineStr">
        <is>
          <t>телефильм</t>
        </is>
      </c>
      <c r="G339" s="2" t="n"/>
      <c r="H339" s="2" t="n">
        <v>314</v>
      </c>
      <c r="I339" s="2" t="inlineStr">
        <is>
          <t>да</t>
        </is>
      </c>
      <c r="J339" s="2" t="inlineStr"/>
      <c r="K339" s="3" t="inlineStr">
        <is>
          <t>Телефильм. Действие фильма происходит в годы Великой Отечественной войны на территории Латвии. Возле железнодорожной насыпи прячутся партизаны Андрей и Суровый. Они должны взорвать эшелон противника. Сюда же приезжает на покос Озолс со своей семьей. Андрей тяжело ранен, и Суровый просит латышскую семью им помочь…</t>
        </is>
      </c>
      <c r="L339" s="2" t="inlineStr">
        <is>
          <t>Кино_СССР сводный каталог.xlsx: список телефильмов</t>
        </is>
      </c>
      <c r="M339" s="2">
        <f>HYPERLINK("https://ru.wikipedia.org/w/index.php?search=%D0%9D%D0%B0%D1%81%D1%8B%D0%BF%D1%8C%201970%20%D1%84%D0%B8%D0%BB%D1%8C%D0%BC","искать")</f>
        <v/>
      </c>
      <c r="N339" s="3" t="n"/>
      <c r="O339" s="2" t="n"/>
      <c r="P339" s="2" t="n"/>
    </row>
    <row r="340">
      <c r="A340" s="2" t="n">
        <v>339</v>
      </c>
      <c r="B340" s="2" t="inlineStr">
        <is>
          <t>обрыв</t>
        </is>
      </c>
      <c r="C340" s="2" t="n">
        <v>8910</v>
      </c>
      <c r="D340" s="3" t="inlineStr">
        <is>
          <t>Отстраненные (киноальманах)</t>
        </is>
      </c>
      <c r="E340" s="2" t="n">
        <v>1989</v>
      </c>
      <c r="F340" s="2" t="inlineStr">
        <is>
          <t>кинофильм</t>
        </is>
      </c>
      <c r="G340" s="2" t="n"/>
      <c r="H340" s="2" t="n">
        <v>314</v>
      </c>
      <c r="I340" s="2" t="inlineStr">
        <is>
          <t>да</t>
        </is>
      </c>
      <c r="J340" s="2" t="inlineStr"/>
      <c r="K340" s="3" t="inlineStr">
        <is>
          <t>Фильмы в составе: Отстраненные, Колодец, Торжество. В небольшой горной деревушке живет старик, которому до всего есть дело. Бесконечные советы и поучения, накопленные долгим житейским опытом, герой стремиться выплеснуть на каждого. Кого-то это раздражает, кто-то его не слышат, а кто-то просто не слушает чудака...</t>
        </is>
      </c>
      <c r="L340" s="2" t="inlineStr">
        <is>
          <t>Кино_СССР сводный каталог.xlsx: список фильмов (доп.)</t>
        </is>
      </c>
      <c r="M340" s="2">
        <f>HYPERLINK("https://ru.wikipedia.org/w/index.php?search=%D0%9E%D1%82%D1%81%D1%82%D1%80%D0%B0%D0%BD%D0%B5%D0%BD%D0%BD%D1%8B%D0%B5%20%28%D0%BA%D0%B8%D0%BD%D0%BE%D0%B0%D0%BB%D1%8C%D0%BC%D0%B0%D0%BD%D0%B0%D1%85%29%201989%20%D1%84%D0%B8%D0%BB%D1%8C%D0%BC","искать")</f>
        <v/>
      </c>
      <c r="N340" s="3" t="n"/>
      <c r="O340" s="2" t="n"/>
      <c r="P340" s="2" t="n"/>
    </row>
    <row r="341">
      <c r="A341" s="2" t="n">
        <v>340</v>
      </c>
      <c r="B341" s="2" t="inlineStr">
        <is>
          <t>обрыв</t>
        </is>
      </c>
      <c r="C341" s="2" t="n">
        <v>10852</v>
      </c>
      <c r="D341" s="3" t="inlineStr">
        <is>
          <t>Незнакомец</t>
        </is>
      </c>
      <c r="E341" s="2" t="n">
        <v>1980</v>
      </c>
      <c r="F341" s="2" t="inlineStr">
        <is>
          <t>фильм-спектакль</t>
        </is>
      </c>
      <c r="G341" s="2" t="inlineStr">
        <is>
          <t>Центральное телевидение</t>
        </is>
      </c>
      <c r="H341" s="2" t="n">
        <v>319</v>
      </c>
      <c r="I341" s="2" t="inlineStr">
        <is>
          <t>да</t>
        </is>
      </c>
      <c r="J341" s="2" t="inlineStr"/>
      <c r="K341" s="3" t="inlineStr">
        <is>
          <t>По одноименной комедии Леонида Зорина. В некое учреждение врывается "таинственная фигура", сообщившая, что скоро начнется тестирование всех сотрудников с целью проверки соответствия занимаемым должностям. Это вносит смятение в "стоячее болото" учрежденческого быта и выявляет подлинную сущность каждого из персонажей...</t>
        </is>
      </c>
      <c r="L341" s="2" t="inlineStr">
        <is>
          <t>https://www.kino-teatr.ru/teatr/movie/16805/annot/</t>
        </is>
      </c>
      <c r="M341" s="2">
        <f>HYPERLINK("https://ru.wikipedia.org/w/index.php?search=%D0%9D%D0%B5%D0%B7%D0%BD%D0%B0%D0%BA%D0%BE%D0%BC%D0%B5%D1%86%201980%20%D1%84%D0%B8%D0%BB%D1%8C%D0%BC","искать")</f>
        <v/>
      </c>
      <c r="N341" s="3" t="n"/>
      <c r="O341" s="2" t="n"/>
      <c r="P341" s="2" t="n"/>
    </row>
    <row r="342">
      <c r="A342" s="2" t="n">
        <v>341</v>
      </c>
      <c r="B342" s="2" t="inlineStr">
        <is>
          <t>обрыв</t>
        </is>
      </c>
      <c r="C342" s="2" t="n">
        <v>11185</v>
      </c>
      <c r="D342" s="3" t="inlineStr">
        <is>
          <t>Этот фантастический мир. Выпуск 13</t>
        </is>
      </c>
      <c r="E342" s="2" t="n">
        <v>1987</v>
      </c>
      <c r="F342" s="2" t="inlineStr">
        <is>
          <t>фильм-спектакль</t>
        </is>
      </c>
      <c r="G342" s="2" t="inlineStr">
        <is>
          <t>Главная редакция программ для детей и юношества ЦТ</t>
        </is>
      </c>
      <c r="H342" s="2" t="n">
        <v>319</v>
      </c>
      <c r="I342" s="2" t="inlineStr">
        <is>
          <t>да</t>
        </is>
      </c>
      <c r="J342" s="2" t="inlineStr"/>
      <c r="K342" s="3" t="inlineStr">
        <is>
          <t>По пьесе американского писателя-фантаста Р.Брэдбери "Чикагская бездна". Последствия ядерной войны - разрушения, голод. Оставшиеся в живых люди утратили даже память о былой цивилизации. В центре спектакля - Старик, единственный человек, который помнит о прошлом, ибо без прошлого у человечества не может быть будущего...</t>
        </is>
      </c>
      <c r="L342" s="2" t="inlineStr">
        <is>
          <t>https://www.kino-teatr.ru/teatr/movie/11511/annot/</t>
        </is>
      </c>
      <c r="M342" s="2">
        <f>HYPERLINK("https://ru.wikipedia.org/w/index.php?search=%D0%AD%D1%82%D0%BE%D1%82%20%D1%84%D0%B0%D0%BD%D1%82%D0%B0%D1%81%D1%82%D0%B8%D1%87%D0%B5%D1%81%D0%BA%D0%B8%D0%B9%20%D0%BC%D0%B8%D1%80.%20%D0%92%D1%8B%D0%BF%D1%83%D1%81%D0%BA%2013%201987%20%D1%84%D0%B8%D0%BB%D1%8C%D0%BC","искать")</f>
        <v/>
      </c>
      <c r="N342" s="3" t="n"/>
      <c r="O342" s="2" t="n"/>
      <c r="P342" s="2" t="n"/>
    </row>
    <row r="343">
      <c r="A343" s="2" t="n">
        <v>342</v>
      </c>
      <c r="B343" s="2" t="inlineStr">
        <is>
          <t>обрыв</t>
        </is>
      </c>
      <c r="C343" s="2" t="n">
        <v>7313</v>
      </c>
      <c r="D343" s="3" t="inlineStr">
        <is>
          <t>Ваш специальный корреспондент</t>
        </is>
      </c>
      <c r="E343" s="2" t="n">
        <v>1987</v>
      </c>
      <c r="F343" s="2" t="inlineStr">
        <is>
          <t>телефильм</t>
        </is>
      </c>
      <c r="G343" s="2" t="n"/>
      <c r="H343" s="2" t="n">
        <v>324</v>
      </c>
      <c r="I343" s="2" t="inlineStr">
        <is>
          <t>да</t>
        </is>
      </c>
      <c r="J343" s="2" t="inlineStr"/>
      <c r="K343" s="3" t="inlineStr">
        <is>
          <t>Фильм снят по роману Михаила Чиботару "Пути-дороги".
Журналист республиканской газеты Браниште намеревается написать очерк о председателе передового колхоза. Вскоре герой убеждается в том, что методы руководства председателя сомнительны. Несмотря на давление, Браниште решается все-таки опубликовать разоблачительную статью…</t>
        </is>
      </c>
      <c r="L343" s="2" t="inlineStr">
        <is>
          <t>Кино_СССР сводный каталог.xlsx: список телефильмов</t>
        </is>
      </c>
      <c r="M343" s="2">
        <f>HYPERLINK("https://ru.wikipedia.org/w/index.php?search=%D0%92%D0%B0%D1%88%20%D1%81%D0%BF%D0%B5%D1%86%D0%B8%D0%B0%D0%BB%D1%8C%D0%BD%D1%8B%D0%B9%20%D0%BA%D0%BE%D1%80%D1%80%D0%B5%D1%81%D0%BF%D0%BE%D0%BD%D0%B4%D0%B5%D0%BD%D1%82%201987%20%D1%84%D0%B8%D0%BB%D1%8C%D0%BC","искать")</f>
        <v/>
      </c>
      <c r="N343" s="3" t="n"/>
      <c r="O343" s="2" t="n"/>
      <c r="P343" s="2" t="n"/>
    </row>
    <row r="344">
      <c r="A344" s="2" t="n">
        <v>343</v>
      </c>
      <c r="B344" s="2" t="inlineStr">
        <is>
          <t>обрыв</t>
        </is>
      </c>
      <c r="C344" s="2" t="n">
        <v>10855</v>
      </c>
      <c r="D344" s="3" t="inlineStr">
        <is>
          <t>Окно во двор</t>
        </is>
      </c>
      <c r="E344" s="2" t="n">
        <v>1980</v>
      </c>
      <c r="F344" s="2" t="inlineStr">
        <is>
          <t>фильм-спектакль</t>
        </is>
      </c>
      <c r="G344" s="2" t="inlineStr">
        <is>
          <t>Ленинградское телевидение</t>
        </is>
      </c>
      <c r="H344" s="2" t="n">
        <v>324</v>
      </c>
      <c r="I344" s="2" t="inlineStr">
        <is>
          <t>да</t>
        </is>
      </c>
      <c r="J344" s="2" t="inlineStr"/>
      <c r="K344" s="3" t="inlineStr">
        <is>
          <t>Экранизация одноименного рассказа У.Айриша.
Детектив Джеффрис вынужден постоянно находиться в своей квартире из-за перелома ноги. Имея большое количество свободного времени, он начинает изучать жизнь обитателей дома напротив. Поведение одного из соседей постепенно вызывает у него подозрения. Джеффрис начинает их проверять…</t>
        </is>
      </c>
      <c r="L344" s="2" t="inlineStr">
        <is>
          <t>https://www.kino-teatr.ru/teatr/movie/90464/annot/</t>
        </is>
      </c>
      <c r="M344" s="2">
        <f>HYPERLINK("https://ru.wikipedia.org/w/index.php?search=%D0%9E%D0%BA%D0%BD%D0%BE%20%D0%B2%D0%BE%20%D0%B4%D0%B2%D0%BE%D1%80%201980%20%D1%84%D0%B8%D0%BB%D1%8C%D0%BC","искать")</f>
        <v/>
      </c>
      <c r="N344" s="3" t="n"/>
      <c r="O344" s="2" t="n"/>
      <c r="P344" s="2" t="n"/>
    </row>
    <row r="345">
      <c r="A345" s="2" t="n">
        <v>344</v>
      </c>
      <c r="B345" s="2" t="inlineStr">
        <is>
          <t>обрыв</t>
        </is>
      </c>
      <c r="C345" s="2" t="n">
        <v>10999</v>
      </c>
      <c r="D345" s="3" t="inlineStr">
        <is>
          <t>Не заплачу!</t>
        </is>
      </c>
      <c r="E345" s="2" t="n">
        <v>1983</v>
      </c>
      <c r="F345" s="2" t="inlineStr">
        <is>
          <t>фильм-спектакль</t>
        </is>
      </c>
      <c r="G345" s="2" t="inlineStr">
        <is>
          <t>Главная редакция литературно-драматических программ</t>
        </is>
      </c>
      <c r="H345" s="2" t="n">
        <v>324</v>
      </c>
      <c r="I345" s="2" t="inlineStr">
        <is>
          <t>да</t>
        </is>
      </c>
      <c r="J345" s="2" t="inlineStr"/>
      <c r="K345" s="3" t="inlineStr">
        <is>
          <t>По мотивам комедии итальянского драматурга Эдуардо де Филиппо.
Действие происходит в Неаполе. Между владельцем небольшой лотерейной конторы и женихом его дочери, служащим этой же конторы, возникает тяжба, полная смешных перипетий. В ее основе - плутовство, связанное с лотерейным билетом, на который выпал крупный выигрыш...</t>
        </is>
      </c>
      <c r="L345" s="2" t="inlineStr">
        <is>
          <t>https://www.kino-teatr.ru/teatr/movie/16802/annot/</t>
        </is>
      </c>
      <c r="M345" s="2">
        <f>HYPERLINK("https://ru.wikipedia.org/w/index.php?search=%D0%9D%D0%B5%20%D0%B7%D0%B0%D0%BF%D0%BB%D0%B0%D1%87%D1%83%21%201983%20%D1%84%D0%B8%D0%BB%D1%8C%D0%BC","искать")</f>
        <v/>
      </c>
      <c r="N345" s="3" t="n"/>
      <c r="O345" s="2" t="n"/>
      <c r="P345" s="2" t="n"/>
    </row>
    <row r="346">
      <c r="A346" s="2" t="n">
        <v>345</v>
      </c>
      <c r="B346" s="2" t="inlineStr">
        <is>
          <t>обрыв</t>
        </is>
      </c>
      <c r="C346" s="2" t="n">
        <v>10047</v>
      </c>
      <c r="D346" s="3" t="inlineStr">
        <is>
          <t>История болезни</t>
        </is>
      </c>
      <c r="E346" s="2" t="n">
        <v>1990</v>
      </c>
      <c r="F346" s="2" t="inlineStr">
        <is>
          <t>телефильм</t>
        </is>
      </c>
      <c r="G346" s="2" t="inlineStr">
        <is>
          <t>Лентелефильм</t>
        </is>
      </c>
      <c r="H346" s="2" t="n">
        <v>325</v>
      </c>
      <c r="I346" s="2" t="inlineStr">
        <is>
          <t>да</t>
        </is>
      </c>
      <c r="J346" s="2" t="inlineStr"/>
      <c r="K346" s="3" t="inlineStr">
        <is>
          <t>По мотивам рассказа Михаила Булгакова "Красная корона".
Действие фильма происходит в период гражданской войны.
Ночью в больнице слышатся шаги. Дверь палаты. Здесь лежит офицер, контуженный на фронте. Он получил удостоверение, что находится под покровительством врача и никто не может его взять. И вот он лежит и вспоминает...</t>
        </is>
      </c>
      <c r="L346" s="2" t="inlineStr">
        <is>
          <t>https://www.kino-teatr.ru/short/movie/sov/2768/annot/</t>
        </is>
      </c>
      <c r="M346" s="2">
        <f>HYPERLINK("https://ru.wikipedia.org/w/index.php?search=%D0%98%D1%81%D1%82%D0%BE%D1%80%D0%B8%D1%8F%20%D0%B1%D0%BE%D0%BB%D0%B5%D0%B7%D0%BD%D0%B8%201990%20%D1%84%D0%B8%D0%BB%D1%8C%D0%BC","искать")</f>
        <v/>
      </c>
      <c r="N346" s="3" t="n"/>
      <c r="O346" s="2" t="n"/>
      <c r="P346" s="2" t="n"/>
    </row>
    <row r="347">
      <c r="A347" s="2" t="n">
        <v>346</v>
      </c>
      <c r="B347" s="2" t="inlineStr">
        <is>
          <t>обрыв</t>
        </is>
      </c>
      <c r="C347" s="2" t="n">
        <v>10084</v>
      </c>
      <c r="D347" s="3" t="inlineStr">
        <is>
          <t>Янтарное ожерелье</t>
        </is>
      </c>
      <c r="E347" s="2" t="n">
        <v>1960</v>
      </c>
      <c r="F347" s="2" t="inlineStr">
        <is>
          <t>фильм-спектакль</t>
        </is>
      </c>
      <c r="G347" s="2" t="n"/>
      <c r="H347" s="2" t="n">
        <v>325</v>
      </c>
      <c r="I347" s="2" t="inlineStr">
        <is>
          <t>да</t>
        </is>
      </c>
      <c r="J347" s="2" t="inlineStr"/>
      <c r="K347" s="3" t="inlineStr">
        <is>
          <t>Фильм-спектакль по роману Н.Погодина.
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её трудные отношения с любимым…</t>
        </is>
      </c>
      <c r="L347" s="2" t="inlineStr">
        <is>
          <t>https://www.kino-teatr.ru/teatr/movie/101565/annot/</t>
        </is>
      </c>
      <c r="M347" s="2">
        <f>HYPERLINK("https://ru.wikipedia.org/w/index.php?search=%D0%AF%D0%BD%D1%82%D0%B0%D1%80%D0%BD%D0%BE%D0%B5%20%D0%BE%D0%B6%D0%B5%D1%80%D0%B5%D0%BB%D1%8C%D0%B5%201960%20%D1%84%D0%B8%D0%BB%D1%8C%D0%BC","искать")</f>
        <v/>
      </c>
      <c r="N347" s="3" t="n"/>
      <c r="O347" s="2" t="n"/>
      <c r="P347" s="2" t="n"/>
    </row>
    <row r="348">
      <c r="A348" s="2" t="n">
        <v>347</v>
      </c>
      <c r="B348" s="2" t="inlineStr">
        <is>
          <t>обрыв</t>
        </is>
      </c>
      <c r="C348" s="2" t="n">
        <v>12126</v>
      </c>
      <c r="D348" s="3" t="inlineStr">
        <is>
          <t>Цель</t>
        </is>
      </c>
      <c r="E348" s="2" t="n">
        <v>1989</v>
      </c>
      <c r="F348" s="2" t="inlineStr">
        <is>
          <t>мультфильм</t>
        </is>
      </c>
      <c r="G348" s="2" t="inlineStr">
        <is>
          <t>Союзмультфильм</t>
        </is>
      </c>
      <c r="H348" s="2" t="n">
        <v>329</v>
      </c>
      <c r="I348" s="2" t="inlineStr">
        <is>
          <t>да</t>
        </is>
      </c>
      <c r="J348" s="2" t="inlineStr"/>
      <c r="K348" s="3" t="inlineStr">
        <is>
          <t>Солдат-артиллерист так привык к военным учениям, что начал относится к своей пушке как к живому существу. Он ее чистит зубной щеточкой, обнимает, и пушка оживает и ведет себя как настоящий боевой товарищ. Все складывается хорошо, пока они не доходят до полигона, где надо стрелять по фанерным мишеням в виде человеческих фигур...</t>
        </is>
      </c>
      <c r="L348" s="2" t="inlineStr">
        <is>
          <t>https://animator.ru/db/?p=show_film&amp;fid=3242</t>
        </is>
      </c>
      <c r="M348" s="2">
        <f>HYPERLINK("https://ru.wikipedia.org/w/index.php?search=%D0%A6%D0%B5%D0%BB%D1%8C%201989%20%D1%84%D0%B8%D0%BB%D1%8C%D0%BC","искать")</f>
        <v/>
      </c>
      <c r="N348" s="3" t="n"/>
      <c r="O348" s="2" t="n"/>
      <c r="P348" s="2" t="n"/>
    </row>
    <row r="349">
      <c r="A349" s="2" t="n">
        <v>348</v>
      </c>
      <c r="B349" s="2" t="inlineStr">
        <is>
          <t>обрыв</t>
        </is>
      </c>
      <c r="C349" s="2" t="n">
        <v>9826</v>
      </c>
      <c r="D349" s="3" t="inlineStr">
        <is>
          <t>Арбузный рейс</t>
        </is>
      </c>
      <c r="E349" s="2" t="n">
        <v>1965</v>
      </c>
      <c r="F349" s="2" t="inlineStr">
        <is>
          <t>телефильм</t>
        </is>
      </c>
      <c r="G349" s="2" t="inlineStr">
        <is>
          <t>"Мосфильм", ТО "Экран" по заказу Центрального телевидения</t>
        </is>
      </c>
      <c r="H349" s="2" t="n">
        <v>332</v>
      </c>
      <c r="I349" s="2" t="inlineStr">
        <is>
          <t>да</t>
        </is>
      </c>
      <c r="J349" s="2" t="inlineStr"/>
      <c r="K349" s="3" t="inlineStr">
        <is>
          <t>Телефильм по мотивам одноименной повести А.Рекемчука.
Экспедитору Гайдамовичу поручают доставить через непроходимую тайгу на дальнюю буровую тонну арбузов. Как малых детей пестовал Гайдамович свой ценный груз: накрывал брезентом, подстилал солому, но на буровую он привез лишь гору разбитых арбузов. Но нефтяников это не огорчило...</t>
        </is>
      </c>
      <c r="L349" s="2" t="inlineStr">
        <is>
          <t>https://www.kino-teatr.ru/short/movie/sov/15666/annot/</t>
        </is>
      </c>
      <c r="M349" s="2">
        <f>HYPERLINK("https://ru.wikipedia.org/w/index.php?search=%D0%90%D1%80%D0%B1%D1%83%D0%B7%D0%BD%D1%8B%D0%B9%20%D1%80%D0%B5%D0%B9%D1%81%201965%20%D1%84%D0%B8%D0%BB%D1%8C%D0%BC","искать")</f>
        <v/>
      </c>
      <c r="N349" s="3" t="n"/>
      <c r="O349" s="2" t="n"/>
      <c r="P349" s="2" t="n"/>
    </row>
    <row r="350">
      <c r="A350" s="2" t="n">
        <v>349</v>
      </c>
      <c r="B350" s="2" t="inlineStr">
        <is>
          <t>обрыв</t>
        </is>
      </c>
      <c r="C350" s="2" t="n">
        <v>10123</v>
      </c>
      <c r="D350" s="3" t="inlineStr">
        <is>
          <t>Минута истории</t>
        </is>
      </c>
      <c r="E350" s="2" t="n">
        <v>1964</v>
      </c>
      <c r="F350" s="2" t="inlineStr">
        <is>
          <t>фильм-спектакль</t>
        </is>
      </c>
      <c r="G350" s="2" t="inlineStr">
        <is>
          <t>Гл. ред. лит-драм программ, Подборки фильмов, фильмы о Ленине</t>
        </is>
      </c>
      <c r="H350" s="2" t="n">
        <v>335</v>
      </c>
      <c r="I350" s="2" t="inlineStr">
        <is>
          <t>да</t>
        </is>
      </c>
      <c r="J350" s="2" t="inlineStr"/>
      <c r="K350" s="3" t="inlineStr">
        <is>
          <t>По одноименному произведению Николая Жданова. Действие происходит в 1917 году в Петрограде. Контрреволюционеры поручили юнкеру Сергею Ярославцеву совершить покушение на жизнь В.И.Ленина. Ему удается проникнуть в кабинет вождя, но беседа с Лениным производит на Сергея неизгладимое впечатление, и он отказывается совершить задуманное...</t>
        </is>
      </c>
      <c r="L350" s="2" t="inlineStr">
        <is>
          <t>https://www.kino-teatr.ru/teatr/movie/80896/annot/</t>
        </is>
      </c>
      <c r="M350" s="2">
        <f>HYPERLINK("https://ru.wikipedia.org/w/index.php?search=%D0%9C%D0%B8%D0%BD%D1%83%D1%82%D0%B0%20%D0%B8%D1%81%D1%82%D0%BE%D1%80%D0%B8%D0%B8%201964%20%D1%84%D0%B8%D0%BB%D1%8C%D0%BC","искать")</f>
        <v/>
      </c>
      <c r="N350" s="3" t="n"/>
      <c r="O350" s="2" t="n"/>
      <c r="P350" s="2" t="n"/>
    </row>
    <row r="351">
      <c r="A351" s="2" t="n">
        <v>350</v>
      </c>
      <c r="B351" s="2" t="inlineStr">
        <is>
          <t>обрыв</t>
        </is>
      </c>
      <c r="C351" s="2" t="n">
        <v>10188</v>
      </c>
      <c r="D351" s="3" t="inlineStr">
        <is>
          <t>Вызывает 425</t>
        </is>
      </c>
      <c r="E351" s="2" t="n">
        <v>1967</v>
      </c>
      <c r="F351" s="2" t="inlineStr">
        <is>
          <t>фильм-спектакль</t>
        </is>
      </c>
      <c r="G351" s="2" t="inlineStr">
        <is>
          <t>Центральное телевидение</t>
        </is>
      </c>
      <c r="H351" s="2" t="n">
        <v>339</v>
      </c>
      <c r="I351" s="2" t="inlineStr">
        <is>
          <t>да</t>
        </is>
      </c>
      <c r="J351" s="2" t="inlineStr"/>
      <c r="K351" s="3" t="inlineStr">
        <is>
          <t>Фильм-спектакль Московского театра им. Моссовета посвящен памяти Героя Советского Союза Фёдора Фёдоровича Озмителя и славным делам его партизанского отряда.
События происходят в годы Великой Отечественной войны в Белоруссии. Командир отряда особого назначения «Гром» Фёдор был направлен в немецкий тыл для выполнения специальных заданий...</t>
        </is>
      </c>
      <c r="L351" s="2" t="inlineStr">
        <is>
          <t>https://www.kino-teatr.ru/teatr/movie/138585/annot/</t>
        </is>
      </c>
      <c r="M351" s="2">
        <f>HYPERLINK("https://ru.wikipedia.org/w/index.php?search=%D0%92%D1%8B%D0%B7%D1%8B%D0%B2%D0%B0%D0%B5%D1%82%20425%201967%20%D1%84%D0%B8%D0%BB%D1%8C%D0%BC","искать")</f>
        <v/>
      </c>
      <c r="N351" s="3" t="n"/>
      <c r="O351" s="2" t="n"/>
      <c r="P351" s="2" t="n"/>
    </row>
    <row r="352">
      <c r="A352" s="2" t="n">
        <v>351</v>
      </c>
      <c r="B352" s="2" t="inlineStr">
        <is>
          <t>обрыв</t>
        </is>
      </c>
      <c r="C352" s="2" t="n">
        <v>11125</v>
      </c>
      <c r="D352" s="3" t="inlineStr">
        <is>
          <t>Пиросмани, Пиросмани...</t>
        </is>
      </c>
      <c r="E352" s="2" t="n">
        <v>1986</v>
      </c>
      <c r="F352" s="2" t="inlineStr">
        <is>
          <t>фильм-спектакль</t>
        </is>
      </c>
      <c r="G352" s="2" t="inlineStr">
        <is>
          <t>Синтез, Союзтеатр, Фонд СТД СССР</t>
        </is>
      </c>
      <c r="H352" s="2" t="n">
        <v>339</v>
      </c>
      <c r="I352" s="2" t="inlineStr">
        <is>
          <t>да</t>
        </is>
      </c>
      <c r="J352" s="2" t="inlineStr"/>
      <c r="K352" s="3" t="inlineStr">
        <is>
          <t>По пьесе Вадима Коростылёва "Праздник одиночества" (С.Шальтянис - сценическая редакция).
Видеозапись спектакля Государственного театра молодежи Литовской СССР.
Пьеса посвящена великому грузинскому художнику. О последних днях великого Нико Пиросманишвили, который умирал в одиночестве. И единственными собеседниками его были герои картин...</t>
        </is>
      </c>
      <c r="L352" s="2" t="inlineStr">
        <is>
          <t>https://www.kino-teatr.ru/teatr/movie/8549/annot/</t>
        </is>
      </c>
      <c r="M352" s="2">
        <f>HYPERLINK("https://ru.wikipedia.org/w/index.php?search=%D0%9F%D0%B8%D1%80%D0%BE%D1%81%D0%BC%D0%B0%D0%BD%D0%B8%2C%20%D0%9F%D0%B8%D1%80%D0%BE%D1%81%D0%BC%D0%B0%D0%BD%D0%B8...%201986%20%D1%84%D0%B8%D0%BB%D1%8C%D0%BC","искать")</f>
        <v/>
      </c>
      <c r="N352" s="3" t="n"/>
      <c r="O352" s="2" t="n"/>
      <c r="P352" s="2" t="n"/>
    </row>
    <row r="353">
      <c r="A353" s="2" t="n">
        <v>352</v>
      </c>
      <c r="B353" s="2" t="inlineStr">
        <is>
          <t>обрыв</t>
        </is>
      </c>
      <c r="C353" s="2" t="n">
        <v>10747</v>
      </c>
      <c r="D353" s="3" t="inlineStr">
        <is>
          <t>Игроки</t>
        </is>
      </c>
      <c r="E353" s="2" t="n">
        <v>1978</v>
      </c>
      <c r="F353" s="2" t="inlineStr">
        <is>
          <t>фильм-спектакль</t>
        </is>
      </c>
      <c r="G353" s="2" t="inlineStr">
        <is>
          <t>Главная редакция литературно-драматический программ ЦТ</t>
        </is>
      </c>
      <c r="H353" s="2" t="n">
        <v>340</v>
      </c>
      <c r="I353" s="2" t="inlineStr">
        <is>
          <t>да</t>
        </is>
      </c>
      <c r="J353" s="2" t="inlineStr"/>
      <c r="K353" s="3" t="inlineStr">
        <is>
          <t>По одноименной комедии Н.В.Гоголя.
Пьеса об Игре, о творчестве, которое на этот раз отлилось в форму гениального крапа. Мастерски, талантливо и артистично объегоренная жертва таких же, как он сам, игроков, Ихарев не терпит катастрофы, потому что с ним остается его "Аделаида Ивановна". Инструмент и талисман его Игры. Его тайная рукопись...</t>
        </is>
      </c>
      <c r="L353" s="2" t="inlineStr">
        <is>
          <t>https://www.kino-teatr.ru/teatr/movie/2649/annot/</t>
        </is>
      </c>
      <c r="M353" s="2">
        <f>HYPERLINK("https://ru.wikipedia.org/w/index.php?search=%D0%98%D0%B3%D1%80%D0%BE%D0%BA%D0%B8%201978%20%D1%84%D0%B8%D0%BB%D1%8C%D0%BC","искать")</f>
        <v/>
      </c>
      <c r="N353" s="3" t="n"/>
      <c r="O353" s="2" t="n"/>
      <c r="P353" s="2" t="n"/>
    </row>
    <row r="354">
      <c r="A354" s="2" t="n">
        <v>353</v>
      </c>
      <c r="B354" s="2" t="inlineStr">
        <is>
          <t>обрыв</t>
        </is>
      </c>
      <c r="C354" s="2" t="n">
        <v>7363</v>
      </c>
      <c r="D354" s="3" t="inlineStr">
        <is>
          <t>Володькина жизнь</t>
        </is>
      </c>
      <c r="E354" s="2" t="n">
        <v>1984</v>
      </c>
      <c r="F354" s="2" t="inlineStr">
        <is>
          <t>телефильм</t>
        </is>
      </c>
      <c r="G354" s="2" t="n"/>
      <c r="H354" s="2" t="n">
        <v>341</v>
      </c>
      <c r="I354" s="2" t="inlineStr">
        <is>
          <t>да</t>
        </is>
      </c>
      <c r="J354" s="2" t="inlineStr"/>
      <c r="K354" s="3" t="inlineStr">
        <is>
          <t>Теелфильм по роману Анатолия Буковского и Владимира Федорова "Вся Володькина жизнь".
О саратовском парне Володе Плесове. В шестнадцать лет мальчишка добровольцем ушел на фронт, воевал так, как воюют взрослые. Нашел много друзей, потерял любимую девушку. В канун Победы попал в госпиталь, получил орден и подумал, что надо возвращаться домой…</t>
        </is>
      </c>
      <c r="L354" s="2" t="inlineStr">
        <is>
          <t>Кино_СССР сводный каталог.xlsx: список телефильмов</t>
        </is>
      </c>
      <c r="M354" s="2">
        <f>HYPERLINK("https://ru.wikipedia.org/w/index.php?search=%D0%92%D0%BE%D0%BB%D0%BE%D0%B4%D1%8C%D0%BA%D0%B8%D0%BD%D0%B0%20%D0%B6%D0%B8%D0%B7%D0%BD%D1%8C%201984%20%D1%84%D0%B8%D0%BB%D1%8C%D0%BC","искать")</f>
        <v/>
      </c>
      <c r="N354" s="3" t="n"/>
      <c r="O354" s="2" t="n"/>
      <c r="P354" s="2" t="n"/>
    </row>
    <row r="355">
      <c r="A355" s="2" t="n">
        <v>354</v>
      </c>
      <c r="B355" s="2" t="inlineStr">
        <is>
          <t>обрыв</t>
        </is>
      </c>
      <c r="C355" s="2" t="n">
        <v>10650</v>
      </c>
      <c r="D355" s="3" t="inlineStr">
        <is>
          <t>Клеверок-пятилистник</t>
        </is>
      </c>
      <c r="E355" s="2" t="n">
        <v>1976</v>
      </c>
      <c r="F355" s="2" t="inlineStr">
        <is>
          <t>фильм-спектакль</t>
        </is>
      </c>
      <c r="G355" s="2" t="inlineStr">
        <is>
          <t>LTV</t>
        </is>
      </c>
      <c r="H355" s="2" t="n">
        <v>341</v>
      </c>
      <c r="I355" s="2" t="inlineStr">
        <is>
          <t>да</t>
        </is>
      </c>
      <c r="J355" s="2" t="inlineStr"/>
      <c r="K355" s="3" t="inlineStr">
        <is>
          <t>Фильм-спектакль поставлен по одноименной комедии литовского драматурга, писателя, поэта и переводчика Балиса Сруоги (1896-1947).
Есть такое поверье, что если найдёшь клевер пятилистный, то тебя ожидает счастливый брак... Несколько мужчин из Союза холостяков хотят жениться, чтобы избежать высоких налогов, а подходящая невеста только одна...</t>
        </is>
      </c>
      <c r="L355" s="2" t="inlineStr">
        <is>
          <t>https://www.kino-teatr.ru/teatr/movie/95529/annot/</t>
        </is>
      </c>
      <c r="M355" s="2">
        <f>HYPERLINK("https://ru.wikipedia.org/w/index.php?search=%D0%9A%D0%BB%D0%B5%D0%B2%D0%B5%D1%80%D0%BE%D0%BA-%D0%BF%D1%8F%D1%82%D0%B8%D0%BB%D0%B8%D1%81%D1%82%D0%BD%D0%B8%D0%BA%201976%20%D1%84%D0%B8%D0%BB%D1%8C%D0%BC","искать")</f>
        <v/>
      </c>
      <c r="N355" s="3" t="n"/>
      <c r="O355" s="2" t="n"/>
      <c r="P355" s="2" t="n"/>
    </row>
    <row r="356">
      <c r="A356" s="2" t="n">
        <v>355</v>
      </c>
      <c r="B356" s="2" t="inlineStr">
        <is>
          <t>обрыв</t>
        </is>
      </c>
      <c r="C356" s="2" t="n">
        <v>11097</v>
      </c>
      <c r="D356" s="3" t="inlineStr">
        <is>
          <t>Ваша дочь Александра</t>
        </is>
      </c>
      <c r="E356" s="2" t="n">
        <v>1986</v>
      </c>
      <c r="F356" s="2" t="inlineStr">
        <is>
          <t>фильм-спектакль</t>
        </is>
      </c>
      <c r="G356" s="2" t="inlineStr">
        <is>
          <t>ГЛАВНАЯ РЕДАКЦИЯ ЛИТЕРАТУРНО-ДРАМАТИЧЕСКИХ ПРОГРАММ ЦТ</t>
        </is>
      </c>
      <c r="H356" s="2" t="n">
        <v>342</v>
      </c>
      <c r="I356" s="2" t="inlineStr">
        <is>
          <t>да</t>
        </is>
      </c>
      <c r="J356" s="2" t="inlineStr"/>
      <c r="K356" s="3" t="inlineStr">
        <is>
          <t>По одноименной пьесе В.Ольшанского
Шестнадцатилетняя Александра, воспитывающаяся без отца, находит старое письмо мамы на имя Михаила Максимовича. Девушка решает, что это ее отец, узнает в адресном столе адреса всех Михаилов Максимовичей, проживающих в городе, и отправляет им письма с приглашением прийти к ней в гости в одно и то же время...</t>
        </is>
      </c>
      <c r="L356" s="2" t="inlineStr">
        <is>
          <t>https://www.kino-teatr.ru/teatr/movie/833/annot/</t>
        </is>
      </c>
      <c r="M356" s="2">
        <f>HYPERLINK("https://ru.wikipedia.org/w/index.php?search=%D0%92%D0%B0%D1%88%D0%B0%20%D0%B4%D0%BE%D1%87%D1%8C%20%D0%90%D0%BB%D0%B5%D0%BA%D1%81%D0%B0%D0%BD%D0%B4%D1%80%D0%B0%201986%20%D1%84%D0%B8%D0%BB%D1%8C%D0%BC","искать")</f>
        <v/>
      </c>
      <c r="N356" s="3" t="n"/>
      <c r="O356" s="2" t="n"/>
      <c r="P356" s="2" t="n"/>
    </row>
    <row r="357">
      <c r="A357" s="2" t="n">
        <v>356</v>
      </c>
      <c r="B357" s="2" t="inlineStr">
        <is>
          <t>обрыв</t>
        </is>
      </c>
      <c r="C357" s="2" t="n">
        <v>10360</v>
      </c>
      <c r="D357" s="3" t="inlineStr">
        <is>
          <t>Зыковы</t>
        </is>
      </c>
      <c r="E357" s="2" t="n">
        <v>1970</v>
      </c>
      <c r="F357" s="2" t="inlineStr">
        <is>
          <t>фильм-спектакль</t>
        </is>
      </c>
      <c r="G357" s="2" t="inlineStr">
        <is>
          <t>Главная редакция литературно-драматических программ ЦТ</t>
        </is>
      </c>
      <c r="H357" s="2" t="n">
        <v>344</v>
      </c>
      <c r="I357" s="2" t="inlineStr">
        <is>
          <t>да</t>
        </is>
      </c>
      <c r="J357" s="2" t="inlineStr">
        <is>
          <t>да</t>
        </is>
      </c>
      <c r="K357" s="3" t="inlineStr">
        <is>
          <t>Фильм-спектакль по одноименной пьесе М.Горького в постановке Московского драматического театра имени А.С.Пушкина.
Пьеса “Зыковы” написана в 1912 году, в пору растерянности и депрессии русского общества, в период предвоенного духовного и нравственного упадка. Состояние мира обрисовано здесь одной лишь фразой: “образовалось смятение понятий”...</t>
        </is>
      </c>
      <c r="L357" s="2" t="inlineStr">
        <is>
          <t>https://www.kino-teatr.ru/teatr/movie/79518/annot/</t>
        </is>
      </c>
      <c r="M357" s="2">
        <f>HYPERLINK("https://ru.wikipedia.org/w/index.php?search=%D0%97%D1%8B%D0%BA%D0%BE%D0%B2%D1%8B%201970%20%D1%84%D0%B8%D0%BB%D1%8C%D0%BC","искать")</f>
        <v/>
      </c>
      <c r="N357" s="3" t="n"/>
      <c r="O357" s="2" t="n"/>
      <c r="P357" s="2" t="n"/>
    </row>
    <row r="358">
      <c r="A358" s="2" t="n">
        <v>357</v>
      </c>
      <c r="B358" s="2" t="inlineStr">
        <is>
          <t>обрыв</t>
        </is>
      </c>
      <c r="C358" s="2" t="n">
        <v>10234</v>
      </c>
      <c r="D358" s="3" t="inlineStr">
        <is>
          <t>В тихой станице</t>
        </is>
      </c>
      <c r="E358" s="2" t="n">
        <v>1968</v>
      </c>
      <c r="F358" s="2" t="inlineStr">
        <is>
          <t>фильм-спектакль</t>
        </is>
      </c>
      <c r="G358" s="2" t="inlineStr">
        <is>
          <t>Гл. ред. литературно-драматических программ</t>
        </is>
      </c>
      <c r="H358" s="2" t="n">
        <v>348</v>
      </c>
      <c r="I358" s="2" t="inlineStr">
        <is>
          <t>да</t>
        </is>
      </c>
      <c r="J358" s="2" t="inlineStr"/>
      <c r="K358" s="3" t="inlineStr">
        <is>
          <t>Телеспектакль по повести Сергея Антонова.
Василиса Михайловна и её внучка живут в станице на окраине райцентра. К ним в гости часто заходит побеседовать Никодим Павлович, который ухаживает за Людой. Но не лежит душа у неё к этому скучному и очень "правильному" человеку. Однажды в сильную грозу в их доме появляется молодой гидростроитель Володя...</t>
        </is>
      </c>
      <c r="L358" s="2" t="inlineStr">
        <is>
          <t>https://www.kino-teatr.ru/teatr/movie/136942/annot/</t>
        </is>
      </c>
      <c r="M358" s="2">
        <f>HYPERLINK("https://ru.wikipedia.org/w/index.php?search=%D0%92%20%D1%82%D0%B8%D1%85%D0%BE%D0%B9%20%D1%81%D1%82%D0%B0%D0%BD%D0%B8%D1%86%D0%B5%201968%20%D1%84%D0%B8%D0%BB%D1%8C%D0%BC","искать")</f>
        <v/>
      </c>
      <c r="N358" s="3" t="n"/>
      <c r="O358" s="2" t="n"/>
      <c r="P358" s="2" t="n"/>
    </row>
    <row r="359">
      <c r="A359" s="2" t="n">
        <v>358</v>
      </c>
      <c r="B359" s="2" t="inlineStr">
        <is>
          <t>обрыв</t>
        </is>
      </c>
      <c r="C359" s="2" t="n">
        <v>10545</v>
      </c>
      <c r="D359" s="3" t="inlineStr">
        <is>
          <t>Бесприданница</t>
        </is>
      </c>
      <c r="E359" s="2" t="n">
        <v>1974</v>
      </c>
      <c r="F359" s="2" t="inlineStr">
        <is>
          <t>фильм-спектакль</t>
        </is>
      </c>
      <c r="G359" s="2" t="inlineStr">
        <is>
          <t>Центральное телевидение</t>
        </is>
      </c>
      <c r="H359" s="2" t="n">
        <v>349</v>
      </c>
      <c r="I359" s="2" t="inlineStr">
        <is>
          <t>да</t>
        </is>
      </c>
      <c r="J359" s="2" t="inlineStr"/>
      <c r="K359" s="3" t="inlineStr">
        <is>
          <t>Телеэкранизация пьесы А.Н.Островского.
История Ларисы Огудаловой, полюбившей Сергея Сергеевича Паратова - человека, привыкшего жить на широкую ногу, импозантного помещика, не скупящегося на проявления чувств и не считающего деньги. Но Паратов смотрел на нее, как на забаву, и променял искреннее девичье чувство на деньги. Сердце Ларисы было разбито…</t>
        </is>
      </c>
      <c r="L359" s="2" t="inlineStr">
        <is>
          <t>https://www.kino-teatr.ru/teatr/movie/100124/annot/</t>
        </is>
      </c>
      <c r="M359" s="2">
        <f>HYPERLINK("https://ru.wikipedia.org/w/index.php?search=%D0%91%D0%B5%D1%81%D0%BF%D1%80%D0%B8%D0%B4%D0%B0%D0%BD%D0%BD%D0%B8%D1%86%D0%B0%201974%20%D1%84%D0%B8%D0%BB%D1%8C%D0%BC","искать")</f>
        <v/>
      </c>
      <c r="N359" s="3" t="n"/>
      <c r="O359" s="2" t="n"/>
      <c r="P359" s="2" t="n"/>
    </row>
    <row r="360">
      <c r="A360" s="2" t="n">
        <v>359</v>
      </c>
      <c r="B360" s="2" t="inlineStr">
        <is>
          <t>обрыв</t>
        </is>
      </c>
      <c r="C360" s="2" t="n">
        <v>9417</v>
      </c>
      <c r="D360" s="3" t="inlineStr">
        <is>
          <t>Клещ</t>
        </is>
      </c>
      <c r="E360" s="2" t="n">
        <v>1990</v>
      </c>
      <c r="F360" s="2" t="inlineStr">
        <is>
          <t>кинофильм</t>
        </is>
      </c>
      <c r="G360" s="2" t="n"/>
      <c r="H360" s="2" t="n">
        <v>350</v>
      </c>
      <c r="I360" s="2" t="inlineStr">
        <is>
          <t>да</t>
        </is>
      </c>
      <c r="J360" s="2" t="inlineStr"/>
      <c r="K360" s="3" t="inlineStr">
        <is>
          <t>Капитана милиции Адиля Ахтанова по прозвищу Клещ подозревают в убийстве — таковы улики и показания подсудимого очередного дела, которое вел капитан. Тем не менее непосредственный шеф Ахтанова поручает ему провести неофициальное расследование гибели работников ГАИ. Клещ берется за новое дело — и очень скоро выносит приговор своему шефу, главе мафии…</t>
        </is>
      </c>
      <c r="L360" s="2" t="inlineStr">
        <is>
          <t>Кино_СССР сводный каталог.xlsx: список фильмов (доп.)</t>
        </is>
      </c>
      <c r="M360" s="2">
        <f>HYPERLINK("https://ru.wikipedia.org/w/index.php?search=%D0%9A%D0%BB%D0%B5%D1%89%201990%20%D1%84%D0%B8%D0%BB%D1%8C%D0%BC","искать")</f>
        <v/>
      </c>
      <c r="N360" s="3" t="n"/>
      <c r="O360" s="2" t="n"/>
      <c r="P360" s="2" t="n"/>
    </row>
    <row r="361">
      <c r="A361" s="2" t="n">
        <v>360</v>
      </c>
      <c r="B361" s="2" t="inlineStr">
        <is>
          <t>обрыв</t>
        </is>
      </c>
      <c r="C361" s="2" t="n">
        <v>10532</v>
      </c>
      <c r="D361" s="3" t="inlineStr">
        <is>
          <t>Фредерик Моро</t>
        </is>
      </c>
      <c r="E361" s="2" t="n">
        <v>1973</v>
      </c>
      <c r="F361" s="2" t="inlineStr">
        <is>
          <t>фильм-спектакль</t>
        </is>
      </c>
      <c r="G361" s="2" t="inlineStr">
        <is>
          <t>Гл. ред. лит-драм программ</t>
        </is>
      </c>
      <c r="H361" s="2" t="n">
        <v>350</v>
      </c>
      <c r="I361" s="2" t="inlineStr">
        <is>
          <t>да</t>
        </is>
      </c>
      <c r="J361" s="2" t="inlineStr"/>
      <c r="K361" s="3" t="inlineStr">
        <is>
          <t>По роману Г.Флобера "Воспитание чувств".
Главный герой телеспектакля - Фредерик Моро - молодой писатель, романтик, мечтатель - живет ожиданием радужных перемен. Любовь к госпоже Арну наполняет его сердце. Но нет у него четкой жизненной позиции, настойчивости в достижении цели. Поэтому, великим писателем он не стал, любовь потеряна, мечты разбиты...</t>
        </is>
      </c>
      <c r="L361" s="2" t="inlineStr">
        <is>
          <t>https://www.kino-teatr.ru/teatr/movie/16786/annot/</t>
        </is>
      </c>
      <c r="M361" s="2">
        <f>HYPERLINK("https://ru.wikipedia.org/w/index.php?search=%D0%A4%D1%80%D0%B5%D0%B4%D0%B5%D1%80%D0%B8%D0%BA%20%D0%9C%D0%BE%D1%80%D0%BE%201973%20%D1%84%D0%B8%D0%BB%D1%8C%D0%BC","искать")</f>
        <v/>
      </c>
      <c r="N361" s="3" t="n"/>
      <c r="O361" s="2" t="n"/>
      <c r="P361" s="2" t="n"/>
    </row>
    <row r="362">
      <c r="A362" s="2" t="n">
        <v>361</v>
      </c>
      <c r="B362" s="2" t="inlineStr">
        <is>
          <t>обрыв</t>
        </is>
      </c>
      <c r="C362" s="2" t="n">
        <v>10657</v>
      </c>
      <c r="D362" s="3" t="inlineStr">
        <is>
          <t>Мы - мужчины</t>
        </is>
      </c>
      <c r="E362" s="2" t="n">
        <v>1976</v>
      </c>
      <c r="F362" s="2" t="inlineStr">
        <is>
          <t>фильм-спектакль</t>
        </is>
      </c>
      <c r="G362" s="2" t="n"/>
      <c r="H362" s="2" t="n">
        <v>352</v>
      </c>
      <c r="I362" s="2" t="inlineStr">
        <is>
          <t>да</t>
        </is>
      </c>
      <c r="J362" s="2" t="inlineStr"/>
      <c r="K362" s="3" t="inlineStr">
        <is>
          <t>Главный герой спектакля — учитель труда и военного дела — человек немолодой, прошедший войну и воспитавший двоих детей.
Случайно ему в руки попадает любовное послание старинного друга семьи, которое адресовано его жене. И наш герой решает защитить свою честь старомодным способом — вызвать соперника на дуэль. И как это ни странно — вызов был принят...</t>
        </is>
      </c>
      <c r="L362" s="2" t="inlineStr">
        <is>
          <t>https://www.kino-teatr.ru/teatr/movie/93593/annot/</t>
        </is>
      </c>
      <c r="M362" s="2">
        <f>HYPERLINK("https://ru.wikipedia.org/w/index.php?search=%D0%9C%D1%8B%20-%20%D0%BC%D1%83%D0%B6%D1%87%D0%B8%D0%BD%D1%8B%201976%20%D1%84%D0%B8%D0%BB%D1%8C%D0%BC","искать")</f>
        <v/>
      </c>
      <c r="N362" s="3" t="n"/>
      <c r="O362" s="2" t="n"/>
      <c r="P362" s="2" t="n"/>
    </row>
    <row r="363">
      <c r="A363" s="2" t="n">
        <v>362</v>
      </c>
      <c r="B363" s="2" t="inlineStr">
        <is>
          <t>обрыв</t>
        </is>
      </c>
      <c r="C363" s="2" t="n">
        <v>11239</v>
      </c>
      <c r="D363" s="3" t="inlineStr">
        <is>
          <t>Этот фантастический мир. Выпуск 14</t>
        </is>
      </c>
      <c r="E363" s="2" t="n">
        <v>1988</v>
      </c>
      <c r="F363" s="2" t="inlineStr">
        <is>
          <t>фильм-спектакль</t>
        </is>
      </c>
      <c r="G363" s="2" t="inlineStr">
        <is>
          <t>Главная редакция программ для детей и юношества ЦТ</t>
        </is>
      </c>
      <c r="H363" s="2" t="n">
        <v>353</v>
      </c>
      <c r="I363" s="2" t="inlineStr">
        <is>
          <t>да</t>
        </is>
      </c>
      <c r="J363" s="2" t="inlineStr"/>
      <c r="K363" s="3" t="inlineStr">
        <is>
          <t>В основе сюжета - произведения Кира Булычева: рассказ «Летнее утро» и повесть «Умение кидать мяч».
Совершенно заурядной личности, Коленкину, в порядке эксперимента вводят в кровь препарат, который делает его необыкновенно метким при броске мяча. Получив такие возможности, он попадает в баскетбольную команду и участвует в ответственных соревнованиях...</t>
        </is>
      </c>
      <c r="L363" s="2" t="inlineStr">
        <is>
          <t>https://www.kino-teatr.ru/teatr/movie/78749/annot/</t>
        </is>
      </c>
      <c r="M363" s="2">
        <f>HYPERLINK("https://ru.wikipedia.org/w/index.php?search=%D0%AD%D1%82%D0%BE%D1%82%20%D1%84%D0%B0%D0%BD%D1%82%D0%B0%D1%81%D1%82%D0%B8%D1%87%D0%B5%D1%81%D0%BA%D0%B8%D0%B9%20%D0%BC%D0%B8%D1%80.%20%D0%92%D1%8B%D0%BF%D1%83%D1%81%D0%BA%2014%201988%20%D1%84%D0%B8%D0%BB%D1%8C%D0%BC","искать")</f>
        <v/>
      </c>
      <c r="N363" s="3" t="n"/>
      <c r="O363" s="2" t="n"/>
      <c r="P363" s="2" t="n"/>
    </row>
    <row r="364">
      <c r="A364" s="2" t="n">
        <v>363</v>
      </c>
      <c r="B364" s="2" t="inlineStr">
        <is>
          <t>обрыв</t>
        </is>
      </c>
      <c r="C364" s="2" t="n">
        <v>11276</v>
      </c>
      <c r="D364" s="3" t="inlineStr">
        <is>
          <t>Приговор</t>
        </is>
      </c>
      <c r="E364" s="2" t="n">
        <v>1989</v>
      </c>
      <c r="F364" s="2" t="inlineStr">
        <is>
          <t>фильм-спектакль</t>
        </is>
      </c>
      <c r="G364" s="2" t="inlineStr">
        <is>
          <t>Гл. ред. лит-драм программ</t>
        </is>
      </c>
      <c r="H364" s="2" t="n">
        <v>353</v>
      </c>
      <c r="I364" s="2" t="inlineStr">
        <is>
          <t>да</t>
        </is>
      </c>
      <c r="J364" s="2" t="inlineStr"/>
      <c r="K364" s="3" t="inlineStr">
        <is>
          <t>В центре телеспектакля - судебный процесс над бывшим председателем облисполкома Кругловым, человеком, снискавшим своей грубостью, жестокостью и барством неприязнь населения. Судья приходит к выводу, что обвинение Круглова во взяточничестве, материалами дела не доказано. Осудить же его на основании сложившегося общественного мнения он не имеет права...</t>
        </is>
      </c>
      <c r="L364" s="2" t="inlineStr">
        <is>
          <t>https://www.kino-teatr.ru/teatr/movie/17232/annot/</t>
        </is>
      </c>
      <c r="M364" s="2">
        <f>HYPERLINK("https://ru.wikipedia.org/w/index.php?search=%D0%9F%D1%80%D0%B8%D0%B3%D0%BE%D0%B2%D0%BE%D1%80%201989%20%D1%84%D0%B8%D0%BB%D1%8C%D0%BC","искать")</f>
        <v/>
      </c>
      <c r="N364" s="3" t="n"/>
      <c r="O364" s="2" t="n"/>
      <c r="P364" s="2" t="n"/>
    </row>
    <row r="365">
      <c r="A365" s="2" t="n">
        <v>364</v>
      </c>
      <c r="B365" s="2" t="inlineStr">
        <is>
          <t>обрыв</t>
        </is>
      </c>
      <c r="C365" s="2" t="n">
        <v>10154</v>
      </c>
      <c r="D365" s="3" t="inlineStr">
        <is>
          <t>Сказка</t>
        </is>
      </c>
      <c r="E365" s="2" t="n">
        <v>1965</v>
      </c>
      <c r="F365" s="2" t="inlineStr">
        <is>
          <t>фильм-спектакль</t>
        </is>
      </c>
      <c r="G365" s="2" t="inlineStr">
        <is>
          <t>Ленинградская студия телевидения</t>
        </is>
      </c>
      <c r="H365" s="2" t="n">
        <v>354</v>
      </c>
      <c r="I365" s="2" t="inlineStr">
        <is>
          <t>да</t>
        </is>
      </c>
      <c r="J365" s="2" t="inlineStr"/>
      <c r="K365" s="3" t="inlineStr">
        <is>
          <t>Телеспектакль по романтической пьесе Михаила Светлова "Сказка" о воспитании молодежи.
Герои, стремятся ценою любых испытаний и жертв найти необходимые стране золотоносные жилы и россыпи, а рядом с ними действуют отъявленные злодеи, всячески пытающиеся сорвать их планы и замыслы: это определяет сюжетную напряженность и драматические события спектакля...</t>
        </is>
      </c>
      <c r="L365" s="2" t="inlineStr">
        <is>
          <t>https://www.kino-teatr.ru/teatr/movie/123886/annot/</t>
        </is>
      </c>
      <c r="M365" s="2">
        <f>HYPERLINK("https://ru.wikipedia.org/w/index.php?search=%D0%A1%D0%BA%D0%B0%D0%B7%D0%BA%D0%B0%201965%20%D1%84%D0%B8%D0%BB%D1%8C%D0%BC","искать")</f>
        <v/>
      </c>
      <c r="N365" s="3" t="n"/>
      <c r="O365" s="2" t="n"/>
      <c r="P365" s="2" t="n"/>
    </row>
    <row r="366">
      <c r="A366" s="2" t="n">
        <v>365</v>
      </c>
      <c r="B366" s="2" t="inlineStr">
        <is>
          <t>обрыв</t>
        </is>
      </c>
      <c r="C366" s="2" t="n">
        <v>14442</v>
      </c>
      <c r="D366" s="3" t="inlineStr">
        <is>
          <t>Спутник икры</t>
        </is>
      </c>
      <c r="E366" s="2" t="n">
        <v>1990</v>
      </c>
      <c r="F366" s="2" t="inlineStr">
        <is>
          <t>мультфильм</t>
        </is>
      </c>
      <c r="G366" s="2" t="inlineStr">
        <is>
          <t>КУЙБЫШЕВТЕЛЕФИЛЬМ</t>
        </is>
      </c>
      <c r="H366" s="2" t="n">
        <v>354</v>
      </c>
      <c r="I366" s="2" t="inlineStr">
        <is>
          <t>да</t>
        </is>
      </c>
      <c r="J366" s="2" t="inlineStr"/>
      <c r="K366" s="3" t="inlineStr">
        <is>
          <t>О том, как профессор Минц с помощью Машины времени отправил группу горожан города Гусляра в 1948 год... Молодой лейтенант милиции Ложкин заподозрил пришельцев из будущего в черном замысле и едва не отправил их в лагерь. Но, к счастью, в наши дни живет пенсионер Ложкин. Он-то и посоветовал самому себе - молодому - не заводить дело и подать в отставку...</t>
        </is>
      </c>
      <c r="L366" s="2" t="inlineStr">
        <is>
          <t>https://animator.ru/db/?p=show_film&amp;fid=6691</t>
        </is>
      </c>
      <c r="M366" s="2">
        <f>HYPERLINK("https://ru.wikipedia.org/w/index.php?search=%D0%A1%D0%BF%D1%83%D1%82%D0%BD%D0%B8%D0%BA%20%D0%B8%D0%BA%D1%80%D1%8B%201990%20%D1%84%D0%B8%D0%BB%D1%8C%D0%BC","искать")</f>
        <v/>
      </c>
      <c r="N366" s="3" t="n"/>
      <c r="O366" s="2" t="n"/>
      <c r="P366" s="2" t="n"/>
    </row>
    <row r="367">
      <c r="A367" s="2" t="n">
        <v>366</v>
      </c>
      <c r="B367" s="2" t="inlineStr">
        <is>
          <t>обрыв</t>
        </is>
      </c>
      <c r="C367" s="2" t="n">
        <v>10393</v>
      </c>
      <c r="D367" s="3" t="inlineStr">
        <is>
          <t>Заговор</t>
        </is>
      </c>
      <c r="E367" s="2" t="n">
        <v>1971</v>
      </c>
      <c r="F367" s="2" t="inlineStr">
        <is>
          <t>фильм-спектакль</t>
        </is>
      </c>
      <c r="G367" s="2" t="inlineStr">
        <is>
          <t>Главная редакция литературно-драматических программ ЦТ</t>
        </is>
      </c>
      <c r="H367" s="2" t="n">
        <v>355</v>
      </c>
      <c r="I367" s="2" t="inlineStr">
        <is>
          <t>да</t>
        </is>
      </c>
      <c r="J367" s="2" t="inlineStr"/>
      <c r="K367" s="3" t="inlineStr">
        <is>
          <t>По мотивам романа американских журналистов Ф.Нибеля и Ч.Бейли "Семь дней в мае".
О вымышленных событиях, которые могли бы произойти в 1974 году в США. Высшие чины Пентагона готовят заговор против Президента Лимена с целью захвата власти. Об этом становится известно сторонникам президента, которые намечают контрмеры. Но спасти Лимена все же не удается...</t>
        </is>
      </c>
      <c r="L367" s="2" t="inlineStr">
        <is>
          <t>https://www.kino-teatr.ru/teatr/movie/17650/annot/</t>
        </is>
      </c>
      <c r="M367" s="2">
        <f>HYPERLINK("https://ru.wikipedia.org/w/index.php?search=%D0%97%D0%B0%D0%B3%D0%BE%D0%B2%D0%BE%D1%80%201971%20%D1%84%D0%B8%D0%BB%D1%8C%D0%BC","искать")</f>
        <v/>
      </c>
      <c r="N367" s="3" t="n"/>
      <c r="O367" s="2" t="n"/>
      <c r="P367" s="2" t="n"/>
    </row>
    <row r="368">
      <c r="A368" s="2" t="n">
        <v>367</v>
      </c>
      <c r="B368" s="2" t="inlineStr">
        <is>
          <t>обрыв</t>
        </is>
      </c>
      <c r="C368" s="2" t="n">
        <v>10334</v>
      </c>
      <c r="D368" s="3" t="inlineStr">
        <is>
          <t>Студент</t>
        </is>
      </c>
      <c r="E368" s="2" t="n">
        <v>1969</v>
      </c>
      <c r="F368" s="2" t="inlineStr">
        <is>
          <t>фильм-спектакль</t>
        </is>
      </c>
      <c r="G368" s="2" t="inlineStr">
        <is>
          <t>Главная редакция литературно-драматических программ ЦТ</t>
        </is>
      </c>
      <c r="H368" s="2" t="n">
        <v>356</v>
      </c>
      <c r="I368" s="2" t="inlineStr">
        <is>
          <t>да</t>
        </is>
      </c>
      <c r="J368" s="2" t="inlineStr"/>
      <c r="K368" s="3" t="inlineStr">
        <is>
          <t>По одноименной комедии А.Грибоедова, написанной совместно с П.Катениным.
Молодой провинциал Беневольский, окончивший курс Казанского университета, появляется в Петербурге в доме знатного вельможи Звездова, обещавшего когда-то оказать ему протекцию и женить на своей воспитаннице Вареньке. Беневольский полон надежд и мечтаний, которым не суждено сбыться...</t>
        </is>
      </c>
      <c r="L368" s="2" t="inlineStr">
        <is>
          <t>https://www.kino-teatr.ru/teatr/movie/16364/annot/</t>
        </is>
      </c>
      <c r="M368" s="2">
        <f>HYPERLINK("https://ru.wikipedia.org/w/index.php?search=%D0%A1%D1%82%D1%83%D0%B4%D0%B5%D0%BD%D1%82%201969%20%D1%84%D0%B8%D0%BB%D1%8C%D0%BC","искать")</f>
        <v/>
      </c>
      <c r="N368" s="3" t="n"/>
      <c r="O368" s="2" t="n"/>
      <c r="P368" s="2" t="n"/>
    </row>
    <row r="369">
      <c r="A369" s="2" t="n">
        <v>368</v>
      </c>
      <c r="B369" s="2" t="inlineStr">
        <is>
          <t>обрыв</t>
        </is>
      </c>
      <c r="C369" s="2" t="n">
        <v>13058</v>
      </c>
      <c r="D369" s="3" t="inlineStr">
        <is>
          <t>Козетта</t>
        </is>
      </c>
      <c r="E369" s="2" t="n">
        <v>1977</v>
      </c>
      <c r="F369" s="2" t="inlineStr">
        <is>
          <t>мультфильм</t>
        </is>
      </c>
      <c r="G369" s="2" t="inlineStr">
        <is>
          <t>РИЖСКАЯ КИНОСТУДИЯ</t>
        </is>
      </c>
      <c r="H369" s="2" t="n">
        <v>356</v>
      </c>
      <c r="I369" s="2" t="inlineStr">
        <is>
          <t>да</t>
        </is>
      </c>
      <c r="J369" s="2" t="inlineStr"/>
      <c r="K369" s="3" t="inlineStr">
        <is>
          <t>Экранизация эпизода из романа Гюго "Отверженные".Несколько лет назад тяжелая жизнь вынудила мать Козетты оставить свою маленькую дочь в семье трактирщика, недалеко от Парижа. _x000D_
И уже долгое время от матери не было никакой весточки._x000D_
К тому же хозяева трактира оказались жестокими людьми, они заставляли Козетту работать от рассвета до заката...</t>
        </is>
      </c>
      <c r="L369" s="2" t="inlineStr">
        <is>
          <t>2026-10_мультфильмы_список_владельца.xlsx; https://animator.ru/db/?p=show_film&amp;fid=4290</t>
        </is>
      </c>
      <c r="M369" s="2">
        <f>HYPERLINK("https://ru.wikipedia.org/w/index.php?search=%D0%9A%D0%BE%D0%B7%D0%B5%D1%82%D1%82%D0%B0%201977%20%D1%84%D0%B8%D0%BB%D1%8C%D0%BC","искать")</f>
        <v/>
      </c>
      <c r="N369" s="3" t="inlineStr">
        <is>
          <t>Экранизация эпизода из романа Гюго "Отверженные".Несколько лет назад тяжелая жизнь вынудила мать Козетты оставить свою маленькую дочь в семье трактирщика, недалеко от Парижа.
И уже долгое время от матери не было никакой весточки.
К тому же хозяева трактира оказались жестокими людьми, они заставляли Козетту работать от рассвета до заката...</t>
        </is>
      </c>
      <c r="O369" s="2" t="inlineStr">
        <is>
          <t>2026-10_мультфильмы_список_владельца.xlsx; https://animator.ru/db/?p=show_film&amp;fid=4290</t>
        </is>
      </c>
      <c r="P369" s="2" t="inlineStr">
        <is>
          <t>исправление: латинские буквы в русских словах</t>
        </is>
      </c>
    </row>
    <row r="370">
      <c r="A370" s="2" t="n">
        <v>369</v>
      </c>
      <c r="B370" s="2" t="inlineStr">
        <is>
          <t>обрыв</t>
        </is>
      </c>
      <c r="C370" s="2" t="n">
        <v>10451</v>
      </c>
      <c r="D370" s="3" t="inlineStr">
        <is>
          <t>Моби Дик</t>
        </is>
      </c>
      <c r="E370" s="2" t="n">
        <v>1972</v>
      </c>
      <c r="F370" s="2" t="inlineStr">
        <is>
          <t>фильм-спектакль</t>
        </is>
      </c>
      <c r="G370" s="2" t="n"/>
      <c r="H370" s="2" t="n">
        <v>360</v>
      </c>
      <c r="I370" s="2" t="inlineStr">
        <is>
          <t>да</t>
        </is>
      </c>
      <c r="J370" s="2" t="inlineStr"/>
      <c r="K370" s="3" t="inlineStr">
        <is>
          <t>Телевизионный спектакль по роману Германа Мелвилла "Моби Дик, или Белый кит". Телеспектакль начинается рассказом американского моряка Измаила, ушедшего в рейс на китобойном судне, капитан которого, Ахав, одержим идеей мести гигантскому белому киту, известному как Моби Дик (в предыдущем плавании он откусил Ахаве ногу, и с тех пор капитан использует протез)...</t>
        </is>
      </c>
      <c r="L370" s="2" t="inlineStr">
        <is>
          <t>https://www.kino-teatr.ru/teatr/movie/101081/annot/</t>
        </is>
      </c>
      <c r="M370" s="2">
        <f>HYPERLINK("https://ru.wikipedia.org/w/index.php?search=%D0%9C%D0%BE%D0%B1%D0%B8%20%D0%94%D0%B8%D0%BA%201972%20%D1%84%D0%B8%D0%BB%D1%8C%D0%BC","искать")</f>
        <v/>
      </c>
      <c r="N370" s="3" t="n"/>
      <c r="O370" s="2" t="n"/>
      <c r="P370" s="2" t="n"/>
    </row>
    <row r="371">
      <c r="A371" s="2" t="n">
        <v>370</v>
      </c>
      <c r="B371" s="2" t="inlineStr">
        <is>
          <t>обрыв</t>
        </is>
      </c>
      <c r="C371" s="2" t="n">
        <v>11298</v>
      </c>
      <c r="D371" s="3" t="inlineStr">
        <is>
          <t>Долой огуречного короля</t>
        </is>
      </c>
      <c r="E371" s="2" t="n">
        <v>1990</v>
      </c>
      <c r="F371" s="2" t="inlineStr">
        <is>
          <t>фильм-спектакль</t>
        </is>
      </c>
      <c r="G371" s="2" t="inlineStr">
        <is>
          <t>Центральное телевидение (Главная редакция программ для детей ()</t>
        </is>
      </c>
      <c r="H371" s="2" t="n">
        <v>361</v>
      </c>
      <c r="I371" s="2" t="inlineStr">
        <is>
          <t>да</t>
        </is>
      </c>
      <c r="J371" s="2" t="inlineStr"/>
      <c r="K371" s="3" t="inlineStr">
        <is>
          <t>По одноименной повести австрийской писательницы К.Нестлингер.
В семье Хогельманов неожиданно появился огуречный король Куми-Ори, злой правитель подземного царства, которого прогнали его подданные. С появлением Куми-Ори в семье начались раздоры. Дети Вольф и Ник попытались перевоспитать огуречного короля и своего отца Мартина, попавшего под влияние Куми-Ори...</t>
        </is>
      </c>
      <c r="L371" s="2" t="inlineStr">
        <is>
          <t>https://www.kino-teatr.ru/teatr/movie/1938/annot/</t>
        </is>
      </c>
      <c r="M371" s="2">
        <f>HYPERLINK("https://ru.wikipedia.org/w/index.php?search=%D0%94%D0%BE%D0%BB%D0%BE%D0%B9%20%D0%BE%D0%B3%D1%83%D1%80%D0%B5%D1%87%D0%BD%D0%BE%D0%B3%D0%BE%20%D0%BA%D0%BE%D1%80%D0%BE%D0%BB%D1%8F%201990%20%D1%84%D0%B8%D0%BB%D1%8C%D0%BC","искать")</f>
        <v/>
      </c>
      <c r="N371" s="3" t="n"/>
      <c r="O371" s="2" t="n"/>
      <c r="P371" s="2" t="n"/>
    </row>
    <row r="372">
      <c r="A372" s="2" t="n">
        <v>371</v>
      </c>
      <c r="B372" s="2" t="inlineStr">
        <is>
          <t>обрыв</t>
        </is>
      </c>
      <c r="C372" s="2" t="n">
        <v>8399</v>
      </c>
      <c r="D372" s="3" t="inlineStr">
        <is>
          <t>Старые друзья</t>
        </is>
      </c>
      <c r="E372" s="2" t="n">
        <v>1977</v>
      </c>
      <c r="F372" s="2" t="inlineStr">
        <is>
          <t>телефильм</t>
        </is>
      </c>
      <c r="G372" s="2" t="inlineStr">
        <is>
          <t>Лентелефильм</t>
        </is>
      </c>
      <c r="H372" s="2" t="n">
        <v>366</v>
      </c>
      <c r="I372" s="2" t="inlineStr">
        <is>
          <t>да</t>
        </is>
      </c>
      <c r="J372" s="2" t="inlineStr"/>
      <c r="K372" s="3" t="inlineStr">
        <is>
          <t>Телефильм по одноименной пьесе Л. Малюгина.
О ленинградских школьниках, окончивших школу в 1941 году. Придя на день рождения к бывшей однокласснице, они веселятся, поют, читают стихи, признаются ей в любви и пьют за то, чтобы каждый год в этот день встречаться. А на следующий день началась война, отодвинув надолго, а для кого-то – навсегда - планы, мечты, надежды…</t>
        </is>
      </c>
      <c r="L372" s="2" t="inlineStr">
        <is>
          <t>Кино_СССР сводный каталог.xlsx: список телефильмов</t>
        </is>
      </c>
      <c r="M372" s="2">
        <f>HYPERLINK("https://ru.wikipedia.org/w/index.php?search=%D0%A1%D1%82%D0%B0%D1%80%D1%8B%D0%B5%20%D0%B4%D1%80%D1%83%D0%B7%D1%8C%D1%8F%201977%20%D1%84%D0%B8%D0%BB%D1%8C%D0%BC","искать")</f>
        <v/>
      </c>
      <c r="N372" s="3" t="n"/>
      <c r="O372" s="2" t="n"/>
      <c r="P372" s="2" t="n"/>
    </row>
    <row r="373">
      <c r="A373" s="2" t="n">
        <v>372</v>
      </c>
      <c r="B373" s="2" t="inlineStr">
        <is>
          <t>обрыв</t>
        </is>
      </c>
      <c r="C373" s="2" t="n">
        <v>10624</v>
      </c>
      <c r="D373" s="3" t="inlineStr">
        <is>
          <t>Свадьба Кречинского</t>
        </is>
      </c>
      <c r="E373" s="2" t="n">
        <v>1975</v>
      </c>
      <c r="F373" s="2" t="inlineStr">
        <is>
          <t>фильм-спектакль</t>
        </is>
      </c>
      <c r="G373" s="2" t="inlineStr">
        <is>
          <t>Творческое объединение "Экран"</t>
        </is>
      </c>
      <c r="H373" s="2" t="n">
        <v>369</v>
      </c>
      <c r="I373" s="2" t="inlineStr">
        <is>
          <t>да</t>
        </is>
      </c>
      <c r="J373" s="2" t="inlineStr"/>
      <c r="K373" s="3" t="inlineStr">
        <is>
          <t>Телеспектакль по одноименной пьесе А. Сухово-Кобылина. Телевизионная запись спектакля Малого театра в Москве.
Заядлый картежник и шулер Михаил Васильевич Кречинский проигрывает крупную сумму денег. Кредиторы одолевают его со всех сторон. Единственный выход - женитьба на богатой девушке. Чтобы получить благословение отца и ускорить свадьбу, Кречинский идет на обман...</t>
        </is>
      </c>
      <c r="L373" s="2" t="inlineStr">
        <is>
          <t>https://www.kino-teatr.ru/teatr/movie/16438/annot/</t>
        </is>
      </c>
      <c r="M373" s="2">
        <f>HYPERLINK("https://ru.wikipedia.org/w/index.php?search=%D0%A1%D0%B2%D0%B0%D0%B4%D1%8C%D0%B1%D0%B0%20%D0%9A%D1%80%D0%B5%D1%87%D0%B8%D0%BD%D1%81%D0%BA%D0%BE%D0%B3%D0%BE%201975%20%D1%84%D0%B8%D0%BB%D1%8C%D0%BC","искать")</f>
        <v/>
      </c>
      <c r="N373" s="3" t="n"/>
      <c r="O373" s="2" t="n"/>
      <c r="P373" s="2" t="n"/>
    </row>
    <row r="374">
      <c r="A374" s="2" t="n">
        <v>373</v>
      </c>
      <c r="B374" s="2" t="inlineStr">
        <is>
          <t>обрыв</t>
        </is>
      </c>
      <c r="C374" s="2" t="n">
        <v>10834</v>
      </c>
      <c r="D374" s="3" t="inlineStr">
        <is>
          <t>Берег</t>
        </is>
      </c>
      <c r="E374" s="2" t="n">
        <v>1980</v>
      </c>
      <c r="F374" s="2" t="inlineStr">
        <is>
          <t>фильм-спектакль</t>
        </is>
      </c>
      <c r="G374" s="2" t="inlineStr">
        <is>
          <t>Центральное телевидение</t>
        </is>
      </c>
      <c r="H374" s="2" t="n">
        <v>371</v>
      </c>
      <c r="I374" s="2" t="inlineStr">
        <is>
          <t>да</t>
        </is>
      </c>
      <c r="J374" s="2" t="inlineStr"/>
      <c r="K374" s="3" t="inlineStr">
        <is>
          <t>Телевизионная запись спектакля, поставленного по роману Ю.Бондарева в Малом театре.
Писатель Вадим Никитин приехал в Гамбург, где издается его роман. В памяти Никитина воскресает Германия, последние бои за победу в 1945 году. И был тогда короткий отдых в немецком городке, и была Эмма, молодая немка, в которую он был влюблен... Спустя сорок лет, они встречаются вновь...</t>
        </is>
      </c>
      <c r="L374" s="2" t="inlineStr">
        <is>
          <t>https://www.kino-teatr.ru/teatr/movie/15085/annot/</t>
        </is>
      </c>
      <c r="M374" s="2">
        <f>HYPERLINK("https://ru.wikipedia.org/w/index.php?search=%D0%91%D0%B5%D1%80%D0%B5%D0%B3%201980%20%D1%84%D0%B8%D0%BB%D1%8C%D0%BC","искать")</f>
        <v/>
      </c>
      <c r="N374" s="3" t="n"/>
      <c r="O374" s="2" t="n"/>
      <c r="P374" s="2" t="n"/>
    </row>
    <row r="375">
      <c r="A375" s="2" t="n">
        <v>374</v>
      </c>
      <c r="B375" s="2" t="inlineStr">
        <is>
          <t>обрыв</t>
        </is>
      </c>
      <c r="C375" s="2" t="n">
        <v>8921</v>
      </c>
      <c r="D375" s="3" t="inlineStr">
        <is>
          <t>Пегий пес, бегущий краем моря</t>
        </is>
      </c>
      <c r="E375" s="2" t="n">
        <v>1990</v>
      </c>
      <c r="F375" s="2" t="inlineStr">
        <is>
          <t>кинофильм</t>
        </is>
      </c>
      <c r="G375" s="2" t="n"/>
      <c r="H375" s="2" t="n">
        <v>372</v>
      </c>
      <c r="I375" s="2" t="inlineStr">
        <is>
          <t>да</t>
        </is>
      </c>
      <c r="J375" s="2" t="inlineStr"/>
      <c r="K375" s="3" t="inlineStr">
        <is>
          <t>По одноименной повести Чингиза Айтматова. Герои фильма - нивхи, представители маленькой северной народности. Десятилетний мальчик вместе с дедом, отцом и дядей впервые выходит на промысел. Hо охотников на тюленей подстерегает беда: на море опускается туман, и они теряют берег. Когда запасы пищи подходят к концу, мужчины решают ценой своей жизни сохранить жизнь мальчика…</t>
        </is>
      </c>
      <c r="L375" s="2" t="inlineStr">
        <is>
          <t>Кино_СССР сводный каталог.xlsx: список фильмов (доп.)</t>
        </is>
      </c>
      <c r="M375" s="2">
        <f>HYPERLINK("https://ru.wikipedia.org/w/index.php?search=%D0%9F%D0%B5%D0%B3%D0%B8%D0%B9%20%D0%BF%D0%B5%D1%81%2C%20%D0%B1%D0%B5%D0%B3%D1%83%D1%89%D0%B8%D0%B9%20%D0%BA%D1%80%D0%B0%D0%B5%D0%BC%20%D0%BC%D0%BE%D1%80%D1%8F%201990%20%D1%84%D0%B8%D0%BB%D1%8C%D0%BC","искать")</f>
        <v/>
      </c>
      <c r="N375" s="3" t="inlineStr">
        <is>
          <t>По одноименной повести Чингиза Айтматова. Герои фильма - нивхи, представители маленькой северной народности. Десятилетний мальчик вместе с дедом, отцом и дядей впервые выходит на промысел. Но охотников на тюленей подстерегает беда: на море опускается туман, и они теряют берег. Когда запасы пищи подходят к концу, мужчины решают ценой своей жизни сохранить жизнь мальчика…</t>
        </is>
      </c>
      <c r="O375" s="2" t="inlineStr">
        <is>
          <t>Кино_СССР сводный каталог.xlsx: список фильмов (доп.)</t>
        </is>
      </c>
      <c r="P375" s="2" t="inlineStr">
        <is>
          <t>исправление: латинские буквы в русских словах</t>
        </is>
      </c>
    </row>
    <row r="376">
      <c r="A376" s="2" t="n">
        <v>375</v>
      </c>
      <c r="B376" s="2" t="inlineStr">
        <is>
          <t>обрыв</t>
        </is>
      </c>
      <c r="C376" s="2" t="n">
        <v>10930</v>
      </c>
      <c r="D376" s="3" t="inlineStr">
        <is>
          <t>Америка в бане</t>
        </is>
      </c>
      <c r="E376" s="2" t="n">
        <v>1982</v>
      </c>
      <c r="F376" s="2" t="inlineStr">
        <is>
          <t>фильм-спектакль</t>
        </is>
      </c>
      <c r="G376" s="2" t="n"/>
      <c r="H376" s="2" t="n">
        <v>372</v>
      </c>
      <c r="I376" s="2" t="inlineStr">
        <is>
          <t>да</t>
        </is>
      </c>
      <c r="J376" s="2" t="inlineStr"/>
      <c r="K376" s="3" t="inlineStr">
        <is>
          <t>Весёлый водевиль А.Кятуракиса, главный герой которого – изворотливый сельский портной Винцас – предлагает зажиточному, но прижимистому землевладельцу Антанасу одолжить своему обедневшему соседу пару тысяч рублей и за это получить в жёны с большим приданым его дочь Аготу. Затем Винцас без труда уговаривает Аготу украсть у отца одолженные деньги и вместе бежать в Америку…</t>
        </is>
      </c>
      <c r="L376" s="2" t="inlineStr">
        <is>
          <t>https://www.kino-teatr.ru/teatr/movie/103639/annot/</t>
        </is>
      </c>
      <c r="M376" s="2">
        <f>HYPERLINK("https://ru.wikipedia.org/w/index.php?search=%D0%90%D0%BC%D0%B5%D1%80%D0%B8%D0%BA%D0%B0%20%D0%B2%20%D0%B1%D0%B0%D0%BD%D0%B5%201982%20%D1%84%D0%B8%D0%BB%D1%8C%D0%BC","искать")</f>
        <v/>
      </c>
      <c r="N376" s="3" t="n"/>
      <c r="O376" s="2" t="n"/>
      <c r="P376" s="2" t="n"/>
    </row>
    <row r="377">
      <c r="A377" s="2" t="n">
        <v>376</v>
      </c>
      <c r="B377" s="2" t="inlineStr">
        <is>
          <t>обрыв</t>
        </is>
      </c>
      <c r="C377" s="2" t="n">
        <v>11240</v>
      </c>
      <c r="D377" s="3" t="inlineStr">
        <is>
          <t>Эшелон</t>
        </is>
      </c>
      <c r="E377" s="2" t="n">
        <v>1988</v>
      </c>
      <c r="F377" s="2" t="inlineStr">
        <is>
          <t>фильм-спектакль</t>
        </is>
      </c>
      <c r="G377" s="2" t="inlineStr">
        <is>
          <t>Главная редакция литературно-драматических программ ЦТ</t>
        </is>
      </c>
      <c r="H377" s="2" t="n">
        <v>373</v>
      </c>
      <c r="I377" s="2" t="inlineStr">
        <is>
          <t>да</t>
        </is>
      </c>
      <c r="J377" s="2" t="inlineStr"/>
      <c r="K377" s="3" t="inlineStr">
        <is>
          <t>По одноименной пьесе М.Рощина в постановке Московского театра "Современник" (1976 год, постановка Г.Волчек, И.Райхельгауз).
Действие происходит осенью 1941 года. В эшелоне, который медленно движется на восток, едут эвакуированные семьи рабочих и служащих одного из московских заводов. Постепенно страх и отчужденность сменяются теплом человеческого участия и содружества...</t>
        </is>
      </c>
      <c r="L377" s="2" t="inlineStr">
        <is>
          <t>https://www.kino-teatr.ru/teatr/movie/17055/annot/</t>
        </is>
      </c>
      <c r="M377" s="2">
        <f>HYPERLINK("https://ru.wikipedia.org/w/index.php?search=%D0%AD%D1%88%D0%B5%D0%BB%D0%BE%D0%BD%201988%20%D1%84%D0%B8%D0%BB%D1%8C%D0%BC","искать")</f>
        <v/>
      </c>
      <c r="N377" s="3" t="n"/>
      <c r="O377" s="2" t="n"/>
      <c r="P377" s="2" t="n"/>
    </row>
    <row r="378">
      <c r="A378" s="2" t="n">
        <v>377</v>
      </c>
      <c r="B378" s="2" t="inlineStr">
        <is>
          <t>обрыв</t>
        </is>
      </c>
      <c r="C378" s="2" t="n">
        <v>10676</v>
      </c>
      <c r="D378" s="3" t="inlineStr">
        <is>
          <t>Фиалка</t>
        </is>
      </c>
      <c r="E378" s="2" t="n">
        <v>1976</v>
      </c>
      <c r="F378" s="2" t="inlineStr">
        <is>
          <t>фильм-спектакль</t>
        </is>
      </c>
      <c r="G378" s="2" t="inlineStr">
        <is>
          <t>Главная редакция литературно-драматический программ ЦТ</t>
        </is>
      </c>
      <c r="H378" s="2" t="n">
        <v>374</v>
      </c>
      <c r="I378" s="2" t="inlineStr">
        <is>
          <t>да</t>
        </is>
      </c>
      <c r="J378" s="2" t="inlineStr"/>
      <c r="K378" s="3" t="inlineStr">
        <is>
          <t>По одноименному рассказу Валентина Катаева.
Дом для старых большевиков. Екатерину Герасимовну Новоселову навещает нежданный гость — бывший муж. Когда-то Новоселов оклеветал Катю, чтобы жениться на другой женщине. Однако его жизнь сложилась так, что единственно Катя была его настоящей любовью. И вот, когда жизнь подошла к концу, он приехал, чтобы вымолить у нее прощение...</t>
        </is>
      </c>
      <c r="L378" s="2" t="inlineStr">
        <is>
          <t>https://www.kino-teatr.ru/teatr/movie/9796/annot/</t>
        </is>
      </c>
      <c r="M378" s="2">
        <f>HYPERLINK("https://ru.wikipedia.org/w/index.php?search=%D0%A4%D0%B8%D0%B0%D0%BB%D0%BA%D0%B0%201976%20%D1%84%D0%B8%D0%BB%D1%8C%D0%BC","искать")</f>
        <v/>
      </c>
      <c r="N378" s="3" t="n"/>
      <c r="O378" s="2" t="n"/>
      <c r="P378" s="2" t="n"/>
    </row>
    <row r="379">
      <c r="A379" s="2" t="n">
        <v>378</v>
      </c>
      <c r="B379" s="2" t="inlineStr">
        <is>
          <t>обрыв</t>
        </is>
      </c>
      <c r="C379" s="2" t="n">
        <v>10698</v>
      </c>
      <c r="D379" s="3" t="inlineStr">
        <is>
          <t>Между небом и землёй</t>
        </is>
      </c>
      <c r="E379" s="2" t="n">
        <v>1977</v>
      </c>
      <c r="F379" s="2" t="inlineStr">
        <is>
          <t>фильм-спектакль</t>
        </is>
      </c>
      <c r="G379" s="2" t="inlineStr">
        <is>
          <t>Главная редакция литературно-драматических программ ЦТ</t>
        </is>
      </c>
      <c r="H379" s="2" t="n">
        <v>374</v>
      </c>
      <c r="I379" s="2" t="inlineStr">
        <is>
          <t>да</t>
        </is>
      </c>
      <c r="J379" s="2" t="inlineStr"/>
      <c r="K379" s="3" t="inlineStr">
        <is>
          <t>По мотивам повести Виктории Токаревой "Ехал грека".
Известный музыкант Климов эгоистичен и самолюбив. Он безразличен к бывшей жене и сыну, к любящей его женщине, пренебрежительно относится к коллегам и родным. Однажды самолёт, на котором он должен был лететь на отдых в Симферополь, терпит катастрофу. Климов опаздывает к вылету и остаётся жив, но для близких он разбился...</t>
        </is>
      </c>
      <c r="L379" s="2" t="inlineStr">
        <is>
          <t>https://www.kino-teatr.ru/teatr/movie/11914/annot/</t>
        </is>
      </c>
      <c r="M379" s="2">
        <f>HYPERLINK("https://ru.wikipedia.org/w/index.php?search=%D0%9C%D0%B5%D0%B6%D0%B4%D1%83%20%D0%BD%D0%B5%D0%B1%D0%BE%D0%BC%20%D0%B8%20%D0%B7%D0%B5%D0%BC%D0%BB%D1%91%D0%B9%201977%20%D1%84%D0%B8%D0%BB%D1%8C%D0%BC","искать")</f>
        <v/>
      </c>
      <c r="N379" s="3" t="n"/>
      <c r="O379" s="2" t="n"/>
      <c r="P379" s="2" t="n"/>
    </row>
    <row r="380">
      <c r="A380" s="2" t="n">
        <v>379</v>
      </c>
      <c r="B380" s="2" t="inlineStr">
        <is>
          <t>обрыв</t>
        </is>
      </c>
      <c r="C380" s="2" t="n">
        <v>10715</v>
      </c>
      <c r="D380" s="3" t="inlineStr">
        <is>
          <t>Семейная история</t>
        </is>
      </c>
      <c r="E380" s="2" t="n">
        <v>1977</v>
      </c>
      <c r="F380" s="2" t="inlineStr">
        <is>
          <t>фильм-спектакль</t>
        </is>
      </c>
      <c r="G380" s="2" t="inlineStr">
        <is>
          <t>Центральное телевидение</t>
        </is>
      </c>
      <c r="H380" s="2" t="n">
        <v>378</v>
      </c>
      <c r="I380" s="2" t="inlineStr">
        <is>
          <t>да</t>
        </is>
      </c>
      <c r="J380" s="2" t="inlineStr"/>
      <c r="K380" s="3" t="inlineStr">
        <is>
          <t>Из цикла "Наши соседи".
По сценарию Анатолия Трушкина.
Конфликты, возникающие в семье, чуть было не привели к разрыву родственных отношений. После двенадцатилетнего отсутствия в родной дом возвращается отец, но он не находит общего языка с девятнадцатилетним сыном Володей, который не может простить его и ведет себя вызывающе. Отец понимая, что он здесь лишний, снова уходит...</t>
        </is>
      </c>
      <c r="L380" s="2" t="inlineStr">
        <is>
          <t>https://www.kino-teatr.ru/teatr/movie/104394/annot/</t>
        </is>
      </c>
      <c r="M380" s="2">
        <f>HYPERLINK("https://ru.wikipedia.org/w/index.php?search=%D0%A1%D0%B5%D0%BC%D0%B5%D0%B9%D0%BD%D0%B0%D1%8F%20%D0%B8%D1%81%D1%82%D0%BE%D1%80%D0%B8%D1%8F%201977%20%D1%84%D0%B8%D0%BB%D1%8C%D0%BC","искать")</f>
        <v/>
      </c>
      <c r="N380" s="3" t="n"/>
      <c r="O380" s="2" t="n"/>
      <c r="P380" s="2" t="n"/>
    </row>
    <row r="381">
      <c r="A381" s="2" t="n">
        <v>380</v>
      </c>
      <c r="B381" s="2" t="inlineStr">
        <is>
          <t>обрыв</t>
        </is>
      </c>
      <c r="C381" s="2" t="n">
        <v>11260</v>
      </c>
      <c r="D381" s="3" t="inlineStr">
        <is>
          <t>История лошади</t>
        </is>
      </c>
      <c r="E381" s="2" t="n">
        <v>1989</v>
      </c>
      <c r="F381" s="2" t="inlineStr">
        <is>
          <t>фильм-спектакль</t>
        </is>
      </c>
      <c r="G381" s="2" t="inlineStr">
        <is>
          <t>Ленфильм</t>
        </is>
      </c>
      <c r="H381" s="2" t="n">
        <v>378</v>
      </c>
      <c r="I381" s="2" t="inlineStr">
        <is>
          <t>да</t>
        </is>
      </c>
      <c r="J381" s="2" t="inlineStr">
        <is>
          <t>да</t>
        </is>
      </c>
      <c r="K381" s="3" t="inlineStr">
        <is>
          <t>По мотивам одноименной повести Льва Николаевича Толстого "Холстомер" в постановке Ленинградского государственного академического Большого драматического театра имени М. Горького. Историю лошади рассказали как трагедию человека. Евгений Лебедев, блистательно сыгравший Холстомера, поведал о судьбе целого народа, страны, где постоянно присутствует конфликт личности и "табуна"...</t>
        </is>
      </c>
      <c r="L381" s="2" t="inlineStr">
        <is>
          <t>https://www.kino-teatr.ru/teatr/movie/16553/annot/</t>
        </is>
      </c>
      <c r="M381" s="2">
        <f>HYPERLINK("https://ru.wikipedia.org/w/index.php?search=%D0%98%D1%81%D1%82%D0%BE%D1%80%D0%B8%D1%8F%20%D0%BB%D0%BE%D1%88%D0%B0%D0%B4%D0%B8%201989%20%D1%84%D0%B8%D0%BB%D1%8C%D0%BC","искать")</f>
        <v/>
      </c>
      <c r="N381" s="3" t="n"/>
      <c r="O381" s="2" t="n"/>
      <c r="P381" s="2" t="n"/>
    </row>
    <row r="382">
      <c r="A382" s="2" t="n">
        <v>381</v>
      </c>
      <c r="B382" s="2" t="inlineStr">
        <is>
          <t>обрыв</t>
        </is>
      </c>
      <c r="C382" s="2" t="n">
        <v>10399</v>
      </c>
      <c r="D382" s="3" t="inlineStr">
        <is>
          <t>Когда море смеётся</t>
        </is>
      </c>
      <c r="E382" s="2" t="n">
        <v>1971</v>
      </c>
      <c r="F382" s="2" t="inlineStr">
        <is>
          <t>фильм-спектакль</t>
        </is>
      </c>
      <c r="G382" s="2" t="n"/>
      <c r="H382" s="2" t="n">
        <v>380</v>
      </c>
      <c r="I382" s="2" t="inlineStr">
        <is>
          <t>да</t>
        </is>
      </c>
      <c r="J382" s="2" t="inlineStr"/>
      <c r="K382" s="3" t="inlineStr">
        <is>
          <t>Телеспектакль по мотивам романа О.Генри "Короли и капуста".
Действие фильма разворачивается в условной стране Анчурии, где каждый год выбирают нового президента. Так бы все и шло своим чередом в островной Анчурии, если бы не чемоданчик с сотнями тысяч долларов, вдруг обнаружившийся у местного брадобрея, и таинственный незнакомец, однажды выброшенный волной на анчурский берег...</t>
        </is>
      </c>
      <c r="L382" s="2" t="inlineStr">
        <is>
          <t>https://www.kino-teatr.ru/teatr/movie/82118/annot/</t>
        </is>
      </c>
      <c r="M382" s="2">
        <f>HYPERLINK("https://ru.wikipedia.org/w/index.php?search=%D0%9A%D0%BE%D0%B3%D0%B4%D0%B0%20%D0%BC%D0%BE%D1%80%D0%B5%20%D1%81%D0%BC%D0%B5%D1%91%D1%82%D1%81%D1%8F%201971%20%D1%84%D0%B8%D0%BB%D1%8C%D0%BC","искать")</f>
        <v/>
      </c>
      <c r="N382" s="3" t="n"/>
      <c r="O382" s="2" t="n"/>
      <c r="P382" s="2" t="n"/>
    </row>
    <row r="383">
      <c r="A383" s="2" t="n">
        <v>382</v>
      </c>
      <c r="B383" s="2" t="inlineStr">
        <is>
          <t>обрыв</t>
        </is>
      </c>
      <c r="C383" s="2" t="n">
        <v>10489</v>
      </c>
      <c r="D383" s="3" t="inlineStr">
        <is>
          <t>Василий Тёркин</t>
        </is>
      </c>
      <c r="E383" s="2" t="n">
        <v>1973</v>
      </c>
      <c r="F383" s="2" t="inlineStr">
        <is>
          <t>фильм-спектакль</t>
        </is>
      </c>
      <c r="G383" s="2" t="n"/>
      <c r="H383" s="2" t="n">
        <v>383</v>
      </c>
      <c r="I383" s="2" t="inlineStr">
        <is>
          <t>да</t>
        </is>
      </c>
      <c r="J383" s="2" t="inlineStr">
        <is>
          <t>да</t>
        </is>
      </c>
      <c r="K383" s="3" t="inlineStr">
        <is>
          <t>По одноименной поэме А.Твардовского в постановке Государственного академического театра имени Моссовета.
Режиссер Б. Щедрин предложил интересное сценическое решение для знаменитой книги А. Твардовского - главного героя, русского солдата Теркина играют сразу несколько исполнителей : ведь прототип литературного Василия Теркина - бравый боец, заводила и балагур был в каждом взводе...</t>
        </is>
      </c>
      <c r="L383" s="2" t="inlineStr">
        <is>
          <t>https://www.kino-teatr.ru/teatr/movie/81471/annot/</t>
        </is>
      </c>
      <c r="M383" s="2">
        <f>HYPERLINK("https://ru.wikipedia.org/w/index.php?search=%D0%92%D0%B0%D1%81%D0%B8%D0%BB%D0%B8%D0%B9%20%D0%A2%D1%91%D1%80%D0%BA%D0%B8%D0%BD%201973%20%D1%84%D0%B8%D0%BB%D1%8C%D0%BC","искать")</f>
        <v/>
      </c>
      <c r="N383" s="3" t="n"/>
      <c r="O383" s="2" t="n"/>
      <c r="P383" s="2" t="n"/>
    </row>
    <row r="384">
      <c r="A384" s="2" t="n">
        <v>383</v>
      </c>
      <c r="B384" s="2" t="inlineStr">
        <is>
          <t>обрыв</t>
        </is>
      </c>
      <c r="C384" s="2" t="n">
        <v>11121</v>
      </c>
      <c r="D384" s="3" t="inlineStr">
        <is>
          <t>Орфей спускается в ад</t>
        </is>
      </c>
      <c r="E384" s="2" t="n">
        <v>1986</v>
      </c>
      <c r="F384" s="2" t="inlineStr">
        <is>
          <t>фильм-спектакль</t>
        </is>
      </c>
      <c r="G384" s="2" t="inlineStr">
        <is>
          <t>Экран</t>
        </is>
      </c>
      <c r="H384" s="2" t="n">
        <v>385</v>
      </c>
      <c r="I384" s="2" t="inlineStr">
        <is>
          <t>да</t>
        </is>
      </c>
      <c r="J384" s="2" t="inlineStr"/>
      <c r="K384" s="3" t="inlineStr">
        <is>
          <t>Пьеса Теннесси Уильямса (перевод с английского Я.Березницкого) в постановке Центрального академического театра Российской Армии.
Много лет героиня прожила с убийцей ее отца. Теперь муж смертельно болен - она же полюбила другого. Чтобы удержать возлюбленного, она сообщает, что ждет от него ребенка. Муж оказывается тайным свидетелем этого разговора, и совершается новое преступление...</t>
        </is>
      </c>
      <c r="L384" s="2" t="inlineStr">
        <is>
          <t>https://www.kino-teatr.ru/teatr/movie/81409/annot/</t>
        </is>
      </c>
      <c r="M384" s="2">
        <f>HYPERLINK("https://ru.wikipedia.org/w/index.php?search=%D0%9E%D1%80%D1%84%D0%B5%D0%B9%20%D1%81%D0%BF%D1%83%D1%81%D0%BA%D0%B0%D0%B5%D1%82%D1%81%D1%8F%20%D0%B2%20%D0%B0%D0%B4%201986%20%D1%84%D0%B8%D0%BB%D1%8C%D0%BC","искать")</f>
        <v/>
      </c>
      <c r="N384" s="3" t="n"/>
      <c r="O384" s="2" t="n"/>
      <c r="P384" s="2" t="n"/>
    </row>
    <row r="385">
      <c r="A385" s="2" t="n">
        <v>384</v>
      </c>
      <c r="B385" s="2" t="inlineStr">
        <is>
          <t>обрыв</t>
        </is>
      </c>
      <c r="C385" s="2" t="n">
        <v>10224</v>
      </c>
      <c r="D385" s="3" t="inlineStr">
        <is>
          <t>Якорная площадь</t>
        </is>
      </c>
      <c r="E385" s="2" t="n">
        <v>1967</v>
      </c>
      <c r="F385" s="2" t="inlineStr">
        <is>
          <t>фильм-спектакль</t>
        </is>
      </c>
      <c r="G385" s="2" t="inlineStr">
        <is>
          <t>Ленинградское ТВ</t>
        </is>
      </c>
      <c r="H385" s="2" t="n">
        <v>388</v>
      </c>
      <c r="I385" s="2" t="inlineStr">
        <is>
          <t>да</t>
        </is>
      </c>
      <c r="J385" s="2" t="inlineStr"/>
      <c r="K385" s="3" t="inlineStr">
        <is>
          <t>По одноименной пьесе Исидора Штока.
Матрос Сергей Селянин будучи в увольнении приходит на свидание к Татьяне, дочери контр-адмирала Чемизова. Они влюблены друг в друга и Сергей опаздывает на час из увольнения. В это время подводная лодка, на которой он служит, по тревоге выходит в море. Из-за случившегося ЧП, на посту, где должен был находиться Сергей, погибает его товарищ - Валерий...</t>
        </is>
      </c>
      <c r="L385" s="2" t="inlineStr">
        <is>
          <t>https://www.kino-teatr.ru/teatr/movie/92798/annot/</t>
        </is>
      </c>
      <c r="M385" s="2">
        <f>HYPERLINK("https://ru.wikipedia.org/w/index.php?search=%D0%AF%D0%BA%D0%BE%D1%80%D0%BD%D0%B0%D1%8F%20%D0%BF%D0%BB%D0%BE%D1%89%D0%B0%D0%B4%D1%8C%201967%20%D1%84%D0%B8%D0%BB%D1%8C%D0%BC","искать")</f>
        <v/>
      </c>
      <c r="N385" s="3" t="n"/>
      <c r="O385" s="2" t="n"/>
      <c r="P385" s="2" t="n"/>
    </row>
    <row r="386">
      <c r="A386" s="2" t="n">
        <v>385</v>
      </c>
      <c r="B386" s="2" t="inlineStr">
        <is>
          <t>обрыв</t>
        </is>
      </c>
      <c r="C386" s="2" t="n">
        <v>10083</v>
      </c>
      <c r="D386" s="3" t="inlineStr">
        <is>
          <t>Собака на сене</t>
        </is>
      </c>
      <c r="E386" s="2" t="n">
        <v>1960</v>
      </c>
      <c r="F386" s="2" t="inlineStr">
        <is>
          <t>фильм-спектакль</t>
        </is>
      </c>
      <c r="G386" s="2" t="inlineStr">
        <is>
          <t>Radiotelevisão Portuguesa (RTP)</t>
        </is>
      </c>
      <c r="H386" s="2" t="n">
        <v>390</v>
      </c>
      <c r="I386" s="2" t="inlineStr">
        <is>
          <t>да</t>
        </is>
      </c>
      <c r="J386" s="2" t="inlineStr"/>
      <c r="K386" s="3" t="inlineStr">
        <is>
          <t>Телеспектакль по одноимённой пьесе Лопе де Вега.
Теодоро, секретарь гордой графини Дианы, вместе со своим товарищем Тристаном проникает в особняк на свидание с её служанкой Марселой, однако об его визите узнает хозяйка и начинает ревновать красивого и умного молодого человека. Оказывается, что она сама в него влюблена, однако сословная спесь мешает ей преодолеть классовые предрассудки...</t>
        </is>
      </c>
      <c r="L386" s="2" t="inlineStr">
        <is>
          <t>https://www.kino-teatr.ru/teatr/movie/130487/annot/</t>
        </is>
      </c>
      <c r="M386" s="2">
        <f>HYPERLINK("https://ru.wikipedia.org/w/index.php?search=%D0%A1%D0%BE%D0%B1%D0%B0%D0%BA%D0%B0%20%D0%BD%D0%B0%20%D1%81%D0%B5%D0%BD%D0%B5%201960%20%D1%84%D0%B8%D0%BB%D1%8C%D0%BC","искать")</f>
        <v/>
      </c>
      <c r="N386" s="3" t="n"/>
      <c r="O386" s="2" t="n"/>
      <c r="P386" s="2" t="n"/>
    </row>
    <row r="387">
      <c r="A387" s="2" t="n">
        <v>386</v>
      </c>
      <c r="B387" s="2" t="inlineStr">
        <is>
          <t>обрыв</t>
        </is>
      </c>
      <c r="C387" s="2" t="n">
        <v>10527</v>
      </c>
      <c r="D387" s="3" t="inlineStr">
        <is>
          <t>Твоя юность</t>
        </is>
      </c>
      <c r="E387" s="2" t="n">
        <v>1973</v>
      </c>
      <c r="F387" s="2" t="inlineStr">
        <is>
          <t>фильм-спектакль</t>
        </is>
      </c>
      <c r="G387" s="2" t="n"/>
      <c r="H387" s="2" t="n">
        <v>391</v>
      </c>
      <c r="I387" s="2" t="inlineStr">
        <is>
          <t>да</t>
        </is>
      </c>
      <c r="J387" s="2" t="inlineStr"/>
      <c r="K387" s="3" t="inlineStr">
        <is>
          <t>По пьесе Тамары Ян "Твои шестнадцать".
Действие спектакля происходит в 70-е годы прошлого века. Главными героями являются подростки, заканчивающие школу и выбирающие свой дальнейший жизненный путь.
Главная героиня пьесы Майка Малышева, девушка, которая готова взяться за всё подряд — от астрономии до самбо. При этом девушка очень дорожит своими друзьями и лучшей подругой Ольгой Зайцевой...</t>
        </is>
      </c>
      <c r="L387" s="2" t="inlineStr">
        <is>
          <t>https://www.kino-teatr.ru/teatr/movie/135113/annot/</t>
        </is>
      </c>
      <c r="M387" s="2">
        <f>HYPERLINK("https://ru.wikipedia.org/w/index.php?search=%D0%A2%D0%B2%D0%BE%D1%8F%20%D1%8E%D0%BD%D0%BE%D1%81%D1%82%D1%8C%201973%20%D1%84%D0%B8%D0%BB%D1%8C%D0%BC","искать")</f>
        <v/>
      </c>
      <c r="N387" s="3" t="n"/>
      <c r="O387" s="2" t="n"/>
      <c r="P387" s="2" t="n"/>
    </row>
    <row r="388">
      <c r="A388" s="2" t="n">
        <v>387</v>
      </c>
      <c r="B388" s="2" t="inlineStr">
        <is>
          <t>обрыв</t>
        </is>
      </c>
      <c r="C388" s="2" t="n">
        <v>10585</v>
      </c>
      <c r="D388" s="3" t="inlineStr">
        <is>
          <t>Проснись и пой</t>
        </is>
      </c>
      <c r="E388" s="2" t="n">
        <v>1974</v>
      </c>
      <c r="F388" s="2" t="inlineStr">
        <is>
          <t>фильм-спектакль</t>
        </is>
      </c>
      <c r="G388" s="2" t="inlineStr">
        <is>
          <t>Гл. ред. лит-драм программ</t>
        </is>
      </c>
      <c r="H388" s="2" t="n">
        <v>392</v>
      </c>
      <c r="I388" s="2" t="inlineStr">
        <is>
          <t>да</t>
        </is>
      </c>
      <c r="J388" s="2" t="inlineStr">
        <is>
          <t>да</t>
        </is>
      </c>
      <c r="K388" s="3" t="inlineStr">
        <is>
          <t>Телеверсия спектакля Московского академического театра Сатиры (1974).
По пьесе венгерского драматурга Миклоша Дярфаша.
Дюла, сын четы Орбак - молодой человек, как все в его возрасте ищущий любви и одновременно мечтающий о полной свободе. Он любит родителей, но ему ужасно надоели нотации и поучения. И по большому счету, как и многие молодые люди, они сам не очень хорошо знает, чего хочет...</t>
        </is>
      </c>
      <c r="L388" s="2" t="inlineStr">
        <is>
          <t>https://www.kino-teatr.ru/teatr/movie/5768/annot/</t>
        </is>
      </c>
      <c r="M388" s="2">
        <f>HYPERLINK("https://ru.wikipedia.org/w/index.php?search=%D0%9F%D1%80%D0%BE%D1%81%D0%BD%D0%B8%D1%81%D1%8C%20%D0%B8%20%D0%BF%D0%BE%D0%B9%201974%20%D1%84%D0%B8%D0%BB%D1%8C%D0%BC","искать")</f>
        <v/>
      </c>
      <c r="N388" s="3" t="n"/>
      <c r="O388" s="2" t="n"/>
      <c r="P388" s="2" t="n"/>
    </row>
    <row r="389">
      <c r="A389" s="2" t="n">
        <v>388</v>
      </c>
      <c r="B389" s="2" t="inlineStr">
        <is>
          <t>обрыв</t>
        </is>
      </c>
      <c r="C389" s="2" t="n">
        <v>10798</v>
      </c>
      <c r="D389" s="3" t="inlineStr">
        <is>
          <t>Господа Глембаи</t>
        </is>
      </c>
      <c r="E389" s="2" t="n">
        <v>1979</v>
      </c>
      <c r="F389" s="2" t="inlineStr">
        <is>
          <t>фильм-спектакль</t>
        </is>
      </c>
      <c r="G389" s="2" t="inlineStr">
        <is>
          <t>Экран</t>
        </is>
      </c>
      <c r="H389" s="2" t="n">
        <v>392</v>
      </c>
      <c r="I389" s="2" t="inlineStr">
        <is>
          <t>да</t>
        </is>
      </c>
      <c r="J389" s="2" t="inlineStr"/>
      <c r="K389" s="3" t="inlineStr">
        <is>
          <t>По одноименной пьесе М. Крлежи в постановке Государственного академического театра имени Евг. Вахтангова. Воздействие происходит в Загребе в 1913 году. Казалось, что все благополучно в семье банкира Глембая. Но случайное происшествие делает явным то, что в течение многих лет было тайным. Потрясенный Глембай умирает. Наследники узнают, что он - банкрот, оставивший после себя большой долг...</t>
        </is>
      </c>
      <c r="L389" s="2" t="inlineStr">
        <is>
          <t>https://www.kino-teatr.ru/teatr/movie/81526/annot/</t>
        </is>
      </c>
      <c r="M389" s="2">
        <f>HYPERLINK("https://ru.wikipedia.org/w/index.php?search=%D0%93%D0%BE%D1%81%D0%BF%D0%BE%D0%B4%D0%B0%20%D0%93%D0%BB%D0%B5%D0%BC%D0%B1%D0%B0%D0%B8%201979%20%D1%84%D0%B8%D0%BB%D1%8C%D0%BC","искать")</f>
        <v/>
      </c>
      <c r="N389" s="3" t="n"/>
      <c r="O389" s="2" t="n"/>
      <c r="P389" s="2" t="n"/>
    </row>
    <row r="390">
      <c r="A390" s="2" t="n">
        <v>389</v>
      </c>
      <c r="B390" s="2" t="inlineStr">
        <is>
          <t>обрыв</t>
        </is>
      </c>
      <c r="C390" s="2" t="n">
        <v>11215</v>
      </c>
      <c r="D390" s="3" t="inlineStr">
        <is>
          <t>Мера за меру</t>
        </is>
      </c>
      <c r="E390" s="2" t="n">
        <v>1988</v>
      </c>
      <c r="F390" s="2" t="inlineStr">
        <is>
          <t>фильм-спектакль</t>
        </is>
      </c>
      <c r="G390" s="2" t="inlineStr">
        <is>
          <t>Главная редакция литературно-драматических программ ЦТ</t>
        </is>
      </c>
      <c r="H390" s="2" t="n">
        <v>392</v>
      </c>
      <c r="I390" s="2" t="inlineStr">
        <is>
          <t>да</t>
        </is>
      </c>
      <c r="J390" s="2" t="inlineStr"/>
      <c r="K390" s="3" t="inlineStr">
        <is>
          <t>По одноименной пьесе У.Шекспира в постановке Государственного русского драматического театра Литовской ССР.
Сестра приговорённого к смертной казни просит судью о помиловании. Девушку ставят перед выбором: жизнь брата в обмен за девственность. Как ни странно это звучит для нашего времени, она предпочитает сохранить невинность. И только комедийный жанр спасает историю от трагедии в финале...</t>
        </is>
      </c>
      <c r="L390" s="2" t="inlineStr">
        <is>
          <t>https://www.kino-teatr.ru/teatr/movie/81604/annot/</t>
        </is>
      </c>
      <c r="M390" s="2">
        <f>HYPERLINK("https://ru.wikipedia.org/w/index.php?search=%D0%9C%D0%B5%D1%80%D0%B0%20%D0%B7%D0%B0%20%D0%BC%D0%B5%D1%80%D1%83%201988%20%D1%84%D0%B8%D0%BB%D1%8C%D0%BC","искать")</f>
        <v/>
      </c>
      <c r="N390" s="3" t="n"/>
      <c r="O390" s="2" t="n"/>
      <c r="P390" s="2" t="n"/>
    </row>
    <row r="391">
      <c r="A391" s="2" t="n">
        <v>390</v>
      </c>
      <c r="B391" s="2" t="inlineStr">
        <is>
          <t>обрыв</t>
        </is>
      </c>
      <c r="C391" s="2" t="n">
        <v>11237</v>
      </c>
      <c r="D391" s="3" t="inlineStr">
        <is>
          <t>Энергичные люди</t>
        </is>
      </c>
      <c r="E391" s="2" t="n">
        <v>1988</v>
      </c>
      <c r="F391" s="2" t="inlineStr">
        <is>
          <t>фильм-спектакль</t>
        </is>
      </c>
      <c r="G391" s="2" t="inlineStr">
        <is>
          <t>Главная редакция литературно-драматических программ ЦТ</t>
        </is>
      </c>
      <c r="H391" s="2" t="n">
        <v>392</v>
      </c>
      <c r="I391" s="2" t="inlineStr">
        <is>
          <t>да</t>
        </is>
      </c>
      <c r="J391" s="2" t="inlineStr"/>
      <c r="K391" s="3" t="inlineStr">
        <is>
          <t>По одноименной сатирической повести для театра Василия Шукшина.
У заведующего магазином Аристарха Петровича Кузькина большая неприятность: его жена Вера, обнаружив письмо некой Сони, адресованное мужу, решила отомстить и написала прокурору о его махинациях. Как ни пытались убедить жену, что письмо Сони не более чем шутка, избежать ареста Аристарху Петровичу и его соучастникам не удалось...</t>
        </is>
      </c>
      <c r="L391" s="2" t="inlineStr">
        <is>
          <t>https://www.kino-teatr.ru/teatr/movie/17095/annot/</t>
        </is>
      </c>
      <c r="M391" s="2">
        <f>HYPERLINK("https://ru.wikipedia.org/w/index.php?search=%D0%AD%D0%BD%D0%B5%D1%80%D0%B3%D0%B8%D1%87%D0%BD%D1%8B%D0%B5%20%D0%BB%D1%8E%D0%B4%D0%B8%201988%20%D1%84%D0%B8%D0%BB%D1%8C%D0%BC","искать")</f>
        <v/>
      </c>
      <c r="N391" s="3" t="n"/>
      <c r="O391" s="2" t="n"/>
      <c r="P391" s="2" t="n"/>
    </row>
    <row r="392">
      <c r="A392" s="2" t="n">
        <v>391</v>
      </c>
      <c r="B392" s="2" t="inlineStr">
        <is>
          <t>обрыв</t>
        </is>
      </c>
      <c r="C392" s="2" t="n">
        <v>10632</v>
      </c>
      <c r="D392" s="3" t="inlineStr">
        <is>
          <t>Шагреневая кожа</t>
        </is>
      </c>
      <c r="E392" s="2" t="n">
        <v>1975</v>
      </c>
      <c r="F392" s="2" t="inlineStr">
        <is>
          <t>фильм-спектакль</t>
        </is>
      </c>
      <c r="G392" s="2" t="inlineStr">
        <is>
          <t>Гл. ред. лит-драм программ ЦТ</t>
        </is>
      </c>
      <c r="H392" s="2" t="n">
        <v>393</v>
      </c>
      <c r="I392" s="2" t="inlineStr">
        <is>
          <t>да</t>
        </is>
      </c>
      <c r="J392" s="2" t="inlineStr"/>
      <c r="K392" s="3" t="inlineStr">
        <is>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is>
      </c>
      <c r="L392" s="2" t="inlineStr">
        <is>
          <t>https://www.kino-teatr.ru/teatr/movie/13680/annot/</t>
        </is>
      </c>
      <c r="M392" s="2">
        <f>HYPERLINK("https://ru.wikipedia.org/w/index.php?search=%D0%A8%D0%B0%D0%B3%D1%80%D0%B5%D0%BD%D0%B5%D0%B2%D0%B0%D1%8F%20%D0%BA%D0%BE%D0%B6%D0%B0%201975%20%D1%84%D0%B8%D0%BB%D1%8C%D0%BC","искать")</f>
        <v/>
      </c>
      <c r="N392" s="3" t="n"/>
      <c r="O392" s="2" t="n"/>
      <c r="P392" s="2" t="n"/>
    </row>
    <row r="393">
      <c r="A393" s="2" t="n">
        <v>392</v>
      </c>
      <c r="B393" s="2" t="inlineStr">
        <is>
          <t>обрыв</t>
        </is>
      </c>
      <c r="C393" s="2" t="n">
        <v>10787</v>
      </c>
      <c r="D393" s="3" t="inlineStr">
        <is>
          <t>Эцитоны Бурчелли</t>
        </is>
      </c>
      <c r="E393" s="2" t="n">
        <v>1978</v>
      </c>
      <c r="F393" s="2" t="inlineStr">
        <is>
          <t>фильм-спектакль</t>
        </is>
      </c>
      <c r="G393" s="2" t="inlineStr">
        <is>
          <t>Гл. ред. лит-драм программ</t>
        </is>
      </c>
      <c r="H393" s="2" t="n">
        <v>394</v>
      </c>
      <c r="I393" s="2" t="inlineStr">
        <is>
          <t>да</t>
        </is>
      </c>
      <c r="J393" s="2" t="inlineStr"/>
      <c r="K393" s="3" t="inlineStr">
        <is>
          <t>По мотивам одноименной пьесы Сергея Михалкова. Ученый Деревушкин в день своего 60-летия собирается совершить необычный поступок - прыжок с парашютом. Узнав об этом, его семейство обеспокоено только одним: если Деревушкин погибнет, то кому достанется наследство. Однако прыжок прошел удачно и все завершилось благополучно. А для героя наступает прозрение, он понимает с кем прожил долгие годы...</t>
        </is>
      </c>
      <c r="L393" s="2" t="inlineStr">
        <is>
          <t>https://www.kino-teatr.ru/teatr/movie/10523/annot/</t>
        </is>
      </c>
      <c r="M393" s="2">
        <f>HYPERLINK("https://ru.wikipedia.org/w/index.php?search=%D0%AD%D1%86%D0%B8%D1%82%D0%BE%D0%BD%D1%8B%20%D0%91%D1%83%D1%80%D1%87%D0%B5%D0%BB%D0%BB%D0%B8%201978%20%D1%84%D0%B8%D0%BB%D1%8C%D0%BC","искать")</f>
        <v/>
      </c>
      <c r="N393" s="3" t="n"/>
      <c r="O393" s="2" t="n"/>
      <c r="P393" s="2" t="n"/>
    </row>
    <row r="394">
      <c r="A394" s="2" t="n">
        <v>393</v>
      </c>
      <c r="B394" s="2" t="inlineStr">
        <is>
          <t>обрыв</t>
        </is>
      </c>
      <c r="C394" s="2" t="n">
        <v>10214</v>
      </c>
      <c r="D394" s="3" t="inlineStr">
        <is>
          <t>Пропавший чиновник</t>
        </is>
      </c>
      <c r="E394" s="2" t="n">
        <v>1967</v>
      </c>
      <c r="F394" s="2" t="inlineStr">
        <is>
          <t>фильм-спектакль</t>
        </is>
      </c>
      <c r="G394" s="2" t="inlineStr">
        <is>
          <t>Центральное ТВ</t>
        </is>
      </c>
      <c r="H394" s="2" t="n">
        <v>395</v>
      </c>
      <c r="I394" s="2" t="inlineStr">
        <is>
          <t>да</t>
        </is>
      </c>
      <c r="J394" s="2" t="inlineStr"/>
      <c r="K394" s="3" t="inlineStr">
        <is>
          <t>По роману датского писателя Ганса Шерфига.
В столице одного европейского государства исчезли два человека. Один из них - преуспевающий чиновник, отец семейства и довольно обеспеченный человек - Теодор Амстед. Другой - странный, нелюдимый чудак, живущий в бедности - Михаэль Могинсон. Вскоре на военном полигоне находят труп человека, погибшего при взрыве бомбы. Полиция начинает расследование...</t>
        </is>
      </c>
      <c r="L394" s="2" t="inlineStr">
        <is>
          <t>https://www.kino-teatr.ru/teatr/movie/92816/annot/</t>
        </is>
      </c>
      <c r="M394" s="2">
        <f>HYPERLINK("https://ru.wikipedia.org/w/index.php?search=%D0%9F%D1%80%D0%BE%D0%BF%D0%B0%D0%B2%D1%88%D0%B8%D0%B9%20%D1%87%D0%B8%D0%BD%D0%BE%D0%B2%D0%BD%D0%B8%D0%BA%201967%20%D1%84%D0%B8%D0%BB%D1%8C%D0%BC","искать")</f>
        <v/>
      </c>
      <c r="N394" s="3" t="n"/>
      <c r="O394" s="2" t="n"/>
      <c r="P394" s="2" t="n"/>
    </row>
    <row r="395">
      <c r="A395" s="2" t="n">
        <v>394</v>
      </c>
      <c r="B395" s="2" t="inlineStr">
        <is>
          <t>обрыв</t>
        </is>
      </c>
      <c r="C395" s="2" t="n">
        <v>10956</v>
      </c>
      <c r="D395" s="3" t="inlineStr">
        <is>
          <t>Понедельник - день тяжёлый</t>
        </is>
      </c>
      <c r="E395" s="2" t="n">
        <v>1982</v>
      </c>
      <c r="F395" s="2" t="inlineStr">
        <is>
          <t>фильм-спектакль</t>
        </is>
      </c>
      <c r="G395" s="2" t="inlineStr">
        <is>
          <t>Главная редакция литературно-драматических программ ЦТ</t>
        </is>
      </c>
      <c r="H395" s="2" t="n">
        <v>395</v>
      </c>
      <c r="I395" s="2" t="inlineStr">
        <is>
          <t>да</t>
        </is>
      </c>
      <c r="J395" s="2" t="inlineStr"/>
      <c r="K395" s="3" t="inlineStr">
        <is>
          <t>По мотивам комедии Валентина Катаева "Понедельник".
Член Союза писателей, автор единственной и давно забытой книги Евтихий Корнеплодов собирается праздновать юбилей. Но накануне выясняется, что потерян членский билет. Заявление Корнеплодова о выдаче ему нового билета напоминает работникам правления Союза писателей, что "маститый" участник различных торжеств фактически не является писателем...</t>
        </is>
      </c>
      <c r="L395" s="2" t="inlineStr">
        <is>
          <t>https://www.kino-teatr.ru/teatr/movie/81735/annot/</t>
        </is>
      </c>
      <c r="M395" s="2">
        <f>HYPERLINK("https://ru.wikipedia.org/w/index.php?search=%D0%9F%D0%BE%D0%BD%D0%B5%D0%B4%D0%B5%D0%BB%D1%8C%D0%BD%D0%B8%D0%BA%20-%20%D0%B4%D0%B5%D0%BD%D1%8C%20%D1%82%D1%8F%D0%B6%D1%91%D0%BB%D1%8B%D0%B9%201982%20%D1%84%D0%B8%D0%BB%D1%8C%D0%BC","искать")</f>
        <v/>
      </c>
      <c r="N395" s="3" t="n"/>
      <c r="O395" s="2" t="n"/>
      <c r="P395" s="2" t="n"/>
    </row>
    <row r="396">
      <c r="A396" s="2" t="n">
        <v>395</v>
      </c>
      <c r="B396" s="2" t="inlineStr">
        <is>
          <t>обрыв</t>
        </is>
      </c>
      <c r="C396" s="2" t="n">
        <v>14412</v>
      </c>
      <c r="D396" s="3" t="inlineStr">
        <is>
          <t>Данило и ненила (Новый вариант)</t>
        </is>
      </c>
      <c r="E396" s="2" t="n">
        <v>1990</v>
      </c>
      <c r="F396" s="2" t="inlineStr">
        <is>
          <t>мультфильм</t>
        </is>
      </c>
      <c r="G396" s="2" t="n"/>
      <c r="H396" s="2" t="n">
        <v>397</v>
      </c>
      <c r="I396" s="2" t="inlineStr">
        <is>
          <t>да</t>
        </is>
      </c>
      <c r="J396" s="2" t="inlineStr"/>
      <c r="K396" s="3"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t>
        </is>
      </c>
      <c r="L396" s="2" t="inlineStr">
        <is>
          <t>https://animator.ru/db/?p=show_film&amp;fid=6648</t>
        </is>
      </c>
      <c r="M396" s="2">
        <f>HYPERLINK("https://ru.wikipedia.org/w/index.php?search=%D0%94%D0%B0%D0%BD%D0%B8%D0%BB%D0%BE%20%D0%B8%20%D0%BD%D0%B5%D0%BD%D0%B8%D0%BB%D0%B0%20%28%D0%9D%D0%BE%D0%B2%D1%8B%D0%B9%20%D0%B2%D0%B0%D1%80%D0%B8%D0%B0%D0%BD%D1%82%29%201990%20%D1%84%D0%B8%D0%BB%D1%8C%D0%BC","искать")</f>
        <v/>
      </c>
      <c r="N396" s="3" t="n"/>
      <c r="O396" s="2" t="n"/>
      <c r="P396" s="2" t="n"/>
    </row>
    <row r="397">
      <c r="A397" s="2" t="n">
        <v>396</v>
      </c>
      <c r="B397" s="2" t="inlineStr">
        <is>
          <t>обрыв</t>
        </is>
      </c>
      <c r="C397" s="2" t="n">
        <v>11023</v>
      </c>
      <c r="D397" s="3" t="inlineStr">
        <is>
          <t>Этот милый старый дом</t>
        </is>
      </c>
      <c r="E397" s="2" t="n">
        <v>1983</v>
      </c>
      <c r="F397" s="2" t="inlineStr">
        <is>
          <t>фильм-спектакль</t>
        </is>
      </c>
      <c r="G397" s="2" t="inlineStr">
        <is>
          <t>Лентелефильм</t>
        </is>
      </c>
      <c r="H397" s="2" t="n">
        <v>398</v>
      </c>
      <c r="I397" s="2" t="inlineStr">
        <is>
          <t>да</t>
        </is>
      </c>
      <c r="J397" s="2" t="inlineStr"/>
      <c r="K397" s="3" t="inlineStr">
        <is>
          <t>Фильм-спектакль Ленинградского Государственного Академического театра комедии. Постановка Петра Фоменко по одноименной пьесе Алексея Арбузова.
В гостинице в одном номере поселяют двух женщин. Одна из них приехала, чтобы выйти замуж за человека, которого любит. Другая - чтобы навестить мужа и детей, которых когда-то бросила. Они не предполагают, что скоро обе появятся в одном милом старом доме...</t>
        </is>
      </c>
      <c r="L397" s="2" t="inlineStr">
        <is>
          <t>https://www.kino-teatr.ru/teatr/movie/11282/annot/</t>
        </is>
      </c>
      <c r="M397" s="2">
        <f>HYPERLINK("https://ru.wikipedia.org/w/index.php?search=%D0%AD%D1%82%D0%BE%D1%82%20%D0%BC%D0%B8%D0%BB%D1%8B%D0%B9%20%D1%81%D1%82%D0%B0%D1%80%D1%8B%D0%B9%20%D0%B4%D0%BE%D0%BC%201983%20%D1%84%D0%B8%D0%BB%D1%8C%D0%BC","искать")</f>
        <v/>
      </c>
      <c r="N397" s="3" t="n"/>
      <c r="O397" s="2" t="n"/>
      <c r="P397" s="2" t="n"/>
    </row>
    <row r="398">
      <c r="A398" s="2" t="n">
        <v>397</v>
      </c>
      <c r="B398" s="2" t="inlineStr">
        <is>
          <t>обрыв</t>
        </is>
      </c>
      <c r="C398" s="2" t="n">
        <v>10398</v>
      </c>
      <c r="D398" s="3" t="inlineStr">
        <is>
          <t>Клоун</t>
        </is>
      </c>
      <c r="E398" s="2" t="n">
        <v>1971</v>
      </c>
      <c r="F398" s="2" t="inlineStr">
        <is>
          <t>фильм-спектакль</t>
        </is>
      </c>
      <c r="G398" s="2" t="inlineStr">
        <is>
          <t>Главная редакция литературно-драматических программ ЦТ</t>
        </is>
      </c>
      <c r="H398" s="2" t="n">
        <v>401</v>
      </c>
      <c r="I398" s="2" t="inlineStr">
        <is>
          <t>да</t>
        </is>
      </c>
      <c r="J398" s="2" t="inlineStr"/>
      <c r="K398" s="3" t="inlineStr">
        <is>
          <t>По мотивам повести Виктора Драгунского «Сегодня и ежедневно».
Известный клоун Анатолий Ветров возвращается после длительных гастролей в Московский цирк, где работал долгие годы. Он узнаёт, что его любимая собирается выйти замуж за другого. Личные переживания усугубляются трагедией, происшедшей в цирке: во время репетиции погибает гимнастка Ирина. Только работа возвращает герою фильма смысл жизни...</t>
        </is>
      </c>
      <c r="L398" s="2" t="inlineStr">
        <is>
          <t>https://www.kino-teatr.ru/teatr/movie/2999/annot/</t>
        </is>
      </c>
      <c r="M398" s="2">
        <f>HYPERLINK("https://ru.wikipedia.org/w/index.php?search=%D0%9A%D0%BB%D0%BE%D1%83%D0%BD%201971%20%D1%84%D0%B8%D0%BB%D1%8C%D0%BC","искать")</f>
        <v/>
      </c>
      <c r="N398" s="3" t="n"/>
      <c r="O398" s="2" t="n"/>
      <c r="P398" s="2" t="n"/>
    </row>
    <row r="399">
      <c r="A399" s="2" t="n">
        <v>398</v>
      </c>
      <c r="B399" s="2" t="inlineStr">
        <is>
          <t>обрыв</t>
        </is>
      </c>
      <c r="C399" s="2" t="n">
        <v>10431</v>
      </c>
      <c r="D399" s="3" t="inlineStr">
        <is>
          <t>Будденброки</t>
        </is>
      </c>
      <c r="E399" s="2" t="n">
        <v>1972</v>
      </c>
      <c r="F399" s="2" t="inlineStr">
        <is>
          <t>фильм-спектакль</t>
        </is>
      </c>
      <c r="G399" s="2" t="n"/>
      <c r="H399" s="2" t="n">
        <v>402</v>
      </c>
      <c r="I399" s="2" t="inlineStr">
        <is>
          <t>да</t>
        </is>
      </c>
      <c r="J399" s="2" t="inlineStr"/>
      <c r="K399" s="3" t="inlineStr">
        <is>
          <t>По мотивам Томаса Манна "Будденброки. История гибели одного семейства"
Об истории жизни и упадка четырёх поколений известной и богатой семьи торговцев.
Любек, 1835 год. В огромном, недавно приобретенном доме торговцев Будденброков на Менкштрассе родилась Клара, четвертый ребенок. Через семь лет после кончины жены отец семейства Иоганн Будденброк отошел от дел, передав бразды правления сыну Томасу...</t>
        </is>
      </c>
      <c r="L399" s="2" t="inlineStr">
        <is>
          <t>https://www.kino-teatr.ru/teatr/movie/81485/annot/</t>
        </is>
      </c>
      <c r="M399" s="2">
        <f>HYPERLINK("https://ru.wikipedia.org/w/index.php?search=%D0%91%D1%83%D0%B4%D0%B4%D0%B5%D0%BD%D0%B1%D1%80%D0%BE%D0%BA%D0%B8%201972%20%D1%84%D0%B8%D0%BB%D1%8C%D0%BC","искать")</f>
        <v/>
      </c>
      <c r="N399" s="3" t="n"/>
      <c r="O399" s="2" t="n"/>
      <c r="P399" s="2" t="n"/>
    </row>
    <row r="400">
      <c r="A400" s="2" t="n">
        <v>399</v>
      </c>
      <c r="B400" s="2" t="inlineStr">
        <is>
          <t>обрыв</t>
        </is>
      </c>
      <c r="C400" s="2" t="n">
        <v>9803</v>
      </c>
      <c r="D400" s="3" t="inlineStr">
        <is>
          <t>Вишнёвый омут</t>
        </is>
      </c>
      <c r="E400" s="2" t="n">
        <v>1985</v>
      </c>
      <c r="F400" s="2" t="inlineStr">
        <is>
          <t>кинофильм</t>
        </is>
      </c>
      <c r="G400" s="2" t="inlineStr">
        <is>
          <t>Мосфильм</t>
        </is>
      </c>
      <c r="H400" s="2" t="n">
        <v>404</v>
      </c>
      <c r="I400" s="2" t="inlineStr">
        <is>
          <t>да</t>
        </is>
      </c>
      <c r="J400" s="2" t="inlineStr"/>
      <c r="K400" s="3" t="inlineStr">
        <is>
          <t>С десяти лет батрак Миша Харламов мечтал о собственном яблоневом саде. Ульяна, дочь хозяина, любила Мишу и верила в его мечту. Когда девушку выдали замуж за нелюбимого, она потеряла рассудок и ушла из деревни. Не найдя Ульяны, посадил Михаил в память о любимой яблоневый сад. Однажды лютой зимой он отдал сад людям, чтобы они могли затопить печи. А весной на обрубленных стволах появились новые побеги...</t>
        </is>
      </c>
      <c r="L400" s="2" t="inlineStr">
        <is>
          <t>https://www.kino-teatr.ru/kino/movie/sov/974/annot/</t>
        </is>
      </c>
      <c r="M400" s="2">
        <f>HYPERLINK("https://ru.wikipedia.org/w/index.php?search=%D0%92%D0%B8%D1%88%D0%BD%D1%91%D0%B2%D1%8B%D0%B9%20%D0%BE%D0%BC%D1%83%D1%82%201985%20%D1%84%D0%B8%D0%BB%D1%8C%D0%BC","искать")</f>
        <v/>
      </c>
      <c r="N400" s="3" t="n"/>
      <c r="O400" s="2" t="n"/>
      <c r="P400" s="2" t="n"/>
    </row>
    <row r="401">
      <c r="A401" s="2" t="n">
        <v>400</v>
      </c>
      <c r="B401" s="2" t="inlineStr">
        <is>
          <t>обрыв</t>
        </is>
      </c>
      <c r="C401" s="2" t="n">
        <v>11250</v>
      </c>
      <c r="D401" s="3" t="inlineStr">
        <is>
          <t>Бутерброд</t>
        </is>
      </c>
      <c r="E401" s="2" t="n">
        <v>1989</v>
      </c>
      <c r="F401" s="2" t="inlineStr">
        <is>
          <t>фильм-спектакль</t>
        </is>
      </c>
      <c r="G401" s="2" t="inlineStr">
        <is>
          <t>Главная редакция литературно-драматических программ ЦТ</t>
        </is>
      </c>
      <c r="H401" s="2" t="n">
        <v>407</v>
      </c>
      <c r="I401" s="2" t="inlineStr">
        <is>
          <t>да</t>
        </is>
      </c>
      <c r="J401" s="2" t="inlineStr"/>
      <c r="K401" s="3" t="inlineStr">
        <is>
          <t>Телепостановка по мотивам рассказа Станислава Лема «Существуете ли Вы, мистер Джонс?».
Во время автогонок пилот Джонс попал в серьезную аварию, жертвами которой стали и несколько зрителей, включая собаку. Самого автогонщика хирурги «сшили» буквально по кусочкам, попавшим под руку. Но оказалось, что изменения претерпело не только тело Джонса: на его сознание «наслоились» личности и жертв автокатастрофы...</t>
        </is>
      </c>
      <c r="L401" s="2" t="inlineStr">
        <is>
          <t>https://www.kino-teatr.ru/teatr/movie/80068/annot/</t>
        </is>
      </c>
      <c r="M401" s="2">
        <f>HYPERLINK("https://ru.wikipedia.org/w/index.php?search=%D0%91%D1%83%D1%82%D0%B5%D1%80%D0%B1%D1%80%D0%BE%D0%B4%201989%20%D1%84%D0%B8%D0%BB%D1%8C%D0%BC","искать")</f>
        <v/>
      </c>
      <c r="N401" s="3" t="n"/>
      <c r="O401" s="2" t="n"/>
      <c r="P401" s="2" t="n"/>
    </row>
    <row r="402">
      <c r="A402" s="2" t="n">
        <v>401</v>
      </c>
      <c r="B402" s="2" t="inlineStr">
        <is>
          <t>обрыв</t>
        </is>
      </c>
      <c r="C402" s="2" t="n">
        <v>10250</v>
      </c>
      <c r="D402" s="3" t="inlineStr">
        <is>
          <t>Инвалид</t>
        </is>
      </c>
      <c r="E402" s="2" t="n">
        <v>1968</v>
      </c>
      <c r="F402" s="2" t="inlineStr">
        <is>
          <t>фильм-спектакль</t>
        </is>
      </c>
      <c r="G402" s="2" t="inlineStr">
        <is>
          <t>Центральное ТВ</t>
        </is>
      </c>
      <c r="H402" s="2" t="n">
        <v>409</v>
      </c>
      <c r="I402" s="2" t="inlineStr">
        <is>
          <t>да</t>
        </is>
      </c>
      <c r="J402" s="2" t="inlineStr"/>
      <c r="K402" s="3" t="inlineStr">
        <is>
          <t>Телеспектакль по одноименному рассказу Александра Серафимовича, написанному в 1897 году.
Семен Поликарпович Семизоров, по прозванию Шестиглаз, тридцать лет проработал наборщиком, десятилетним мальчишкой пришел он в типографию и всего здесь повидал. Работал не покладая рук, не жалея сил и здоровья, а теперь старость пришла, износился, и его, как старую тряпку, гонят вон. И никакой надежды на лучшую жизнь...</t>
        </is>
      </c>
      <c r="L402" s="2" t="inlineStr">
        <is>
          <t>https://www.kino-teatr.ru/teatr/movie/92887/annot/</t>
        </is>
      </c>
      <c r="M402" s="2">
        <f>HYPERLINK("https://ru.wikipedia.org/w/index.php?search=%D0%98%D0%BD%D0%B2%D0%B0%D0%BB%D0%B8%D0%B4%201968%20%D1%84%D0%B8%D0%BB%D1%8C%D0%BC","искать")</f>
        <v/>
      </c>
      <c r="N402" s="3" t="n"/>
      <c r="O402" s="2" t="n"/>
      <c r="P402" s="2" t="n"/>
    </row>
    <row r="403">
      <c r="A403" s="2" t="n">
        <v>402</v>
      </c>
      <c r="B403" s="2" t="inlineStr">
        <is>
          <t>обрыв</t>
        </is>
      </c>
      <c r="C403" s="2" t="n">
        <v>9808</v>
      </c>
      <c r="D403" s="3" t="inlineStr">
        <is>
          <t>Москва</t>
        </is>
      </c>
      <c r="E403" s="2" t="n">
        <v>1991</v>
      </c>
      <c r="F403" s="2" t="inlineStr">
        <is>
          <t>кинофильм</t>
        </is>
      </c>
      <c r="G403" s="2" t="inlineStr">
        <is>
          <t>Filmax grupo ivex, Damar cinematografic, Television productions s.r.l.</t>
        </is>
      </c>
      <c r="H403" s="2" t="n">
        <v>416</v>
      </c>
      <c r="I403" s="2" t="inlineStr">
        <is>
          <t>да</t>
        </is>
      </c>
      <c r="J403" s="2" t="inlineStr"/>
      <c r="K403" s="3" t="inlineStr">
        <is>
          <t>Москва, годы перестройки. Спокойная жизнь Эдуарда и Павлы однажды превращается в кошмар. Эдуард случайно убивает нападавшего, защищая своего товарища в драке. Оба попадают в тюрьму, а его друг совершает самоубийство. Неожиданно герою фильма предлагают сделку, чтобы вытащить его из тюрьмы. Задача вроде бы проста - нужно доставить таинственный чемоданчик. Вскоре Эдуард понимает, что становится участником теракта...</t>
        </is>
      </c>
      <c r="L403" s="2" t="inlineStr">
        <is>
          <t>https://www.kino-teatr.ru/kino/movie/euro/120144/annot/</t>
        </is>
      </c>
      <c r="M403" s="2">
        <f>HYPERLINK("https://ru.wikipedia.org/w/index.php?search=%D0%9C%D0%BE%D1%81%D0%BA%D0%B2%D0%B0%201991%20%D1%84%D0%B8%D0%BB%D1%8C%D0%BC","искать")</f>
        <v/>
      </c>
      <c r="N403" s="3" t="n"/>
      <c r="O403" s="2" t="n"/>
      <c r="P403" s="2" t="n"/>
    </row>
    <row r="404">
      <c r="A404" s="2" t="n">
        <v>403</v>
      </c>
      <c r="B404" s="2" t="inlineStr">
        <is>
          <t>обрыв</t>
        </is>
      </c>
      <c r="C404" s="2" t="n">
        <v>10807</v>
      </c>
      <c r="D404" s="3" t="inlineStr">
        <is>
          <t>Коньки. Воспоминания о школе</t>
        </is>
      </c>
      <c r="E404" s="2" t="n">
        <v>1979</v>
      </c>
      <c r="F404" s="2" t="inlineStr">
        <is>
          <t>фильм-спектакль</t>
        </is>
      </c>
      <c r="G404" s="2" t="inlineStr">
        <is>
          <t>ТО "Экран"</t>
        </is>
      </c>
      <c r="H404" s="2" t="n">
        <v>416</v>
      </c>
      <c r="I404" s="2" t="inlineStr">
        <is>
          <t>да</t>
        </is>
      </c>
      <c r="J404" s="2" t="inlineStr"/>
      <c r="K404" s="3" t="inlineStr">
        <is>
          <t>По одноименной пьесе С.Михалкова в постановке Государственного Центрального детского театра.
Герои спектакля - школьники 30-х годов. Шестиклассник Вася Петров нашел кошелек с большой суммой денег и отдал его владельцу. Об этом благородном поступке написала газета "Пионерская правда", и в школе очень гордились Васей. Но оказалось, что подросток тайком взял из кошелька недостающую сумму, чтобы купить себе коньки...</t>
        </is>
      </c>
      <c r="L404" s="2" t="inlineStr">
        <is>
          <t>https://www.kino-teatr.ru/teatr/movie/16825/annot/</t>
        </is>
      </c>
      <c r="M404" s="2">
        <f>HYPERLINK("https://ru.wikipedia.org/w/index.php?search=%D0%9A%D0%BE%D0%BD%D1%8C%D0%BA%D0%B8.%20%D0%92%D0%BE%D1%81%D0%BF%D0%BE%D0%BC%D0%B8%D0%BD%D0%B0%D0%BD%D0%B8%D1%8F%20%D0%BE%20%D1%88%D0%BA%D0%BE%D0%BB%D0%B5%201979%20%D1%84%D0%B8%D0%BB%D1%8C%D0%BC","искать")</f>
        <v/>
      </c>
      <c r="N404" s="3" t="n"/>
      <c r="O404" s="2" t="n"/>
      <c r="P404" s="2" t="n"/>
    </row>
    <row r="405">
      <c r="A405" s="2" t="n">
        <v>404</v>
      </c>
      <c r="B405" s="2" t="inlineStr">
        <is>
          <t>обрыв</t>
        </is>
      </c>
      <c r="C405" s="2" t="n">
        <v>11210</v>
      </c>
      <c r="D405" s="3" t="inlineStr">
        <is>
          <t>Колея</t>
        </is>
      </c>
      <c r="E405" s="2" t="n">
        <v>1988</v>
      </c>
      <c r="F405" s="2" t="inlineStr">
        <is>
          <t>фильм-спектакль</t>
        </is>
      </c>
      <c r="G405" s="2" t="inlineStr">
        <is>
          <t>Главная редакция литературно-драматических программ ЦТ</t>
        </is>
      </c>
      <c r="H405" s="2" t="n">
        <v>417</v>
      </c>
      <c r="I405" s="2" t="inlineStr">
        <is>
          <t>да</t>
        </is>
      </c>
      <c r="J405" s="2" t="inlineStr"/>
      <c r="K405" s="3" t="inlineStr">
        <is>
          <t>По одноименной пьесе В.Арро в постановке Московского областного драматического театра города Ногинска.
Нелли, редактор одного из издательств, видит смысл своей жизни в любимой работе и заботе о детях и отце. Неожиданно выясняется, что семейное благополучие было иллюзорным. Многого не замечала Нелли в поведении сына, совершившего серьезное правонарушение. Вовремя не заметила она и то, что утратила доверие дочери...</t>
        </is>
      </c>
      <c r="L405" s="2" t="inlineStr">
        <is>
          <t>https://www.kino-teatr.ru/teatr/movie/81592/annot/</t>
        </is>
      </c>
      <c r="M405" s="2">
        <f>HYPERLINK("https://ru.wikipedia.org/w/index.php?search=%D0%9A%D0%BE%D0%BB%D0%B5%D1%8F%201988%20%D1%84%D0%B8%D0%BB%D1%8C%D0%BC","искать")</f>
        <v/>
      </c>
      <c r="N405" s="3" t="n"/>
      <c r="O405" s="2" t="n"/>
      <c r="P405" s="2" t="n"/>
    </row>
    <row r="406">
      <c r="A406" s="2" t="n">
        <v>405</v>
      </c>
      <c r="B406" s="2" t="inlineStr">
        <is>
          <t>обрыв</t>
        </is>
      </c>
      <c r="C406" s="2" t="n">
        <v>10071</v>
      </c>
      <c r="D406" s="3" t="inlineStr">
        <is>
          <t>Живет на свете женщина</t>
        </is>
      </c>
      <c r="E406" s="2" t="n">
        <v>1959</v>
      </c>
      <c r="F406" s="2" t="inlineStr">
        <is>
          <t>фильм-спектакль</t>
        </is>
      </c>
      <c r="G406" s="2" t="inlineStr">
        <is>
          <t>Ленинградское телевидение</t>
        </is>
      </c>
      <c r="H406" s="2" t="n">
        <v>419</v>
      </c>
      <c r="I406" s="2" t="inlineStr">
        <is>
          <t>да</t>
        </is>
      </c>
      <c r="J406" s="2" t="inlineStr"/>
      <c r="K406" s="3" t="inlineStr">
        <is>
          <t>По пьесе Захара Аграненко.
В прядильном цеху меланжевого комбината произошла авария. Работница Зоя Семенова получила тяжелую травму. В происшедшем некоторые коллеги обвинили начальника цеха - Галину Демидову, началось следствие.
Дело поручили следователю Сухобоковой, человеку честному и принципиальному. В ходе следствия Сухобокова встречается с работницами цеха и друзьями Демидовой, которые не верят в вину Галины...</t>
        </is>
      </c>
      <c r="L406" s="2" t="inlineStr">
        <is>
          <t>https://www.kino-teatr.ru/teatr/movie/104069/annot/</t>
        </is>
      </c>
      <c r="M406" s="2">
        <f>HYPERLINK("https://ru.wikipedia.org/w/index.php?search=%D0%96%D0%B8%D0%B2%D0%B5%D1%82%20%D0%BD%D0%B0%20%D1%81%D0%B2%D0%B5%D1%82%D0%B5%20%D0%B6%D0%B5%D0%BD%D1%89%D0%B8%D0%BD%D0%B0%201959%20%D1%84%D0%B8%D0%BB%D1%8C%D0%BC","искать")</f>
        <v/>
      </c>
      <c r="N406" s="3" t="n"/>
      <c r="O406" s="2" t="n"/>
      <c r="P406" s="2" t="n"/>
    </row>
    <row r="407">
      <c r="A407" s="2" t="n">
        <v>406</v>
      </c>
      <c r="B407" s="2" t="inlineStr">
        <is>
          <t>обрыв</t>
        </is>
      </c>
      <c r="C407" s="2" t="n">
        <v>10298</v>
      </c>
      <c r="D407" s="3" t="inlineStr">
        <is>
          <t>Винтовки Тересы Каррар</t>
        </is>
      </c>
      <c r="E407" s="2" t="n">
        <v>1969</v>
      </c>
      <c r="F407" s="2" t="inlineStr">
        <is>
          <t>фильм-спектакль</t>
        </is>
      </c>
      <c r="G407" s="2" t="inlineStr">
        <is>
          <t>Центральное телевидение</t>
        </is>
      </c>
      <c r="H407" s="2" t="n">
        <v>420</v>
      </c>
      <c r="I407" s="2" t="inlineStr">
        <is>
          <t>да</t>
        </is>
      </c>
      <c r="J407" s="2" t="inlineStr"/>
      <c r="K407" s="3" t="inlineStr">
        <is>
          <t>Телеверсия спектакля Центрального академического театра Советской Армии (ЦАТСА, ныне — ЦАТРА).
По одноименной пьесе немецкого драматурга Б.Брехта. Действие происходит в 1937 году в Испании. Муж Тересы Каррар погиб в боях против фашистов. Она пытается оградить себя и детей от действительности, полагая, что этого можно достичь, не вмешиваясь в происходящие события. Однако жизнь властно вторгается в ее закрытый мирок...</t>
        </is>
      </c>
      <c r="L407" s="2" t="inlineStr">
        <is>
          <t>https://www.kino-teatr.ru/teatr/movie/963/annot/</t>
        </is>
      </c>
      <c r="M407" s="2">
        <f>HYPERLINK("https://ru.wikipedia.org/w/index.php?search=%D0%92%D0%B8%D0%BD%D1%82%D0%BE%D0%B2%D0%BA%D0%B8%20%D0%A2%D0%B5%D1%80%D0%B5%D1%81%D1%8B%20%D0%9A%D0%B0%D1%80%D1%80%D0%B0%D1%80%201969%20%D1%84%D0%B8%D0%BB%D1%8C%D0%BC","искать")</f>
        <v/>
      </c>
      <c r="N407" s="3" t="n"/>
      <c r="O407" s="2" t="n"/>
      <c r="P407" s="2" t="n"/>
    </row>
    <row r="408">
      <c r="A408" s="2" t="n">
        <v>407</v>
      </c>
      <c r="B408" s="2" t="inlineStr">
        <is>
          <t>обрыв</t>
        </is>
      </c>
      <c r="C408" s="2" t="n">
        <v>10541</v>
      </c>
      <c r="D408" s="3" t="inlineStr">
        <is>
          <t>Атлантика</t>
        </is>
      </c>
      <c r="E408" s="2" t="n">
        <v>1974</v>
      </c>
      <c r="F408" s="2" t="inlineStr">
        <is>
          <t>фильм-спектакль</t>
        </is>
      </c>
      <c r="G408" s="2" t="inlineStr">
        <is>
          <t>Центральное телевидение</t>
        </is>
      </c>
      <c r="H408" s="2" t="n">
        <v>421</v>
      </c>
      <c r="I408" s="2" t="inlineStr">
        <is>
          <t>да</t>
        </is>
      </c>
      <c r="J408" s="2" t="inlineStr"/>
      <c r="K408" s="3" t="inlineStr">
        <is>
          <t>По одноименной пьесе Руслана Киреева о жизни советских моряков.
Транспортное судно "Памир" прибыло в район промыслов. Из-за погодных условий положение на промыслах сложилось тяжелое. У капитана транспортного судна Родиона Елисеева сын служит на промысловом траулере. Но у них уже более десяти лет длятся сложные отношения, Валентин до сих пор не может простить отцу уход из семьи. И вот отец с сыном встречаются в море...</t>
        </is>
      </c>
      <c r="L408" s="2" t="inlineStr">
        <is>
          <t>https://www.kino-teatr.ru/teatr/movie/93002/annot/</t>
        </is>
      </c>
      <c r="M408" s="2">
        <f>HYPERLINK("https://ru.wikipedia.org/w/index.php?search=%D0%90%D1%82%D0%BB%D0%B0%D0%BD%D1%82%D0%B8%D0%BA%D0%B0%201974%20%D1%84%D0%B8%D0%BB%D1%8C%D0%BC","искать")</f>
        <v/>
      </c>
      <c r="N408" s="3" t="n"/>
      <c r="O408" s="2" t="n"/>
      <c r="P408" s="2" t="n"/>
    </row>
    <row r="409">
      <c r="A409" s="2" t="n">
        <v>408</v>
      </c>
      <c r="B409" s="2" t="inlineStr">
        <is>
          <t>обрыв</t>
        </is>
      </c>
      <c r="C409" s="2" t="n">
        <v>11051</v>
      </c>
      <c r="D409" s="3" t="inlineStr">
        <is>
          <t>Белая палатка</t>
        </is>
      </c>
      <c r="E409" s="2" t="n">
        <v>1985</v>
      </c>
      <c r="F409" s="2" t="inlineStr">
        <is>
          <t>фильм-спектакль</t>
        </is>
      </c>
      <c r="G409" s="2" t="inlineStr">
        <is>
          <t>Главная редакция литературно-драматических программ</t>
        </is>
      </c>
      <c r="H409" s="2" t="n">
        <v>423</v>
      </c>
      <c r="I409" s="2" t="inlineStr">
        <is>
          <t>да</t>
        </is>
      </c>
      <c r="J409" s="2" t="inlineStr"/>
      <c r="K409" s="3" t="inlineStr">
        <is>
          <t>По повести И.Стаднюка "Плевелы зла" в постановке Центрального академического театра Советской Армии.
У начальника полевого госпиталя Ступакова умерла жена. Всю свою любовь он безраздельно отдает дочери Вере, которая работает в том же госпитале медсестрой. Однако любовь Ступакова эгоистична. Не считаясь с чувствами Веры, он пытается разлучить ее с любимым человеком, но Вера, наперекор всему, уходит в действующую часть...</t>
        </is>
      </c>
      <c r="L409" s="2" t="inlineStr">
        <is>
          <t>https://www.kino-teatr.ru/teatr/movie/81340/annot/</t>
        </is>
      </c>
      <c r="M409" s="2">
        <f>HYPERLINK("https://ru.wikipedia.org/w/index.php?search=%D0%91%D0%B5%D0%BB%D0%B0%D1%8F%20%D0%BF%D0%B0%D0%BB%D0%B0%D1%82%D0%BA%D0%B0%201985%20%D1%84%D0%B8%D0%BB%D1%8C%D0%BC","искать")</f>
        <v/>
      </c>
      <c r="N409" s="3" t="n"/>
      <c r="O409" s="2" t="n"/>
      <c r="P409" s="2" t="n"/>
    </row>
    <row r="410">
      <c r="A410" s="2" t="n">
        <v>409</v>
      </c>
      <c r="B410" s="2" t="inlineStr">
        <is>
          <t>обрыв</t>
        </is>
      </c>
      <c r="C410" s="2" t="n">
        <v>11168</v>
      </c>
      <c r="D410" s="3" t="inlineStr">
        <is>
          <t>Малыш</t>
        </is>
      </c>
      <c r="E410" s="2" t="n">
        <v>1987</v>
      </c>
      <c r="F410" s="2" t="inlineStr">
        <is>
          <t>фильм-спектакль</t>
        </is>
      </c>
      <c r="G410" s="2" t="inlineStr">
        <is>
          <t>Главная редакция программ для детей и юношества ЦТ</t>
        </is>
      </c>
      <c r="H410" s="2" t="n">
        <v>427</v>
      </c>
      <c r="I410" s="2" t="inlineStr">
        <is>
          <t>да</t>
        </is>
      </c>
      <c r="J410" s="2" t="inlineStr"/>
      <c r="K410" s="3" t="inlineStr">
        <is>
          <t>По одноименной научно-фантастической повести Аркадия и Бориса Стругацких в постановке Государственного академического центрального детского театра.
На пустынной планете космонавты-земляне встретили Малыша, похожего на обычного ребенка. Со временем они пришли к выводу, что он - единственный, кто остался в живых после катастрофы, которую потерпел земной космический корабль. Малыша усыновила невидимая загадочная цивилизация...</t>
        </is>
      </c>
      <c r="L410" s="2" t="inlineStr">
        <is>
          <t>https://www.kino-teatr.ru/teatr/movie/79923/annot/</t>
        </is>
      </c>
      <c r="M410" s="2">
        <f>HYPERLINK("https://ru.wikipedia.org/w/index.php?search=%D0%9C%D0%B0%D0%BB%D1%8B%D1%88%201987%20%D1%84%D0%B8%D0%BB%D1%8C%D0%BC","искать")</f>
        <v/>
      </c>
      <c r="N410" s="3" t="n"/>
      <c r="O410" s="2" t="n"/>
      <c r="P410" s="2" t="n"/>
    </row>
    <row r="411">
      <c r="A411" s="2" t="n">
        <v>410</v>
      </c>
      <c r="B411" s="2" t="inlineStr">
        <is>
          <t>обрыв</t>
        </is>
      </c>
      <c r="C411" s="2" t="n">
        <v>10714</v>
      </c>
      <c r="D411" s="3" t="inlineStr">
        <is>
          <t>Разлом</t>
        </is>
      </c>
      <c r="E411" s="2" t="n">
        <v>1977</v>
      </c>
      <c r="F411" s="2" t="inlineStr">
        <is>
          <t>фильм-спектакль</t>
        </is>
      </c>
      <c r="G411" s="2" t="inlineStr">
        <is>
          <t>Главная редакция литературно-драматических программ ЦТ</t>
        </is>
      </c>
      <c r="H411" s="2" t="n">
        <v>429</v>
      </c>
      <c r="I411" s="2" t="inlineStr">
        <is>
          <t>да</t>
        </is>
      </c>
      <c r="J411" s="2" t="inlineStr"/>
      <c r="K411" s="3" t="inlineStr">
        <is>
          <t>Телеспектакль по одноименной пьесе Б.Лавренева в постановке Московского театра имени М.Н.Ермоловой.
Кронштадт 1917 года. Матросы революционного крейсера «Заря» во главе с большевиком Артемом Годуном готовятся к всеобщему вооруженному восстанию. Команда корабля отказывается подчиняться Временному правительству и командир крейсера Берсенев переходит на сторону матросов. По-разному воспринимают это решение все члены его семьи...</t>
        </is>
      </c>
      <c r="L411" s="2" t="inlineStr">
        <is>
          <t>https://www.kino-teatr.ru/teatr/movie/79233/annot/</t>
        </is>
      </c>
      <c r="M411" s="2">
        <f>HYPERLINK("https://ru.wikipedia.org/w/index.php?search=%D0%A0%D0%B0%D0%B7%D0%BB%D0%BE%D0%BC%201977%20%D1%84%D0%B8%D0%BB%D1%8C%D0%BC","искать")</f>
        <v/>
      </c>
      <c r="N411" s="3" t="n"/>
      <c r="O411" s="2" t="n"/>
      <c r="P411" s="2" t="n"/>
    </row>
    <row r="412">
      <c r="A412" s="2" t="n">
        <v>411</v>
      </c>
      <c r="B412" s="2" t="inlineStr">
        <is>
          <t>обрыв</t>
        </is>
      </c>
      <c r="C412" s="2" t="n">
        <v>11188</v>
      </c>
      <c r="D412" s="3" t="inlineStr">
        <is>
          <t>Автобус</t>
        </is>
      </c>
      <c r="E412" s="2" t="n">
        <v>1988</v>
      </c>
      <c r="F412" s="2" t="inlineStr">
        <is>
          <t>фильм-спектакль</t>
        </is>
      </c>
      <c r="G412" s="2" t="inlineStr">
        <is>
          <t>Главная редакция литературно-драматических программ ЦТ</t>
        </is>
      </c>
      <c r="H412" s="2" t="n">
        <v>434</v>
      </c>
      <c r="I412" s="2" t="inlineStr">
        <is>
          <t>да</t>
        </is>
      </c>
      <c r="J412" s="2" t="inlineStr"/>
      <c r="K412" s="3" t="inlineStr">
        <is>
          <t>По одноименной пьесе болгарского писателя Станислава Стратиева в постановке Ереванского драматического театра.
Изменив маршрут, водитель автобуса по непонятной для пассажиров причине совершает по городским улицам один круг за другим. Приближается полночь. У пассажиров возникает опасение, что они никогда не доедут до дома. В этой ситуации проявляются разные черты характеров людей, оказавшихся волею случая в одном салоне автобуса...</t>
        </is>
      </c>
      <c r="L412" s="2" t="inlineStr">
        <is>
          <t>https://www.kino-teatr.ru/teatr/movie/81484/annot/</t>
        </is>
      </c>
      <c r="M412" s="2">
        <f>HYPERLINK("https://ru.wikipedia.org/w/index.php?search=%D0%90%D0%B2%D1%82%D0%BE%D0%B1%D1%83%D1%81%201988%20%D1%84%D0%B8%D0%BB%D1%8C%D0%BC","искать")</f>
        <v/>
      </c>
      <c r="N412" s="3" t="n"/>
      <c r="O412" s="2" t="n"/>
      <c r="P412" s="2" t="n"/>
    </row>
    <row r="413">
      <c r="A413" s="2" t="n">
        <v>412</v>
      </c>
      <c r="B413" s="2" t="inlineStr">
        <is>
          <t>обрыв</t>
        </is>
      </c>
      <c r="C413" s="2" t="n">
        <v>10125</v>
      </c>
      <c r="D413" s="3" t="inlineStr">
        <is>
          <t>Перестань, Мадлен!</t>
        </is>
      </c>
      <c r="E413" s="2" t="n">
        <v>1964</v>
      </c>
      <c r="F413" s="2" t="inlineStr">
        <is>
          <t>фильм-спектакль</t>
        </is>
      </c>
      <c r="G413" s="2" t="inlineStr">
        <is>
          <t>Главная редакция литературно-драматических программ ЦТ</t>
        </is>
      </c>
      <c r="H413" s="2" t="n">
        <v>435</v>
      </c>
      <c r="I413" s="2" t="inlineStr">
        <is>
          <t>да</t>
        </is>
      </c>
      <c r="J413" s="2" t="inlineStr"/>
      <c r="K413" s="3" t="inlineStr">
        <is>
          <t>Телеспектакль по одноименному произведению Татьяны Тэсс.
Действие происходит в купе поезда. Француженка, бывшая узница концлагеря для детей едет на встречу в Чехословакию. В руках у неё кукла по имени Мадлен, с которой пассажирка постоянно разговаривает. По этой игрушке её должны узнать, ведь женщина не расставалась с ней все годы пребывания в лагере. До войны у девочки было всё - родители, дом, игрушки... А осталась одна Мадлен...</t>
        </is>
      </c>
      <c r="L413" s="2" t="inlineStr">
        <is>
          <t>https://www.kino-teatr.ru/teatr/movie/14094/annot/</t>
        </is>
      </c>
      <c r="M413" s="2">
        <f>HYPERLINK("https://ru.wikipedia.org/w/index.php?search=%D0%9F%D0%B5%D1%80%D0%B5%D1%81%D1%82%D0%B0%D0%BD%D1%8C%2C%20%D0%9C%D0%B0%D0%B4%D0%BB%D0%B5%D0%BD%21%201964%20%D1%84%D0%B8%D0%BB%D1%8C%D0%BC","искать")</f>
        <v/>
      </c>
      <c r="N413" s="3" t="n"/>
      <c r="O413" s="2" t="n"/>
      <c r="P413" s="2" t="n"/>
    </row>
    <row r="414">
      <c r="A414" s="2" t="n">
        <v>413</v>
      </c>
      <c r="B414" s="2" t="inlineStr">
        <is>
          <t>обрыв</t>
        </is>
      </c>
      <c r="C414" s="2" t="n">
        <v>9987</v>
      </c>
      <c r="D414" s="3" t="inlineStr">
        <is>
          <t>Необыкновенный рейс</t>
        </is>
      </c>
      <c r="E414" s="2" t="n">
        <v>1982</v>
      </c>
      <c r="F414" s="2" t="inlineStr">
        <is>
          <t>телефильм</t>
        </is>
      </c>
      <c r="G414" s="2" t="inlineStr">
        <is>
          <t>Грузия-фильм, по заказу Гостелерадио</t>
        </is>
      </c>
      <c r="H414" s="2" t="n">
        <v>438</v>
      </c>
      <c r="I414" s="2" t="inlineStr">
        <is>
          <t>да</t>
        </is>
      </c>
      <c r="J414" s="2" t="inlineStr"/>
      <c r="K414" s="3" t="inlineStr">
        <is>
          <t>Телефильм. Переполненный автобус мчит по улицам города. Раздраженные давкой люди, постоянно бранятся. Так происходит изо дня в день, из года в год, но однажды, не выдержав очередного автобусного скандала, водитель Бидзина, увозит своих пассажиров далеко за город. Поначалу все возмущались и протестовали, но когда автобус вернулся на привычный маршрут, из его окон уже доносился веселый смех и пение отдохнувших и успокоившихся горожан...</t>
        </is>
      </c>
      <c r="L414" s="2" t="inlineStr">
        <is>
          <t>https://www.kino-teatr.ru/short/movie/sov/81129/annot/</t>
        </is>
      </c>
      <c r="M414" s="2">
        <f>HYPERLINK("https://ru.wikipedia.org/w/index.php?search=%D0%9D%D0%B5%D0%BE%D0%B1%D1%8B%D0%BA%D0%BD%D0%BE%D0%B2%D0%B5%D0%BD%D0%BD%D1%8B%D0%B9%20%D1%80%D0%B5%D0%B9%D1%81%201982%20%D1%84%D0%B8%D0%BB%D1%8C%D0%BC","искать")</f>
        <v/>
      </c>
      <c r="N414" s="3" t="n"/>
      <c r="O414" s="2" t="n"/>
      <c r="P414" s="2" t="n"/>
    </row>
    <row r="415">
      <c r="A415" s="2" t="n">
        <v>414</v>
      </c>
      <c r="B415" s="2" t="inlineStr">
        <is>
          <t>обрыв</t>
        </is>
      </c>
      <c r="C415" s="2" t="n">
        <v>13969</v>
      </c>
      <c r="D415" s="3" t="inlineStr">
        <is>
          <t>Волшебные колокольчики</t>
        </is>
      </c>
      <c r="E415" s="2" t="n">
        <v>1987</v>
      </c>
      <c r="F415" s="2" t="inlineStr">
        <is>
          <t>мультфильм</t>
        </is>
      </c>
      <c r="G415" s="2" t="inlineStr">
        <is>
          <t>ЭКРАН</t>
        </is>
      </c>
      <c r="H415" s="2" t="n">
        <v>438</v>
      </c>
      <c r="I415" s="2" t="inlineStr">
        <is>
          <t>да</t>
        </is>
      </c>
      <c r="J415" s="2" t="inlineStr"/>
      <c r="K415" s="3" t="inlineStr">
        <is>
          <t>К волшебнику Алеше и ученому коту из "Острова капитанов" приходят маленькие друзья. Они хотят узнать, почему на картине Златовласка такая грустная. Тогда Алеша рассказывает им историю о волшебнике-музыканте Мираклюсе, придумавшем чудесный музыкальный инструмент - волшебные колокольчики, которые изготавливались из смеха подданных. Однако, злому королю не нужна была музыка, а нужно было золото... Дети отправляются спасать королевство...</t>
        </is>
      </c>
      <c r="L415" s="2" t="inlineStr">
        <is>
          <t>2026-10_мультфильмы_список_владельца.xlsx; https://animator.ru/db/?p=show_film&amp;fid=5363</t>
        </is>
      </c>
      <c r="M415" s="2">
        <f>HYPERLINK("https://ru.wikipedia.org/w/index.php?search=%D0%92%D0%BE%D0%BB%D1%88%D0%B5%D0%B1%D0%BD%D1%8B%D0%B5%20%D0%BA%D0%BE%D0%BB%D0%BE%D0%BA%D0%BE%D0%BB%D1%8C%D1%87%D0%B8%D0%BA%D0%B8%201987%20%D1%84%D0%B8%D0%BB%D1%8C%D0%BC","искать")</f>
        <v/>
      </c>
      <c r="N415" s="3" t="n"/>
      <c r="O415" s="2" t="n"/>
      <c r="P415" s="2" t="n"/>
    </row>
    <row r="416">
      <c r="A416" s="2" t="n">
        <v>415</v>
      </c>
      <c r="B416" s="2" t="inlineStr">
        <is>
          <t>обрыв</t>
        </is>
      </c>
      <c r="C416" s="2" t="n">
        <v>11343</v>
      </c>
      <c r="D416" s="3" t="inlineStr">
        <is>
          <t>Ревизор</t>
        </is>
      </c>
      <c r="E416" s="2" t="n">
        <v>1991</v>
      </c>
      <c r="F416" s="2" t="inlineStr">
        <is>
          <t>фильм-спектакль</t>
        </is>
      </c>
      <c r="G416" s="2" t="n"/>
      <c r="H416" s="2" t="n">
        <v>439</v>
      </c>
      <c r="I416" s="2" t="inlineStr">
        <is>
          <t>да</t>
        </is>
      </c>
      <c r="J416" s="2" t="inlineStr"/>
      <c r="K416" s="3" t="inlineStr">
        <is>
          <t>Московский театр-студия п/р Олега Табакова.
Подаренный Пушкиным анекдот про мелкого чиновника, принятого в уездном городе за важную птицу, Гоголь развернул в грандиозную сатиру современной ему действительности и нравов.
Некий провинциальный городок, где процветают взяточничество, злоупотребление властью, казнокрадство и т. д.
Однажды городничий Сквозник-Дмухановский созывает городских чиновников и сообщает, что в их город едет ревизор…</t>
        </is>
      </c>
      <c r="L416" s="2" t="inlineStr">
        <is>
          <t>https://www.kino-teatr.ru/teatr/movie/118653/annot/</t>
        </is>
      </c>
      <c r="M416" s="2">
        <f>HYPERLINK("https://ru.wikipedia.org/w/index.php?search=%D0%A0%D0%B5%D0%B2%D0%B8%D0%B7%D0%BE%D1%80%201991%20%D1%84%D0%B8%D0%BB%D1%8C%D0%BC","искать")</f>
        <v/>
      </c>
      <c r="N416" s="3" t="n"/>
      <c r="O416" s="2" t="n"/>
      <c r="P416" s="2" t="n"/>
    </row>
    <row r="417">
      <c r="A417" s="2" t="n">
        <v>416</v>
      </c>
      <c r="B417" s="2" t="inlineStr">
        <is>
          <t>обрыв</t>
        </is>
      </c>
      <c r="C417" s="2" t="n">
        <v>12666</v>
      </c>
      <c r="D417" s="3" t="inlineStr">
        <is>
          <t>Как лиса волка судила</t>
        </is>
      </c>
      <c r="E417" s="2" t="n">
        <v>1989</v>
      </c>
      <c r="F417" s="2" t="inlineStr">
        <is>
          <t>мультфильм</t>
        </is>
      </c>
      <c r="G417" s="2" t="inlineStr">
        <is>
          <t>БЕЛАРУСЬФИЛЬМ НАЦИОНАЛЬНАЯ КИНОСТУДИЯ - ГП</t>
        </is>
      </c>
      <c r="H417" s="2" t="n">
        <v>441</v>
      </c>
      <c r="I417" s="2" t="inlineStr">
        <is>
          <t>да</t>
        </is>
      </c>
      <c r="J417" s="2" t="inlineStr"/>
      <c r="K417" s="3" t="inlineStr">
        <is>
          <t>По мотивам белорусской народной сказки.Вся деревня гуляет на свадьбе. Волк, в надежде поживиться съестным, прокрался в амбар, но там напоролся на козлов-металлистов-каратистов. Наделав много шума, Волк пустился наутёк. За ним в погоню бросилась вся свадьба. Спас Волка попавшийся по пути мужик, но, когда опасность миновала, Волк заявил, что теперь он съест мужичка. Тот потребовал поискать кого-нибудь, кто рассудил бы их по справедливости…</t>
        </is>
      </c>
      <c r="L417" s="2" t="inlineStr">
        <is>
          <t>2026-10_мультфильмы_список_владельца.xlsx; https://animator.ru/db/?p=show_film&amp;fid=3860</t>
        </is>
      </c>
      <c r="M417" s="2">
        <f>HYPERLINK("https://ru.wikipedia.org/w/index.php?search=%D0%9A%D0%B0%D0%BA%20%D0%BB%D0%B8%D1%81%D0%B0%20%D0%B2%D0%BE%D0%BB%D0%BA%D0%B0%20%D1%81%D1%83%D0%B4%D0%B8%D0%BB%D0%B0%201989%20%D1%84%D0%B8%D0%BB%D1%8C%D0%BC","искать")</f>
        <v/>
      </c>
      <c r="N417" s="3" t="n"/>
      <c r="O417" s="2" t="n"/>
      <c r="P417" s="2" t="n"/>
    </row>
    <row r="418">
      <c r="A418" s="2" t="n">
        <v>417</v>
      </c>
      <c r="B418" s="2" t="inlineStr">
        <is>
          <t>обрыв</t>
        </is>
      </c>
      <c r="C418" s="2" t="n">
        <v>10755</v>
      </c>
      <c r="D418" s="3" t="inlineStr">
        <is>
          <t>Мелодии одной оперетты</t>
        </is>
      </c>
      <c r="E418" s="2" t="n">
        <v>1978</v>
      </c>
      <c r="F418" s="2" t="inlineStr">
        <is>
          <t>фильм-спектакль</t>
        </is>
      </c>
      <c r="G418" s="2" t="inlineStr">
        <is>
          <t>Главная редакция музыкальных программ ЦТ</t>
        </is>
      </c>
      <c r="H418" s="2" t="n">
        <v>444</v>
      </c>
      <c r="I418" s="2" t="inlineStr">
        <is>
          <t>да</t>
        </is>
      </c>
      <c r="J418" s="2" t="inlineStr"/>
      <c r="K418" s="3" t="inlineStr">
        <is>
          <t>По мотивам оперетты П.Абрахама "Бал в Савойе"
В репетиционном зале для читки новой пьесы собралась труппа актеров. Но режиссер, как всегда задерживается. Артисты нашли какую-то записку, и прочитав ее, они поняли, что это начало захватывающего сюжета, который мог бы послужить созданию нового спектакля. И в ожидании начала репетиции, они начали сочинять продолжение этой истории. Так в их фантазии разыгрывается сюжет оперетты "Бал в Савойе"...</t>
        </is>
      </c>
      <c r="L418" s="2" t="inlineStr">
        <is>
          <t>https://www.kino-teatr.ru/teatr/movie/11888/annot/</t>
        </is>
      </c>
      <c r="M418" s="2">
        <f>HYPERLINK("https://ru.wikipedia.org/w/index.php?search=%D0%9C%D0%B5%D0%BB%D0%BE%D0%B4%D0%B8%D0%B8%20%D0%BE%D0%B4%D0%BD%D0%BE%D0%B9%20%D0%BE%D0%BF%D0%B5%D1%80%D0%B5%D1%82%D1%82%D1%8B%201978%20%D1%84%D0%B8%D0%BB%D1%8C%D0%BC","искать")</f>
        <v/>
      </c>
      <c r="N418" s="3" t="n"/>
      <c r="O418" s="2" t="n"/>
      <c r="P418" s="2" t="n"/>
    </row>
    <row r="419">
      <c r="A419" s="2" t="n">
        <v>418</v>
      </c>
      <c r="B419" s="2" t="inlineStr">
        <is>
          <t>обрыв</t>
        </is>
      </c>
      <c r="C419" s="2" t="n">
        <v>10009</v>
      </c>
      <c r="D419" s="3" t="inlineStr">
        <is>
          <t>Тайга</t>
        </is>
      </c>
      <c r="E419" s="2" t="n">
        <v>1985</v>
      </c>
      <c r="F419" s="2" t="inlineStr">
        <is>
          <t>телефильм</t>
        </is>
      </c>
      <c r="G419" s="2" t="inlineStr">
        <is>
          <t>Новосибирсктелефильм</t>
        </is>
      </c>
      <c r="H419" s="2" t="n">
        <v>446</v>
      </c>
      <c r="I419" s="2" t="inlineStr">
        <is>
          <t>да</t>
        </is>
      </c>
      <c r="J419" s="2" t="inlineStr"/>
      <c r="K419" s="3" t="inlineStr">
        <is>
          <t>По одноименной повести П.Проскурина.
В сибирской тайге потерпел аварию почтовый самолет с большой суммой денег. Экипаж погиб. Бывший спортсмен Горяев, промышлявший соболями, случайно оказался на месте аварии и забрал деньги. Охотник Иван Рогачев, отправившийся на поиски самолета, похоронил погибших и, найдя пустые банковские мешки, стал преследовать грабителя. Горяев пытался убить охотника. Но когда он сам попал в беду, то Рогачев его спас...</t>
        </is>
      </c>
      <c r="L419" s="2" t="inlineStr">
        <is>
          <t>https://www.kino-teatr.ru/short/movie/sov/92728/annot/</t>
        </is>
      </c>
      <c r="M419" s="2">
        <f>HYPERLINK("https://ru.wikipedia.org/w/index.php?search=%D0%A2%D0%B0%D0%B9%D0%B3%D0%B0%201985%20%D1%84%D0%B8%D0%BB%D1%8C%D0%BC","искать")</f>
        <v/>
      </c>
      <c r="N419" s="3" t="n"/>
      <c r="O419" s="2" t="n"/>
      <c r="P419" s="2" t="n"/>
    </row>
    <row r="420">
      <c r="A420" s="2" t="n">
        <v>419</v>
      </c>
      <c r="B420" s="2" t="inlineStr">
        <is>
          <t>обрыв</t>
        </is>
      </c>
      <c r="C420" s="2" t="n">
        <v>10090</v>
      </c>
      <c r="D420" s="3" t="inlineStr">
        <is>
          <t>Сказки правды</t>
        </is>
      </c>
      <c r="E420" s="2" t="n">
        <v>1961</v>
      </c>
      <c r="F420" s="2" t="inlineStr">
        <is>
          <t>фильм-спектакль</t>
        </is>
      </c>
      <c r="G420" s="2" t="inlineStr">
        <is>
          <t>Новосибирсктелефильм</t>
        </is>
      </c>
      <c r="H420" s="2" t="n">
        <v>449</v>
      </c>
      <c r="I420" s="2" t="inlineStr">
        <is>
          <t>да</t>
        </is>
      </c>
      <c r="J420" s="2" t="inlineStr"/>
      <c r="K420" s="3" t="inlineStr">
        <is>
          <t>Стихи итальянского писателя Джанни Родари рассказывают правду о жизни бедняков в Италии. Заглянем за глянцевые открытки с видами Италии.
Бедняцкие кварталы, нищета… Вот - старик-метельщик, строитель, не имеющий собственного дома, служанка, старьевщик. Вот - мальчик Чиччо, который смотрит на жизнь из холодного, сырого подвала и рассказывает о городской детворе, проводящей лето на душных улицах, и о тех, кто работает без отдыха и без праздников...</t>
        </is>
      </c>
      <c r="L420" s="2" t="inlineStr">
        <is>
          <t>https://www.kino-teatr.ru/teatr/movie/123515/annot/</t>
        </is>
      </c>
      <c r="M420" s="2">
        <f>HYPERLINK("https://ru.wikipedia.org/w/index.php?search=%D0%A1%D0%BA%D0%B0%D0%B7%D0%BA%D0%B8%20%D0%BF%D1%80%D0%B0%D0%B2%D0%B4%D1%8B%201961%20%D1%84%D0%B8%D0%BB%D1%8C%D0%BC","искать")</f>
        <v/>
      </c>
      <c r="N420" s="3" t="n"/>
      <c r="O420" s="2" t="n"/>
      <c r="P420" s="2" t="n"/>
    </row>
    <row r="421">
      <c r="A421" s="2" t="n">
        <v>420</v>
      </c>
      <c r="B421" s="2" t="inlineStr">
        <is>
          <t>обрыв</t>
        </is>
      </c>
      <c r="C421" s="2" t="n">
        <v>10918</v>
      </c>
      <c r="D421" s="3" t="inlineStr">
        <is>
          <t>Тёплое место</t>
        </is>
      </c>
      <c r="E421" s="2" t="n">
        <v>1981</v>
      </c>
      <c r="F421" s="2" t="inlineStr">
        <is>
          <t>фильм-спектакль</t>
        </is>
      </c>
      <c r="G421" s="2" t="inlineStr">
        <is>
          <t>Центральное телевидение</t>
        </is>
      </c>
      <c r="H421" s="2" t="n">
        <v>453</v>
      </c>
      <c r="I421" s="2" t="inlineStr">
        <is>
          <t>да</t>
        </is>
      </c>
      <c r="J421" s="2" t="inlineStr"/>
      <c r="K421" s="3" t="inlineStr">
        <is>
          <t>Действие фильма происходит на одном из металлургических заводов на севере страны. Руководство завода пытаются решить проблему повышения производительности труда отстающей бригады формовщиков. Для этого на заводе создают показательную молодежную бригаду и предлагают её возглавить одному из отстающих - Абрамову. Но он, прошедший хорошую школу в армии, не оставляет товарищей, а вместе с бригадиром Батяйкиным выводит свою бригаду из разряда отстающих...</t>
        </is>
      </c>
      <c r="L421" s="2" t="inlineStr">
        <is>
          <t>https://www.kino-teatr.ru/teatr/movie/101502/annot/</t>
        </is>
      </c>
      <c r="M421" s="2">
        <f>HYPERLINK("https://ru.wikipedia.org/w/index.php?search=%D0%A2%D1%91%D0%BF%D0%BB%D0%BE%D0%B5%20%D0%BC%D0%B5%D1%81%D1%82%D0%BE%201981%20%D1%84%D0%B8%D0%BB%D1%8C%D0%BC","искать")</f>
        <v/>
      </c>
      <c r="N421" s="3" t="n"/>
      <c r="O421" s="2" t="n"/>
      <c r="P421" s="2" t="n"/>
    </row>
    <row r="422">
      <c r="A422" s="2" t="n">
        <v>421</v>
      </c>
      <c r="B422" s="2" t="inlineStr">
        <is>
          <t>обрыв</t>
        </is>
      </c>
      <c r="C422" s="2" t="n">
        <v>10314</v>
      </c>
      <c r="D422" s="3" t="inlineStr">
        <is>
          <t>Легенда о любви</t>
        </is>
      </c>
      <c r="E422" s="2" t="n">
        <v>1969</v>
      </c>
      <c r="F422" s="2" t="inlineStr">
        <is>
          <t>фильм-спектакль</t>
        </is>
      </c>
      <c r="G422" s="2" t="inlineStr">
        <is>
          <t>Гл. ред. музыкальных программ</t>
        </is>
      </c>
      <c r="H422" s="2" t="n">
        <v>454</v>
      </c>
      <c r="I422" s="2" t="inlineStr">
        <is>
          <t>да</t>
        </is>
      </c>
      <c r="J422" s="2" t="inlineStr"/>
      <c r="K422" s="3" t="inlineStr">
        <is>
          <t>Телевариант балета (музыка А.Меликова, хореография Ю.Григоровича).
По мотивам пьесы Назыма Хикмета.
Восточное царство. Принцесса Ширин больна смертельной болезнью. Таинственный Незнакомец, появившийся во дворце, предлагает исцелить принцессу, но взамен ее сестра, царица Мехменэ-Бану должна принести в жертву свою красоту и стать безобразной... Царица соглашается и Ширин выздоравливает. Проходит время и сестры встречают прекрасного художника Ферхада...</t>
        </is>
      </c>
      <c r="L422" s="2" t="inlineStr">
        <is>
          <t>https://www.kino-teatr.ru/teatr/movie/92986/annot/</t>
        </is>
      </c>
      <c r="M422" s="2">
        <f>HYPERLINK("https://ru.wikipedia.org/w/index.php?search=%D0%9B%D0%B5%D0%B3%D0%B5%D0%BD%D0%B4%D0%B0%20%D0%BE%20%D0%BB%D1%8E%D0%B1%D0%B2%D0%B8%201969%20%D1%84%D0%B8%D0%BB%D1%8C%D0%BC","искать")</f>
        <v/>
      </c>
      <c r="N422" s="3" t="n"/>
      <c r="O422" s="2" t="n"/>
      <c r="P422" s="2" t="n"/>
    </row>
    <row r="423">
      <c r="A423" s="2" t="n">
        <v>422</v>
      </c>
      <c r="B423" s="2" t="inlineStr">
        <is>
          <t>обрыв</t>
        </is>
      </c>
      <c r="C423" s="2" t="n">
        <v>10204</v>
      </c>
      <c r="D423" s="3" t="inlineStr">
        <is>
          <t>Машина Килиманджаро</t>
        </is>
      </c>
      <c r="E423" s="2" t="n">
        <v>1967</v>
      </c>
      <c r="F423" s="2" t="inlineStr">
        <is>
          <t>фильм-спектакль</t>
        </is>
      </c>
      <c r="G423" s="2" t="inlineStr">
        <is>
          <t>Ленинградское телевидение</t>
        </is>
      </c>
      <c r="H423" s="2" t="n">
        <v>457</v>
      </c>
      <c r="I423" s="2" t="inlineStr">
        <is>
          <t>да</t>
        </is>
      </c>
      <c r="J423" s="2" t="inlineStr"/>
      <c r="K423" s="3" t="inlineStr">
        <is>
          <t>Памяти Эрнеста Хемингуэя, по рассказу Рэя Бредбери.
Чего стоит правильно прожитая жизнь, если человеку не удалось правильно умереть? Знаменитый писатель и путешественник вдохновлял всех своими произведениями. Но его могила в тихом городке была явно не к месту. Не должно быть так, чтобы такой человек покоился на холме в такой глуши. Он должен умереть где-нибудь на вершине Килиманджаро от клыков - надо только, чтобы он сам это понял и согласился с этим...</t>
        </is>
      </c>
      <c r="L423" s="2" t="inlineStr">
        <is>
          <t>https://www.kino-teatr.ru/teatr/movie/119884/annot/</t>
        </is>
      </c>
      <c r="M423" s="2">
        <f>HYPERLINK("https://ru.wikipedia.org/w/index.php?search=%D0%9C%D0%B0%D1%88%D0%B8%D0%BD%D0%B0%20%D0%9A%D0%B8%D0%BB%D0%B8%D0%BC%D0%B0%D0%BD%D0%B4%D0%B6%D0%B0%D1%80%D0%BE%201967%20%D1%84%D0%B8%D0%BB%D1%8C%D0%BC","искать")</f>
        <v/>
      </c>
      <c r="N423" s="3" t="n"/>
      <c r="O423" s="2" t="n"/>
      <c r="P423" s="2" t="n"/>
    </row>
    <row r="424">
      <c r="A424" s="2" t="n">
        <v>423</v>
      </c>
      <c r="B424" s="2" t="inlineStr">
        <is>
          <t>обрыв</t>
        </is>
      </c>
      <c r="C424" s="2" t="n">
        <v>10115</v>
      </c>
      <c r="D424" s="3" t="inlineStr">
        <is>
          <t>Собаки</t>
        </is>
      </c>
      <c r="E424" s="2" t="n">
        <v>1963</v>
      </c>
      <c r="F424" s="2" t="inlineStr">
        <is>
          <t>фильм-спектакль</t>
        </is>
      </c>
      <c r="G424" s="2" t="n"/>
      <c r="H424" s="2" t="n">
        <v>460</v>
      </c>
      <c r="I424" s="2" t="inlineStr">
        <is>
          <t>да</t>
        </is>
      </c>
      <c r="J424" s="2" t="inlineStr"/>
      <c r="K424" s="3" t="inlineStr">
        <is>
          <t>По одноименной пьесе Тоне Брулин "Собаки".
Эта история произошла в стране золота и алмазов, нищеты и воинствующего расизма, в стране, где капля за каплей копится море народного гнева. Эта история произошла в Южно-Африканской Республике.
На адрес безграмотного кафра Мпеле приходит сообщение из тюремной фермы о его… смерти, а также «имущество покойного»: трубка, ручка и блокнот… Недоумевающий Мпеле, никогда не бывший даже под арестом, обращается в полицию...</t>
        </is>
      </c>
      <c r="L424" s="2" t="inlineStr">
        <is>
          <t>https://www.kino-teatr.ru/teatr/movie/86619/annot/</t>
        </is>
      </c>
      <c r="M424" s="2">
        <f>HYPERLINK("https://ru.wikipedia.org/w/index.php?search=%D0%A1%D0%BE%D0%B1%D0%B0%D0%BA%D0%B8%201963%20%D1%84%D0%B8%D0%BB%D1%8C%D0%BC","искать")</f>
        <v/>
      </c>
      <c r="N424" s="3" t="n"/>
      <c r="O424" s="2" t="n"/>
      <c r="P424" s="2" t="n"/>
    </row>
    <row r="425">
      <c r="A425" s="2" t="n">
        <v>424</v>
      </c>
      <c r="B425" s="2" t="inlineStr">
        <is>
          <t>обрыв</t>
        </is>
      </c>
      <c r="C425" s="2" t="n">
        <v>9813</v>
      </c>
      <c r="D425" s="3" t="inlineStr">
        <is>
          <t>Коловращение жизни</t>
        </is>
      </c>
      <c r="E425" s="2" t="n">
        <v>1958</v>
      </c>
      <c r="F425" s="2" t="inlineStr">
        <is>
          <t>телефильм</t>
        </is>
      </c>
      <c r="G425" s="2" t="inlineStr">
        <is>
          <t>Ленфильм</t>
        </is>
      </c>
      <c r="H425" s="2" t="n">
        <v>461</v>
      </c>
      <c r="I425" s="2" t="inlineStr">
        <is>
          <t>да</t>
        </is>
      </c>
      <c r="J425" s="2" t="inlineStr"/>
      <c r="K425" s="3" t="inlineStr">
        <is>
          <t>Телефильм по мотивам одноименного рассказа О.Генри.
К мировому судье Бинаджу Уиддепу приехал Рэнси Билбро со своей "половиной". Супружеская чета жаждала развода. Для судьи это было долгожданное событие, поскольку у судьи не было ни гроша. И бракоразводный процесс случился. Но что же могло произойти такого, что на следующий день супруги были готовы приступить к совершению торжественного обряда бракосочетания? И всё это им обошлось в пятидолларовую бумажку...</t>
        </is>
      </c>
      <c r="L425" s="2" t="inlineStr">
        <is>
          <t>https://www.kino-teatr.ru/short/movie/sov/9356/annot/</t>
        </is>
      </c>
      <c r="M425" s="2">
        <f>HYPERLINK("https://ru.wikipedia.org/w/index.php?search=%D0%9A%D0%BE%D0%BB%D0%BE%D0%B2%D1%80%D0%B0%D1%89%D0%B5%D0%BD%D0%B8%D0%B5%20%D0%B6%D0%B8%D0%B7%D0%BD%D0%B8%201958%20%D1%84%D0%B8%D0%BB%D1%8C%D0%BC","искать")</f>
        <v/>
      </c>
      <c r="N425" s="3" t="n"/>
      <c r="O425" s="2" t="n"/>
      <c r="P425" s="2" t="n"/>
    </row>
    <row r="426">
      <c r="A426" s="2" t="n">
        <v>425</v>
      </c>
      <c r="B426" s="2" t="inlineStr">
        <is>
          <t>обрыв</t>
        </is>
      </c>
      <c r="C426" s="2" t="n">
        <v>14330</v>
      </c>
      <c r="D426" s="3" t="inlineStr">
        <is>
          <t>Ветер</t>
        </is>
      </c>
      <c r="E426" s="2" t="n">
        <v>1988</v>
      </c>
      <c r="F426" s="2" t="inlineStr">
        <is>
          <t>мультфильм</t>
        </is>
      </c>
      <c r="G426" s="2" t="inlineStr">
        <is>
          <t>АРМЕНФИЛЬМ</t>
        </is>
      </c>
      <c r="H426" s="2" t="n">
        <v>466</v>
      </c>
      <c r="I426" s="2" t="inlineStr">
        <is>
          <t>да</t>
        </is>
      </c>
      <c r="J426" s="2" t="inlineStr"/>
      <c r="K426" s="3" t="inlineStr">
        <is>
          <t>Дежурный военной базы становится свидетелем странных событий. Радиация, образовавшаяся в результате ядерной войны, с поверхности земли начинает проникать в бункер. Мир сузился до ракетного полигона, видного из окна командного пункта, откуда нет выхода. Для военного вахтера не прекращается аттракцион "Проверка документов входящих и выходящих". Те и другие становятся все причудливей и причудливей, а снаружи внутрь настойчиво просится ветер, очень странный ветер...</t>
        </is>
      </c>
      <c r="L426" s="2" t="inlineStr">
        <is>
          <t>2026-10_мультфильмы_список_владельца.xlsx; https://animator.ru/db/?p=show_film&amp;fid=5886</t>
        </is>
      </c>
      <c r="M426" s="2">
        <f>HYPERLINK("https://ru.wikipedia.org/w/index.php?search=%D0%92%D0%B5%D1%82%D0%B5%D1%80%201988%20%D1%84%D0%B8%D0%BB%D1%8C%D0%BC","искать")</f>
        <v/>
      </c>
      <c r="N426" s="3" t="n"/>
      <c r="O426" s="2" t="n"/>
      <c r="P426" s="2" t="n"/>
    </row>
    <row r="427">
      <c r="A427" s="2" t="n">
        <v>426</v>
      </c>
      <c r="B427" s="2" t="inlineStr">
        <is>
          <t>обрыв</t>
        </is>
      </c>
      <c r="C427" s="2" t="n">
        <v>10891</v>
      </c>
      <c r="D427" s="3" t="inlineStr">
        <is>
          <t>Мегрэ и человек на скамейке</t>
        </is>
      </c>
      <c r="E427" s="2" t="n">
        <v>1981</v>
      </c>
      <c r="F427" s="2" t="inlineStr">
        <is>
          <t>фильм-спектакль</t>
        </is>
      </c>
      <c r="G427" s="2" t="inlineStr">
        <is>
          <t>Ленинградское телевидение</t>
        </is>
      </c>
      <c r="H427" s="2" t="n">
        <v>467</v>
      </c>
      <c r="I427" s="2" t="inlineStr">
        <is>
          <t>да</t>
        </is>
      </c>
      <c r="J427" s="2" t="inlineStr"/>
      <c r="K427" s="3" t="inlineStr">
        <is>
          <t>В Париже, в глухом переулке рядом с бульваром Сен-Мартен найден убитый мужчина - Луи Туре. За расследование берётся инспектор Мегрэ. Сразу же выясняются странные обстоятельства – у убитого красный галстук и жёлтые ботинки, которые, по утверждению его жены, он никогда не носил. В кошельке - неизвестно откуда взявшаяся приличная сумма денег и очень старая фотография маленькой девочки. Очевидно, что покойный вёл вторую жизнь, которая была скрыта от глаз его семьи...</t>
        </is>
      </c>
      <c r="L427" s="2" t="inlineStr">
        <is>
          <t>https://www.kino-teatr.ru/teatr/movie/113072/annot/</t>
        </is>
      </c>
      <c r="M427" s="2">
        <f>HYPERLINK("https://ru.wikipedia.org/w/index.php?search=%D0%9C%D0%B5%D0%B3%D1%80%D1%8D%20%D0%B8%20%D1%87%D0%B5%D0%BB%D0%BE%D0%B2%D0%B5%D0%BA%20%D0%BD%D0%B0%20%D1%81%D0%BA%D0%B0%D0%BC%D0%B5%D0%B9%D0%BA%D0%B5%201981%20%D1%84%D0%B8%D0%BB%D1%8C%D0%BC","искать")</f>
        <v/>
      </c>
      <c r="N427" s="3" t="n"/>
      <c r="O427" s="2" t="n"/>
      <c r="P427" s="2" t="n"/>
    </row>
    <row r="428">
      <c r="A428" s="2" t="n">
        <v>427</v>
      </c>
      <c r="B428" s="2" t="inlineStr">
        <is>
          <t>обрыв</t>
        </is>
      </c>
      <c r="C428" s="2" t="n">
        <v>10946</v>
      </c>
      <c r="D428" s="3" t="inlineStr">
        <is>
          <t>Летние прогулки</t>
        </is>
      </c>
      <c r="E428" s="2" t="n">
        <v>1982</v>
      </c>
      <c r="F428" s="2" t="inlineStr">
        <is>
          <t>фильм-спектакль</t>
        </is>
      </c>
      <c r="G428" s="2" t="inlineStr">
        <is>
          <t>Главная редакция литературно-драматических программ</t>
        </is>
      </c>
      <c r="H428" s="2" t="n">
        <v>469</v>
      </c>
      <c r="I428" s="2" t="inlineStr">
        <is>
          <t>да</t>
        </is>
      </c>
      <c r="J428" s="2" t="inlineStr"/>
      <c r="K428" s="3" t="inlineStr">
        <is>
          <t>По одноименной пьесе А.Салынского в постановке Государственного академического Малого театра.
Молодой студент-заочник Борис Куликов, приехав в поселок Кардымовку, узнает, что проживавший здесь до своей кончины начальник пристани Бунеев был его отцом. Заинтересовавшись прошлым отца, Борис выясняет, что Бунеев в свое время отказался от профессии архитектора, так как его проект моста был отвергнут. Борис стремится доказать, что идеи отца были новаторскими и ценными...</t>
        </is>
      </c>
      <c r="L428" s="2" t="inlineStr">
        <is>
          <t>https://www.kino-teatr.ru/teatr/movie/82045/annot/</t>
        </is>
      </c>
      <c r="M428" s="2">
        <f>HYPERLINK("https://ru.wikipedia.org/w/index.php?search=%D0%9B%D0%B5%D1%82%D0%BD%D0%B8%D0%B5%20%D0%BF%D1%80%D0%BE%D0%B3%D1%83%D0%BB%D0%BA%D0%B8%201982%20%D1%84%D0%B8%D0%BB%D1%8C%D0%BC","искать")</f>
        <v/>
      </c>
      <c r="N428" s="3" t="n"/>
      <c r="O428" s="2" t="n"/>
      <c r="P428" s="2" t="n"/>
    </row>
    <row r="429">
      <c r="A429" s="2" t="n">
        <v>428</v>
      </c>
      <c r="B429" s="2" t="inlineStr">
        <is>
          <t>обрыв</t>
        </is>
      </c>
      <c r="C429" s="2" t="n">
        <v>9882</v>
      </c>
      <c r="D429" s="3" t="inlineStr">
        <is>
          <t>Сотворение (Легенда)</t>
        </is>
      </c>
      <c r="E429" s="2" t="n">
        <v>1970</v>
      </c>
      <c r="F429" s="2" t="inlineStr">
        <is>
          <t>кинофильм</t>
        </is>
      </c>
      <c r="G429" s="2" t="inlineStr">
        <is>
          <t>Киностудия им.А.Довженко</t>
        </is>
      </c>
      <c r="H429" s="2" t="n">
        <v>480</v>
      </c>
      <c r="I429" s="2" t="inlineStr">
        <is>
          <t>да</t>
        </is>
      </c>
      <c r="J429" s="2" t="inlineStr"/>
      <c r="K429" s="3" t="inlineStr">
        <is>
          <t>Первая художественная картина о жизни абхазского народа, о его древних традициях и культуре.
По мотивам повести Г. Гулиа "Каштановый дом". Легенда о реставраторе древнего храма Джуме и его возлюбленной Амре. Девушка, с детства боявшаяся высоты, попросила Джуму не подниматься на купол храма. Дурное предчувствие оказалось не напрасным. Джума погибает. И тогда Амра, победив страх, поднимается на купол. Перед ней, с высоты птичьего полета, открывается прекрасный вид на Абхазию...</t>
        </is>
      </c>
      <c r="L429" s="2" t="inlineStr">
        <is>
          <t>https://www.kino-teatr.ru/short/movie/sov/111431/annot/</t>
        </is>
      </c>
      <c r="M429" s="2">
        <f>HYPERLINK("https://ru.wikipedia.org/w/index.php?search=%D0%A1%D0%BE%D1%82%D0%B2%D0%BE%D1%80%D0%B5%D0%BD%D0%B8%D0%B5%20%28%D0%9B%D0%B5%D0%B3%D0%B5%D0%BD%D0%B4%D0%B0%29%201970%20%D1%84%D0%B8%D0%BB%D1%8C%D0%BC","искать")</f>
        <v/>
      </c>
      <c r="N429" s="3" t="n"/>
      <c r="O429" s="2" t="n"/>
      <c r="P429" s="2" t="n"/>
    </row>
    <row r="430">
      <c r="A430" s="2" t="n">
        <v>429</v>
      </c>
      <c r="B430" s="2" t="inlineStr">
        <is>
          <t>обрыв</t>
        </is>
      </c>
      <c r="C430" s="2" t="n">
        <v>12522</v>
      </c>
      <c r="D430" s="3" t="inlineStr">
        <is>
          <t>Приключения малыша Гиппопо</t>
        </is>
      </c>
      <c r="E430" s="2" t="n">
        <v>1974</v>
      </c>
      <c r="F430" s="2" t="inlineStr">
        <is>
          <t>мультфильм</t>
        </is>
      </c>
      <c r="G430" s="2" t="inlineStr">
        <is>
          <t>КИЕВНАУЧФИЛЬМ</t>
        </is>
      </c>
      <c r="H430" s="2" t="n">
        <v>482</v>
      </c>
      <c r="I430" s="2" t="inlineStr">
        <is>
          <t>да</t>
        </is>
      </c>
      <c r="J430" s="2" t="inlineStr"/>
      <c r="K430" s="3" t="inlineStr">
        <is>
          <t>У симпатичного и миролюбивого бегемотика Гиппопо злой охотник похитил маму. Подкараулил ее на сочной зеленой полянке, где она играла со своим сыночком-малышом, и забрал ее с собой. Доктор посоветовал этому злодею мясо бегемотов для диеты, и вот чем все закончилось. Гиппопо, несчастный от ужаса, не знает, как ему быть. На помощь ему приходит добрая отзывчивая девочка, и они вместе продолжают поиски. А потом к ним присоединяется очень правильный милиционер со своей умной собакой…</t>
        </is>
      </c>
      <c r="L430" s="2" t="inlineStr">
        <is>
          <t>2026-10_мультфильмы_список_владельца.xlsx; https://animator.ru/db/?p=show_film&amp;fid=3697</t>
        </is>
      </c>
      <c r="M430" s="2">
        <f>HYPERLINK("https://ru.wikipedia.org/w/index.php?search=%D0%9F%D1%80%D0%B8%D0%BA%D0%BB%D1%8E%D1%87%D0%B5%D0%BD%D0%B8%D1%8F%20%D0%BC%D0%B0%D0%BB%D1%8B%D1%88%D0%B0%20%D0%93%D0%B8%D0%BF%D0%BF%D0%BE%D0%BF%D0%BE%201974%20%D1%84%D0%B8%D0%BB%D1%8C%D0%BC","искать")</f>
        <v/>
      </c>
      <c r="N430" s="3" t="n"/>
      <c r="O430" s="2" t="n"/>
      <c r="P430" s="2" t="n"/>
    </row>
    <row r="431">
      <c r="A431" s="2" t="n">
        <v>430</v>
      </c>
      <c r="B431" s="2" t="inlineStr">
        <is>
          <t>обрыв</t>
        </is>
      </c>
      <c r="C431" s="2" t="n">
        <v>11234</v>
      </c>
      <c r="D431" s="3" t="inlineStr">
        <is>
          <t>Цитата</t>
        </is>
      </c>
      <c r="E431" s="2" t="n">
        <v>1988</v>
      </c>
      <c r="F431" s="2" t="inlineStr">
        <is>
          <t>фильм-спектакль</t>
        </is>
      </c>
      <c r="G431" s="2" t="inlineStr">
        <is>
          <t>Главная редакция литературно-драматических программ ЦТ</t>
        </is>
      </c>
      <c r="H431" s="2" t="n">
        <v>484</v>
      </c>
      <c r="I431" s="2" t="inlineStr">
        <is>
          <t>да</t>
        </is>
      </c>
      <c r="J431" s="2" t="inlineStr"/>
      <c r="K431" s="3" t="inlineStr">
        <is>
          <t>По одноименной пьесе в стихах Ленида Зорина.
Видеозапись спектакля Театра имени Моссовета.
Начальник одного из учреждений Балтазаров вывесил в своем кабинете плакат с понравившейся ему цитатой. Со временем он забыл, где ее позаимствовал. Начальник более высокого ранга, прочтя злополучную цитату, потребовал выяснить, кто ее автор. Этим воспользовался один из новых служащих, предложивший в обмен за установление автора цитаты выдать за него дочь насмерть перепуганного Балтазарова...</t>
        </is>
      </c>
      <c r="L431" s="2" t="inlineStr">
        <is>
          <t>https://www.kino-teatr.ru/teatr/movie/7722/annot/</t>
        </is>
      </c>
      <c r="M431" s="2">
        <f>HYPERLINK("https://ru.wikipedia.org/w/index.php?search=%D0%A6%D0%B8%D1%82%D0%B0%D1%82%D0%B0%201988%20%D1%84%D0%B8%D0%BB%D1%8C%D0%BC","искать")</f>
        <v/>
      </c>
      <c r="N431" s="3" t="n"/>
      <c r="O431" s="2" t="n"/>
      <c r="P431" s="2" t="n"/>
    </row>
    <row r="432">
      <c r="A432" s="2" t="n">
        <v>431</v>
      </c>
      <c r="B432" s="2" t="inlineStr">
        <is>
          <t>обрыв</t>
        </is>
      </c>
      <c r="C432" s="2" t="n">
        <v>11140</v>
      </c>
      <c r="D432" s="3" t="inlineStr">
        <is>
          <t>Белые розы, розовые слоны</t>
        </is>
      </c>
      <c r="E432" s="2" t="n">
        <v>1987</v>
      </c>
      <c r="F432" s="2" t="inlineStr">
        <is>
          <t>фильм-спектакль</t>
        </is>
      </c>
      <c r="G432" s="2" t="inlineStr">
        <is>
          <t>Главная редакция литературно-драматических программ ЦТ</t>
        </is>
      </c>
      <c r="H432" s="2" t="n">
        <v>485</v>
      </c>
      <c r="I432" s="2" t="inlineStr">
        <is>
          <t>да</t>
        </is>
      </c>
      <c r="J432" s="2" t="inlineStr"/>
      <c r="K432" s="3" t="inlineStr">
        <is>
          <t>По мотивам одноименной пьесы американского драматурга Уильяма Гибсона. Обитательница богадельни - Молли Иган - принимает участие в пикетировании лаборатории, разрабатывающей ядерное оружие. Судья Генри Пулэски признает ее виновной в "нарушении границы частного владения". Не вняв его предупреждению, Молли вновь участвует в пикете, за что попадает в тюрьму. После разговоров с Молли судья проникает в суть проблемы и пытается помочь женщине, но спасти тяжелобольную Молли не удается...</t>
        </is>
      </c>
      <c r="L432" s="2" t="inlineStr">
        <is>
          <t>https://www.kino-teatr.ru/teatr/movie/15843/annot/</t>
        </is>
      </c>
      <c r="M432" s="2">
        <f>HYPERLINK("https://ru.wikipedia.org/w/index.php?search=%D0%91%D0%B5%D0%BB%D1%8B%D0%B5%20%D1%80%D0%BE%D0%B7%D1%8B%2C%20%D1%80%D0%BE%D0%B7%D0%BE%D0%B2%D1%8B%D0%B5%20%D1%81%D0%BB%D0%BE%D0%BD%D1%8B%201987%20%D1%84%D0%B8%D0%BB%D1%8C%D0%BC","искать")</f>
        <v/>
      </c>
      <c r="N432" s="3" t="n"/>
      <c r="O432" s="2" t="n"/>
      <c r="P432" s="2" t="n"/>
    </row>
    <row r="433">
      <c r="A433" s="2" t="n">
        <v>432</v>
      </c>
      <c r="B433" s="2" t="inlineStr">
        <is>
          <t>обрыв</t>
        </is>
      </c>
      <c r="C433" s="2" t="n">
        <v>10504</v>
      </c>
      <c r="D433" s="3" t="inlineStr">
        <is>
          <t>Месяц в деревне</t>
        </is>
      </c>
      <c r="E433" s="2" t="n">
        <v>1973</v>
      </c>
      <c r="F433" s="2" t="inlineStr">
        <is>
          <t>фильм-спектакль</t>
        </is>
      </c>
      <c r="G433" s="2" t="inlineStr">
        <is>
          <t>Главная редакция литературно-драматических программ ЦТ</t>
        </is>
      </c>
      <c r="H433" s="2" t="n">
        <v>493</v>
      </c>
      <c r="I433" s="2" t="inlineStr">
        <is>
          <t>да</t>
        </is>
      </c>
      <c r="J433" s="2" t="inlineStr"/>
      <c r="K433" s="3" t="inlineStr">
        <is>
          <t>По одноименной пьесе И.Тургенева в постановке Московского театра имени М.Н.Ермоловой.
Действие происходит в начале сороковых годов XIX века.
В основе пьесы лежит любовный четырехугольник. Наталья Петровна — жена богатого помещика Аркадия Сергеича Ислаева — влюбляется в студента Алексея Беляева, который обучает Колю, сына Ислаевых. Друг семьи Михаил Александрович Ракитин уже давно любит Наталью Петровну. Верочка, 17-летняя воспитанница Натальи Петровны, тоже влюбляется в Алексея Беляева...</t>
        </is>
      </c>
      <c r="L433" s="2" t="inlineStr">
        <is>
          <t>https://www.kino-teatr.ru/teatr/movie/93001/annot/</t>
        </is>
      </c>
      <c r="M433" s="2">
        <f>HYPERLINK("https://ru.wikipedia.org/w/index.php?search=%D0%9C%D0%B5%D1%81%D1%8F%D1%86%20%D0%B2%20%D0%B4%D0%B5%D1%80%D0%B5%D0%B2%D0%BD%D0%B5%201973%20%D1%84%D0%B8%D0%BB%D1%8C%D0%BC","искать")</f>
        <v/>
      </c>
      <c r="N433" s="3" t="n"/>
      <c r="O433" s="2" t="n"/>
      <c r="P433" s="2" t="n"/>
    </row>
    <row r="434">
      <c r="A434" s="2" t="n">
        <v>433</v>
      </c>
      <c r="B434" s="2" t="inlineStr">
        <is>
          <t>обрыв</t>
        </is>
      </c>
      <c r="C434" s="2" t="n">
        <v>10118</v>
      </c>
      <c r="D434" s="3" t="inlineStr">
        <is>
          <t>Банкир</t>
        </is>
      </c>
      <c r="E434" s="2" t="n">
        <v>1964</v>
      </c>
      <c r="F434" s="2" t="inlineStr">
        <is>
          <t>фильм-спектакль</t>
        </is>
      </c>
      <c r="G434" s="2" t="inlineStr">
        <is>
          <t>Центральное телевидение</t>
        </is>
      </c>
      <c r="H434" s="2" t="n">
        <v>494</v>
      </c>
      <c r="I434" s="2" t="inlineStr">
        <is>
          <t>да</t>
        </is>
      </c>
      <c r="J434" s="2" t="inlineStr"/>
      <c r="K434" s="3" t="inlineStr">
        <is>
          <t>По одноименному произведению Александра Корнейчука.
Дочь управляющего городским отделением Госбанка Романа Степановича Кручи - Галина, воспитанная им одним с трехлетнего возраста, выходит замуж за директора мебельного комбината Андрея Тура. Выясняется, что Андрей, получив банковский кредит для своего комбината, не может его вернуть в срок, так как комбинат изготовил бракованную продукцию, не принятую заказчиком. Андрея снимают с работы и он вместе с Галиной уезжает на новое место работы...</t>
        </is>
      </c>
      <c r="L434" s="2" t="inlineStr">
        <is>
          <t>https://www.kino-teatr.ru/teatr/movie/82907/annot/</t>
        </is>
      </c>
      <c r="M434" s="2">
        <f>HYPERLINK("https://ru.wikipedia.org/w/index.php?search=%D0%91%D0%B0%D0%BD%D0%BA%D0%B8%D1%80%201964%20%D1%84%D0%B8%D0%BB%D1%8C%D0%BC","искать")</f>
        <v/>
      </c>
      <c r="N434" s="3" t="n"/>
      <c r="O434" s="2" t="n"/>
      <c r="P434" s="2" t="n"/>
    </row>
    <row r="435">
      <c r="A435" s="2" t="n">
        <v>434</v>
      </c>
      <c r="B435" s="2" t="inlineStr">
        <is>
          <t>обрыв</t>
        </is>
      </c>
      <c r="C435" s="2" t="n">
        <v>11349</v>
      </c>
      <c r="D435" s="3" t="inlineStr">
        <is>
          <t>Тени</t>
        </is>
      </c>
      <c r="E435" s="2" t="n">
        <v>1991</v>
      </c>
      <c r="F435" s="2" t="inlineStr">
        <is>
          <t>фильм-спектакль</t>
        </is>
      </c>
      <c r="G435" s="2" t="inlineStr">
        <is>
          <t>Главная редакция литературно-драматический программ ЦТ</t>
        </is>
      </c>
      <c r="H435" s="2" t="n">
        <v>495</v>
      </c>
      <c r="I435" s="2" t="inlineStr">
        <is>
          <t>да</t>
        </is>
      </c>
      <c r="J435" s="2" t="inlineStr"/>
      <c r="K435" s="3" t="inlineStr">
        <is>
          <t>Телеспектакль, драматическая сатира по одноименной пьесе М. Е. Салтыкова-Щедрина.
Из провинции в Петербург приезжает либерально настроенный молодой чиновник Бобырев. Он надеется сделать карьеру под покровительством своего школьного товарища Клаверова, ставшего генералом.
Генерал с радостью определяет Бобырева в свою канцелярию, и уже выстраивает планы о том, что через красавицу Софью, жену Бобырева, будет вести успешную борьбу с противниками и влиять на сластолюбивого министра Тараканова...</t>
        </is>
      </c>
      <c r="L435" s="2" t="inlineStr">
        <is>
          <t>https://www.kino-teatr.ru/teatr/movie/7115/annot/</t>
        </is>
      </c>
      <c r="M435" s="2">
        <f>HYPERLINK("https://ru.wikipedia.org/w/index.php?search=%D0%A2%D0%B5%D0%BD%D0%B8%201991%20%D1%84%D0%B8%D0%BB%D1%8C%D0%BC","искать")</f>
        <v/>
      </c>
      <c r="N435" s="3" t="n"/>
      <c r="O435" s="2" t="n"/>
      <c r="P435" s="2" t="n"/>
    </row>
    <row r="436">
      <c r="A436" s="2" t="n">
        <v>435</v>
      </c>
      <c r="B436" s="2" t="inlineStr">
        <is>
          <t>обрыв</t>
        </is>
      </c>
      <c r="C436" s="2" t="n">
        <v>10661</v>
      </c>
      <c r="D436" s="3" t="inlineStr">
        <is>
          <t>Она родилась в сорочке</t>
        </is>
      </c>
      <c r="E436" s="2" t="n">
        <v>1976</v>
      </c>
      <c r="F436" s="2" t="inlineStr">
        <is>
          <t>фильм-спектакль</t>
        </is>
      </c>
      <c r="G436" s="2" t="n"/>
      <c r="H436" s="2" t="n">
        <v>496</v>
      </c>
      <c r="I436" s="2" t="inlineStr">
        <is>
          <t>да</t>
        </is>
      </c>
      <c r="J436" s="2" t="inlineStr"/>
      <c r="K436" s="3" t="inlineStr">
        <is>
          <t>Когда-то пани Ауэр-Корольницка была актрисой, но это было в далеком прошлом. Сейчас она бабушка в большой семье, и без нее никто не может даже обед приготовить. И вот ее внучка Мышка, и инициативный сосед, решили организовать ее возвращение в театр, на сцену! Их благороднейший порыв обернулся заговором. Основной замысел был таков: все театры должны драться, чтоб заполучить актрису. У них все получится, потому что бабушка родилась в сорочке. Вся Варшава будет потрясена! И это только начало...</t>
        </is>
      </c>
      <c r="L436" s="2" t="inlineStr">
        <is>
          <t>https://www.kino-teatr.ru/teatr/movie/81462/annot/</t>
        </is>
      </c>
      <c r="M436" s="2">
        <f>HYPERLINK("https://ru.wikipedia.org/w/index.php?search=%D0%9E%D0%BD%D0%B0%20%D1%80%D0%BE%D0%B4%D0%B8%D0%BB%D0%B0%D1%81%D1%8C%20%D0%B2%20%D1%81%D0%BE%D1%80%D0%BE%D1%87%D0%BA%D0%B5%201976%20%D1%84%D0%B8%D0%BB%D1%8C%D0%BC","искать")</f>
        <v/>
      </c>
      <c r="N436" s="3" t="n"/>
      <c r="O436" s="2" t="n"/>
      <c r="P436" s="2" t="n"/>
    </row>
    <row r="437">
      <c r="A437" s="2" t="n">
        <v>436</v>
      </c>
      <c r="B437" s="2" t="inlineStr">
        <is>
          <t>обрыв</t>
        </is>
      </c>
      <c r="C437" s="2" t="n">
        <v>10566</v>
      </c>
      <c r="D437" s="3" t="inlineStr">
        <is>
          <t>Мадемуазель Нитуш</t>
        </is>
      </c>
      <c r="E437" s="2" t="n">
        <v>1974</v>
      </c>
      <c r="F437" s="2" t="inlineStr">
        <is>
          <t>фильм-спектакль</t>
        </is>
      </c>
      <c r="G437" s="2" t="n"/>
      <c r="H437" s="2" t="n">
        <v>504</v>
      </c>
      <c r="I437" s="2" t="inlineStr">
        <is>
          <t>да</t>
        </is>
      </c>
      <c r="J437" s="2" t="inlineStr"/>
      <c r="K437" s="3" t="inlineStr">
        <is>
          <t>По оперетте Ф.Эрве. Постановка театра им. М.Н.Ермоловой.
Милая история любви, рассказанная с юмором и под прекрасную музыку. Скромная воспитанница пансиона мечтает о театре, а родители собираются без спросу выдать ее замуж за неизвестного военного. Да и военного этого никто не спрашивал о согласии. Но браку по расчету не суждено было состояться, ибо в нашей истории замешан еще один мечтатель - еще более скромный музыкант, он же блистательный композитор Флоридор, написавший очаровательную оперетту...</t>
        </is>
      </c>
      <c r="L437" s="2" t="inlineStr">
        <is>
          <t>https://www.kino-teatr.ru/teatr/movie/81373/annot/</t>
        </is>
      </c>
      <c r="M437" s="2">
        <f>HYPERLINK("https://ru.wikipedia.org/w/index.php?search=%D0%9C%D0%B0%D0%B4%D0%B5%D0%BC%D1%83%D0%B0%D0%B7%D0%B5%D0%BB%D1%8C%20%D0%9D%D0%B8%D1%82%D1%83%D1%88%201974%20%D1%84%D0%B8%D0%BB%D1%8C%D0%BC","искать")</f>
        <v/>
      </c>
      <c r="N437" s="3" t="n"/>
      <c r="O437" s="2" t="n"/>
      <c r="P437" s="2" t="n"/>
    </row>
    <row r="438">
      <c r="A438" s="2" t="n">
        <v>437</v>
      </c>
      <c r="B438" s="2" t="inlineStr">
        <is>
          <t>обрыв</t>
        </is>
      </c>
      <c r="C438" s="2" t="n">
        <v>9935</v>
      </c>
      <c r="D438" s="3" t="inlineStr">
        <is>
          <t>История с метранпажем</t>
        </is>
      </c>
      <c r="E438" s="2" t="n">
        <v>1978</v>
      </c>
      <c r="F438" s="2" t="inlineStr">
        <is>
          <t>кинофильм</t>
        </is>
      </c>
      <c r="G438" s="2" t="inlineStr">
        <is>
          <t>Мосфильм (ДЕБЮТ)</t>
        </is>
      </c>
      <c r="H438" s="2" t="n">
        <v>505</v>
      </c>
      <c r="I438" s="2" t="inlineStr">
        <is>
          <t>да</t>
        </is>
      </c>
      <c r="J438" s="2" t="inlineStr"/>
      <c r="K438" s="3" t="inlineStr">
        <is>
          <t>По пьесе А.Вампилова.
События картины происходят в провинциальной гостинице. Ее администратор (некто Калошин) выгоняет из женского номера молодого человека Потапова, при этом оскорбляя и унижая выставленного гостя. В свою очередь, не меньше возмущена поведением хама-администратора и хозяйка номера, симпатичная молодая девушка. Страсти накаляются после того, как парень сообщает своему обидчику, что он работает в столичной газете. С перепуганным до смерти обидчиком начинают происходить страшные вещи...</t>
        </is>
      </c>
      <c r="L438" s="2" t="inlineStr">
        <is>
          <t>https://www.kino-teatr.ru/short/movie/sov/2777/annot/</t>
        </is>
      </c>
      <c r="M438" s="2">
        <f>HYPERLINK("https://ru.wikipedia.org/w/index.php?search=%D0%98%D1%81%D1%82%D0%BE%D1%80%D0%B8%D1%8F%20%D1%81%20%D0%BC%D0%B5%D1%82%D1%80%D0%B0%D0%BD%D0%BF%D0%B0%D0%B6%D0%B5%D0%BC%201978%20%D1%84%D0%B8%D0%BB%D1%8C%D0%BC","искать")</f>
        <v/>
      </c>
      <c r="N438" s="3" t="n"/>
      <c r="O438" s="2" t="n"/>
      <c r="P438" s="2" t="n"/>
    </row>
    <row r="439">
      <c r="A439" s="2" t="n">
        <v>438</v>
      </c>
      <c r="B439" s="2" t="inlineStr">
        <is>
          <t>обрыв</t>
        </is>
      </c>
      <c r="C439" s="2" t="n">
        <v>11162</v>
      </c>
      <c r="D439" s="3" t="inlineStr">
        <is>
          <t>Конотопская ведьма</t>
        </is>
      </c>
      <c r="E439" s="2" t="n">
        <v>1987</v>
      </c>
      <c r="F439" s="2" t="inlineStr">
        <is>
          <t>фильм-спектакль</t>
        </is>
      </c>
      <c r="G439" s="2" t="inlineStr">
        <is>
          <t>Укртелефильм</t>
        </is>
      </c>
      <c r="H439" s="2" t="n">
        <v>506</v>
      </c>
      <c r="I439" s="2" t="inlineStr">
        <is>
          <t>да</t>
        </is>
      </c>
      <c r="J439" s="2" t="inlineStr"/>
      <c r="K439" s="3" t="inlineStr">
        <is>
          <t>По мотивам одноименной повести Г.Квитки-Основьяненко в постановке Киевского академического украинского драматического театра имени И.Франко.
Действие происходит на Украине в XVIII веке. Сотник маленького городка Конотоп, безнадежно влюбленный в дивчину Олену, попадает в ловушку, расставленную его хитроумным писарем, мечтающим занять его место. Сотник должен, якобы по приказу своего начальника, во время жестокой засухи утопить всех женщин, подозреваемых в колдовстве. И вскоре такая ведьма находится....</t>
        </is>
      </c>
      <c r="L439" s="2" t="inlineStr">
        <is>
          <t>https://www.kino-teatr.ru/teatr/movie/81313/annot/</t>
        </is>
      </c>
      <c r="M439" s="2">
        <f>HYPERLINK("https://ru.wikipedia.org/w/index.php?search=%D0%9A%D0%BE%D0%BD%D0%BE%D1%82%D0%BE%D0%BF%D1%81%D0%BA%D0%B0%D1%8F%20%D0%B2%D0%B5%D0%B4%D1%8C%D0%BC%D0%B0%201987%20%D1%84%D0%B8%D0%BB%D1%8C%D0%BC","искать")</f>
        <v/>
      </c>
      <c r="N439" s="3" t="n"/>
      <c r="O439" s="2" t="n"/>
      <c r="P439" s="2" t="n"/>
    </row>
    <row r="440">
      <c r="A440" s="2" t="n">
        <v>439</v>
      </c>
      <c r="B440" s="2" t="inlineStr">
        <is>
          <t>обрыв</t>
        </is>
      </c>
      <c r="C440" s="2" t="n">
        <v>10780</v>
      </c>
      <c r="D440" s="3" t="inlineStr">
        <is>
          <t>Тогда в Севилье</t>
        </is>
      </c>
      <c r="E440" s="2" t="n">
        <v>1978</v>
      </c>
      <c r="F440" s="2" t="inlineStr">
        <is>
          <t>фильм-спектакль</t>
        </is>
      </c>
      <c r="G440" s="2" t="inlineStr">
        <is>
          <t>ТО" Экран"</t>
        </is>
      </c>
      <c r="H440" s="2" t="n">
        <v>530</v>
      </c>
      <c r="I440" s="2" t="inlineStr">
        <is>
          <t>да</t>
        </is>
      </c>
      <c r="J440" s="2" t="inlineStr"/>
      <c r="K440" s="3" t="inlineStr">
        <is>
          <t>Знаменитая история о Доне Жуане, родившаяся в Испании и облетевшая весь мир, получила оригинальную трактовку в пьесе Самуила Алешина. Оказывается, знаменитый обольститель и сердцеед — женщина! Обольщение дам для неё — защитная реакция от подозрений. Молодая девушка вынуждена скрывать свой пол, иначе будет лишена наследства отца. Но сердце обаятельной соблазнительницы недолго остается бесстрастным — она влюбляется в молодого и благородного Дона Гонзело (Командора), который сразу узнает в её облике единственную возлюбленную...</t>
        </is>
      </c>
      <c r="L440" s="2" t="inlineStr">
        <is>
          <t>https://www.kino-teatr.ru/teatr/movie/98119/annot/</t>
        </is>
      </c>
      <c r="M440" s="2">
        <f>HYPERLINK("https://ru.wikipedia.org/w/index.php?search=%D0%A2%D0%BE%D0%B3%D0%B4%D0%B0%20%D0%B2%20%D0%A1%D0%B5%D0%B2%D0%B8%D0%BB%D1%8C%D0%B5%201978%20%D1%84%D0%B8%D0%BB%D1%8C%D0%BC","искать")</f>
        <v/>
      </c>
      <c r="N440" s="3" t="n"/>
      <c r="O440" s="2" t="n"/>
      <c r="P440" s="2" t="n"/>
    </row>
    <row r="441">
      <c r="A441" s="2" t="n">
        <v>440</v>
      </c>
      <c r="B441" s="2" t="inlineStr">
        <is>
          <t>обрыв</t>
        </is>
      </c>
      <c r="C441" s="2" t="n">
        <v>9992</v>
      </c>
      <c r="D441" s="3" t="inlineStr">
        <is>
          <t>Незнакомая песня</t>
        </is>
      </c>
      <c r="E441" s="2" t="n">
        <v>1983</v>
      </c>
      <c r="F441" s="2" t="inlineStr">
        <is>
          <t>кинофильм</t>
        </is>
      </c>
      <c r="G441" s="2" t="inlineStr">
        <is>
          <t>Беларусьфильм</t>
        </is>
      </c>
      <c r="H441" s="2" t="n">
        <v>539</v>
      </c>
      <c r="I441" s="2" t="inlineStr">
        <is>
          <t>да</t>
        </is>
      </c>
      <c r="J441" s="2" t="inlineStr"/>
      <c r="K441" s="3" t="inlineStr">
        <is>
          <t>По мотивам рассказа Василя Хомченко. Бывший танкист, путевой обходчик Иван Панасюк в День танкиста неожиданно для жены засобирался в город навестить своего фронтового товарища Колю Кравченко. Впервые после войны Иван не получил от друга поздравления с их общим праздником и забеспокоился. Колю он не нашел - его старый дом снесли. Весь день Иван провел в городе, увидел праздничный салют, случайно познакомился с пожилым полковником, с которым, как оказалось, они вместе участвовали в боях за освобождение небольшого венгерского городка...</t>
        </is>
      </c>
      <c r="L441" s="2" t="inlineStr">
        <is>
          <t>https://www.kino-teatr.ru/short/movie/sov/84821/annot/</t>
        </is>
      </c>
      <c r="M441" s="2">
        <f>HYPERLINK("https://ru.wikipedia.org/w/index.php?search=%D0%9D%D0%B5%D0%B7%D0%BD%D0%B0%D0%BA%D0%BE%D0%BC%D0%B0%D1%8F%20%D0%BF%D0%B5%D1%81%D0%BD%D1%8F%201983%20%D1%84%D0%B8%D0%BB%D1%8C%D0%BC","искать")</f>
        <v/>
      </c>
      <c r="N441" s="3" t="n"/>
      <c r="O441" s="2" t="n"/>
      <c r="P441" s="2" t="n"/>
    </row>
    <row r="442">
      <c r="A442" s="2" t="n">
        <v>441</v>
      </c>
      <c r="B442" s="2" t="inlineStr">
        <is>
          <t>обрыв</t>
        </is>
      </c>
      <c r="C442" s="2" t="n">
        <v>11299</v>
      </c>
      <c r="D442" s="3" t="inlineStr">
        <is>
          <t>Журавлиные перья</t>
        </is>
      </c>
      <c r="E442" s="2" t="n">
        <v>1990</v>
      </c>
      <c r="F442" s="2" t="inlineStr">
        <is>
          <t>фильм-спектакль</t>
        </is>
      </c>
      <c r="G442" s="2" t="n"/>
      <c r="H442" s="2" t="n">
        <v>540</v>
      </c>
      <c r="I442" s="2" t="inlineStr">
        <is>
          <t>да</t>
        </is>
      </c>
      <c r="J442" s="2" t="inlineStr"/>
      <c r="K442" s="3" t="inlineStr">
        <is>
          <t>По пьесе японского драматурга Дзюндзи Киноситы «Журавлиные перья».
«Журавлиные перья» – сказка о женщине-журавле по имени Цу. У красавицы, спасенной бедняком Йохйо, волшебный талант – она создает изумительные ткани из журавлиных перьев. Из этого ее дара завистливые соседи Ундзу и Садо решили извлечь пользу – продавать белоснежное полотно в столице. Поддавшись на их уговоры, Йохйо заставляет возлюбленную работать на продажу. Цу из-за боязни потерять супруга соглашается, но с условием: не подглядывать за ней. Но Йохйо нарушает запрет...</t>
        </is>
      </c>
      <c r="L442" s="2" t="inlineStr">
        <is>
          <t>https://www.kino-teatr.ru/teatr/movie/122573/annot/</t>
        </is>
      </c>
      <c r="M442" s="2">
        <f>HYPERLINK("https://ru.wikipedia.org/w/index.php?search=%D0%96%D1%83%D1%80%D0%B0%D0%B2%D0%BB%D0%B8%D0%BD%D1%8B%D0%B5%20%D0%BF%D0%B5%D1%80%D1%8C%D1%8F%201990%20%D1%84%D0%B8%D0%BB%D1%8C%D0%BC","искать")</f>
        <v/>
      </c>
      <c r="N442" s="3" t="n"/>
      <c r="O442" s="2" t="n"/>
      <c r="P442" s="2" t="n"/>
    </row>
    <row r="443">
      <c r="A443" s="2" t="n">
        <v>442</v>
      </c>
      <c r="B443" s="2" t="inlineStr">
        <is>
          <t>обрыв</t>
        </is>
      </c>
      <c r="C443" s="2" t="n">
        <v>10522</v>
      </c>
      <c r="D443" s="3" t="inlineStr">
        <is>
          <t>Сказки Старого Арбата</t>
        </is>
      </c>
      <c r="E443" s="2" t="n">
        <v>1973</v>
      </c>
      <c r="F443" s="2" t="inlineStr">
        <is>
          <t>фильм-спектакль</t>
        </is>
      </c>
      <c r="G443" s="2" t="inlineStr">
        <is>
          <t>Главная редакция литературно-драматических программ ЦТ</t>
        </is>
      </c>
      <c r="H443" s="2" t="n">
        <v>549</v>
      </c>
      <c r="I443" s="2" t="inlineStr">
        <is>
          <t>да</t>
        </is>
      </c>
      <c r="J443" s="2" t="inlineStr"/>
      <c r="K443" s="3" t="inlineStr">
        <is>
          <t>Спектакль в трёх действиях, поставленный по одноимённой пьесе А.Арбузова Ленинградским государственным академическим театром драмы имени А.С.Пушкина. Постановка Александра Александровича Музиля.
Далекие шестидесятые - время романтических порывов, глубоких чувств и чистых помыслов. В одном из тихих уютных переулков старой Москвы живет талантливый кукольный мастер Фёдор Кузьмич. У него есть верный друг Христофор, сын Кузя и множество кукол. Неожиданно в доме появляется милая и нежная девушка Виктоша, которую полюбили и отец, и сын, и даже куклы…</t>
        </is>
      </c>
      <c r="L443" s="2" t="inlineStr">
        <is>
          <t>https://www.kino-teatr.ru/teatr/movie/16670/annot/</t>
        </is>
      </c>
      <c r="M443" s="2">
        <f>HYPERLINK("https://ru.wikipedia.org/w/index.php?search=%D0%A1%D0%BA%D0%B0%D0%B7%D0%BA%D0%B8%20%D0%A1%D1%82%D0%B0%D1%80%D0%BE%D0%B3%D0%BE%20%D0%90%D1%80%D0%B1%D0%B0%D1%82%D0%B0%201973%20%D1%84%D0%B8%D0%BB%D1%8C%D0%BC","искать")</f>
        <v/>
      </c>
      <c r="N443" s="3" t="n"/>
      <c r="O443" s="2" t="n"/>
      <c r="P443" s="2" t="n"/>
    </row>
    <row r="444">
      <c r="A444" s="2" t="n">
        <v>443</v>
      </c>
      <c r="B444" s="2" t="inlineStr">
        <is>
          <t>обрыв</t>
        </is>
      </c>
      <c r="C444" s="2" t="n">
        <v>11017</v>
      </c>
      <c r="D444" s="3" t="inlineStr">
        <is>
          <t>Ученик дьявола</t>
        </is>
      </c>
      <c r="E444" s="2" t="n">
        <v>1983</v>
      </c>
      <c r="F444" s="2" t="inlineStr">
        <is>
          <t>фильм-спектакль</t>
        </is>
      </c>
      <c r="G444" s="2" t="inlineStr">
        <is>
          <t>Литовское телевидение</t>
        </is>
      </c>
      <c r="H444" s="2" t="n">
        <v>550</v>
      </c>
      <c r="I444" s="2" t="inlineStr">
        <is>
          <t>да</t>
        </is>
      </c>
      <c r="J444" s="2" t="inlineStr"/>
      <c r="K444" s="3" t="inlineStr">
        <is>
          <t>По одноименной пьесе Бернарда Шоу.
Действие происходит в США во время Войны за независимость. В одном из американских городков умирает глава большого семейства Даджен. И сразу после его смерти выясняется, что свой дом он,к удивлению всей родни, завещал сыну Ричарду, слывшему в набожной семье "паршивой овцой" - к числу его грехов родственники приписывали общение с подозрительными личностями, тягу к постоянным авантюрам и занятие контрабандой. Ричард, желая подразнить свою набожную родню, объявляет, что с этого дня этот дом будет домом дьявола...</t>
        </is>
      </c>
      <c r="L444" s="2" t="inlineStr">
        <is>
          <t>https://www.kino-teatr.ru/teatr/movie/105442/annot/</t>
        </is>
      </c>
      <c r="M444" s="2">
        <f>HYPERLINK("https://ru.wikipedia.org/w/index.php?search=%D0%A3%D1%87%D0%B5%D0%BD%D0%B8%D0%BA%20%D0%B4%D1%8C%D1%8F%D0%B2%D0%BE%D0%BB%D0%B0%201983%20%D1%84%D0%B8%D0%BB%D1%8C%D0%BC","искать")</f>
        <v/>
      </c>
      <c r="N444" s="3" t="n"/>
      <c r="O444" s="2" t="n"/>
      <c r="P444" s="2" t="n"/>
    </row>
    <row r="445">
      <c r="A445" s="2" t="n">
        <v>444</v>
      </c>
      <c r="B445" s="2" t="inlineStr">
        <is>
          <t>обрыв</t>
        </is>
      </c>
      <c r="C445" s="2" t="n">
        <v>10531</v>
      </c>
      <c r="D445" s="3" t="inlineStr">
        <is>
          <t>Укрощение строптивой</t>
        </is>
      </c>
      <c r="E445" s="2" t="n">
        <v>1973</v>
      </c>
      <c r="F445" s="2" t="inlineStr">
        <is>
          <t>фильм-спектакль</t>
        </is>
      </c>
      <c r="G445" s="2" t="n"/>
      <c r="H445" s="2" t="n">
        <v>553</v>
      </c>
      <c r="I445" s="2" t="inlineStr">
        <is>
          <t>да</t>
        </is>
      </c>
      <c r="J445" s="2" t="inlineStr"/>
      <c r="K445" s="3" t="inlineStr">
        <is>
          <t>Спектакль Ленинградского государственного академического театра им. Ленсовета по пьесе Шекспира.
Одна из дочерей почтенного жителя города Падуи, отличаясь суровым и скандальным характером, явилась причиной отказа женихам ее младшей сестры, более миловидной и покладистой. Чтобы отец позволил брак младшей, претенденты на ее руку ищут жениха для старшей и находят такого же грубого и скандального молодого дворянина, который готов жениться ради приданого на ком угодно. Однако надо еще получить на это согласие у самой девушки со строптивым характером...</t>
        </is>
      </c>
      <c r="L445" s="2" t="inlineStr">
        <is>
          <t>https://www.kino-teatr.ru/teatr/movie/81501/annot/</t>
        </is>
      </c>
      <c r="M445" s="2">
        <f>HYPERLINK("https://ru.wikipedia.org/w/index.php?search=%D0%A3%D0%BA%D1%80%D0%BE%D1%89%D0%B5%D0%BD%D0%B8%D0%B5%20%D1%81%D1%82%D1%80%D0%BE%D0%BF%D1%82%D0%B8%D0%B2%D0%BE%D0%B9%201973%20%D1%84%D0%B8%D0%BB%D1%8C%D0%BC","искать")</f>
        <v/>
      </c>
      <c r="N445" s="3" t="n"/>
      <c r="O445" s="2" t="n"/>
      <c r="P445" s="2" t="n"/>
    </row>
    <row r="446">
      <c r="A446" s="2" t="n">
        <v>445</v>
      </c>
      <c r="B446" s="2" t="inlineStr">
        <is>
          <t>обрыв</t>
        </is>
      </c>
      <c r="C446" s="2" t="n">
        <v>11018</v>
      </c>
      <c r="D446" s="3" t="inlineStr">
        <is>
          <t>Фома Гордеев</t>
        </is>
      </c>
      <c r="E446" s="2" t="n">
        <v>1983</v>
      </c>
      <c r="F446" s="2" t="inlineStr">
        <is>
          <t>фильм-спектакль</t>
        </is>
      </c>
      <c r="G446" s="2" t="inlineStr">
        <is>
          <t>ТО “Экран”</t>
        </is>
      </c>
      <c r="H446" s="2" t="n">
        <v>553</v>
      </c>
      <c r="I446" s="2" t="inlineStr">
        <is>
          <t>да</t>
        </is>
      </c>
      <c r="J446" s="2" t="inlineStr"/>
      <c r="K446" s="3" t="inlineStr">
        <is>
          <t>По одноименному роману М.Горького в постановке Государственного академического Малого театра Союза ССР
Роман «Фома Гордеев» — одно из наиболее известных произведений Максима Горького. Главный герой унаследовал от отца солидное состояние и семейное дело. Он пытается достойно продолжить коммерческую деятельность и приумножить нажитый отцом капитал, но мир дельцов чужд ему. Его горячая мечтательная натура подсказывает, что счастье не измеряется количеством денег. Он пытается найти свое место в жизни, но это оказывается непросто. Фома начинает пить...</t>
        </is>
      </c>
      <c r="L446" s="2" t="inlineStr">
        <is>
          <t>https://www.kino-teatr.ru/teatr/movie/11903/annot/</t>
        </is>
      </c>
      <c r="M446" s="2">
        <f>HYPERLINK("https://ru.wikipedia.org/w/index.php?search=%D0%A4%D0%BE%D0%BC%D0%B0%20%D0%93%D0%BE%D1%80%D0%B4%D0%B5%D0%B5%D0%B2%201983%20%D1%84%D0%B8%D0%BB%D1%8C%D0%BC","искать")</f>
        <v/>
      </c>
      <c r="N446" s="3" t="n"/>
      <c r="O446" s="2" t="n"/>
      <c r="P446" s="2" t="n"/>
    </row>
    <row r="447">
      <c r="A447" s="2" t="n">
        <v>446</v>
      </c>
      <c r="B447" s="2" t="inlineStr">
        <is>
          <t>обрыв</t>
        </is>
      </c>
      <c r="C447" s="2" t="n">
        <v>10087</v>
      </c>
      <c r="D447" s="3" t="inlineStr">
        <is>
          <t>Орлиная степь</t>
        </is>
      </c>
      <c r="E447" s="2" t="n">
        <v>1961</v>
      </c>
      <c r="F447" s="2" t="inlineStr">
        <is>
          <t>фильм-спектакль</t>
        </is>
      </c>
      <c r="G447" s="2" t="inlineStr">
        <is>
          <t>Центральное телевидение</t>
        </is>
      </c>
      <c r="H447" s="2" t="n">
        <v>556</v>
      </c>
      <c r="I447" s="2" t="inlineStr">
        <is>
          <t>да</t>
        </is>
      </c>
      <c r="J447" s="2" t="inlineStr"/>
      <c r="K447" s="3" t="inlineStr">
        <is>
          <t>По одноименному роману Михаила Бубеннова, посвящённого теме послевоенного мирного патриотического подвига советской молодёжи в освоении малообжитых просторов Сибири.
В алтайские степи приезжает Леонид Багрянов. По образованию он инженер, работает на заводе, но молодого парня всей душой тянуло в степь, на целину, он готов работать не покладая рук, ничто и никто не может удержать его.
В сердце молодого человека нашлось место и для любви: Леонид влюблен в коллегу - Светлану. Чувство оказалось взаимным и вскоре девушка отправляется вместе с ним на Алтай…</t>
        </is>
      </c>
      <c r="L447" s="2" t="inlineStr">
        <is>
          <t>https://www.kino-teatr.ru/teatr/movie/95035/annot/</t>
        </is>
      </c>
      <c r="M447" s="2">
        <f>HYPERLINK("https://ru.wikipedia.org/w/index.php?search=%D0%9E%D1%80%D0%BB%D0%B8%D0%BD%D0%B0%D1%8F%20%D1%81%D1%82%D0%B5%D0%BF%D1%8C%201961%20%D1%84%D0%B8%D0%BB%D1%8C%D0%BC","искать")</f>
        <v/>
      </c>
      <c r="N447" s="3" t="n"/>
      <c r="O447" s="2" t="n"/>
      <c r="P447" s="2" t="n"/>
    </row>
    <row r="448">
      <c r="A448" s="2" t="n">
        <v>447</v>
      </c>
      <c r="B448" s="2" t="inlineStr">
        <is>
          <t>обрыв</t>
        </is>
      </c>
      <c r="C448" s="2" t="n">
        <v>10502</v>
      </c>
      <c r="D448" s="3" t="inlineStr">
        <is>
          <t>Иркутская история</t>
        </is>
      </c>
      <c r="E448" s="2" t="n">
        <v>1973</v>
      </c>
      <c r="F448" s="2" t="inlineStr">
        <is>
          <t>фильм-спектакль</t>
        </is>
      </c>
      <c r="G448" s="2" t="inlineStr">
        <is>
          <t>ТО "Экран"</t>
        </is>
      </c>
      <c r="H448" s="2" t="n">
        <v>556</v>
      </c>
      <c r="I448" s="2" t="inlineStr">
        <is>
          <t>да</t>
        </is>
      </c>
      <c r="J448" s="2" t="inlineStr"/>
      <c r="K448" s="3" t="inlineStr">
        <is>
          <t>На одной из строек Иркутска в продовольственном магазине работет девушка Валя. Ей двадцать пять лет. Это веселая девушка, мало задумывающаяся о своем поведении и образе жизни, за что и заслужила прозвище Валька-дешевка. Её друг Виктор Бойцов, знакомит её с Сергеем Серегиным. Серегин — мастер-машинист на шагающем экскаваторе. Виктор — его первый помощник, электрик. Сергей советует Виктору жениться на Вале. Тот отвечает, что ему неохота себя связывать. Сергей сам женится на Вале. У них рождается двое детей. Сергей, спасая чужих детей, тонет в Ангаре...</t>
        </is>
      </c>
      <c r="L448" s="2" t="inlineStr">
        <is>
          <t>https://www.kino-teatr.ru/teatr/movie/2731/annot/</t>
        </is>
      </c>
      <c r="M448" s="2">
        <f>HYPERLINK("https://ru.wikipedia.org/w/index.php?search=%D0%98%D1%80%D0%BA%D1%83%D1%82%D1%81%D0%BA%D0%B0%D1%8F%20%D0%B8%D1%81%D1%82%D0%BE%D1%80%D0%B8%D1%8F%201973%20%D1%84%D0%B8%D0%BB%D1%8C%D0%BC","искать")</f>
        <v/>
      </c>
      <c r="N448" s="3" t="n"/>
      <c r="O448" s="2" t="n"/>
      <c r="P448" s="2" t="n"/>
    </row>
    <row r="449">
      <c r="A449" s="2" t="n">
        <v>448</v>
      </c>
      <c r="B449" s="2" t="inlineStr">
        <is>
          <t>обрыв</t>
        </is>
      </c>
      <c r="C449" s="2" t="n">
        <v>11091</v>
      </c>
      <c r="D449" s="3" t="inlineStr">
        <is>
          <t>Этот фантастический мир. Выпуск 11</t>
        </is>
      </c>
      <c r="E449" s="2" t="n">
        <v>1985</v>
      </c>
      <c r="F449" s="2" t="inlineStr">
        <is>
          <t>фильм-спектакль</t>
        </is>
      </c>
      <c r="G449" s="2" t="inlineStr">
        <is>
          <t>Главная редакция программ для детей и юношества ЦТ</t>
        </is>
      </c>
      <c r="H449" s="2" t="n">
        <v>559</v>
      </c>
      <c r="I449" s="2" t="inlineStr">
        <is>
          <t>да</t>
        </is>
      </c>
      <c r="J449" s="2" t="inlineStr"/>
      <c r="K449" s="3" t="inlineStr">
        <is>
          <t>Инсценированы фрагменты рассказов Р.Шекли "Бунт спасательной лодки" и Р.Брэдбери "Ржавчина".
Полковника ВВС, бывшего астронавта Грега Дарвина навещает его старый приятель, Джонни. Разговорившись, Грег открывает Джонни тайну из своего прошлого. Во время службы в космической разведке Дарвин вместе с другим астронавтом, Диком, был отправлен с секретной миссией на планету, пережившую опустошительную ядерную войну. По заданию командования Грег и Дик должны были на обезлюдевшей планете найти оставшееся оружие, аналогов которого на Земле ещё не существовало...</t>
        </is>
      </c>
      <c r="L449" s="2" t="inlineStr">
        <is>
          <t>https://www.kino-teatr.ru/teatr/movie/78742/annot/</t>
        </is>
      </c>
      <c r="M449" s="2">
        <f>HYPERLINK("https://ru.wikipedia.org/w/index.php?search=%D0%AD%D1%82%D0%BE%D1%82%20%D1%84%D0%B0%D0%BD%D1%82%D0%B0%D1%81%D1%82%D0%B8%D1%87%D0%B5%D1%81%D0%BA%D0%B8%D0%B9%20%D0%BC%D0%B8%D1%80.%20%D0%92%D1%8B%D0%BF%D1%83%D1%81%D0%BA%2011%201985%20%D1%84%D0%B8%D0%BB%D1%8C%D0%BC","искать")</f>
        <v/>
      </c>
      <c r="N449" s="3" t="n"/>
      <c r="O449" s="2" t="n"/>
      <c r="P449" s="2" t="n"/>
    </row>
    <row r="450">
      <c r="A450" s="2" t="n">
        <v>449</v>
      </c>
      <c r="B450" s="2" t="inlineStr">
        <is>
          <t>обрыв</t>
        </is>
      </c>
      <c r="C450" s="2" t="n">
        <v>8699</v>
      </c>
      <c r="D450" s="3" t="inlineStr">
        <is>
          <t>Дети, бегущие от грозы (киноальманах)</t>
        </is>
      </c>
      <c r="E450" s="2" t="n">
        <v>1991</v>
      </c>
      <c r="F450" s="2" t="inlineStr">
        <is>
          <t>кинофильм</t>
        </is>
      </c>
      <c r="G450" s="2" t="n"/>
      <c r="H450" s="2" t="n">
        <v>560</v>
      </c>
      <c r="I450" s="2" t="inlineStr">
        <is>
          <t>да</t>
        </is>
      </c>
      <c r="J450" s="2" t="inlineStr"/>
      <c r="K450" s="3" t="inlineStr">
        <is>
          <t>Встречаются бывшие одноклассники Надя и Чиж. Они не виделись около десяти лет. Жизнь давно развела их - и Надя пока не знает, что Чиж занимается "темными делишками"...
Двое студентов, художник и историк, оказываются на маленьком островке, жители которого живут привычной, размеренной жизнью. Всего день студенты проводят на острове, но события, происшедшие с ними, наводят юных героев на серьезные размышления о жизни.
Постоянно подворовывающему на службе прапорщику Перминову грозит трибунал - он взят с поличным. В панике герой решается на угон самолета...</t>
        </is>
      </c>
      <c r="L450" s="2" t="inlineStr">
        <is>
          <t>Кино_СССР сводный каталог.xlsx: список фильмов (доп.)</t>
        </is>
      </c>
      <c r="M450" s="2">
        <f>HYPERLINK("https://ru.wikipedia.org/w/index.php?search=%D0%94%D0%B5%D1%82%D0%B8%2C%20%D0%B1%D0%B5%D0%B3%D1%83%D1%89%D0%B8%D0%B5%20%D0%BE%D1%82%20%D0%B3%D1%80%D0%BE%D0%B7%D1%8B%20%28%D0%BA%D0%B8%D0%BD%D0%BE%D0%B0%D0%BB%D1%8C%D0%BC%D0%B0%D0%BD%D0%B0%D1%85%29%201991%20%D1%84%D0%B8%D0%BB%D1%8C%D0%BC","искать")</f>
        <v/>
      </c>
      <c r="N450" s="3" t="n"/>
      <c r="O450" s="2" t="n"/>
      <c r="P450" s="2" t="n"/>
    </row>
    <row r="451">
      <c r="A451" s="2" t="n">
        <v>450</v>
      </c>
      <c r="B451" s="2" t="inlineStr">
        <is>
          <t>обрыв</t>
        </is>
      </c>
      <c r="C451" s="2" t="n">
        <v>9850</v>
      </c>
      <c r="D451" s="3" t="inlineStr">
        <is>
          <t>Люди, как реки...</t>
        </is>
      </c>
      <c r="E451" s="2" t="n">
        <v>1968</v>
      </c>
      <c r="F451" s="2" t="inlineStr">
        <is>
          <t>телефильм</t>
        </is>
      </c>
      <c r="G451" s="2" t="inlineStr">
        <is>
          <t>Мосфильм</t>
        </is>
      </c>
      <c r="H451" s="2" t="n">
        <v>560</v>
      </c>
      <c r="I451" s="2" t="inlineStr">
        <is>
          <t>да</t>
        </is>
      </c>
      <c r="J451" s="2" t="inlineStr"/>
      <c r="K451" s="3" t="inlineStr">
        <is>
          <t>Телефильм по рассказу Ирины Велембовской "В трудную минуту".
В центре сюжета — жизнь послевоенного маленького городка. Героиня фильма — немолодая одинокая женщина Прасковья Ивановна — работает почтальоном, помогает каждому, кто в ней нуждается. Паша, оказавшись в больнице, случайно знакомится с Григорием. Скоро ее выписывают, но она, симпатизируя ему, продолжает навещать своего нового знакомого. Завязалась дружба. Но вот однажды Григорий обращается к ней со странной просьбой, съездить к нему домой на ночном пароходе и посмотреть, не изменяет ли ему жена…</t>
        </is>
      </c>
      <c r="L451" s="2" t="inlineStr">
        <is>
          <t>https://www.kino-teatr.ru/short/movie/sov/9197/annot/</t>
        </is>
      </c>
      <c r="M451" s="2">
        <f>HYPERLINK("https://ru.wikipedia.org/w/index.php?search=%D0%9B%D1%8E%D0%B4%D0%B8%2C%20%D0%BA%D0%B0%D0%BA%20%D1%80%D0%B5%D0%BA%D0%B8...%201968%20%D1%84%D0%B8%D0%BB%D1%8C%D0%BC","искать")</f>
        <v/>
      </c>
      <c r="N451" s="3" t="n"/>
      <c r="O451" s="2" t="n"/>
      <c r="P451" s="2" t="n"/>
    </row>
    <row r="452">
      <c r="A452" s="2" t="n">
        <v>451</v>
      </c>
      <c r="B452" s="2" t="inlineStr">
        <is>
          <t>обрыв</t>
        </is>
      </c>
      <c r="C452" s="2" t="n">
        <v>10372</v>
      </c>
      <c r="D452" s="3" t="inlineStr">
        <is>
          <t>Срочно требуются седые волосы</t>
        </is>
      </c>
      <c r="E452" s="2" t="n">
        <v>1970</v>
      </c>
      <c r="F452" s="2" t="inlineStr">
        <is>
          <t>фильм-спектакль</t>
        </is>
      </c>
      <c r="G452" s="2" t="inlineStr">
        <is>
          <t>Ленинградское ТВ</t>
        </is>
      </c>
      <c r="H452" s="2" t="n">
        <v>560</v>
      </c>
      <c r="I452" s="2" t="inlineStr">
        <is>
          <t>да</t>
        </is>
      </c>
      <c r="J452" s="2" t="inlineStr"/>
      <c r="K452" s="3" t="inlineStr">
        <is>
          <t>Телеспектакль поставлен по одноименному рассказу Юрия Нагибина.
Приехав в командировку в Ленинград, инженер Сергей Иванович Гущин знакомится с молодой актрисой Наташей. Она предлагает ему показать Ленинград, но Гущин и сам прекрасно знает этот город - он служил здесь во время войны. Они ищут повод для дальнейших встреч, но он всегда находит причину, чтобы не встречаться с женщиной, которая на много лет моложе его и которую полюбил.
В конце концов Наташа тоже поймет, что любит этого человека, но Гущин уедет, так и не решившись связать с ней свою судьбу...</t>
        </is>
      </c>
      <c r="L452" s="2" t="inlineStr">
        <is>
          <t>https://www.kino-teatr.ru/teatr/movie/84767/annot/</t>
        </is>
      </c>
      <c r="M452" s="2">
        <f>HYPERLINK("https://ru.wikipedia.org/w/index.php?search=%D0%A1%D1%80%D0%BE%D1%87%D0%BD%D0%BE%20%D1%82%D1%80%D0%B5%D0%B1%D1%83%D1%8E%D1%82%D1%81%D1%8F%20%D1%81%D0%B5%D0%B4%D1%8B%D0%B5%20%D0%B2%D0%BE%D0%BB%D0%BE%D1%81%D1%8B%201970%20%D1%84%D0%B8%D0%BB%D1%8C%D0%BC","искать")</f>
        <v/>
      </c>
      <c r="N452" s="3" t="n"/>
      <c r="O452" s="2" t="n"/>
      <c r="P452" s="2" t="n"/>
    </row>
    <row r="453">
      <c r="A453" s="2" t="n">
        <v>452</v>
      </c>
      <c r="B453" s="2" t="inlineStr">
        <is>
          <t>обрыв</t>
        </is>
      </c>
      <c r="C453" s="2" t="n">
        <v>10374</v>
      </c>
      <c r="D453" s="3" t="inlineStr">
        <is>
          <t>Туман над заливом</t>
        </is>
      </c>
      <c r="E453" s="2" t="n">
        <v>1970</v>
      </c>
      <c r="F453" s="2" t="inlineStr">
        <is>
          <t>фильм-спектакль</t>
        </is>
      </c>
      <c r="G453" s="2" t="inlineStr">
        <is>
          <t>ЦТ (Главная редакция литературно-драматических программ)</t>
        </is>
      </c>
      <c r="H453" s="2" t="n">
        <v>566</v>
      </c>
      <c r="I453" s="2" t="inlineStr">
        <is>
          <t>да</t>
        </is>
      </c>
      <c r="J453" s="2" t="inlineStr"/>
      <c r="K453" s="3" t="inlineStr">
        <is>
          <t>О подвигах советских лётчиков в годы Великой Отечественной войны по одноименной пьесе драматурга Исидора Штока.
В начале Великой Отечественной войны в районе Мурманска капитан Егорушкин вступает в неравную схватку с врагом и сбивает немецкий самолёт. Раненый, с отмороженными ногами, он полз домой трое суток. За геройский поступок его ждала высокая награда. Но на месте предполагаемого боя не найдено никаких доказательств. Егорушкин, обиженный недоверием однополчан, отказывается отстаивать свою правоту, а спустя время, эта странная история, наконец, проясняется…</t>
        </is>
      </c>
      <c r="L453" s="2" t="inlineStr">
        <is>
          <t>https://www.kino-teatr.ru/teatr/movie/131885/annot/</t>
        </is>
      </c>
      <c r="M453" s="2">
        <f>HYPERLINK("https://ru.wikipedia.org/w/index.php?search=%D0%A2%D1%83%D0%BC%D0%B0%D0%BD%20%D0%BD%D0%B0%D0%B4%20%D0%B7%D0%B0%D0%BB%D0%B8%D0%B2%D0%BE%D0%BC%201970%20%D1%84%D0%B8%D0%BB%D1%8C%D0%BC","искать")</f>
        <v/>
      </c>
      <c r="N453" s="3" t="n"/>
      <c r="O453" s="2" t="n"/>
      <c r="P453" s="2" t="n"/>
    </row>
    <row r="454">
      <c r="A454" s="2" t="n">
        <v>453</v>
      </c>
      <c r="B454" s="2" t="inlineStr">
        <is>
          <t>обрыв</t>
        </is>
      </c>
      <c r="C454" s="2" t="n">
        <v>10528</v>
      </c>
      <c r="D454" s="3" t="inlineStr">
        <is>
          <t>Трамвай "Желание"</t>
        </is>
      </c>
      <c r="E454" s="2" t="n">
        <v>1973</v>
      </c>
      <c r="F454" s="2" t="inlineStr">
        <is>
          <t>фильм-спектакль</t>
        </is>
      </c>
      <c r="G454" s="2" t="n"/>
      <c r="H454" s="2" t="n">
        <v>568</v>
      </c>
      <c r="I454" s="2" t="inlineStr">
        <is>
          <t>да</t>
        </is>
      </c>
      <c r="J454" s="2" t="inlineStr"/>
      <c r="K454" s="3" t="inlineStr">
        <is>
          <t>Фильм-спектакль Свердловского государственного драматического театра по одноименной пьесе Теннесси Уильямса.
Далеко не юная, но все еще привлекательная Бланш Дюбуа приезжает в Новый Орлеан к беременной сестре Стелле, живущей с мужем Стэнли в местных трущобах. Постепенно выясняется, что Бланш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is>
      </c>
      <c r="L454" s="2" t="inlineStr">
        <is>
          <t>https://www.kino-teatr.ru/teatr/movie/143879/annot/</t>
        </is>
      </c>
      <c r="M454" s="2">
        <f>HYPERLINK("https://ru.wikipedia.org/w/index.php?search=%D0%A2%D1%80%D0%B0%D0%BC%D0%B2%D0%B0%D0%B9%20%22%D0%96%D0%B5%D0%BB%D0%B0%D0%BD%D0%B8%D0%B5%22%201973%20%D1%84%D0%B8%D0%BB%D1%8C%D0%BC","искать")</f>
        <v/>
      </c>
      <c r="N454" s="3" t="n"/>
      <c r="O454" s="2" t="n"/>
      <c r="P454" s="2" t="n"/>
    </row>
    <row r="455">
      <c r="A455" s="2" t="n">
        <v>454</v>
      </c>
      <c r="B455" s="2" t="inlineStr">
        <is>
          <t>обрыв</t>
        </is>
      </c>
      <c r="C455" s="2" t="n">
        <v>10914</v>
      </c>
      <c r="D455" s="3" t="inlineStr">
        <is>
          <t>Смерть Пазухина</t>
        </is>
      </c>
      <c r="E455" s="2" t="n">
        <v>1981</v>
      </c>
      <c r="F455" s="2" t="inlineStr">
        <is>
          <t>фильм-спектакль</t>
        </is>
      </c>
      <c r="G455" s="2" t="inlineStr">
        <is>
          <t>Экран (Останкино)</t>
        </is>
      </c>
      <c r="H455" s="2" t="n">
        <v>598</v>
      </c>
      <c r="I455" s="2" t="inlineStr">
        <is>
          <t>да</t>
        </is>
      </c>
      <c r="J455" s="2" t="inlineStr"/>
      <c r="K455" s="3" t="inlineStr">
        <is>
          <t>По одноименной пьесе М.Салтыкова-Щедрина в постановке Государственного академического театра имени Моссовета. Постановка Б.Щедрина.
Купец-миллионер Пазухин ссорится со своим сыном Прокофием за тяготение последнего к старообрядцам и за его вторичную женитьбу на молодой и бедной девушке. Прокофий, жаждущий получения громадного наследства по смерти отца, удручен этой ссорой, тем более, что статский советник Фурначев, женатый на сестре Прокофия, все время внушает Пазухину мысль лишить Прокофия наследства. Узнав это Прокофий ради денег сбривает бороду и одевает сюртук решив примириться с отцом...</t>
        </is>
      </c>
      <c r="L455" s="2" t="inlineStr">
        <is>
          <t>https://www.kino-teatr.ru/teatr/movie/8586/annot/</t>
        </is>
      </c>
      <c r="M455" s="2">
        <f>HYPERLINK("https://ru.wikipedia.org/w/index.php?search=%D0%A1%D0%BC%D0%B5%D1%80%D1%82%D1%8C%20%D0%9F%D0%B0%D0%B7%D1%83%D1%85%D0%B8%D0%BD%D0%B0%201981%20%D1%84%D0%B8%D0%BB%D1%8C%D0%BC","искать")</f>
        <v/>
      </c>
      <c r="N455" s="3" t="n"/>
      <c r="O455" s="2" t="n"/>
      <c r="P455" s="2" t="n"/>
    </row>
    <row r="456">
      <c r="A456" s="2" t="n">
        <v>455</v>
      </c>
      <c r="B456" s="2" t="inlineStr">
        <is>
          <t>обрыв</t>
        </is>
      </c>
      <c r="C456" s="2" t="n">
        <v>10476</v>
      </c>
      <c r="D456" s="3" t="inlineStr">
        <is>
          <t>Цыгану чёрт не страшен</t>
        </is>
      </c>
      <c r="E456" s="2" t="n">
        <v>1972</v>
      </c>
      <c r="F456" s="2" t="inlineStr">
        <is>
          <t>фильм-спектакль</t>
        </is>
      </c>
      <c r="G456" s="2" t="inlineStr">
        <is>
          <t>Главная редакция музыкальных программ ЦТ</t>
        </is>
      </c>
      <c r="H456" s="2" t="n">
        <v>641</v>
      </c>
      <c r="I456" s="2" t="inlineStr">
        <is>
          <t>да</t>
        </is>
      </c>
      <c r="J456" s="2" t="inlineStr"/>
      <c r="K456" s="3" t="inlineStr">
        <is>
          <t>Телеспектакль по пьесе Андрея Вейцлера и Иосифа Прута в постановке Московского музыкально-драматического цыганского театра «Ромэн», в котором бушуют нешуточные страсти, любовь и ревность, рвущие душу цыганские песни и старинные романсы, искрометные танцы и неожиданная развязка.
К одному из соседей, Виктору Ефимовичу Рачкову, являлся чёрт, и неоднократно. Он обратился в милицию, а там потребовали приметы нарушителя. Ну, какие приметы у нечистой силы? Вот и пришлось ему съехать с квартиры, а вместо него поселился его таинственный племянник – солист цыганского ансамбля. А где один цыган, там и другие. Но не будем раскрывать всю интригу…</t>
        </is>
      </c>
      <c r="L456" s="2" t="inlineStr">
        <is>
          <t>https://www.kino-teatr.ru/teatr/movie/140490/annot/</t>
        </is>
      </c>
      <c r="M456" s="2">
        <f>HYPERLINK("https://ru.wikipedia.org/w/index.php?search=%D0%A6%D1%8B%D0%B3%D0%B0%D0%BD%D1%83%20%D1%87%D1%91%D1%80%D1%82%20%D0%BD%D0%B5%20%D1%81%D1%82%D1%80%D0%B0%D1%88%D0%B5%D0%BD%201972%20%D1%84%D0%B8%D0%BB%D1%8C%D0%BC","искать")</f>
        <v/>
      </c>
      <c r="N456" s="3" t="n"/>
      <c r="O456" s="2" t="n"/>
      <c r="P456" s="2" t="n"/>
    </row>
    <row r="457">
      <c r="A457" s="2" t="n">
        <v>456</v>
      </c>
      <c r="B457" s="2" t="inlineStr">
        <is>
          <t>обрыв</t>
        </is>
      </c>
      <c r="C457" s="2" t="n">
        <v>9963</v>
      </c>
      <c r="D457" s="3" t="inlineStr">
        <is>
          <t>Два пуделя</t>
        </is>
      </c>
      <c r="E457" s="2" t="n">
        <v>1981</v>
      </c>
      <c r="F457" s="2" t="inlineStr">
        <is>
          <t>кинофильм</t>
        </is>
      </c>
      <c r="G457" s="2" t="inlineStr">
        <is>
          <t>Студия Киевского институт театрального искусства им. Карпенко-Карого</t>
        </is>
      </c>
      <c r="H457" s="2" t="n">
        <v>660</v>
      </c>
      <c r="I457" s="2" t="inlineStr">
        <is>
          <t>да</t>
        </is>
      </c>
      <c r="J457" s="2" t="inlineStr"/>
      <c r="K457" s="3" t="inlineStr">
        <is>
          <t>Во время прогулки по осеннему парку знакомятся два пуделя, а вместе с ними и их хозяева (Елена Соловей, Борис Сморчков). Их непринужденные разговоры прерывает теннисист в исполнении Дмитрия Харатьяна. С первых минут фильма прозрачной цитатой из «Фотоувеличение» Антониони зрителю дают понять, что он попадает в мир кинематографических условностей. Это мир черно-белых противоположностей, где действие разворачивается неторопливо, словно шахматная партия, где слова и вещи значат больше, чем это может кажется на первый взгляд. Возможно, поэтому финальные кадры окон панельных домов воспринимаются не как возвращение домой, а как окончание увлекательной игры...</t>
        </is>
      </c>
      <c r="L457" s="2" t="inlineStr">
        <is>
          <t>https://www.kino-teatr.ru/short/movie/sov/118783/annot/</t>
        </is>
      </c>
      <c r="M457" s="2">
        <f>HYPERLINK("https://ru.wikipedia.org/w/index.php?search=%D0%94%D0%B2%D0%B0%20%D0%BF%D1%83%D0%B4%D0%B5%D0%BB%D1%8F%201981%20%D1%84%D0%B8%D0%BB%D1%8C%D0%BC","искать")</f>
        <v/>
      </c>
      <c r="N457" s="3" t="n"/>
      <c r="O457" s="2" t="n"/>
      <c r="P457" s="2" t="n"/>
    </row>
    <row r="458">
      <c r="A458" s="2" t="n">
        <v>457</v>
      </c>
      <c r="B458" s="2" t="inlineStr">
        <is>
          <t>обрыв</t>
        </is>
      </c>
      <c r="C458" s="2" t="n">
        <v>10013</v>
      </c>
      <c r="D458" s="3" t="inlineStr">
        <is>
          <t>Йя-хха!</t>
        </is>
      </c>
      <c r="E458" s="2" t="n">
        <v>1986</v>
      </c>
      <c r="F458" s="2" t="inlineStr">
        <is>
          <t>кинофильм</t>
        </is>
      </c>
      <c r="G458" s="2" t="inlineStr">
        <is>
          <t>ВГИК</t>
        </is>
      </c>
      <c r="H458" s="2" t="n">
        <v>663</v>
      </c>
      <c r="I458" s="2" t="inlineStr">
        <is>
          <t>да</t>
        </is>
      </c>
      <c r="J458" s="2" t="inlineStr">
        <is>
          <t>да</t>
        </is>
      </c>
      <c r="K458" s="3" t="inlineStr">
        <is>
          <t>Короткометражка Рашида Нугманова, известная тем, что в ней снялись «отцы» русского рока. Фильм бессюжетный, не игровой, скорее документальный, чем художественный — вольные зарисовки тех лет и тех славных мест — «Камчатка», питерский рок-клуб…
Снят в 1986 году за две недели режиссером Рашидом Нугмановым, как курсовая работа Алексея Михайлова с операторского факультета ВГИКа.
Во всяком случае, деньги были выделены именно для курсовой, но из десятиминутной короткометражки Нугманову удалось "выбить" сорокаминутную картину.
Материала было снято на несколько часов, в картину вошло далеко не все и из-за отсутствия средств и времени фильм остался незаконченным...</t>
        </is>
      </c>
      <c r="L458" s="2" t="inlineStr">
        <is>
          <t>https://www.kino-teatr.ru/short/movie/sov/13642/annot/</t>
        </is>
      </c>
      <c r="M458" s="2">
        <f>HYPERLINK("https://ru.wikipedia.org/w/index.php?search=%D0%99%D1%8F-%D1%85%D1%85%D0%B0%21%201986%20%D1%84%D0%B8%D0%BB%D1%8C%D0%BC","искать")</f>
        <v/>
      </c>
      <c r="N458" s="3" t="n"/>
      <c r="O458" s="2" t="n"/>
      <c r="P458" s="2" t="n"/>
    </row>
    <row r="459">
      <c r="A459" s="2" t="n">
        <v>458</v>
      </c>
      <c r="B459" s="2" t="inlineStr">
        <is>
          <t>обрыв</t>
        </is>
      </c>
      <c r="C459" s="2" t="n">
        <v>10436</v>
      </c>
      <c r="D459" s="3" t="inlineStr">
        <is>
          <t>Враги</t>
        </is>
      </c>
      <c r="E459" s="2" t="n">
        <v>1972</v>
      </c>
      <c r="F459" s="2" t="inlineStr">
        <is>
          <t>фильм-спектакль</t>
        </is>
      </c>
      <c r="G459" s="2" t="inlineStr">
        <is>
          <t>ТО “Экран”</t>
        </is>
      </c>
      <c r="H459" s="2" t="n">
        <v>672</v>
      </c>
      <c r="I459" s="2" t="inlineStr">
        <is>
          <t>да</t>
        </is>
      </c>
      <c r="J459" s="2" t="inlineStr"/>
      <c r="K459" s="3" t="inlineStr">
        <is>
          <t>По одноименной пьесе М.Горького в постановке Московского Художественного академического театра СССР им. М.Горького. Постановка В.Немировича-Данченко и М.Кедрова.
Канун 1905 г. Неспокойно стало на фабрике Скроботова и Бардина. В ответ на справедливое требование рабочих уволить жестокого и грубого мастера хозяева закрывают фабику и вызывают войска. Выстрел одного из рабочих, не сумевшего сдержать порыва ненависти к хозяевам, обрывает жизнь Скроботова. На фабрику прибывают жандармы. Им удается раскрыть действовавшую на фабрике социал-демократическую органзизацию. Арестованные рабочие противопоставляют истерической жестокости жандармов спокойное, уверенное мужество...</t>
        </is>
      </c>
      <c r="L459" s="2" t="inlineStr">
        <is>
          <t>https://www.kino-teatr.ru/teatr/movie/13011/annot/</t>
        </is>
      </c>
      <c r="M459" s="2">
        <f>HYPERLINK("https://ru.wikipedia.org/w/index.php?search=%D0%92%D1%80%D0%B0%D0%B3%D0%B8%201972%20%D1%84%D0%B8%D0%BB%D1%8C%D0%BC","искать")</f>
        <v/>
      </c>
      <c r="N459" s="3" t="n"/>
      <c r="O459" s="2" t="n"/>
      <c r="P459" s="2" t="n"/>
    </row>
    <row r="460">
      <c r="A460" s="2" t="n">
        <v>459</v>
      </c>
      <c r="B460" s="2" t="inlineStr">
        <is>
          <t>обрыв</t>
        </is>
      </c>
      <c r="C460" s="2" t="n">
        <v>12646</v>
      </c>
      <c r="D460" s="3" t="inlineStr">
        <is>
          <t>Последний бой</t>
        </is>
      </c>
      <c r="E460" s="2" t="n">
        <v>1989</v>
      </c>
      <c r="F460" s="2" t="inlineStr">
        <is>
          <t>мультфильм</t>
        </is>
      </c>
      <c r="G460" s="2" t="inlineStr">
        <is>
          <t>КИЕВНАУЧФИЛЬМ</t>
        </is>
      </c>
      <c r="H460" s="2" t="n">
        <v>696</v>
      </c>
      <c r="I460" s="2" t="inlineStr">
        <is>
          <t>да</t>
        </is>
      </c>
      <c r="J460" s="2" t="inlineStr"/>
      <c r="K460" s="3" t="inlineStr">
        <is>
          <t>Цветной, рисованный мультик поставлен по мотивам одноименного рассказа А. Кравченко.Идет жестокая война, толстый генерал торжествует: близка победа! Вдруг его войска бегут назад, и он видит, как из-за горизонта вылезает гигантское, во все небо огромное насекомое. Оказывается, ему приснились одолевающие его в реальной жизни тараканы. А он, заслуженный пехотный генерал, никому не нужен, так как род его войск устарел. И он решил найти новое радикальное средство, чтобы опять воевать в реальности, а не во сне. В таинственной лаборатории достал генерал дистанционное средство управления тараканами, и повел в бой огромные полчища пеших насекомых. _x000D_
А рядом жил отставной генерал авиации ...</t>
        </is>
      </c>
      <c r="L460" s="2" t="inlineStr">
        <is>
          <t>2026-10_мультфильмы_список_владельца.xlsx; https://animator.ru/db/?p=show_film&amp;fid=3826</t>
        </is>
      </c>
      <c r="M460" s="2">
        <f>HYPERLINK("https://ru.wikipedia.org/w/index.php?search=%D0%9F%D0%BE%D1%81%D0%BB%D0%B5%D0%B4%D0%BD%D0%B8%D0%B9%20%D0%B1%D0%BE%D0%B9%201989%20%D1%84%D0%B8%D0%BB%D1%8C%D0%BC","искать")</f>
        <v/>
      </c>
      <c r="N460" s="3" t="inlineStr">
        <is>
          <t>Цветной, рисованный мультик поставлен по мотивам одноименного рассказа А. Кравченко.Идет жестокая война, толстый генерал торжествует: близка победа! Вдруг его войска бегут назад, и он видит, как из-за горизонта вылезает гигантское, во все небо огромное насекомое. Оказывается, ему приснились одолевающие его в реальной жизни тараканы. А он, заслуженный пехотный генерал, никому не нужен, так как род его войск устарел. И он решил найти новое радикальное средство, чтобы опять воевать в реальности, а не во сне. В таинственной лаборатории достал генерал дистанционное средство управления тараканами, и повел в бой огромные полчища пеших насекомых.
А рядом жил отставной генерал авиации ...</t>
        </is>
      </c>
      <c r="O460" s="2" t="inlineStr">
        <is>
          <t>2026-10_мультфильмы_список_владельца.xlsx; https://animator.ru/db/?p=show_film&amp;fid=3826</t>
        </is>
      </c>
      <c r="P460" s="2" t="inlineStr">
        <is>
          <t>исправление: латинские буквы в русских словах</t>
        </is>
      </c>
    </row>
    <row r="461">
      <c r="A461" s="2" t="n">
        <v>460</v>
      </c>
      <c r="B461" s="2" t="inlineStr">
        <is>
          <t>обрыв</t>
        </is>
      </c>
      <c r="C461" s="2" t="n">
        <v>11308</v>
      </c>
      <c r="D461" s="3" t="inlineStr">
        <is>
          <t>Метель</t>
        </is>
      </c>
      <c r="E461" s="2" t="n">
        <v>1990</v>
      </c>
      <c r="F461" s="2" t="inlineStr">
        <is>
          <t>фильм-спектакль</t>
        </is>
      </c>
      <c r="G461" s="2" t="inlineStr">
        <is>
          <t>Главная редакция литературно-художественных программ ЦТ</t>
        </is>
      </c>
      <c r="H461" s="2" t="n">
        <v>703</v>
      </c>
      <c r="I461" s="2" t="inlineStr">
        <is>
          <t>да</t>
        </is>
      </c>
      <c r="J461" s="2" t="inlineStr">
        <is>
          <t>да</t>
        </is>
      </c>
      <c r="K461" s="3" t="inlineStr">
        <is>
          <t>Пьеса «Метель», написанная Леонидом Леоновым в июле – ноябре 1939 г., подверглась жесткой критике, была официально объявлена «злостной клеветой на советскую действительность». На долгие годы она была запрещена к постановке, против автора началась в печати кампания политической травли. В 1962 г. запрет был отменен как «необоснованный». С тех пор пьеса с успехом шла в советских и зарубежных театрах.
Ее действие ярко характеризует жизнь того времени, не скрывая все те ее черты, которые и сегодня леденят кровь – аресты, доносы, страх, жертвы и палачи, дежурившие у подъездов, губительное влияние событий тех лет на сердца молодежи. На сцене жили люди сломленные и люди, сохранившие душевную чистоту...</t>
        </is>
      </c>
      <c r="L461" s="2" t="inlineStr">
        <is>
          <t>https://www.kino-teatr.ru/teatr/movie/139524/annot/</t>
        </is>
      </c>
      <c r="M461" s="2">
        <f>HYPERLINK("https://ru.wikipedia.org/w/index.php?search=%D0%9C%D0%B5%D1%82%D0%B5%D0%BB%D1%8C%201990%20%D1%84%D0%B8%D0%BB%D1%8C%D0%BC","искать")</f>
        <v/>
      </c>
      <c r="N461" s="3" t="n"/>
      <c r="O461" s="2" t="n"/>
      <c r="P461" s="2" t="n"/>
    </row>
    <row r="462">
      <c r="A462" s="2" t="n">
        <v>461</v>
      </c>
      <c r="B462" s="2" t="inlineStr">
        <is>
          <t>обрыв</t>
        </is>
      </c>
      <c r="C462" s="2" t="n">
        <v>11006</v>
      </c>
      <c r="D462" s="3" t="inlineStr">
        <is>
          <t>Потоп</t>
        </is>
      </c>
      <c r="E462" s="2" t="n">
        <v>1983</v>
      </c>
      <c r="F462" s="2" t="inlineStr">
        <is>
          <t>фильм-спектакль</t>
        </is>
      </c>
      <c r="G462" s="2" t="n"/>
      <c r="H462" s="2" t="n">
        <v>726</v>
      </c>
      <c r="I462" s="2" t="inlineStr">
        <is>
          <t>да</t>
        </is>
      </c>
      <c r="J462" s="2" t="inlineStr"/>
      <c r="K462" s="3" t="inlineStr">
        <is>
          <t>Спектакль Государственного академического театра имени Вахтангова по пьесе Х.Бергера.
Начало XX века. Наводнение в большом американском городе на берегу Миссисипи.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is>
      </c>
      <c r="L462" s="2" t="inlineStr">
        <is>
          <t>https://www.kino-teatr.ru/teatr/movie/81579/annot/</t>
        </is>
      </c>
      <c r="M462" s="2">
        <f>HYPERLINK("https://ru.wikipedia.org/w/index.php?search=%D0%9F%D0%BE%D1%82%D0%BE%D0%BF%201983%20%D1%84%D0%B8%D0%BB%D1%8C%D0%BC","искать")</f>
        <v/>
      </c>
      <c r="N462" s="3" t="n"/>
      <c r="O462" s="2" t="n"/>
      <c r="P462" s="2" t="n"/>
    </row>
    <row r="463">
      <c r="A463" s="2" t="n">
        <v>462</v>
      </c>
      <c r="B463" s="2" t="inlineStr">
        <is>
          <t>обрыв</t>
        </is>
      </c>
      <c r="C463" s="2" t="n">
        <v>10461</v>
      </c>
      <c r="D463" s="3" t="inlineStr">
        <is>
          <t>Последние</t>
        </is>
      </c>
      <c r="E463" s="2" t="n">
        <v>1972</v>
      </c>
      <c r="F463" s="2" t="inlineStr">
        <is>
          <t>фильм-спектакль</t>
        </is>
      </c>
      <c r="G463" s="2" t="inlineStr">
        <is>
          <t>Экран</t>
        </is>
      </c>
      <c r="H463" s="2" t="n">
        <v>748</v>
      </c>
      <c r="I463" s="2" t="inlineStr">
        <is>
          <t>да</t>
        </is>
      </c>
      <c r="J463" s="2" t="inlineStr"/>
      <c r="K463" s="3" t="inlineStr">
        <is>
          <t>По одноименной пьесе М.Горького в постановке Московского Художественного академического театра.
Начало XX века. В доме богатого Якова живёт семья его родного брата Ивана - его жена Софья и пятеро детей. Внезапно выясняется, что одна из дочерей Ивана была рождена от Якова. Известие это порождает череду конфликтов. Тем более, что у каждого в этой семье - свой собственный тупик. Иван теряет работу, Яков смертельно болен, дети мечутся между родителями и тяжёлыми жизненными обстоятельствами - всеобщим развратом, изменами и предательством. Софья пытается помочь детям встать на путь истинный, но все её усилия идут прахом. И ей ничего не остаётся, как встать на колени и попросить у своих детей прощения - за то, что родила, обрекая на несчастье...</t>
        </is>
      </c>
      <c r="L463" s="2" t="inlineStr">
        <is>
          <t>https://www.kino-teatr.ru/teatr/movie/93022/annot/</t>
        </is>
      </c>
      <c r="M463" s="2">
        <f>HYPERLINK("https://ru.wikipedia.org/w/index.php?search=%D0%9F%D0%BE%D1%81%D0%BB%D0%B5%D0%B4%D0%BD%D0%B8%D0%B5%201972%20%D1%84%D0%B8%D0%BB%D1%8C%D0%BC","искать")</f>
        <v/>
      </c>
      <c r="N463" s="3" t="n"/>
      <c r="O463" s="2" t="n"/>
      <c r="P463" s="2" t="n"/>
    </row>
    <row r="464">
      <c r="A464" s="2" t="n">
        <v>463</v>
      </c>
      <c r="B464" s="2" t="inlineStr">
        <is>
          <t>обрыв</t>
        </is>
      </c>
      <c r="C464" s="2" t="n">
        <v>10631</v>
      </c>
      <c r="D464" s="3" t="inlineStr">
        <is>
          <t>Фальшивая монета</t>
        </is>
      </c>
      <c r="E464" s="2" t="n">
        <v>1975</v>
      </c>
      <c r="F464" s="2" t="inlineStr">
        <is>
          <t>фильм-спектакль</t>
        </is>
      </c>
      <c r="G464" s="2" t="inlineStr">
        <is>
          <t>ТО "Экран"</t>
        </is>
      </c>
      <c r="H464" s="2" t="n">
        <v>750</v>
      </c>
      <c r="I464" s="2" t="inlineStr">
        <is>
          <t>да</t>
        </is>
      </c>
      <c r="J464" s="2" t="inlineStr">
        <is>
          <t>да</t>
        </is>
      </c>
      <c r="K464" s="3" t="inlineStr">
        <is>
          <t>Телеспектакль по одноменной пьесе М.Горького. В основе — спектакль Малого театра.
Цикл горьковских спектаклей Б. А. Бабочкина завершила «Фальшивая монета» — пьеса, которая в горьковском наследии стоит особняком и выделяется своей сугубой нервностью, взвинченностью.
Внешне сравнительно несложный сюжет «Фальшивой монеты» скрывает глубокую и для Горького в высшей степени притягательную мысль о том, как искажает, унижает и опошляет человека денежный интерес, о том, как власть денег проникает в самую, казалось бы, потаенную сферу внутрисемейных отношений.
Спектакль проникнут горечью. Все люди на сцене как-то бессмысленно суетятся, живут бесплодно, бестолково, тускло, не ходят, а снуют, не действуют, а только бессильно намереваются действовать...</t>
        </is>
      </c>
      <c r="L464" s="2" t="inlineStr">
        <is>
          <t>https://www.kino-teatr.ru/teatr/movie/8548/annot/</t>
        </is>
      </c>
      <c r="M464" s="2">
        <f>HYPERLINK("https://ru.wikipedia.org/w/index.php?search=%D0%A4%D0%B0%D0%BB%D1%8C%D1%88%D0%B8%D0%B2%D0%B0%D1%8F%20%D0%BC%D0%BE%D0%BD%D0%B5%D1%82%D0%B0%201975%20%D1%84%D0%B8%D0%BB%D1%8C%D0%BC","искать")</f>
        <v/>
      </c>
      <c r="N464" s="3" t="n"/>
      <c r="O464" s="2" t="n"/>
      <c r="P464" s="2" t="n"/>
    </row>
    <row r="465">
      <c r="A465" s="2" t="n">
        <v>464</v>
      </c>
      <c r="B465" s="2" t="inlineStr">
        <is>
          <t>обрыв</t>
        </is>
      </c>
      <c r="C465" s="2" t="n">
        <v>10639</v>
      </c>
      <c r="D465" s="3" t="inlineStr">
        <is>
          <t>Вечно живые</t>
        </is>
      </c>
      <c r="E465" s="2" t="n">
        <v>1976</v>
      </c>
      <c r="F465" s="2" t="inlineStr">
        <is>
          <t>фильм-спектакль</t>
        </is>
      </c>
      <c r="G465" s="2" t="inlineStr">
        <is>
          <t>Центральное телевидение</t>
        </is>
      </c>
      <c r="H465" s="2" t="n">
        <v>750</v>
      </c>
      <c r="I465" s="2" t="inlineStr">
        <is>
          <t>да</t>
        </is>
      </c>
      <c r="J465" s="2" t="inlineStr"/>
      <c r="K465" s="3" t="inlineStr">
        <is>
          <t>Фильм-спектакль по пьесе Виктора Розова, поставленный Олегом Ефремовым. Легендарная постановка. Это с нее начинался ефремовский "Современник".
"Вечно живые" - это трагическая история двух влюбленных, Бориса и Вероники, которых война разлучила навсегда, и в то же время рассказ о любви, которую война не смогла уничтожить. Война, увиденная с точки зрения влюбленных. Спектакль с удивительной эмоциональной силой рассказывает о людях, в чьи судьбы безжалостно вторглась война. Не все смогли с честью вынести это испытание... Борис ушел на фронт добровольцем и пропал без вести. Вероника, потеряв любимого, родителей, родной кров, в порыве отчаяния пытается обрести новую семью, и выходит замуж за брата Бориса Марка, но это не приносит ей облегчения...</t>
        </is>
      </c>
      <c r="L465" s="2" t="inlineStr">
        <is>
          <t>https://www.kino-teatr.ru/teatr/movie/11293/annot/</t>
        </is>
      </c>
      <c r="M465" s="2">
        <f>HYPERLINK("https://ru.wikipedia.org/w/index.php?search=%D0%92%D0%B5%D1%87%D0%BD%D0%BE%20%D0%B6%D0%B8%D0%B2%D1%8B%D0%B5%201976%20%D1%84%D0%B8%D0%BB%D1%8C%D0%BC","искать")</f>
        <v/>
      </c>
      <c r="N465" s="3" t="n"/>
      <c r="O465" s="2" t="n"/>
      <c r="P465" s="2" t="n"/>
    </row>
    <row r="466">
      <c r="A466" s="2" t="n">
        <v>465</v>
      </c>
      <c r="B466" s="2" t="inlineStr">
        <is>
          <t>обрыв</t>
        </is>
      </c>
      <c r="C466" s="2" t="n">
        <v>10247</v>
      </c>
      <c r="D466" s="3" t="inlineStr">
        <is>
          <t>Записки сумасшедшего</t>
        </is>
      </c>
      <c r="E466" s="2" t="n">
        <v>1968</v>
      </c>
      <c r="F466" s="2" t="inlineStr">
        <is>
          <t>фильм-спектакль</t>
        </is>
      </c>
      <c r="G466" s="2" t="inlineStr">
        <is>
          <t>Ленинградская студия телевидения</t>
        </is>
      </c>
      <c r="H466" s="2" t="n">
        <v>754</v>
      </c>
      <c r="I466" s="2" t="inlineStr">
        <is>
          <t>да</t>
        </is>
      </c>
      <c r="J466" s="2" t="inlineStr"/>
      <c r="K466" s="3" t="inlineStr">
        <is>
          <t>«Записки сумасшедшего» повесть Николая Васильевича Гоголя, написанная им в 1834 году. Впервые повесть вышла в 1835 году в сборнике «Арабески» с заголовком «Клочки из записок сумасшедшего». Позднее была включена в сборник «Петербургские повести». В 1968 году, режиссер Александр Белинский экранизировал «Записки сумасшедшего» с неподражаемым Евгением Лебедевым в главной роли. В центре повествования дневник главного героя, где он описывает свою жизнь, работу, окружающих его людей. Далее он пишет о своих чувствах к женщине, и вскоре после этого начинают проявляться признаки сумасшествия - он разговаривает с ее собачкой Меджи, он заполучает письма, которые Меджи писала другой собачке. Спустя несколько дней он уже полностью отрывается от реальности...</t>
        </is>
      </c>
      <c r="L466" s="2" t="inlineStr">
        <is>
          <t>https://www.kino-teatr.ru/teatr/movie/9290/annot/</t>
        </is>
      </c>
      <c r="M466" s="2">
        <f>HYPERLINK("https://ru.wikipedia.org/w/index.php?search=%D0%97%D0%B0%D0%BF%D0%B8%D1%81%D0%BA%D0%B8%20%D1%81%D1%83%D0%BC%D0%B0%D1%81%D1%88%D0%B5%D0%B4%D1%88%D0%B5%D0%B3%D0%BE%201968%20%D1%84%D0%B8%D0%BB%D1%8C%D0%BC","искать")</f>
        <v/>
      </c>
      <c r="N466" s="3" t="n"/>
      <c r="O466" s="2" t="n"/>
      <c r="P466" s="2" t="n"/>
    </row>
    <row r="467">
      <c r="A467" s="2" t="n">
        <v>466</v>
      </c>
      <c r="B467" s="2" t="inlineStr">
        <is>
          <t>обрыв</t>
        </is>
      </c>
      <c r="C467" s="2" t="n">
        <v>10259</v>
      </c>
      <c r="D467" s="3" t="inlineStr">
        <is>
          <t>Находка Траубе</t>
        </is>
      </c>
      <c r="E467" s="2" t="n">
        <v>1968</v>
      </c>
      <c r="F467" s="2" t="inlineStr">
        <is>
          <t>фильм-спектакль</t>
        </is>
      </c>
      <c r="G467" s="2" t="inlineStr">
        <is>
          <t>Ленинградская студия телевидения</t>
        </is>
      </c>
      <c r="H467" s="2" t="n">
        <v>769</v>
      </c>
      <c r="I467" s="2" t="inlineStr">
        <is>
          <t>да</t>
        </is>
      </c>
      <c r="J467" s="2" t="inlineStr"/>
      <c r="K467" s="3" t="inlineStr">
        <is>
          <t>Телеспектакль по повести Яна Рудского «95-16».
...Их было трое. Немец Траубе, поляк Шель и американец Джонсон. Судьба занесла этих людей в концентрационный лагерь. Во время наступления войск союзников они должны были погибнуть, но бомба, разрушив подвал, где сидело трое обреченных, открыла им путь к свободе. По-разному сложилась жизнь трех бывших заключенных. Траубе и Джонсон остаются в Западной Германии, Шель возвращается на родину и становится корреспондентом одной из польских газет. Но всех их так или иначе связывает прошлое. Получив от Траубе письмо с просьбой о помощи, Шель едет в ФРГ, но друга уже не застает: Леон Траубе погибает. Обстоятельства его смерти вызывают у Шеля сомнение. Шаг за шагом журналист распутывает нить и делает неожиданное открытие...</t>
        </is>
      </c>
      <c r="L467" s="2" t="inlineStr">
        <is>
          <t>https://www.kino-teatr.ru/teatr/movie/122806/annot/</t>
        </is>
      </c>
      <c r="M467" s="2">
        <f>HYPERLINK("https://ru.wikipedia.org/w/index.php?search=%D0%9D%D0%B0%D1%85%D0%BE%D0%B4%D0%BA%D0%B0%20%D0%A2%D1%80%D0%B0%D1%83%D0%B1%D0%B5%201968%20%D1%84%D0%B8%D0%BB%D1%8C%D0%BC","искать")</f>
        <v/>
      </c>
      <c r="N467" s="3" t="n"/>
      <c r="O467" s="2" t="n"/>
      <c r="P467" s="2" t="n"/>
    </row>
    <row r="468">
      <c r="A468" s="2" t="n">
        <v>467</v>
      </c>
      <c r="B468" s="2" t="inlineStr">
        <is>
          <t>обрыв</t>
        </is>
      </c>
      <c r="C468" s="2" t="n">
        <v>10229</v>
      </c>
      <c r="D468" s="3" t="inlineStr">
        <is>
          <t>Барсуки</t>
        </is>
      </c>
      <c r="E468" s="2" t="n">
        <v>1968</v>
      </c>
      <c r="F468" s="2" t="inlineStr">
        <is>
          <t>фильм-спектакль</t>
        </is>
      </c>
      <c r="G468" s="2" t="inlineStr">
        <is>
          <t>Главная редакция литературно-драматических программ ЦТ</t>
        </is>
      </c>
      <c r="H468" s="2" t="n">
        <v>770</v>
      </c>
      <c r="I468" s="2" t="inlineStr">
        <is>
          <t>да</t>
        </is>
      </c>
      <c r="J468" s="2" t="inlineStr"/>
      <c r="K468" s="3" t="inlineStr">
        <is>
          <t>По одноименному произведению Л.Леонова.
Действие телеспектакля охватывает период с начала ХХ века до первых лет Советской власти. Два деревенских мальчика - братья Семен и Павел - прислуживают московскому купцу-лавочнику. Они сталкиваются с жесткой эксплуатацией, тяжелым подневольным трудом. Жизненные пути братьев расходятся. Не выдержав издевательств купца, Павел уходит на завод, становится рабочим, а в дальнейшем профессионалом-революционером. Семен остается в услужении. В послереволюционный период Семен, побывав на фронте и возвратившись в деревню, примыкает к кулакам, жестоко расправляется с представителями Советской власти, став во главе банды "барсуков", скрывавшихся в лесах. На борьбу с бандитами отправляется отряд Красной Армии, возглавляемый Павлом...</t>
        </is>
      </c>
      <c r="L468" s="2" t="inlineStr">
        <is>
          <t>https://www.kino-teatr.ru/teatr/movie/17647/annot/</t>
        </is>
      </c>
      <c r="M468" s="2">
        <f>HYPERLINK("https://ru.wikipedia.org/w/index.php?search=%D0%91%D0%B0%D1%80%D1%81%D1%83%D0%BA%D0%B8%201968%20%D1%84%D0%B8%D0%BB%D1%8C%D0%BC","искать")</f>
        <v/>
      </c>
      <c r="N468" s="3" t="n"/>
      <c r="O468" s="2" t="n"/>
      <c r="P468" s="2" t="n"/>
    </row>
    <row r="469">
      <c r="A469" s="2" t="n">
        <v>468</v>
      </c>
      <c r="B469" s="2" t="inlineStr">
        <is>
          <t>обрыв</t>
        </is>
      </c>
      <c r="C469" s="2" t="n">
        <v>10262</v>
      </c>
      <c r="D469" s="3" t="inlineStr">
        <is>
          <t>Пер Гюнт</t>
        </is>
      </c>
      <c r="E469" s="2" t="n">
        <v>1968</v>
      </c>
      <c r="F469" s="2" t="inlineStr">
        <is>
          <t>фильм-спектакль</t>
        </is>
      </c>
      <c r="G469" s="2" t="inlineStr">
        <is>
          <t>Ленинградское телевидение</t>
        </is>
      </c>
      <c r="H469" s="2" t="n">
        <v>772</v>
      </c>
      <c r="I469" s="2" t="inlineStr">
        <is>
          <t>да</t>
        </is>
      </c>
      <c r="J469" s="2" t="inlineStr"/>
      <c r="K469" s="3" t="inlineStr">
        <is>
          <t>По одноименной драматической поэме Г.Ибсена.
Музыка Эдварда Грига.
Действие поэмы охватывает первую половину XIX века и происходит в Норвегии, на марокканском побережье Средиземного моря, в пустыне Сахара, в сумасшедшем доме в Каире. Главный герой — Пер Гюнт, сын когда-то богатого и всеми уважаемого Йона Гюнта, впоследствии спившегося и потерявшего все свои деньги.
Пер хочет восстановить всё уничтоженное его отцом, но теряется в своих похвальбах, мечтах и снах наяву. Его втягивают в драку, и он похищает невесту Ингрид из Хэгстеда в день её свадьбы. Его объявляют вне закона, и он вынужден бежать из своей деревни.
На свадьбе на хуторе Хэгстед он встретил и полюбил Сольвейг. Она приходит жить к нему в лесную хижину, но он покидает её и продолжает свои странствия...</t>
        </is>
      </c>
      <c r="L469" s="2" t="inlineStr">
        <is>
          <t>https://www.kino-teatr.ru/teatr/movie/92971/annot/</t>
        </is>
      </c>
      <c r="M469" s="2">
        <f>HYPERLINK("https://ru.wikipedia.org/w/index.php?search=%D0%9F%D0%B5%D1%80%20%D0%93%D1%8E%D0%BD%D1%82%201968%20%D1%84%D0%B8%D0%BB%D1%8C%D0%BC","искать")</f>
        <v/>
      </c>
      <c r="N469" s="3" t="n"/>
      <c r="O469" s="2" t="n"/>
      <c r="P469" s="2" t="n"/>
    </row>
    <row r="470">
      <c r="A470" s="2" t="n">
        <v>469</v>
      </c>
      <c r="B470" s="2" t="inlineStr">
        <is>
          <t>обрыв</t>
        </is>
      </c>
      <c r="C470" s="2" t="n">
        <v>10246</v>
      </c>
      <c r="D470" s="3" t="inlineStr">
        <is>
          <t>Замок герцога Синей Бороды</t>
        </is>
      </c>
      <c r="E470" s="2" t="n">
        <v>1968</v>
      </c>
      <c r="F470" s="2" t="inlineStr">
        <is>
          <t>фильм-спектакль</t>
        </is>
      </c>
      <c r="G470" s="2" t="inlineStr">
        <is>
          <t>Главная редакция литературно-музыкальных программ ЦТ</t>
        </is>
      </c>
      <c r="H470" s="2" t="n">
        <v>788</v>
      </c>
      <c r="I470" s="2" t="inlineStr">
        <is>
          <t>да</t>
        </is>
      </c>
      <c r="J470" s="2" t="inlineStr"/>
      <c r="K470" s="3" t="inlineStr">
        <is>
          <t>Сюжет оперы Беллы Бартока "Замок герцога Синяя Борода" основан на старинном французском сказании, использованном также Метерлинком в драме "Ариадна и Синяя Борода".
Герцог Синяя Борода вводит в свой замок молодую жену Юдит (Юдифь) и по ее настоянию дает ей ключи от запертых дверей. Она поочередно открывает их. За первой находится застенок, за второй - оружейная, за третьей - сокровищница, за четвертой - сад, за пятой - просторы царства Синей Бороды, за шестой - озеро слез, а за седьмой - три призрака жен герцога: одна из них - рассвет его жизни, вторая - полдень, третья - закат. И хотя всё вокруг таит следы крови, это не пугает Юдит. Она надевает корону и плащ и скрывается за седьмой дверью, принимая на себя роль ночи жизни Синей Бороды. Отныне она будет только воспоминанием...</t>
        </is>
      </c>
      <c r="L470" s="2" t="inlineStr">
        <is>
          <t>https://www.kino-teatr.ru/teatr/movie/104475/annot/</t>
        </is>
      </c>
      <c r="M470" s="2">
        <f>HYPERLINK("https://ru.wikipedia.org/w/index.php?search=%D0%97%D0%B0%D0%BC%D0%BE%D0%BA%20%D0%B3%D0%B5%D1%80%D1%86%D0%BE%D0%B3%D0%B0%20%D0%A1%D0%B8%D0%BD%D0%B5%D0%B9%20%D0%91%D0%BE%D1%80%D0%BE%D0%B4%D1%8B%201968%20%D1%84%D0%B8%D0%BB%D1%8C%D0%BC","искать")</f>
        <v/>
      </c>
      <c r="N470" s="3" t="n"/>
      <c r="O470" s="2" t="n"/>
      <c r="P470" s="2" t="n"/>
    </row>
    <row r="471">
      <c r="A471" s="2" t="n">
        <v>470</v>
      </c>
      <c r="B471" s="2" t="inlineStr">
        <is>
          <t>обрыв</t>
        </is>
      </c>
      <c r="C471" s="2" t="n">
        <v>11015</v>
      </c>
      <c r="D471" s="3" t="inlineStr">
        <is>
          <t>Умные вещи</t>
        </is>
      </c>
      <c r="E471" s="2" t="n">
        <v>1983</v>
      </c>
      <c r="F471" s="2" t="inlineStr">
        <is>
          <t>фильм-спектакль</t>
        </is>
      </c>
      <c r="G471" s="2" t="inlineStr">
        <is>
          <t>Главная редакция литературно-драматических программ ЦТ</t>
        </is>
      </c>
      <c r="H471" s="2" t="n">
        <v>848</v>
      </c>
      <c r="I471" s="2" t="inlineStr">
        <is>
          <t>да</t>
        </is>
      </c>
      <c r="J471" s="2" t="inlineStr"/>
      <c r="K471" s="3" t="inlineStr">
        <is>
          <t>"Умные вещи" - одно из тех драматургических произведений знаменитого детского писателя Самуила Яковлевича Маршака, которые принесли ему славу (наряду с другими его сказками – "Горя бояться – счастья не видать", "Кошкин дом" и "Двенадцать месяцев").
Волшебный сюжет о бедном музыканте, который однажды набрел на чудесную ярмарочную лавку. В этой лавке старик продавал удивительные вещи, такие как волшебное зеркало, шапка-невидимка, скатерть-самобранка. Была среди этих сказочных вещей и чудесная дудка-самогудка. Старик отдал бедному юноше дудку-самогудку и волшебное зеркало с условием возвращения их спустя год. Одному жадному богачу тоже понравились эти вещи, и он решает путем обмана и хитрости забрать их, а музыканта бросить в темницу. Но не знал жадный богач, что умные вещи только доброму сердцу приносят счастье, а глупому не прибавят ума…</t>
        </is>
      </c>
      <c r="L471" s="2" t="inlineStr">
        <is>
          <t>https://www.kino-teatr.ru/teatr/movie/104425/annot/</t>
        </is>
      </c>
      <c r="M471" s="2">
        <f>HYPERLINK("https://ru.wikipedia.org/w/index.php?search=%D0%A3%D0%BC%D0%BD%D1%8B%D0%B5%20%D0%B2%D0%B5%D1%89%D0%B8%201983%20%D1%84%D0%B8%D0%BB%D1%8C%D0%BC","искать")</f>
        <v/>
      </c>
      <c r="N471" s="3" t="n"/>
      <c r="O471" s="2" t="n"/>
      <c r="P471" s="2" t="n"/>
    </row>
    <row r="472">
      <c r="A472" s="2" t="n">
        <v>471</v>
      </c>
      <c r="B472" s="2" t="inlineStr">
        <is>
          <t>обрыв</t>
        </is>
      </c>
      <c r="C472" s="2" t="n">
        <v>10230</v>
      </c>
      <c r="D472" s="3" t="inlineStr">
        <is>
          <t>Белая перчатка</t>
        </is>
      </c>
      <c r="E472" s="2" t="n">
        <v>1968</v>
      </c>
      <c r="F472" s="2" t="inlineStr">
        <is>
          <t>фильм-спектакль</t>
        </is>
      </c>
      <c r="G472" s="2" t="inlineStr">
        <is>
          <t>Главная редакция литературно-драматических программ ЦТ</t>
        </is>
      </c>
      <c r="H472" s="2" t="n">
        <v>917</v>
      </c>
      <c r="I472" s="2" t="inlineStr">
        <is>
          <t>да</t>
        </is>
      </c>
      <c r="J472" s="2" t="inlineStr"/>
      <c r="K472" s="3" t="inlineStr">
        <is>
          <t>По произведению Майна Рида в постановке Михаила Григорьева.
«Каждый, кто получает белую перчатку, становится обладателем бесценных сокровищ, ибо белая перчатка означает любовь, верность и честь» - так гласит закон романтики.
Далекий XVII век, где действуют благородные и мужественные кавалеры, прекрасные дамы и... коварные злодеи, и где есть загадки, приключения и обязательно пылкая любовь с первого взгляда.
Англия, время правления Карла I Стюарта, в стране назревает буржуазная революция. По ночам в таверне, где кипят политические споры, собираются заговорщики. Свободомыслящий и благородный Генри Голтспер спешит на встречу со своими единомышленниками. Но в лесу у дороги, якобы случайно, прекрасная Марион теряет роскошную белую перчатку. Она давно влюблена в незнакомца. И вот, наконец-то, решилась намекнуть о своих чувствах. Генри обрадован таким трофеем, который на языке того времени говорил о многом, но…</t>
        </is>
      </c>
      <c r="L472" s="2" t="inlineStr">
        <is>
          <t>https://www.kino-teatr.ru/teatr/movie/131505/annot/</t>
        </is>
      </c>
      <c r="M472" s="2">
        <f>HYPERLINK("https://ru.wikipedia.org/w/index.php?search=%D0%91%D0%B5%D0%BB%D0%B0%D1%8F%20%D0%BF%D0%B5%D1%80%D1%87%D0%B0%D1%82%D0%BA%D0%B0%201968%20%D1%84%D0%B8%D0%BB%D1%8C%D0%BC","искать")</f>
        <v/>
      </c>
      <c r="N472" s="3" t="n"/>
      <c r="O472" s="2" t="n"/>
      <c r="P472" s="2" t="n"/>
    </row>
    <row r="473">
      <c r="A473" s="2" t="n">
        <v>472</v>
      </c>
      <c r="B473" s="2" t="inlineStr">
        <is>
          <t>обрыв</t>
        </is>
      </c>
      <c r="C473" s="2" t="n">
        <v>11334</v>
      </c>
      <c r="D473" s="3" t="inlineStr">
        <is>
          <t>Босиком по парку</t>
        </is>
      </c>
      <c r="E473" s="2" t="n">
        <v>1991</v>
      </c>
      <c r="F473" s="2" t="inlineStr">
        <is>
          <t>фильм-спектакль</t>
        </is>
      </c>
      <c r="G473" s="2" t="n"/>
      <c r="H473" s="2" t="n">
        <v>934</v>
      </c>
      <c r="I473" s="2" t="inlineStr">
        <is>
          <t>да</t>
        </is>
      </c>
      <c r="J473" s="2" t="inlineStr"/>
      <c r="K473" s="3" t="inlineStr">
        <is>
          <t>Московский академический театр Сатиры
По пьесе Нила Саймона.
Молодожены Кори и Пол Браттеры шесть дней как женаты. Они въезжают в арендованную на 40-й улице Нью-Йорка квартиру. Кори бесконечно счастлива и восторженно обустраивает жилище, в котором нет мебели, ванны, кладовая заменяет спальню, отопление не работает, а в потолке оказывается дыра на улицу.
Пол Браттер, привыкший к лучшим условиям и жаждущий комфорта хотя бы для того, чтобы полноценно подготовиться к первому в своей жизни судебному разбирательству, крайне недоволен квартирой. Тем более что покой в ней нарушают то мама Кори, то престарелый сосед-ловелас. В результате этих испытаний, молодоженам теперь кажется, что они не сходятся характерами. Кори любит развлекаться, не хочет ни на шаг отпускать от себя мужа, и ее веселит их необычный сосед, а Пол хочет покоя, порядка, размеренной жизни и не подниматься пешком на самый высокий этаж их многоквартирного дома...</t>
        </is>
      </c>
      <c r="L473" s="2" t="inlineStr">
        <is>
          <t>https://www.kino-teatr.ru/teatr/movie/141635/annot/</t>
        </is>
      </c>
      <c r="M473" s="2">
        <f>HYPERLINK("https://ru.wikipedia.org/w/index.php?search=%D0%91%D0%BE%D1%81%D0%B8%D0%BA%D0%BE%D0%BC%20%D0%BF%D0%BE%20%D0%BF%D0%B0%D1%80%D0%BA%D1%83%201991%20%D1%84%D0%B8%D0%BB%D1%8C%D0%BC","искать")</f>
        <v/>
      </c>
      <c r="N473" s="3" t="n"/>
      <c r="O473" s="2" t="n"/>
      <c r="P473" s="2" t="n"/>
    </row>
    <row r="474">
      <c r="A474" s="2" t="n">
        <v>473</v>
      </c>
      <c r="B474" s="2" t="inlineStr">
        <is>
          <t>обрыв</t>
        </is>
      </c>
      <c r="C474" s="2" t="n">
        <v>11229</v>
      </c>
      <c r="D474" s="3" t="inlineStr">
        <is>
          <t>Театр</t>
        </is>
      </c>
      <c r="E474" s="2" t="n">
        <v>1988</v>
      </c>
      <c r="F474" s="2" t="inlineStr">
        <is>
          <t>фильм-спектакль</t>
        </is>
      </c>
      <c r="G474" s="2" t="inlineStr">
        <is>
          <t>Главная редакция литературно-драматических программ ЦТ</t>
        </is>
      </c>
      <c r="H474" s="2" t="n">
        <v>939</v>
      </c>
      <c r="I474" s="2" t="inlineStr">
        <is>
          <t>да</t>
        </is>
      </c>
      <c r="J474" s="2" t="inlineStr"/>
      <c r="K474" s="3" t="inlineStr">
        <is>
          <t>По пьесе М.Фрейна в постановке Севастопольского русского драматического театра имени А.В.Луначарского.
Картина I. Актеры частной английской труппы репетируют незатейливую комедию "Любовь и сардины". Ночная репетиция перед премьерой. Артисты плохо знают текст и путают мизансцены, режиссер на грани нервного срыва. Однако спектакль состоится при "любой погоде".
Картина II. Месяц спустя. Гастрольный тур в самом разгаре. Дневной спектакль в маленьком провинциальном городке. "Вид сзади" - из-за кулис. Зритель видит всё, что происходит за кулисами во время действия. А это зрелище не для слабонервных. Склоки, интриги, любовные перипетии.
Картина III. Три месяца спустя. Гастроли подходят к концу. Ежедневные показы и частые переезды вымотали актеров до предела. Труппа на грани войны, актеры ненавидят всё и вся. Но в зале зритель, и они выходят на сцену и играют спектакль. Однако то, что происходит на сцене, спектаклем назвать трудно...</t>
        </is>
      </c>
      <c r="L474" s="2" t="inlineStr">
        <is>
          <t>https://www.kino-teatr.ru/teatr/movie/81898/annot/</t>
        </is>
      </c>
      <c r="M474" s="2">
        <f>HYPERLINK("https://ru.wikipedia.org/w/index.php?search=%D0%A2%D0%B5%D0%B0%D1%82%D1%80%201988%20%D1%84%D0%B8%D0%BB%D1%8C%D0%BC","искать")</f>
        <v/>
      </c>
      <c r="N474" s="3" t="n"/>
      <c r="O474" s="2" t="n"/>
      <c r="P474" s="2" t="n"/>
    </row>
    <row r="475">
      <c r="A475" s="2" t="n">
        <v>474</v>
      </c>
      <c r="B475" s="2" t="inlineStr">
        <is>
          <t>обрыв</t>
        </is>
      </c>
      <c r="C475" s="2" t="n">
        <v>11070</v>
      </c>
      <c r="D475" s="3" t="inlineStr">
        <is>
          <t>Омут</t>
        </is>
      </c>
      <c r="E475" s="2" t="n">
        <v>1985</v>
      </c>
      <c r="F475" s="2" t="inlineStr">
        <is>
          <t>фильм-спектакль</t>
        </is>
      </c>
      <c r="G475" s="2" t="inlineStr">
        <is>
          <t>Ленинградское ТВ</t>
        </is>
      </c>
      <c r="H475" s="2" t="n">
        <v>949</v>
      </c>
      <c r="I475" s="2" t="inlineStr">
        <is>
          <t>да</t>
        </is>
      </c>
      <c r="J475" s="2" t="inlineStr"/>
      <c r="K475" s="3" t="inlineStr">
        <is>
          <t>Из цикла "Следы остаются" (Дела и люди ленинградской милиции).
Теледетектив, созданный на строго документальном материале уголовного дела, рассмотренного Ленинградским городским судом, ставит перед зрителями вопросы большой социально-нравственной значимости.
Совершено преступление. Самое страшное - убийство... Кто виновник? Каковы мотивы преступления? Эти и множество сопутствующих вопросов встают перед полковником милиции Дробышевым и старшим лейтенантом Самариным. В процессе следствия сталкиваются они с молодыми людьми, духовная нищета которых страшна своими моральными последствиями. Спекуляция, фарцовка, стремление к наживе - все это процветает в среде тех людей, где произошло преступление. Их жизненная позиция способствовала ему.
Убийцы пойманы и осуждены. Но многие остались за рамками закона. Что ждет их завтра?.. Это тяжелое горестное чувство не оставляет Дробышева и Самарина, когда вспоминают они об убийстве на старом кладбище...</t>
        </is>
      </c>
      <c r="L475" s="2" t="inlineStr">
        <is>
          <t>https://www.kino-teatr.ru/teatr/movie/79270/annot/</t>
        </is>
      </c>
      <c r="M475" s="2">
        <f>HYPERLINK("https://ru.wikipedia.org/w/index.php?search=%D0%9E%D0%BC%D1%83%D1%82%201985%20%D1%84%D0%B8%D0%BB%D1%8C%D0%BC","искать")</f>
        <v/>
      </c>
      <c r="N475" s="3" t="n"/>
      <c r="O475" s="2" t="n"/>
      <c r="P475" s="2" t="n"/>
    </row>
    <row r="476">
      <c r="A476" s="2" t="n">
        <v>475</v>
      </c>
      <c r="B476" s="2" t="inlineStr">
        <is>
          <t>обрыв</t>
        </is>
      </c>
      <c r="C476" s="2" t="n">
        <v>11047</v>
      </c>
      <c r="D476" s="3" t="inlineStr">
        <is>
          <t>С нами не соскучишься (1984-1985)</t>
        </is>
      </c>
      <c r="E476" s="2" t="n">
        <v>1984</v>
      </c>
      <c r="F476" s="2" t="inlineStr">
        <is>
          <t>фильм-спектакль</t>
        </is>
      </c>
      <c r="G476" s="2" t="inlineStr">
        <is>
          <t>Главная редакция программ для детей и юношества ЦТ</t>
        </is>
      </c>
      <c r="H476" s="2" t="n">
        <v>968</v>
      </c>
      <c r="I476" s="2" t="inlineStr">
        <is>
          <t>да</t>
        </is>
      </c>
      <c r="J476" s="2" t="inlineStr"/>
      <c r="K476" s="3" t="inlineStr">
        <is>
          <t>По повести Сергея Иванова "Его среди нас нет".
... В самом обычном, на первый взгляд, шестом классе начинает происходить нечто странное: каждое утро перед уроками кто-то оставляет на доске надпись "6 В - тупой". Кто же этот возмутитель спокойствия: тихоня Серёжа Крамской, отличница Лена Серова или "новенькая" Наташа Самсонова?..
... Таинственным образом пропадает классный журнал. За расследование берется школьный "Шерлок Холмс" - Таня Садовничья. Ей помогает "Ватсон" - её новый друг, Серёжа Крамской. Первоначальная версия "сыщиков" - журнал потеряла классная руководительница Алёна, мечтательная и рассеянная выпускница пединститута. Но постепенно у "следствия" появляется новая "подозреваемая" - отличница Лида Самсонова...
... Один из шестиклассников, Витя, связывается с криминальной компанией. За мелкими кражами следует более серьёзное преступление: Витя прячет у себя дома добычу своих новых "друзей" - взрослых грабителей. На след банды выходит милиция...</t>
        </is>
      </c>
      <c r="L476" s="2" t="inlineStr">
        <is>
          <t>https://www.kino-teatr.ru/teatr/movie/16124/annot/</t>
        </is>
      </c>
      <c r="M476" s="2">
        <f>HYPERLINK("https://ru.wikipedia.org/w/index.php?search=%D0%A1%20%D0%BD%D0%B0%D0%BC%D0%B8%20%D0%BD%D0%B5%20%D1%81%D0%BE%D1%81%D0%BA%D1%83%D1%87%D0%B8%D1%88%D1%8C%D1%81%D1%8F%20%281984-1985%29%201984%20%D1%84%D0%B8%D0%BB%D1%8C%D0%BC","искать")</f>
        <v/>
      </c>
      <c r="N476" s="3" t="n"/>
      <c r="O476" s="2" t="n"/>
      <c r="P476" s="2" t="n"/>
    </row>
    <row r="477">
      <c r="A477" s="2" t="n">
        <v>476</v>
      </c>
      <c r="B477" s="2" t="inlineStr">
        <is>
          <t>обрыв</t>
        </is>
      </c>
      <c r="C477" s="2" t="n">
        <v>11060</v>
      </c>
      <c r="D477" s="3" t="inlineStr">
        <is>
          <t>Игра в джин</t>
        </is>
      </c>
      <c r="E477" s="2" t="n">
        <v>1985</v>
      </c>
      <c r="F477" s="2" t="inlineStr">
        <is>
          <t>фильм-спектакль</t>
        </is>
      </c>
      <c r="G477" s="2" t="inlineStr">
        <is>
          <t>Главная редакция литературно-драматических программ</t>
        </is>
      </c>
      <c r="H477" s="2" t="n">
        <v>1061</v>
      </c>
      <c r="I477" s="2" t="inlineStr">
        <is>
          <t>да</t>
        </is>
      </c>
      <c r="J477" s="2" t="inlineStr"/>
      <c r="K477" s="3" t="inlineStr">
        <is>
          <t>Спектакль «Игра в джин» по пьесе американского драматурга Д.Кобурна в постановке театра имени Маяковского.
Необычен жанр спектакля: «И смех... и слёзы... и любовь... в доме Бентли в 2-х действиях». Действие спектакля происходит в США в доме для престарелых. В доме Бентли или в «доме смерти», как зовётся он в народе, волей судьбы встречаются богатый бизнесмен и женщина-менеджер. За плечами у каждого своя жизнь, своя драма. Семья, дети, дом, работа, успехи — всё в прошлом. Всё начинается вполне пристойно. Он предлагает ей развлечься — поиграть в карты, учит карточной игре в джин, при этом довольно цинично обсуждая своё окружение, называя его «свалкой тел, не совсем готовых на кладбище». Дама оказывается способной ученицей и неожиданно выигрывает. Он, раздираемый двумя противоречивыми чувствами (симпатией к этой женщине и страстью азартного картёжника), и Она, ищущая лекарства от одиночества во встречах с ним. Оба нуждаются в общении друг с другом, но для героя становится главным выиграть в карты у этой женщины. И возможно, выиграть у этой жизни...</t>
        </is>
      </c>
      <c r="L477" s="2" t="inlineStr">
        <is>
          <t>https://www.kino-teatr.ru/teatr/movie/81586/annot/</t>
        </is>
      </c>
      <c r="M477" s="2">
        <f>HYPERLINK("https://ru.wikipedia.org/w/index.php?search=%D0%98%D0%B3%D1%80%D0%B0%20%D0%B2%20%D0%B4%D0%B6%D0%B8%D0%BD%201985%20%D1%84%D0%B8%D0%BB%D1%8C%D0%BC","искать")</f>
        <v/>
      </c>
      <c r="N477" s="3" t="n"/>
      <c r="O477" s="2" t="n"/>
      <c r="P477" s="2" t="n"/>
    </row>
    <row r="478">
      <c r="A478" s="2" t="n">
        <v>477</v>
      </c>
      <c r="B478" s="2" t="inlineStr">
        <is>
          <t>обрыв</t>
        </is>
      </c>
      <c r="C478" s="2" t="n">
        <v>10760</v>
      </c>
      <c r="D478" s="3" t="inlineStr">
        <is>
          <t>Мужчина и женщины</t>
        </is>
      </c>
      <c r="E478" s="2" t="n">
        <v>1978</v>
      </c>
      <c r="F478" s="2" t="inlineStr">
        <is>
          <t>фильм-спектакль</t>
        </is>
      </c>
      <c r="G478" s="2" t="inlineStr">
        <is>
          <t>ТО "Экран"</t>
        </is>
      </c>
      <c r="H478" s="2" t="n">
        <v>1107</v>
      </c>
      <c r="I478" s="2" t="inlineStr">
        <is>
          <t>да</t>
        </is>
      </c>
      <c r="J478" s="2" t="inlineStr"/>
      <c r="K478" s="3" t="inlineStr">
        <is>
          <t>Леонид Зорин на экземпляре этой пьесы написал: посвящается замечательным актерам — Марии Владимировне Мироновой и Александру Семеновичу Менакеру.
Все женские роли, естественно, исполняла Мария Миронова. А одну - единственную мужскую — Александр Менакер. Пьеса предоставила Мироновой возможность для бесконечных трансформаций: она и скромная, заботливая жена. И постоянный член месткома, и жрица любви и поэзии, и темпераментная попутчица - грузинка, и медрегистратор диспансера, и многоопытный врач - психиатр, и наблюдательная соседка, и весьма ответственная дама - начальница.
Действие развивается стремительно. Трудно вообразить, каким образом буквально за считанные секунды Мироновой удавалось сменить внешний и внутренний облик своих героинь, отличающихся друг от друга не только по возрасту и профессии, но, прежде всего, по темпераменту.
Сюжет пьесы необычайно прост: ее единственный герой Ананий Семенович Гарунский обратился в психоневрологический диспансер с единственной просьбой: выдать справку, что он не состоит здесь на учете. Казалось бы, какая проблема? Но все оказывается не так-то просто…</t>
        </is>
      </c>
      <c r="L478" s="2" t="inlineStr">
        <is>
          <t>https://www.kino-teatr.ru/teatr/movie/9418/annot/</t>
        </is>
      </c>
      <c r="M478" s="2">
        <f>HYPERLINK("https://ru.wikipedia.org/w/index.php?search=%D0%9C%D1%83%D0%B6%D1%87%D0%B8%D0%BD%D0%B0%20%D0%B8%20%D0%B6%D0%B5%D0%BD%D1%89%D0%B8%D0%BD%D1%8B%201978%20%D1%84%D0%B8%D0%BB%D1%8C%D0%BC","искать")</f>
        <v/>
      </c>
      <c r="N478" s="3" t="n"/>
      <c r="O478" s="2" t="n"/>
      <c r="P478" s="2" t="n"/>
    </row>
    <row r="479">
      <c r="A479" s="2" t="n">
        <v>478</v>
      </c>
      <c r="B479" s="2" t="inlineStr">
        <is>
          <t>не сюжет</t>
        </is>
      </c>
      <c r="C479" s="2" t="n">
        <v>14287</v>
      </c>
      <c r="D479" s="3" t="inlineStr">
        <is>
          <t>Снежные мастера</t>
        </is>
      </c>
      <c r="E479" s="2" t="n">
        <v>1985</v>
      </c>
      <c r="F479" s="2" t="inlineStr">
        <is>
          <t>мультфильм</t>
        </is>
      </c>
      <c r="G479" s="2" t="inlineStr">
        <is>
          <t>УЗБЕКФИЛЬМ</t>
        </is>
      </c>
      <c r="H479" s="2" t="n">
        <v>7</v>
      </c>
      <c r="I479" s="2" t="inlineStr"/>
      <c r="J479" s="2" t="inlineStr">
        <is>
          <t>да</t>
        </is>
      </c>
      <c r="K479" s="3" t="inlineStr">
        <is>
          <t>квартет</t>
        </is>
      </c>
      <c r="L479" s="2" t="inlineStr">
        <is>
          <t>https://animator.ru/db/?p=show_film&amp;fid=5823</t>
        </is>
      </c>
      <c r="M479" s="2">
        <f>HYPERLINK("https://ru.wikipedia.org/w/index.php?search=%D0%A1%D0%BD%D0%B5%D0%B6%D0%BD%D1%8B%D0%B5%20%D0%BC%D0%B0%D1%81%D1%82%D0%B5%D1%80%D0%B0%201985%20%D1%84%D0%B8%D0%BB%D1%8C%D0%BC","искать")</f>
        <v/>
      </c>
      <c r="N479" s="3" t="n"/>
      <c r="O479" s="2" t="n"/>
      <c r="P479" s="2" t="n"/>
    </row>
    <row r="480">
      <c r="A480" s="2" t="n">
        <v>479</v>
      </c>
      <c r="B480" s="2" t="inlineStr">
        <is>
          <t>не сюжет</t>
        </is>
      </c>
      <c r="C480" s="2" t="n">
        <v>9981</v>
      </c>
      <c r="D480" s="3" t="inlineStr">
        <is>
          <t>Эй!</t>
        </is>
      </c>
      <c r="E480" s="2" t="n">
        <v>1981</v>
      </c>
      <c r="F480" s="2" t="inlineStr">
        <is>
          <t>кинофильм</t>
        </is>
      </c>
      <c r="G480" s="2" t="inlineStr">
        <is>
          <t>ВГИК</t>
        </is>
      </c>
      <c r="H480" s="2" t="n">
        <v>8</v>
      </c>
      <c r="I480" s="2" t="inlineStr"/>
      <c r="J480" s="2" t="inlineStr">
        <is>
          <t>да</t>
        </is>
      </c>
      <c r="K480" s="3" t="inlineStr">
        <is>
          <t>Новелла.</t>
        </is>
      </c>
      <c r="L480" s="2" t="inlineStr">
        <is>
          <t>https://www.kino-teatr.ru/short/movie/sov/10520/annot/</t>
        </is>
      </c>
      <c r="M480" s="2">
        <f>HYPERLINK("https://ru.wikipedia.org/w/index.php?search=%D0%AD%D0%B9%21%201981%20%D1%84%D0%B8%D0%BB%D1%8C%D0%BC","искать")</f>
        <v/>
      </c>
      <c r="N480" s="3" t="n"/>
      <c r="O480" s="2" t="n"/>
      <c r="P480" s="2" t="n"/>
    </row>
    <row r="481">
      <c r="A481" s="2" t="n">
        <v>480</v>
      </c>
      <c r="B481" s="2" t="inlineStr">
        <is>
          <t>не сюжет</t>
        </is>
      </c>
      <c r="C481" s="2" t="n">
        <v>11694</v>
      </c>
      <c r="D481" s="3" t="inlineStr">
        <is>
          <t>Василек</t>
        </is>
      </c>
      <c r="E481" s="2" t="n">
        <v>1973</v>
      </c>
      <c r="F481" s="2" t="inlineStr">
        <is>
          <t>мультфильм</t>
        </is>
      </c>
      <c r="G481" s="2" t="inlineStr">
        <is>
          <t>Союзмультфильм</t>
        </is>
      </c>
      <c r="H481" s="2" t="n">
        <v>9</v>
      </c>
      <c r="I481" s="2" t="inlineStr"/>
      <c r="J481" s="2" t="inlineStr">
        <is>
          <t>да</t>
        </is>
      </c>
      <c r="K481" s="3" t="inlineStr">
        <is>
          <t>Для детей</t>
        </is>
      </c>
      <c r="L481" s="2" t="inlineStr">
        <is>
          <t>https://animator.ru/db/?p=show_film&amp;fid=2608</t>
        </is>
      </c>
      <c r="M481" s="2">
        <f>HYPERLINK("https://ru.wikipedia.org/w/index.php?search=%D0%92%D0%B0%D1%81%D0%B8%D0%BB%D0%B5%D0%BA%201973%20%D1%84%D0%B8%D0%BB%D1%8C%D0%BC","искать")</f>
        <v/>
      </c>
      <c r="N481" s="3" t="n"/>
      <c r="O481" s="2" t="n"/>
      <c r="P481" s="2" t="n"/>
    </row>
    <row r="482">
      <c r="A482" s="2" t="n">
        <v>481</v>
      </c>
      <c r="B482" s="2" t="inlineStr">
        <is>
          <t>не сюжет</t>
        </is>
      </c>
      <c r="C482" s="2" t="n">
        <v>12845</v>
      </c>
      <c r="D482" s="3" t="inlineStr">
        <is>
          <t>Синий лис</t>
        </is>
      </c>
      <c r="E482" s="2" t="n">
        <v>1971</v>
      </c>
      <c r="F482" s="2" t="inlineStr">
        <is>
          <t>мультфильм</t>
        </is>
      </c>
      <c r="G482" s="2" t="inlineStr">
        <is>
          <t>ГРУЗИЯ-ФИЛЬМ - АО</t>
        </is>
      </c>
      <c r="H482" s="2" t="n">
        <v>9</v>
      </c>
      <c r="I482" s="2" t="inlineStr"/>
      <c r="J482" s="2" t="inlineStr">
        <is>
          <t>да</t>
        </is>
      </c>
      <c r="K482" s="3" t="inlineStr">
        <is>
          <t>Для детей</t>
        </is>
      </c>
      <c r="L482" s="2" t="inlineStr">
        <is>
          <t>https://animator.ru/db/?p=show_film&amp;fid=4069</t>
        </is>
      </c>
      <c r="M482" s="2">
        <f>HYPERLINK("https://ru.wikipedia.org/w/index.php?search=%D0%A1%D0%B8%D0%BD%D0%B8%D0%B9%20%D0%BB%D0%B8%D1%81%201971%20%D1%84%D0%B8%D0%BB%D1%8C%D0%BC","искать")</f>
        <v/>
      </c>
      <c r="N482" s="3" t="n"/>
      <c r="O482" s="2" t="n"/>
      <c r="P482" s="2" t="n"/>
    </row>
    <row r="483">
      <c r="A483" s="2" t="n">
        <v>482</v>
      </c>
      <c r="B483" s="2" t="inlineStr">
        <is>
          <t>не сюжет</t>
        </is>
      </c>
      <c r="C483" s="2" t="n">
        <v>12950</v>
      </c>
      <c r="D483" s="3" t="inlineStr">
        <is>
          <t>Улитка</t>
        </is>
      </c>
      <c r="E483" s="2" t="n">
        <v>1986</v>
      </c>
      <c r="F483" s="2" t="inlineStr">
        <is>
          <t>мультфильм</t>
        </is>
      </c>
      <c r="G483" s="2" t="inlineStr">
        <is>
          <t>ГРУЗИЯ-ФИЛЬМ - АО</t>
        </is>
      </c>
      <c r="H483" s="2" t="n">
        <v>9</v>
      </c>
      <c r="I483" s="2" t="inlineStr"/>
      <c r="J483" s="2" t="inlineStr">
        <is>
          <t>да</t>
        </is>
      </c>
      <c r="K483" s="3" t="inlineStr">
        <is>
          <t>Для детей</t>
        </is>
      </c>
      <c r="L483" s="2" t="inlineStr">
        <is>
          <t>https://animator.ru/db/?p=show_film&amp;fid=4180</t>
        </is>
      </c>
      <c r="M483" s="2">
        <f>HYPERLINK("https://ru.wikipedia.org/w/index.php?search=%D0%A3%D0%BB%D0%B8%D1%82%D0%BA%D0%B0%201986%20%D1%84%D0%B8%D0%BB%D1%8C%D0%BC","искать")</f>
        <v/>
      </c>
      <c r="N483" s="3" t="n"/>
      <c r="O483" s="2" t="n"/>
      <c r="P483" s="2" t="n"/>
    </row>
    <row r="484">
      <c r="A484" s="2" t="n">
        <v>483</v>
      </c>
      <c r="B484" s="2" t="inlineStr">
        <is>
          <t>не сюжет</t>
        </is>
      </c>
      <c r="C484" s="2" t="n">
        <v>13106</v>
      </c>
      <c r="D484" s="3" t="inlineStr">
        <is>
          <t>Сказка про охотника</t>
        </is>
      </c>
      <c r="E484" s="2" t="n">
        <v>1976</v>
      </c>
      <c r="F484" s="2" t="inlineStr">
        <is>
          <t>мультфильм</t>
        </is>
      </c>
      <c r="G484" s="2" t="inlineStr">
        <is>
          <t>МОЛДОВА-ФИЛЬМ</t>
        </is>
      </c>
      <c r="H484" s="2" t="n">
        <v>9</v>
      </c>
      <c r="I484" s="2" t="inlineStr"/>
      <c r="J484" s="2" t="inlineStr">
        <is>
          <t>да</t>
        </is>
      </c>
      <c r="K484" s="3" t="inlineStr">
        <is>
          <t>Для детей</t>
        </is>
      </c>
      <c r="L484" s="2" t="inlineStr">
        <is>
          <t>https://animator.ru/db/?p=show_film&amp;fid=4338</t>
        </is>
      </c>
      <c r="M484" s="2">
        <f>HYPERLINK("https://ru.wikipedia.org/w/index.php?search=%D0%A1%D0%BA%D0%B0%D0%B7%D0%BA%D0%B0%20%D0%BF%D1%80%D0%BE%20%D0%BE%D1%85%D0%BE%D1%82%D0%BD%D0%B8%D0%BA%D0%B0%201976%20%D1%84%D0%B8%D0%BB%D1%8C%D0%BC","искать")</f>
        <v/>
      </c>
      <c r="N484" s="3" t="n"/>
      <c r="O484" s="2" t="n"/>
      <c r="P484" s="2" t="n"/>
    </row>
    <row r="485">
      <c r="A485" s="2" t="n">
        <v>484</v>
      </c>
      <c r="B485" s="2" t="inlineStr">
        <is>
          <t>не сюжет</t>
        </is>
      </c>
      <c r="C485" s="2" t="n">
        <v>13589</v>
      </c>
      <c r="D485" s="3" t="inlineStr">
        <is>
          <t>Ценная бандероль</t>
        </is>
      </c>
      <c r="E485" s="2" t="n">
        <v>1986</v>
      </c>
      <c r="F485" s="2" t="inlineStr">
        <is>
          <t>мультфильм</t>
        </is>
      </c>
      <c r="G485" s="2" t="inlineStr">
        <is>
          <t>ВОЛГОГРАДТЕЛЕФИЛЬМ</t>
        </is>
      </c>
      <c r="H485" s="2" t="n">
        <v>9</v>
      </c>
      <c r="I485" s="2" t="inlineStr"/>
      <c r="J485" s="2" t="inlineStr">
        <is>
          <t>да</t>
        </is>
      </c>
      <c r="K485" s="3" t="inlineStr">
        <is>
          <t>Для детей</t>
        </is>
      </c>
      <c r="L485" s="2" t="inlineStr">
        <is>
          <t>https://animator.ru/db/?p=show_film&amp;fid=4936</t>
        </is>
      </c>
      <c r="M485" s="2">
        <f>HYPERLINK("https://ru.wikipedia.org/w/index.php?search=%D0%A6%D0%B5%D0%BD%D0%BD%D0%B0%D1%8F%20%D0%B1%D0%B0%D0%BD%D0%B4%D0%B5%D1%80%D0%BE%D0%BB%D1%8C%201986%20%D1%84%D0%B8%D0%BB%D1%8C%D0%BC","искать")</f>
        <v/>
      </c>
      <c r="N485" s="3" t="n"/>
      <c r="O485" s="2" t="n"/>
      <c r="P485" s="2" t="n"/>
    </row>
    <row r="486">
      <c r="A486" s="2" t="n">
        <v>485</v>
      </c>
      <c r="B486" s="2" t="inlineStr">
        <is>
          <t>не сюжет</t>
        </is>
      </c>
      <c r="C486" s="2" t="n">
        <v>12448</v>
      </c>
      <c r="D486" s="3" t="inlineStr">
        <is>
          <t>Люди и двери</t>
        </is>
      </c>
      <c r="E486" s="2" t="n">
        <v>1968</v>
      </c>
      <c r="F486" s="2" t="inlineStr">
        <is>
          <t>мультфильм</t>
        </is>
      </c>
      <c r="G486" s="2" t="inlineStr">
        <is>
          <t>КИЕВНАУЧФИЛЬМ</t>
        </is>
      </c>
      <c r="H486" s="2" t="n">
        <v>10</v>
      </c>
      <c r="I486" s="2" t="inlineStr"/>
      <c r="J486" s="2" t="inlineStr">
        <is>
          <t>да</t>
        </is>
      </c>
      <c r="K486" s="3" t="inlineStr">
        <is>
          <t>Фитиль №70</t>
        </is>
      </c>
      <c r="L486" s="2" t="inlineStr">
        <is>
          <t>2026-10_мультфильмы_список_владельца.xlsx; https://animator.ru/db/?p=show_film&amp;fid=3619</t>
        </is>
      </c>
      <c r="M486" s="2">
        <f>HYPERLINK("https://ru.wikipedia.org/w/index.php?search=%D0%9B%D1%8E%D0%B4%D0%B8%20%D0%B8%20%D0%B4%D0%B2%D0%B5%D1%80%D0%B8%201968%20%D1%84%D0%B8%D0%BB%D1%8C%D0%BC","искать")</f>
        <v/>
      </c>
      <c r="N486" s="3" t="n"/>
      <c r="O486" s="2" t="n"/>
      <c r="P486" s="2" t="n"/>
    </row>
    <row r="487">
      <c r="A487" s="2" t="n">
        <v>486</v>
      </c>
      <c r="B487" s="2" t="inlineStr">
        <is>
          <t>не сюжет</t>
        </is>
      </c>
      <c r="C487" s="2" t="n">
        <v>14456</v>
      </c>
      <c r="D487" s="3" t="inlineStr">
        <is>
          <t>Барс лесных дорог</t>
        </is>
      </c>
      <c r="E487" s="2" t="n">
        <v>1978</v>
      </c>
      <c r="F487" s="2" t="inlineStr">
        <is>
          <t>мультфильм</t>
        </is>
      </c>
      <c r="G487" s="2" t="n"/>
      <c r="H487" s="2" t="n">
        <v>10</v>
      </c>
      <c r="I487" s="2" t="inlineStr"/>
      <c r="J487" s="2" t="inlineStr">
        <is>
          <t>да</t>
        </is>
      </c>
      <c r="K487" s="3" t="inlineStr">
        <is>
          <t>Заказ ГАИ.</t>
        </is>
      </c>
      <c r="L487" s="2" t="inlineStr">
        <is>
          <t>https://animator.ru/db/?p=show_film&amp;fid=6711</t>
        </is>
      </c>
      <c r="M487" s="2">
        <f>HYPERLINK("https://ru.wikipedia.org/w/index.php?search=%D0%91%D0%B0%D1%80%D1%81%20%D0%BB%D0%B5%D1%81%D0%BD%D1%8B%D1%85%20%D0%B4%D0%BE%D1%80%D0%BE%D0%B3%201978%20%D1%84%D0%B8%D0%BB%D1%8C%D0%BC","искать")</f>
        <v/>
      </c>
      <c r="N487" s="3" t="n"/>
      <c r="O487" s="2" t="n"/>
      <c r="P487" s="2" t="n"/>
    </row>
    <row r="488">
      <c r="A488" s="2" t="n">
        <v>487</v>
      </c>
      <c r="B488" s="2" t="inlineStr">
        <is>
          <t>не сюжет</t>
        </is>
      </c>
      <c r="C488" s="2" t="n">
        <v>11532</v>
      </c>
      <c r="D488" s="3" t="inlineStr">
        <is>
          <t>Вдвое больше</t>
        </is>
      </c>
      <c r="E488" s="2" t="n">
        <v>1964</v>
      </c>
      <c r="F488" s="2" t="inlineStr">
        <is>
          <t>мультфильм</t>
        </is>
      </c>
      <c r="G488" s="2" t="inlineStr">
        <is>
          <t>Союзмультфильм</t>
        </is>
      </c>
      <c r="H488" s="2" t="n">
        <v>11</v>
      </c>
      <c r="I488" s="2" t="inlineStr"/>
      <c r="J488" s="2" t="inlineStr">
        <is>
          <t>да</t>
        </is>
      </c>
      <c r="K488" s="3" t="inlineStr">
        <is>
          <t>Фитиль №27.</t>
        </is>
      </c>
      <c r="L488" s="2" t="inlineStr">
        <is>
          <t>2026-10_мультфильмы_список_владельца.xlsx; https://animator.ru/db/?p=show_film&amp;fid=2303</t>
        </is>
      </c>
      <c r="M488" s="2">
        <f>HYPERLINK("https://ru.wikipedia.org/w/index.php?search=%D0%92%D0%B4%D0%B2%D0%BE%D0%B5%20%D0%B1%D0%BE%D0%BB%D1%8C%D1%88%D0%B5%201964%20%D1%84%D0%B8%D0%BB%D1%8C%D0%BC","искать")</f>
        <v/>
      </c>
      <c r="N488" s="3" t="n"/>
      <c r="O488" s="2" t="n"/>
      <c r="P488" s="2" t="n"/>
    </row>
    <row r="489">
      <c r="A489" s="2" t="n">
        <v>488</v>
      </c>
      <c r="B489" s="2" t="inlineStr">
        <is>
          <t>не сюжет</t>
        </is>
      </c>
      <c r="C489" s="2" t="n">
        <v>11559</v>
      </c>
      <c r="D489" s="3" t="inlineStr">
        <is>
          <t>Собачий бред</t>
        </is>
      </c>
      <c r="E489" s="2" t="n">
        <v>1967</v>
      </c>
      <c r="F489" s="2" t="inlineStr">
        <is>
          <t>мультфильм</t>
        </is>
      </c>
      <c r="G489" s="2" t="inlineStr">
        <is>
          <t>Союзмультфильм</t>
        </is>
      </c>
      <c r="H489" s="2" t="n">
        <v>11</v>
      </c>
      <c r="I489" s="2" t="inlineStr"/>
      <c r="J489" s="2" t="inlineStr">
        <is>
          <t>да</t>
        </is>
      </c>
      <c r="K489" s="3" t="inlineStr">
        <is>
          <t>Фитиль №54.</t>
        </is>
      </c>
      <c r="L489" s="2" t="inlineStr">
        <is>
          <t>2026-10_мультфильмы_список_владельца.xlsx; https://animator.ru/db/?p=show_film&amp;fid=2395</t>
        </is>
      </c>
      <c r="M489" s="2">
        <f>HYPERLINK("https://ru.wikipedia.org/w/index.php?search=%D0%A1%D0%BE%D0%B1%D0%B0%D1%87%D0%B8%D0%B9%20%D0%B1%D1%80%D0%B5%D0%B4%201967%20%D1%84%D0%B8%D0%BB%D1%8C%D0%BC","искать")</f>
        <v/>
      </c>
      <c r="N489" s="3" t="n"/>
      <c r="O489" s="2" t="n"/>
      <c r="P489" s="2" t="n"/>
    </row>
    <row r="490">
      <c r="A490" s="2" t="n">
        <v>489</v>
      </c>
      <c r="B490" s="2" t="inlineStr">
        <is>
          <t>не сюжет</t>
        </is>
      </c>
      <c r="C490" s="2" t="n">
        <v>11570</v>
      </c>
      <c r="D490" s="3" t="inlineStr">
        <is>
          <t>Заколдованный круг</t>
        </is>
      </c>
      <c r="E490" s="2" t="n">
        <v>1969</v>
      </c>
      <c r="F490" s="2" t="inlineStr">
        <is>
          <t>мультфильм</t>
        </is>
      </c>
      <c r="G490" s="2" t="inlineStr">
        <is>
          <t>Союзмультфильм</t>
        </is>
      </c>
      <c r="H490" s="2" t="n">
        <v>11</v>
      </c>
      <c r="I490" s="2" t="inlineStr"/>
      <c r="J490" s="2" t="inlineStr">
        <is>
          <t>да</t>
        </is>
      </c>
      <c r="K490" s="3" t="inlineStr">
        <is>
          <t>Фитиль №79.</t>
        </is>
      </c>
      <c r="L490" s="2" t="inlineStr">
        <is>
          <t>2026-10_мультфильмы_список_владельца.xlsx; https://animator.ru/db/?p=show_film&amp;fid=2406</t>
        </is>
      </c>
      <c r="M490" s="2">
        <f>HYPERLINK("https://ru.wikipedia.org/w/index.php?search=%D0%97%D0%B0%D0%BA%D0%BE%D0%BB%D0%B4%D0%BE%D0%B2%D0%B0%D0%BD%D0%BD%D1%8B%D0%B9%20%D0%BA%D1%80%D1%83%D0%B3%201969%20%D1%84%D0%B8%D0%BB%D1%8C%D0%BC","искать")</f>
        <v/>
      </c>
      <c r="N490" s="3" t="n"/>
      <c r="O490" s="2" t="n"/>
      <c r="P490" s="2" t="n"/>
    </row>
    <row r="491">
      <c r="A491" s="2" t="n">
        <v>490</v>
      </c>
      <c r="B491" s="2" t="inlineStr">
        <is>
          <t>не сюжет</t>
        </is>
      </c>
      <c r="C491" s="2" t="n">
        <v>11572</v>
      </c>
      <c r="D491" s="3" t="inlineStr">
        <is>
          <t>Есть ли жизнь на Марсе</t>
        </is>
      </c>
      <c r="E491" s="2" t="n">
        <v>1969</v>
      </c>
      <c r="F491" s="2" t="inlineStr">
        <is>
          <t>мультфильм</t>
        </is>
      </c>
      <c r="G491" s="2" t="inlineStr">
        <is>
          <t>Союзмультфильм</t>
        </is>
      </c>
      <c r="H491" s="2" t="n">
        <v>11</v>
      </c>
      <c r="I491" s="2" t="inlineStr"/>
      <c r="J491" s="2" t="inlineStr">
        <is>
          <t>да</t>
        </is>
      </c>
      <c r="K491" s="3" t="inlineStr">
        <is>
          <t>Фитиль №80.</t>
        </is>
      </c>
      <c r="L491" s="2" t="inlineStr">
        <is>
          <t>2026-10_мультфильмы_список_владельца.xlsx; https://animator.ru/db/?p=show_film&amp;fid=2408</t>
        </is>
      </c>
      <c r="M491" s="2">
        <f>HYPERLINK("https://ru.wikipedia.org/w/index.php?search=%D0%95%D1%81%D1%82%D1%8C%20%D0%BB%D0%B8%20%D0%B6%D0%B8%D0%B7%D0%BD%D1%8C%20%D0%BD%D0%B0%20%D0%9C%D0%B0%D1%80%D1%81%D0%B5%201969%20%D1%84%D0%B8%D0%BB%D1%8C%D0%BC","искать")</f>
        <v/>
      </c>
      <c r="N491" s="3" t="n"/>
      <c r="O491" s="2" t="n"/>
      <c r="P491" s="2" t="n"/>
    </row>
    <row r="492">
      <c r="A492" s="2" t="n">
        <v>491</v>
      </c>
      <c r="B492" s="2" t="inlineStr">
        <is>
          <t>не сюжет</t>
        </is>
      </c>
      <c r="C492" s="2" t="n">
        <v>11581</v>
      </c>
      <c r="D492" s="3" t="inlineStr">
        <is>
          <t>Перед экзаменом</t>
        </is>
      </c>
      <c r="E492" s="2" t="n">
        <v>1970</v>
      </c>
      <c r="F492" s="2" t="inlineStr">
        <is>
          <t>мультфильм</t>
        </is>
      </c>
      <c r="G492" s="2" t="inlineStr">
        <is>
          <t>Союзмультфильм</t>
        </is>
      </c>
      <c r="H492" s="2" t="n">
        <v>11</v>
      </c>
      <c r="I492" s="2" t="inlineStr"/>
      <c r="J492" s="2" t="inlineStr">
        <is>
          <t>да</t>
        </is>
      </c>
      <c r="K492" s="3" t="inlineStr">
        <is>
          <t>Фитиль №96.</t>
        </is>
      </c>
      <c r="L492" s="2" t="inlineStr">
        <is>
          <t>2026-10_мультфильмы_список_владельца.xlsx; https://animator.ru/db/?p=show_film&amp;fid=2471</t>
        </is>
      </c>
      <c r="M492" s="2">
        <f>HYPERLINK("https://ru.wikipedia.org/w/index.php?search=%D0%9F%D0%B5%D1%80%D0%B5%D0%B4%20%D1%8D%D0%BA%D0%B7%D0%B0%D0%BC%D0%B5%D0%BD%D0%BE%D0%BC%201970%20%D1%84%D0%B8%D0%BB%D1%8C%D0%BC","искать")</f>
        <v/>
      </c>
      <c r="N492" s="3" t="n"/>
      <c r="O492" s="2" t="n"/>
      <c r="P492" s="2" t="n"/>
    </row>
    <row r="493">
      <c r="A493" s="2" t="n">
        <v>492</v>
      </c>
      <c r="B493" s="2" t="inlineStr">
        <is>
          <t>не сюжет</t>
        </is>
      </c>
      <c r="C493" s="2" t="n">
        <v>11634</v>
      </c>
      <c r="D493" s="3" t="inlineStr">
        <is>
          <t>Мальчик и мячик</t>
        </is>
      </c>
      <c r="E493" s="2" t="n">
        <v>1971</v>
      </c>
      <c r="F493" s="2" t="inlineStr">
        <is>
          <t>мультфильм</t>
        </is>
      </c>
      <c r="G493" s="2" t="inlineStr">
        <is>
          <t>Союзмультфильм</t>
        </is>
      </c>
      <c r="H493" s="2" t="n">
        <v>11</v>
      </c>
      <c r="I493" s="2" t="inlineStr"/>
      <c r="J493" s="2" t="inlineStr">
        <is>
          <t>да</t>
        </is>
      </c>
      <c r="K493" s="3" t="inlineStr">
        <is>
          <t>Для малышей</t>
        </is>
      </c>
      <c r="L493" s="2" t="inlineStr">
        <is>
          <t>https://animator.ru/db/?p=show_film&amp;fid=2548</t>
        </is>
      </c>
      <c r="M493" s="2">
        <f>HYPERLINK("https://ru.wikipedia.org/w/index.php?search=%D0%9C%D0%B0%D0%BB%D1%8C%D1%87%D0%B8%D0%BA%20%D0%B8%20%D0%BC%D1%8F%D1%87%D0%B8%D0%BA%201971%20%D1%84%D0%B8%D0%BB%D1%8C%D0%BC","искать")</f>
        <v/>
      </c>
      <c r="N493" s="3" t="n"/>
      <c r="O493" s="2" t="n"/>
      <c r="P493" s="2" t="n"/>
    </row>
    <row r="494">
      <c r="A494" s="2" t="n">
        <v>493</v>
      </c>
      <c r="B494" s="2" t="inlineStr">
        <is>
          <t>не сюжет</t>
        </is>
      </c>
      <c r="C494" s="2" t="n">
        <v>11862</v>
      </c>
      <c r="D494" s="3" t="inlineStr">
        <is>
          <t>Вагончик</t>
        </is>
      </c>
      <c r="E494" s="2" t="n">
        <v>1978</v>
      </c>
      <c r="F494" s="2" t="inlineStr">
        <is>
          <t>мультфильм</t>
        </is>
      </c>
      <c r="G494" s="2" t="inlineStr">
        <is>
          <t>Союзмультфильм</t>
        </is>
      </c>
      <c r="H494" s="2" t="n">
        <v>11</v>
      </c>
      <c r="I494" s="2" t="inlineStr"/>
      <c r="J494" s="2" t="inlineStr">
        <is>
          <t>да</t>
        </is>
      </c>
      <c r="K494" s="3" t="inlineStr">
        <is>
          <t>Для малышей</t>
        </is>
      </c>
      <c r="L494" s="2" t="inlineStr">
        <is>
          <t>https://animator.ru/db/?p=show_film&amp;fid=2777</t>
        </is>
      </c>
      <c r="M494" s="2">
        <f>HYPERLINK("https://ru.wikipedia.org/w/index.php?search=%D0%92%D0%B0%D0%B3%D0%BE%D0%BD%D1%87%D0%B8%D0%BA%201978%20%D1%84%D0%B8%D0%BB%D1%8C%D0%BC","искать")</f>
        <v/>
      </c>
      <c r="N494" s="3" t="n"/>
      <c r="O494" s="2" t="n"/>
      <c r="P494" s="2" t="n"/>
    </row>
    <row r="495">
      <c r="A495" s="2" t="n">
        <v>494</v>
      </c>
      <c r="B495" s="2" t="inlineStr">
        <is>
          <t>не сюжет</t>
        </is>
      </c>
      <c r="C495" s="2" t="n">
        <v>12072</v>
      </c>
      <c r="D495" s="3" t="inlineStr">
        <is>
          <t>Дом, который построили все</t>
        </is>
      </c>
      <c r="E495" s="2" t="n">
        <v>1984</v>
      </c>
      <c r="F495" s="2" t="inlineStr">
        <is>
          <t>мультфильм</t>
        </is>
      </c>
      <c r="G495" s="2" t="inlineStr">
        <is>
          <t>Союзмультфильм</t>
        </is>
      </c>
      <c r="H495" s="2" t="n">
        <v>11</v>
      </c>
      <c r="I495" s="2" t="inlineStr"/>
      <c r="J495" s="2" t="inlineStr">
        <is>
          <t>да</t>
        </is>
      </c>
      <c r="K495" s="3" t="inlineStr">
        <is>
          <t>Для малышей</t>
        </is>
      </c>
      <c r="L495" s="2" t="inlineStr">
        <is>
          <t>https://animator.ru/db/?p=show_film&amp;fid=3187</t>
        </is>
      </c>
      <c r="M495" s="2">
        <f>HYPERLINK("https://ru.wikipedia.org/w/index.php?search=%D0%94%D0%BE%D0%BC%2C%20%D0%BA%D0%BE%D1%82%D0%BE%D1%80%D1%8B%D0%B9%20%D0%BF%D0%BE%D1%81%D1%82%D1%80%D0%BE%D0%B8%D0%BB%D0%B8%20%D0%B2%D1%81%D0%B5%201984%20%D1%84%D0%B8%D0%BB%D1%8C%D0%BC","искать")</f>
        <v/>
      </c>
      <c r="N495" s="3" t="n"/>
      <c r="O495" s="2" t="n"/>
      <c r="P495" s="2" t="n"/>
    </row>
    <row r="496">
      <c r="A496" s="2" t="n">
        <v>495</v>
      </c>
      <c r="B496" s="2" t="inlineStr">
        <is>
          <t>не сюжет</t>
        </is>
      </c>
      <c r="C496" s="2" t="n">
        <v>12076</v>
      </c>
      <c r="D496" s="3" t="inlineStr">
        <is>
          <t>Как щенок учился плавать</t>
        </is>
      </c>
      <c r="E496" s="2" t="n">
        <v>1984</v>
      </c>
      <c r="F496" s="2" t="inlineStr">
        <is>
          <t>мультфильм</t>
        </is>
      </c>
      <c r="G496" s="2" t="inlineStr">
        <is>
          <t>Союзмультфильм</t>
        </is>
      </c>
      <c r="H496" s="2" t="n">
        <v>11</v>
      </c>
      <c r="I496" s="2" t="inlineStr"/>
      <c r="J496" s="2" t="inlineStr">
        <is>
          <t>да</t>
        </is>
      </c>
      <c r="K496" s="3" t="inlineStr">
        <is>
          <t>Для малышей</t>
        </is>
      </c>
      <c r="L496" s="2" t="inlineStr">
        <is>
          <t>https://animator.ru/db/?p=show_film&amp;fid=3191</t>
        </is>
      </c>
      <c r="M496" s="2">
        <f>HYPERLINK("https://ru.wikipedia.org/w/index.php?search=%D0%9A%D0%B0%D0%BA%20%D1%89%D0%B5%D0%BD%D0%BE%D0%BA%20%D1%83%D1%87%D0%B8%D0%BB%D1%81%D1%8F%20%D0%BF%D0%BB%D0%B0%D0%B2%D0%B0%D1%82%D1%8C%201984%20%D1%84%D0%B8%D0%BB%D1%8C%D0%BC","искать")</f>
        <v/>
      </c>
      <c r="N496" s="3" t="n"/>
      <c r="O496" s="2" t="n"/>
      <c r="P496" s="2" t="n"/>
    </row>
    <row r="497">
      <c r="A497" s="2" t="n">
        <v>496</v>
      </c>
      <c r="B497" s="2" t="inlineStr">
        <is>
          <t>не сюжет</t>
        </is>
      </c>
      <c r="C497" s="2" t="n">
        <v>12352</v>
      </c>
      <c r="D497" s="3" t="inlineStr">
        <is>
          <t>Дворцы и хижины</t>
        </is>
      </c>
      <c r="E497" s="2" t="n">
        <v>1981</v>
      </c>
      <c r="F497" s="2" t="inlineStr">
        <is>
          <t>мультфильм</t>
        </is>
      </c>
      <c r="G497" s="2" t="inlineStr">
        <is>
          <t>КИЕВНАУЧФИЛЬМ</t>
        </is>
      </c>
      <c r="H497" s="2" t="n">
        <v>11</v>
      </c>
      <c r="I497" s="2" t="inlineStr"/>
      <c r="J497" s="2" t="inlineStr">
        <is>
          <t>да</t>
        </is>
      </c>
      <c r="K497" s="3" t="inlineStr">
        <is>
          <t>Фитиль №219</t>
        </is>
      </c>
      <c r="L497" s="2" t="inlineStr">
        <is>
          <t>2026-10_мультфильмы_список_владельца.xlsx; https://animator.ru/db/?p=show_film&amp;fid=3519</t>
        </is>
      </c>
      <c r="M497" s="2">
        <f>HYPERLINK("https://ru.wikipedia.org/w/index.php?search=%D0%94%D0%B2%D0%BE%D1%80%D1%86%D1%8B%20%D0%B8%20%D1%85%D0%B8%D0%B6%D0%B8%D0%BD%D1%8B%201981%20%D1%84%D0%B8%D0%BB%D1%8C%D0%BC","искать")</f>
        <v/>
      </c>
      <c r="N497" s="3" t="n"/>
      <c r="O497" s="2" t="n"/>
      <c r="P497" s="2" t="n"/>
    </row>
    <row r="498">
      <c r="A498" s="2" t="n">
        <v>497</v>
      </c>
      <c r="B498" s="2" t="inlineStr">
        <is>
          <t>не сюжет</t>
        </is>
      </c>
      <c r="C498" s="2" t="n">
        <v>12395</v>
      </c>
      <c r="D498" s="3" t="inlineStr">
        <is>
          <t>Каиновы слезы</t>
        </is>
      </c>
      <c r="E498" s="2" t="n">
        <v>1981</v>
      </c>
      <c r="F498" s="2" t="inlineStr">
        <is>
          <t>мультфильм</t>
        </is>
      </c>
      <c r="G498" s="2" t="inlineStr">
        <is>
          <t>КИЕВНАУЧФИЛЬМ</t>
        </is>
      </c>
      <c r="H498" s="2" t="n">
        <v>11</v>
      </c>
      <c r="I498" s="2" t="inlineStr"/>
      <c r="J498" s="2" t="inlineStr">
        <is>
          <t>да</t>
        </is>
      </c>
      <c r="K498" s="3" t="inlineStr">
        <is>
          <t>Дл взрослых</t>
        </is>
      </c>
      <c r="L498" s="2" t="inlineStr">
        <is>
          <t>https://animator.ru/db/?p=show_film&amp;fid=3566</t>
        </is>
      </c>
      <c r="M498" s="2">
        <f>HYPERLINK("https://ru.wikipedia.org/w/index.php?search=%D0%9A%D0%B0%D0%B8%D0%BD%D0%BE%D0%B2%D1%8B%20%D1%81%D0%BB%D0%B5%D0%B7%D1%8B%201981%20%D1%84%D0%B8%D0%BB%D1%8C%D0%BC","искать")</f>
        <v/>
      </c>
      <c r="N498" s="3" t="n"/>
      <c r="O498" s="2" t="n"/>
      <c r="P498" s="2" t="n"/>
    </row>
    <row r="499">
      <c r="A499" s="2" t="n">
        <v>498</v>
      </c>
      <c r="B499" s="2" t="inlineStr">
        <is>
          <t>не сюжет</t>
        </is>
      </c>
      <c r="C499" s="2" t="n">
        <v>12510</v>
      </c>
      <c r="D499" s="3" t="inlineStr">
        <is>
          <t>Почему у елочки колючие иголочки</t>
        </is>
      </c>
      <c r="E499" s="2" t="n">
        <v>1973</v>
      </c>
      <c r="F499" s="2" t="inlineStr">
        <is>
          <t>мультфильм</t>
        </is>
      </c>
      <c r="G499" s="2" t="inlineStr">
        <is>
          <t>КИЕВНАУЧФИЛЬМ</t>
        </is>
      </c>
      <c r="H499" s="2" t="n">
        <v>11</v>
      </c>
      <c r="I499" s="2" t="inlineStr"/>
      <c r="J499" s="2" t="inlineStr">
        <is>
          <t>да</t>
        </is>
      </c>
      <c r="K499" s="3" t="inlineStr">
        <is>
          <t>Для малышей</t>
        </is>
      </c>
      <c r="L499" s="2" t="inlineStr">
        <is>
          <t>https://animator.ru/db/?p=show_film&amp;fid=3685</t>
        </is>
      </c>
      <c r="M499" s="2">
        <f>HYPERLINK("https://ru.wikipedia.org/w/index.php?search=%D0%9F%D0%BE%D1%87%D0%B5%D0%BC%D1%83%20%D1%83%20%D0%B5%D0%BB%D0%BE%D1%87%D0%BA%D0%B8%20%D0%BA%D0%BE%D0%BB%D1%8E%D1%87%D0%B8%D0%B5%20%D0%B8%D0%B3%D0%BE%D0%BB%D0%BE%D1%87%D0%BA%D0%B8%201973%20%D1%84%D0%B8%D0%BB%D1%8C%D0%BC","искать")</f>
        <v/>
      </c>
      <c r="N499" s="3" t="n"/>
      <c r="O499" s="2" t="n"/>
      <c r="P499" s="2" t="n"/>
    </row>
    <row r="500">
      <c r="A500" s="2" t="n">
        <v>499</v>
      </c>
      <c r="B500" s="2" t="inlineStr">
        <is>
          <t>не сюжет</t>
        </is>
      </c>
      <c r="C500" s="2" t="n">
        <v>12625</v>
      </c>
      <c r="D500" s="3" t="inlineStr">
        <is>
          <t>Двойная игра</t>
        </is>
      </c>
      <c r="E500" s="2" t="n">
        <v>1986</v>
      </c>
      <c r="F500" s="2" t="inlineStr">
        <is>
          <t>мультфильм</t>
        </is>
      </c>
      <c r="G500" s="2" t="inlineStr">
        <is>
          <t>КИЕВНАУЧФИЛЬМ</t>
        </is>
      </c>
      <c r="H500" s="2" t="n">
        <v>11</v>
      </c>
      <c r="I500" s="2" t="inlineStr"/>
      <c r="J500" s="2" t="inlineStr">
        <is>
          <t>да</t>
        </is>
      </c>
      <c r="K500" s="3" t="inlineStr">
        <is>
          <t>Фитиль №293</t>
        </is>
      </c>
      <c r="L500" s="2" t="inlineStr">
        <is>
          <t>2026-10_мультфильмы_список_владельца.xlsx; https://animator.ru/db/?p=show_film&amp;fid=3805</t>
        </is>
      </c>
      <c r="M500" s="2">
        <f>HYPERLINK("https://ru.wikipedia.org/w/index.php?search=%D0%94%D0%B2%D0%BE%D0%B9%D0%BD%D0%B0%D1%8F%20%D0%B8%D0%B3%D1%80%D0%B0%201986%20%D1%84%D0%B8%D0%BB%D1%8C%D0%BC","искать")</f>
        <v/>
      </c>
      <c r="N500" s="3" t="n"/>
      <c r="O500" s="2" t="n"/>
      <c r="P500" s="2" t="n"/>
    </row>
    <row r="501">
      <c r="A501" s="2" t="n">
        <v>500</v>
      </c>
      <c r="B501" s="2" t="inlineStr">
        <is>
          <t>не сюжет</t>
        </is>
      </c>
      <c r="C501" s="2" t="n">
        <v>12641</v>
      </c>
      <c r="D501" s="3" t="inlineStr">
        <is>
          <t>Кому на Руси жить хорошо</t>
        </is>
      </c>
      <c r="E501" s="2" t="n">
        <v>1989</v>
      </c>
      <c r="F501" s="2" t="inlineStr">
        <is>
          <t>мультфильм</t>
        </is>
      </c>
      <c r="G501" s="2" t="inlineStr">
        <is>
          <t>КИЕВНАУЧФИЛЬМ</t>
        </is>
      </c>
      <c r="H501" s="2" t="n">
        <v>11</v>
      </c>
      <c r="I501" s="2" t="inlineStr"/>
      <c r="J501" s="2" t="inlineStr">
        <is>
          <t>да</t>
        </is>
      </c>
      <c r="K501" s="3" t="inlineStr">
        <is>
          <t>Фитиль №329</t>
        </is>
      </c>
      <c r="L501" s="2" t="inlineStr">
        <is>
          <t>2026-10_мультфильмы_список_владельца.xlsx; https://animator.ru/db/?p=show_film&amp;fid=3821</t>
        </is>
      </c>
      <c r="M501" s="2">
        <f>HYPERLINK("https://ru.wikipedia.org/w/index.php?search=%D0%9A%D0%BE%D0%BC%D1%83%20%D0%BD%D0%B0%20%D0%A0%D1%83%D1%81%D0%B8%20%D0%B6%D0%B8%D1%82%D1%8C%20%D1%85%D0%BE%D1%80%D0%BE%D1%88%D0%BE%201989%20%D1%84%D0%B8%D0%BB%D1%8C%D0%BC","искать")</f>
        <v/>
      </c>
      <c r="N501" s="3" t="n"/>
      <c r="O501" s="2" t="n"/>
      <c r="P501" s="2" t="n"/>
    </row>
    <row r="502">
      <c r="A502" s="2" t="n">
        <v>501</v>
      </c>
      <c r="B502" s="2" t="inlineStr">
        <is>
          <t>не сюжет</t>
        </is>
      </c>
      <c r="C502" s="2" t="n">
        <v>12642</v>
      </c>
      <c r="D502" s="3" t="inlineStr">
        <is>
          <t>По-нашенски</t>
        </is>
      </c>
      <c r="E502" s="2" t="n">
        <v>1989</v>
      </c>
      <c r="F502" s="2" t="inlineStr">
        <is>
          <t>мультфильм</t>
        </is>
      </c>
      <c r="G502" s="2" t="inlineStr">
        <is>
          <t>КИЕВНАУЧФИЛЬМ</t>
        </is>
      </c>
      <c r="H502" s="2" t="n">
        <v>11</v>
      </c>
      <c r="I502" s="2" t="inlineStr"/>
      <c r="J502" s="2" t="inlineStr">
        <is>
          <t>да</t>
        </is>
      </c>
      <c r="K502" s="3" t="inlineStr">
        <is>
          <t>Фитиль №330</t>
        </is>
      </c>
      <c r="L502" s="2" t="inlineStr">
        <is>
          <t>2026-10_мультфильмы_список_владельца.xlsx; https://animator.ru/db/?p=show_film&amp;fid=3822</t>
        </is>
      </c>
      <c r="M502" s="2">
        <f>HYPERLINK("https://ru.wikipedia.org/w/index.php?search=%D0%9F%D0%BE-%D0%BD%D0%B0%D1%88%D0%B5%D0%BD%D1%81%D0%BA%D0%B8%201989%20%D1%84%D0%B8%D0%BB%D1%8C%D0%BC","искать")</f>
        <v/>
      </c>
      <c r="N502" s="3" t="n"/>
      <c r="O502" s="2" t="n"/>
      <c r="P502" s="2" t="n"/>
    </row>
    <row r="503">
      <c r="A503" s="2" t="n">
        <v>502</v>
      </c>
      <c r="B503" s="2" t="inlineStr">
        <is>
          <t>не сюжет</t>
        </is>
      </c>
      <c r="C503" s="2" t="n">
        <v>12647</v>
      </c>
      <c r="D503" s="3" t="inlineStr">
        <is>
          <t>Необычный кросс</t>
        </is>
      </c>
      <c r="E503" s="2" t="n">
        <v>1990</v>
      </c>
      <c r="F503" s="2" t="inlineStr">
        <is>
          <t>мультфильм</t>
        </is>
      </c>
      <c r="G503" s="2" t="inlineStr">
        <is>
          <t>КИЕВНАУЧФИЛЬМ</t>
        </is>
      </c>
      <c r="H503" s="2" t="n">
        <v>11</v>
      </c>
      <c r="I503" s="2" t="inlineStr"/>
      <c r="J503" s="2" t="inlineStr">
        <is>
          <t>да</t>
        </is>
      </c>
      <c r="K503" s="3" t="inlineStr">
        <is>
          <t>Фитиль №335</t>
        </is>
      </c>
      <c r="L503" s="2" t="inlineStr">
        <is>
          <t>2026-10_мультфильмы_список_владельца.xlsx; https://animator.ru/db/?p=show_film&amp;fid=3827</t>
        </is>
      </c>
      <c r="M503" s="2">
        <f>HYPERLINK("https://ru.wikipedia.org/w/index.php?search=%D0%9D%D0%B5%D0%BE%D0%B1%D1%8B%D1%87%D0%BD%D1%8B%D0%B9%20%D0%BA%D1%80%D0%BE%D1%81%D1%81%201990%20%D1%84%D0%B8%D0%BB%D1%8C%D0%BC","искать")</f>
        <v/>
      </c>
      <c r="N503" s="3" t="n"/>
      <c r="O503" s="2" t="n"/>
      <c r="P503" s="2" t="n"/>
    </row>
    <row r="504">
      <c r="A504" s="2" t="n">
        <v>503</v>
      </c>
      <c r="B504" s="2" t="inlineStr">
        <is>
          <t>не сюжет</t>
        </is>
      </c>
      <c r="C504" s="2" t="n">
        <v>12649</v>
      </c>
      <c r="D504" s="3" t="inlineStr">
        <is>
          <t>Замкнутый круг</t>
        </is>
      </c>
      <c r="E504" s="2" t="n">
        <v>1988</v>
      </c>
      <c r="F504" s="2" t="inlineStr">
        <is>
          <t>мультфильм</t>
        </is>
      </c>
      <c r="G504" s="2" t="inlineStr">
        <is>
          <t>КИЕВНАУЧФИЛЬМ</t>
        </is>
      </c>
      <c r="H504" s="2" t="n">
        <v>11</v>
      </c>
      <c r="I504" s="2" t="inlineStr"/>
      <c r="J504" s="2" t="inlineStr">
        <is>
          <t>да</t>
        </is>
      </c>
      <c r="K504" s="3" t="inlineStr">
        <is>
          <t>Фитиль №311</t>
        </is>
      </c>
      <c r="L504" s="2" t="inlineStr">
        <is>
          <t>2026-10_мультфильмы_список_владельца.xlsx; https://animator.ru/db/?p=show_film&amp;fid=3829</t>
        </is>
      </c>
      <c r="M504" s="2">
        <f>HYPERLINK("https://ru.wikipedia.org/w/index.php?search=%D0%97%D0%B0%D0%BC%D0%BA%D0%BD%D1%83%D1%82%D1%8B%D0%B9%20%D0%BA%D1%80%D1%83%D0%B3%201988%20%D1%84%D0%B8%D0%BB%D1%8C%D0%BC","искать")</f>
        <v/>
      </c>
      <c r="N504" s="3" t="n"/>
      <c r="O504" s="2" t="n"/>
      <c r="P504" s="2" t="n"/>
    </row>
    <row r="505">
      <c r="A505" s="2" t="n">
        <v>504</v>
      </c>
      <c r="B505" s="2" t="inlineStr">
        <is>
          <t>не сюжет</t>
        </is>
      </c>
      <c r="C505" s="2" t="n">
        <v>13213</v>
      </c>
      <c r="D505" s="3" t="inlineStr">
        <is>
          <t>Ледник</t>
        </is>
      </c>
      <c r="E505" s="2" t="n">
        <v>1989</v>
      </c>
      <c r="F505" s="2" t="inlineStr">
        <is>
          <t>мультфильм</t>
        </is>
      </c>
      <c r="G505" s="2" t="inlineStr">
        <is>
          <t>УЗБЕКФИЛЬМ</t>
        </is>
      </c>
      <c r="H505" s="2" t="n">
        <v>11</v>
      </c>
      <c r="I505" s="2" t="inlineStr"/>
      <c r="J505" s="2" t="inlineStr">
        <is>
          <t>да</t>
        </is>
      </c>
      <c r="K505" s="3" t="inlineStr">
        <is>
          <t>Длявзрослых</t>
        </is>
      </c>
      <c r="L505" s="2" t="inlineStr">
        <is>
          <t>https://animator.ru/db/?p=show_film&amp;fid=4452</t>
        </is>
      </c>
      <c r="M505" s="2">
        <f>HYPERLINK("https://ru.wikipedia.org/w/index.php?search=%D0%9B%D0%B5%D0%B4%D0%BD%D0%B8%D0%BA%201989%20%D1%84%D0%B8%D0%BB%D1%8C%D0%BC","искать")</f>
        <v/>
      </c>
      <c r="N505" s="3" t="n"/>
      <c r="O505" s="2" t="n"/>
      <c r="P505" s="2" t="n"/>
    </row>
    <row r="506">
      <c r="A506" s="2" t="n">
        <v>505</v>
      </c>
      <c r="B506" s="2" t="inlineStr">
        <is>
          <t>не сюжет</t>
        </is>
      </c>
      <c r="C506" s="2" t="n">
        <v>13556</v>
      </c>
      <c r="D506" s="3" t="inlineStr">
        <is>
          <t>Тыквенок-слоненок</t>
        </is>
      </c>
      <c r="E506" s="2" t="n">
        <v>1974</v>
      </c>
      <c r="F506" s="2" t="inlineStr">
        <is>
          <t>мультфильм</t>
        </is>
      </c>
      <c r="G506" s="2" t="inlineStr">
        <is>
          <t>МОЛДОВА-ФИЛЬМ</t>
        </is>
      </c>
      <c r="H506" s="2" t="n">
        <v>11</v>
      </c>
      <c r="I506" s="2" t="inlineStr"/>
      <c r="J506" s="2" t="inlineStr">
        <is>
          <t>да</t>
        </is>
      </c>
      <c r="K506" s="3" t="inlineStr">
        <is>
          <t>Для малышей</t>
        </is>
      </c>
      <c r="L506" s="2" t="inlineStr">
        <is>
          <t>https://animator.ru/db/?p=show_film&amp;fid=4891</t>
        </is>
      </c>
      <c r="M506" s="2">
        <f>HYPERLINK("https://ru.wikipedia.org/w/index.php?search=%D0%A2%D1%8B%D0%BA%D0%B2%D0%B5%D0%BD%D0%BE%D0%BA-%D1%81%D0%BB%D0%BE%D0%BD%D0%B5%D0%BD%D0%BE%D0%BA%201974%20%D1%84%D0%B8%D0%BB%D1%8C%D0%BC","искать")</f>
        <v/>
      </c>
      <c r="N506" s="3" t="n"/>
      <c r="O506" s="2" t="n"/>
      <c r="P506" s="2" t="n"/>
    </row>
    <row r="507">
      <c r="A507" s="2" t="n">
        <v>506</v>
      </c>
      <c r="B507" s="2" t="inlineStr">
        <is>
          <t>не сюжет</t>
        </is>
      </c>
      <c r="C507" s="2" t="n">
        <v>13579</v>
      </c>
      <c r="D507" s="3" t="inlineStr">
        <is>
          <t>День загадок</t>
        </is>
      </c>
      <c r="E507" s="2" t="n">
        <v>1987</v>
      </c>
      <c r="F507" s="2" t="inlineStr">
        <is>
          <t>мультфильм</t>
        </is>
      </c>
      <c r="G507" s="2" t="inlineStr">
        <is>
          <t>УЗБЕКФИЛЬМ</t>
        </is>
      </c>
      <c r="H507" s="2" t="n">
        <v>11</v>
      </c>
      <c r="I507" s="2" t="inlineStr"/>
      <c r="J507" s="2" t="inlineStr">
        <is>
          <t>да</t>
        </is>
      </c>
      <c r="K507" s="3" t="inlineStr">
        <is>
          <t>Для малышей</t>
        </is>
      </c>
      <c r="L507" s="2" t="inlineStr">
        <is>
          <t>https://animator.ru/db/?p=show_film&amp;fid=4916</t>
        </is>
      </c>
      <c r="M507" s="2">
        <f>HYPERLINK("https://ru.wikipedia.org/w/index.php?search=%D0%94%D0%B5%D0%BD%D1%8C%20%D0%B7%D0%B0%D0%B3%D0%B0%D0%B4%D0%BE%D0%BA%201987%20%D1%84%D0%B8%D0%BB%D1%8C%D0%BC","искать")</f>
        <v/>
      </c>
      <c r="N507" s="3" t="n"/>
      <c r="O507" s="2" t="n"/>
      <c r="P507" s="2" t="n"/>
    </row>
    <row r="508">
      <c r="A508" s="2" t="n">
        <v>507</v>
      </c>
      <c r="B508" s="2" t="inlineStr">
        <is>
          <t>не сюжет</t>
        </is>
      </c>
      <c r="C508" s="2" t="n">
        <v>14163</v>
      </c>
      <c r="D508" s="3" t="inlineStr">
        <is>
          <t>Про зайку Ой и зайку Ай</t>
        </is>
      </c>
      <c r="E508" s="2" t="n">
        <v>1985</v>
      </c>
      <c r="F508" s="2" t="inlineStr">
        <is>
          <t>мультфильм</t>
        </is>
      </c>
      <c r="G508" s="2" t="inlineStr">
        <is>
          <t>КУЙБЫШЕВТЕЛЕФИЛЬМ</t>
        </is>
      </c>
      <c r="H508" s="2" t="n">
        <v>11</v>
      </c>
      <c r="I508" s="2" t="inlineStr"/>
      <c r="J508" s="2" t="inlineStr">
        <is>
          <t>да</t>
        </is>
      </c>
      <c r="K508" s="3" t="inlineStr">
        <is>
          <t>Для малышей</t>
        </is>
      </c>
      <c r="L508" s="2" t="inlineStr">
        <is>
          <t>https://animator.ru/db/?p=show_film&amp;fid=5561</t>
        </is>
      </c>
      <c r="M508" s="2">
        <f>HYPERLINK("https://ru.wikipedia.org/w/index.php?search=%D0%9F%D1%80%D0%BE%20%D0%B7%D0%B0%D0%B9%D0%BA%D1%83%20%D0%9E%D0%B9%20%D0%B8%20%D0%B7%D0%B0%D0%B9%D0%BA%D1%83%20%D0%90%D0%B9%201985%20%D1%84%D0%B8%D0%BB%D1%8C%D0%BC","искать")</f>
        <v/>
      </c>
      <c r="N508" s="3" t="n"/>
      <c r="O508" s="2" t="n"/>
      <c r="P508" s="2" t="n"/>
    </row>
    <row r="509">
      <c r="A509" s="2" t="n">
        <v>508</v>
      </c>
      <c r="B509" s="2" t="inlineStr">
        <is>
          <t>не сюжет</t>
        </is>
      </c>
      <c r="C509" s="2" t="n">
        <v>14164</v>
      </c>
      <c r="D509" s="3" t="inlineStr">
        <is>
          <t>Про котенка Женю и правила движения</t>
        </is>
      </c>
      <c r="E509" s="2" t="n">
        <v>1976</v>
      </c>
      <c r="F509" s="2" t="inlineStr">
        <is>
          <t>мультфильм</t>
        </is>
      </c>
      <c r="G509" s="2" t="inlineStr">
        <is>
          <t>СВЕРДЛОВСКТЕЛЕФИЛЬМ</t>
        </is>
      </c>
      <c r="H509" s="2" t="n">
        <v>11</v>
      </c>
      <c r="I509" s="2" t="inlineStr"/>
      <c r="J509" s="2" t="inlineStr">
        <is>
          <t>да</t>
        </is>
      </c>
      <c r="K509" s="3" t="inlineStr">
        <is>
          <t>Для малышей</t>
        </is>
      </c>
      <c r="L509" s="2" t="inlineStr">
        <is>
          <t>https://animator.ru/db/?p=show_film&amp;fid=5562</t>
        </is>
      </c>
      <c r="M509" s="2">
        <f>HYPERLINK("https://ru.wikipedia.org/w/index.php?search=%D0%9F%D1%80%D0%BE%20%D0%BA%D0%BE%D1%82%D0%B5%D0%BD%D0%BA%D0%B0%20%D0%96%D0%B5%D0%BD%D1%8E%20%D0%B8%20%D0%BF%D1%80%D0%B0%D0%B2%D0%B8%D0%BB%D0%B0%20%D0%B4%D0%B2%D0%B8%D0%B6%D0%B5%D0%BD%D0%B8%D1%8F%201976%20%D1%84%D0%B8%D0%BB%D1%8C%D0%BC","искать")</f>
        <v/>
      </c>
      <c r="N509" s="3" t="n"/>
      <c r="O509" s="2" t="n"/>
      <c r="P509" s="2" t="n"/>
    </row>
    <row r="510">
      <c r="A510" s="2" t="n">
        <v>509</v>
      </c>
      <c r="B510" s="2" t="inlineStr">
        <is>
          <t>не сюжет</t>
        </is>
      </c>
      <c r="C510" s="2" t="n">
        <v>14337</v>
      </c>
      <c r="D510" s="3" t="inlineStr">
        <is>
          <t>Король на другое утро</t>
        </is>
      </c>
      <c r="E510" s="2" t="n">
        <v>1971</v>
      </c>
      <c r="F510" s="2" t="inlineStr">
        <is>
          <t>мультфильм</t>
        </is>
      </c>
      <c r="G510" s="2" t="inlineStr">
        <is>
          <t>САРАТОВТЕЛЕФИЛЬМ</t>
        </is>
      </c>
      <c r="H510" s="2" t="n">
        <v>11</v>
      </c>
      <c r="I510" s="2" t="inlineStr"/>
      <c r="J510" s="2" t="inlineStr">
        <is>
          <t>да</t>
        </is>
      </c>
      <c r="K510" s="3" t="inlineStr">
        <is>
          <t>Черно-белый</t>
        </is>
      </c>
      <c r="L510" s="2" t="inlineStr">
        <is>
          <t>https://animator.ru/db/?p=show_film&amp;fid=5906</t>
        </is>
      </c>
      <c r="M510" s="2">
        <f>HYPERLINK("https://ru.wikipedia.org/w/index.php?search=%D0%9A%D0%BE%D1%80%D0%BE%D0%BB%D1%8C%20%D0%BD%D0%B0%20%D0%B4%D1%80%D1%83%D0%B3%D0%BE%D0%B5%20%D1%83%D1%82%D1%80%D0%BE%201971%20%D1%84%D0%B8%D0%BB%D1%8C%D0%BC","искать")</f>
        <v/>
      </c>
      <c r="N510" s="3" t="n"/>
      <c r="O510" s="2" t="n"/>
      <c r="P510" s="2" t="n"/>
    </row>
    <row r="511">
      <c r="A511" s="2" t="n">
        <v>510</v>
      </c>
      <c r="B511" s="2" t="inlineStr">
        <is>
          <t>не сюжет</t>
        </is>
      </c>
      <c r="C511" s="2" t="n">
        <v>14469</v>
      </c>
      <c r="D511" s="3" t="inlineStr">
        <is>
          <t>Осторожно с огнем</t>
        </is>
      </c>
      <c r="E511" s="2" t="n">
        <v>1951</v>
      </c>
      <c r="F511" s="2" t="inlineStr">
        <is>
          <t>мультфильм</t>
        </is>
      </c>
      <c r="G511" s="2" t="n"/>
      <c r="H511" s="2" t="n">
        <v>11</v>
      </c>
      <c r="I511" s="2" t="inlineStr"/>
      <c r="J511" s="2" t="inlineStr">
        <is>
          <t>да</t>
        </is>
      </c>
      <c r="K511" s="3" t="inlineStr">
        <is>
          <t>Агитплакат.</t>
        </is>
      </c>
      <c r="L511" s="2" t="inlineStr">
        <is>
          <t>https://animator.ru/db/?p=show_film&amp;fid=6734</t>
        </is>
      </c>
      <c r="M511" s="2">
        <f>HYPERLINK("https://ru.wikipedia.org/w/index.php?search=%D0%9E%D1%81%D1%82%D0%BE%D1%80%D0%BE%D0%B6%D0%BD%D0%BE%20%D1%81%20%D0%BE%D0%B3%D0%BD%D0%B5%D0%BC%201951%20%D1%84%D0%B8%D0%BB%D1%8C%D0%BC","искать")</f>
        <v/>
      </c>
      <c r="N511" s="3" t="n"/>
      <c r="O511" s="2" t="n"/>
      <c r="P511" s="2" t="n"/>
    </row>
    <row r="512">
      <c r="A512" s="2" t="n">
        <v>511</v>
      </c>
      <c r="B512" s="2" t="inlineStr">
        <is>
          <t>не сюжет</t>
        </is>
      </c>
      <c r="C512" s="2" t="n">
        <v>11548</v>
      </c>
      <c r="D512" s="3" t="inlineStr">
        <is>
          <t>АППЕНДИЦИТ ("Фитиль" N 15)</t>
        </is>
      </c>
      <c r="E512" s="2" t="n">
        <v>1963</v>
      </c>
      <c r="F512" s="2" t="inlineStr">
        <is>
          <t>мультфильм</t>
        </is>
      </c>
      <c r="G512" s="2" t="inlineStr">
        <is>
          <t>Союзмультфильм</t>
        </is>
      </c>
      <c r="H512" s="2" t="n">
        <v>12</v>
      </c>
      <c r="I512" s="2" t="inlineStr"/>
      <c r="J512" s="2" t="inlineStr">
        <is>
          <t>да</t>
        </is>
      </c>
      <c r="K512" s="3" t="inlineStr">
        <is>
          <t>О бюрократии</t>
        </is>
      </c>
      <c r="L512" s="2" t="inlineStr">
        <is>
          <t>https://animator.ru/db/?p=show_film&amp;fid=2380</t>
        </is>
      </c>
      <c r="M512" s="2">
        <f>HYPERLINK("https://ru.wikipedia.org/w/index.php?search=%D0%90%D0%9F%D0%9F%D0%95%D0%9D%D0%94%D0%98%D0%A6%D0%98%D0%A2%20%28%22%D0%A4%D0%B8%D1%82%D0%B8%D0%BB%D1%8C%22%20N%2015%29%201963%20%D1%84%D0%B8%D0%BB%D1%8C%D0%BC","искать")</f>
        <v/>
      </c>
      <c r="N512" s="3" t="n"/>
      <c r="O512" s="2" t="n"/>
      <c r="P512" s="2" t="n"/>
    </row>
    <row r="513">
      <c r="A513" s="2" t="n">
        <v>512</v>
      </c>
      <c r="B513" s="2" t="inlineStr">
        <is>
          <t>не сюжет</t>
        </is>
      </c>
      <c r="C513" s="2" t="n">
        <v>11583</v>
      </c>
      <c r="D513" s="3" t="inlineStr">
        <is>
          <t>Безответственный ответственный</t>
        </is>
      </c>
      <c r="E513" s="2" t="n">
        <v>1970</v>
      </c>
      <c r="F513" s="2" t="inlineStr">
        <is>
          <t>мультфильм</t>
        </is>
      </c>
      <c r="G513" s="2" t="inlineStr">
        <is>
          <t>Союзмультфильм</t>
        </is>
      </c>
      <c r="H513" s="2" t="n">
        <v>12</v>
      </c>
      <c r="I513" s="2" t="inlineStr"/>
      <c r="J513" s="2" t="inlineStr">
        <is>
          <t>да</t>
        </is>
      </c>
      <c r="K513" s="3" t="inlineStr">
        <is>
          <t>Фитиль №100.</t>
        </is>
      </c>
      <c r="L513" s="2" t="inlineStr">
        <is>
          <t>2026-10_мультфильмы_список_владельца.xlsx; https://animator.ru/db/?p=show_film&amp;fid=2496</t>
        </is>
      </c>
      <c r="M513" s="2">
        <f>HYPERLINK("https://ru.wikipedia.org/w/index.php?search=%D0%91%D0%B5%D0%B7%D0%BE%D1%82%D0%B2%D0%B5%D1%82%D1%81%D1%82%D0%B2%D0%B5%D0%BD%D0%BD%D1%8B%D0%B9%20%D0%BE%D1%82%D0%B2%D0%B5%D1%82%D1%81%D1%82%D0%B2%D0%B5%D0%BD%D0%BD%D1%8B%D0%B9%201970%20%D1%84%D0%B8%D0%BB%D1%8C%D0%BC","искать")</f>
        <v/>
      </c>
      <c r="N513" s="3" t="n"/>
      <c r="O513" s="2" t="n"/>
      <c r="P513" s="2" t="n"/>
    </row>
    <row r="514">
      <c r="A514" s="2" t="n">
        <v>513</v>
      </c>
      <c r="B514" s="2" t="inlineStr">
        <is>
          <t>не сюжет</t>
        </is>
      </c>
      <c r="C514" s="2" t="n">
        <v>11678</v>
      </c>
      <c r="D514" s="3" t="inlineStr">
        <is>
          <t>Ну, Погоди! ч.4</t>
        </is>
      </c>
      <c r="E514" s="2" t="n">
        <v>1971</v>
      </c>
      <c r="F514" s="2" t="inlineStr">
        <is>
          <t>мультфильм</t>
        </is>
      </c>
      <c r="G514" s="2" t="inlineStr">
        <is>
          <t>Союзмультфильм</t>
        </is>
      </c>
      <c r="H514" s="2" t="n">
        <v>12</v>
      </c>
      <c r="I514" s="2" t="inlineStr"/>
      <c r="J514" s="2" t="inlineStr">
        <is>
          <t>да</t>
        </is>
      </c>
      <c r="K514" s="3" t="inlineStr">
        <is>
          <t>На стадионе.</t>
        </is>
      </c>
      <c r="L514" s="2" t="inlineStr">
        <is>
          <t>2026-10_мультфильмы_список_владельца.xlsx; https://animator.ru/db/?p=show_film&amp;fid=2592</t>
        </is>
      </c>
      <c r="M514" s="2">
        <f>HYPERLINK("https://ru.wikipedia.org/w/index.php?search=%D0%9D%D1%83%2C%20%D0%9F%D0%BE%D0%B3%D0%BE%D0%B4%D0%B8%21%20%D1%87.4%201971%20%D1%84%D0%B8%D0%BB%D1%8C%D0%BC","искать")</f>
        <v/>
      </c>
      <c r="N514" s="3" t="n"/>
      <c r="O514" s="2" t="n"/>
      <c r="P514" s="2" t="n"/>
    </row>
    <row r="515">
      <c r="A515" s="2" t="n">
        <v>514</v>
      </c>
      <c r="B515" s="2" t="inlineStr">
        <is>
          <t>не сюжет</t>
        </is>
      </c>
      <c r="C515" s="2" t="n">
        <v>11705</v>
      </c>
      <c r="D515" s="3" t="inlineStr">
        <is>
          <t>Митя и микробус</t>
        </is>
      </c>
      <c r="E515" s="2" t="n">
        <v>1973</v>
      </c>
      <c r="F515" s="2" t="inlineStr">
        <is>
          <t>мультфильм</t>
        </is>
      </c>
      <c r="G515" s="2" t="inlineStr">
        <is>
          <t>Союзмультфильм</t>
        </is>
      </c>
      <c r="H515" s="2" t="n">
        <v>12</v>
      </c>
      <c r="I515" s="2" t="inlineStr"/>
      <c r="J515" s="2" t="inlineStr">
        <is>
          <t>да</t>
        </is>
      </c>
      <c r="K515" s="3" t="inlineStr">
        <is>
          <t>Для малышей.</t>
        </is>
      </c>
      <c r="L515" s="2" t="inlineStr">
        <is>
          <t>2026-10_мультфильмы_список_владельца.xlsx; https://animator.ru/db/?p=show_film&amp;fid=2619</t>
        </is>
      </c>
      <c r="M515" s="2">
        <f>HYPERLINK("https://ru.wikipedia.org/w/index.php?search=%D0%9C%D0%B8%D1%82%D1%8F%20%D0%B8%20%D0%BC%D0%B8%D0%BA%D1%80%D0%BE%D0%B1%D1%83%D1%81%201973%20%D1%84%D0%B8%D0%BB%D1%8C%D0%BC","искать")</f>
        <v/>
      </c>
      <c r="N515" s="3" t="n"/>
      <c r="O515" s="2" t="n"/>
      <c r="P515" s="2" t="n"/>
    </row>
    <row r="516">
      <c r="A516" s="2" t="n">
        <v>515</v>
      </c>
      <c r="B516" s="2" t="inlineStr">
        <is>
          <t>не сюжет</t>
        </is>
      </c>
      <c r="C516" s="2" t="n">
        <v>11733</v>
      </c>
      <c r="D516" s="3" t="inlineStr">
        <is>
          <t>Дорогой утиль</t>
        </is>
      </c>
      <c r="E516" s="2" t="n">
        <v>1974</v>
      </c>
      <c r="F516" s="2" t="inlineStr">
        <is>
          <t>мультфильм</t>
        </is>
      </c>
      <c r="G516" s="2" t="inlineStr">
        <is>
          <t>Союзмультфильм</t>
        </is>
      </c>
      <c r="H516" s="2" t="n">
        <v>12</v>
      </c>
      <c r="I516" s="2" t="inlineStr"/>
      <c r="J516" s="2" t="inlineStr">
        <is>
          <t>да</t>
        </is>
      </c>
      <c r="K516" s="3" t="inlineStr">
        <is>
          <t>Фитиль №147.</t>
        </is>
      </c>
      <c r="L516" s="2" t="inlineStr">
        <is>
          <t>2026-10_мультфильмы_список_владельца.xlsx; https://animator.ru/db/?p=show_film&amp;fid=2647</t>
        </is>
      </c>
      <c r="M516" s="2">
        <f>HYPERLINK("https://ru.wikipedia.org/w/index.php?search=%D0%94%D0%BE%D1%80%D0%BE%D0%B3%D0%BE%D0%B9%20%D1%83%D1%82%D0%B8%D0%BB%D1%8C%201974%20%D1%84%D0%B8%D0%BB%D1%8C%D0%BC","искать")</f>
        <v/>
      </c>
      <c r="N516" s="3" t="n"/>
      <c r="O516" s="2" t="n"/>
      <c r="P516" s="2" t="n"/>
    </row>
    <row r="517">
      <c r="A517" s="2" t="n">
        <v>516</v>
      </c>
      <c r="B517" s="2" t="inlineStr">
        <is>
          <t>не сюжет</t>
        </is>
      </c>
      <c r="C517" s="2" t="n">
        <v>11734</v>
      </c>
      <c r="D517" s="3" t="inlineStr">
        <is>
          <t>Западня</t>
        </is>
      </c>
      <c r="E517" s="2" t="n">
        <v>1974</v>
      </c>
      <c r="F517" s="2" t="inlineStr">
        <is>
          <t>мультфильм</t>
        </is>
      </c>
      <c r="G517" s="2" t="inlineStr">
        <is>
          <t>Союзмультфильм</t>
        </is>
      </c>
      <c r="H517" s="2" t="n">
        <v>12</v>
      </c>
      <c r="I517" s="2" t="inlineStr"/>
      <c r="J517" s="2" t="inlineStr">
        <is>
          <t>да</t>
        </is>
      </c>
      <c r="K517" s="3" t="inlineStr">
        <is>
          <t>Фитиль №137.</t>
        </is>
      </c>
      <c r="L517" s="2" t="inlineStr">
        <is>
          <t>2026-10_мультфильмы_список_владельца.xlsx; https://animator.ru/db/?p=show_film&amp;fid=2648</t>
        </is>
      </c>
      <c r="M517" s="2">
        <f>HYPERLINK("https://ru.wikipedia.org/w/index.php?search=%D0%97%D0%B0%D0%BF%D0%B0%D0%B4%D0%BD%D1%8F%201974%20%D1%84%D0%B8%D0%BB%D1%8C%D0%BC","искать")</f>
        <v/>
      </c>
      <c r="N517" s="3" t="n"/>
      <c r="O517" s="2" t="n"/>
      <c r="P517" s="2" t="n"/>
    </row>
    <row r="518">
      <c r="A518" s="2" t="n">
        <v>517</v>
      </c>
      <c r="B518" s="2" t="inlineStr">
        <is>
          <t>не сюжет</t>
        </is>
      </c>
      <c r="C518" s="2" t="n">
        <v>11752</v>
      </c>
      <c r="D518" s="3" t="inlineStr">
        <is>
          <t>Таланты и поклонники</t>
        </is>
      </c>
      <c r="E518" s="2" t="n">
        <v>1974</v>
      </c>
      <c r="F518" s="2" t="inlineStr">
        <is>
          <t>мультфильм</t>
        </is>
      </c>
      <c r="G518" s="2" t="inlineStr">
        <is>
          <t>Союзмультфильм</t>
        </is>
      </c>
      <c r="H518" s="2" t="n">
        <v>12</v>
      </c>
      <c r="I518" s="2" t="inlineStr"/>
      <c r="J518" s="2" t="inlineStr">
        <is>
          <t>да</t>
        </is>
      </c>
      <c r="K518" s="3" t="inlineStr">
        <is>
          <t>Фитиль №146.</t>
        </is>
      </c>
      <c r="L518" s="2" t="inlineStr">
        <is>
          <t>2026-10_мультфильмы_список_владельца.xlsx; https://animator.ru/db/?p=show_film&amp;fid=2666</t>
        </is>
      </c>
      <c r="M518" s="2">
        <f>HYPERLINK("https://ru.wikipedia.org/w/index.php?search=%D0%A2%D0%B0%D0%BB%D0%B0%D0%BD%D1%82%D1%8B%20%D0%B8%20%D0%BF%D0%BE%D0%BA%D0%BB%D0%BE%D0%BD%D0%BD%D0%B8%D0%BA%D0%B8%201974%20%D1%84%D0%B8%D0%BB%D1%8C%D0%BC","искать")</f>
        <v/>
      </c>
      <c r="N518" s="3" t="n"/>
      <c r="O518" s="2" t="n"/>
      <c r="P518" s="2" t="inlineStr">
        <is>
          <t>ГФФ: «ТАЛАНТЫ И ПОКЛОННИКИ» 1973 — год отличается, проверить — по сверке другой фильм, не предложено</t>
        </is>
      </c>
    </row>
    <row r="519">
      <c r="A519" s="2" t="n">
        <v>518</v>
      </c>
      <c r="B519" s="2" t="inlineStr">
        <is>
          <t>не сюжет</t>
        </is>
      </c>
      <c r="C519" s="2" t="n">
        <v>11834</v>
      </c>
      <c r="D519" s="3" t="inlineStr">
        <is>
          <t>Исполнение желаний</t>
        </is>
      </c>
      <c r="E519" s="2" t="n">
        <v>1977</v>
      </c>
      <c r="F519" s="2" t="inlineStr">
        <is>
          <t>мультфильм</t>
        </is>
      </c>
      <c r="G519" s="2" t="inlineStr">
        <is>
          <t>Союзмультфильм</t>
        </is>
      </c>
      <c r="H519" s="2" t="n">
        <v>12</v>
      </c>
      <c r="I519" s="2" t="inlineStr"/>
      <c r="J519" s="2" t="inlineStr">
        <is>
          <t>да</t>
        </is>
      </c>
      <c r="K519" s="3" t="inlineStr">
        <is>
          <t>Фитиль №178.</t>
        </is>
      </c>
      <c r="L519" s="2" t="inlineStr">
        <is>
          <t>2026-10_мультфильмы_список_владельца.xlsx; https://animator.ru/db/?p=show_film&amp;fid=2749</t>
        </is>
      </c>
      <c r="M519" s="2">
        <f>HYPERLINK("https://ru.wikipedia.org/w/index.php?search=%D0%98%D1%81%D0%BF%D0%BE%D0%BB%D0%BD%D0%B5%D0%BD%D0%B8%D0%B5%20%D0%B6%D0%B5%D0%BB%D0%B0%D0%BD%D0%B8%D0%B9%201977%20%D1%84%D0%B8%D0%BB%D1%8C%D0%BC","искать")</f>
        <v/>
      </c>
      <c r="N519" s="3" t="n"/>
      <c r="O519" s="2" t="n"/>
      <c r="P519" s="2" t="n"/>
    </row>
    <row r="520">
      <c r="A520" s="2" t="n">
        <v>519</v>
      </c>
      <c r="B520" s="2" t="inlineStr">
        <is>
          <t>не сюжет</t>
        </is>
      </c>
      <c r="C520" s="2" t="n">
        <v>11994</v>
      </c>
      <c r="D520" s="3" t="inlineStr">
        <is>
          <t>Громовержцы</t>
        </is>
      </c>
      <c r="E520" s="2" t="n">
        <v>1981</v>
      </c>
      <c r="F520" s="2" t="inlineStr">
        <is>
          <t>мультфильм</t>
        </is>
      </c>
      <c r="G520" s="2" t="inlineStr">
        <is>
          <t>Союзмультфильм</t>
        </is>
      </c>
      <c r="H520" s="2" t="n">
        <v>12</v>
      </c>
      <c r="I520" s="2" t="inlineStr"/>
      <c r="J520" s="2" t="inlineStr">
        <is>
          <t>да</t>
        </is>
      </c>
      <c r="K520" s="3" t="inlineStr">
        <is>
          <t>Фитиль №218.</t>
        </is>
      </c>
      <c r="L520" s="2" t="inlineStr">
        <is>
          <t>2026-10_мультфильмы_список_владельца.xlsx; https://animator.ru/db/?p=show_film&amp;fid=3108</t>
        </is>
      </c>
      <c r="M520" s="2">
        <f>HYPERLINK("https://ru.wikipedia.org/w/index.php?search=%D0%93%D1%80%D0%BE%D0%BC%D0%BE%D0%B2%D0%B5%D1%80%D0%B6%D1%86%D1%8B%201981%20%D1%84%D0%B8%D0%BB%D1%8C%D0%BC","искать")</f>
        <v/>
      </c>
      <c r="N520" s="3" t="n"/>
      <c r="O520" s="2" t="n"/>
      <c r="P520" s="2" t="n"/>
    </row>
    <row r="521">
      <c r="A521" s="2" t="n">
        <v>520</v>
      </c>
      <c r="B521" s="2" t="inlineStr">
        <is>
          <t>не сюжет</t>
        </is>
      </c>
      <c r="C521" s="2" t="n">
        <v>11995</v>
      </c>
      <c r="D521" s="3" t="inlineStr">
        <is>
          <t>Трах-тиби-дох!</t>
        </is>
      </c>
      <c r="E521" s="2" t="n">
        <v>1981</v>
      </c>
      <c r="F521" s="2" t="inlineStr">
        <is>
          <t>мультфильм</t>
        </is>
      </c>
      <c r="G521" s="2" t="inlineStr">
        <is>
          <t>Союзмультфильм</t>
        </is>
      </c>
      <c r="H521" s="2" t="n">
        <v>12</v>
      </c>
      <c r="I521" s="2" t="inlineStr"/>
      <c r="J521" s="2" t="inlineStr">
        <is>
          <t>да</t>
        </is>
      </c>
      <c r="K521" s="3" t="inlineStr">
        <is>
          <t>Фитиль №220.</t>
        </is>
      </c>
      <c r="L521" s="2" t="inlineStr">
        <is>
          <t>2026-10_мультфильмы_список_владельца.xlsx; https://animator.ru/db/?p=show_film&amp;fid=3109</t>
        </is>
      </c>
      <c r="M521" s="2">
        <f>HYPERLINK("https://ru.wikipedia.org/w/index.php?search=%D0%A2%D1%80%D0%B0%D1%85-%D1%82%D0%B8%D0%B1%D0%B8-%D0%B4%D0%BE%D1%85%21%201981%20%D1%84%D0%B8%D0%BB%D1%8C%D0%BC","искать")</f>
        <v/>
      </c>
      <c r="N521" s="3" t="n"/>
      <c r="O521" s="2" t="n"/>
      <c r="P521" s="2" t="n"/>
    </row>
    <row r="522">
      <c r="A522" s="2" t="n">
        <v>521</v>
      </c>
      <c r="B522" s="2" t="inlineStr">
        <is>
          <t>не сюжет</t>
        </is>
      </c>
      <c r="C522" s="2" t="n">
        <v>12475</v>
      </c>
      <c r="D522" s="3" t="inlineStr">
        <is>
          <t>Ниточка и котенок</t>
        </is>
      </c>
      <c r="E522" s="2" t="n">
        <v>1974</v>
      </c>
      <c r="F522" s="2" t="inlineStr">
        <is>
          <t>мультфильм</t>
        </is>
      </c>
      <c r="G522" s="2" t="inlineStr">
        <is>
          <t>КИЕВНАУЧФИЛЬМ</t>
        </is>
      </c>
      <c r="H522" s="2" t="n">
        <v>12</v>
      </c>
      <c r="I522" s="2" t="inlineStr"/>
      <c r="J522" s="2" t="inlineStr">
        <is>
          <t>да</t>
        </is>
      </c>
      <c r="K522" s="3" t="inlineStr">
        <is>
          <t>Для малышей.</t>
        </is>
      </c>
      <c r="L522" s="2" t="inlineStr">
        <is>
          <t>2026-10_мультфильмы_список_владельца.xlsx; https://animator.ru/db/?p=show_film&amp;fid=3650</t>
        </is>
      </c>
      <c r="M522" s="2">
        <f>HYPERLINK("https://ru.wikipedia.org/w/index.php?search=%D0%9D%D0%B8%D1%82%D0%BE%D1%87%D0%BA%D0%B0%20%D0%B8%20%D0%BA%D0%BE%D1%82%D0%B5%D0%BD%D0%BE%D0%BA%201974%20%D1%84%D0%B8%D0%BB%D1%8C%D0%BC","искать")</f>
        <v/>
      </c>
      <c r="N522" s="3" t="n"/>
      <c r="O522" s="2" t="n"/>
      <c r="P522" s="2" t="n"/>
    </row>
    <row r="523">
      <c r="A523" s="2" t="n">
        <v>522</v>
      </c>
      <c r="B523" s="2" t="inlineStr">
        <is>
          <t>не сюжет</t>
        </is>
      </c>
      <c r="C523" s="2" t="n">
        <v>12695</v>
      </c>
      <c r="D523" s="3" t="inlineStr">
        <is>
          <t>Не убий! Шестая заповедь моисея</t>
        </is>
      </c>
      <c r="E523" s="2" t="n">
        <v>1990</v>
      </c>
      <c r="F523" s="2" t="inlineStr">
        <is>
          <t>мультфильм</t>
        </is>
      </c>
      <c r="G523" s="2" t="inlineStr">
        <is>
          <t>БЕЛАРУСЬФИЛЬМ НАЦИОНАЛЬНАЯ КИНОСТУДИЯ - ГП</t>
        </is>
      </c>
      <c r="H523" s="2" t="n">
        <v>12</v>
      </c>
      <c r="I523" s="2" t="inlineStr"/>
      <c r="J523" s="2" t="inlineStr">
        <is>
          <t>да</t>
        </is>
      </c>
      <c r="K523" s="3" t="inlineStr">
        <is>
          <t>Для взрослых</t>
        </is>
      </c>
      <c r="L523" s="2" t="inlineStr">
        <is>
          <t>https://animator.ru/db/?p=show_film&amp;fid=3890</t>
        </is>
      </c>
      <c r="M523" s="2">
        <f>HYPERLINK("https://ru.wikipedia.org/w/index.php?search=%D0%9D%D0%B5%20%D1%83%D0%B1%D0%B8%D0%B9%21%20%D0%A8%D0%B5%D1%81%D1%82%D0%B0%D1%8F%20%D0%B7%D0%B0%D0%BF%D0%BE%D0%B2%D0%B5%D0%B4%D1%8C%20%D0%BC%D0%BE%D0%B8%D1%81%D0%B5%D1%8F%201990%20%D1%84%D0%B8%D0%BB%D1%8C%D0%BC","искать")</f>
        <v/>
      </c>
      <c r="N523" s="3" t="n"/>
      <c r="O523" s="2" t="n"/>
      <c r="P523" s="2" t="n"/>
    </row>
    <row r="524">
      <c r="A524" s="2" t="n">
        <v>523</v>
      </c>
      <c r="B524" s="2" t="inlineStr">
        <is>
          <t>не сюжет</t>
        </is>
      </c>
      <c r="C524" s="2" t="n">
        <v>13021</v>
      </c>
      <c r="D524" s="3" t="inlineStr">
        <is>
          <t>Перипетии</t>
        </is>
      </c>
      <c r="E524" s="2" t="n">
        <v>1989</v>
      </c>
      <c r="F524" s="2" t="inlineStr">
        <is>
          <t>мультфильм</t>
        </is>
      </c>
      <c r="G524" s="2" t="inlineStr">
        <is>
          <t>КАЗАХФИЛЬМ</t>
        </is>
      </c>
      <c r="H524" s="2" t="n">
        <v>12</v>
      </c>
      <c r="I524" s="2" t="inlineStr"/>
      <c r="J524" s="2" t="inlineStr">
        <is>
          <t>да</t>
        </is>
      </c>
      <c r="K524" s="3" t="inlineStr">
        <is>
          <t>Для взрослых</t>
        </is>
      </c>
      <c r="L524" s="2" t="inlineStr">
        <is>
          <t>https://animator.ru/db/?p=show_film&amp;fid=4253</t>
        </is>
      </c>
      <c r="M524" s="2">
        <f>HYPERLINK("https://ru.wikipedia.org/w/index.php?search=%D0%9F%D0%B5%D1%80%D0%B8%D0%BF%D0%B5%D1%82%D0%B8%D0%B8%201989%20%D1%84%D0%B8%D0%BB%D1%8C%D0%BC","искать")</f>
        <v/>
      </c>
      <c r="N524" s="3" t="n"/>
      <c r="O524" s="2" t="n"/>
      <c r="P524" s="2" t="n"/>
    </row>
    <row r="525">
      <c r="A525" s="2" t="n">
        <v>524</v>
      </c>
      <c r="B525" s="2" t="inlineStr">
        <is>
          <t>не сюжет</t>
        </is>
      </c>
      <c r="C525" s="2" t="n">
        <v>13136</v>
      </c>
      <c r="D525" s="3" t="inlineStr">
        <is>
          <t>Баллада</t>
        </is>
      </c>
      <c r="E525" s="2" t="n">
        <v>1991</v>
      </c>
      <c r="F525" s="2" t="inlineStr">
        <is>
          <t>мультфильм</t>
        </is>
      </c>
      <c r="G525" s="2" t="inlineStr">
        <is>
          <t>МОЛДОВА-ФИЛЬМ</t>
        </is>
      </c>
      <c r="H525" s="2" t="n">
        <v>12</v>
      </c>
      <c r="I525" s="2" t="inlineStr"/>
      <c r="J525" s="2" t="inlineStr">
        <is>
          <t>да</t>
        </is>
      </c>
      <c r="K525" s="3" t="inlineStr">
        <is>
          <t>Для взрослых</t>
        </is>
      </c>
      <c r="L525" s="2" t="inlineStr">
        <is>
          <t>https://animator.ru/db/?p=show_film&amp;fid=4368</t>
        </is>
      </c>
      <c r="M525" s="2">
        <f>HYPERLINK("https://ru.wikipedia.org/w/index.php?search=%D0%91%D0%B0%D0%BB%D0%BB%D0%B0%D0%B4%D0%B0%201991%20%D1%84%D0%B8%D0%BB%D1%8C%D0%BC","искать")</f>
        <v/>
      </c>
      <c r="N525" s="3" t="n"/>
      <c r="O525" s="2" t="n"/>
      <c r="P525" s="2" t="n"/>
    </row>
    <row r="526">
      <c r="A526" s="2" t="n">
        <v>525</v>
      </c>
      <c r="B526" s="2" t="inlineStr">
        <is>
          <t>не сюжет</t>
        </is>
      </c>
      <c r="C526" s="2" t="n">
        <v>13206</v>
      </c>
      <c r="D526" s="3" t="inlineStr">
        <is>
          <t>Лошадь</t>
        </is>
      </c>
      <c r="E526" s="2" t="n">
        <v>1988</v>
      </c>
      <c r="F526" s="2" t="inlineStr">
        <is>
          <t>мультфильм</t>
        </is>
      </c>
      <c r="G526" s="2" t="inlineStr">
        <is>
          <t>УЗБЕКФИЛЬМ</t>
        </is>
      </c>
      <c r="H526" s="2" t="n">
        <v>12</v>
      </c>
      <c r="I526" s="2" t="inlineStr"/>
      <c r="J526" s="2" t="inlineStr">
        <is>
          <t>да</t>
        </is>
      </c>
      <c r="K526" s="3" t="inlineStr">
        <is>
          <t>Для взрослых</t>
        </is>
      </c>
      <c r="L526" s="2" t="inlineStr">
        <is>
          <t>https://animator.ru/db/?p=show_film&amp;fid=4445</t>
        </is>
      </c>
      <c r="M526" s="2">
        <f>HYPERLINK("https://ru.wikipedia.org/w/index.php?search=%D0%9B%D0%BE%D1%88%D0%B0%D0%B4%D1%8C%201988%20%D1%84%D0%B8%D0%BB%D1%8C%D0%BC","искать")</f>
        <v/>
      </c>
      <c r="N526" s="3" t="n"/>
      <c r="O526" s="2" t="n"/>
      <c r="P526" s="2" t="n"/>
    </row>
    <row r="527">
      <c r="A527" s="2" t="n">
        <v>526</v>
      </c>
      <c r="B527" s="2" t="inlineStr">
        <is>
          <t>не сюжет</t>
        </is>
      </c>
      <c r="C527" s="2" t="n">
        <v>13214</v>
      </c>
      <c r="D527" s="3" t="inlineStr">
        <is>
          <t>Калигула</t>
        </is>
      </c>
      <c r="E527" s="2" t="n">
        <v>1989</v>
      </c>
      <c r="F527" s="2" t="inlineStr">
        <is>
          <t>мультфильм</t>
        </is>
      </c>
      <c r="G527" s="2" t="inlineStr">
        <is>
          <t>УЗБЕКФИЛЬМ</t>
        </is>
      </c>
      <c r="H527" s="2" t="n">
        <v>12</v>
      </c>
      <c r="I527" s="2" t="inlineStr"/>
      <c r="J527" s="2" t="inlineStr">
        <is>
          <t>да</t>
        </is>
      </c>
      <c r="K527" s="3" t="inlineStr">
        <is>
          <t>Для взрослых</t>
        </is>
      </c>
      <c r="L527" s="2" t="inlineStr">
        <is>
          <t>https://animator.ru/db/?p=show_film&amp;fid=4453</t>
        </is>
      </c>
      <c r="M527" s="2">
        <f>HYPERLINK("https://ru.wikipedia.org/w/index.php?search=%D0%9A%D0%B0%D0%BB%D0%B8%D0%B3%D1%83%D0%BB%D0%B0%201989%20%D1%84%D0%B8%D0%BB%D1%8C%D0%BC","искать")</f>
        <v/>
      </c>
      <c r="N527" s="3" t="n"/>
      <c r="O527" s="2" t="n"/>
      <c r="P527" s="2" t="n"/>
    </row>
    <row r="528">
      <c r="A528" s="2" t="n">
        <v>527</v>
      </c>
      <c r="B528" s="2" t="inlineStr">
        <is>
          <t>не сюжет</t>
        </is>
      </c>
      <c r="C528" s="2" t="n">
        <v>13261</v>
      </c>
      <c r="D528" s="3" t="inlineStr">
        <is>
          <t>Сказка о его высочестве (Разве это разум?)</t>
        </is>
      </c>
      <c r="E528" s="2" t="n">
        <v>1974</v>
      </c>
      <c r="F528" s="2" t="inlineStr">
        <is>
          <t>мультфильм</t>
        </is>
      </c>
      <c r="G528" s="2" t="inlineStr">
        <is>
          <t>ТАЛЛИННФИЛЬМ</t>
        </is>
      </c>
      <c r="H528" s="2" t="n">
        <v>12</v>
      </c>
      <c r="I528" s="2" t="inlineStr"/>
      <c r="J528" s="2" t="inlineStr">
        <is>
          <t>да</t>
        </is>
      </c>
      <c r="K528" s="3" t="inlineStr">
        <is>
          <t>Для взрослых</t>
        </is>
      </c>
      <c r="L528" s="2" t="inlineStr">
        <is>
          <t>https://animator.ru/db/?p=show_film&amp;fid=4512</t>
        </is>
      </c>
      <c r="M528" s="2">
        <f>HYPERLINK("https://ru.wikipedia.org/w/index.php?search=%D0%A1%D0%BA%D0%B0%D0%B7%D0%BA%D0%B0%20%D0%BE%20%D0%B5%D0%B3%D0%BE%20%D0%B2%D1%8B%D1%81%D0%BE%D1%87%D0%B5%D1%81%D1%82%D0%B2%D0%B5%20%28%D0%A0%D0%B0%D0%B7%D0%B2%D0%B5%20%D1%8D%D1%82%D0%BE%20%D1%80%D0%B0%D0%B7%D1%83%D0%BC%3F%29%201974%20%D1%84%D0%B8%D0%BB%D1%8C%D0%BC","искать")</f>
        <v/>
      </c>
      <c r="N528" s="3" t="n"/>
      <c r="O528" s="2" t="n"/>
      <c r="P528" s="2" t="n"/>
    </row>
    <row r="529">
      <c r="A529" s="2" t="n">
        <v>528</v>
      </c>
      <c r="B529" s="2" t="inlineStr">
        <is>
          <t>не сюжет</t>
        </is>
      </c>
      <c r="C529" s="2" t="n">
        <v>13542</v>
      </c>
      <c r="D529" s="3" t="inlineStr">
        <is>
          <t>Приехали - уехали</t>
        </is>
      </c>
      <c r="E529" s="2" t="n">
        <v>1971</v>
      </c>
      <c r="F529" s="2" t="inlineStr">
        <is>
          <t>мультфильм</t>
        </is>
      </c>
      <c r="G529" s="2" t="inlineStr">
        <is>
          <t>Союзмультфильм</t>
        </is>
      </c>
      <c r="H529" s="2" t="n">
        <v>12</v>
      </c>
      <c r="I529" s="2" t="inlineStr"/>
      <c r="J529" s="2" t="inlineStr">
        <is>
          <t>да</t>
        </is>
      </c>
      <c r="K529" s="3" t="inlineStr">
        <is>
          <t>Фитиль №113.</t>
        </is>
      </c>
      <c r="L529" s="2" t="inlineStr">
        <is>
          <t>2026-10_мультфильмы_список_владельца.xlsx; https://animator.ru/db/?p=show_film&amp;fid=4862</t>
        </is>
      </c>
      <c r="M529" s="2">
        <f>HYPERLINK("https://ru.wikipedia.org/w/index.php?search=%D0%9F%D1%80%D0%B8%D0%B5%D1%85%D0%B0%D0%BB%D0%B8%20-%20%D1%83%D0%B5%D1%85%D0%B0%D0%BB%D0%B8%201971%20%D1%84%D0%B8%D0%BB%D1%8C%D0%BC","искать")</f>
        <v/>
      </c>
      <c r="N529" s="3" t="n"/>
      <c r="O529" s="2" t="n"/>
      <c r="P529" s="2" t="n"/>
    </row>
    <row r="530">
      <c r="A530" s="2" t="n">
        <v>529</v>
      </c>
      <c r="B530" s="2" t="inlineStr">
        <is>
          <t>не сюжет</t>
        </is>
      </c>
      <c r="C530" s="2" t="n">
        <v>14374</v>
      </c>
      <c r="D530" s="3" t="inlineStr">
        <is>
          <t>Берегите зубы</t>
        </is>
      </c>
      <c r="E530" s="2" t="n">
        <v>1991</v>
      </c>
      <c r="F530" s="2" t="inlineStr">
        <is>
          <t>мультфильм</t>
        </is>
      </c>
      <c r="G530" s="2" t="n"/>
      <c r="H530" s="2" t="n">
        <v>12</v>
      </c>
      <c r="I530" s="2" t="inlineStr"/>
      <c r="J530" s="2" t="inlineStr">
        <is>
          <t>да</t>
        </is>
      </c>
      <c r="K530" s="3" t="inlineStr">
        <is>
          <t>Фильм-плакат</t>
        </is>
      </c>
      <c r="L530" s="2" t="inlineStr">
        <is>
          <t>https://animator.ru/db/?p=show_film&amp;fid=6306</t>
        </is>
      </c>
      <c r="M530" s="2">
        <f>HYPERLINK("https://ru.wikipedia.org/w/index.php?search=%D0%91%D0%B5%D1%80%D0%B5%D0%B3%D0%B8%D1%82%D0%B5%20%D0%B7%D1%83%D0%B1%D1%8B%201991%20%D1%84%D0%B8%D0%BB%D1%8C%D0%BC","искать")</f>
        <v/>
      </c>
      <c r="N530" s="3" t="n"/>
      <c r="O530" s="2" t="n"/>
      <c r="P530" s="2" t="n"/>
    </row>
    <row r="531">
      <c r="A531" s="2" t="n">
        <v>530</v>
      </c>
      <c r="B531" s="2" t="inlineStr">
        <is>
          <t>не сюжет</t>
        </is>
      </c>
      <c r="C531" s="2" t="n">
        <v>13726</v>
      </c>
      <c r="D531" s="3" t="inlineStr">
        <is>
          <t>Контрасты</t>
        </is>
      </c>
      <c r="E531" s="2" t="n">
        <v>1981</v>
      </c>
      <c r="F531" s="2" t="inlineStr">
        <is>
          <t>мультфильм</t>
        </is>
      </c>
      <c r="G531" s="2" t="inlineStr">
        <is>
          <t>ЭКРАН</t>
        </is>
      </c>
      <c r="H531" s="2" t="n">
        <v>13</v>
      </c>
      <c r="I531" s="2" t="inlineStr"/>
      <c r="J531" s="2" t="inlineStr">
        <is>
          <t>да</t>
        </is>
      </c>
      <c r="K531" s="3" t="inlineStr">
        <is>
          <t>Этюд о цветах</t>
        </is>
      </c>
      <c r="L531" s="2" t="inlineStr">
        <is>
          <t>https://animator.ru/db/?p=show_film&amp;fid=5119</t>
        </is>
      </c>
      <c r="M531" s="2">
        <f>HYPERLINK("https://ru.wikipedia.org/w/index.php?search=%D0%9A%D0%BE%D0%BD%D1%82%D1%80%D0%B0%D1%81%D1%82%D1%8B%201981%20%D1%84%D0%B8%D0%BB%D1%8C%D0%BC","искать")</f>
        <v/>
      </c>
      <c r="N531" s="3" t="n"/>
      <c r="O531" s="2" t="n"/>
      <c r="P531" s="2" t="n"/>
    </row>
    <row r="532">
      <c r="A532" s="2" t="n">
        <v>531</v>
      </c>
      <c r="B532" s="2" t="inlineStr">
        <is>
          <t>не сюжет</t>
        </is>
      </c>
      <c r="C532" s="2" t="n">
        <v>13878</v>
      </c>
      <c r="D532" s="3" t="inlineStr">
        <is>
          <t>Реставрация</t>
        </is>
      </c>
      <c r="E532" s="2" t="n">
        <v>1981</v>
      </c>
      <c r="F532" s="2" t="inlineStr">
        <is>
          <t>мультфильм</t>
        </is>
      </c>
      <c r="G532" s="2" t="inlineStr">
        <is>
          <t>ЭКРАН</t>
        </is>
      </c>
      <c r="H532" s="2" t="n">
        <v>13</v>
      </c>
      <c r="I532" s="2" t="inlineStr"/>
      <c r="J532" s="2" t="inlineStr">
        <is>
          <t>да</t>
        </is>
      </c>
      <c r="K532" s="3" t="inlineStr">
        <is>
          <t>Этюд о цветах</t>
        </is>
      </c>
      <c r="L532" s="2" t="inlineStr">
        <is>
          <t>https://animator.ru/db/?p=show_film&amp;fid=5271</t>
        </is>
      </c>
      <c r="M532" s="2">
        <f>HYPERLINK("https://ru.wikipedia.org/w/index.php?search=%D0%A0%D0%B5%D1%81%D1%82%D0%B0%D0%B2%D1%80%D0%B0%D1%86%D0%B8%D1%8F%201981%20%D1%84%D0%B8%D0%BB%D1%8C%D0%BC","искать")</f>
        <v/>
      </c>
      <c r="N532" s="3" t="n"/>
      <c r="O532" s="2" t="n"/>
      <c r="P532" s="2" t="n"/>
    </row>
    <row r="533">
      <c r="A533" s="2" t="n">
        <v>532</v>
      </c>
      <c r="B533" s="2" t="inlineStr">
        <is>
          <t>не сюжет</t>
        </is>
      </c>
      <c r="C533" s="2" t="n">
        <v>11437</v>
      </c>
      <c r="D533" s="3" t="inlineStr">
        <is>
          <t>Зайдите, пожалуйста!</t>
        </is>
      </c>
      <c r="E533" s="2" t="n">
        <v>1966</v>
      </c>
      <c r="F533" s="2" t="inlineStr">
        <is>
          <t>мультфильм</t>
        </is>
      </c>
      <c r="G533" s="2" t="inlineStr">
        <is>
          <t>Союзмультфильм</t>
        </is>
      </c>
      <c r="H533" s="2" t="n">
        <v>14</v>
      </c>
      <c r="I533" s="2" t="inlineStr"/>
      <c r="J533" s="2" t="inlineStr">
        <is>
          <t>да</t>
        </is>
      </c>
      <c r="K533" s="3" t="inlineStr">
        <is>
          <t>Заказной фильм</t>
        </is>
      </c>
      <c r="L533" s="2" t="inlineStr">
        <is>
          <t>https://animator.ru/db/?p=show_film&amp;fid=2208</t>
        </is>
      </c>
      <c r="M533" s="2">
        <f>HYPERLINK("https://ru.wikipedia.org/w/index.php?search=%D0%97%D0%B0%D0%B9%D0%B4%D0%B8%D1%82%D0%B5%2C%20%D0%BF%D0%BE%D0%B6%D0%B0%D0%BB%D1%83%D0%B9%D1%81%D1%82%D0%B0%21%201966%20%D1%84%D0%B8%D0%BB%D1%8C%D0%BC","искать")</f>
        <v/>
      </c>
      <c r="N533" s="3" t="n"/>
      <c r="O533" s="2" t="n"/>
      <c r="P533" s="2" t="n"/>
    </row>
    <row r="534">
      <c r="A534" s="2" t="n">
        <v>533</v>
      </c>
      <c r="B534" s="2" t="inlineStr">
        <is>
          <t>не сюжет</t>
        </is>
      </c>
      <c r="C534" s="2" t="n">
        <v>11786</v>
      </c>
      <c r="D534" s="3" t="inlineStr">
        <is>
          <t>Среди хлебов спелых</t>
        </is>
      </c>
      <c r="E534" s="2" t="n">
        <v>1975</v>
      </c>
      <c r="F534" s="2" t="inlineStr">
        <is>
          <t>мультфильм</t>
        </is>
      </c>
      <c r="G534" s="2" t="inlineStr">
        <is>
          <t>Союзмультфильм</t>
        </is>
      </c>
      <c r="H534" s="2" t="n">
        <v>14</v>
      </c>
      <c r="I534" s="2" t="inlineStr"/>
      <c r="J534" s="2" t="inlineStr">
        <is>
          <t>да</t>
        </is>
      </c>
      <c r="K534" s="3" t="inlineStr">
        <is>
          <t>Заказной фильм</t>
        </is>
      </c>
      <c r="L534" s="2" t="inlineStr">
        <is>
          <t>https://animator.ru/db/?p=show_film&amp;fid=2700</t>
        </is>
      </c>
      <c r="M534" s="2">
        <f>HYPERLINK("https://ru.wikipedia.org/w/index.php?search=%D0%A1%D1%80%D0%B5%D0%B4%D0%B8%20%D1%85%D0%BB%D0%B5%D0%B1%D0%BE%D0%B2%20%D1%81%D0%BF%D0%B5%D0%BB%D1%8B%D1%85%201975%20%D1%84%D0%B8%D0%BB%D1%8C%D0%BC","искать")</f>
        <v/>
      </c>
      <c r="N534" s="3" t="n"/>
      <c r="O534" s="2" t="n"/>
      <c r="P534" s="2" t="n"/>
    </row>
    <row r="535">
      <c r="A535" s="2" t="n">
        <v>534</v>
      </c>
      <c r="B535" s="2" t="inlineStr">
        <is>
          <t>не сюжет</t>
        </is>
      </c>
      <c r="C535" s="2" t="n">
        <v>12654</v>
      </c>
      <c r="D535" s="3" t="inlineStr">
        <is>
          <t>Пережиток прошлого</t>
        </is>
      </c>
      <c r="E535" s="2" t="n">
        <v>1991</v>
      </c>
      <c r="F535" s="2" t="inlineStr">
        <is>
          <t>мультфильм</t>
        </is>
      </c>
      <c r="G535" s="2" t="inlineStr">
        <is>
          <t>КИЕВНАУЧФИЛЬМ</t>
        </is>
      </c>
      <c r="H535" s="2" t="n">
        <v>14</v>
      </c>
      <c r="I535" s="2" t="inlineStr"/>
      <c r="J535" s="2" t="inlineStr">
        <is>
          <t>да</t>
        </is>
      </c>
      <c r="K535" s="3" t="inlineStr">
        <is>
          <t>"Фитиль" №346.</t>
        </is>
      </c>
      <c r="L535" s="2" t="inlineStr">
        <is>
          <t>2026-10_мультфильмы_список_владельца.xlsx; https://animator.ru/db/?p=show_film&amp;fid=3834</t>
        </is>
      </c>
      <c r="M535" s="2">
        <f>HYPERLINK("https://ru.wikipedia.org/w/index.php?search=%D0%9F%D0%B5%D1%80%D0%B5%D0%B6%D0%B8%D1%82%D0%BE%D0%BA%20%D0%BF%D1%80%D0%BE%D1%88%D0%BB%D0%BE%D0%B3%D0%BE%201991%20%D1%84%D0%B8%D0%BB%D1%8C%D0%BC","искать")</f>
        <v/>
      </c>
      <c r="N535" s="3" t="n"/>
      <c r="O535" s="2" t="n"/>
      <c r="P535" s="2" t="n"/>
    </row>
    <row r="536">
      <c r="A536" s="2" t="n">
        <v>535</v>
      </c>
      <c r="B536" s="2" t="inlineStr">
        <is>
          <t>не сюжет</t>
        </is>
      </c>
      <c r="C536" s="2" t="n">
        <v>11992</v>
      </c>
      <c r="D536" s="3" t="inlineStr">
        <is>
          <t>Тигренок на подсолнухе</t>
        </is>
      </c>
      <c r="E536" s="2" t="n">
        <v>1981</v>
      </c>
      <c r="F536" s="2" t="inlineStr">
        <is>
          <t>мультфильм</t>
        </is>
      </c>
      <c r="G536" s="2" t="inlineStr">
        <is>
          <t>Союзмультфильм</t>
        </is>
      </c>
      <c r="H536" s="2" t="n">
        <v>15</v>
      </c>
      <c r="I536" s="2" t="inlineStr"/>
      <c r="J536" s="2" t="inlineStr">
        <is>
          <t>да</t>
        </is>
      </c>
      <c r="K536" s="3" t="inlineStr">
        <is>
          <t>Таежная сказка.</t>
        </is>
      </c>
      <c r="L536" s="2" t="inlineStr">
        <is>
          <t>2026-10_мультфильмы_список_владельца.xlsx; https://animator.ru/db/?p=show_film&amp;fid=3106</t>
        </is>
      </c>
      <c r="M536" s="2">
        <f>HYPERLINK("https://ru.wikipedia.org/w/index.php?search=%D0%A2%D0%B8%D0%B3%D1%80%D0%B5%D0%BD%D0%BE%D0%BA%20%D0%BD%D0%B0%20%D0%BF%D0%BE%D0%B4%D1%81%D0%BE%D0%BB%D0%BD%D1%83%D1%85%D0%B5%201981%20%D1%84%D0%B8%D0%BB%D1%8C%D0%BC","искать")</f>
        <v/>
      </c>
      <c r="N536" s="3" t="n"/>
      <c r="O536" s="2" t="n"/>
      <c r="P536" s="2" t="n"/>
    </row>
    <row r="537">
      <c r="A537" s="2" t="n">
        <v>536</v>
      </c>
      <c r="B537" s="2" t="inlineStr">
        <is>
          <t>не сюжет</t>
        </is>
      </c>
      <c r="C537" s="2" t="n">
        <v>12322</v>
      </c>
      <c r="D537" s="3" t="inlineStr">
        <is>
          <t>Ба-буш-ка</t>
        </is>
      </c>
      <c r="E537" s="2" t="n">
        <v>1982</v>
      </c>
      <c r="F537" s="2" t="inlineStr">
        <is>
          <t>мультфильм</t>
        </is>
      </c>
      <c r="G537" s="2" t="inlineStr">
        <is>
          <t>КИЕВНАУЧФИЛЬМ</t>
        </is>
      </c>
      <c r="H537" s="2" t="n">
        <v>15</v>
      </c>
      <c r="I537" s="2" t="inlineStr"/>
      <c r="J537" s="2" t="inlineStr">
        <is>
          <t>да</t>
        </is>
      </c>
      <c r="K537" s="3" t="inlineStr">
        <is>
          <t>Новогодняя тема</t>
        </is>
      </c>
      <c r="L537" s="2" t="inlineStr">
        <is>
          <t>https://animator.ru/db/?p=show_film&amp;fid=3486</t>
        </is>
      </c>
      <c r="M537" s="2">
        <f>HYPERLINK("https://ru.wikipedia.org/w/index.php?search=%D0%91%D0%B0-%D0%B1%D1%83%D1%88-%D0%BA%D0%B0%201982%20%D1%84%D0%B8%D0%BB%D1%8C%D0%BC","искать")</f>
        <v/>
      </c>
      <c r="N537" s="3" t="n"/>
      <c r="O537" s="2" t="n"/>
      <c r="P537" s="2" t="n"/>
    </row>
    <row r="538">
      <c r="A538" s="2" t="n">
        <v>537</v>
      </c>
      <c r="B538" s="2" t="inlineStr">
        <is>
          <t>не сюжет</t>
        </is>
      </c>
      <c r="C538" s="2" t="n">
        <v>13765</v>
      </c>
      <c r="D538" s="3" t="inlineStr">
        <is>
          <t>Минздрав СССР предупреждает</t>
        </is>
      </c>
      <c r="E538" s="2" t="n">
        <v>1983</v>
      </c>
      <c r="F538" s="2" t="inlineStr">
        <is>
          <t>мультфильм</t>
        </is>
      </c>
      <c r="G538" s="2" t="inlineStr">
        <is>
          <t>ЭКРАН</t>
        </is>
      </c>
      <c r="H538" s="2" t="n">
        <v>15</v>
      </c>
      <c r="I538" s="2" t="inlineStr"/>
      <c r="J538" s="2" t="inlineStr">
        <is>
          <t>да</t>
        </is>
      </c>
      <c r="K538" s="3" t="inlineStr">
        <is>
          <t>О вреде курения</t>
        </is>
      </c>
      <c r="L538" s="2" t="inlineStr">
        <is>
          <t>https://animator.ru/db/?p=show_film&amp;fid=5158</t>
        </is>
      </c>
      <c r="M538" s="2">
        <f>HYPERLINK("https://ru.wikipedia.org/w/index.php?search=%D0%9C%D0%B8%D0%BD%D0%B7%D0%B4%D1%80%D0%B0%D0%B2%20%D0%A1%D0%A1%D0%A1%D0%A0%20%D0%BF%D1%80%D0%B5%D0%B4%D1%83%D0%BF%D1%80%D0%B5%D0%B6%D0%B4%D0%B0%D0%B5%D1%82%201983%20%D1%84%D0%B8%D0%BB%D1%8C%D0%BC","искать")</f>
        <v/>
      </c>
      <c r="N538" s="3" t="n"/>
      <c r="O538" s="2" t="n"/>
      <c r="P538" s="2" t="n"/>
    </row>
    <row r="539">
      <c r="A539" s="2" t="n">
        <v>538</v>
      </c>
      <c r="B539" s="2" t="inlineStr">
        <is>
          <t>не сюжет</t>
        </is>
      </c>
      <c r="C539" s="2" t="n">
        <v>14278</v>
      </c>
      <c r="D539" s="3" t="inlineStr">
        <is>
          <t>Добро пожаловать</t>
        </is>
      </c>
      <c r="E539" s="2" t="n">
        <v>1985</v>
      </c>
      <c r="F539" s="2" t="inlineStr">
        <is>
          <t>мультфильм</t>
        </is>
      </c>
      <c r="G539" s="2" t="inlineStr">
        <is>
          <t>Союзмультфильм</t>
        </is>
      </c>
      <c r="H539" s="2" t="n">
        <v>15</v>
      </c>
      <c r="I539" s="2" t="inlineStr"/>
      <c r="J539" s="2" t="inlineStr">
        <is>
          <t>да</t>
        </is>
      </c>
      <c r="K539" s="3" t="inlineStr">
        <is>
          <t>Рекламный фильм</t>
        </is>
      </c>
      <c r="L539" s="2" t="inlineStr">
        <is>
          <t>https://animator.ru/db/?p=show_film&amp;fid=5752</t>
        </is>
      </c>
      <c r="M539" s="2">
        <f>HYPERLINK("https://ru.wikipedia.org/w/index.php?search=%D0%94%D0%BE%D0%B1%D1%80%D0%BE%20%D0%BF%D0%BE%D0%B6%D0%B0%D0%BB%D0%BE%D0%B2%D0%B0%D1%82%D1%8C%201985%20%D1%84%D0%B8%D0%BB%D1%8C%D0%BC","искать")</f>
        <v/>
      </c>
      <c r="N539" s="3" t="n"/>
      <c r="O539" s="2" t="n"/>
      <c r="P539" s="2" t="n"/>
    </row>
    <row r="540">
      <c r="A540" s="2" t="n">
        <v>539</v>
      </c>
      <c r="B540" s="2" t="inlineStr">
        <is>
          <t>не сюжет</t>
        </is>
      </c>
      <c r="C540" s="2" t="n">
        <v>11411</v>
      </c>
      <c r="D540" s="3" t="inlineStr">
        <is>
          <t>Московские новости</t>
        </is>
      </c>
      <c r="E540" s="2" t="n">
        <v>1964</v>
      </c>
      <c r="F540" s="2" t="inlineStr">
        <is>
          <t>мультфильм</t>
        </is>
      </c>
      <c r="G540" s="2" t="inlineStr">
        <is>
          <t>Союзмультфильм</t>
        </is>
      </c>
      <c r="H540" s="2" t="n">
        <v>16</v>
      </c>
      <c r="I540" s="2" t="inlineStr"/>
      <c r="J540" s="2" t="inlineStr">
        <is>
          <t>да</t>
        </is>
      </c>
      <c r="K540" s="3" t="inlineStr">
        <is>
          <t>Рекламный ролик.</t>
        </is>
      </c>
      <c r="L540" s="2" t="inlineStr">
        <is>
          <t>https://animator.ru/db/?p=show_film&amp;fid=2146</t>
        </is>
      </c>
      <c r="M540" s="2">
        <f>HYPERLINK("https://ru.wikipedia.org/w/index.php?search=%D0%9C%D0%BE%D1%81%D0%BA%D0%BE%D0%B2%D1%81%D0%BA%D0%B8%D0%B5%20%D0%BD%D0%BE%D0%B2%D0%BE%D1%81%D1%82%D0%B8%201964%20%D1%84%D0%B8%D0%BB%D1%8C%D0%BC","искать")</f>
        <v/>
      </c>
      <c r="N540" s="3" t="n"/>
      <c r="O540" s="2" t="n"/>
      <c r="P540" s="2" t="n"/>
    </row>
    <row r="541">
      <c r="A541" s="2" t="n">
        <v>540</v>
      </c>
      <c r="B541" s="2" t="inlineStr">
        <is>
          <t>не сюжет</t>
        </is>
      </c>
      <c r="C541" s="2" t="n">
        <v>11877</v>
      </c>
      <c r="D541" s="3" t="inlineStr">
        <is>
          <t>Метаморфоза (1978)</t>
        </is>
      </c>
      <c r="E541" s="2" t="n">
        <v>1978</v>
      </c>
      <c r="F541" s="2" t="inlineStr">
        <is>
          <t>мультфильм</t>
        </is>
      </c>
      <c r="G541" s="2" t="inlineStr">
        <is>
          <t>Союзмультфильм</t>
        </is>
      </c>
      <c r="H541" s="2" t="n">
        <v>16</v>
      </c>
      <c r="I541" s="2" t="inlineStr"/>
      <c r="J541" s="2" t="inlineStr">
        <is>
          <t>да</t>
        </is>
      </c>
      <c r="K541" s="3" t="inlineStr">
        <is>
          <t>По заказу ЮНИСЕФ</t>
        </is>
      </c>
      <c r="L541" s="2" t="inlineStr">
        <is>
          <t>https://animator.ru/db/?p=show_film&amp;fid=2792</t>
        </is>
      </c>
      <c r="M541" s="2">
        <f>HYPERLINK("https://ru.wikipedia.org/w/index.php?search=%D0%9C%D0%B5%D1%82%D0%B0%D0%BC%D0%BE%D1%80%D1%84%D0%BE%D0%B7%D0%B0%20%281978%29%201978%20%D1%84%D0%B8%D0%BB%D1%8C%D0%BC","искать")</f>
        <v/>
      </c>
      <c r="N541" s="3" t="n"/>
      <c r="O541" s="2" t="n"/>
      <c r="P541" s="2" t="n"/>
    </row>
    <row r="542">
      <c r="A542" s="2" t="n">
        <v>541</v>
      </c>
      <c r="B542" s="2" t="inlineStr">
        <is>
          <t>не сюжет</t>
        </is>
      </c>
      <c r="C542" s="2" t="n">
        <v>13629</v>
      </c>
      <c r="D542" s="3" t="inlineStr">
        <is>
          <t>Беспокойная ночь</t>
        </is>
      </c>
      <c r="E542" s="2" t="n">
        <v>1987</v>
      </c>
      <c r="F542" s="2" t="inlineStr">
        <is>
          <t>мультфильм</t>
        </is>
      </c>
      <c r="G542" s="2" t="inlineStr">
        <is>
          <t>ЭКРАН</t>
        </is>
      </c>
      <c r="H542" s="2" t="n">
        <v>16</v>
      </c>
      <c r="I542" s="2" t="inlineStr"/>
      <c r="J542" s="2" t="inlineStr">
        <is>
          <t>да</t>
        </is>
      </c>
      <c r="K542" s="3" t="inlineStr">
        <is>
          <t>Об экономии воды</t>
        </is>
      </c>
      <c r="L542" s="2" t="inlineStr">
        <is>
          <t>https://animator.ru/db/?p=show_film&amp;fid=5021</t>
        </is>
      </c>
      <c r="M542" s="2">
        <f>HYPERLINK("https://ru.wikipedia.org/w/index.php?search=%D0%91%D0%B5%D1%81%D0%BF%D0%BE%D0%BA%D0%BE%D0%B9%D0%BD%D0%B0%D1%8F%20%D0%BD%D0%BE%D1%87%D1%8C%201987%20%D1%84%D0%B8%D0%BB%D1%8C%D0%BC","искать")</f>
        <v/>
      </c>
      <c r="N542" s="3" t="n"/>
      <c r="O542" s="2" t="n"/>
      <c r="P542" s="2" t="n"/>
    </row>
    <row r="543">
      <c r="A543" s="2" t="n">
        <v>542</v>
      </c>
      <c r="B543" s="2" t="inlineStr">
        <is>
          <t>не сюжет</t>
        </is>
      </c>
      <c r="C543" s="2" t="n">
        <v>13690</v>
      </c>
      <c r="D543" s="3" t="inlineStr">
        <is>
          <t>Ель</t>
        </is>
      </c>
      <c r="E543" s="2" t="n">
        <v>1981</v>
      </c>
      <c r="F543" s="2" t="inlineStr">
        <is>
          <t>мультфильм</t>
        </is>
      </c>
      <c r="G543" s="2" t="inlineStr">
        <is>
          <t>ЭКРАН</t>
        </is>
      </c>
      <c r="H543" s="2" t="n">
        <v>16</v>
      </c>
      <c r="I543" s="2" t="inlineStr"/>
      <c r="J543" s="2" t="inlineStr">
        <is>
          <t>да</t>
        </is>
      </c>
      <c r="K543" s="3" t="inlineStr">
        <is>
          <t>Новогодний сюжет</t>
        </is>
      </c>
      <c r="L543" s="2" t="inlineStr">
        <is>
          <t>https://animator.ru/db/?p=show_film&amp;fid=5082</t>
        </is>
      </c>
      <c r="M543" s="2">
        <f>HYPERLINK("https://ru.wikipedia.org/w/index.php?search=%D0%95%D0%BB%D1%8C%201981%20%D1%84%D0%B8%D0%BB%D1%8C%D0%BC","искать")</f>
        <v/>
      </c>
      <c r="N543" s="3" t="n"/>
      <c r="O543" s="2" t="n"/>
      <c r="P543" s="2" t="n"/>
    </row>
    <row r="544">
      <c r="A544" s="2" t="n">
        <v>543</v>
      </c>
      <c r="B544" s="2" t="inlineStr">
        <is>
          <t>не сюжет</t>
        </is>
      </c>
      <c r="C544" s="2" t="n">
        <v>11954</v>
      </c>
      <c r="D544" s="3" t="inlineStr">
        <is>
          <t>Сорок градусов по ареометру</t>
        </is>
      </c>
      <c r="E544" s="2" t="n">
        <v>1981</v>
      </c>
      <c r="F544" s="2" t="inlineStr">
        <is>
          <t>мультфильм</t>
        </is>
      </c>
      <c r="G544" s="2" t="inlineStr">
        <is>
          <t>Союзмультфильм</t>
        </is>
      </c>
      <c r="H544" s="2" t="n">
        <v>17</v>
      </c>
      <c r="I544" s="2" t="inlineStr"/>
      <c r="J544" s="2" t="inlineStr">
        <is>
          <t>да</t>
        </is>
      </c>
      <c r="K544" s="3" t="inlineStr">
        <is>
          <t>О вреде алкоголя.</t>
        </is>
      </c>
      <c r="L544" s="2" t="inlineStr">
        <is>
          <t>https://animator.ru/db/?p=show_film&amp;fid=2870</t>
        </is>
      </c>
      <c r="M544" s="2">
        <f>HYPERLINK("https://ru.wikipedia.org/w/index.php?search=%D0%A1%D0%BE%D1%80%D0%BE%D0%BA%20%D0%B3%D1%80%D0%B0%D0%B4%D1%83%D1%81%D0%BE%D0%B2%20%D0%BF%D0%BE%20%D0%B0%D1%80%D0%B5%D0%BE%D0%BC%D0%B5%D1%82%D1%80%D1%83%201981%20%D1%84%D0%B8%D0%BB%D1%8C%D0%BC","искать")</f>
        <v/>
      </c>
      <c r="N544" s="3" t="n"/>
      <c r="O544" s="2" t="n"/>
      <c r="P544" s="2" t="n"/>
    </row>
    <row r="545">
      <c r="A545" s="2" t="n">
        <v>544</v>
      </c>
      <c r="B545" s="2" t="inlineStr">
        <is>
          <t>не сюжет</t>
        </is>
      </c>
      <c r="C545" s="2" t="n">
        <v>11969</v>
      </c>
      <c r="D545" s="3" t="inlineStr">
        <is>
          <t>Сказка о попе и работнике его балде</t>
        </is>
      </c>
      <c r="E545" s="2" t="n">
        <v>1940</v>
      </c>
      <c r="F545" s="2" t="inlineStr">
        <is>
          <t>мультфильм</t>
        </is>
      </c>
      <c r="G545" s="2" t="inlineStr">
        <is>
          <t>Союзмультфильм</t>
        </is>
      </c>
      <c r="H545" s="2" t="n">
        <v>17</v>
      </c>
      <c r="I545" s="2" t="inlineStr"/>
      <c r="J545" s="2" t="inlineStr">
        <is>
          <t>да</t>
        </is>
      </c>
      <c r="K545" s="3" t="inlineStr">
        <is>
          <t>По сказке Пушкина</t>
        </is>
      </c>
      <c r="L545" s="2" t="inlineStr">
        <is>
          <t>https://animator.ru/db/?p=show_film&amp;fid=2923</t>
        </is>
      </c>
      <c r="M545" s="2">
        <f>HYPERLINK("https://ru.wikipedia.org/w/index.php?search=%D0%A1%D0%BA%D0%B0%D0%B7%D0%BA%D0%B0%20%D0%BE%20%D0%BF%D0%BE%D0%BF%D0%B5%20%D0%B8%20%D1%80%D0%B0%D0%B1%D0%BE%D1%82%D0%BD%D0%B8%D0%BA%D0%B5%20%D0%B5%D0%B3%D0%BE%20%D0%B1%D0%B0%D0%BB%D0%B4%D0%B5%201940%20%D1%84%D0%B8%D0%BB%D1%8C%D0%BC","искать")</f>
        <v/>
      </c>
      <c r="N545" s="3" t="n"/>
      <c r="O545" s="2" t="n"/>
      <c r="P545" s="2" t="n"/>
    </row>
    <row r="546">
      <c r="A546" s="2" t="n">
        <v>545</v>
      </c>
      <c r="B546" s="2" t="inlineStr">
        <is>
          <t>не сюжет</t>
        </is>
      </c>
      <c r="C546" s="2" t="n">
        <v>12097</v>
      </c>
      <c r="D546" s="3" t="inlineStr">
        <is>
          <t>Сказка о царе Салтане (1984)</t>
        </is>
      </c>
      <c r="E546" s="2" t="n">
        <v>1984</v>
      </c>
      <c r="F546" s="2" t="inlineStr">
        <is>
          <t>мультфильм</t>
        </is>
      </c>
      <c r="G546" s="2" t="inlineStr">
        <is>
          <t>Союзмультфильм</t>
        </is>
      </c>
      <c r="H546" s="2" t="n">
        <v>17</v>
      </c>
      <c r="I546" s="2" t="inlineStr"/>
      <c r="J546" s="2" t="inlineStr">
        <is>
          <t>да</t>
        </is>
      </c>
      <c r="K546" s="3" t="inlineStr">
        <is>
          <t>По сказке Пушкина</t>
        </is>
      </c>
      <c r="L546" s="2" t="inlineStr">
        <is>
          <t>https://animator.ru/db/?p=show_film&amp;fid=3213</t>
        </is>
      </c>
      <c r="M546" s="2">
        <f>HYPERLINK("https://ru.wikipedia.org/w/index.php?search=%D0%A1%D0%BA%D0%B0%D0%B7%D0%BA%D0%B0%20%D0%BE%20%D1%86%D0%B0%D1%80%D0%B5%20%D0%A1%D0%B0%D0%BB%D1%82%D0%B0%D0%BD%D0%B5%20%281984%29%201984%20%D1%84%D0%B8%D0%BB%D1%8C%D0%BC","искать")</f>
        <v/>
      </c>
      <c r="N546" s="3" t="n"/>
      <c r="O546" s="2" t="n"/>
      <c r="P546" s="2" t="n"/>
    </row>
    <row r="547">
      <c r="A547" s="2" t="n">
        <v>546</v>
      </c>
      <c r="B547" s="2" t="inlineStr">
        <is>
          <t>не сюжет</t>
        </is>
      </c>
      <c r="C547" s="2" t="n">
        <v>12115</v>
      </c>
      <c r="D547" s="3" t="inlineStr">
        <is>
          <t>Музыкальный магазинчик</t>
        </is>
      </c>
      <c r="E547" s="2" t="n">
        <v>1989</v>
      </c>
      <c r="F547" s="2" t="inlineStr">
        <is>
          <t>мультфильм</t>
        </is>
      </c>
      <c r="G547" s="2" t="inlineStr">
        <is>
          <t>Союзмультфильм</t>
        </is>
      </c>
      <c r="H547" s="2" t="n">
        <v>17</v>
      </c>
      <c r="I547" s="2" t="inlineStr"/>
      <c r="J547" s="2" t="inlineStr">
        <is>
          <t>да</t>
        </is>
      </c>
      <c r="K547" s="3" t="inlineStr">
        <is>
          <t>По сказке Л.Легут</t>
        </is>
      </c>
      <c r="L547" s="2" t="inlineStr">
        <is>
          <t>https://animator.ru/db/?p=show_film&amp;fid=3231</t>
        </is>
      </c>
      <c r="M547" s="2">
        <f>HYPERLINK("https://ru.wikipedia.org/w/index.php?search=%D0%9C%D1%83%D0%B7%D1%8B%D0%BA%D0%B0%D0%BB%D1%8C%D0%BD%D1%8B%D0%B9%20%D0%BC%D0%B0%D0%B3%D0%B0%D0%B7%D0%B8%D0%BD%D1%87%D0%B8%D0%BA%201989%20%D1%84%D0%B8%D0%BB%D1%8C%D0%BC","искать")</f>
        <v/>
      </c>
      <c r="N547" s="3" t="n"/>
      <c r="O547" s="2" t="n"/>
      <c r="P547" s="2" t="n"/>
    </row>
    <row r="548">
      <c r="A548" s="2" t="n">
        <v>547</v>
      </c>
      <c r="B548" s="2" t="inlineStr">
        <is>
          <t>не сюжет</t>
        </is>
      </c>
      <c r="C548" s="2" t="n">
        <v>13236</v>
      </c>
      <c r="D548" s="3" t="inlineStr">
        <is>
          <t>Клоун и кропс</t>
        </is>
      </c>
      <c r="E548" s="2" t="n">
        <v>1976</v>
      </c>
      <c r="F548" s="2" t="inlineStr">
        <is>
          <t>мультфильм</t>
        </is>
      </c>
      <c r="G548" s="2" t="inlineStr">
        <is>
          <t>ТАЛЛИННФИЛЬМ</t>
        </is>
      </c>
      <c r="H548" s="2" t="n">
        <v>17</v>
      </c>
      <c r="I548" s="2" t="inlineStr"/>
      <c r="J548" s="2" t="inlineStr">
        <is>
          <t>да</t>
        </is>
      </c>
      <c r="K548" s="3" t="inlineStr">
        <is>
          <t>По рисункам детей</t>
        </is>
      </c>
      <c r="L548" s="2" t="inlineStr">
        <is>
          <t>https://animator.ru/db/?p=show_film&amp;fid=4478</t>
        </is>
      </c>
      <c r="M548" s="2">
        <f>HYPERLINK("https://ru.wikipedia.org/w/index.php?search=%D0%9A%D0%BB%D0%BE%D1%83%D0%BD%20%D0%B8%20%D0%BA%D1%80%D0%BE%D0%BF%D1%81%201976%20%D1%84%D0%B8%D0%BB%D1%8C%D0%BC","искать")</f>
        <v/>
      </c>
      <c r="N548" s="3" t="n"/>
      <c r="O548" s="2" t="n"/>
      <c r="P548" s="2" t="n"/>
    </row>
    <row r="549">
      <c r="A549" s="2" t="n">
        <v>548</v>
      </c>
      <c r="B549" s="2" t="inlineStr">
        <is>
          <t>не сюжет</t>
        </is>
      </c>
      <c r="C549" s="2" t="n">
        <v>13434</v>
      </c>
      <c r="D549" s="3" t="inlineStr">
        <is>
          <t>Кошкин дом</t>
        </is>
      </c>
      <c r="E549" s="2" t="n">
        <v>1982</v>
      </c>
      <c r="F549" s="2" t="inlineStr">
        <is>
          <t>мультфильм</t>
        </is>
      </c>
      <c r="G549" s="2" t="inlineStr">
        <is>
          <t>ЭКРАН</t>
        </is>
      </c>
      <c r="H549" s="2" t="n">
        <v>17</v>
      </c>
      <c r="I549" s="2" t="inlineStr"/>
      <c r="J549" s="2" t="inlineStr">
        <is>
          <t>да</t>
        </is>
      </c>
      <c r="K549" s="3" t="inlineStr">
        <is>
          <t>По сказке Маршака</t>
        </is>
      </c>
      <c r="L549" s="2" t="inlineStr">
        <is>
          <t>https://animator.ru/db/?p=show_film&amp;fid=4715</t>
        </is>
      </c>
      <c r="M549" s="2">
        <f>HYPERLINK("https://ru.wikipedia.org/w/index.php?search=%D0%9A%D0%BE%D1%88%D0%BA%D0%B8%D0%BD%20%D0%B4%D0%BE%D0%BC%201982%20%D1%84%D0%B8%D0%BB%D1%8C%D0%BC","искать")</f>
        <v/>
      </c>
      <c r="N549" s="3" t="n"/>
      <c r="O549" s="2" t="n"/>
      <c r="P549" s="2" t="n"/>
    </row>
    <row r="550">
      <c r="A550" s="2" t="n">
        <v>549</v>
      </c>
      <c r="B550" s="2" t="inlineStr">
        <is>
          <t>не сюжет</t>
        </is>
      </c>
      <c r="C550" s="2" t="n">
        <v>13640</v>
      </c>
      <c r="D550" s="3" t="inlineStr">
        <is>
          <t>Валенок</t>
        </is>
      </c>
      <c r="E550" s="2" t="n">
        <v>1981</v>
      </c>
      <c r="F550" s="2" t="inlineStr">
        <is>
          <t>мультфильм</t>
        </is>
      </c>
      <c r="G550" s="2" t="inlineStr">
        <is>
          <t>ЭКРАН</t>
        </is>
      </c>
      <c r="H550" s="2" t="n">
        <v>17</v>
      </c>
      <c r="I550" s="2" t="inlineStr"/>
      <c r="J550" s="2" t="inlineStr">
        <is>
          <t>да</t>
        </is>
      </c>
      <c r="K550" s="3" t="inlineStr">
        <is>
          <t>Новогодний сюжет.</t>
        </is>
      </c>
      <c r="L550" s="2" t="inlineStr">
        <is>
          <t>2026-10_мультфильмы_список_владельца.xlsx; https://animator.ru/db/?p=show_film&amp;fid=5032</t>
        </is>
      </c>
      <c r="M550" s="2">
        <f>HYPERLINK("https://ru.wikipedia.org/w/index.php?search=%D0%92%D0%B0%D0%BB%D0%B5%D0%BD%D0%BE%D0%BA%201981%20%D1%84%D0%B8%D0%BB%D1%8C%D0%BC","искать")</f>
        <v/>
      </c>
      <c r="N550" s="3" t="n"/>
      <c r="O550" s="2" t="n"/>
      <c r="P550" s="2" t="n"/>
    </row>
    <row r="551">
      <c r="A551" s="2" t="n">
        <v>550</v>
      </c>
      <c r="B551" s="2" t="inlineStr">
        <is>
          <t>не сюжет</t>
        </is>
      </c>
      <c r="C551" s="2" t="n">
        <v>14162</v>
      </c>
      <c r="D551" s="3" t="inlineStr">
        <is>
          <t>Притча о ромашках</t>
        </is>
      </c>
      <c r="E551" s="2" t="n">
        <v>1975</v>
      </c>
      <c r="F551" s="2" t="inlineStr">
        <is>
          <t>мультфильм</t>
        </is>
      </c>
      <c r="G551" s="2" t="inlineStr">
        <is>
          <t>СВЕРДЛОВСКТЕЛЕФИЛЬМ</t>
        </is>
      </c>
      <c r="H551" s="2" t="n">
        <v>17</v>
      </c>
      <c r="I551" s="2" t="inlineStr"/>
      <c r="J551" s="2" t="inlineStr">
        <is>
          <t>да</t>
        </is>
      </c>
      <c r="K551" s="3" t="inlineStr">
        <is>
          <t>О красоте природы</t>
        </is>
      </c>
      <c r="L551" s="2" t="inlineStr">
        <is>
          <t>https://animator.ru/db/?p=show_film&amp;fid=5560</t>
        </is>
      </c>
      <c r="M551" s="2">
        <f>HYPERLINK("https://ru.wikipedia.org/w/index.php?search=%D0%9F%D1%80%D0%B8%D1%82%D1%87%D0%B0%20%D0%BE%20%D1%80%D0%BE%D0%BC%D0%B0%D1%88%D0%BA%D0%B0%D1%85%201975%20%D1%84%D0%B8%D0%BB%D1%8C%D0%BC","искать")</f>
        <v/>
      </c>
      <c r="N551" s="3" t="n"/>
      <c r="O551" s="2" t="n"/>
      <c r="P551" s="2" t="n"/>
    </row>
    <row r="552">
      <c r="A552" s="2" t="n">
        <v>551</v>
      </c>
      <c r="B552" s="2" t="inlineStr">
        <is>
          <t>не сюжет</t>
        </is>
      </c>
      <c r="C552" s="2" t="n">
        <v>10236</v>
      </c>
      <c r="D552" s="3" t="inlineStr">
        <is>
          <t>Винни Пух и Все все все...</t>
        </is>
      </c>
      <c r="E552" s="2" t="n">
        <v>1968</v>
      </c>
      <c r="F552" s="2" t="inlineStr">
        <is>
          <t>фильм-спектакль</t>
        </is>
      </c>
      <c r="G552" s="2" t="inlineStr">
        <is>
          <t>Ленинградское телевидение</t>
        </is>
      </c>
      <c r="H552" s="2" t="n">
        <v>18</v>
      </c>
      <c r="I552" s="2" t="inlineStr"/>
      <c r="J552" s="2" t="inlineStr">
        <is>
          <t>да</t>
        </is>
      </c>
      <c r="K552" s="3" t="inlineStr">
        <is>
          <t>По сказке А.Милна.</t>
        </is>
      </c>
      <c r="L552" s="2" t="inlineStr">
        <is>
          <t>https://www.kino-teatr.ru/teatr/movie/111574/annot/</t>
        </is>
      </c>
      <c r="M552" s="2">
        <f>HYPERLINK("https://ru.wikipedia.org/w/index.php?search=%D0%92%D0%B8%D0%BD%D0%BD%D0%B8%20%D0%9F%D1%83%D1%85%20%D0%B8%20%D0%92%D1%81%D0%B5%20%D0%B2%D1%81%D0%B5%20%D0%B2%D1%81%D0%B5...%201968%20%D1%84%D0%B8%D0%BB%D1%8C%D0%BC","искать")</f>
        <v/>
      </c>
      <c r="N552" s="3" t="n"/>
      <c r="O552" s="2" t="n"/>
      <c r="P552" s="2" t="n"/>
    </row>
    <row r="553">
      <c r="A553" s="2" t="n">
        <v>552</v>
      </c>
      <c r="B553" s="2" t="inlineStr">
        <is>
          <t>не сюжет</t>
        </is>
      </c>
      <c r="C553" s="2" t="n">
        <v>11021</v>
      </c>
      <c r="D553" s="3" t="inlineStr">
        <is>
          <t>Чёрный гардемарин</t>
        </is>
      </c>
      <c r="E553" s="2" t="n">
        <v>1983</v>
      </c>
      <c r="F553" s="2" t="inlineStr">
        <is>
          <t>фильм-спектакль</t>
        </is>
      </c>
      <c r="G553" s="2" t="inlineStr">
        <is>
          <t>Ленинградское ТВ</t>
        </is>
      </c>
      <c r="H553" s="2" t="n">
        <v>18</v>
      </c>
      <c r="I553" s="2" t="inlineStr"/>
      <c r="J553" s="2" t="inlineStr">
        <is>
          <t>да</t>
        </is>
      </c>
      <c r="K553" s="3" t="inlineStr">
        <is>
          <t>По пьесе А.Штейна.</t>
        </is>
      </c>
      <c r="L553" s="2" t="inlineStr">
        <is>
          <t>https://www.kino-teatr.ru/teatr/movie/93185/annot/</t>
        </is>
      </c>
      <c r="M553" s="2">
        <f>HYPERLINK("https://ru.wikipedia.org/w/index.php?search=%D0%A7%D1%91%D1%80%D0%BD%D1%8B%D0%B9%20%D0%B3%D0%B0%D1%80%D0%B4%D0%B5%D0%BC%D0%B0%D1%80%D0%B8%D0%BD%201983%20%D1%84%D0%B8%D0%BB%D1%8C%D0%BC","искать")</f>
        <v/>
      </c>
      <c r="N553" s="3" t="n"/>
      <c r="O553" s="2" t="n"/>
      <c r="P553" s="2" t="n"/>
    </row>
    <row r="554">
      <c r="A554" s="2" t="n">
        <v>553</v>
      </c>
      <c r="B554" s="2" t="inlineStr">
        <is>
          <t>не сюжет</t>
        </is>
      </c>
      <c r="C554" s="2" t="n">
        <v>14184</v>
      </c>
      <c r="D554" s="3" t="inlineStr">
        <is>
          <t>Соседи</t>
        </is>
      </c>
      <c r="E554" s="2" t="n">
        <v>1985</v>
      </c>
      <c r="F554" s="2" t="inlineStr">
        <is>
          <t>мультфильм</t>
        </is>
      </c>
      <c r="G554" s="2" t="inlineStr">
        <is>
          <t>ТУРКМЕНТЕЛЕФИЛЬМ</t>
        </is>
      </c>
      <c r="H554" s="2" t="n">
        <v>18</v>
      </c>
      <c r="I554" s="2" t="inlineStr"/>
      <c r="J554" s="2" t="inlineStr">
        <is>
          <t>да</t>
        </is>
      </c>
      <c r="K554" s="3" t="inlineStr">
        <is>
          <t>Сказка для малышей</t>
        </is>
      </c>
      <c r="L554" s="2" t="inlineStr">
        <is>
          <t>https://animator.ru/db/?p=show_film&amp;fid=5582</t>
        </is>
      </c>
      <c r="M554" s="2">
        <f>HYPERLINK("https://ru.wikipedia.org/w/index.php?search=%D0%A1%D0%BE%D1%81%D0%B5%D0%B4%D0%B8%201985%20%D1%84%D0%B8%D0%BB%D1%8C%D0%BC","искать")</f>
        <v/>
      </c>
      <c r="N554" s="3" t="n"/>
      <c r="O554" s="2" t="n"/>
      <c r="P554" s="2" t="n"/>
    </row>
    <row r="555">
      <c r="A555" s="2" t="n">
        <v>554</v>
      </c>
      <c r="B555" s="2" t="inlineStr">
        <is>
          <t>не сюжет</t>
        </is>
      </c>
      <c r="C555" s="2" t="n">
        <v>10392</v>
      </c>
      <c r="D555" s="3" t="inlineStr">
        <is>
          <t>Жаворонок</t>
        </is>
      </c>
      <c r="E555" s="2" t="n">
        <v>1971</v>
      </c>
      <c r="F555" s="2" t="inlineStr">
        <is>
          <t>фильм-спектакль</t>
        </is>
      </c>
      <c r="G555" s="2" t="inlineStr">
        <is>
          <t>Ленинградское телевидение</t>
        </is>
      </c>
      <c r="H555" s="2" t="n">
        <v>19</v>
      </c>
      <c r="I555" s="2" t="inlineStr"/>
      <c r="J555" s="2" t="inlineStr">
        <is>
          <t>да</t>
        </is>
      </c>
      <c r="K555" s="3" t="inlineStr">
        <is>
          <t>По пьесе Жана Ануя.</t>
        </is>
      </c>
      <c r="L555" s="2" t="inlineStr">
        <is>
          <t>https://www.kino-teatr.ru/teatr/movie/109042/annot/</t>
        </is>
      </c>
      <c r="M555" s="2">
        <f>HYPERLINK("https://ru.wikipedia.org/w/index.php?search=%D0%96%D0%B0%D0%B2%D0%BE%D1%80%D0%BE%D0%BD%D0%BE%D0%BA%201971%20%D1%84%D0%B8%D0%BB%D1%8C%D0%BC","искать")</f>
        <v/>
      </c>
      <c r="N555" s="3" t="n"/>
      <c r="O555" s="2" t="n"/>
      <c r="P555" s="2" t="n"/>
    </row>
    <row r="556">
      <c r="A556" s="2" t="n">
        <v>555</v>
      </c>
      <c r="B556" s="2" t="inlineStr">
        <is>
          <t>не сюжет</t>
        </is>
      </c>
      <c r="C556" s="2" t="n">
        <v>11866</v>
      </c>
      <c r="D556" s="3" t="inlineStr">
        <is>
          <t>Горный мастер</t>
        </is>
      </c>
      <c r="E556" s="2" t="n">
        <v>1978</v>
      </c>
      <c r="F556" s="2" t="inlineStr">
        <is>
          <t>мультфильм</t>
        </is>
      </c>
      <c r="G556" s="2" t="inlineStr">
        <is>
          <t>Союзмультфильм</t>
        </is>
      </c>
      <c r="H556" s="2" t="n">
        <v>19</v>
      </c>
      <c r="I556" s="2" t="inlineStr"/>
      <c r="J556" s="2" t="inlineStr">
        <is>
          <t>да</t>
        </is>
      </c>
      <c r="K556" s="3" t="inlineStr">
        <is>
          <t>По сказке П.Бажова.</t>
        </is>
      </c>
      <c r="L556" s="2" t="inlineStr">
        <is>
          <t>2026-10_мультфильмы_список_владельца.xlsx; https://animator.ru/db/?p=show_film&amp;fid=2781</t>
        </is>
      </c>
      <c r="M556" s="2">
        <f>HYPERLINK("https://ru.wikipedia.org/w/index.php?search=%D0%93%D0%BE%D1%80%D0%BD%D1%8B%D0%B9%20%D0%BC%D0%B0%D1%81%D1%82%D0%B5%D1%80%201978%20%D1%84%D0%B8%D0%BB%D1%8C%D0%BC","искать")</f>
        <v/>
      </c>
      <c r="N556" s="3" t="n"/>
      <c r="O556" s="2" t="n"/>
      <c r="P556" s="2" t="n"/>
    </row>
    <row r="557">
      <c r="A557" s="2" t="n">
        <v>556</v>
      </c>
      <c r="B557" s="2" t="inlineStr">
        <is>
          <t>не сюжет</t>
        </is>
      </c>
      <c r="C557" s="2" t="n">
        <v>11869</v>
      </c>
      <c r="D557" s="3" t="inlineStr">
        <is>
          <t>Дождь (1978)</t>
        </is>
      </c>
      <c r="E557" s="2" t="n">
        <v>1978</v>
      </c>
      <c r="F557" s="2" t="inlineStr">
        <is>
          <t>мультфильм</t>
        </is>
      </c>
      <c r="G557" s="2" t="inlineStr">
        <is>
          <t>Союзмультфильм</t>
        </is>
      </c>
      <c r="H557" s="2" t="n">
        <v>19</v>
      </c>
      <c r="I557" s="2" t="inlineStr"/>
      <c r="J557" s="2" t="inlineStr">
        <is>
          <t>да</t>
        </is>
      </c>
      <c r="K557" s="3" t="inlineStr">
        <is>
          <t>По сказке Б.Шергина</t>
        </is>
      </c>
      <c r="L557" s="2" t="inlineStr">
        <is>
          <t>https://animator.ru/db/?p=show_film&amp;fid=2784</t>
        </is>
      </c>
      <c r="M557" s="2">
        <f>HYPERLINK("https://ru.wikipedia.org/w/index.php?search=%D0%94%D0%BE%D0%B6%D0%B4%D1%8C%20%281978%29%201978%20%D1%84%D0%B8%D0%BB%D1%8C%D0%BC","искать")</f>
        <v/>
      </c>
      <c r="N557" s="3" t="n"/>
      <c r="O557" s="2" t="n"/>
      <c r="P557" s="2" t="n"/>
    </row>
    <row r="558">
      <c r="A558" s="2" t="n">
        <v>557</v>
      </c>
      <c r="B558" s="2" t="inlineStr">
        <is>
          <t>не сюжет</t>
        </is>
      </c>
      <c r="C558" s="2" t="n">
        <v>12173</v>
      </c>
      <c r="D558" s="3" t="inlineStr">
        <is>
          <t>Воспоминание</t>
        </is>
      </c>
      <c r="E558" s="2" t="n">
        <v>1986</v>
      </c>
      <c r="F558" s="2" t="inlineStr">
        <is>
          <t>мультфильм</t>
        </is>
      </c>
      <c r="G558" s="2" t="inlineStr">
        <is>
          <t>Союзмультфильм</t>
        </is>
      </c>
      <c r="H558" s="2" t="n">
        <v>19</v>
      </c>
      <c r="I558" s="2" t="inlineStr"/>
      <c r="J558" s="2" t="inlineStr">
        <is>
          <t>да</t>
        </is>
      </c>
      <c r="K558" s="3" t="inlineStr">
        <is>
          <t>О детях военных лет</t>
        </is>
      </c>
      <c r="L558" s="2" t="inlineStr">
        <is>
          <t>https://animator.ru/db/?p=show_film&amp;fid=3289</t>
        </is>
      </c>
      <c r="M558" s="2">
        <f>HYPERLINK("https://ru.wikipedia.org/w/index.php?search=%D0%92%D0%BE%D1%81%D0%BF%D0%BE%D0%BC%D0%B8%D0%BD%D0%B0%D0%BD%D0%B8%D0%B5%201986%20%D1%84%D0%B8%D0%BB%D1%8C%D0%BC","искать")</f>
        <v/>
      </c>
      <c r="N558" s="3" t="n"/>
      <c r="O558" s="2" t="n"/>
      <c r="P558" s="2" t="inlineStr">
        <is>
          <t>ГФФ: «ВОСПОМИНАНИЕ» 1986 — по сверке другой фильм, не предложено</t>
        </is>
      </c>
    </row>
    <row r="559">
      <c r="A559" s="2" t="n">
        <v>558</v>
      </c>
      <c r="B559" s="2" t="inlineStr">
        <is>
          <t>не сюжет</t>
        </is>
      </c>
      <c r="C559" s="2" t="n">
        <v>12333</v>
      </c>
      <c r="D559" s="3" t="inlineStr">
        <is>
          <t>Ванька Жуков</t>
        </is>
      </c>
      <c r="E559" s="2" t="n">
        <v>1981</v>
      </c>
      <c r="F559" s="2" t="inlineStr">
        <is>
          <t>мультфильм</t>
        </is>
      </c>
      <c r="G559" s="2" t="inlineStr">
        <is>
          <t>КИЕВНАУЧФИЛЬМ</t>
        </is>
      </c>
      <c r="H559" s="2" t="n">
        <v>19</v>
      </c>
      <c r="I559" s="2" t="inlineStr"/>
      <c r="J559" s="2" t="inlineStr">
        <is>
          <t>да</t>
        </is>
      </c>
      <c r="K559" s="3" t="inlineStr">
        <is>
          <t>По рассказу Чехова.</t>
        </is>
      </c>
      <c r="L559" s="2" t="inlineStr">
        <is>
          <t>2026-10_мультфильмы_список_владельца.xlsx; https://animator.ru/db/?p=show_film&amp;fid=3497</t>
        </is>
      </c>
      <c r="M559" s="2">
        <f>HYPERLINK("https://ru.wikipedia.org/w/index.php?search=%D0%92%D0%B0%D0%BD%D1%8C%D0%BA%D0%B0%20%D0%96%D1%83%D0%BA%D0%BE%D0%B2%201981%20%D1%84%D0%B8%D0%BB%D1%8C%D0%BC","искать")</f>
        <v/>
      </c>
      <c r="N559" s="3" t="n"/>
      <c r="O559" s="2" t="n"/>
      <c r="P559" s="2" t="n"/>
    </row>
    <row r="560">
      <c r="A560" s="2" t="n">
        <v>559</v>
      </c>
      <c r="B560" s="2" t="inlineStr">
        <is>
          <t>не сюжет</t>
        </is>
      </c>
      <c r="C560" s="2" t="n">
        <v>12361</v>
      </c>
      <c r="D560" s="3" t="inlineStr">
        <is>
          <t>Допрыгни до облачка</t>
        </is>
      </c>
      <c r="E560" s="2" t="n">
        <v>1988</v>
      </c>
      <c r="F560" s="2" t="inlineStr">
        <is>
          <t>мультфильм</t>
        </is>
      </c>
      <c r="G560" s="2" t="inlineStr">
        <is>
          <t>КИЕВНАУЧФИЛЬМ</t>
        </is>
      </c>
      <c r="H560" s="2" t="n">
        <v>19</v>
      </c>
      <c r="I560" s="2" t="inlineStr"/>
      <c r="J560" s="2" t="inlineStr">
        <is>
          <t>да</t>
        </is>
      </c>
      <c r="K560" s="3" t="inlineStr">
        <is>
          <t>На украинском языке</t>
        </is>
      </c>
      <c r="L560" s="2" t="inlineStr">
        <is>
          <t>2026-10_мультфильмы_список_владельца.xlsx; https://animator.ru/db/?p=show_film&amp;fid=3528</t>
        </is>
      </c>
      <c r="M560" s="2">
        <f>HYPERLINK("https://ru.wikipedia.org/w/index.php?search=%D0%94%D0%BE%D0%BF%D1%80%D1%8B%D0%B3%D0%BD%D0%B8%20%D0%B4%D0%BE%20%D0%BE%D0%B1%D0%BB%D0%B0%D1%87%D0%BA%D0%B0%201988%20%D1%84%D0%B8%D0%BB%D1%8C%D0%BC","искать")</f>
        <v/>
      </c>
      <c r="N560" s="3" t="n"/>
      <c r="O560" s="2" t="n"/>
      <c r="P560" s="2" t="n"/>
    </row>
    <row r="561">
      <c r="A561" s="2" t="n">
        <v>560</v>
      </c>
      <c r="B561" s="2" t="inlineStr">
        <is>
          <t>не сюжет</t>
        </is>
      </c>
      <c r="C561" s="2" t="n">
        <v>12597</v>
      </c>
      <c r="D561" s="3" t="inlineStr">
        <is>
          <t>Человек в футляре</t>
        </is>
      </c>
      <c r="E561" s="2" t="n">
        <v>1983</v>
      </c>
      <c r="F561" s="2" t="inlineStr">
        <is>
          <t>мультфильм</t>
        </is>
      </c>
      <c r="G561" s="2" t="inlineStr">
        <is>
          <t>КИЕВНАУЧФИЛЬМ</t>
        </is>
      </c>
      <c r="H561" s="2" t="n">
        <v>19</v>
      </c>
      <c r="I561" s="2" t="inlineStr"/>
      <c r="J561" s="2" t="inlineStr">
        <is>
          <t>да</t>
        </is>
      </c>
      <c r="K561" s="3" t="inlineStr">
        <is>
          <t>По рассказу Чехова.</t>
        </is>
      </c>
      <c r="L561" s="2" t="inlineStr">
        <is>
          <t>2026-10_мультфильмы_список_владельца.xlsx; https://animator.ru/db/?p=show_film&amp;fid=3777</t>
        </is>
      </c>
      <c r="M561" s="2">
        <f>HYPERLINK("https://ru.wikipedia.org/w/index.php?search=%D0%A7%D0%B5%D0%BB%D0%BE%D0%B2%D0%B5%D0%BA%20%D0%B2%20%D1%84%D1%83%D1%82%D0%BB%D1%8F%D1%80%D0%B5%201983%20%D1%84%D0%B8%D0%BB%D1%8C%D0%BC","искать")</f>
        <v/>
      </c>
      <c r="N561" s="3" t="n"/>
      <c r="O561" s="2" t="n"/>
      <c r="P561" s="2" t="n"/>
    </row>
    <row r="562">
      <c r="A562" s="2" t="n">
        <v>561</v>
      </c>
      <c r="B562" s="2" t="inlineStr">
        <is>
          <t>не сюжет</t>
        </is>
      </c>
      <c r="C562" s="2" t="n">
        <v>13626</v>
      </c>
      <c r="D562" s="3" t="inlineStr">
        <is>
          <t>Берегите тепло ч.2</t>
        </is>
      </c>
      <c r="E562" s="2" t="n">
        <v>1988</v>
      </c>
      <c r="F562" s="2" t="inlineStr">
        <is>
          <t>мультфильм</t>
        </is>
      </c>
      <c r="G562" s="2" t="inlineStr">
        <is>
          <t>ЭКРАН</t>
        </is>
      </c>
      <c r="H562" s="2" t="n">
        <v>19</v>
      </c>
      <c r="I562" s="2" t="inlineStr"/>
      <c r="J562" s="2" t="inlineStr">
        <is>
          <t>да</t>
        </is>
      </c>
      <c r="K562" s="3" t="inlineStr">
        <is>
          <t>Инструктивный фильм</t>
        </is>
      </c>
      <c r="L562" s="2" t="inlineStr">
        <is>
          <t>https://animator.ru/db/?p=show_film&amp;fid=5018</t>
        </is>
      </c>
      <c r="M562" s="2">
        <f>HYPERLINK("https://ru.wikipedia.org/w/index.php?search=%D0%91%D0%B5%D1%80%D0%B5%D0%B3%D0%B8%D1%82%D0%B5%20%D1%82%D0%B5%D0%BF%D0%BB%D0%BE%20%D1%87.2%201988%20%D1%84%D0%B8%D0%BB%D1%8C%D0%BC","искать")</f>
        <v/>
      </c>
      <c r="N562" s="3" t="n"/>
      <c r="O562" s="2" t="n"/>
      <c r="P562" s="2" t="n"/>
    </row>
    <row r="563">
      <c r="A563" s="2" t="n">
        <v>562</v>
      </c>
      <c r="B563" s="2" t="inlineStr">
        <is>
          <t>не сюжет</t>
        </is>
      </c>
      <c r="C563" s="2" t="n">
        <v>13869</v>
      </c>
      <c r="D563" s="3" t="inlineStr">
        <is>
          <t>Раз ковбой, два ковбой</t>
        </is>
      </c>
      <c r="E563" s="2" t="n">
        <v>1981</v>
      </c>
      <c r="F563" s="2" t="inlineStr">
        <is>
          <t>мультфильм</t>
        </is>
      </c>
      <c r="G563" s="2" t="inlineStr">
        <is>
          <t>ЭКРАН</t>
        </is>
      </c>
      <c r="H563" s="2" t="n">
        <v>19</v>
      </c>
      <c r="I563" s="2" t="inlineStr"/>
      <c r="J563" s="2" t="inlineStr">
        <is>
          <t>да</t>
        </is>
      </c>
      <c r="K563" s="3" t="inlineStr">
        <is>
          <t>Пародия на вестерн.</t>
        </is>
      </c>
      <c r="L563" s="2" t="inlineStr">
        <is>
          <t>2026-10_мультфильмы_список_владельца.xlsx; https://animator.ru/db/?p=show_film&amp;fid=5262</t>
        </is>
      </c>
      <c r="M563" s="2">
        <f>HYPERLINK("https://ru.wikipedia.org/w/index.php?search=%D0%A0%D0%B0%D0%B7%20%D0%BA%D0%BE%D0%B2%D0%B1%D0%BE%D0%B9%2C%20%D0%B4%D0%B2%D0%B0%20%D0%BA%D0%BE%D0%B2%D0%B1%D0%BE%D0%B9%201981%20%D1%84%D0%B8%D0%BB%D1%8C%D0%BC","искать")</f>
        <v/>
      </c>
      <c r="N563" s="3" t="n"/>
      <c r="O563" s="2" t="n"/>
      <c r="P563" s="2" t="n"/>
    </row>
    <row r="564">
      <c r="A564" s="2" t="n">
        <v>563</v>
      </c>
      <c r="B564" s="2" t="inlineStr">
        <is>
          <t>не сюжет</t>
        </is>
      </c>
      <c r="C564" s="2" t="n">
        <v>14190</v>
      </c>
      <c r="D564" s="3" t="inlineStr">
        <is>
          <t>Тяп и Мика</t>
        </is>
      </c>
      <c r="E564" s="2" t="n">
        <v>1972</v>
      </c>
      <c r="F564" s="2" t="inlineStr">
        <is>
          <t>мультфильм</t>
        </is>
      </c>
      <c r="G564" s="2" t="inlineStr">
        <is>
          <t>ПЕРМЬТЕЛЕФИЛЬМ</t>
        </is>
      </c>
      <c r="H564" s="2" t="n">
        <v>19</v>
      </c>
      <c r="I564" s="2" t="inlineStr"/>
      <c r="J564" s="2" t="inlineStr">
        <is>
          <t>да</t>
        </is>
      </c>
      <c r="K564" s="3" t="inlineStr">
        <is>
          <t>История для малышей</t>
        </is>
      </c>
      <c r="L564" s="2" t="inlineStr">
        <is>
          <t>https://animator.ru/db/?p=show_film&amp;fid=5588</t>
        </is>
      </c>
      <c r="M564" s="2">
        <f>HYPERLINK("https://ru.wikipedia.org/w/index.php?search=%D0%A2%D1%8F%D0%BF%20%D0%B8%20%D0%9C%D0%B8%D0%BA%D0%B0%201972%20%D1%84%D0%B8%D0%BB%D1%8C%D0%BC","искать")</f>
        <v/>
      </c>
      <c r="N564" s="3" t="n"/>
      <c r="O564" s="2" t="n"/>
      <c r="P564" s="2" t="n"/>
    </row>
    <row r="565">
      <c r="A565" s="2" t="n">
        <v>564</v>
      </c>
      <c r="B565" s="2" t="inlineStr">
        <is>
          <t>не сюжет</t>
        </is>
      </c>
      <c r="C565" s="2" t="n">
        <v>10252</v>
      </c>
      <c r="D565" s="3" t="inlineStr">
        <is>
          <t>Кориолан</t>
        </is>
      </c>
      <c r="E565" s="2" t="n">
        <v>1968</v>
      </c>
      <c r="F565" s="2" t="inlineStr">
        <is>
          <t>фильм-спектакль</t>
        </is>
      </c>
      <c r="G565" s="2" t="inlineStr">
        <is>
          <t>Ленинградское Телевидение, Подборки фильмов, экранизации Шекспира</t>
        </is>
      </c>
      <c r="H565" s="2" t="n">
        <v>20</v>
      </c>
      <c r="I565" s="2" t="inlineStr"/>
      <c r="J565" s="2" t="inlineStr">
        <is>
          <t>да</t>
        </is>
      </c>
      <c r="K565" s="3" t="inlineStr">
        <is>
          <t>По пьесе У.Шекспира.</t>
        </is>
      </c>
      <c r="L565" s="2" t="inlineStr">
        <is>
          <t>https://www.kino-teatr.ru/teatr/movie/17364/annot/</t>
        </is>
      </c>
      <c r="M565" s="2">
        <f>HYPERLINK("https://ru.wikipedia.org/w/index.php?search=%D0%9A%D0%BE%D1%80%D0%B8%D0%BE%D0%BB%D0%B0%D0%BD%201968%20%D1%84%D0%B8%D0%BB%D1%8C%D0%BC","искать")</f>
        <v/>
      </c>
      <c r="N565" s="3" t="n"/>
      <c r="O565" s="2" t="n"/>
      <c r="P565" s="2" t="n"/>
    </row>
    <row r="566">
      <c r="A566" s="2" t="n">
        <v>565</v>
      </c>
      <c r="B566" s="2" t="inlineStr">
        <is>
          <t>не сюжет</t>
        </is>
      </c>
      <c r="C566" s="2" t="n">
        <v>11294</v>
      </c>
      <c r="D566" s="3" t="inlineStr">
        <is>
          <t>Антигона</t>
        </is>
      </c>
      <c r="E566" s="2" t="n">
        <v>1990</v>
      </c>
      <c r="F566" s="2" t="inlineStr">
        <is>
          <t>фильм-спектакль</t>
        </is>
      </c>
      <c r="G566" s="2" t="inlineStr">
        <is>
          <t>Ленинградское телевидение</t>
        </is>
      </c>
      <c r="H566" s="2" t="n">
        <v>20</v>
      </c>
      <c r="I566" s="2" t="inlineStr"/>
      <c r="J566" s="2" t="inlineStr">
        <is>
          <t>да</t>
        </is>
      </c>
      <c r="K566" s="3" t="inlineStr">
        <is>
          <t>По пьесе Жана Ануйя.</t>
        </is>
      </c>
      <c r="L566" s="2" t="inlineStr">
        <is>
          <t>https://www.kino-teatr.ru/teatr/movie/128098/annot/</t>
        </is>
      </c>
      <c r="M566" s="2">
        <f>HYPERLINK("https://ru.wikipedia.org/w/index.php?search=%D0%90%D0%BD%D1%82%D0%B8%D0%B3%D0%BE%D0%BD%D0%B0%201990%20%D1%84%D0%B8%D0%BB%D1%8C%D0%BC","искать")</f>
        <v/>
      </c>
      <c r="N566" s="3" t="n"/>
      <c r="O566" s="2" t="n"/>
      <c r="P566" s="2" t="n"/>
    </row>
    <row r="567">
      <c r="A567" s="2" t="n">
        <v>566</v>
      </c>
      <c r="B567" s="2" t="inlineStr">
        <is>
          <t>не сюжет</t>
        </is>
      </c>
      <c r="C567" s="2" t="n">
        <v>11626</v>
      </c>
      <c r="D567" s="3" t="inlineStr">
        <is>
          <t>Золоченые лбы</t>
        </is>
      </c>
      <c r="E567" s="2" t="n">
        <v>1971</v>
      </c>
      <c r="F567" s="2" t="inlineStr">
        <is>
          <t>мультфильм</t>
        </is>
      </c>
      <c r="G567" s="2" t="inlineStr">
        <is>
          <t>Союзмультфильм</t>
        </is>
      </c>
      <c r="H567" s="2" t="n">
        <v>20</v>
      </c>
      <c r="I567" s="2" t="inlineStr"/>
      <c r="J567" s="2" t="inlineStr">
        <is>
          <t>да</t>
        </is>
      </c>
      <c r="K567" s="3" t="inlineStr">
        <is>
          <t>По сказке Б.Шергина.</t>
        </is>
      </c>
      <c r="L567" s="2" t="inlineStr">
        <is>
          <t>2026-10_мультфильмы_список_владельца.xlsx; https://animator.ru/db/?p=show_film&amp;fid=2540</t>
        </is>
      </c>
      <c r="M567" s="2">
        <f>HYPERLINK("https://ru.wikipedia.org/w/index.php?search=%D0%97%D0%BE%D0%BB%D0%BE%D1%87%D0%B5%D0%BD%D1%8B%D0%B5%20%D0%BB%D0%B1%D1%8B%201971%20%D1%84%D0%B8%D0%BB%D1%8C%D0%BC","искать")</f>
        <v/>
      </c>
      <c r="N567" s="3" t="n"/>
      <c r="O567" s="2" t="n"/>
      <c r="P567" s="2" t="n"/>
    </row>
    <row r="568">
      <c r="A568" s="2" t="n">
        <v>567</v>
      </c>
      <c r="B568" s="2" t="inlineStr">
        <is>
          <t>не сюжет</t>
        </is>
      </c>
      <c r="C568" s="2" t="n">
        <v>11788</v>
      </c>
      <c r="D568" s="3" t="inlineStr">
        <is>
          <t>Уступите мне дорогу</t>
        </is>
      </c>
      <c r="E568" s="2" t="n">
        <v>1975</v>
      </c>
      <c r="F568" s="2" t="inlineStr">
        <is>
          <t>мультфильм</t>
        </is>
      </c>
      <c r="G568" s="2" t="inlineStr">
        <is>
          <t>Союзмультфильм</t>
        </is>
      </c>
      <c r="H568" s="2" t="n">
        <v>20</v>
      </c>
      <c r="I568" s="2" t="inlineStr"/>
      <c r="J568" s="2" t="inlineStr">
        <is>
          <t>да</t>
        </is>
      </c>
      <c r="K568" s="3" t="inlineStr">
        <is>
          <t>По сказке М.Ходакова</t>
        </is>
      </c>
      <c r="L568" s="2" t="inlineStr">
        <is>
          <t>https://animator.ru/db/?p=show_film&amp;fid=2702</t>
        </is>
      </c>
      <c r="M568" s="2">
        <f>HYPERLINK("https://ru.wikipedia.org/w/index.php?search=%D0%A3%D1%81%D1%82%D1%83%D0%BF%D0%B8%D1%82%D0%B5%20%D0%BC%D0%BD%D0%B5%20%D0%B4%D0%BE%D1%80%D0%BE%D0%B3%D1%83%201975%20%D1%84%D0%B8%D0%BB%D1%8C%D0%BC","искать")</f>
        <v/>
      </c>
      <c r="N568" s="3" t="n"/>
      <c r="O568" s="2" t="n"/>
      <c r="P568" s="2" t="n"/>
    </row>
    <row r="569">
      <c r="A569" s="2" t="n">
        <v>568</v>
      </c>
      <c r="B569" s="2" t="inlineStr">
        <is>
          <t>не сюжет</t>
        </is>
      </c>
      <c r="C569" s="2" t="n">
        <v>12138</v>
      </c>
      <c r="D569" s="3" t="inlineStr">
        <is>
          <t>Грибной дождик</t>
        </is>
      </c>
      <c r="E569" s="2" t="n">
        <v>1985</v>
      </c>
      <c r="F569" s="2" t="inlineStr">
        <is>
          <t>мультфильм</t>
        </is>
      </c>
      <c r="G569" s="2" t="inlineStr">
        <is>
          <t>Союзмультфильм</t>
        </is>
      </c>
      <c r="H569" s="2" t="n">
        <v>20</v>
      </c>
      <c r="I569" s="2" t="inlineStr"/>
      <c r="J569" s="2" t="inlineStr">
        <is>
          <t>да</t>
        </is>
      </c>
      <c r="K569" s="3" t="inlineStr">
        <is>
          <t>Для самых маленьких.</t>
        </is>
      </c>
      <c r="L569" s="2" t="inlineStr">
        <is>
          <t>2026-10_мультфильмы_список_владельца.xlsx; https://animator.ru/db/?p=show_film&amp;fid=3254</t>
        </is>
      </c>
      <c r="M569" s="2">
        <f>HYPERLINK("https://ru.wikipedia.org/w/index.php?search=%D0%93%D1%80%D0%B8%D0%B1%D0%BD%D0%BE%D0%B9%20%D0%B4%D0%BE%D0%B6%D0%B4%D0%B8%D0%BA%201985%20%D1%84%D0%B8%D0%BB%D1%8C%D0%BC","искать")</f>
        <v/>
      </c>
      <c r="N569" s="3" t="n"/>
      <c r="O569" s="2" t="n"/>
      <c r="P569" s="2" t="n"/>
    </row>
    <row r="570">
      <c r="A570" s="2" t="n">
        <v>569</v>
      </c>
      <c r="B570" s="2" t="inlineStr">
        <is>
          <t>не сюжет</t>
        </is>
      </c>
      <c r="C570" s="2" t="n">
        <v>12396</v>
      </c>
      <c r="D570" s="3" t="inlineStr">
        <is>
          <t>Как было написано первое письмо</t>
        </is>
      </c>
      <c r="E570" s="2" t="n">
        <v>1984</v>
      </c>
      <c r="F570" s="2" t="inlineStr">
        <is>
          <t>мультфильм</t>
        </is>
      </c>
      <c r="G570" s="2" t="inlineStr">
        <is>
          <t>КИЕВНАУЧФИЛЬМ</t>
        </is>
      </c>
      <c r="H570" s="2" t="n">
        <v>20</v>
      </c>
      <c r="I570" s="2" t="inlineStr"/>
      <c r="J570" s="2" t="inlineStr">
        <is>
          <t>да</t>
        </is>
      </c>
      <c r="K570" s="3" t="inlineStr">
        <is>
          <t>По сказке Р.Киплинга</t>
        </is>
      </c>
      <c r="L570" s="2" t="inlineStr">
        <is>
          <t>https://animator.ru/db/?p=show_film&amp;fid=3567</t>
        </is>
      </c>
      <c r="M570" s="2">
        <f>HYPERLINK("https://ru.wikipedia.org/w/index.php?search=%D0%9A%D0%B0%D0%BA%20%D0%B1%D1%8B%D0%BB%D0%BE%20%D0%BD%D0%B0%D0%BF%D0%B8%D1%81%D0%B0%D0%BD%D0%BE%20%D0%BF%D0%B5%D1%80%D0%B2%D0%BE%D0%B5%20%D0%BF%D0%B8%D1%81%D1%8C%D0%BC%D0%BE%201984%20%D1%84%D0%B8%D0%BB%D1%8C%D0%BC","искать")</f>
        <v/>
      </c>
      <c r="N570" s="3" t="n"/>
      <c r="O570" s="2" t="n"/>
      <c r="P570" s="2" t="n"/>
    </row>
    <row r="571">
      <c r="A571" s="2" t="n">
        <v>570</v>
      </c>
      <c r="B571" s="2" t="inlineStr">
        <is>
          <t>не сюжет</t>
        </is>
      </c>
      <c r="C571" s="2" t="n">
        <v>12550</v>
      </c>
      <c r="D571" s="3" t="inlineStr">
        <is>
          <t>Сказка о карасях, зайце и бубликах</t>
        </is>
      </c>
      <c r="E571" s="2" t="n">
        <v>1984</v>
      </c>
      <c r="F571" s="2" t="inlineStr">
        <is>
          <t>мультфильм</t>
        </is>
      </c>
      <c r="G571" s="2" t="inlineStr">
        <is>
          <t>КИЕВНАУЧФИЛЬМ</t>
        </is>
      </c>
      <c r="H571" s="2" t="n">
        <v>20</v>
      </c>
      <c r="I571" s="2" t="inlineStr"/>
      <c r="J571" s="2" t="inlineStr">
        <is>
          <t>да</t>
        </is>
      </c>
      <c r="K571" s="3" t="inlineStr">
        <is>
          <t>По украинской сказке</t>
        </is>
      </c>
      <c r="L571" s="2" t="inlineStr">
        <is>
          <t>https://animator.ru/db/?p=show_film&amp;fid=3729</t>
        </is>
      </c>
      <c r="M571" s="2">
        <f>HYPERLINK("https://ru.wikipedia.org/w/index.php?search=%D0%A1%D0%BA%D0%B0%D0%B7%D0%BA%D0%B0%20%D0%BE%20%D0%BA%D0%B0%D1%80%D0%B0%D1%81%D1%8F%D1%85%2C%20%D0%B7%D0%B0%D0%B9%D1%86%D0%B5%20%D0%B8%20%D0%B1%D1%83%D0%B1%D0%BB%D0%B8%D0%BA%D0%B0%D1%85%201984%20%D1%84%D0%B8%D0%BB%D1%8C%D0%BC","искать")</f>
        <v/>
      </c>
      <c r="N571" s="3" t="n"/>
      <c r="O571" s="2" t="n"/>
      <c r="P571" s="2" t="n"/>
    </row>
    <row r="572">
      <c r="A572" s="2" t="n">
        <v>571</v>
      </c>
      <c r="B572" s="2" t="inlineStr">
        <is>
          <t>не сюжет</t>
        </is>
      </c>
      <c r="C572" s="2" t="n">
        <v>12606</v>
      </c>
      <c r="D572" s="3" t="inlineStr">
        <is>
          <t>Что на что похоже</t>
        </is>
      </c>
      <c r="E572" s="2" t="n">
        <v>1974</v>
      </c>
      <c r="F572" s="2" t="inlineStr">
        <is>
          <t>мультфильм</t>
        </is>
      </c>
      <c r="G572" s="2" t="inlineStr">
        <is>
          <t>КИЕВНАУЧФИЛЬМ</t>
        </is>
      </c>
      <c r="H572" s="2" t="n">
        <v>20</v>
      </c>
      <c r="I572" s="2" t="inlineStr"/>
      <c r="J572" s="2" t="inlineStr">
        <is>
          <t>да</t>
        </is>
      </c>
      <c r="K572" s="3" t="inlineStr">
        <is>
          <t>Для самых маленьких.</t>
        </is>
      </c>
      <c r="L572" s="2" t="inlineStr">
        <is>
          <t>2026-10_мультфильмы_список_владельца.xlsx; https://animator.ru/db/?p=show_film&amp;fid=3786</t>
        </is>
      </c>
      <c r="M572" s="2">
        <f>HYPERLINK("https://ru.wikipedia.org/w/index.php?search=%D0%A7%D1%82%D0%BE%20%D0%BD%D0%B0%20%D1%87%D1%82%D0%BE%20%D0%BF%D0%BE%D1%85%D0%BE%D0%B6%D0%B5%201974%20%D1%84%D0%B8%D0%BB%D1%8C%D0%BC","искать")</f>
        <v/>
      </c>
      <c r="N572" s="3" t="n"/>
      <c r="O572" s="2" t="n"/>
      <c r="P572" s="2" t="n"/>
    </row>
    <row r="573">
      <c r="A573" s="2" t="n">
        <v>572</v>
      </c>
      <c r="B573" s="2" t="inlineStr">
        <is>
          <t>не сюжет</t>
        </is>
      </c>
      <c r="C573" s="2" t="n">
        <v>12616</v>
      </c>
      <c r="D573" s="3" t="inlineStr">
        <is>
          <t>ДЕЛО БЕЗ ДЕЛА ("Фитиль" N 279)</t>
        </is>
      </c>
      <c r="E573" s="2" t="n">
        <v>1985</v>
      </c>
      <c r="F573" s="2" t="inlineStr">
        <is>
          <t>мультфильм</t>
        </is>
      </c>
      <c r="G573" s="2" t="inlineStr">
        <is>
          <t>Союзмультфильм</t>
        </is>
      </c>
      <c r="H573" s="2" t="n">
        <v>20</v>
      </c>
      <c r="I573" s="2" t="inlineStr"/>
      <c r="J573" s="2" t="inlineStr">
        <is>
          <t>да</t>
        </is>
      </c>
      <c r="K573" s="3" t="inlineStr">
        <is>
          <t>Сюжет о бездельниках</t>
        </is>
      </c>
      <c r="L573" s="2" t="inlineStr">
        <is>
          <t>https://animator.ru/db/?p=show_film&amp;fid=3796</t>
        </is>
      </c>
      <c r="M573" s="2">
        <f>HYPERLINK("https://ru.wikipedia.org/w/index.php?search=%D0%94%D0%95%D0%9B%D0%9E%20%D0%91%D0%95%D0%97%20%D0%94%D0%95%D0%9B%D0%90%20%28%22%D0%A4%D0%B8%D1%82%D0%B8%D0%BB%D1%8C%22%20N%20279%29%201985%20%D1%84%D0%B8%D0%BB%D1%8C%D0%BC","искать")</f>
        <v/>
      </c>
      <c r="N573" s="3" t="n"/>
      <c r="O573" s="2" t="n"/>
      <c r="P573" s="2" t="n"/>
    </row>
    <row r="574">
      <c r="A574" s="2" t="n">
        <v>573</v>
      </c>
      <c r="B574" s="2" t="inlineStr">
        <is>
          <t>не сюжет</t>
        </is>
      </c>
      <c r="C574" s="2" t="n">
        <v>12679</v>
      </c>
      <c r="D574" s="3" t="inlineStr">
        <is>
          <t>Последний прилет марсиан</t>
        </is>
      </c>
      <c r="E574" s="2" t="n">
        <v>1986</v>
      </c>
      <c r="F574" s="2" t="inlineStr">
        <is>
          <t>мультфильм</t>
        </is>
      </c>
      <c r="G574" s="2" t="inlineStr">
        <is>
          <t>БЕЛАРУСЬФИЛЬМ НАЦИОНАЛЬНАЯ КИНОСТУДИЯ - ГП</t>
        </is>
      </c>
      <c r="H574" s="2" t="n">
        <v>20</v>
      </c>
      <c r="I574" s="2" t="inlineStr"/>
      <c r="J574" s="2" t="inlineStr">
        <is>
          <t>да</t>
        </is>
      </c>
      <c r="K574" s="3" t="inlineStr">
        <is>
          <t>О вреде алкоголизма.</t>
        </is>
      </c>
      <c r="L574" s="2" t="inlineStr">
        <is>
          <t>2026-10_мультфильмы_список_владельца.xlsx; https://animator.ru/db/?p=show_film&amp;fid=3874</t>
        </is>
      </c>
      <c r="M574" s="2">
        <f>HYPERLINK("https://ru.wikipedia.org/w/index.php?search=%D0%9F%D0%BE%D1%81%D0%BB%D0%B5%D0%B4%D0%BD%D0%B8%D0%B9%20%D0%BF%D1%80%D0%B8%D0%BB%D0%B5%D1%82%20%D0%BC%D0%B0%D1%80%D1%81%D0%B8%D0%B0%D0%BD%201986%20%D1%84%D0%B8%D0%BB%D1%8C%D0%BC","искать")</f>
        <v/>
      </c>
      <c r="N574" s="3" t="n"/>
      <c r="O574" s="2" t="n"/>
      <c r="P574" s="2" t="n"/>
    </row>
    <row r="575">
      <c r="A575" s="2" t="n">
        <v>574</v>
      </c>
      <c r="B575" s="2" t="inlineStr">
        <is>
          <t>не сюжет</t>
        </is>
      </c>
      <c r="C575" s="2" t="n">
        <v>12914</v>
      </c>
      <c r="D575" s="3" t="inlineStr">
        <is>
          <t>Земля возьмет свое</t>
        </is>
      </c>
      <c r="E575" s="2" t="n">
        <v>1983</v>
      </c>
      <c r="F575" s="2" t="inlineStr">
        <is>
          <t>мультфильм</t>
        </is>
      </c>
      <c r="G575" s="2" t="inlineStr">
        <is>
          <t>ГРУЗИЯ-ФИЛЬМ - АО</t>
        </is>
      </c>
      <c r="H575" s="2" t="n">
        <v>20</v>
      </c>
      <c r="I575" s="2" t="inlineStr"/>
      <c r="J575" s="2" t="inlineStr">
        <is>
          <t>да</t>
        </is>
      </c>
      <c r="K575" s="3" t="inlineStr">
        <is>
          <t>По грузинской сказке</t>
        </is>
      </c>
      <c r="L575" s="2" t="inlineStr">
        <is>
          <t>https://animator.ru/db/?p=show_film&amp;fid=4144</t>
        </is>
      </c>
      <c r="M575" s="2">
        <f>HYPERLINK("https://ru.wikipedia.org/w/index.php?search=%D0%97%D0%B5%D0%BC%D0%BB%D1%8F%20%D0%B2%D0%BE%D0%B7%D1%8C%D0%BC%D0%B5%D1%82%20%D1%81%D0%B2%D0%BE%D0%B5%201983%20%D1%84%D0%B8%D0%BB%D1%8C%D0%BC","искать")</f>
        <v/>
      </c>
      <c r="N575" s="3" t="n"/>
      <c r="O575" s="2" t="n"/>
      <c r="P575" s="2" t="n"/>
    </row>
    <row r="576">
      <c r="A576" s="2" t="n">
        <v>575</v>
      </c>
      <c r="B576" s="2" t="inlineStr">
        <is>
          <t>не сюжет</t>
        </is>
      </c>
      <c r="C576" s="2" t="n">
        <v>13499</v>
      </c>
      <c r="D576" s="3" t="inlineStr">
        <is>
          <t>Травяная западенка</t>
        </is>
      </c>
      <c r="E576" s="2" t="n">
        <v>1982</v>
      </c>
      <c r="F576" s="2" t="inlineStr">
        <is>
          <t>мультфильм</t>
        </is>
      </c>
      <c r="G576" s="2" t="inlineStr">
        <is>
          <t>Свердловская киностудия</t>
        </is>
      </c>
      <c r="H576" s="2" t="n">
        <v>20</v>
      </c>
      <c r="I576" s="2" t="inlineStr"/>
      <c r="J576" s="2" t="inlineStr">
        <is>
          <t>да</t>
        </is>
      </c>
      <c r="K576" s="3" t="inlineStr">
        <is>
          <t>По рассказу П.Бажова</t>
        </is>
      </c>
      <c r="L576" s="2" t="inlineStr">
        <is>
          <t>https://animator.ru/db/?p=show_film&amp;fid=4789</t>
        </is>
      </c>
      <c r="M576" s="2">
        <f>HYPERLINK("https://ru.wikipedia.org/w/index.php?search=%D0%A2%D1%80%D0%B0%D0%B2%D1%8F%D0%BD%D0%B0%D1%8F%20%D0%B7%D0%B0%D0%BF%D0%B0%D0%B4%D0%B5%D0%BD%D0%BA%D0%B0%201982%20%D1%84%D0%B8%D0%BB%D1%8C%D0%BC","искать")</f>
        <v/>
      </c>
      <c r="N576" s="3" t="n"/>
      <c r="O576" s="2" t="n"/>
      <c r="P576" s="2" t="n"/>
    </row>
    <row r="577">
      <c r="A577" s="2" t="n">
        <v>576</v>
      </c>
      <c r="B577" s="2" t="inlineStr">
        <is>
          <t>не сюжет</t>
        </is>
      </c>
      <c r="C577" s="2" t="n">
        <v>13612</v>
      </c>
      <c r="D577" s="3" t="inlineStr">
        <is>
          <t>В старом сундуке</t>
        </is>
      </c>
      <c r="E577" s="2" t="n">
        <v>1990</v>
      </c>
      <c r="F577" s="2" t="inlineStr">
        <is>
          <t>мультфильм</t>
        </is>
      </c>
      <c r="G577" s="2" t="inlineStr">
        <is>
          <t>ПЕРМЬТЕЛЕФИЛЬМ</t>
        </is>
      </c>
      <c r="H577" s="2" t="n">
        <v>20</v>
      </c>
      <c r="I577" s="2" t="inlineStr"/>
      <c r="J577" s="2" t="inlineStr">
        <is>
          <t>да</t>
        </is>
      </c>
      <c r="K577" s="3" t="inlineStr">
        <is>
          <t>По сказке В.Воронина</t>
        </is>
      </c>
      <c r="L577" s="2" t="inlineStr">
        <is>
          <t>https://animator.ru/db/?p=show_film&amp;fid=4963</t>
        </is>
      </c>
      <c r="M577" s="2">
        <f>HYPERLINK("https://ru.wikipedia.org/w/index.php?search=%D0%92%20%D1%81%D1%82%D0%B0%D1%80%D0%BE%D0%BC%20%D1%81%D1%83%D0%BD%D0%B4%D1%83%D0%BA%D0%B5%201990%20%D1%84%D0%B8%D0%BB%D1%8C%D0%BC","искать")</f>
        <v/>
      </c>
      <c r="N577" s="3" t="n"/>
      <c r="O577" s="2" t="n"/>
      <c r="P577" s="2" t="n"/>
    </row>
    <row r="578">
      <c r="A578" s="2" t="n">
        <v>577</v>
      </c>
      <c r="B578" s="2" t="inlineStr">
        <is>
          <t>не сюжет</t>
        </is>
      </c>
      <c r="C578" s="2" t="n">
        <v>13879</v>
      </c>
      <c r="D578" s="3" t="inlineStr">
        <is>
          <t>Рецепт</t>
        </is>
      </c>
      <c r="E578" s="2" t="n">
        <v>1987</v>
      </c>
      <c r="F578" s="2" t="inlineStr">
        <is>
          <t>мультфильм</t>
        </is>
      </c>
      <c r="G578" s="2" t="inlineStr">
        <is>
          <t>ЭКРАН</t>
        </is>
      </c>
      <c r="H578" s="2" t="n">
        <v>20</v>
      </c>
      <c r="I578" s="2" t="inlineStr"/>
      <c r="J578" s="2" t="inlineStr">
        <is>
          <t>да</t>
        </is>
      </c>
      <c r="K578" s="3" t="inlineStr">
        <is>
          <t>Об утеплении квартир</t>
        </is>
      </c>
      <c r="L578" s="2" t="inlineStr">
        <is>
          <t>https://animator.ru/db/?p=show_film&amp;fid=5272</t>
        </is>
      </c>
      <c r="M578" s="2">
        <f>HYPERLINK("https://ru.wikipedia.org/w/index.php?search=%D0%A0%D0%B5%D1%86%D0%B5%D0%BF%D1%82%201987%20%D1%84%D0%B8%D0%BB%D1%8C%D0%BC","искать")</f>
        <v/>
      </c>
      <c r="N578" s="3" t="n"/>
      <c r="O578" s="2" t="n"/>
      <c r="P578" s="2" t="n"/>
    </row>
    <row r="579">
      <c r="A579" s="2" t="n">
        <v>578</v>
      </c>
      <c r="B579" s="2" t="inlineStr">
        <is>
          <t>не сюжет</t>
        </is>
      </c>
      <c r="C579" s="2" t="n">
        <v>13999</v>
      </c>
      <c r="D579" s="3" t="inlineStr">
        <is>
          <t>ШКОЛА ПОМОЩНИКОВ. Фильм второй</t>
        </is>
      </c>
      <c r="E579" s="2" t="n">
        <v>1986</v>
      </c>
      <c r="F579" s="2" t="inlineStr">
        <is>
          <t>мультфильм</t>
        </is>
      </c>
      <c r="G579" s="2" t="inlineStr">
        <is>
          <t>ЭКРАН</t>
        </is>
      </c>
      <c r="H579" s="2" t="n">
        <v>20</v>
      </c>
      <c r="I579" s="2" t="inlineStr"/>
      <c r="J579" s="2" t="inlineStr">
        <is>
          <t>да</t>
        </is>
      </c>
      <c r="K579" s="3" t="inlineStr">
        <is>
          <t>Второй фильм дилогии</t>
        </is>
      </c>
      <c r="L579" s="2" t="inlineStr">
        <is>
          <t>https://animator.ru/db/?p=show_film&amp;fid=5393</t>
        </is>
      </c>
      <c r="M579" s="2">
        <f>HYPERLINK("https://ru.wikipedia.org/w/index.php?search=%D0%A8%D0%9A%D0%9E%D0%9B%D0%90%20%D0%9F%D0%9E%D0%9C%D0%9E%D0%A9%D0%9D%D0%98%D0%9A%D0%9E%D0%92.%20%D0%A4%D0%B8%D0%BB%D1%8C%D0%BC%20%D0%B2%D1%82%D0%BE%D1%80%D0%BE%D0%B9%201986%20%D1%84%D0%B8%D0%BB%D1%8C%D0%BC","искать")</f>
        <v/>
      </c>
      <c r="N579" s="3" t="n"/>
      <c r="O579" s="2" t="n"/>
      <c r="P579" s="2" t="n"/>
    </row>
    <row r="580">
      <c r="A580" s="2" t="n">
        <v>579</v>
      </c>
      <c r="B580" s="2" t="inlineStr">
        <is>
          <t>не сюжет</t>
        </is>
      </c>
      <c r="C580" s="2" t="n">
        <v>11198</v>
      </c>
      <c r="D580" s="3" t="inlineStr">
        <is>
          <t>Дядя Ваня. Сцены из деревенской жизни</t>
        </is>
      </c>
      <c r="E580" s="2" t="n">
        <v>1988</v>
      </c>
      <c r="F580" s="2" t="inlineStr">
        <is>
          <t>фильм-спектакль</t>
        </is>
      </c>
      <c r="G580" s="2" t="n"/>
      <c r="H580" s="2" t="n">
        <v>21</v>
      </c>
      <c r="I580" s="2" t="inlineStr"/>
      <c r="J580" s="2" t="inlineStr">
        <is>
          <t>да</t>
        </is>
      </c>
      <c r="K580" s="3" t="inlineStr">
        <is>
          <t>По пьесе А.П. Чехова.</t>
        </is>
      </c>
      <c r="L580" s="2" t="inlineStr">
        <is>
          <t>https://www.kino-teatr.ru/teatr/movie/97162/annot/</t>
        </is>
      </c>
      <c r="M580" s="2">
        <f>HYPERLINK("https://ru.wikipedia.org/w/index.php?search=%D0%94%D1%8F%D0%B4%D1%8F%20%D0%92%D0%B0%D0%BD%D1%8F.%20%D0%A1%D1%86%D0%B5%D0%BD%D1%8B%20%D0%B8%D0%B7%20%D0%B4%D0%B5%D1%80%D0%B5%D0%B2%D0%B5%D0%BD%D1%81%D0%BA%D0%BE%D0%B9%20%D0%B6%D0%B8%D0%B7%D0%BD%D0%B8%201988%20%D1%84%D0%B8%D0%BB%D1%8C%D0%BC","искать")</f>
        <v/>
      </c>
      <c r="N580" s="3" t="n"/>
      <c r="O580" s="2" t="n"/>
      <c r="P580" s="2" t="n"/>
    </row>
    <row r="581">
      <c r="A581" s="2" t="n">
        <v>580</v>
      </c>
      <c r="B581" s="2" t="inlineStr">
        <is>
          <t>не сюжет</t>
        </is>
      </c>
      <c r="C581" s="2" t="n">
        <v>12289</v>
      </c>
      <c r="D581" s="3" t="inlineStr">
        <is>
          <t>Пришелец ванюша</t>
        </is>
      </c>
      <c r="E581" s="2" t="n">
        <v>1990</v>
      </c>
      <c r="F581" s="2" t="inlineStr">
        <is>
          <t>мультфильм</t>
        </is>
      </c>
      <c r="G581" s="2" t="inlineStr">
        <is>
          <t>Союзмультфильм</t>
        </is>
      </c>
      <c r="H581" s="2" t="n">
        <v>21</v>
      </c>
      <c r="I581" s="2" t="inlineStr"/>
      <c r="J581" s="2" t="inlineStr">
        <is>
          <t>да</t>
        </is>
      </c>
      <c r="K581" s="3" t="inlineStr">
        <is>
          <t>Второй фильм трилогии</t>
        </is>
      </c>
      <c r="L581" s="2" t="inlineStr">
        <is>
          <t>https://animator.ru/db/?p=show_film&amp;fid=3406</t>
        </is>
      </c>
      <c r="M581" s="2">
        <f>HYPERLINK("https://ru.wikipedia.org/w/index.php?search=%D0%9F%D1%80%D0%B8%D1%88%D0%B5%D0%BB%D0%B5%D1%86%20%D0%B2%D0%B0%D0%BD%D1%8E%D1%88%D0%B0%201990%20%D1%84%D0%B8%D0%BB%D1%8C%D0%BC","искать")</f>
        <v/>
      </c>
      <c r="N581" s="3" t="n"/>
      <c r="O581" s="2" t="n"/>
      <c r="P581" s="2" t="n"/>
    </row>
    <row r="582">
      <c r="A582" s="2" t="n">
        <v>581</v>
      </c>
      <c r="B582" s="2" t="inlineStr">
        <is>
          <t>не сюжет</t>
        </is>
      </c>
      <c r="C582" s="2" t="n">
        <v>13393</v>
      </c>
      <c r="D582" s="3" t="inlineStr">
        <is>
          <t>Краденое солнце</t>
        </is>
      </c>
      <c r="E582" s="2" t="n">
        <v>1978</v>
      </c>
      <c r="F582" s="2" t="inlineStr">
        <is>
          <t>мультфильм</t>
        </is>
      </c>
      <c r="G582" s="2" t="inlineStr">
        <is>
          <t>ЭКРАН</t>
        </is>
      </c>
      <c r="H582" s="2" t="n">
        <v>21</v>
      </c>
      <c r="I582" s="2" t="inlineStr"/>
      <c r="J582" s="2" t="inlineStr">
        <is>
          <t>да</t>
        </is>
      </c>
      <c r="K582" s="3" t="inlineStr">
        <is>
          <t>По сказке Чуковского.</t>
        </is>
      </c>
      <c r="L582" s="2" t="inlineStr">
        <is>
          <t>2026-10_мультфильмы_список_владельца.xlsx; https://animator.ru/db/?p=show_film&amp;fid=4673</t>
        </is>
      </c>
      <c r="M582" s="2">
        <f>HYPERLINK("https://ru.wikipedia.org/w/index.php?search=%D0%9A%D1%80%D0%B0%D0%B4%D0%B5%D0%BD%D0%BE%D0%B5%20%D1%81%D0%BE%D0%BB%D0%BD%D1%86%D0%B5%201978%20%D1%84%D0%B8%D0%BB%D1%8C%D0%BC","искать")</f>
        <v/>
      </c>
      <c r="N582" s="3" t="n"/>
      <c r="O582" s="2" t="n"/>
      <c r="P582" s="2" t="n"/>
    </row>
    <row r="583">
      <c r="A583" s="2" t="n">
        <v>582</v>
      </c>
      <c r="B583" s="2" t="inlineStr">
        <is>
          <t>не сюжет</t>
        </is>
      </c>
      <c r="C583" s="2" t="n">
        <v>13509</v>
      </c>
      <c r="D583" s="3" t="inlineStr">
        <is>
          <t>Жадный богач</t>
        </is>
      </c>
      <c r="E583" s="2" t="n">
        <v>1980</v>
      </c>
      <c r="F583" s="2" t="inlineStr">
        <is>
          <t>мультфильм</t>
        </is>
      </c>
      <c r="G583" s="2" t="inlineStr">
        <is>
          <t>ЭКРАН</t>
        </is>
      </c>
      <c r="H583" s="2" t="n">
        <v>21</v>
      </c>
      <c r="I583" s="2" t="inlineStr"/>
      <c r="J583" s="2" t="inlineStr">
        <is>
          <t>да</t>
        </is>
      </c>
      <c r="K583" s="3" t="inlineStr">
        <is>
          <t>О наказанной жадности</t>
        </is>
      </c>
      <c r="L583" s="2" t="inlineStr">
        <is>
          <t>https://animator.ru/db/?p=show_film&amp;fid=4799</t>
        </is>
      </c>
      <c r="M583" s="2">
        <f>HYPERLINK("https://ru.wikipedia.org/w/index.php?search=%D0%96%D0%B0%D0%B4%D0%BD%D1%8B%D0%B9%20%D0%B1%D0%BE%D0%B3%D0%B0%D1%87%201980%20%D1%84%D0%B8%D0%BB%D1%8C%D0%BC","искать")</f>
        <v/>
      </c>
      <c r="N583" s="3" t="n"/>
      <c r="O583" s="2" t="n"/>
      <c r="P583" s="2" t="n"/>
    </row>
    <row r="584">
      <c r="A584" s="2" t="n">
        <v>583</v>
      </c>
      <c r="B584" s="2" t="inlineStr">
        <is>
          <t>не сюжет</t>
        </is>
      </c>
      <c r="C584" s="2" t="n">
        <v>13950</v>
      </c>
      <c r="D584" s="3" t="inlineStr">
        <is>
          <t>Французский язык 1</t>
        </is>
      </c>
      <c r="E584" s="2" t="n">
        <v>1986</v>
      </c>
      <c r="F584" s="2" t="inlineStr">
        <is>
          <t>мультфильм</t>
        </is>
      </c>
      <c r="G584" s="2" t="inlineStr">
        <is>
          <t>ЭКРАН</t>
        </is>
      </c>
      <c r="H584" s="2" t="n">
        <v>21</v>
      </c>
      <c r="I584" s="2" t="inlineStr"/>
      <c r="J584" s="2" t="inlineStr">
        <is>
          <t>да</t>
        </is>
      </c>
      <c r="K584" s="3" t="inlineStr">
        <is>
          <t>Заставка к телеурокам</t>
        </is>
      </c>
      <c r="L584" s="2" t="inlineStr">
        <is>
          <t>https://animator.ru/db/?p=show_film&amp;fid=5344</t>
        </is>
      </c>
      <c r="M584" s="2">
        <f>HYPERLINK("https://ru.wikipedia.org/w/index.php?search=%D0%A4%D1%80%D0%B0%D0%BD%D1%86%D1%83%D0%B7%D1%81%D0%BA%D0%B8%D0%B9%20%D1%8F%D0%B7%D1%8B%D0%BA%201%201986%20%D1%84%D0%B8%D0%BB%D1%8C%D0%BC","искать")</f>
        <v/>
      </c>
      <c r="N584" s="3" t="n"/>
      <c r="O584" s="2" t="n"/>
      <c r="P584" s="2" t="n"/>
    </row>
    <row r="585">
      <c r="A585" s="2" t="n">
        <v>584</v>
      </c>
      <c r="B585" s="2" t="inlineStr">
        <is>
          <t>не сюжет</t>
        </is>
      </c>
      <c r="C585" s="2" t="n">
        <v>13951</v>
      </c>
      <c r="D585" s="3" t="inlineStr">
        <is>
          <t>Французский язык 2</t>
        </is>
      </c>
      <c r="E585" s="2" t="n">
        <v>1986</v>
      </c>
      <c r="F585" s="2" t="inlineStr">
        <is>
          <t>мультфильм</t>
        </is>
      </c>
      <c r="G585" s="2" t="inlineStr">
        <is>
          <t>ЭКРАН</t>
        </is>
      </c>
      <c r="H585" s="2" t="n">
        <v>21</v>
      </c>
      <c r="I585" s="2" t="inlineStr"/>
      <c r="J585" s="2" t="inlineStr">
        <is>
          <t>да</t>
        </is>
      </c>
      <c r="K585" s="3" t="inlineStr">
        <is>
          <t>Заставка к телеурокам</t>
        </is>
      </c>
      <c r="L585" s="2" t="inlineStr">
        <is>
          <t>https://animator.ru/db/?p=show_film&amp;fid=5345</t>
        </is>
      </c>
      <c r="M585" s="2">
        <f>HYPERLINK("https://ru.wikipedia.org/w/index.php?search=%D0%A4%D1%80%D0%B0%D0%BD%D1%86%D1%83%D0%B7%D1%81%D0%BA%D0%B8%D0%B9%20%D1%8F%D0%B7%D1%8B%D0%BA%202%201986%20%D1%84%D0%B8%D0%BB%D1%8C%D0%BC","искать")</f>
        <v/>
      </c>
      <c r="N585" s="3" t="n"/>
      <c r="O585" s="2" t="n"/>
      <c r="P585" s="2" t="n"/>
    </row>
    <row r="586">
      <c r="A586" s="2" t="n">
        <v>585</v>
      </c>
      <c r="B586" s="2" t="inlineStr">
        <is>
          <t>не сюжет</t>
        </is>
      </c>
      <c r="C586" s="2" t="n">
        <v>13991</v>
      </c>
      <c r="D586" s="3" t="inlineStr">
        <is>
          <t>Четверка друзей. Однажды утром</t>
        </is>
      </c>
      <c r="E586" s="2" t="n">
        <v>1980</v>
      </c>
      <c r="F586" s="2" t="inlineStr">
        <is>
          <t>мультфильм</t>
        </is>
      </c>
      <c r="G586" s="2" t="inlineStr">
        <is>
          <t>ЭКРАН</t>
        </is>
      </c>
      <c r="H586" s="2" t="n">
        <v>21</v>
      </c>
      <c r="I586" s="2" t="inlineStr"/>
      <c r="J586" s="2" t="inlineStr">
        <is>
          <t>да</t>
        </is>
      </c>
      <c r="K586" s="3" t="inlineStr">
        <is>
          <t>Второй фильм трилогии</t>
        </is>
      </c>
      <c r="L586" s="2" t="inlineStr">
        <is>
          <t>https://animator.ru/db/?p=show_film&amp;fid=5385</t>
        </is>
      </c>
      <c r="M586" s="2">
        <f>HYPERLINK("https://ru.wikipedia.org/w/index.php?search=%D0%A7%D0%B5%D1%82%D0%B2%D0%B5%D1%80%D0%BA%D0%B0%20%D0%B4%D1%80%D1%83%D0%B7%D0%B5%D0%B9.%20%D0%9E%D0%B4%D0%BD%D0%B0%D0%B6%D0%B4%D1%8B%20%D1%83%D1%82%D1%80%D0%BE%D0%BC%201980%20%D1%84%D0%B8%D0%BB%D1%8C%D0%BC","искать")</f>
        <v/>
      </c>
      <c r="N586" s="3" t="n"/>
      <c r="O586" s="2" t="n"/>
      <c r="P586" s="2" t="n"/>
    </row>
    <row r="587">
      <c r="A587" s="2" t="n">
        <v>586</v>
      </c>
      <c r="B587" s="2" t="inlineStr">
        <is>
          <t>не сюжет</t>
        </is>
      </c>
      <c r="C587" s="2" t="n">
        <v>14211</v>
      </c>
      <c r="D587" s="3" t="inlineStr">
        <is>
          <t>ОСТОРОЖНО! ПРИШЕЛЬЦЫ (Фитиль N 276)</t>
        </is>
      </c>
      <c r="E587" s="2" t="n">
        <v>1985</v>
      </c>
      <c r="F587" s="2" t="inlineStr">
        <is>
          <t>мультфильм</t>
        </is>
      </c>
      <c r="G587" s="2" t="inlineStr">
        <is>
          <t>Союзмультфильм</t>
        </is>
      </c>
      <c r="H587" s="2" t="n">
        <v>21</v>
      </c>
      <c r="I587" s="2" t="inlineStr"/>
      <c r="J587" s="2" t="inlineStr">
        <is>
          <t>да</t>
        </is>
      </c>
      <c r="K587" s="3" t="inlineStr">
        <is>
          <t>Антиалкогольный сюжет</t>
        </is>
      </c>
      <c r="L587" s="2" t="inlineStr">
        <is>
          <t>https://animator.ru/db/?p=show_film&amp;fid=5612</t>
        </is>
      </c>
      <c r="M587" s="2">
        <f>HYPERLINK("https://ru.wikipedia.org/w/index.php?search=%D0%9E%D0%A1%D0%A2%D0%9E%D0%A0%D0%9E%D0%96%D0%9D%D0%9E%21%20%D0%9F%D0%A0%D0%98%D0%A8%D0%95%D0%9B%D0%AC%D0%A6%D0%AB%20%28%D0%A4%D0%B8%D1%82%D0%B8%D0%BB%D1%8C%20N%20276%29%201985%20%D1%84%D0%B8%D0%BB%D1%8C%D0%BC","искать")</f>
        <v/>
      </c>
      <c r="N587" s="3" t="n"/>
      <c r="O587" s="2" t="n"/>
      <c r="P587" s="2" t="n"/>
    </row>
    <row r="588">
      <c r="A588" s="2" t="n">
        <v>587</v>
      </c>
      <c r="B588" s="2" t="inlineStr">
        <is>
          <t>не сюжет</t>
        </is>
      </c>
      <c r="C588" s="2" t="n">
        <v>10413</v>
      </c>
      <c r="D588" s="3" t="inlineStr">
        <is>
          <t>Повесть о том, как поссорился Иван Иванович с Иваном Никифоровичем</t>
        </is>
      </c>
      <c r="E588" s="2" t="n">
        <v>1971</v>
      </c>
      <c r="F588" s="2" t="inlineStr">
        <is>
          <t>фильм-спектакль</t>
        </is>
      </c>
      <c r="G588" s="2" t="inlineStr">
        <is>
          <t>Ленинградское телевидение, Подборки фильмов, экранизации Гоголя</t>
        </is>
      </c>
      <c r="H588" s="2" t="n">
        <v>22</v>
      </c>
      <c r="I588" s="2" t="inlineStr"/>
      <c r="J588" s="2" t="inlineStr">
        <is>
          <t>да</t>
        </is>
      </c>
      <c r="K588" s="3" t="inlineStr">
        <is>
          <t>По повести Н.В.Гоголя.</t>
        </is>
      </c>
      <c r="L588" s="2" t="inlineStr">
        <is>
          <t>https://www.kino-teatr.ru/teatr/movie/109040/annot/</t>
        </is>
      </c>
      <c r="M588" s="2">
        <f>HYPERLINK("https://ru.wikipedia.org/w/index.php?search=%D0%9F%D0%BE%D0%B2%D0%B5%D1%81%D1%82%D1%8C%20%D0%BE%20%D1%82%D0%BE%D0%BC%2C%20%D0%BA%D0%B0%D0%BA%20%D0%BF%D0%BE%D1%81%D1%81%D0%BE%D1%80%D0%B8%D0%BB%D1%81%D1%8F%20%D0%98%D0%B2%D0%B0%D0%BD%20%D0%98%D0%B2%D0%B0%D0%BD%D0%BE%D0%B2%D0%B8%D1%87%20%D1%81%20%D0%98%D0%B2%D0%B0%D0%BD%D0%BE%D0%BC%20%D0%9D%D0%B8%D0%BA%D0%B8%D1%84%D0%BE%D1%80%D0%BE%D0%B2%D0%B8%D1%87%D0%B5%D0%BC%201971%20%D1%84%D0%B8%D0%BB%D1%8C%D0%BC","искать")</f>
        <v/>
      </c>
      <c r="N588" s="3" t="n"/>
      <c r="O588" s="2" t="n"/>
      <c r="P588" s="2" t="n"/>
    </row>
    <row r="589">
      <c r="A589" s="2" t="n">
        <v>588</v>
      </c>
      <c r="B589" s="2" t="inlineStr">
        <is>
          <t>не сюжет</t>
        </is>
      </c>
      <c r="C589" s="2" t="n">
        <v>10845</v>
      </c>
      <c r="D589" s="3" t="inlineStr">
        <is>
          <t>Заключенный Второй авеню</t>
        </is>
      </c>
      <c r="E589" s="2" t="n">
        <v>1980</v>
      </c>
      <c r="F589" s="2" t="inlineStr">
        <is>
          <t>фильм-спектакль</t>
        </is>
      </c>
      <c r="G589" s="2" t="inlineStr">
        <is>
          <t>Укртелефильм</t>
        </is>
      </c>
      <c r="H589" s="2" t="n">
        <v>22</v>
      </c>
      <c r="I589" s="2" t="inlineStr"/>
      <c r="J589" s="2" t="inlineStr">
        <is>
          <t>да</t>
        </is>
      </c>
      <c r="K589" s="3" t="inlineStr">
        <is>
          <t>По пьесе Нила Саймона.</t>
        </is>
      </c>
      <c r="L589" s="2" t="inlineStr">
        <is>
          <t>https://www.kino-teatr.ru/teatr/movie/93057/annot/</t>
        </is>
      </c>
      <c r="M589" s="2">
        <f>HYPERLINK("https://ru.wikipedia.org/w/index.php?search=%D0%97%D0%B0%D0%BA%D0%BB%D1%8E%D1%87%D0%B5%D0%BD%D0%BD%D1%8B%D0%B9%20%D0%92%D1%82%D0%BE%D1%80%D0%BE%D0%B9%20%D0%B0%D0%B2%D0%B5%D0%BD%D1%8E%201980%20%D1%84%D0%B8%D0%BB%D1%8C%D0%BC","искать")</f>
        <v/>
      </c>
      <c r="N589" s="3" t="n"/>
      <c r="O589" s="2" t="n"/>
      <c r="P589" s="2" t="n"/>
    </row>
    <row r="590">
      <c r="A590" s="2" t="n">
        <v>589</v>
      </c>
      <c r="B590" s="2" t="inlineStr">
        <is>
          <t>не сюжет</t>
        </is>
      </c>
      <c r="C590" s="2" t="n">
        <v>11637</v>
      </c>
      <c r="D590" s="3" t="inlineStr">
        <is>
          <t>Огонь</t>
        </is>
      </c>
      <c r="E590" s="2" t="n">
        <v>1971</v>
      </c>
      <c r="F590" s="2" t="inlineStr">
        <is>
          <t>мультфильм</t>
        </is>
      </c>
      <c r="G590" s="2" t="inlineStr">
        <is>
          <t>Союзмультфильм</t>
        </is>
      </c>
      <c r="H590" s="2" t="n">
        <v>22</v>
      </c>
      <c r="I590" s="2" t="inlineStr"/>
      <c r="J590" s="2" t="inlineStr">
        <is>
          <t>да</t>
        </is>
      </c>
      <c r="K590" s="3" t="inlineStr">
        <is>
          <t>По повести Юрия Олеши.</t>
        </is>
      </c>
      <c r="L590" s="2" t="inlineStr">
        <is>
          <t>2026-10_мультфильмы_список_владельца.xlsx; https://animator.ru/db/?p=show_film&amp;fid=2551</t>
        </is>
      </c>
      <c r="M590" s="2">
        <f>HYPERLINK("https://ru.wikipedia.org/w/index.php?search=%D0%9E%D0%B3%D0%BE%D0%BD%D1%8C%201971%20%D1%84%D0%B8%D0%BB%D1%8C%D0%BC","искать")</f>
        <v/>
      </c>
      <c r="N590" s="3" t="n"/>
      <c r="O590" s="2" t="n"/>
      <c r="P590" s="2" t="n"/>
    </row>
    <row r="591">
      <c r="A591" s="2" t="n">
        <v>590</v>
      </c>
      <c r="B591" s="2" t="inlineStr">
        <is>
          <t>не сюжет</t>
        </is>
      </c>
      <c r="C591" s="2" t="n">
        <v>12092</v>
      </c>
      <c r="D591" s="3" t="inlineStr">
        <is>
          <t>Про Фому и про Ерему</t>
        </is>
      </c>
      <c r="E591" s="2" t="n">
        <v>1984</v>
      </c>
      <c r="F591" s="2" t="inlineStr">
        <is>
          <t>мультфильм</t>
        </is>
      </c>
      <c r="G591" s="2" t="inlineStr">
        <is>
          <t>Союзмультфильм</t>
        </is>
      </c>
      <c r="H591" s="2" t="n">
        <v>22</v>
      </c>
      <c r="I591" s="2" t="inlineStr"/>
      <c r="J591" s="2" t="inlineStr">
        <is>
          <t>да</t>
        </is>
      </c>
      <c r="K591" s="3" t="inlineStr">
        <is>
          <t>По народным прибауткам</t>
        </is>
      </c>
      <c r="L591" s="2" t="inlineStr">
        <is>
          <t>https://animator.ru/db/?p=show_film&amp;fid=3208</t>
        </is>
      </c>
      <c r="M591" s="2">
        <f>HYPERLINK("https://ru.wikipedia.org/w/index.php?search=%D0%9F%D1%80%D0%BE%20%D0%A4%D0%BE%D0%BC%D1%83%20%D0%B8%20%D0%BF%D1%80%D0%BE%20%D0%95%D1%80%D0%B5%D0%BC%D1%83%201984%20%D1%84%D0%B8%D0%BB%D1%8C%D0%BC","искать")</f>
        <v/>
      </c>
      <c r="N591" s="3" t="n"/>
      <c r="O591" s="2" t="n"/>
      <c r="P591" s="2" t="n"/>
    </row>
    <row r="592">
      <c r="A592" s="2" t="n">
        <v>591</v>
      </c>
      <c r="B592" s="2" t="inlineStr">
        <is>
          <t>не сюжет</t>
        </is>
      </c>
      <c r="C592" s="2" t="n">
        <v>12248</v>
      </c>
      <c r="D592" s="3" t="inlineStr">
        <is>
          <t>Кот, который умел петь</t>
        </is>
      </c>
      <c r="E592" s="2" t="n">
        <v>1988</v>
      </c>
      <c r="F592" s="2" t="inlineStr">
        <is>
          <t>мультфильм</t>
        </is>
      </c>
      <c r="G592" s="2" t="inlineStr">
        <is>
          <t>Союзмультфильм</t>
        </is>
      </c>
      <c r="H592" s="2" t="n">
        <v>22</v>
      </c>
      <c r="I592" s="2" t="inlineStr"/>
      <c r="J592" s="2" t="inlineStr">
        <is>
          <t>да</t>
        </is>
      </c>
      <c r="K592" s="3" t="inlineStr">
        <is>
          <t>Мультфильмдля взрослых</t>
        </is>
      </c>
      <c r="L592" s="2" t="inlineStr">
        <is>
          <t>2026-10_мультфильмы_список_владельца.xlsx; https://animator.ru/db/?p=show_film&amp;fid=3365</t>
        </is>
      </c>
      <c r="M592" s="2">
        <f>HYPERLINK("https://ru.wikipedia.org/w/index.php?search=%D0%9A%D0%BE%D1%82%2C%20%D0%BA%D0%BE%D1%82%D0%BE%D1%80%D1%8B%D0%B9%20%D1%83%D0%BC%D0%B5%D0%BB%20%D0%BF%D0%B5%D1%82%D1%8C%201988%20%D1%84%D0%B8%D0%BB%D1%8C%D0%BC","искать")</f>
        <v/>
      </c>
      <c r="N592" s="3" t="n"/>
      <c r="O592" s="2" t="n"/>
      <c r="P592" s="2" t="n"/>
    </row>
    <row r="593">
      <c r="A593" s="2" t="n">
        <v>592</v>
      </c>
      <c r="B593" s="2" t="inlineStr">
        <is>
          <t>не сюжет</t>
        </is>
      </c>
      <c r="C593" s="2" t="n">
        <v>12253</v>
      </c>
      <c r="D593" s="3" t="inlineStr">
        <is>
          <t>Медвежуть</t>
        </is>
      </c>
      <c r="E593" s="2" t="n">
        <v>1988</v>
      </c>
      <c r="F593" s="2" t="inlineStr">
        <is>
          <t>мультфильм</t>
        </is>
      </c>
      <c r="G593" s="2" t="inlineStr">
        <is>
          <t>Союзмультфильм</t>
        </is>
      </c>
      <c r="H593" s="2" t="n">
        <v>22</v>
      </c>
      <c r="I593" s="2" t="inlineStr"/>
      <c r="J593" s="2" t="inlineStr">
        <is>
          <t>да</t>
        </is>
      </c>
      <c r="K593" s="3" t="inlineStr">
        <is>
          <t>О сновидениях медведя.</t>
        </is>
      </c>
      <c r="L593" s="2" t="inlineStr">
        <is>
          <t>https://animator.ru/db/?p=show_film&amp;fid=3370</t>
        </is>
      </c>
      <c r="M593" s="2">
        <f>HYPERLINK("https://ru.wikipedia.org/w/index.php?search=%D0%9C%D0%B5%D0%B4%D0%B2%D0%B5%D0%B6%D1%83%D1%82%D1%8C%201988%20%D1%84%D0%B8%D0%BB%D1%8C%D0%BC","искать")</f>
        <v/>
      </c>
      <c r="N593" s="3" t="n"/>
      <c r="O593" s="2" t="n"/>
      <c r="P593" s="2" t="n"/>
    </row>
    <row r="594">
      <c r="A594" s="2" t="n">
        <v>593</v>
      </c>
      <c r="B594" s="2" t="inlineStr">
        <is>
          <t>не сюжет</t>
        </is>
      </c>
      <c r="C594" s="2" t="n">
        <v>12730</v>
      </c>
      <c r="D594" s="3" t="inlineStr">
        <is>
          <t>Джинния маймуна</t>
        </is>
      </c>
      <c r="E594" s="2" t="n">
        <v>1991</v>
      </c>
      <c r="F594" s="2" t="inlineStr">
        <is>
          <t>мультфильм</t>
        </is>
      </c>
      <c r="G594" s="2" t="inlineStr">
        <is>
          <t>БИРЛИК, АБЦ (Анимационный белорусский центр)</t>
        </is>
      </c>
      <c r="H594" s="2" t="n">
        <v>22</v>
      </c>
      <c r="I594" s="2" t="inlineStr"/>
      <c r="J594" s="2" t="inlineStr">
        <is>
          <t>да</t>
        </is>
      </c>
      <c r="K594" s="3" t="inlineStr">
        <is>
          <t>По мотивам "1001 ночь"</t>
        </is>
      </c>
      <c r="L594" s="2" t="inlineStr">
        <is>
          <t>https://animator.ru/db/?p=show_film&amp;fid=3936</t>
        </is>
      </c>
      <c r="M594" s="2">
        <f>HYPERLINK("https://ru.wikipedia.org/w/index.php?search=%D0%94%D0%B6%D0%B8%D0%BD%D0%BD%D0%B8%D1%8F%20%D0%BC%D0%B0%D0%B9%D0%BC%D1%83%D0%BD%D0%B0%201991%20%D1%84%D0%B8%D0%BB%D1%8C%D0%BC","искать")</f>
        <v/>
      </c>
      <c r="N594" s="3" t="n"/>
      <c r="O594" s="2" t="n"/>
      <c r="P594" s="2" t="n"/>
    </row>
    <row r="595">
      <c r="A595" s="2" t="n">
        <v>594</v>
      </c>
      <c r="B595" s="2" t="inlineStr">
        <is>
          <t>не сюжет</t>
        </is>
      </c>
      <c r="C595" s="2" t="n">
        <v>13029</v>
      </c>
      <c r="D595" s="3" t="inlineStr">
        <is>
          <t>На пригорке</t>
        </is>
      </c>
      <c r="E595" s="2" t="n">
        <v>1979</v>
      </c>
      <c r="F595" s="2" t="inlineStr">
        <is>
          <t>мультфильм</t>
        </is>
      </c>
      <c r="G595" s="2" t="inlineStr">
        <is>
          <t>КАЗАХФИЛЬМ</t>
        </is>
      </c>
      <c r="H595" s="2" t="n">
        <v>22</v>
      </c>
      <c r="I595" s="2" t="inlineStr"/>
      <c r="J595" s="2" t="inlineStr">
        <is>
          <t>да</t>
        </is>
      </c>
      <c r="K595" s="3" t="inlineStr">
        <is>
          <t>О дружбе барсука и ежа</t>
        </is>
      </c>
      <c r="L595" s="2" t="inlineStr">
        <is>
          <t>https://animator.ru/db/?p=show_film&amp;fid=4261</t>
        </is>
      </c>
      <c r="M595" s="2">
        <f>HYPERLINK("https://ru.wikipedia.org/w/index.php?search=%D0%9D%D0%B0%20%D0%BF%D1%80%D0%B8%D0%B3%D0%BE%D1%80%D0%BA%D0%B5%201979%20%D1%84%D0%B8%D0%BB%D1%8C%D0%BC","искать")</f>
        <v/>
      </c>
      <c r="N595" s="3" t="n"/>
      <c r="O595" s="2" t="n"/>
      <c r="P595" s="2" t="n"/>
    </row>
    <row r="596">
      <c r="A596" s="2" t="n">
        <v>595</v>
      </c>
      <c r="B596" s="2" t="inlineStr">
        <is>
          <t>не сюжет</t>
        </is>
      </c>
      <c r="C596" s="2" t="n">
        <v>13677</v>
      </c>
      <c r="D596" s="3" t="inlineStr">
        <is>
          <t>Дело в шляпе</t>
        </is>
      </c>
      <c r="E596" s="2" t="n">
        <v>1975</v>
      </c>
      <c r="F596" s="2" t="inlineStr">
        <is>
          <t>мультфильм</t>
        </is>
      </c>
      <c r="G596" s="2" t="inlineStr">
        <is>
          <t>ЭКРАН</t>
        </is>
      </c>
      <c r="H596" s="2" t="n">
        <v>22</v>
      </c>
      <c r="I596" s="2" t="inlineStr"/>
      <c r="J596" s="2" t="inlineStr">
        <is>
          <t>да</t>
        </is>
      </c>
      <c r="K596" s="3" t="inlineStr">
        <is>
          <t>На экологическую тему.</t>
        </is>
      </c>
      <c r="L596" s="2" t="inlineStr">
        <is>
          <t>2026-10_мультфильмы_список_владельца.xlsx; https://animator.ru/db/?p=show_film&amp;fid=5069</t>
        </is>
      </c>
      <c r="M596" s="2">
        <f>HYPERLINK("https://ru.wikipedia.org/w/index.php?search=%D0%94%D0%B5%D0%BB%D0%BE%20%D0%B2%20%D1%88%D0%BB%D1%8F%D0%BF%D0%B5%201975%20%D1%84%D0%B8%D0%BB%D1%8C%D0%BC","искать")</f>
        <v/>
      </c>
      <c r="N596" s="3" t="n"/>
      <c r="O596" s="2" t="n"/>
      <c r="P596" s="2" t="n"/>
    </row>
    <row r="597">
      <c r="A597" s="2" t="n">
        <v>596</v>
      </c>
      <c r="B597" s="2" t="inlineStr">
        <is>
          <t>не сюжет</t>
        </is>
      </c>
      <c r="C597" s="2" t="n">
        <v>14135</v>
      </c>
      <c r="D597" s="3" t="inlineStr">
        <is>
          <t>Над нами не каплет</t>
        </is>
      </c>
      <c r="E597" s="2" t="n">
        <v>1985</v>
      </c>
      <c r="F597" s="2" t="inlineStr">
        <is>
          <t>мультфильм</t>
        </is>
      </c>
      <c r="G597" s="2" t="inlineStr">
        <is>
          <t>СВЕРДЛОВСКТЕЛЕФИЛЬМ</t>
        </is>
      </c>
      <c r="H597" s="2" t="n">
        <v>22</v>
      </c>
      <c r="I597" s="2" t="inlineStr"/>
      <c r="J597" s="2" t="inlineStr">
        <is>
          <t>да</t>
        </is>
      </c>
      <c r="K597" s="3" t="inlineStr">
        <is>
          <t>Фильм об экономии воды</t>
        </is>
      </c>
      <c r="L597" s="2" t="inlineStr">
        <is>
          <t>https://animator.ru/db/?p=show_film&amp;fid=5533</t>
        </is>
      </c>
      <c r="M597" s="2">
        <f>HYPERLINK("https://ru.wikipedia.org/w/index.php?search=%D0%9D%D0%B0%D0%B4%20%D0%BD%D0%B0%D0%BC%D0%B8%20%D0%BD%D0%B5%20%D0%BA%D0%B0%D0%BF%D0%BB%D0%B5%D1%82%201985%20%D1%84%D0%B8%D0%BB%D1%8C%D0%BC","искать")</f>
        <v/>
      </c>
      <c r="N597" s="3" t="n"/>
      <c r="O597" s="2" t="n"/>
      <c r="P597" s="2" t="n"/>
    </row>
    <row r="598">
      <c r="A598" s="2" t="n">
        <v>597</v>
      </c>
      <c r="B598" s="2" t="inlineStr">
        <is>
          <t>не сюжет</t>
        </is>
      </c>
      <c r="C598" s="2" t="n">
        <v>10078</v>
      </c>
      <c r="D598" s="3" t="inlineStr">
        <is>
          <t>Машенька</t>
        </is>
      </c>
      <c r="E598" s="2" t="n">
        <v>1960</v>
      </c>
      <c r="F598" s="2" t="inlineStr">
        <is>
          <t>фильм-спектакль</t>
        </is>
      </c>
      <c r="G598" s="2" t="inlineStr">
        <is>
          <t>Киевская телестудия</t>
        </is>
      </c>
      <c r="H598" s="2" t="n">
        <v>23</v>
      </c>
      <c r="I598" s="2" t="inlineStr"/>
      <c r="J598" s="2" t="inlineStr">
        <is>
          <t>да</t>
        </is>
      </c>
      <c r="K598" s="3" t="inlineStr">
        <is>
          <t>По пьесе А.Афиногенова.</t>
        </is>
      </c>
      <c r="L598" s="2" t="inlineStr">
        <is>
          <t>https://www.kino-teatr.ru/teatr/movie/92790/annot/</t>
        </is>
      </c>
      <c r="M598" s="2">
        <f>HYPERLINK("https://ru.wikipedia.org/w/index.php?search=%D0%9C%D0%B0%D1%88%D0%B5%D0%BD%D1%8C%D0%BA%D0%B0%201960%20%D1%84%D0%B8%D0%BB%D1%8C%D0%BC","искать")</f>
        <v/>
      </c>
      <c r="N598" s="3" t="n"/>
      <c r="O598" s="2" t="n"/>
      <c r="P598" s="2" t="n"/>
    </row>
    <row r="599">
      <c r="A599" s="2" t="n">
        <v>598</v>
      </c>
      <c r="B599" s="2" t="inlineStr">
        <is>
          <t>не сюжет</t>
        </is>
      </c>
      <c r="C599" s="2" t="n">
        <v>10255</v>
      </c>
      <c r="D599" s="3" t="inlineStr">
        <is>
          <t>Месяц в деревне</t>
        </is>
      </c>
      <c r="E599" s="2" t="n">
        <v>1968</v>
      </c>
      <c r="F599" s="2" t="inlineStr">
        <is>
          <t>фильм-спектакль</t>
        </is>
      </c>
      <c r="G599" s="2" t="inlineStr">
        <is>
          <t>Ленинградское телевидение</t>
        </is>
      </c>
      <c r="H599" s="2" t="n">
        <v>23</v>
      </c>
      <c r="I599" s="2" t="inlineStr"/>
      <c r="J599" s="2" t="inlineStr">
        <is>
          <t>да</t>
        </is>
      </c>
      <c r="K599" s="3" t="inlineStr">
        <is>
          <t>По пьесе И.С.Тургенева.</t>
        </is>
      </c>
      <c r="L599" s="2" t="inlineStr">
        <is>
          <t>https://www.kino-teatr.ru/teatr/movie/108984/annot/</t>
        </is>
      </c>
      <c r="M599" s="2">
        <f>HYPERLINK("https://ru.wikipedia.org/w/index.php?search=%D0%9C%D0%B5%D1%81%D1%8F%D1%86%20%D0%B2%20%D0%B4%D0%B5%D1%80%D0%B5%D0%B2%D0%BD%D0%B5%201968%20%D1%84%D0%B8%D0%BB%D1%8C%D0%BC","искать")</f>
        <v/>
      </c>
      <c r="N599" s="3" t="n"/>
      <c r="O599" s="2" t="n"/>
      <c r="P599" s="2" t="n"/>
    </row>
    <row r="600">
      <c r="A600" s="2" t="n">
        <v>599</v>
      </c>
      <c r="B600" s="2" t="inlineStr">
        <is>
          <t>не сюжет</t>
        </is>
      </c>
      <c r="C600" s="2" t="n">
        <v>10364</v>
      </c>
      <c r="D600" s="3" t="inlineStr">
        <is>
          <t>Обида</t>
        </is>
      </c>
      <c r="E600" s="2" t="n">
        <v>1970</v>
      </c>
      <c r="F600" s="2" t="inlineStr">
        <is>
          <t>фильм-спектакль</t>
        </is>
      </c>
      <c r="G600" s="2" t="inlineStr">
        <is>
          <t>Ленинградское телевидение</t>
        </is>
      </c>
      <c r="H600" s="2" t="n">
        <v>23</v>
      </c>
      <c r="I600" s="2" t="inlineStr"/>
      <c r="J600" s="2" t="inlineStr">
        <is>
          <t>да</t>
        </is>
      </c>
      <c r="K600" s="3" t="inlineStr">
        <is>
          <t>По пьесе Ильи Дворкина.</t>
        </is>
      </c>
      <c r="L600" s="2" t="inlineStr">
        <is>
          <t>https://www.kino-teatr.ru/teatr/movie/137016/annot/</t>
        </is>
      </c>
      <c r="M600" s="2">
        <f>HYPERLINK("https://ru.wikipedia.org/w/index.php?search=%D0%9E%D0%B1%D0%B8%D0%B4%D0%B0%201970%20%D1%84%D0%B8%D0%BB%D1%8C%D0%BC","искать")</f>
        <v/>
      </c>
      <c r="N600" s="3" t="n"/>
      <c r="O600" s="2" t="n"/>
      <c r="P600" s="2" t="n"/>
    </row>
    <row r="601">
      <c r="A601" s="2" t="n">
        <v>600</v>
      </c>
      <c r="B601" s="2" t="inlineStr">
        <is>
          <t>не сюжет</t>
        </is>
      </c>
      <c r="C601" s="2" t="n">
        <v>11861</v>
      </c>
      <c r="D601" s="3" t="inlineStr">
        <is>
          <t>Бедная Лиза</t>
        </is>
      </c>
      <c r="E601" s="2" t="n">
        <v>1978</v>
      </c>
      <c r="F601" s="2" t="inlineStr">
        <is>
          <t>мультфильм</t>
        </is>
      </c>
      <c r="G601" s="2" t="inlineStr">
        <is>
          <t>Союзмультфильм</t>
        </is>
      </c>
      <c r="H601" s="2" t="n">
        <v>23</v>
      </c>
      <c r="I601" s="2" t="inlineStr"/>
      <c r="J601" s="2" t="inlineStr">
        <is>
          <t>да</t>
        </is>
      </c>
      <c r="K601" s="3" t="inlineStr">
        <is>
          <t>По повести Н.Карамзина.</t>
        </is>
      </c>
      <c r="L601" s="2" t="inlineStr">
        <is>
          <t>2026-10_мультфильмы_список_владельца.xlsx; https://animator.ru/db/?p=show_film&amp;fid=2776</t>
        </is>
      </c>
      <c r="M601" s="2">
        <f>HYPERLINK("https://ru.wikipedia.org/w/index.php?search=%D0%91%D0%B5%D0%B4%D0%BD%D0%B0%D1%8F%20%D0%9B%D0%B8%D0%B7%D0%B0%201978%20%D1%84%D0%B8%D0%BB%D1%8C%D0%BC","искать")</f>
        <v/>
      </c>
      <c r="N601" s="3" t="n"/>
      <c r="O601" s="2" t="n"/>
      <c r="P601" s="2" t="n"/>
    </row>
    <row r="602">
      <c r="A602" s="2" t="n">
        <v>601</v>
      </c>
      <c r="B602" s="2" t="inlineStr">
        <is>
          <t>не сюжет</t>
        </is>
      </c>
      <c r="C602" s="2" t="n">
        <v>12432</v>
      </c>
      <c r="D602" s="3" t="inlineStr">
        <is>
          <t>Король черепах</t>
        </is>
      </c>
      <c r="E602" s="2" t="n">
        <v>1988</v>
      </c>
      <c r="F602" s="2" t="inlineStr">
        <is>
          <t>мультфильм</t>
        </is>
      </c>
      <c r="G602" s="2" t="inlineStr">
        <is>
          <t>КИЕВНАУЧФИЛЬМ</t>
        </is>
      </c>
      <c r="H602" s="2" t="n">
        <v>23</v>
      </c>
      <c r="I602" s="2" t="inlineStr"/>
      <c r="J602" s="2" t="inlineStr">
        <is>
          <t>да</t>
        </is>
      </c>
      <c r="K602" s="3" t="inlineStr">
        <is>
          <t>По сказке Доктора Сьюза</t>
        </is>
      </c>
      <c r="L602" s="2" t="inlineStr">
        <is>
          <t>https://animator.ru/db/?p=show_film&amp;fid=3603</t>
        </is>
      </c>
      <c r="M602" s="2">
        <f>HYPERLINK("https://ru.wikipedia.org/w/index.php?search=%D0%9A%D0%BE%D1%80%D0%BE%D0%BB%D1%8C%20%D1%87%D0%B5%D1%80%D0%B5%D0%BF%D0%B0%D1%85%201988%20%D1%84%D0%B8%D0%BB%D1%8C%D0%BC","искать")</f>
        <v/>
      </c>
      <c r="N602" s="3" t="n"/>
      <c r="O602" s="2" t="n"/>
      <c r="P602" s="2" t="n"/>
    </row>
    <row r="603">
      <c r="A603" s="2" t="n">
        <v>602</v>
      </c>
      <c r="B603" s="2" t="inlineStr">
        <is>
          <t>не сюжет</t>
        </is>
      </c>
      <c r="C603" s="2" t="n">
        <v>12494</v>
      </c>
      <c r="D603" s="3" t="inlineStr">
        <is>
          <t>Папанинцы</t>
        </is>
      </c>
      <c r="E603" s="2" t="n">
        <v>1938</v>
      </c>
      <c r="F603" s="2" t="inlineStr">
        <is>
          <t>мультфильм</t>
        </is>
      </c>
      <c r="G603" s="2" t="n"/>
      <c r="H603" s="2" t="n">
        <v>23</v>
      </c>
      <c r="I603" s="2" t="inlineStr"/>
      <c r="J603" s="2" t="inlineStr">
        <is>
          <t>да</t>
        </is>
      </c>
      <c r="K603" s="3" t="inlineStr">
        <is>
          <t>Фильм на экран не вышел</t>
        </is>
      </c>
      <c r="L603" s="2" t="inlineStr">
        <is>
          <t>https://animator.ru/db/?p=show_film&amp;fid=3669</t>
        </is>
      </c>
      <c r="M603" s="2">
        <f>HYPERLINK("https://ru.wikipedia.org/w/index.php?search=%D0%9F%D0%B0%D0%BF%D0%B0%D0%BD%D0%B8%D0%BD%D1%86%D1%8B%201938%20%D1%84%D0%B8%D0%BB%D1%8C%D0%BC","искать")</f>
        <v/>
      </c>
      <c r="N603" s="3" t="n"/>
      <c r="O603" s="2" t="n"/>
      <c r="P603" s="2" t="n"/>
    </row>
    <row r="604">
      <c r="A604" s="2" t="n">
        <v>603</v>
      </c>
      <c r="B604" s="2" t="inlineStr">
        <is>
          <t>не сюжет</t>
        </is>
      </c>
      <c r="C604" s="2" t="n">
        <v>12805</v>
      </c>
      <c r="D604" s="3" t="inlineStr">
        <is>
          <t>Долой люльку!</t>
        </is>
      </c>
      <c r="E604" s="2" t="n">
        <v>1930</v>
      </c>
      <c r="F604" s="2" t="inlineStr">
        <is>
          <t>мультфильм</t>
        </is>
      </c>
      <c r="G604" s="2" t="n"/>
      <c r="H604" s="2" t="n">
        <v>23</v>
      </c>
      <c r="I604" s="2" t="inlineStr"/>
      <c r="J604" s="2" t="inlineStr">
        <is>
          <t>да</t>
        </is>
      </c>
      <c r="K604" s="3" t="inlineStr">
        <is>
          <t>Первая работа В.Муджири</t>
        </is>
      </c>
      <c r="L604" s="2" t="inlineStr">
        <is>
          <t>https://animator.ru/db/?p=show_film&amp;fid=4016</t>
        </is>
      </c>
      <c r="M604" s="2">
        <f>HYPERLINK("https://ru.wikipedia.org/w/index.php?search=%D0%94%D0%BE%D0%BB%D0%BE%D0%B9%20%D0%BB%D1%8E%D0%BB%D1%8C%D0%BA%D1%83%21%201930%20%D1%84%D0%B8%D0%BB%D1%8C%D0%BC","искать")</f>
        <v/>
      </c>
      <c r="N604" s="3" t="n"/>
      <c r="O604" s="2" t="n"/>
      <c r="P604" s="2" t="n"/>
    </row>
    <row r="605">
      <c r="A605" s="2" t="n">
        <v>604</v>
      </c>
      <c r="B605" s="2" t="inlineStr">
        <is>
          <t>не сюжет</t>
        </is>
      </c>
      <c r="C605" s="2" t="n">
        <v>13354</v>
      </c>
      <c r="D605" s="3" t="inlineStr">
        <is>
          <t>В стране розовых коз</t>
        </is>
      </c>
      <c r="E605" s="2" t="n">
        <v>1976</v>
      </c>
      <c r="F605" s="2" t="inlineStr">
        <is>
          <t>мультфильм</t>
        </is>
      </c>
      <c r="G605" s="2" t="inlineStr">
        <is>
          <t>КАЗАХФИЛЬМ</t>
        </is>
      </c>
      <c r="H605" s="2" t="n">
        <v>23</v>
      </c>
      <c r="I605" s="2" t="inlineStr"/>
      <c r="J605" s="2" t="inlineStr">
        <is>
          <t>да</t>
        </is>
      </c>
      <c r="K605" s="3" t="inlineStr">
        <is>
          <t>О мире детской фантазии</t>
        </is>
      </c>
      <c r="L605" s="2" t="inlineStr">
        <is>
          <t>https://animator.ru/db/?p=show_film&amp;fid=4632</t>
        </is>
      </c>
      <c r="M605" s="2">
        <f>HYPERLINK("https://ru.wikipedia.org/w/index.php?search=%D0%92%20%D1%81%D1%82%D1%80%D0%B0%D0%BD%D0%B5%20%D1%80%D0%BE%D0%B7%D0%BE%D0%B2%D1%8B%D1%85%20%D0%BA%D0%BE%D0%B7%201976%20%D1%84%D0%B8%D0%BB%D1%8C%D0%BC","искать")</f>
        <v/>
      </c>
      <c r="N605" s="3" t="n"/>
      <c r="O605" s="2" t="n"/>
      <c r="P605" s="2" t="n"/>
    </row>
    <row r="606">
      <c r="A606" s="2" t="n">
        <v>605</v>
      </c>
      <c r="B606" s="2" t="inlineStr">
        <is>
          <t>не сюжет</t>
        </is>
      </c>
      <c r="C606" s="2" t="n">
        <v>13607</v>
      </c>
      <c r="D606" s="3" t="inlineStr">
        <is>
          <t>Лиса</t>
        </is>
      </c>
      <c r="E606" s="2" t="n">
        <v>1986</v>
      </c>
      <c r="F606" s="2" t="inlineStr">
        <is>
          <t>мультфильм</t>
        </is>
      </c>
      <c r="G606" s="2" t="inlineStr">
        <is>
          <t>ТАЛЛИННФИЛЬМ</t>
        </is>
      </c>
      <c r="H606" s="2" t="n">
        <v>23</v>
      </c>
      <c r="I606" s="2" t="inlineStr"/>
      <c r="J606" s="2" t="inlineStr">
        <is>
          <t>да</t>
        </is>
      </c>
      <c r="K606" s="3" t="inlineStr">
        <is>
          <t>По мотивам басен Эзопа.</t>
        </is>
      </c>
      <c r="L606" s="2" t="inlineStr">
        <is>
          <t>2026-10_мультфильмы_список_владельца.xlsx; https://animator.ru/db/?p=show_film&amp;fid=4957</t>
        </is>
      </c>
      <c r="M606" s="2">
        <f>HYPERLINK("https://ru.wikipedia.org/w/index.php?search=%D0%9B%D0%B8%D1%81%D0%B0%201986%20%D1%84%D0%B8%D0%BB%D1%8C%D0%BC","искать")</f>
        <v/>
      </c>
      <c r="N606" s="3" t="n"/>
      <c r="O606" s="2" t="n"/>
      <c r="P606" s="2" t="n"/>
    </row>
    <row r="607">
      <c r="A607" s="2" t="n">
        <v>606</v>
      </c>
      <c r="B607" s="2" t="inlineStr">
        <is>
          <t>не сюжет</t>
        </is>
      </c>
      <c r="C607" s="2" t="n">
        <v>13624</v>
      </c>
      <c r="D607" s="3" t="inlineStr">
        <is>
          <t>Берегите воду</t>
        </is>
      </c>
      <c r="E607" s="2" t="n">
        <v>1982</v>
      </c>
      <c r="F607" s="2" t="inlineStr">
        <is>
          <t>мультфильм</t>
        </is>
      </c>
      <c r="G607" s="2" t="inlineStr">
        <is>
          <t>ЭКРАН</t>
        </is>
      </c>
      <c r="H607" s="2" t="n">
        <v>23</v>
      </c>
      <c r="I607" s="2" t="inlineStr"/>
      <c r="J607" s="2" t="inlineStr">
        <is>
          <t>да</t>
        </is>
      </c>
      <c r="K607" s="3" t="inlineStr">
        <is>
          <t>Пропагандисткий плакат.</t>
        </is>
      </c>
      <c r="L607" s="2" t="inlineStr">
        <is>
          <t>2026-10_мультфильмы_список_владельца.xlsx; https://animator.ru/db/?p=show_film&amp;fid=5016</t>
        </is>
      </c>
      <c r="M607" s="2">
        <f>HYPERLINK("https://ru.wikipedia.org/w/index.php?search=%D0%91%D0%B5%D1%80%D0%B5%D0%B3%D0%B8%D1%82%D0%B5%20%D0%B2%D0%BE%D0%B4%D1%83%201982%20%D1%84%D0%B8%D0%BB%D1%8C%D0%BC","искать")</f>
        <v/>
      </c>
      <c r="N607" s="3" t="n"/>
      <c r="O607" s="2" t="n"/>
      <c r="P607" s="2" t="n"/>
    </row>
    <row r="608">
      <c r="A608" s="2" t="n">
        <v>607</v>
      </c>
      <c r="B608" s="2" t="inlineStr">
        <is>
          <t>не сюжет</t>
        </is>
      </c>
      <c r="C608" s="2" t="n">
        <v>13713</v>
      </c>
      <c r="D608" s="3" t="inlineStr">
        <is>
          <t>Капля</t>
        </is>
      </c>
      <c r="E608" s="2" t="n">
        <v>1982</v>
      </c>
      <c r="F608" s="2" t="inlineStr">
        <is>
          <t>мультфильм</t>
        </is>
      </c>
      <c r="G608" s="2" t="inlineStr">
        <is>
          <t>ЭКРАН</t>
        </is>
      </c>
      <c r="H608" s="2" t="n">
        <v>23</v>
      </c>
      <c r="I608" s="2" t="inlineStr"/>
      <c r="J608" s="2" t="inlineStr">
        <is>
          <t>да</t>
        </is>
      </c>
      <c r="K608" s="3" t="inlineStr">
        <is>
          <t>Плакат об экономии воды</t>
        </is>
      </c>
      <c r="L608" s="2" t="inlineStr">
        <is>
          <t>https://animator.ru/db/?p=show_film&amp;fid=5106</t>
        </is>
      </c>
      <c r="M608" s="2">
        <f>HYPERLINK("https://ru.wikipedia.org/w/index.php?search=%D0%9A%D0%B0%D0%BF%D0%BB%D1%8F%201982%20%D1%84%D0%B8%D0%BB%D1%8C%D0%BC","искать")</f>
        <v/>
      </c>
      <c r="N608" s="3" t="n"/>
      <c r="O608" s="2" t="n"/>
      <c r="P608" s="2" t="n"/>
    </row>
    <row r="609">
      <c r="A609" s="2" t="n">
        <v>608</v>
      </c>
      <c r="B609" s="2" t="inlineStr">
        <is>
          <t>не сюжет</t>
        </is>
      </c>
      <c r="C609" s="2" t="n">
        <v>13728</v>
      </c>
      <c r="D609" s="3" t="inlineStr">
        <is>
          <t>Контуры</t>
        </is>
      </c>
      <c r="E609" s="2" t="n">
        <v>1981</v>
      </c>
      <c r="F609" s="2" t="inlineStr">
        <is>
          <t>мультфильм</t>
        </is>
      </c>
      <c r="G609" s="2" t="inlineStr">
        <is>
          <t>ЭКРАН</t>
        </is>
      </c>
      <c r="H609" s="2" t="n">
        <v>23</v>
      </c>
      <c r="I609" s="2" t="inlineStr"/>
      <c r="J609" s="2" t="inlineStr">
        <is>
          <t>да</t>
        </is>
      </c>
      <c r="K609" s="3" t="inlineStr">
        <is>
          <t>Этюд на новогоднюю тему</t>
        </is>
      </c>
      <c r="L609" s="2" t="inlineStr">
        <is>
          <t>https://animator.ru/db/?p=show_film&amp;fid=5121</t>
        </is>
      </c>
      <c r="M609" s="2">
        <f>HYPERLINK("https://ru.wikipedia.org/w/index.php?search=%D0%9A%D0%BE%D0%BD%D1%82%D1%83%D1%80%D1%8B%201981%20%D1%84%D0%B8%D0%BB%D1%8C%D0%BC","искать")</f>
        <v/>
      </c>
      <c r="N609" s="3" t="n"/>
      <c r="O609" s="2" t="n"/>
      <c r="P609" s="2" t="n"/>
    </row>
    <row r="610">
      <c r="A610" s="2" t="n">
        <v>609</v>
      </c>
      <c r="B610" s="2" t="inlineStr">
        <is>
          <t>не сюжет</t>
        </is>
      </c>
      <c r="C610" s="2" t="n">
        <v>13741</v>
      </c>
      <c r="D610" s="3" t="inlineStr">
        <is>
          <t>Кран</t>
        </is>
      </c>
      <c r="E610" s="2" t="n">
        <v>1986</v>
      </c>
      <c r="F610" s="2" t="inlineStr">
        <is>
          <t>мультфильм</t>
        </is>
      </c>
      <c r="G610" s="2" t="inlineStr">
        <is>
          <t>ЭКРАН</t>
        </is>
      </c>
      <c r="H610" s="2" t="n">
        <v>23</v>
      </c>
      <c r="I610" s="2" t="inlineStr"/>
      <c r="J610" s="2" t="inlineStr">
        <is>
          <t>да</t>
        </is>
      </c>
      <c r="K610" s="3" t="inlineStr">
        <is>
          <t>Плакат об экономии воды</t>
        </is>
      </c>
      <c r="L610" s="2" t="inlineStr">
        <is>
          <t>https://animator.ru/db/?p=show_film&amp;fid=5134</t>
        </is>
      </c>
      <c r="M610" s="2">
        <f>HYPERLINK("https://ru.wikipedia.org/w/index.php?search=%D0%9A%D1%80%D0%B0%D0%BD%201986%20%D1%84%D0%B8%D0%BB%D1%8C%D0%BC","искать")</f>
        <v/>
      </c>
      <c r="N610" s="3" t="n"/>
      <c r="O610" s="2" t="n"/>
      <c r="P610" s="2" t="n"/>
    </row>
    <row r="611">
      <c r="A611" s="2" t="n">
        <v>610</v>
      </c>
      <c r="B611" s="2" t="inlineStr">
        <is>
          <t>не сюжет</t>
        </is>
      </c>
      <c r="C611" s="2" t="n">
        <v>13803</v>
      </c>
      <c r="D611" s="3" t="inlineStr">
        <is>
          <t>Ожидание</t>
        </is>
      </c>
      <c r="E611" s="2" t="n">
        <v>1984</v>
      </c>
      <c r="F611" s="2" t="inlineStr">
        <is>
          <t>мультфильм</t>
        </is>
      </c>
      <c r="G611" s="2" t="inlineStr">
        <is>
          <t>ЭКРАН</t>
        </is>
      </c>
      <c r="H611" s="2" t="n">
        <v>23</v>
      </c>
      <c r="I611" s="2" t="inlineStr"/>
      <c r="J611" s="2" t="inlineStr">
        <is>
          <t>да</t>
        </is>
      </c>
      <c r="K611" s="3" t="inlineStr">
        <is>
          <t>Этюд на музыку Дебюсси.</t>
        </is>
      </c>
      <c r="L611" s="2" t="inlineStr">
        <is>
          <t>2026-10_мультфильмы_список_владельца.xlsx; https://animator.ru/db/?p=show_film&amp;fid=5196</t>
        </is>
      </c>
      <c r="M611" s="2">
        <f>HYPERLINK("https://ru.wikipedia.org/w/index.php?search=%D0%9E%D0%B6%D0%B8%D0%B4%D0%B0%D0%BD%D0%B8%D0%B5%201984%20%D1%84%D0%B8%D0%BB%D1%8C%D0%BC","искать")</f>
        <v/>
      </c>
      <c r="N611" s="3" t="n"/>
      <c r="O611" s="2" t="n"/>
      <c r="P611" s="2" t="n"/>
    </row>
    <row r="612">
      <c r="A612" s="2" t="n">
        <v>611</v>
      </c>
      <c r="B612" s="2" t="inlineStr">
        <is>
          <t>не сюжет</t>
        </is>
      </c>
      <c r="C612" s="2" t="n">
        <v>13930</v>
      </c>
      <c r="D612" s="3" t="inlineStr">
        <is>
          <t>Туризм</t>
        </is>
      </c>
      <c r="E612" s="2" t="n">
        <v>1981</v>
      </c>
      <c r="F612" s="2" t="inlineStr">
        <is>
          <t>мультфильм</t>
        </is>
      </c>
      <c r="G612" s="2" t="inlineStr">
        <is>
          <t>ЭКРАН</t>
        </is>
      </c>
      <c r="H612" s="2" t="n">
        <v>23</v>
      </c>
      <c r="I612" s="2" t="inlineStr"/>
      <c r="J612" s="2" t="inlineStr">
        <is>
          <t>да</t>
        </is>
      </c>
      <c r="K612" s="3" t="inlineStr">
        <is>
          <t>О двух друзьях-туристах</t>
        </is>
      </c>
      <c r="L612" s="2" t="inlineStr">
        <is>
          <t>https://animator.ru/db/?p=show_film&amp;fid=5324</t>
        </is>
      </c>
      <c r="M612" s="2">
        <f>HYPERLINK("https://ru.wikipedia.org/w/index.php?search=%D0%A2%D1%83%D1%80%D0%B8%D0%B7%D0%BC%201981%20%D1%84%D0%B8%D0%BB%D1%8C%D0%BC","искать")</f>
        <v/>
      </c>
      <c r="N612" s="3" t="n"/>
      <c r="O612" s="2" t="n"/>
      <c r="P612" s="2" t="n"/>
    </row>
    <row r="613">
      <c r="A613" s="2" t="n">
        <v>612</v>
      </c>
      <c r="B613" s="2" t="inlineStr">
        <is>
          <t>не сюжет</t>
        </is>
      </c>
      <c r="C613" s="2" t="n">
        <v>13981</v>
      </c>
      <c r="D613" s="3" t="inlineStr">
        <is>
          <t>Борец</t>
        </is>
      </c>
      <c r="E613" s="2" t="n">
        <v>1982</v>
      </c>
      <c r="F613" s="2" t="inlineStr">
        <is>
          <t>мультфильм</t>
        </is>
      </c>
      <c r="G613" s="2" t="inlineStr">
        <is>
          <t>ЭКРАН</t>
        </is>
      </c>
      <c r="H613" s="2" t="n">
        <v>23</v>
      </c>
      <c r="I613" s="2" t="inlineStr"/>
      <c r="J613" s="2" t="inlineStr">
        <is>
          <t>да</t>
        </is>
      </c>
      <c r="K613" s="3" t="inlineStr">
        <is>
          <t>Плакат об экономии воды</t>
        </is>
      </c>
      <c r="L613" s="2" t="inlineStr">
        <is>
          <t>https://animator.ru/db/?p=show_film&amp;fid=5375</t>
        </is>
      </c>
      <c r="M613" s="2">
        <f>HYPERLINK("https://ru.wikipedia.org/w/index.php?search=%D0%91%D0%BE%D1%80%D0%B5%D1%86%201982%20%D1%84%D0%B8%D0%BB%D1%8C%D0%BC","искать")</f>
        <v/>
      </c>
      <c r="N613" s="3" t="n"/>
      <c r="O613" s="2" t="n"/>
      <c r="P613" s="2" t="n"/>
    </row>
    <row r="614">
      <c r="A614" s="2" t="n">
        <v>613</v>
      </c>
      <c r="B614" s="2" t="inlineStr">
        <is>
          <t>не сюжет</t>
        </is>
      </c>
      <c r="C614" s="2" t="n">
        <v>10117</v>
      </c>
      <c r="D614" s="3" t="inlineStr">
        <is>
          <t>Антон Гречка в сферах</t>
        </is>
      </c>
      <c r="E614" s="2" t="n">
        <v>1964</v>
      </c>
      <c r="F614" s="2" t="inlineStr">
        <is>
          <t>фильм-спектакль</t>
        </is>
      </c>
      <c r="G614" s="2" t="inlineStr">
        <is>
          <t>Центральное телевидение</t>
        </is>
      </c>
      <c r="H614" s="2" t="n">
        <v>24</v>
      </c>
      <c r="I614" s="2" t="inlineStr"/>
      <c r="J614" s="2" t="inlineStr">
        <is>
          <t>да</t>
        </is>
      </c>
      <c r="K614" s="3" t="inlineStr">
        <is>
          <t>По пьесе Георгия Радова.</t>
        </is>
      </c>
      <c r="L614" s="2" t="inlineStr">
        <is>
          <t>https://www.kino-teatr.ru/teatr/movie/136273/annot/</t>
        </is>
      </c>
      <c r="M614" s="2">
        <f>HYPERLINK("https://ru.wikipedia.org/w/index.php?search=%D0%90%D0%BD%D1%82%D0%BE%D0%BD%20%D0%93%D1%80%D0%B5%D1%87%D0%BA%D0%B0%20%D0%B2%20%D1%81%D1%84%D0%B5%D1%80%D0%B0%D1%85%201964%20%D1%84%D0%B8%D0%BB%D1%8C%D0%BC","искать")</f>
        <v/>
      </c>
      <c r="N614" s="3" t="n"/>
      <c r="O614" s="2" t="n"/>
      <c r="P614" s="2" t="n"/>
    </row>
    <row r="615">
      <c r="A615" s="2" t="n">
        <v>614</v>
      </c>
      <c r="B615" s="2" t="inlineStr">
        <is>
          <t>не сюжет</t>
        </is>
      </c>
      <c r="C615" s="2" t="n">
        <v>10799</v>
      </c>
      <c r="D615" s="3" t="inlineStr">
        <is>
          <t>Дачная жизнь</t>
        </is>
      </c>
      <c r="E615" s="2" t="n">
        <v>1979</v>
      </c>
      <c r="F615" s="2" t="inlineStr">
        <is>
          <t>фильм-спектакль</t>
        </is>
      </c>
      <c r="G615" s="2" t="n"/>
      <c r="H615" s="2" t="n">
        <v>24</v>
      </c>
      <c r="I615" s="2" t="inlineStr"/>
      <c r="J615" s="2" t="inlineStr">
        <is>
          <t>да</t>
        </is>
      </c>
      <c r="K615" s="3" t="inlineStr">
        <is>
          <t>По рассказам А.П.Чехова.</t>
        </is>
      </c>
      <c r="L615" s="2" t="inlineStr">
        <is>
          <t>https://www.kino-teatr.ru/teatr/movie/15808/annot/</t>
        </is>
      </c>
      <c r="M615" s="2">
        <f>HYPERLINK("https://ru.wikipedia.org/w/index.php?search=%D0%94%D0%B0%D1%87%D0%BD%D0%B0%D1%8F%20%D0%B6%D0%B8%D0%B7%D0%BD%D1%8C%201979%20%D1%84%D0%B8%D0%BB%D1%8C%D0%BC","искать")</f>
        <v/>
      </c>
      <c r="N615" s="3" t="n"/>
      <c r="O615" s="2" t="n"/>
      <c r="P615" s="2" t="n"/>
    </row>
    <row r="616">
      <c r="A616" s="2" t="n">
        <v>615</v>
      </c>
      <c r="B616" s="2" t="inlineStr">
        <is>
          <t>не сюжет</t>
        </is>
      </c>
      <c r="C616" s="2" t="n">
        <v>11822</v>
      </c>
      <c r="D616" s="3" t="inlineStr">
        <is>
          <t>Бабушка удава</t>
        </is>
      </c>
      <c r="E616" s="2" t="n">
        <v>1977</v>
      </c>
      <c r="F616" s="2" t="inlineStr">
        <is>
          <t>мультфильм</t>
        </is>
      </c>
      <c r="G616" s="2" t="inlineStr">
        <is>
          <t>Союзмультфильм</t>
        </is>
      </c>
      <c r="H616" s="2" t="n">
        <v>24</v>
      </c>
      <c r="I616" s="2" t="inlineStr"/>
      <c r="J616" s="2" t="inlineStr">
        <is>
          <t>да</t>
        </is>
      </c>
      <c r="K616" s="3" t="inlineStr">
        <is>
          <t>Из серии про 38 попугаев</t>
        </is>
      </c>
      <c r="L616" s="2" t="inlineStr">
        <is>
          <t>2026-10_мультфильмы_список_владельца.xlsx; https://animator.ru/db/?p=show_film&amp;fid=2737</t>
        </is>
      </c>
      <c r="M616" s="2">
        <f>HYPERLINK("https://ru.wikipedia.org/w/index.php?search=%D0%91%D0%B0%D0%B1%D1%83%D1%88%D0%BA%D0%B0%20%D1%83%D0%B4%D0%B0%D0%B2%D0%B0%201977%20%D1%84%D0%B8%D0%BB%D1%8C%D0%BC","искать")</f>
        <v/>
      </c>
      <c r="N616" s="3" t="n"/>
      <c r="O616" s="2" t="n"/>
      <c r="P616" s="2" t="n"/>
    </row>
    <row r="617">
      <c r="A617" s="2" t="n">
        <v>616</v>
      </c>
      <c r="B617" s="2" t="inlineStr">
        <is>
          <t>не сюжет</t>
        </is>
      </c>
      <c r="C617" s="2" t="n">
        <v>11839</v>
      </c>
      <c r="D617" s="3" t="inlineStr">
        <is>
          <t>Куда идет слоненок</t>
        </is>
      </c>
      <c r="E617" s="2" t="n">
        <v>1977</v>
      </c>
      <c r="F617" s="2" t="inlineStr">
        <is>
          <t>мультфильм</t>
        </is>
      </c>
      <c r="G617" s="2" t="inlineStr">
        <is>
          <t>Союзмультфильм</t>
        </is>
      </c>
      <c r="H617" s="2" t="n">
        <v>24</v>
      </c>
      <c r="I617" s="2" t="inlineStr"/>
      <c r="J617" s="2" t="inlineStr">
        <is>
          <t>да</t>
        </is>
      </c>
      <c r="K617" s="3" t="inlineStr">
        <is>
          <t>Из серии про 38 попугаев</t>
        </is>
      </c>
      <c r="L617" s="2" t="inlineStr">
        <is>
          <t>2026-10_мультфильмы_список_владельца.xlsx; https://animator.ru/db/?p=show_film&amp;fid=2754</t>
        </is>
      </c>
      <c r="M617" s="2">
        <f>HYPERLINK("https://ru.wikipedia.org/w/index.php?search=%D0%9A%D1%83%D0%B4%D0%B0%20%D0%B8%D0%B4%D0%B5%D1%82%20%D1%81%D0%BB%D0%BE%D0%BD%D0%B5%D0%BD%D0%BE%D0%BA%201977%20%D1%84%D0%B8%D0%BB%D1%8C%D0%BC","искать")</f>
        <v/>
      </c>
      <c r="N617" s="3" t="n"/>
      <c r="O617" s="2" t="n"/>
      <c r="P617" s="2" t="n"/>
    </row>
    <row r="618">
      <c r="A618" s="2" t="n">
        <v>617</v>
      </c>
      <c r="B618" s="2" t="inlineStr">
        <is>
          <t>не сюжет</t>
        </is>
      </c>
      <c r="C618" s="2" t="n">
        <v>11859</v>
      </c>
      <c r="D618" s="3" t="inlineStr">
        <is>
          <t>А вдруг получится</t>
        </is>
      </c>
      <c r="E618" s="2" t="n">
        <v>1978</v>
      </c>
      <c r="F618" s="2" t="inlineStr">
        <is>
          <t>мультфильм</t>
        </is>
      </c>
      <c r="G618" s="2" t="inlineStr">
        <is>
          <t>Союзмультфильм</t>
        </is>
      </c>
      <c r="H618" s="2" t="n">
        <v>24</v>
      </c>
      <c r="I618" s="2" t="inlineStr"/>
      <c r="J618" s="2" t="inlineStr">
        <is>
          <t>да</t>
        </is>
      </c>
      <c r="K618" s="3" t="inlineStr">
        <is>
          <t>Из серии про 38 попугаев</t>
        </is>
      </c>
      <c r="L618" s="2" t="inlineStr">
        <is>
          <t>2026-10_мультфильмы_список_владельца.xlsx; https://animator.ru/db/?p=show_film&amp;fid=2774</t>
        </is>
      </c>
      <c r="M618" s="2">
        <f>HYPERLINK("https://ru.wikipedia.org/w/index.php?search=%D0%90%20%D0%B2%D0%B4%D1%80%D1%83%D0%B3%20%D0%BF%D0%BE%D0%BB%D1%83%D1%87%D0%B8%D1%82%D1%81%D1%8F%201978%20%D1%84%D0%B8%D0%BB%D1%8C%D0%BC","искать")</f>
        <v/>
      </c>
      <c r="N618" s="3" t="n"/>
      <c r="O618" s="2" t="n"/>
      <c r="P618" s="2" t="n"/>
    </row>
    <row r="619">
      <c r="A619" s="2" t="n">
        <v>618</v>
      </c>
      <c r="B619" s="2" t="inlineStr">
        <is>
          <t>не сюжет</t>
        </is>
      </c>
      <c r="C619" s="2" t="n">
        <v>11872</v>
      </c>
      <c r="D619" s="3" t="inlineStr">
        <is>
          <t>Илья муромец и соловей-разбойник</t>
        </is>
      </c>
      <c r="E619" s="2" t="n">
        <v>1978</v>
      </c>
      <c r="F619" s="2" t="inlineStr">
        <is>
          <t>мультфильм</t>
        </is>
      </c>
      <c r="G619" s="2" t="inlineStr">
        <is>
          <t>Союзмультфильм</t>
        </is>
      </c>
      <c r="H619" s="2" t="n">
        <v>24</v>
      </c>
      <c r="I619" s="2" t="inlineStr"/>
      <c r="J619" s="2" t="inlineStr">
        <is>
          <t>да</t>
        </is>
      </c>
      <c r="K619" s="3" t="inlineStr">
        <is>
          <t>По мотивам русских былин</t>
        </is>
      </c>
      <c r="L619" s="2" t="inlineStr">
        <is>
          <t>https://animator.ru/db/?p=show_film&amp;fid=2787</t>
        </is>
      </c>
      <c r="M619" s="2">
        <f>HYPERLINK("https://ru.wikipedia.org/w/index.php?search=%D0%98%D0%BB%D1%8C%D1%8F%20%D0%BC%D1%83%D1%80%D0%BE%D0%BC%D0%B5%D1%86%20%D0%B8%20%D1%81%D0%BE%D0%BB%D0%BE%D0%B2%D0%B5%D0%B9-%D1%80%D0%B0%D0%B7%D0%B1%D0%BE%D0%B9%D0%BD%D0%B8%D0%BA%201978%20%D1%84%D0%B8%D0%BB%D1%8C%D0%BC","искать")</f>
        <v/>
      </c>
      <c r="N619" s="3" t="n"/>
      <c r="O619" s="2" t="n"/>
      <c r="P619" s="2" t="n"/>
    </row>
    <row r="620">
      <c r="A620" s="2" t="n">
        <v>619</v>
      </c>
      <c r="B620" s="2" t="inlineStr">
        <is>
          <t>не сюжет</t>
        </is>
      </c>
      <c r="C620" s="2" t="n">
        <v>11887</v>
      </c>
      <c r="D620" s="3" t="inlineStr">
        <is>
          <t>Привет мартышке</t>
        </is>
      </c>
      <c r="E620" s="2" t="n">
        <v>1978</v>
      </c>
      <c r="F620" s="2" t="inlineStr">
        <is>
          <t>мультфильм</t>
        </is>
      </c>
      <c r="G620" s="2" t="inlineStr">
        <is>
          <t>Союзмультфильм</t>
        </is>
      </c>
      <c r="H620" s="2" t="n">
        <v>24</v>
      </c>
      <c r="I620" s="2" t="inlineStr"/>
      <c r="J620" s="2" t="inlineStr">
        <is>
          <t>да</t>
        </is>
      </c>
      <c r="K620" s="3" t="inlineStr">
        <is>
          <t>Из серии про 38 попугаев</t>
        </is>
      </c>
      <c r="L620" s="2" t="inlineStr">
        <is>
          <t>2026-10_мультфильмы_список_владельца.xlsx; https://animator.ru/db/?p=show_film&amp;fid=2802</t>
        </is>
      </c>
      <c r="M620" s="2">
        <f>HYPERLINK("https://ru.wikipedia.org/w/index.php?search=%D0%9F%D1%80%D0%B8%D0%B2%D0%B5%D1%82%20%D0%BC%D0%B0%D1%80%D1%82%D1%8B%D1%88%D0%BA%D0%B5%201978%20%D1%84%D0%B8%D0%BB%D1%8C%D0%BC","искать")</f>
        <v/>
      </c>
      <c r="N620" s="3" t="n"/>
      <c r="O620" s="2" t="n"/>
      <c r="P620" s="2" t="n"/>
    </row>
    <row r="621">
      <c r="A621" s="2" t="n">
        <v>620</v>
      </c>
      <c r="B621" s="2" t="inlineStr">
        <is>
          <t>не сюжет</t>
        </is>
      </c>
      <c r="C621" s="2" t="n">
        <v>11903</v>
      </c>
      <c r="D621" s="3" t="inlineStr">
        <is>
          <t>Завтра будет завтра</t>
        </is>
      </c>
      <c r="E621" s="2" t="n">
        <v>1979</v>
      </c>
      <c r="F621" s="2" t="inlineStr">
        <is>
          <t>мультфильм</t>
        </is>
      </c>
      <c r="G621" s="2" t="inlineStr">
        <is>
          <t>Союзмультфильм</t>
        </is>
      </c>
      <c r="H621" s="2" t="n">
        <v>24</v>
      </c>
      <c r="I621" s="2" t="inlineStr"/>
      <c r="J621" s="2" t="inlineStr">
        <is>
          <t>да</t>
        </is>
      </c>
      <c r="K621" s="3" t="inlineStr">
        <is>
          <t>Из серии про 38 попугаев</t>
        </is>
      </c>
      <c r="L621" s="2" t="inlineStr">
        <is>
          <t>2026-10_мультфильмы_список_владельца.xlsx; https://animator.ru/db/?p=show_film&amp;fid=2818</t>
        </is>
      </c>
      <c r="M621" s="2">
        <f>HYPERLINK("https://ru.wikipedia.org/w/index.php?search=%D0%97%D0%B0%D0%B2%D1%82%D1%80%D0%B0%20%D0%B1%D1%83%D0%B4%D0%B5%D1%82%20%D0%B7%D0%B0%D0%B2%D1%82%D1%80%D0%B0%201979%20%D1%84%D0%B8%D0%BB%D1%8C%D0%BC","искать")</f>
        <v/>
      </c>
      <c r="N621" s="3" t="n"/>
      <c r="O621" s="2" t="n"/>
      <c r="P621" s="2" t="n"/>
    </row>
    <row r="622">
      <c r="A622" s="2" t="n">
        <v>621</v>
      </c>
      <c r="B622" s="2" t="inlineStr">
        <is>
          <t>не сюжет</t>
        </is>
      </c>
      <c r="C622" s="2" t="n">
        <v>12137</v>
      </c>
      <c r="D622" s="3" t="inlineStr">
        <is>
          <t>Великое закрытие</t>
        </is>
      </c>
      <c r="E622" s="2" t="n">
        <v>1985</v>
      </c>
      <c r="F622" s="2" t="inlineStr">
        <is>
          <t>мультфильм</t>
        </is>
      </c>
      <c r="G622" s="2" t="inlineStr">
        <is>
          <t>Союзмультфильм</t>
        </is>
      </c>
      <c r="H622" s="2" t="n">
        <v>24</v>
      </c>
      <c r="I622" s="2" t="inlineStr"/>
      <c r="J622" s="2" t="inlineStr">
        <is>
          <t>да</t>
        </is>
      </c>
      <c r="K622" s="3" t="inlineStr">
        <is>
          <t>Из серии про 38 попугаев</t>
        </is>
      </c>
      <c r="L622" s="2" t="inlineStr">
        <is>
          <t>2026-10_мультфильмы_список_владельца.xlsx; https://animator.ru/db/?p=show_film&amp;fid=3253</t>
        </is>
      </c>
      <c r="M622" s="2">
        <f>HYPERLINK("https://ru.wikipedia.org/w/index.php?search=%D0%92%D0%B5%D0%BB%D0%B8%D0%BA%D0%BE%D0%B5%20%D0%B7%D0%B0%D0%BA%D1%80%D1%8B%D1%82%D0%B8%D0%B5%201985%20%D1%84%D0%B8%D0%BB%D1%8C%D0%BC","искать")</f>
        <v/>
      </c>
      <c r="N622" s="3" t="n"/>
      <c r="O622" s="2" t="n"/>
      <c r="P622" s="2" t="n"/>
    </row>
    <row r="623">
      <c r="A623" s="2" t="n">
        <v>622</v>
      </c>
      <c r="B623" s="2" t="inlineStr">
        <is>
          <t>не сюжет</t>
        </is>
      </c>
      <c r="C623" s="2" t="n">
        <v>12365</v>
      </c>
      <c r="D623" s="3" t="inlineStr">
        <is>
          <t>Ерик</t>
        </is>
      </c>
      <c r="E623" s="2" t="n">
        <v>1989</v>
      </c>
      <c r="F623" s="2" t="inlineStr">
        <is>
          <t>мультфильм</t>
        </is>
      </c>
      <c r="G623" s="2" t="inlineStr">
        <is>
          <t>КИЕВНАУЧФИЛЬМ</t>
        </is>
      </c>
      <c r="H623" s="2" t="n">
        <v>24</v>
      </c>
      <c r="I623" s="2" t="inlineStr"/>
      <c r="J623" s="2" t="inlineStr">
        <is>
          <t>да</t>
        </is>
      </c>
      <c r="K623" s="3" t="inlineStr">
        <is>
          <t>По рассказу А.Платонова.</t>
        </is>
      </c>
      <c r="L623" s="2" t="inlineStr">
        <is>
          <t>2026-10_мультфильмы_список_владельца.xlsx; https://animator.ru/db/?p=show_film&amp;fid=3532</t>
        </is>
      </c>
      <c r="M623" s="2">
        <f>HYPERLINK("https://ru.wikipedia.org/w/index.php?search=%D0%95%D1%80%D0%B8%D0%BA%201989%20%D1%84%D0%B8%D0%BB%D1%8C%D0%BC","искать")</f>
        <v/>
      </c>
      <c r="N623" s="3" t="n"/>
      <c r="O623" s="2" t="n"/>
      <c r="P623" s="2" t="n"/>
    </row>
    <row r="624">
      <c r="A624" s="2" t="n">
        <v>623</v>
      </c>
      <c r="B624" s="2" t="inlineStr">
        <is>
          <t>не сюжет</t>
        </is>
      </c>
      <c r="C624" s="2" t="n">
        <v>12377</v>
      </c>
      <c r="D624" s="3" t="inlineStr">
        <is>
          <t>Зеленая пилюля</t>
        </is>
      </c>
      <c r="E624" s="2" t="n">
        <v>1974</v>
      </c>
      <c r="F624" s="2" t="inlineStr">
        <is>
          <t>мультфильм</t>
        </is>
      </c>
      <c r="G624" s="2" t="inlineStr">
        <is>
          <t>КИЕВНАУЧФИЛЬМ</t>
        </is>
      </c>
      <c r="H624" s="2" t="n">
        <v>24</v>
      </c>
      <c r="I624" s="2" t="inlineStr"/>
      <c r="J624" s="2" t="inlineStr">
        <is>
          <t>да</t>
        </is>
      </c>
      <c r="K624" s="3" t="inlineStr">
        <is>
          <t>По повести С.Прокофьевой</t>
        </is>
      </c>
      <c r="L624" s="2" t="inlineStr">
        <is>
          <t>https://animator.ru/db/?p=show_film&amp;fid=3547</t>
        </is>
      </c>
      <c r="M624" s="2">
        <f>HYPERLINK("https://ru.wikipedia.org/w/index.php?search=%D0%97%D0%B5%D0%BB%D0%B5%D0%BD%D0%B0%D1%8F%20%D0%BF%D0%B8%D0%BB%D1%8E%D0%BB%D1%8F%201974%20%D1%84%D0%B8%D0%BB%D1%8C%D0%BC","искать")</f>
        <v/>
      </c>
      <c r="N624" s="3" t="n"/>
      <c r="O624" s="2" t="n"/>
      <c r="P624" s="2" t="n"/>
    </row>
    <row r="625">
      <c r="A625" s="2" t="n">
        <v>624</v>
      </c>
      <c r="B625" s="2" t="inlineStr">
        <is>
          <t>не сюжет</t>
        </is>
      </c>
      <c r="C625" s="2" t="n">
        <v>12559</v>
      </c>
      <c r="D625" s="3" t="inlineStr">
        <is>
          <t>Солдатская сказка</t>
        </is>
      </c>
      <c r="E625" s="2" t="n">
        <v>1983</v>
      </c>
      <c r="F625" s="2" t="inlineStr">
        <is>
          <t>мультфильм</t>
        </is>
      </c>
      <c r="G625" s="2" t="inlineStr">
        <is>
          <t>КИЕВНАУЧФИЛЬМ</t>
        </is>
      </c>
      <c r="H625" s="2" t="n">
        <v>24</v>
      </c>
      <c r="I625" s="2" t="inlineStr"/>
      <c r="J625" s="2" t="inlineStr">
        <is>
          <t>да</t>
        </is>
      </c>
      <c r="K625" s="3" t="inlineStr">
        <is>
          <t>По сказке К.Паустовского</t>
        </is>
      </c>
      <c r="L625" s="2" t="inlineStr">
        <is>
          <t>https://animator.ru/db/?p=show_film&amp;fid=3738</t>
        </is>
      </c>
      <c r="M625" s="2">
        <f>HYPERLINK("https://ru.wikipedia.org/w/index.php?search=%D0%A1%D0%BE%D0%BB%D0%B4%D0%B0%D1%82%D1%81%D0%BA%D0%B0%D1%8F%20%D1%81%D0%BA%D0%B0%D0%B7%D0%BA%D0%B0%201983%20%D1%84%D0%B8%D0%BB%D1%8C%D0%BC","искать")</f>
        <v/>
      </c>
      <c r="N625" s="3" t="n"/>
      <c r="O625" s="2" t="n"/>
      <c r="P625" s="2" t="n"/>
    </row>
    <row r="626">
      <c r="A626" s="2" t="n">
        <v>625</v>
      </c>
      <c r="B626" s="2" t="inlineStr">
        <is>
          <t>не сюжет</t>
        </is>
      </c>
      <c r="C626" s="2" t="n">
        <v>12581</v>
      </c>
      <c r="D626" s="3" t="inlineStr">
        <is>
          <t>Теплый хлеб</t>
        </is>
      </c>
      <c r="E626" s="2" t="n">
        <v>1973</v>
      </c>
      <c r="F626" s="2" t="inlineStr">
        <is>
          <t>мультфильм</t>
        </is>
      </c>
      <c r="G626" s="2" t="inlineStr">
        <is>
          <t>КИЕВНАУЧФИЛЬМ</t>
        </is>
      </c>
      <c r="H626" s="2" t="n">
        <v>24</v>
      </c>
      <c r="I626" s="2" t="inlineStr"/>
      <c r="J626" s="2" t="inlineStr">
        <is>
          <t>да</t>
        </is>
      </c>
      <c r="K626" s="3" t="inlineStr">
        <is>
          <t>По сказке К.Паустовского</t>
        </is>
      </c>
      <c r="L626" s="2" t="inlineStr">
        <is>
          <t>https://animator.ru/db/?p=show_film&amp;fid=3761</t>
        </is>
      </c>
      <c r="M626" s="2">
        <f>HYPERLINK("https://ru.wikipedia.org/w/index.php?search=%D0%A2%D0%B5%D0%BF%D0%BB%D1%8B%D0%B9%20%D1%85%D0%BB%D0%B5%D0%B1%201973%20%D1%84%D0%B8%D0%BB%D1%8C%D0%BC","искать")</f>
        <v/>
      </c>
      <c r="N626" s="3" t="n"/>
      <c r="O626" s="2" t="n"/>
      <c r="P626" s="2" t="n"/>
    </row>
    <row r="627">
      <c r="A627" s="2" t="n">
        <v>626</v>
      </c>
      <c r="B627" s="2" t="inlineStr">
        <is>
          <t>не сюжет</t>
        </is>
      </c>
      <c r="C627" s="2" t="n">
        <v>12705</v>
      </c>
      <c r="D627" s="3" t="inlineStr">
        <is>
          <t>Листопадничек</t>
        </is>
      </c>
      <c r="E627" s="2" t="n">
        <v>1977</v>
      </c>
      <c r="F627" s="2" t="inlineStr">
        <is>
          <t>мультфильм</t>
        </is>
      </c>
      <c r="G627" s="2" t="inlineStr">
        <is>
          <t>БЕЛАРУСЬФИЛЬМ НАЦИОНАЛЬНАЯ КИНОСТУДИЯ - ГП</t>
        </is>
      </c>
      <c r="H627" s="2" t="n">
        <v>24</v>
      </c>
      <c r="I627" s="2" t="inlineStr"/>
      <c r="J627" s="2" t="inlineStr">
        <is>
          <t>да</t>
        </is>
      </c>
      <c r="K627" s="3" t="inlineStr">
        <is>
          <t>Мультфильм про листопад.</t>
        </is>
      </c>
      <c r="L627" s="2" t="inlineStr">
        <is>
          <t>2026-10_мультфильмы_список_владельца.xlsx; https://animator.ru/db/?p=show_film&amp;fid=3900</t>
        </is>
      </c>
      <c r="M627" s="2">
        <f>HYPERLINK("https://ru.wikipedia.org/w/index.php?search=%D0%9B%D0%B8%D1%81%D1%82%D0%BE%D0%BF%D0%B0%D0%B4%D0%BD%D0%B8%D1%87%D0%B5%D0%BA%201977%20%D1%84%D0%B8%D0%BB%D1%8C%D0%BC","искать")</f>
        <v/>
      </c>
      <c r="N627" s="3" t="n"/>
      <c r="O627" s="2" t="n"/>
      <c r="P627" s="2" t="n"/>
    </row>
    <row r="628">
      <c r="A628" s="2" t="n">
        <v>627</v>
      </c>
      <c r="B628" s="2" t="inlineStr">
        <is>
          <t>не сюжет</t>
        </is>
      </c>
      <c r="C628" s="2" t="n">
        <v>12890</v>
      </c>
      <c r="D628" s="3" t="inlineStr">
        <is>
          <t>Как лечить удава</t>
        </is>
      </c>
      <c r="E628" s="2" t="n">
        <v>1977</v>
      </c>
      <c r="F628" s="2" t="inlineStr">
        <is>
          <t>мультфильм</t>
        </is>
      </c>
      <c r="G628" s="2" t="inlineStr">
        <is>
          <t>Союзмультфильм, ГРУЗИЯ-ФИЛЬМ - АО</t>
        </is>
      </c>
      <c r="H628" s="2" t="n">
        <v>24</v>
      </c>
      <c r="I628" s="2" t="inlineStr"/>
      <c r="J628" s="2" t="inlineStr">
        <is>
          <t>да</t>
        </is>
      </c>
      <c r="K628" s="3" t="inlineStr">
        <is>
          <t>Из серии про 38 попугаев</t>
        </is>
      </c>
      <c r="L628" s="2" t="inlineStr">
        <is>
          <t>2026-10_мультфильмы_список_владельца.xlsx; https://animator.ru/db/?p=show_film&amp;fid=4120</t>
        </is>
      </c>
      <c r="M628" s="2">
        <f>HYPERLINK("https://ru.wikipedia.org/w/index.php?search=%D0%9A%D0%B0%D0%BA%20%D0%BB%D0%B5%D1%87%D0%B8%D1%82%D1%8C%20%D1%83%D0%B4%D0%B0%D0%B2%D0%B0%201977%20%D1%84%D0%B8%D0%BB%D1%8C%D0%BC","искать")</f>
        <v/>
      </c>
      <c r="N628" s="3" t="n"/>
      <c r="O628" s="2" t="n"/>
      <c r="P628" s="2" t="n"/>
    </row>
    <row r="629">
      <c r="A629" s="2" t="n">
        <v>628</v>
      </c>
      <c r="B629" s="2" t="inlineStr">
        <is>
          <t>не сюжет</t>
        </is>
      </c>
      <c r="C629" s="2" t="n">
        <v>13050</v>
      </c>
      <c r="D629" s="3" t="inlineStr">
        <is>
          <t>Шубка ежика (Ежикова одежка)</t>
        </is>
      </c>
      <c r="E629" s="2" t="n">
        <v>1972</v>
      </c>
      <c r="F629" s="2" t="inlineStr">
        <is>
          <t>мультфильм</t>
        </is>
      </c>
      <c r="G629" s="2" t="inlineStr">
        <is>
          <t>РИЖСКАЯ КИНОСТУДИЯ</t>
        </is>
      </c>
      <c r="H629" s="2" t="n">
        <v>24</v>
      </c>
      <c r="I629" s="2" t="inlineStr"/>
      <c r="J629" s="2" t="inlineStr">
        <is>
          <t>да</t>
        </is>
      </c>
      <c r="K629" s="3" t="inlineStr">
        <is>
          <t>По поэме Вилиса Плудонса</t>
        </is>
      </c>
      <c r="L629" s="2" t="inlineStr">
        <is>
          <t>https://animator.ru/db/?p=show_film&amp;fid=4282</t>
        </is>
      </c>
      <c r="M629" s="2">
        <f>HYPERLINK("https://ru.wikipedia.org/w/index.php?search=%D0%A8%D1%83%D0%B1%D0%BA%D0%B0%20%D0%B5%D0%B6%D0%B8%D0%BA%D0%B0%20%28%D0%95%D0%B6%D0%B8%D0%BA%D0%BE%D0%B2%D0%B0%20%D0%BE%D0%B4%D0%B5%D0%B6%D0%BA%D0%B0%29%201972%20%D1%84%D0%B8%D0%BB%D1%8C%D0%BC","искать")</f>
        <v/>
      </c>
      <c r="N629" s="3" t="n"/>
      <c r="O629" s="2" t="n"/>
      <c r="P629" s="2" t="n"/>
    </row>
    <row r="630">
      <c r="A630" s="2" t="n">
        <v>629</v>
      </c>
      <c r="B630" s="2" t="inlineStr">
        <is>
          <t>не сюжет</t>
        </is>
      </c>
      <c r="C630" s="2" t="n">
        <v>13105</v>
      </c>
      <c r="D630" s="3" t="inlineStr">
        <is>
          <t>Секрет лсу</t>
        </is>
      </c>
      <c r="E630" s="2" t="n">
        <v>1973</v>
      </c>
      <c r="F630" s="2" t="inlineStr">
        <is>
          <t>мультфильм</t>
        </is>
      </c>
      <c r="G630" s="2" t="inlineStr">
        <is>
          <t>МОЛДОВА-ФИЛЬМ</t>
        </is>
      </c>
      <c r="H630" s="2" t="n">
        <v>24</v>
      </c>
      <c r="I630" s="2" t="inlineStr"/>
      <c r="J630" s="2" t="inlineStr">
        <is>
          <t>да</t>
        </is>
      </c>
      <c r="K630" s="3" t="inlineStr">
        <is>
          <t>О пользе занятий спортом</t>
        </is>
      </c>
      <c r="L630" s="2" t="inlineStr">
        <is>
          <t>https://animator.ru/db/?p=show_film&amp;fid=4337</t>
        </is>
      </c>
      <c r="M630" s="2">
        <f>HYPERLINK("https://ru.wikipedia.org/w/index.php?search=%D0%A1%D0%B5%D0%BA%D1%80%D0%B5%D1%82%20%D0%BB%D1%81%D1%83%201973%20%D1%84%D0%B8%D0%BB%D1%8C%D0%BC","искать")</f>
        <v/>
      </c>
      <c r="N630" s="3" t="n"/>
      <c r="O630" s="2" t="n"/>
      <c r="P630" s="2" t="n"/>
    </row>
    <row r="631">
      <c r="A631" s="2" t="n">
        <v>630</v>
      </c>
      <c r="B631" s="2" t="inlineStr">
        <is>
          <t>не сюжет</t>
        </is>
      </c>
      <c r="C631" s="2" t="n">
        <v>13176</v>
      </c>
      <c r="D631" s="3" t="inlineStr">
        <is>
          <t>Зимняя сказка</t>
        </is>
      </c>
      <c r="E631" s="2" t="n">
        <v>1972</v>
      </c>
      <c r="F631" s="2" t="inlineStr">
        <is>
          <t>мультфильм</t>
        </is>
      </c>
      <c r="G631" s="2" t="inlineStr">
        <is>
          <t>УЗБЕКФИЛЬМ</t>
        </is>
      </c>
      <c r="H631" s="2" t="n">
        <v>24</v>
      </c>
      <c r="I631" s="2" t="inlineStr"/>
      <c r="J631" s="2" t="inlineStr">
        <is>
          <t>да</t>
        </is>
      </c>
      <c r="K631" s="3" t="inlineStr">
        <is>
          <t>О волшебной силе красоты</t>
        </is>
      </c>
      <c r="L631" s="2" t="inlineStr">
        <is>
          <t>https://animator.ru/db/?p=show_film&amp;fid=4415</t>
        </is>
      </c>
      <c r="M631" s="2">
        <f>HYPERLINK("https://ru.wikipedia.org/w/index.php?search=%D0%97%D0%B8%D0%BC%D0%BD%D1%8F%D1%8F%20%D1%81%D0%BA%D0%B0%D0%B7%D0%BA%D0%B0%201972%20%D1%84%D0%B8%D0%BB%D1%8C%D0%BC","искать")</f>
        <v/>
      </c>
      <c r="N631" s="3" t="n"/>
      <c r="O631" s="2" t="n"/>
      <c r="P631" s="2" t="n"/>
    </row>
    <row r="632">
      <c r="A632" s="2" t="n">
        <v>631</v>
      </c>
      <c r="B632" s="2" t="inlineStr">
        <is>
          <t>не сюжет</t>
        </is>
      </c>
      <c r="C632" s="2" t="n">
        <v>13234</v>
      </c>
      <c r="D632" s="3" t="inlineStr">
        <is>
          <t>Зайчонок, который не хотел спать</t>
        </is>
      </c>
      <c r="E632" s="2" t="n">
        <v>1975</v>
      </c>
      <c r="F632" s="2" t="inlineStr">
        <is>
          <t>мультфильм</t>
        </is>
      </c>
      <c r="G632" s="2" t="inlineStr">
        <is>
          <t>ТАЛЛИННФИЛЬМ</t>
        </is>
      </c>
      <c r="H632" s="2" t="n">
        <v>24</v>
      </c>
      <c r="I632" s="2" t="inlineStr"/>
      <c r="J632" s="2" t="inlineStr">
        <is>
          <t>да</t>
        </is>
      </c>
      <c r="K632" s="3" t="inlineStr">
        <is>
          <t>По мотивам сказки Э.Нийт</t>
        </is>
      </c>
      <c r="L632" s="2" t="inlineStr">
        <is>
          <t>https://animator.ru/db/?p=show_film&amp;fid=4476</t>
        </is>
      </c>
      <c r="M632" s="2">
        <f>HYPERLINK("https://ru.wikipedia.org/w/index.php?search=%D0%97%D0%B0%D0%B9%D1%87%D0%BE%D0%BD%D0%BE%D0%BA%2C%20%D0%BA%D0%BE%D1%82%D0%BE%D1%80%D1%8B%D0%B9%20%D0%BD%D0%B5%20%D1%85%D0%BE%D1%82%D0%B5%D0%BB%20%D1%81%D0%BF%D0%B0%D1%82%D1%8C%201975%20%D1%84%D0%B8%D0%BB%D1%8C%D0%BC","искать")</f>
        <v/>
      </c>
      <c r="N632" s="3" t="n"/>
      <c r="O632" s="2" t="n"/>
      <c r="P632" s="2" t="n"/>
    </row>
    <row r="633">
      <c r="A633" s="2" t="n">
        <v>632</v>
      </c>
      <c r="B633" s="2" t="inlineStr">
        <is>
          <t>не сюжет</t>
        </is>
      </c>
      <c r="C633" s="2" t="n">
        <v>13356</v>
      </c>
      <c r="D633" s="3" t="inlineStr">
        <is>
          <t>Два соседа</t>
        </is>
      </c>
      <c r="E633" s="2" t="n">
        <v>1980</v>
      </c>
      <c r="F633" s="2" t="inlineStr">
        <is>
          <t>мультфильм</t>
        </is>
      </c>
      <c r="G633" s="2" t="inlineStr">
        <is>
          <t>МОЛДОВА-ФИЛЬМ</t>
        </is>
      </c>
      <c r="H633" s="2" t="n">
        <v>24</v>
      </c>
      <c r="I633" s="2" t="inlineStr"/>
      <c r="J633" s="2" t="inlineStr">
        <is>
          <t>да</t>
        </is>
      </c>
      <c r="K633" s="3" t="inlineStr">
        <is>
          <t>О добром и злом соседях.</t>
        </is>
      </c>
      <c r="L633" s="2" t="inlineStr">
        <is>
          <t>2026-10_мультфильмы_список_владельца.xlsx; https://animator.ru/db/?p=show_film&amp;fid=4634</t>
        </is>
      </c>
      <c r="M633" s="2">
        <f>HYPERLINK("https://ru.wikipedia.org/w/index.php?search=%D0%94%D0%B2%D0%B0%20%D1%81%D0%BE%D1%81%D0%B5%D0%B4%D0%B0%201980%20%D1%84%D0%B8%D0%BB%D1%8C%D0%BC","искать")</f>
        <v/>
      </c>
      <c r="N633" s="3" t="n"/>
      <c r="O633" s="2" t="n"/>
      <c r="P633" s="2" t="n"/>
    </row>
    <row r="634">
      <c r="A634" s="2" t="n">
        <v>633</v>
      </c>
      <c r="B634" s="2" t="inlineStr">
        <is>
          <t>не сюжет</t>
        </is>
      </c>
      <c r="C634" s="2" t="n">
        <v>13908</v>
      </c>
      <c r="D634" s="3" t="inlineStr">
        <is>
          <t>Солнышко</t>
        </is>
      </c>
      <c r="E634" s="2" t="n">
        <v>1981</v>
      </c>
      <c r="F634" s="2" t="inlineStr">
        <is>
          <t>мультфильм</t>
        </is>
      </c>
      <c r="G634" s="2" t="inlineStr">
        <is>
          <t>ЭКРАН</t>
        </is>
      </c>
      <c r="H634" s="2" t="n">
        <v>24</v>
      </c>
      <c r="I634" s="2" t="inlineStr"/>
      <c r="J634" s="2" t="inlineStr">
        <is>
          <t>да</t>
        </is>
      </c>
      <c r="K634" s="3" t="inlineStr">
        <is>
          <t>Живописный этюд о цветах</t>
        </is>
      </c>
      <c r="L634" s="2" t="inlineStr">
        <is>
          <t>https://animator.ru/db/?p=show_film&amp;fid=5302</t>
        </is>
      </c>
      <c r="M634" s="2">
        <f>HYPERLINK("https://ru.wikipedia.org/w/index.php?search=%D0%A1%D0%BE%D0%BB%D0%BD%D1%8B%D1%88%D0%BA%D0%BE%201981%20%D1%84%D0%B8%D0%BB%D1%8C%D0%BC","искать")</f>
        <v/>
      </c>
      <c r="N634" s="3" t="n"/>
      <c r="O634" s="2" t="n"/>
      <c r="P634" s="2" t="n"/>
    </row>
    <row r="635">
      <c r="A635" s="2" t="n">
        <v>634</v>
      </c>
      <c r="B635" s="2" t="inlineStr">
        <is>
          <t>не сюжет</t>
        </is>
      </c>
      <c r="C635" s="2" t="n">
        <v>13947</v>
      </c>
      <c r="D635" s="3" t="inlineStr">
        <is>
          <t>Фокус</t>
        </is>
      </c>
      <c r="E635" s="2" t="n">
        <v>1981</v>
      </c>
      <c r="F635" s="2" t="inlineStr">
        <is>
          <t>мультфильм</t>
        </is>
      </c>
      <c r="G635" s="2" t="inlineStr">
        <is>
          <t>ЭКРАН</t>
        </is>
      </c>
      <c r="H635" s="2" t="n">
        <v>24</v>
      </c>
      <c r="I635" s="2" t="inlineStr"/>
      <c r="J635" s="2" t="inlineStr">
        <is>
          <t>да</t>
        </is>
      </c>
      <c r="K635" s="3" t="inlineStr">
        <is>
          <t>Живописный этюд о цветах</t>
        </is>
      </c>
      <c r="L635" s="2" t="inlineStr">
        <is>
          <t>https://animator.ru/db/?p=show_film&amp;fid=5341</t>
        </is>
      </c>
      <c r="M635" s="2">
        <f>HYPERLINK("https://ru.wikipedia.org/w/index.php?search=%D0%A4%D0%BE%D0%BA%D1%83%D1%81%201981%20%D1%84%D0%B8%D0%BB%D1%8C%D0%BC","искать")</f>
        <v/>
      </c>
      <c r="N635" s="3" t="n"/>
      <c r="O635" s="2" t="n"/>
      <c r="P635" s="2" t="n"/>
    </row>
    <row r="636">
      <c r="A636" s="2" t="n">
        <v>635</v>
      </c>
      <c r="B636" s="2" t="inlineStr">
        <is>
          <t>не сюжет</t>
        </is>
      </c>
      <c r="C636" s="2" t="n">
        <v>14264</v>
      </c>
      <c r="D636" s="3" t="inlineStr">
        <is>
          <t>38 попугаев</t>
        </is>
      </c>
      <c r="E636" s="2" t="n">
        <v>1976</v>
      </c>
      <c r="F636" s="2" t="inlineStr">
        <is>
          <t>мультфильм</t>
        </is>
      </c>
      <c r="G636" s="2" t="inlineStr">
        <is>
          <t>Союзмультфильм</t>
        </is>
      </c>
      <c r="H636" s="2" t="n">
        <v>24</v>
      </c>
      <c r="I636" s="2" t="inlineStr"/>
      <c r="J636" s="2" t="inlineStr">
        <is>
          <t>да</t>
        </is>
      </c>
      <c r="K636" s="3" t="inlineStr">
        <is>
          <t>Из серии про 38 попугаев</t>
        </is>
      </c>
      <c r="L636" s="2" t="inlineStr">
        <is>
          <t>2026-10_мультфильмы_список_владельца.xlsx; https://animator.ru/db/?p=show_film&amp;fid=5717</t>
        </is>
      </c>
      <c r="M636" s="2">
        <f>HYPERLINK("https://ru.wikipedia.org/w/index.php?search=38%20%D0%BF%D0%BE%D0%BF%D1%83%D0%B3%D0%B0%D0%B5%D0%B2%201976%20%D1%84%D0%B8%D0%BB%D1%8C%D0%BC","искать")</f>
        <v/>
      </c>
      <c r="N636" s="3" t="n"/>
      <c r="O636" s="2" t="n"/>
      <c r="P636" s="2" t="n"/>
    </row>
    <row r="637">
      <c r="A637" s="2" t="n">
        <v>636</v>
      </c>
      <c r="B637" s="2" t="inlineStr">
        <is>
          <t>не сюжет</t>
        </is>
      </c>
      <c r="C637" s="2" t="n">
        <v>14322</v>
      </c>
      <c r="D637" s="3" t="inlineStr">
        <is>
          <t>Светоч счастья</t>
        </is>
      </c>
      <c r="E637" s="2" t="n">
        <v>1990</v>
      </c>
      <c r="F637" s="2" t="inlineStr">
        <is>
          <t>мультфильм</t>
        </is>
      </c>
      <c r="G637" s="2" t="inlineStr">
        <is>
          <t>ЛИТОВСКАЯ КИНОСТУДИЯ</t>
        </is>
      </c>
      <c r="H637" s="2" t="n">
        <v>24</v>
      </c>
      <c r="I637" s="2" t="inlineStr"/>
      <c r="J637" s="2" t="inlineStr">
        <is>
          <t>да</t>
        </is>
      </c>
      <c r="K637" s="3" t="inlineStr">
        <is>
          <t>На тему баллады Билюнаса</t>
        </is>
      </c>
      <c r="L637" s="2" t="inlineStr">
        <is>
          <t>https://animator.ru/db/?p=show_film&amp;fid=5868</t>
        </is>
      </c>
      <c r="M637" s="2">
        <f>HYPERLINK("https://ru.wikipedia.org/w/index.php?search=%D0%A1%D0%B2%D0%B5%D1%82%D0%BE%D1%87%20%D1%81%D1%87%D0%B0%D1%81%D1%82%D1%8C%D1%8F%201990%20%D1%84%D0%B8%D0%BB%D1%8C%D0%BC","искать")</f>
        <v/>
      </c>
      <c r="N637" s="3" t="n"/>
      <c r="O637" s="2" t="n"/>
      <c r="P637" s="2" t="n"/>
    </row>
    <row r="638">
      <c r="A638" s="2" t="n">
        <v>637</v>
      </c>
      <c r="B638" s="2" t="inlineStr">
        <is>
          <t>не сюжет</t>
        </is>
      </c>
      <c r="C638" s="2" t="n">
        <v>10626</v>
      </c>
      <c r="D638" s="3" t="inlineStr">
        <is>
          <t>"Светлячки" идут в поход</t>
        </is>
      </c>
      <c r="E638" s="2" t="n">
        <v>1975</v>
      </c>
      <c r="F638" s="2" t="inlineStr">
        <is>
          <t>фильм-спектакль</t>
        </is>
      </c>
      <c r="G638" s="2" t="inlineStr">
        <is>
          <t>Ленинградское телевидение</t>
        </is>
      </c>
      <c r="H638" s="2" t="n">
        <v>25</v>
      </c>
      <c r="I638" s="2" t="inlineStr"/>
      <c r="J638" s="2" t="inlineStr">
        <is>
          <t>да</t>
        </is>
      </c>
      <c r="K638" s="3" t="inlineStr">
        <is>
          <t>По повести Ильи Дворкина.</t>
        </is>
      </c>
      <c r="L638" s="2" t="inlineStr">
        <is>
          <t>https://www.kino-teatr.ru/teatr/movie/137282/annot/</t>
        </is>
      </c>
      <c r="M638" s="2">
        <f>HYPERLINK("https://ru.wikipedia.org/w/index.php?search=%22%D0%A1%D0%B2%D0%B5%D1%82%D0%BB%D1%8F%D1%87%D0%BA%D0%B8%22%20%D0%B8%D0%B4%D1%83%D1%82%20%D0%B2%20%D0%BF%D0%BE%D1%85%D0%BE%D0%B4%201975%20%D1%84%D0%B8%D0%BB%D1%8C%D0%BC","искать")</f>
        <v/>
      </c>
      <c r="N638" s="3" t="n"/>
      <c r="O638" s="2" t="n"/>
      <c r="P638" s="2" t="n"/>
    </row>
    <row r="639">
      <c r="A639" s="2" t="n">
        <v>638</v>
      </c>
      <c r="B639" s="2" t="inlineStr">
        <is>
          <t>не сюжет</t>
        </is>
      </c>
      <c r="C639" s="2" t="n">
        <v>11538</v>
      </c>
      <c r="D639" s="3" t="inlineStr">
        <is>
          <t>Агитка первого мая</t>
        </is>
      </c>
      <c r="E639" s="2" t="n">
        <v>1929</v>
      </c>
      <c r="F639" s="2" t="inlineStr">
        <is>
          <t>мультфильм</t>
        </is>
      </c>
      <c r="G639" s="2" t="inlineStr">
        <is>
          <t>МЕЖРАБПОМФИЛЬМ</t>
        </is>
      </c>
      <c r="H639" s="2" t="n">
        <v>25</v>
      </c>
      <c r="I639" s="2" t="inlineStr"/>
      <c r="J639" s="2" t="inlineStr">
        <is>
          <t>да</t>
        </is>
      </c>
      <c r="K639" s="3" t="inlineStr">
        <is>
          <t>Киноплакат. Не сохранился</t>
        </is>
      </c>
      <c r="L639" s="2" t="inlineStr">
        <is>
          <t>https://animator.ru/db/?p=show_film&amp;fid=2356</t>
        </is>
      </c>
      <c r="M639" s="2">
        <f>HYPERLINK("https://ru.wikipedia.org/w/index.php?search=%D0%90%D0%B3%D0%B8%D1%82%D0%BA%D0%B0%20%D0%BF%D0%B5%D1%80%D0%B2%D0%BE%D0%B3%D0%BE%20%D0%BC%D0%B0%D1%8F%201929%20%D1%84%D0%B8%D0%BB%D1%8C%D0%BC","искать")</f>
        <v/>
      </c>
      <c r="N639" s="3" t="n"/>
      <c r="O639" s="2" t="n"/>
      <c r="P639" s="2" t="n"/>
    </row>
    <row r="640">
      <c r="A640" s="2" t="n">
        <v>639</v>
      </c>
      <c r="B640" s="2" t="inlineStr">
        <is>
          <t>не сюжет</t>
        </is>
      </c>
      <c r="C640" s="2" t="n">
        <v>11785</v>
      </c>
      <c r="D640" s="3" t="inlineStr">
        <is>
          <t>Садко богатый</t>
        </is>
      </c>
      <c r="E640" s="2" t="n">
        <v>1975</v>
      </c>
      <c r="F640" s="2" t="inlineStr">
        <is>
          <t>мультфильм</t>
        </is>
      </c>
      <c r="G640" s="2" t="inlineStr">
        <is>
          <t>Союзмультфильм</t>
        </is>
      </c>
      <c r="H640" s="2" t="n">
        <v>25</v>
      </c>
      <c r="I640" s="2" t="inlineStr"/>
      <c r="J640" s="2" t="inlineStr">
        <is>
          <t>да</t>
        </is>
      </c>
      <c r="K640" s="3" t="inlineStr">
        <is>
          <t>По мотивам русской былины</t>
        </is>
      </c>
      <c r="L640" s="2" t="inlineStr">
        <is>
          <t>https://animator.ru/db/?p=show_film&amp;fid=2699</t>
        </is>
      </c>
      <c r="M640" s="2">
        <f>HYPERLINK("https://ru.wikipedia.org/w/index.php?search=%D0%A1%D0%B0%D0%B4%D0%BA%D0%BE%20%D0%B1%D0%BE%D0%B3%D0%B0%D1%82%D1%8B%D0%B9%201975%20%D1%84%D0%B8%D0%BB%D1%8C%D0%BC","искать")</f>
        <v/>
      </c>
      <c r="N640" s="3" t="n"/>
      <c r="O640" s="2" t="n"/>
      <c r="P640" s="2" t="n"/>
    </row>
    <row r="641">
      <c r="A641" s="2" t="n">
        <v>640</v>
      </c>
      <c r="B641" s="2" t="inlineStr">
        <is>
          <t>не сюжет</t>
        </is>
      </c>
      <c r="C641" s="2" t="n">
        <v>12068</v>
      </c>
      <c r="D641" s="3" t="inlineStr">
        <is>
          <t>Возвращение блудного попугая ч.1</t>
        </is>
      </c>
      <c r="E641" s="2" t="n">
        <v>1984</v>
      </c>
      <c r="F641" s="2" t="inlineStr">
        <is>
          <t>мультфильм</t>
        </is>
      </c>
      <c r="G641" s="2" t="inlineStr">
        <is>
          <t>Союзмультфильм</t>
        </is>
      </c>
      <c r="H641" s="2" t="n">
        <v>25</v>
      </c>
      <c r="I641" s="2" t="inlineStr"/>
      <c r="J641" s="2" t="inlineStr">
        <is>
          <t>да</t>
        </is>
      </c>
      <c r="K641" s="3" t="inlineStr">
        <is>
          <t>Приключения попугая Кеши.</t>
        </is>
      </c>
      <c r="L641" s="2" t="inlineStr">
        <is>
          <t>2026-10_мультфильмы_список_владельца.xlsx; https://animator.ru/db/?p=show_film&amp;fid=3183</t>
        </is>
      </c>
      <c r="M641" s="2">
        <f>HYPERLINK("https://ru.wikipedia.org/w/index.php?search=%D0%92%D0%BE%D0%B7%D0%B2%D1%80%D0%B0%D1%89%D0%B5%D0%BD%D0%B8%D0%B5%20%D0%B1%D0%BB%D1%83%D0%B4%D0%BD%D0%BE%D0%B3%D0%BE%20%D0%BF%D0%BE%D0%BF%D1%83%D0%B3%D0%B0%D1%8F%20%D1%87.1%201984%20%D1%84%D0%B8%D0%BB%D1%8C%D0%BC","искать")</f>
        <v/>
      </c>
      <c r="N641" s="3" t="n"/>
      <c r="O641" s="2" t="n"/>
      <c r="P641" s="2" t="n"/>
    </row>
    <row r="642">
      <c r="A642" s="2" t="n">
        <v>641</v>
      </c>
      <c r="B642" s="2" t="inlineStr">
        <is>
          <t>не сюжет</t>
        </is>
      </c>
      <c r="C642" s="2" t="n">
        <v>12170</v>
      </c>
      <c r="D642" s="3" t="inlineStr">
        <is>
          <t>Название неизвестно -- проверить</t>
        </is>
      </c>
      <c r="E642" s="2" t="n">
        <v>1986</v>
      </c>
      <c r="F642" s="2" t="inlineStr">
        <is>
          <t>мультфильм</t>
        </is>
      </c>
      <c r="G642" s="2" t="inlineStr">
        <is>
          <t>Союзмультфильм</t>
        </is>
      </c>
      <c r="H642" s="2" t="n">
        <v>25</v>
      </c>
      <c r="I642" s="2" t="inlineStr"/>
      <c r="J642" s="2" t="inlineStr">
        <is>
          <t>да</t>
        </is>
      </c>
      <c r="K642" s="3" t="inlineStr">
        <is>
          <t>По стихотворению Г.Остера</t>
        </is>
      </c>
      <c r="L642" s="2" t="inlineStr">
        <is>
          <t>https://animator.ru/db/?p=show_film&amp;fid=3286</t>
        </is>
      </c>
      <c r="M642" s="2">
        <f>HYPERLINK("https://ru.wikipedia.org/w/index.php?search=%D0%9D%D0%B0%D0%B7%D0%B2%D0%B0%D0%BD%D0%B8%D0%B5%20%D0%BD%D0%B5%D0%B8%D0%B7%D0%B2%D0%B5%D1%81%D1%82%D0%BD%D0%BE%20--%20%D0%BF%D1%80%D0%BE%D0%B2%D0%B5%D1%80%D0%B8%D1%82%D1%8C%201986%20%D1%84%D0%B8%D0%BB%D1%8C%D0%BC","искать")</f>
        <v/>
      </c>
      <c r="N642" s="3" t="n"/>
      <c r="O642" s="2" t="n"/>
      <c r="P642" s="2" t="n"/>
    </row>
    <row r="643">
      <c r="A643" s="2" t="n">
        <v>642</v>
      </c>
      <c r="B643" s="2" t="inlineStr">
        <is>
          <t>не сюжет</t>
        </is>
      </c>
      <c r="C643" s="2" t="n">
        <v>12212</v>
      </c>
      <c r="D643" s="3" t="inlineStr">
        <is>
          <t>Мартынко</t>
        </is>
      </c>
      <c r="E643" s="2" t="n">
        <v>1987</v>
      </c>
      <c r="F643" s="2" t="inlineStr">
        <is>
          <t>мультфильм</t>
        </is>
      </c>
      <c r="G643" s="2" t="inlineStr">
        <is>
          <t>Союзмультфильм</t>
        </is>
      </c>
      <c r="H643" s="2" t="n">
        <v>25</v>
      </c>
      <c r="I643" s="2" t="inlineStr"/>
      <c r="J643" s="2" t="inlineStr">
        <is>
          <t>да</t>
        </is>
      </c>
      <c r="K643" s="3" t="inlineStr">
        <is>
          <t>Обожруся и помру молодой!</t>
        </is>
      </c>
      <c r="L643" s="2" t="inlineStr">
        <is>
          <t>2026-10_мультфильмы_список_владельца.xlsx; https://animator.ru/db/?p=show_film&amp;fid=3329</t>
        </is>
      </c>
      <c r="M643" s="2">
        <f>HYPERLINK("https://ru.wikipedia.org/w/index.php?search=%D0%9C%D0%B0%D1%80%D1%82%D1%8B%D0%BD%D0%BA%D0%BE%201987%20%D1%84%D0%B8%D0%BB%D1%8C%D0%BC","искать")</f>
        <v/>
      </c>
      <c r="N643" s="3" t="n"/>
      <c r="O643" s="2" t="n"/>
      <c r="P643" s="2" t="n"/>
    </row>
    <row r="644">
      <c r="A644" s="2" t="n">
        <v>643</v>
      </c>
      <c r="B644" s="2" t="inlineStr">
        <is>
          <t>не сюжет</t>
        </is>
      </c>
      <c r="C644" s="2" t="n">
        <v>12674</v>
      </c>
      <c r="D644" s="3" t="inlineStr">
        <is>
          <t>Светлячок и росинка</t>
        </is>
      </c>
      <c r="E644" s="2" t="n">
        <v>1978</v>
      </c>
      <c r="F644" s="2" t="inlineStr">
        <is>
          <t>мультфильм</t>
        </is>
      </c>
      <c r="G644" s="2" t="inlineStr">
        <is>
          <t>БЕЛАРУСЬФИЛЬМ НАЦИОНАЛЬНАЯ КИНОСТУДИЯ - ГП</t>
        </is>
      </c>
      <c r="H644" s="2" t="n">
        <v>25</v>
      </c>
      <c r="I644" s="2" t="inlineStr"/>
      <c r="J644" s="2" t="inlineStr">
        <is>
          <t>да</t>
        </is>
      </c>
      <c r="K644" s="3" t="inlineStr">
        <is>
          <t>По мотивам сказки М.Танка</t>
        </is>
      </c>
      <c r="L644" s="2" t="inlineStr">
        <is>
          <t>https://animator.ru/db/?p=show_film&amp;fid=3869</t>
        </is>
      </c>
      <c r="M644" s="2">
        <f>HYPERLINK("https://ru.wikipedia.org/w/index.php?search=%D0%A1%D0%B2%D0%B5%D1%82%D0%BB%D1%8F%D1%87%D0%BE%D0%BA%20%D0%B8%20%D1%80%D0%BE%D1%81%D0%B8%D0%BD%D0%BA%D0%B0%201978%20%D1%84%D0%B8%D0%BB%D1%8C%D0%BC","искать")</f>
        <v/>
      </c>
      <c r="N644" s="3" t="n"/>
      <c r="O644" s="2" t="n"/>
      <c r="P644" s="2" t="n"/>
    </row>
    <row r="645">
      <c r="A645" s="2" t="n">
        <v>644</v>
      </c>
      <c r="B645" s="2" t="inlineStr">
        <is>
          <t>не сюжет</t>
        </is>
      </c>
      <c r="C645" s="2" t="n">
        <v>12849</v>
      </c>
      <c r="D645" s="3" t="inlineStr">
        <is>
          <t>Ступка</t>
        </is>
      </c>
      <c r="E645" s="2" t="n">
        <v>1976</v>
      </c>
      <c r="F645" s="2" t="inlineStr">
        <is>
          <t>мультфильм</t>
        </is>
      </c>
      <c r="G645" s="2" t="inlineStr">
        <is>
          <t>ГРУЗИЯ-ФИЛЬМ - АО</t>
        </is>
      </c>
      <c r="H645" s="2" t="n">
        <v>25</v>
      </c>
      <c r="I645" s="2" t="inlineStr"/>
      <c r="J645" s="2" t="inlineStr">
        <is>
          <t>да</t>
        </is>
      </c>
      <c r="K645" s="3" t="inlineStr">
        <is>
          <t>О лжеученом. Для взрослых</t>
        </is>
      </c>
      <c r="L645" s="2" t="inlineStr">
        <is>
          <t>https://animator.ru/db/?p=show_film&amp;fid=4073</t>
        </is>
      </c>
      <c r="M645" s="2">
        <f>HYPERLINK("https://ru.wikipedia.org/w/index.php?search=%D0%A1%D1%82%D1%83%D0%BF%D0%BA%D0%B0%201976%20%D1%84%D0%B8%D0%BB%D1%8C%D0%BC","искать")</f>
        <v/>
      </c>
      <c r="N645" s="3" t="n"/>
      <c r="O645" s="2" t="n"/>
      <c r="P645" s="2" t="n"/>
    </row>
    <row r="646">
      <c r="A646" s="2" t="n">
        <v>645</v>
      </c>
      <c r="B646" s="2" t="inlineStr">
        <is>
          <t>не сюжет</t>
        </is>
      </c>
      <c r="C646" s="2" t="n">
        <v>12904</v>
      </c>
      <c r="D646" s="3" t="inlineStr">
        <is>
          <t>Летучая мышь</t>
        </is>
      </c>
      <c r="E646" s="2" t="n">
        <v>1981</v>
      </c>
      <c r="F646" s="2" t="inlineStr">
        <is>
          <t>мультфильм</t>
        </is>
      </c>
      <c r="G646" s="2" t="inlineStr">
        <is>
          <t>ГРУЗИЯ-ФИЛЬМ - АО</t>
        </is>
      </c>
      <c r="H646" s="2" t="n">
        <v>25</v>
      </c>
      <c r="I646" s="2" t="inlineStr"/>
      <c r="J646" s="2" t="inlineStr">
        <is>
          <t>да</t>
        </is>
      </c>
      <c r="K646" s="3" t="inlineStr">
        <is>
          <t>По сказке Акакия Церетели</t>
        </is>
      </c>
      <c r="L646" s="2" t="inlineStr">
        <is>
          <t>https://animator.ru/db/?p=show_film&amp;fid=4134</t>
        </is>
      </c>
      <c r="M646" s="2">
        <f>HYPERLINK("https://ru.wikipedia.org/w/index.php?search=%D0%9B%D0%B5%D1%82%D1%83%D1%87%D0%B0%D1%8F%20%D0%BC%D1%8B%D1%88%D1%8C%201981%20%D1%84%D0%B8%D0%BB%D1%8C%D0%BC","искать")</f>
        <v/>
      </c>
      <c r="N646" s="3" t="n"/>
      <c r="O646" s="2" t="n"/>
      <c r="P646" s="2" t="n"/>
    </row>
    <row r="647">
      <c r="A647" s="2" t="n">
        <v>646</v>
      </c>
      <c r="B647" s="2" t="inlineStr">
        <is>
          <t>не сюжет</t>
        </is>
      </c>
      <c r="C647" s="2" t="n">
        <v>13009</v>
      </c>
      <c r="D647" s="3" t="inlineStr">
        <is>
          <t>Где искать сон</t>
        </is>
      </c>
      <c r="E647" s="2" t="n">
        <v>1986</v>
      </c>
      <c r="F647" s="2" t="inlineStr">
        <is>
          <t>мультфильм</t>
        </is>
      </c>
      <c r="G647" s="2" t="inlineStr">
        <is>
          <t>КАЗАХФИЛЬМ</t>
        </is>
      </c>
      <c r="H647" s="2" t="n">
        <v>25</v>
      </c>
      <c r="I647" s="2" t="inlineStr"/>
      <c r="J647" s="2" t="inlineStr">
        <is>
          <t>да</t>
        </is>
      </c>
      <c r="K647" s="3" t="inlineStr">
        <is>
          <t>По рассказу Б.Утетледова.</t>
        </is>
      </c>
      <c r="L647" s="2" t="inlineStr">
        <is>
          <t>2026-10_мультфильмы_список_владельца.xlsx; https://animator.ru/db/?p=show_film&amp;fid=4241</t>
        </is>
      </c>
      <c r="M647" s="2">
        <f>HYPERLINK("https://ru.wikipedia.org/w/index.php?search=%D0%93%D0%B4%D0%B5%20%D0%B8%D1%81%D0%BA%D0%B0%D1%82%D1%8C%20%D1%81%D0%BE%D0%BD%201986%20%D1%84%D0%B8%D0%BB%D1%8C%D0%BC","искать")</f>
        <v/>
      </c>
      <c r="N647" s="3" t="n"/>
      <c r="O647" s="2" t="n"/>
      <c r="P647" s="2" t="n"/>
    </row>
    <row r="648">
      <c r="A648" s="2" t="n">
        <v>647</v>
      </c>
      <c r="B648" s="2" t="inlineStr">
        <is>
          <t>не сюжет</t>
        </is>
      </c>
      <c r="C648" s="2" t="n">
        <v>13111</v>
      </c>
      <c r="D648" s="3" t="inlineStr">
        <is>
          <t>Если верить в сказку</t>
        </is>
      </c>
      <c r="E648" s="2" t="n">
        <v>1978</v>
      </c>
      <c r="F648" s="2" t="inlineStr">
        <is>
          <t>мультфильм</t>
        </is>
      </c>
      <c r="G648" s="2" t="inlineStr">
        <is>
          <t>МОЛДОВА-ФИЛЬМ</t>
        </is>
      </c>
      <c r="H648" s="2" t="n">
        <v>25</v>
      </c>
      <c r="I648" s="2" t="inlineStr"/>
      <c r="J648" s="2" t="inlineStr">
        <is>
          <t>да</t>
        </is>
      </c>
      <c r="K648" s="3" t="inlineStr">
        <is>
          <t>Добрая сказка для малышей</t>
        </is>
      </c>
      <c r="L648" s="2" t="inlineStr">
        <is>
          <t>https://animator.ru/db/?p=show_film&amp;fid=4343</t>
        </is>
      </c>
      <c r="M648" s="2">
        <f>HYPERLINK("https://ru.wikipedia.org/w/index.php?search=%D0%95%D1%81%D0%BB%D0%B8%20%D0%B2%D0%B5%D1%80%D0%B8%D1%82%D1%8C%20%D0%B2%20%D1%81%D0%BA%D0%B0%D0%B7%D0%BA%D1%83%201978%20%D1%84%D0%B8%D0%BB%D1%8C%D0%BC","искать")</f>
        <v/>
      </c>
      <c r="N648" s="3" t="n"/>
      <c r="O648" s="2" t="n"/>
      <c r="P648" s="2" t="n"/>
    </row>
    <row r="649">
      <c r="A649" s="2" t="n">
        <v>648</v>
      </c>
      <c r="B649" s="2" t="inlineStr">
        <is>
          <t>не сюжет</t>
        </is>
      </c>
      <c r="C649" s="2" t="n">
        <v>13722</v>
      </c>
      <c r="D649" s="3" t="inlineStr">
        <is>
          <t>Колесо фортуны</t>
        </is>
      </c>
      <c r="E649" s="2" t="n">
        <v>1980</v>
      </c>
      <c r="F649" s="2" t="inlineStr">
        <is>
          <t>мультфильм</t>
        </is>
      </c>
      <c r="G649" s="2" t="inlineStr">
        <is>
          <t>ЭКРАН</t>
        </is>
      </c>
      <c r="H649" s="2" t="n">
        <v>25</v>
      </c>
      <c r="I649" s="2" t="inlineStr"/>
      <c r="J649" s="2" t="inlineStr">
        <is>
          <t>да</t>
        </is>
      </c>
      <c r="K649" s="3" t="inlineStr">
        <is>
          <t>Шуточная история олимпиад</t>
        </is>
      </c>
      <c r="L649" s="2" t="inlineStr">
        <is>
          <t>https://animator.ru/db/?p=show_film&amp;fid=5115</t>
        </is>
      </c>
      <c r="M649" s="2">
        <f>HYPERLINK("https://ru.wikipedia.org/w/index.php?search=%D0%9A%D0%BE%D0%BB%D0%B5%D1%81%D0%BE%20%D1%84%D0%BE%D1%80%D1%82%D1%83%D0%BD%D1%8B%201980%20%D1%84%D0%B8%D0%BB%D1%8C%D0%BC","искать")</f>
        <v/>
      </c>
      <c r="N649" s="3" t="n"/>
      <c r="O649" s="2" t="n"/>
      <c r="P649" s="2" t="n"/>
    </row>
    <row r="650">
      <c r="A650" s="2" t="n">
        <v>649</v>
      </c>
      <c r="B650" s="2" t="inlineStr">
        <is>
          <t>не сюжет</t>
        </is>
      </c>
      <c r="C650" s="2" t="n">
        <v>13840</v>
      </c>
      <c r="D650" s="3" t="inlineStr">
        <is>
          <t>Поцелуй</t>
        </is>
      </c>
      <c r="E650" s="2" t="n">
        <v>1989</v>
      </c>
      <c r="F650" s="2" t="inlineStr">
        <is>
          <t>мультфильм</t>
        </is>
      </c>
      <c r="G650" s="2" t="inlineStr">
        <is>
          <t>ЭКРАН</t>
        </is>
      </c>
      <c r="H650" s="2" t="n">
        <v>25</v>
      </c>
      <c r="I650" s="2" t="inlineStr"/>
      <c r="J650" s="2" t="inlineStr">
        <is>
          <t>да</t>
        </is>
      </c>
      <c r="K650" s="3" t="inlineStr">
        <is>
          <t>О зарождении первой любви</t>
        </is>
      </c>
      <c r="L650" s="2" t="inlineStr">
        <is>
          <t>https://animator.ru/db/?p=show_film&amp;fid=5233</t>
        </is>
      </c>
      <c r="M650" s="2">
        <f>HYPERLINK("https://ru.wikipedia.org/w/index.php?search=%D0%9F%D0%BE%D1%86%D0%B5%D0%BB%D1%83%D0%B9%201989%20%D1%84%D0%B8%D0%BB%D1%8C%D0%BC","искать")</f>
        <v/>
      </c>
      <c r="N650" s="3" t="n"/>
      <c r="O650" s="2" t="n"/>
      <c r="P650" s="2" t="n"/>
    </row>
    <row r="651">
      <c r="A651" s="2" t="n">
        <v>650</v>
      </c>
      <c r="B651" s="2" t="inlineStr">
        <is>
          <t>не сюжет</t>
        </is>
      </c>
      <c r="C651" s="2" t="n">
        <v>13841</v>
      </c>
      <c r="D651" s="3" t="inlineStr">
        <is>
          <t>По щучьему велению (1970)</t>
        </is>
      </c>
      <c r="E651" s="2" t="n">
        <v>1970</v>
      </c>
      <c r="F651" s="2" t="inlineStr">
        <is>
          <t>мультфильм</t>
        </is>
      </c>
      <c r="G651" s="2" t="inlineStr">
        <is>
          <t>ЭКРАН</t>
        </is>
      </c>
      <c r="H651" s="2" t="n">
        <v>25</v>
      </c>
      <c r="I651" s="2" t="inlineStr"/>
      <c r="J651" s="2" t="inlineStr">
        <is>
          <t>да</t>
        </is>
      </c>
      <c r="K651" s="3" t="inlineStr">
        <is>
          <t>По мотивам русской сказки</t>
        </is>
      </c>
      <c r="L651" s="2" t="inlineStr">
        <is>
          <t>https://animator.ru/db/?p=show_film&amp;fid=5234</t>
        </is>
      </c>
      <c r="M651" s="2">
        <f>HYPERLINK("https://ru.wikipedia.org/w/index.php?search=%D0%9F%D0%BE%20%D1%89%D1%83%D1%87%D1%8C%D0%B5%D0%BC%D1%83%20%D0%B2%D0%B5%D0%BB%D0%B5%D0%BD%D0%B8%D1%8E%20%281970%29%201970%20%D1%84%D0%B8%D0%BB%D1%8C%D0%BC","искать")</f>
        <v/>
      </c>
      <c r="N651" s="3" t="n"/>
      <c r="O651" s="2" t="n"/>
      <c r="P651" s="2" t="n"/>
    </row>
    <row r="652">
      <c r="A652" s="2" t="n">
        <v>651</v>
      </c>
      <c r="B652" s="2" t="inlineStr">
        <is>
          <t>не сюжет</t>
        </is>
      </c>
      <c r="C652" s="2" t="n">
        <v>13927</v>
      </c>
      <c r="D652" s="3" t="inlineStr">
        <is>
          <t>32-е декабря</t>
        </is>
      </c>
      <c r="E652" s="2" t="n">
        <v>1988</v>
      </c>
      <c r="F652" s="2" t="inlineStr">
        <is>
          <t>мультфильм</t>
        </is>
      </c>
      <c r="G652" s="2" t="inlineStr">
        <is>
          <t>ЭКРАН</t>
        </is>
      </c>
      <c r="H652" s="2" t="n">
        <v>25</v>
      </c>
      <c r="I652" s="2" t="inlineStr"/>
      <c r="J652" s="2" t="inlineStr">
        <is>
          <t>да</t>
        </is>
      </c>
      <c r="K652" s="3" t="inlineStr">
        <is>
          <t>Новогодний мульти-мюзикл.</t>
        </is>
      </c>
      <c r="L652" s="2" t="inlineStr">
        <is>
          <t>2026-10_мультфильмы_список_владельца.xlsx; https://animator.ru/db/?p=show_film&amp;fid=5321</t>
        </is>
      </c>
      <c r="M652" s="2">
        <f>HYPERLINK("https://ru.wikipedia.org/w/index.php?search=32-%D0%B5%20%D0%B4%D0%B5%D0%BA%D0%B0%D0%B1%D1%80%D1%8F%201988%20%D1%84%D0%B8%D0%BB%D1%8C%D0%BC","искать")</f>
        <v/>
      </c>
      <c r="N652" s="3" t="n"/>
      <c r="O652" s="2" t="n"/>
      <c r="P652" s="2" t="n"/>
    </row>
    <row r="653">
      <c r="A653" s="2" t="n">
        <v>652</v>
      </c>
      <c r="B653" s="2" t="inlineStr">
        <is>
          <t>не сюжет</t>
        </is>
      </c>
      <c r="C653" s="2" t="n">
        <v>13936</v>
      </c>
      <c r="D653" s="3" t="inlineStr">
        <is>
          <t>Улитка</t>
        </is>
      </c>
      <c r="E653" s="2" t="n">
        <v>1981</v>
      </c>
      <c r="F653" s="2" t="inlineStr">
        <is>
          <t>мультфильм</t>
        </is>
      </c>
      <c r="G653" s="2" t="inlineStr">
        <is>
          <t>ЭКРАН</t>
        </is>
      </c>
      <c r="H653" s="2" t="n">
        <v>25</v>
      </c>
      <c r="I653" s="2" t="inlineStr"/>
      <c r="J653" s="2" t="inlineStr">
        <is>
          <t>да</t>
        </is>
      </c>
      <c r="K653" s="3" t="inlineStr">
        <is>
          <t>Поэтический этюд о цветах</t>
        </is>
      </c>
      <c r="L653" s="2" t="inlineStr">
        <is>
          <t>https://animator.ru/db/?p=show_film&amp;fid=5330</t>
        </is>
      </c>
      <c r="M653" s="2">
        <f>HYPERLINK("https://ru.wikipedia.org/w/index.php?search=%D0%A3%D0%BB%D0%B8%D1%82%D0%BA%D0%B0%201981%20%D1%84%D0%B8%D0%BB%D1%8C%D0%BC","искать")</f>
        <v/>
      </c>
      <c r="N653" s="3" t="n"/>
      <c r="O653" s="2" t="n"/>
      <c r="P653" s="2" t="n"/>
    </row>
    <row r="654">
      <c r="A654" s="2" t="n">
        <v>653</v>
      </c>
      <c r="B654" s="2" t="inlineStr">
        <is>
          <t>не сюжет</t>
        </is>
      </c>
      <c r="C654" s="2" t="n">
        <v>13939</v>
      </c>
      <c r="D654" s="3" t="inlineStr">
        <is>
          <t>Уходя гасите свет (ч.1)</t>
        </is>
      </c>
      <c r="E654" s="2" t="n">
        <v>1987</v>
      </c>
      <c r="F654" s="2" t="inlineStr">
        <is>
          <t>мультфильм</t>
        </is>
      </c>
      <c r="G654" s="2" t="inlineStr">
        <is>
          <t>ЭКРАН</t>
        </is>
      </c>
      <c r="H654" s="2" t="n">
        <v>25</v>
      </c>
      <c r="I654" s="2" t="inlineStr"/>
      <c r="J654" s="2" t="inlineStr">
        <is>
          <t>да</t>
        </is>
      </c>
      <c r="K654" s="3" t="inlineStr">
        <is>
          <t>Об экономии электричества</t>
        </is>
      </c>
      <c r="L654" s="2" t="inlineStr">
        <is>
          <t>https://animator.ru/db/?p=show_film&amp;fid=5333</t>
        </is>
      </c>
      <c r="M654" s="2">
        <f>HYPERLINK("https://ru.wikipedia.org/w/index.php?search=%D0%A3%D1%85%D0%BE%D0%B4%D1%8F%20%D0%B3%D0%B0%D1%81%D0%B8%D1%82%D0%B5%20%D1%81%D0%B2%D0%B5%D1%82%20%28%D1%87.1%29%201987%20%D1%84%D0%B8%D0%BB%D1%8C%D0%BC","искать")</f>
        <v/>
      </c>
      <c r="N654" s="3" t="n"/>
      <c r="O654" s="2" t="n"/>
      <c r="P654" s="2" t="n"/>
    </row>
    <row r="655">
      <c r="A655" s="2" t="n">
        <v>654</v>
      </c>
      <c r="B655" s="2" t="inlineStr">
        <is>
          <t>не сюжет</t>
        </is>
      </c>
      <c r="C655" s="2" t="n">
        <v>14243</v>
      </c>
      <c r="D655" s="3" t="inlineStr">
        <is>
          <t>Медведь-чудодей</t>
        </is>
      </c>
      <c r="E655" s="2" t="n">
        <v>1985</v>
      </c>
      <c r="F655" s="2" t="inlineStr">
        <is>
          <t>мультфильм</t>
        </is>
      </c>
      <c r="G655" s="2" t="inlineStr">
        <is>
          <t>ТЕЛЕФИЛЬМ-РИГА</t>
        </is>
      </c>
      <c r="H655" s="2" t="n">
        <v>25</v>
      </c>
      <c r="I655" s="2" t="inlineStr"/>
      <c r="J655" s="2" t="inlineStr">
        <is>
          <t>да</t>
        </is>
      </c>
      <c r="K655" s="3" t="inlineStr">
        <is>
          <t>По рассказу Андрея Упита.</t>
        </is>
      </c>
      <c r="L655" s="2" t="inlineStr">
        <is>
          <t>2026-10_мультфильмы_список_владельца.xlsx; https://animator.ru/db/?p=show_film&amp;fid=5666</t>
        </is>
      </c>
      <c r="M655" s="2">
        <f>HYPERLINK("https://ru.wikipedia.org/w/index.php?search=%D0%9C%D0%B5%D0%B4%D0%B2%D0%B5%D0%B4%D1%8C-%D1%87%D1%83%D0%B4%D0%BE%D0%B4%D0%B5%D0%B9%201985%20%D1%84%D0%B8%D0%BB%D1%8C%D0%BC","искать")</f>
        <v/>
      </c>
      <c r="N655" s="3" t="n"/>
      <c r="O655" s="2" t="n"/>
      <c r="P655" s="2" t="n"/>
    </row>
    <row r="656">
      <c r="A656" s="2" t="n">
        <v>655</v>
      </c>
      <c r="B656" s="2" t="inlineStr">
        <is>
          <t>не сюжет</t>
        </is>
      </c>
      <c r="C656" s="2" t="n">
        <v>14286</v>
      </c>
      <c r="D656" s="3" t="inlineStr">
        <is>
          <t>Зурико и мурико</t>
        </is>
      </c>
      <c r="E656" s="2" t="n">
        <v>1952</v>
      </c>
      <c r="F656" s="2" t="inlineStr">
        <is>
          <t>мультфильм</t>
        </is>
      </c>
      <c r="G656" s="2" t="inlineStr">
        <is>
          <t>ТБИЛИССКАЯ СТУДИЯ</t>
        </is>
      </c>
      <c r="H656" s="2" t="n">
        <v>25</v>
      </c>
      <c r="I656" s="2" t="inlineStr"/>
      <c r="J656" s="2" t="inlineStr">
        <is>
          <t>да</t>
        </is>
      </c>
      <c r="K656" s="3" t="inlineStr">
        <is>
          <t>Выпущена на местный экран</t>
        </is>
      </c>
      <c r="L656" s="2" t="inlineStr">
        <is>
          <t>https://animator.ru/db/?p=show_film&amp;fid=5820</t>
        </is>
      </c>
      <c r="M656" s="2">
        <f>HYPERLINK("https://ru.wikipedia.org/w/index.php?search=%D0%97%D1%83%D1%80%D0%B8%D0%BA%D0%BE%20%D0%B8%20%D0%BC%D1%83%D1%80%D0%B8%D0%BA%D0%BE%201952%20%D1%84%D0%B8%D0%BB%D1%8C%D0%BC","искать")</f>
        <v/>
      </c>
      <c r="N656" s="3" t="n"/>
      <c r="O656" s="2" t="n"/>
      <c r="P656" s="2" t="n"/>
    </row>
    <row r="657">
      <c r="A657" s="2" t="n">
        <v>656</v>
      </c>
      <c r="B657" s="2" t="inlineStr">
        <is>
          <t>не сюжет</t>
        </is>
      </c>
      <c r="C657" s="2" t="n">
        <v>14477</v>
      </c>
      <c r="D657" s="3" t="inlineStr">
        <is>
          <t>Пипа и генерал-полковник</t>
        </is>
      </c>
      <c r="E657" s="2" t="n">
        <v>1991</v>
      </c>
      <c r="F657" s="2" t="inlineStr">
        <is>
          <t>мультфильм</t>
        </is>
      </c>
      <c r="G657" s="2" t="n"/>
      <c r="H657" s="2" t="n">
        <v>25</v>
      </c>
      <c r="I657" s="2" t="inlineStr"/>
      <c r="J657" s="2" t="inlineStr">
        <is>
          <t>да</t>
        </is>
      </c>
      <c r="K657" s="3" t="inlineStr">
        <is>
          <t>По рассказу Сергея Седова</t>
        </is>
      </c>
      <c r="L657" s="2" t="inlineStr">
        <is>
          <t>https://animator.ru/db/?p=show_film&amp;fid=7096</t>
        </is>
      </c>
      <c r="M657" s="2">
        <f>HYPERLINK("https://ru.wikipedia.org/w/index.php?search=%D0%9F%D0%B8%D0%BF%D0%B0%20%D0%B8%20%D0%B3%D0%B5%D0%BD%D0%B5%D1%80%D0%B0%D0%BB-%D0%BF%D0%BE%D0%BB%D0%BA%D0%BE%D0%B2%D0%BD%D0%B8%D0%BA%201991%20%D1%84%D0%B8%D0%BB%D1%8C%D0%BC","искать")</f>
        <v/>
      </c>
      <c r="N657" s="3" t="n"/>
      <c r="O657" s="2" t="n"/>
      <c r="P657" s="2" t="n"/>
    </row>
    <row r="658">
      <c r="A658" s="2" t="n">
        <v>657</v>
      </c>
      <c r="B658" s="2" t="inlineStr">
        <is>
          <t>не сюжет</t>
        </is>
      </c>
      <c r="C658" s="2" t="n">
        <v>11413</v>
      </c>
      <c r="D658" s="3" t="inlineStr">
        <is>
          <t>ЛУЧШЕ ЗОЛОТОГО ("Фитиль" N?)</t>
        </is>
      </c>
      <c r="E658" s="2" t="n">
        <v>1965</v>
      </c>
      <c r="F658" s="2" t="inlineStr">
        <is>
          <t>мультфильм</t>
        </is>
      </c>
      <c r="G658" s="2" t="inlineStr">
        <is>
          <t>Союзмультфильм</t>
        </is>
      </c>
      <c r="H658" s="2" t="n">
        <v>26</v>
      </c>
      <c r="I658" s="2" t="inlineStr"/>
      <c r="J658" s="2" t="inlineStr">
        <is>
          <t>да</t>
        </is>
      </c>
      <c r="K658" s="3" t="inlineStr">
        <is>
          <t>Сюжет для журнала "Фитиль"</t>
        </is>
      </c>
      <c r="L658" s="2" t="inlineStr">
        <is>
          <t>https://animator.ru/db/?p=show_film&amp;fid=2183</t>
        </is>
      </c>
      <c r="M658" s="2">
        <f>HYPERLINK("https://ru.wikipedia.org/w/index.php?search=%D0%9B%D0%A3%D0%A7%D0%A8%D0%95%20%D0%97%D0%9E%D0%9B%D0%9E%D0%A2%D0%9E%D0%93%D0%9E%20%28%22%D0%A4%D0%B8%D1%82%D0%B8%D0%BB%D1%8C%22%20N%3F%29%201965%20%D1%84%D0%B8%D0%BB%D1%8C%D0%BC","искать")</f>
        <v/>
      </c>
      <c r="N658" s="3" t="n"/>
      <c r="O658" s="2" t="n"/>
      <c r="P658" s="2" t="n"/>
    </row>
    <row r="659">
      <c r="A659" s="2" t="n">
        <v>658</v>
      </c>
      <c r="B659" s="2" t="inlineStr">
        <is>
          <t>не сюжет</t>
        </is>
      </c>
      <c r="C659" s="2" t="n">
        <v>11580</v>
      </c>
      <c r="D659" s="3" t="inlineStr">
        <is>
          <t>Царь Дурандай</t>
        </is>
      </c>
      <c r="E659" s="2" t="n">
        <v>1934</v>
      </c>
      <c r="F659" s="2" t="inlineStr">
        <is>
          <t>мультфильм</t>
        </is>
      </c>
      <c r="G659" s="2" t="inlineStr">
        <is>
          <t>МЕЖРАБПОМФИЛЬМ</t>
        </is>
      </c>
      <c r="H659" s="2" t="n">
        <v>26</v>
      </c>
      <c r="I659" s="2" t="inlineStr"/>
      <c r="J659" s="2" t="inlineStr">
        <is>
          <t>да</t>
        </is>
      </c>
      <c r="K659" s="3" t="inlineStr">
        <is>
          <t>По мотивам народной сказки</t>
        </is>
      </c>
      <c r="L659" s="2" t="inlineStr">
        <is>
          <t>https://animator.ru/db/?p=show_film&amp;fid=2443</t>
        </is>
      </c>
      <c r="M659" s="2">
        <f>HYPERLINK("https://ru.wikipedia.org/w/index.php?search=%D0%A6%D0%B0%D1%80%D1%8C%20%D0%94%D1%83%D1%80%D0%B0%D0%BD%D0%B4%D0%B0%D0%B9%201934%20%D1%84%D0%B8%D0%BB%D1%8C%D0%BC","искать")</f>
        <v/>
      </c>
      <c r="N659" s="3" t="n"/>
      <c r="O659" s="2" t="n"/>
      <c r="P659" s="2" t="n"/>
    </row>
    <row r="660">
      <c r="A660" s="2" t="n">
        <v>659</v>
      </c>
      <c r="B660" s="2" t="inlineStr">
        <is>
          <t>не сюжет</t>
        </is>
      </c>
      <c r="C660" s="2" t="n">
        <v>11715</v>
      </c>
      <c r="D660" s="3" t="inlineStr">
        <is>
          <t>Про Петрушку</t>
        </is>
      </c>
      <c r="E660" s="2" t="n">
        <v>1973</v>
      </c>
      <c r="F660" s="2" t="inlineStr">
        <is>
          <t>мультфильм</t>
        </is>
      </c>
      <c r="G660" s="2" t="inlineStr">
        <is>
          <t>Союзмультфильм</t>
        </is>
      </c>
      <c r="H660" s="2" t="n">
        <v>26</v>
      </c>
      <c r="I660" s="2" t="inlineStr"/>
      <c r="J660" s="2" t="inlineStr">
        <is>
          <t>да</t>
        </is>
      </c>
      <c r="K660" s="3" t="inlineStr">
        <is>
          <t>По мотивам пьесы С.Маршака</t>
        </is>
      </c>
      <c r="L660" s="2" t="inlineStr">
        <is>
          <t>https://animator.ru/db/?p=show_film&amp;fid=2629</t>
        </is>
      </c>
      <c r="M660" s="2">
        <f>HYPERLINK("https://ru.wikipedia.org/w/index.php?search=%D0%9F%D1%80%D0%BE%20%D0%9F%D0%B5%D1%82%D1%80%D1%83%D1%88%D0%BA%D1%83%201973%20%D1%84%D0%B8%D0%BB%D1%8C%D0%BC","искать")</f>
        <v/>
      </c>
      <c r="N660" s="3" t="n"/>
      <c r="O660" s="2" t="n"/>
      <c r="P660" s="2" t="n"/>
    </row>
    <row r="661">
      <c r="A661" s="2" t="n">
        <v>660</v>
      </c>
      <c r="B661" s="2" t="inlineStr">
        <is>
          <t>не сюжет</t>
        </is>
      </c>
      <c r="C661" s="2" t="n">
        <v>11818</v>
      </c>
      <c r="D661" s="3" t="inlineStr">
        <is>
          <t>Храбрец-удалец</t>
        </is>
      </c>
      <c r="E661" s="2" t="n">
        <v>1976</v>
      </c>
      <c r="F661" s="2" t="inlineStr">
        <is>
          <t>мультфильм</t>
        </is>
      </c>
      <c r="G661" s="2" t="inlineStr">
        <is>
          <t>Союзмультфильм</t>
        </is>
      </c>
      <c r="H661" s="2" t="n">
        <v>26</v>
      </c>
      <c r="I661" s="2" t="inlineStr"/>
      <c r="J661" s="2" t="inlineStr">
        <is>
          <t>да</t>
        </is>
      </c>
      <c r="K661" s="3" t="inlineStr">
        <is>
          <t>По мотивам народных сказок</t>
        </is>
      </c>
      <c r="L661" s="2" t="inlineStr">
        <is>
          <t>https://animator.ru/db/?p=show_film&amp;fid=2733</t>
        </is>
      </c>
      <c r="M661" s="2">
        <f>HYPERLINK("https://ru.wikipedia.org/w/index.php?search=%D0%A5%D1%80%D0%B0%D0%B1%D1%80%D0%B5%D1%86-%D1%83%D0%B4%D0%B0%D0%BB%D0%B5%D1%86%201976%20%D1%84%D0%B8%D0%BB%D1%8C%D0%BC","искать")</f>
        <v/>
      </c>
      <c r="N661" s="3" t="n"/>
      <c r="O661" s="2" t="n"/>
      <c r="P661" s="2" t="n"/>
    </row>
    <row r="662">
      <c r="A662" s="2" t="n">
        <v>661</v>
      </c>
      <c r="B662" s="2" t="inlineStr">
        <is>
          <t>не сюжет</t>
        </is>
      </c>
      <c r="C662" s="2" t="n">
        <v>11883</v>
      </c>
      <c r="D662" s="3" t="inlineStr">
        <is>
          <t>Ограбление по...</t>
        </is>
      </c>
      <c r="E662" s="2" t="n">
        <v>1978</v>
      </c>
      <c r="F662" s="2" t="inlineStr">
        <is>
          <t>мультфильм</t>
        </is>
      </c>
      <c r="G662" s="2" t="inlineStr">
        <is>
          <t>Союзмультфильм</t>
        </is>
      </c>
      <c r="H662" s="2" t="n">
        <v>26</v>
      </c>
      <c r="I662" s="2" t="inlineStr"/>
      <c r="J662" s="2" t="inlineStr">
        <is>
          <t>да</t>
        </is>
      </c>
      <c r="K662" s="3" t="inlineStr">
        <is>
          <t>Фильм-пародия на детектив.</t>
        </is>
      </c>
      <c r="L662" s="2" t="inlineStr">
        <is>
          <t>https://animator.ru/db/?p=show_film&amp;fid=2798</t>
        </is>
      </c>
      <c r="M662" s="2">
        <f>HYPERLINK("https://ru.wikipedia.org/w/index.php?search=%D0%9E%D0%B3%D1%80%D0%B0%D0%B1%D0%BB%D0%B5%D0%BD%D0%B8%D0%B5%20%D0%BF%D0%BE...%201978%20%D1%84%D0%B8%D0%BB%D1%8C%D0%BC","искать")</f>
        <v/>
      </c>
      <c r="N662" s="3" t="n"/>
      <c r="O662" s="2" t="n"/>
      <c r="P662" s="2" t="n"/>
    </row>
    <row r="663">
      <c r="A663" s="2" t="n">
        <v>662</v>
      </c>
      <c r="B663" s="2" t="inlineStr">
        <is>
          <t>не сюжет</t>
        </is>
      </c>
      <c r="C663" s="2" t="n">
        <v>11886</v>
      </c>
      <c r="D663" s="3" t="inlineStr">
        <is>
          <t>Последняя невеста Змея Горыныча</t>
        </is>
      </c>
      <c r="E663" s="2" t="n">
        <v>1978</v>
      </c>
      <c r="F663" s="2" t="inlineStr">
        <is>
          <t>мультфильм</t>
        </is>
      </c>
      <c r="G663" s="2" t="inlineStr">
        <is>
          <t>Союзмультфильм</t>
        </is>
      </c>
      <c r="H663" s="2" t="n">
        <v>26</v>
      </c>
      <c r="I663" s="2" t="inlineStr"/>
      <c r="J663" s="2" t="inlineStr">
        <is>
          <t>да</t>
        </is>
      </c>
      <c r="K663" s="3" t="inlineStr">
        <is>
          <t>По мотивам русских сказок.</t>
        </is>
      </c>
      <c r="L663" s="2" t="inlineStr">
        <is>
          <t>2026-10_мультфильмы_список_владельца.xlsx; https://animator.ru/db/?p=show_film&amp;fid=2801</t>
        </is>
      </c>
      <c r="M663" s="2">
        <f>HYPERLINK("https://ru.wikipedia.org/w/index.php?search=%D0%9F%D0%BE%D1%81%D0%BB%D0%B5%D0%B4%D0%BD%D1%8F%D1%8F%20%D0%BD%D0%B5%D0%B2%D0%B5%D1%81%D1%82%D0%B0%20%D0%97%D0%BC%D0%B5%D1%8F%20%D0%93%D0%BE%D1%80%D1%8B%D0%BD%D1%8B%D1%87%D0%B0%201978%20%D1%84%D0%B8%D0%BB%D1%8C%D0%BC","искать")</f>
        <v/>
      </c>
      <c r="N663" s="3" t="n"/>
      <c r="O663" s="2" t="n"/>
      <c r="P663" s="2" t="n"/>
    </row>
    <row r="664">
      <c r="A664" s="2" t="n">
        <v>663</v>
      </c>
      <c r="B664" s="2" t="inlineStr">
        <is>
          <t>не сюжет</t>
        </is>
      </c>
      <c r="C664" s="2" t="n">
        <v>11975</v>
      </c>
      <c r="D664" s="3" t="inlineStr">
        <is>
          <t>Кот Котофеевич</t>
        </is>
      </c>
      <c r="E664" s="2" t="n">
        <v>1981</v>
      </c>
      <c r="F664" s="2" t="inlineStr">
        <is>
          <t>мультфильм</t>
        </is>
      </c>
      <c r="G664" s="2" t="inlineStr">
        <is>
          <t>Союзмультфильм</t>
        </is>
      </c>
      <c r="H664" s="2" t="n">
        <v>26</v>
      </c>
      <c r="I664" s="2" t="inlineStr"/>
      <c r="J664" s="2" t="inlineStr">
        <is>
          <t>да</t>
        </is>
      </c>
      <c r="K664" s="3" t="inlineStr">
        <is>
          <t>По мотивам русских сказок.</t>
        </is>
      </c>
      <c r="L664" s="2" t="inlineStr">
        <is>
          <t>2026-10_мультфильмы_список_владельца.xlsx; https://animator.ru/db/?p=show_film&amp;fid=3089</t>
        </is>
      </c>
      <c r="M664" s="2">
        <f>HYPERLINK("https://ru.wikipedia.org/w/index.php?search=%D0%9A%D0%BE%D1%82%20%D0%9A%D0%BE%D1%82%D0%BE%D1%84%D0%B5%D0%B5%D0%B2%D0%B8%D1%87%201981%20%D1%84%D0%B8%D0%BB%D1%8C%D0%BC","искать")</f>
        <v/>
      </c>
      <c r="N664" s="3" t="n"/>
      <c r="O664" s="2" t="n"/>
      <c r="P664" s="2" t="n"/>
    </row>
    <row r="665">
      <c r="A665" s="2" t="n">
        <v>664</v>
      </c>
      <c r="B665" s="2" t="inlineStr">
        <is>
          <t>не сюжет</t>
        </is>
      </c>
      <c r="C665" s="2" t="n">
        <v>12012</v>
      </c>
      <c r="D665" s="3" t="inlineStr">
        <is>
          <t>Лиса Патрикеевна</t>
        </is>
      </c>
      <c r="E665" s="2" t="n">
        <v>1982</v>
      </c>
      <c r="F665" s="2" t="inlineStr">
        <is>
          <t>мультфильм</t>
        </is>
      </c>
      <c r="G665" s="2" t="inlineStr">
        <is>
          <t>Союзмультфильм</t>
        </is>
      </c>
      <c r="H665" s="2" t="n">
        <v>26</v>
      </c>
      <c r="I665" s="2" t="inlineStr"/>
      <c r="J665" s="2" t="inlineStr">
        <is>
          <t>да</t>
        </is>
      </c>
      <c r="K665" s="3" t="inlineStr">
        <is>
          <t>По мотивам русской сказки.</t>
        </is>
      </c>
      <c r="L665" s="2" t="inlineStr">
        <is>
          <t>2026-10_мультфильмы_список_владельца.xlsx; https://animator.ru/db/?p=show_film&amp;fid=3126</t>
        </is>
      </c>
      <c r="M665" s="2">
        <f>HYPERLINK("https://ru.wikipedia.org/w/index.php?search=%D0%9B%D0%B8%D1%81%D0%B0%20%D0%9F%D0%B0%D1%82%D1%80%D0%B8%D0%BA%D0%B5%D0%B5%D0%B2%D0%BD%D0%B0%201982%20%D1%84%D0%B8%D0%BB%D1%8C%D0%BC","искать")</f>
        <v/>
      </c>
      <c r="N665" s="3" t="n"/>
      <c r="O665" s="2" t="n"/>
      <c r="P665" s="2" t="n"/>
    </row>
    <row r="666">
      <c r="A666" s="2" t="n">
        <v>665</v>
      </c>
      <c r="B666" s="2" t="inlineStr">
        <is>
          <t>не сюжет</t>
        </is>
      </c>
      <c r="C666" s="2" t="n">
        <v>12080</v>
      </c>
      <c r="D666" s="3" t="inlineStr">
        <is>
          <t>Медведь - липовая нога</t>
        </is>
      </c>
      <c r="E666" s="2" t="n">
        <v>1984</v>
      </c>
      <c r="F666" s="2" t="inlineStr">
        <is>
          <t>мультфильм</t>
        </is>
      </c>
      <c r="G666" s="2" t="inlineStr">
        <is>
          <t>Союзмультфильм</t>
        </is>
      </c>
      <c r="H666" s="2" t="n">
        <v>26</v>
      </c>
      <c r="I666" s="2" t="inlineStr"/>
      <c r="J666" s="2" t="inlineStr">
        <is>
          <t>да</t>
        </is>
      </c>
      <c r="K666" s="3" t="inlineStr">
        <is>
          <t>По мотивам русской сказки.</t>
        </is>
      </c>
      <c r="L666" s="2" t="inlineStr">
        <is>
          <t>2026-10_мультфильмы_список_владельца.xlsx; https://animator.ru/db/?p=show_film&amp;fid=3195</t>
        </is>
      </c>
      <c r="M666" s="2">
        <f>HYPERLINK("https://ru.wikipedia.org/w/index.php?search=%D0%9C%D0%B5%D0%B4%D0%B2%D0%B5%D0%B4%D1%8C%20-%20%D0%BB%D0%B8%D0%BF%D0%BE%D0%B2%D0%B0%D1%8F%20%D0%BD%D0%BE%D0%B3%D0%B0%201984%20%D1%84%D0%B8%D0%BB%D1%8C%D0%BC","искать")</f>
        <v/>
      </c>
      <c r="N666" s="3" t="n"/>
      <c r="O666" s="2" t="n"/>
      <c r="P666" s="2" t="n"/>
    </row>
    <row r="667">
      <c r="A667" s="2" t="n">
        <v>666</v>
      </c>
      <c r="B667" s="2" t="inlineStr">
        <is>
          <t>не сюжет</t>
        </is>
      </c>
      <c r="C667" s="2" t="n">
        <v>12090</v>
      </c>
      <c r="D667" s="3" t="inlineStr">
        <is>
          <t>Переменка n 3. Меняла</t>
        </is>
      </c>
      <c r="E667" s="2" t="n">
        <v>1984</v>
      </c>
      <c r="F667" s="2" t="inlineStr">
        <is>
          <t>мультфильм</t>
        </is>
      </c>
      <c r="G667" s="2" t="inlineStr">
        <is>
          <t>Союзмультфильм</t>
        </is>
      </c>
      <c r="H667" s="2" t="n">
        <v>26</v>
      </c>
      <c r="I667" s="2" t="inlineStr"/>
      <c r="J667" s="2" t="inlineStr">
        <is>
          <t>да</t>
        </is>
      </c>
      <c r="K667" s="3" t="inlineStr">
        <is>
          <t>По стихотворению М.Райкина</t>
        </is>
      </c>
      <c r="L667" s="2" t="inlineStr">
        <is>
          <t>https://animator.ru/db/?p=show_film&amp;fid=3206</t>
        </is>
      </c>
      <c r="M667" s="2">
        <f>HYPERLINK("https://ru.wikipedia.org/w/index.php?search=%D0%9F%D0%B5%D1%80%D0%B5%D0%BC%D0%B5%D0%BD%D0%BA%D0%B0%20n%203.%20%D0%9C%D0%B5%D0%BD%D1%8F%D0%BB%D0%B0%201984%20%D1%84%D0%B8%D0%BB%D1%8C%D0%BC","искать")</f>
        <v/>
      </c>
      <c r="N667" s="3" t="n"/>
      <c r="O667" s="2" t="n"/>
      <c r="P667" s="2" t="n"/>
    </row>
    <row r="668">
      <c r="A668" s="2" t="n">
        <v>667</v>
      </c>
      <c r="B668" s="2" t="inlineStr">
        <is>
          <t>не сюжет</t>
        </is>
      </c>
      <c r="C668" s="2" t="n">
        <v>12447</v>
      </c>
      <c r="D668" s="3" t="inlineStr">
        <is>
          <t>Лисичка со скалочкой</t>
        </is>
      </c>
      <c r="E668" s="2" t="n">
        <v>1977</v>
      </c>
      <c r="F668" s="2" t="inlineStr">
        <is>
          <t>мультфильм</t>
        </is>
      </c>
      <c r="G668" s="2" t="inlineStr">
        <is>
          <t>КИЕВНАУЧФИЛЬМ</t>
        </is>
      </c>
      <c r="H668" s="2" t="n">
        <v>26</v>
      </c>
      <c r="I668" s="2" t="inlineStr"/>
      <c r="J668" s="2" t="inlineStr">
        <is>
          <t>да</t>
        </is>
      </c>
      <c r="K668" s="3" t="inlineStr">
        <is>
          <t>По мотивам народной сказки</t>
        </is>
      </c>
      <c r="L668" s="2" t="inlineStr">
        <is>
          <t>https://animator.ru/db/?p=show_film&amp;fid=3618</t>
        </is>
      </c>
      <c r="M668" s="2">
        <f>HYPERLINK("https://ru.wikipedia.org/w/index.php?search=%D0%9B%D0%B8%D1%81%D0%B8%D1%87%D0%BA%D0%B0%20%D1%81%D0%BE%20%D1%81%D0%BA%D0%B0%D0%BB%D0%BE%D1%87%D0%BA%D0%BE%D0%B9%201977%20%D1%84%D0%B8%D0%BB%D1%8C%D0%BC","искать")</f>
        <v/>
      </c>
      <c r="N668" s="3" t="n"/>
      <c r="O668" s="2" t="n"/>
      <c r="P668" s="2" t="n"/>
    </row>
    <row r="669">
      <c r="A669" s="2" t="n">
        <v>668</v>
      </c>
      <c r="B669" s="2" t="inlineStr">
        <is>
          <t>не сюжет</t>
        </is>
      </c>
      <c r="C669" s="2" t="n">
        <v>12566</v>
      </c>
      <c r="D669" s="3" t="inlineStr">
        <is>
          <t>Сражение</t>
        </is>
      </c>
      <c r="E669" s="2" t="n">
        <v>1986</v>
      </c>
      <c r="F669" s="2" t="inlineStr">
        <is>
          <t>мультфильм</t>
        </is>
      </c>
      <c r="G669" s="2" t="inlineStr">
        <is>
          <t>КИЕВНАУЧФИЛЬМ</t>
        </is>
      </c>
      <c r="H669" s="2" t="n">
        <v>26</v>
      </c>
      <c r="I669" s="2" t="inlineStr"/>
      <c r="J669" s="2" t="inlineStr">
        <is>
          <t>да</t>
        </is>
      </c>
      <c r="K669" s="3" t="inlineStr">
        <is>
          <t>По рассказу Стивена Кинга.</t>
        </is>
      </c>
      <c r="L669" s="2" t="inlineStr">
        <is>
          <t>2026-10_мультфильмы_список_владельца.xlsx; https://animator.ru/db/?p=show_film&amp;fid=3746</t>
        </is>
      </c>
      <c r="M669" s="2">
        <f>HYPERLINK("https://ru.wikipedia.org/w/index.php?search=%D0%A1%D1%80%D0%B0%D0%B6%D0%B5%D0%BD%D0%B8%D0%B5%201986%20%D1%84%D0%B8%D0%BB%D1%8C%D0%BC","искать")</f>
        <v/>
      </c>
      <c r="N669" s="3" t="n"/>
      <c r="O669" s="2" t="n"/>
      <c r="P669" s="2" t="n"/>
    </row>
    <row r="670">
      <c r="A670" s="2" t="n">
        <v>669</v>
      </c>
      <c r="B670" s="2" t="inlineStr">
        <is>
          <t>не сюжет</t>
        </is>
      </c>
      <c r="C670" s="2" t="n">
        <v>12757</v>
      </c>
      <c r="D670" s="3" t="inlineStr">
        <is>
          <t>Пес и кот</t>
        </is>
      </c>
      <c r="E670" s="2" t="n">
        <v>1975</v>
      </c>
      <c r="F670" s="2" t="inlineStr">
        <is>
          <t>мультфильм</t>
        </is>
      </c>
      <c r="G670" s="2" t="inlineStr">
        <is>
          <t>АРМЕНФИЛЬМ</t>
        </is>
      </c>
      <c r="H670" s="2" t="n">
        <v>26</v>
      </c>
      <c r="I670" s="2" t="inlineStr"/>
      <c r="J670" s="2" t="inlineStr">
        <is>
          <t>да</t>
        </is>
      </c>
      <c r="K670" s="3" t="inlineStr">
        <is>
          <t>По сказке Ованеса Туманяна</t>
        </is>
      </c>
      <c r="L670" s="2" t="inlineStr">
        <is>
          <t>https://animator.ru/db/?p=show_film&amp;fid=3966</t>
        </is>
      </c>
      <c r="M670" s="2">
        <f>HYPERLINK("https://ru.wikipedia.org/w/index.php?search=%D0%9F%D0%B5%D1%81%20%D0%B8%20%D0%BA%D0%BE%D1%82%201975%20%D1%84%D0%B8%D0%BB%D1%8C%D0%BC","искать")</f>
        <v/>
      </c>
      <c r="N670" s="3" t="n"/>
      <c r="O670" s="2" t="n"/>
      <c r="P670" s="2" t="n"/>
    </row>
    <row r="671">
      <c r="A671" s="2" t="n">
        <v>670</v>
      </c>
      <c r="B671" s="2" t="inlineStr">
        <is>
          <t>не сюжет</t>
        </is>
      </c>
      <c r="C671" s="2" t="n">
        <v>13108</v>
      </c>
      <c r="D671" s="3" t="inlineStr">
        <is>
          <t>Труба на прогулке</t>
        </is>
      </c>
      <c r="E671" s="2" t="n">
        <v>1978</v>
      </c>
      <c r="F671" s="2" t="inlineStr">
        <is>
          <t>мультфильм</t>
        </is>
      </c>
      <c r="G671" s="2" t="inlineStr">
        <is>
          <t>МОЛДОВА-ФИЛЬМ</t>
        </is>
      </c>
      <c r="H671" s="2" t="n">
        <v>26</v>
      </c>
      <c r="I671" s="2" t="inlineStr"/>
      <c r="J671" s="2" t="inlineStr">
        <is>
          <t>да</t>
        </is>
      </c>
      <c r="K671" s="3" t="inlineStr">
        <is>
          <t>Об охране окружающей среды</t>
        </is>
      </c>
      <c r="L671" s="2" t="inlineStr">
        <is>
          <t>https://animator.ru/db/?p=show_film&amp;fid=4340</t>
        </is>
      </c>
      <c r="M671" s="2">
        <f>HYPERLINK("https://ru.wikipedia.org/w/index.php?search=%D0%A2%D1%80%D1%83%D0%B1%D0%B0%20%D0%BD%D0%B0%20%D0%BF%D1%80%D0%BE%D0%B3%D1%83%D0%BB%D0%BA%D0%B5%201978%20%D1%84%D0%B8%D0%BB%D1%8C%D0%BC","искать")</f>
        <v/>
      </c>
      <c r="N671" s="3" t="n"/>
      <c r="O671" s="2" t="n"/>
      <c r="P671" s="2" t="n"/>
    </row>
    <row r="672">
      <c r="A672" s="2" t="n">
        <v>671</v>
      </c>
      <c r="B672" s="2" t="inlineStr">
        <is>
          <t>не сюжет</t>
        </is>
      </c>
      <c r="C672" s="2" t="n">
        <v>13113</v>
      </c>
      <c r="D672" s="3" t="inlineStr">
        <is>
          <t>Апельсиновый остров</t>
        </is>
      </c>
      <c r="E672" s="2" t="n">
        <v>1985</v>
      </c>
      <c r="F672" s="2" t="inlineStr">
        <is>
          <t>мультфильм</t>
        </is>
      </c>
      <c r="G672" s="2" t="inlineStr">
        <is>
          <t>МОЛДОВА-ФИЛЬМ</t>
        </is>
      </c>
      <c r="H672" s="2" t="n">
        <v>26</v>
      </c>
      <c r="I672" s="2" t="inlineStr"/>
      <c r="J672" s="2" t="inlineStr">
        <is>
          <t>да</t>
        </is>
      </c>
      <c r="K672" s="3" t="inlineStr">
        <is>
          <t>По мотивам сказки А.Чокану</t>
        </is>
      </c>
      <c r="L672" s="2" t="inlineStr">
        <is>
          <t>https://animator.ru/db/?p=show_film&amp;fid=4345</t>
        </is>
      </c>
      <c r="M672" s="2">
        <f>HYPERLINK("https://ru.wikipedia.org/w/index.php?search=%D0%90%D0%BF%D0%B5%D0%BB%D1%8C%D1%81%D0%B8%D0%BD%D0%BE%D0%B2%D1%8B%D0%B9%20%D0%BE%D1%81%D1%82%D1%80%D0%BE%D0%B2%201985%20%D1%84%D0%B8%D0%BB%D1%8C%D0%BC","искать")</f>
        <v/>
      </c>
      <c r="N672" s="3" t="n"/>
      <c r="O672" s="2" t="n"/>
      <c r="P672" s="2" t="n"/>
    </row>
    <row r="673">
      <c r="A673" s="2" t="n">
        <v>672</v>
      </c>
      <c r="B673" s="2" t="inlineStr">
        <is>
          <t>не сюжет</t>
        </is>
      </c>
      <c r="C673" s="2" t="n">
        <v>13399</v>
      </c>
      <c r="D673" s="3" t="inlineStr">
        <is>
          <t>Топчумба</t>
        </is>
      </c>
      <c r="E673" s="2" t="n">
        <v>1980</v>
      </c>
      <c r="F673" s="2" t="inlineStr">
        <is>
          <t>мультфильм</t>
        </is>
      </c>
      <c r="G673" s="2" t="inlineStr">
        <is>
          <t>ЭКРАН</t>
        </is>
      </c>
      <c r="H673" s="2" t="n">
        <v>26</v>
      </c>
      <c r="I673" s="2" t="inlineStr"/>
      <c r="J673" s="2" t="inlineStr">
        <is>
          <t>да</t>
        </is>
      </c>
      <c r="K673" s="3" t="inlineStr">
        <is>
          <t>По сказке Бориса Заходера.</t>
        </is>
      </c>
      <c r="L673" s="2" t="inlineStr">
        <is>
          <t>2026-10_мультфильмы_список_владельца.xlsx; https://animator.ru/db/?p=show_film&amp;fid=4679</t>
        </is>
      </c>
      <c r="M673" s="2">
        <f>HYPERLINK("https://ru.wikipedia.org/w/index.php?search=%D0%A2%D0%BE%D0%BF%D1%87%D1%83%D0%BC%D0%B1%D0%B0%201980%20%D1%84%D0%B8%D0%BB%D1%8C%D0%BC","искать")</f>
        <v/>
      </c>
      <c r="N673" s="3" t="n"/>
      <c r="O673" s="2" t="n"/>
      <c r="P673" s="2" t="n"/>
    </row>
    <row r="674">
      <c r="A674" s="2" t="n">
        <v>673</v>
      </c>
      <c r="B674" s="2" t="inlineStr">
        <is>
          <t>не сюжет</t>
        </is>
      </c>
      <c r="C674" s="2" t="n">
        <v>13444</v>
      </c>
      <c r="D674" s="3" t="inlineStr">
        <is>
          <t>Свет хлеба</t>
        </is>
      </c>
      <c r="E674" s="2" t="n">
        <v>1983</v>
      </c>
      <c r="F674" s="2" t="inlineStr">
        <is>
          <t>мультфильм</t>
        </is>
      </c>
      <c r="G674" s="2" t="inlineStr">
        <is>
          <t>ЭКРАН</t>
        </is>
      </c>
      <c r="H674" s="2" t="n">
        <v>26</v>
      </c>
      <c r="I674" s="2" t="inlineStr"/>
      <c r="J674" s="2" t="inlineStr">
        <is>
          <t>да</t>
        </is>
      </c>
      <c r="K674" s="3" t="inlineStr">
        <is>
          <t>О нелегком труде хлебороба</t>
        </is>
      </c>
      <c r="L674" s="2" t="inlineStr">
        <is>
          <t>https://animator.ru/db/?p=show_film&amp;fid=4725</t>
        </is>
      </c>
      <c r="M674" s="2">
        <f>HYPERLINK("https://ru.wikipedia.org/w/index.php?search=%D0%A1%D0%B2%D0%B5%D1%82%20%D1%85%D0%BB%D0%B5%D0%B1%D0%B0%201983%20%D1%84%D0%B8%D0%BB%D1%8C%D0%BC","искать")</f>
        <v/>
      </c>
      <c r="N674" s="3" t="n"/>
      <c r="O674" s="2" t="n"/>
      <c r="P674" s="2" t="n"/>
    </row>
    <row r="675">
      <c r="A675" s="2" t="n">
        <v>674</v>
      </c>
      <c r="B675" s="2" t="inlineStr">
        <is>
          <t>не сюжет</t>
        </is>
      </c>
      <c r="C675" s="2" t="n">
        <v>13739</v>
      </c>
      <c r="D675" s="3" t="inlineStr">
        <is>
          <t>Кошачий концерт</t>
        </is>
      </c>
      <c r="E675" s="2" t="n">
        <v>1986</v>
      </c>
      <c r="F675" s="2" t="inlineStr">
        <is>
          <t>мультфильм</t>
        </is>
      </c>
      <c r="G675" s="2" t="inlineStr">
        <is>
          <t>МУЛЬТТЕЛЕФИЛЬМ ("Экран")</t>
        </is>
      </c>
      <c r="H675" s="2" t="n">
        <v>26</v>
      </c>
      <c r="I675" s="2" t="inlineStr"/>
      <c r="J675" s="2" t="inlineStr">
        <is>
          <t>да</t>
        </is>
      </c>
      <c r="K675" s="3" t="inlineStr">
        <is>
          <t>Плакат о соблюдении тишины</t>
        </is>
      </c>
      <c r="L675" s="2" t="inlineStr">
        <is>
          <t>https://animator.ru/db/?p=show_film&amp;fid=5132</t>
        </is>
      </c>
      <c r="M675" s="2">
        <f>HYPERLINK("https://ru.wikipedia.org/w/index.php?search=%D0%9A%D0%BE%D1%88%D0%B0%D1%87%D0%B8%D0%B9%20%D0%BA%D0%BE%D0%BD%D1%86%D0%B5%D1%80%D1%82%201986%20%D1%84%D0%B8%D0%BB%D1%8C%D0%BC","искать")</f>
        <v/>
      </c>
      <c r="N675" s="3" t="n"/>
      <c r="O675" s="2" t="n"/>
      <c r="P675" s="2" t="n"/>
    </row>
    <row r="676">
      <c r="A676" s="2" t="n">
        <v>675</v>
      </c>
      <c r="B676" s="2" t="inlineStr">
        <is>
          <t>не сюжет</t>
        </is>
      </c>
      <c r="C676" s="2" t="n">
        <v>13748</v>
      </c>
      <c r="D676" s="3" t="inlineStr">
        <is>
          <t>Лебединое перышко</t>
        </is>
      </c>
      <c r="E676" s="2" t="n">
        <v>1985</v>
      </c>
      <c r="F676" s="2" t="inlineStr">
        <is>
          <t>мультфильм</t>
        </is>
      </c>
      <c r="G676" s="2" t="inlineStr">
        <is>
          <t>ЭКРАН</t>
        </is>
      </c>
      <c r="H676" s="2" t="n">
        <v>26</v>
      </c>
      <c r="I676" s="2" t="inlineStr"/>
      <c r="J676" s="2" t="inlineStr">
        <is>
          <t>да</t>
        </is>
      </c>
      <c r="K676" s="3" t="inlineStr">
        <is>
          <t>По мотивам амурских сказок</t>
        </is>
      </c>
      <c r="L676" s="2" t="inlineStr">
        <is>
          <t>https://animator.ru/db/?p=show_film&amp;fid=5141</t>
        </is>
      </c>
      <c r="M676" s="2">
        <f>HYPERLINK("https://ru.wikipedia.org/w/index.php?search=%D0%9B%D0%B5%D0%B1%D0%B5%D0%B4%D0%B8%D0%BD%D0%BE%D0%B5%20%D0%BF%D0%B5%D1%80%D1%8B%D1%88%D0%BA%D0%BE%201985%20%D1%84%D0%B8%D0%BB%D1%8C%D0%BC","искать")</f>
        <v/>
      </c>
      <c r="N676" s="3" t="n"/>
      <c r="O676" s="2" t="n"/>
      <c r="P676" s="2" t="n"/>
    </row>
    <row r="677">
      <c r="A677" s="2" t="n">
        <v>676</v>
      </c>
      <c r="B677" s="2" t="inlineStr">
        <is>
          <t>не сюжет</t>
        </is>
      </c>
      <c r="C677" s="2" t="n">
        <v>13772</v>
      </c>
      <c r="D677" s="3" t="inlineStr">
        <is>
          <t>Мощность</t>
        </is>
      </c>
      <c r="E677" s="2" t="n">
        <v>1987</v>
      </c>
      <c r="F677" s="2" t="inlineStr">
        <is>
          <t>мультфильм</t>
        </is>
      </c>
      <c r="G677" s="2" t="inlineStr">
        <is>
          <t>ЭКРАН</t>
        </is>
      </c>
      <c r="H677" s="2" t="n">
        <v>26</v>
      </c>
      <c r="I677" s="2" t="inlineStr"/>
      <c r="J677" s="2" t="inlineStr">
        <is>
          <t>да</t>
        </is>
      </c>
      <c r="K677" s="3" t="inlineStr">
        <is>
          <t>Об экономии электроэнергии</t>
        </is>
      </c>
      <c r="L677" s="2" t="inlineStr">
        <is>
          <t>https://animator.ru/db/?p=show_film&amp;fid=5165</t>
        </is>
      </c>
      <c r="M677" s="2">
        <f>HYPERLINK("https://ru.wikipedia.org/w/index.php?search=%D0%9C%D0%BE%D1%89%D0%BD%D0%BE%D1%81%D1%82%D1%8C%201987%20%D1%84%D0%B8%D0%BB%D1%8C%D0%BC","искать")</f>
        <v/>
      </c>
      <c r="N677" s="3" t="n"/>
      <c r="O677" s="2" t="n"/>
      <c r="P677" s="2" t="n"/>
    </row>
    <row r="678">
      <c r="A678" s="2" t="n">
        <v>677</v>
      </c>
      <c r="B678" s="2" t="inlineStr">
        <is>
          <t>не сюжет</t>
        </is>
      </c>
      <c r="C678" s="2" t="n">
        <v>13900</v>
      </c>
      <c r="D678" s="3" t="inlineStr">
        <is>
          <t>Слово и дело</t>
        </is>
      </c>
      <c r="E678" s="2" t="n">
        <v>1987</v>
      </c>
      <c r="F678" s="2" t="inlineStr">
        <is>
          <t>мультфильм</t>
        </is>
      </c>
      <c r="G678" s="2" t="inlineStr">
        <is>
          <t>ЭКРАН</t>
        </is>
      </c>
      <c r="H678" s="2" t="n">
        <v>26</v>
      </c>
      <c r="I678" s="2" t="inlineStr"/>
      <c r="J678" s="2" t="inlineStr">
        <is>
          <t>да</t>
        </is>
      </c>
      <c r="K678" s="3" t="inlineStr">
        <is>
          <t>Об экономии электроэнергии</t>
        </is>
      </c>
      <c r="L678" s="2" t="inlineStr">
        <is>
          <t>https://animator.ru/db/?p=show_film&amp;fid=5294</t>
        </is>
      </c>
      <c r="M678" s="2">
        <f>HYPERLINK("https://ru.wikipedia.org/w/index.php?search=%D0%A1%D0%BB%D0%BE%D0%B2%D0%BE%20%D0%B8%20%D0%B4%D0%B5%D0%BB%D0%BE%201987%20%D1%84%D0%B8%D0%BB%D1%8C%D0%BC","искать")</f>
        <v/>
      </c>
      <c r="N678" s="3" t="n"/>
      <c r="O678" s="2" t="n"/>
      <c r="P678" s="2" t="n"/>
    </row>
    <row r="679">
      <c r="A679" s="2" t="n">
        <v>678</v>
      </c>
      <c r="B679" s="2" t="inlineStr">
        <is>
          <t>не сюжет</t>
        </is>
      </c>
      <c r="C679" s="2" t="n">
        <v>14049</v>
      </c>
      <c r="D679" s="3" t="inlineStr">
        <is>
          <t>Приключения маленьких друзей (часть 2)</t>
        </is>
      </c>
      <c r="E679" s="2" t="n">
        <v>1987</v>
      </c>
      <c r="F679" s="2" t="inlineStr">
        <is>
          <t>мультфильм</t>
        </is>
      </c>
      <c r="G679" s="2" t="inlineStr">
        <is>
          <t>ГРУЗИЯ-ФИЛЬМ - АО</t>
        </is>
      </c>
      <c r="H679" s="2" t="n">
        <v>26</v>
      </c>
      <c r="I679" s="2" t="inlineStr"/>
      <c r="J679" s="2" t="inlineStr">
        <is>
          <t>да</t>
        </is>
      </c>
      <c r="K679" s="3" t="inlineStr">
        <is>
          <t>Второй фильм "Приключений"</t>
        </is>
      </c>
      <c r="L679" s="2" t="inlineStr">
        <is>
          <t>https://animator.ru/db/?p=show_film&amp;fid=5445</t>
        </is>
      </c>
      <c r="M679" s="2">
        <f>HYPERLINK("https://ru.wikipedia.org/w/index.php?search=%D0%9F%D1%80%D0%B8%D0%BA%D0%BB%D1%8E%D1%87%D0%B5%D0%BD%D0%B8%D1%8F%20%D0%BC%D0%B0%D0%BB%D0%B5%D0%BD%D1%8C%D0%BA%D0%B8%D1%85%20%D0%B4%D1%80%D1%83%D0%B7%D0%B5%D0%B9%20%28%D1%87%D0%B0%D1%81%D1%82%D1%8C%202%29%201987%20%D1%84%D0%B8%D0%BB%D1%8C%D0%BC","искать")</f>
        <v/>
      </c>
      <c r="N679" s="3" t="n"/>
      <c r="O679" s="2" t="n"/>
      <c r="P679" s="2" t="n"/>
    </row>
    <row r="680">
      <c r="A680" s="2" t="n">
        <v>679</v>
      </c>
      <c r="B680" s="2" t="inlineStr">
        <is>
          <t>не сюжет</t>
        </is>
      </c>
      <c r="C680" s="2" t="n">
        <v>14363</v>
      </c>
      <c r="D680" s="3" t="inlineStr">
        <is>
          <t>Черта</t>
        </is>
      </c>
      <c r="E680" s="2" t="n">
        <v>1988</v>
      </c>
      <c r="F680" s="2" t="inlineStr">
        <is>
          <t>мультфильм</t>
        </is>
      </c>
      <c r="G680" s="2" t="n"/>
      <c r="H680" s="2" t="n">
        <v>26</v>
      </c>
      <c r="I680" s="2" t="inlineStr"/>
      <c r="J680" s="2" t="inlineStr">
        <is>
          <t>да</t>
        </is>
      </c>
      <c r="K680" s="3" t="inlineStr">
        <is>
          <t>в составе сборника "КРОКИ"</t>
        </is>
      </c>
      <c r="L680" s="2" t="inlineStr">
        <is>
          <t>https://animator.ru/db/?p=show_film&amp;fid=6096</t>
        </is>
      </c>
      <c r="M680" s="2">
        <f>HYPERLINK("https://ru.wikipedia.org/w/index.php?search=%D0%A7%D0%B5%D1%80%D1%82%D0%B0%201988%20%D1%84%D0%B8%D0%BB%D1%8C%D0%BC","искать")</f>
        <v/>
      </c>
      <c r="N680" s="3" t="n"/>
      <c r="O680" s="2" t="n"/>
      <c r="P680" s="2" t="n"/>
    </row>
    <row r="681">
      <c r="A681" s="2" t="n">
        <v>680</v>
      </c>
      <c r="B681" s="2" t="inlineStr">
        <is>
          <t>не сюжет</t>
        </is>
      </c>
      <c r="C681" s="2" t="n">
        <v>9843</v>
      </c>
      <c r="D681" s="3" t="inlineStr">
        <is>
          <t>Теплый хлеб</t>
        </is>
      </c>
      <c r="E681" s="2" t="n">
        <v>1967</v>
      </c>
      <c r="F681" s="2" t="inlineStr">
        <is>
          <t>телефильм</t>
        </is>
      </c>
      <c r="G681" s="2" t="inlineStr">
        <is>
          <t>Ленинградское ТВ</t>
        </is>
      </c>
      <c r="H681" s="2" t="n">
        <v>27</v>
      </c>
      <c r="I681" s="2" t="inlineStr"/>
      <c r="J681" s="2" t="inlineStr">
        <is>
          <t>да</t>
        </is>
      </c>
      <c r="K681" s="3" t="inlineStr">
        <is>
          <t>По сказке К.Г.Паустовского.</t>
        </is>
      </c>
      <c r="L681" s="2" t="inlineStr">
        <is>
          <t>https://www.kino-teatr.ru/short/movie/sov/92905/annot/</t>
        </is>
      </c>
      <c r="M681" s="2">
        <f>HYPERLINK("https://ru.wikipedia.org/w/index.php?search=%D0%A2%D0%B5%D0%BF%D0%BB%D1%8B%D0%B9%20%D1%85%D0%BB%D0%B5%D0%B1%201967%20%D1%84%D0%B8%D0%BB%D1%8C%D0%BC","искать")</f>
        <v/>
      </c>
      <c r="N681" s="3" t="n"/>
      <c r="O681" s="2" t="n"/>
      <c r="P681" s="2" t="n"/>
    </row>
    <row r="682">
      <c r="A682" s="2" t="n">
        <v>681</v>
      </c>
      <c r="B682" s="2" t="inlineStr">
        <is>
          <t>не сюжет</t>
        </is>
      </c>
      <c r="C682" s="2" t="n">
        <v>11301</v>
      </c>
      <c r="D682" s="3" t="inlineStr">
        <is>
          <t>Записки сумасшедшего</t>
        </is>
      </c>
      <c r="E682" s="2" t="n">
        <v>1990</v>
      </c>
      <c r="F682" s="2" t="inlineStr">
        <is>
          <t>фильм-спектакль</t>
        </is>
      </c>
      <c r="G682" s="2" t="inlineStr">
        <is>
          <t>Укртелефильм</t>
        </is>
      </c>
      <c r="H682" s="2" t="n">
        <v>27</v>
      </c>
      <c r="I682" s="2" t="inlineStr"/>
      <c r="J682" s="2" t="inlineStr">
        <is>
          <t>да</t>
        </is>
      </c>
      <c r="K682" s="3" t="inlineStr">
        <is>
          <t>По произведению Н.В.Гоголя.</t>
        </is>
      </c>
      <c r="L682" s="2" t="inlineStr">
        <is>
          <t>https://www.kino-teatr.ru/teatr/movie/96377/annot/</t>
        </is>
      </c>
      <c r="M682" s="2">
        <f>HYPERLINK("https://ru.wikipedia.org/w/index.php?search=%D0%97%D0%B0%D0%BF%D0%B8%D1%81%D0%BA%D0%B8%20%D1%81%D1%83%D0%BC%D0%B0%D1%81%D1%88%D0%B5%D0%B4%D1%88%D0%B5%D0%B3%D0%BE%201990%20%D1%84%D0%B8%D0%BB%D1%8C%D0%BC","искать")</f>
        <v/>
      </c>
      <c r="N682" s="3" t="n"/>
      <c r="O682" s="2" t="n"/>
      <c r="P682" s="2" t="n"/>
    </row>
    <row r="683">
      <c r="A683" s="2" t="n">
        <v>682</v>
      </c>
      <c r="B683" s="2" t="inlineStr">
        <is>
          <t>не сюжет</t>
        </is>
      </c>
      <c r="C683" s="2" t="n">
        <v>11602</v>
      </c>
      <c r="D683" s="3" t="inlineStr">
        <is>
          <t>Обезьяна с острова Саругасима</t>
        </is>
      </c>
      <c r="E683" s="2" t="n">
        <v>1970</v>
      </c>
      <c r="F683" s="2" t="inlineStr">
        <is>
          <t>мультфильм</t>
        </is>
      </c>
      <c r="G683" s="2" t="inlineStr">
        <is>
          <t>Союзмультфильм</t>
        </is>
      </c>
      <c r="H683" s="2" t="n">
        <v>27</v>
      </c>
      <c r="I683" s="2" t="inlineStr"/>
      <c r="J683" s="2" t="inlineStr">
        <is>
          <t>да</t>
        </is>
      </c>
      <c r="K683" s="3" t="inlineStr">
        <is>
          <t>По мотивам японской сказки.</t>
        </is>
      </c>
      <c r="L683" s="2" t="inlineStr">
        <is>
          <t>2026-10_мультфильмы_список_владельца.xlsx; https://animator.ru/db/?p=show_film&amp;fid=2515</t>
        </is>
      </c>
      <c r="M683" s="2">
        <f>HYPERLINK("https://ru.wikipedia.org/w/index.php?search=%D0%9E%D0%B1%D0%B5%D0%B7%D1%8C%D1%8F%D0%BD%D0%B0%20%D1%81%20%D0%BE%D1%81%D1%82%D1%80%D0%BE%D0%B2%D0%B0%20%D0%A1%D0%B0%D1%80%D1%83%D0%B3%D0%B0%D1%81%D0%B8%D0%BC%D0%B0%201970%20%D1%84%D0%B8%D0%BB%D1%8C%D0%BC","искать")</f>
        <v/>
      </c>
      <c r="N683" s="3" t="n"/>
      <c r="O683" s="2" t="n"/>
      <c r="P683" s="2" t="n"/>
    </row>
    <row r="684">
      <c r="A684" s="2" t="n">
        <v>683</v>
      </c>
      <c r="B684" s="2" t="inlineStr">
        <is>
          <t>не сюжет</t>
        </is>
      </c>
      <c r="C684" s="2" t="n">
        <v>11624</v>
      </c>
      <c r="D684" s="3" t="inlineStr">
        <is>
          <t>Генерал Топтыгин</t>
        </is>
      </c>
      <c r="E684" s="2" t="n">
        <v>1971</v>
      </c>
      <c r="F684" s="2" t="inlineStr">
        <is>
          <t>мультфильм</t>
        </is>
      </c>
      <c r="G684" s="2" t="inlineStr">
        <is>
          <t>Союзмультфильм</t>
        </is>
      </c>
      <c r="H684" s="2" t="n">
        <v>27</v>
      </c>
      <c r="I684" s="2" t="inlineStr"/>
      <c r="J684" s="2" t="inlineStr">
        <is>
          <t>да</t>
        </is>
      </c>
      <c r="K684" s="3" t="inlineStr">
        <is>
          <t>По стихотворению Некрасова.</t>
        </is>
      </c>
      <c r="L684" s="2" t="inlineStr">
        <is>
          <t>2026-10_мультфильмы_список_владельца.xlsx; https://animator.ru/db/?p=show_film&amp;fid=2538</t>
        </is>
      </c>
      <c r="M684" s="2">
        <f>HYPERLINK("https://ru.wikipedia.org/w/index.php?search=%D0%93%D0%B5%D0%BD%D0%B5%D1%80%D0%B0%D0%BB%20%D0%A2%D0%BE%D0%BF%D1%82%D1%8B%D0%B3%D0%B8%D0%BD%201971%20%D1%84%D0%B8%D0%BB%D1%8C%D0%BC","искать")</f>
        <v/>
      </c>
      <c r="N684" s="3" t="n"/>
      <c r="O684" s="2" t="n"/>
      <c r="P684" s="2" t="n"/>
    </row>
    <row r="685">
      <c r="A685" s="2" t="n">
        <v>684</v>
      </c>
      <c r="B685" s="2" t="inlineStr">
        <is>
          <t>не сюжет</t>
        </is>
      </c>
      <c r="C685" s="2" t="n">
        <v>11702</v>
      </c>
      <c r="D685" s="3" t="inlineStr">
        <is>
          <t>Здоровье начинается дома</t>
        </is>
      </c>
      <c r="E685" s="2" t="n">
        <v>1973</v>
      </c>
      <c r="F685" s="2" t="inlineStr">
        <is>
          <t>мультфильм</t>
        </is>
      </c>
      <c r="G685" s="2" t="inlineStr">
        <is>
          <t>Союзмультфильм</t>
        </is>
      </c>
      <c r="H685" s="2" t="n">
        <v>27</v>
      </c>
      <c r="I685" s="2" t="inlineStr"/>
      <c r="J685" s="2" t="inlineStr">
        <is>
          <t>да</t>
        </is>
      </c>
      <c r="K685" s="3" t="inlineStr">
        <is>
          <t>По заказу ВОЗ. Для взрослых</t>
        </is>
      </c>
      <c r="L685" s="2" t="inlineStr">
        <is>
          <t>https://animator.ru/db/?p=show_film&amp;fid=2616</t>
        </is>
      </c>
      <c r="M685" s="2">
        <f>HYPERLINK("https://ru.wikipedia.org/w/index.php?search=%D0%97%D0%B4%D0%BE%D1%80%D0%BE%D0%B2%D1%8C%D0%B5%20%D0%BD%D0%B0%D1%87%D0%B8%D0%BD%D0%B0%D0%B5%D1%82%D1%81%D1%8F%20%D0%B4%D0%BE%D0%BC%D0%B0%201973%20%D1%84%D0%B8%D0%BB%D1%8C%D0%BC","искать")</f>
        <v/>
      </c>
      <c r="N685" s="3" t="n"/>
      <c r="O685" s="2" t="n"/>
      <c r="P685" s="2" t="n"/>
    </row>
    <row r="686">
      <c r="A686" s="2" t="n">
        <v>685</v>
      </c>
      <c r="B686" s="2" t="inlineStr">
        <is>
          <t>не сюжет</t>
        </is>
      </c>
      <c r="C686" s="2" t="n">
        <v>11754</v>
      </c>
      <c r="D686" s="3" t="inlineStr">
        <is>
          <t>Федорино горе</t>
        </is>
      </c>
      <c r="E686" s="2" t="n">
        <v>1974</v>
      </c>
      <c r="F686" s="2" t="inlineStr">
        <is>
          <t>мультфильм</t>
        </is>
      </c>
      <c r="G686" s="2" t="inlineStr">
        <is>
          <t>Союзмультфильм</t>
        </is>
      </c>
      <c r="H686" s="2" t="n">
        <v>27</v>
      </c>
      <c r="I686" s="2" t="inlineStr"/>
      <c r="J686" s="2" t="inlineStr">
        <is>
          <t>да</t>
        </is>
      </c>
      <c r="K686" s="3" t="inlineStr">
        <is>
          <t>По сказке К. И. Чуковского.</t>
        </is>
      </c>
      <c r="L686" s="2" t="inlineStr">
        <is>
          <t>2026-10_мультфильмы_список_владельца.xlsx; https://animator.ru/db/?p=show_film&amp;fid=2668</t>
        </is>
      </c>
      <c r="M686" s="2">
        <f>HYPERLINK("https://ru.wikipedia.org/w/index.php?search=%D0%A4%D0%B5%D0%B4%D0%BE%D1%80%D0%B8%D0%BD%D0%BE%20%D0%B3%D0%BE%D1%80%D0%B5%201974%20%D1%84%D0%B8%D0%BB%D1%8C%D0%BC","искать")</f>
        <v/>
      </c>
      <c r="N686" s="3" t="n"/>
      <c r="O686" s="2" t="n"/>
      <c r="P686" s="2" t="n"/>
    </row>
    <row r="687">
      <c r="A687" s="2" t="n">
        <v>686</v>
      </c>
      <c r="B687" s="2" t="inlineStr">
        <is>
          <t>не сюжет</t>
        </is>
      </c>
      <c r="C687" s="2" t="n">
        <v>11804</v>
      </c>
      <c r="D687" s="3" t="inlineStr">
        <is>
          <t>Муха-цокотуха</t>
        </is>
      </c>
      <c r="E687" s="2" t="n">
        <v>1976</v>
      </c>
      <c r="F687" s="2" t="inlineStr">
        <is>
          <t>мультфильм</t>
        </is>
      </c>
      <c r="G687" s="2" t="inlineStr">
        <is>
          <t>Союзмультфильм</t>
        </is>
      </c>
      <c r="H687" s="2" t="n">
        <v>27</v>
      </c>
      <c r="I687" s="2" t="inlineStr"/>
      <c r="J687" s="2" t="inlineStr">
        <is>
          <t>да</t>
        </is>
      </c>
      <c r="K687" s="3" t="inlineStr">
        <is>
          <t>По стихотворению Чуковского</t>
        </is>
      </c>
      <c r="L687" s="2" t="inlineStr">
        <is>
          <t>https://animator.ru/db/?p=show_film&amp;fid=2718</t>
        </is>
      </c>
      <c r="M687" s="2">
        <f>HYPERLINK("https://ru.wikipedia.org/w/index.php?search=%D0%9C%D1%83%D1%85%D0%B0-%D1%86%D0%BE%D0%BA%D0%BE%D1%82%D1%83%D1%85%D0%B0%201976%20%D1%84%D0%B8%D0%BB%D1%8C%D0%BC","искать")</f>
        <v/>
      </c>
      <c r="N687" s="3" t="n"/>
      <c r="O687" s="2" t="n"/>
      <c r="P687" s="2" t="n"/>
    </row>
    <row r="688">
      <c r="A688" s="2" t="n">
        <v>687</v>
      </c>
      <c r="B688" s="2" t="inlineStr">
        <is>
          <t>не сюжет</t>
        </is>
      </c>
      <c r="C688" s="2" t="n">
        <v>12759</v>
      </c>
      <c r="D688" s="3" t="inlineStr">
        <is>
          <t>Золотая подкова</t>
        </is>
      </c>
      <c r="E688" s="2" t="n">
        <v>1985</v>
      </c>
      <c r="F688" s="2" t="inlineStr">
        <is>
          <t>мультфильм</t>
        </is>
      </c>
      <c r="G688" s="2" t="inlineStr">
        <is>
          <t>АРМЕНФИЛЬМ</t>
        </is>
      </c>
      <c r="H688" s="2" t="n">
        <v>27</v>
      </c>
      <c r="I688" s="2" t="inlineStr"/>
      <c r="J688" s="2" t="inlineStr">
        <is>
          <t>да</t>
        </is>
      </c>
      <c r="K688" s="3" t="inlineStr">
        <is>
          <t>По мотивам армянских сказок</t>
        </is>
      </c>
      <c r="L688" s="2" t="inlineStr">
        <is>
          <t>https://animator.ru/db/?p=show_film&amp;fid=3968</t>
        </is>
      </c>
      <c r="M688" s="2">
        <f>HYPERLINK("https://ru.wikipedia.org/w/index.php?search=%D0%97%D0%BE%D0%BB%D0%BE%D1%82%D0%B0%D1%8F%20%D0%BF%D0%BE%D0%B4%D0%BA%D0%BE%D0%B2%D0%B0%201985%20%D1%84%D0%B8%D0%BB%D1%8C%D0%BC","искать")</f>
        <v/>
      </c>
      <c r="N688" s="3" t="n"/>
      <c r="O688" s="2" t="n"/>
      <c r="P688" s="2" t="n"/>
    </row>
    <row r="689">
      <c r="A689" s="2" t="n">
        <v>688</v>
      </c>
      <c r="B689" s="2" t="inlineStr">
        <is>
          <t>не сюжет</t>
        </is>
      </c>
      <c r="C689" s="2" t="n">
        <v>12789</v>
      </c>
      <c r="D689" s="3" t="inlineStr">
        <is>
          <t>Охотники</t>
        </is>
      </c>
      <c r="E689" s="2" t="n">
        <v>1977</v>
      </c>
      <c r="F689" s="2" t="inlineStr">
        <is>
          <t>мультфильм</t>
        </is>
      </c>
      <c r="G689" s="2" t="inlineStr">
        <is>
          <t>АРМЕНФИЛЬМ</t>
        </is>
      </c>
      <c r="H689" s="2" t="n">
        <v>27</v>
      </c>
      <c r="I689" s="2" t="inlineStr"/>
      <c r="J689" s="2" t="inlineStr">
        <is>
          <t>да</t>
        </is>
      </c>
      <c r="K689" s="3" t="inlineStr">
        <is>
          <t>по мотивам сказок Х.Абовяна</t>
        </is>
      </c>
      <c r="L689" s="2" t="inlineStr">
        <is>
          <t>https://animator.ru/db/?p=show_film&amp;fid=3998</t>
        </is>
      </c>
      <c r="M689" s="2">
        <f>HYPERLINK("https://ru.wikipedia.org/w/index.php?search=%D0%9E%D1%85%D0%BE%D1%82%D0%BD%D0%B8%D0%BA%D0%B8%201977%20%D1%84%D0%B8%D0%BB%D1%8C%D0%BC","искать")</f>
        <v/>
      </c>
      <c r="N689" s="3" t="n"/>
      <c r="O689" s="2" t="n"/>
      <c r="P689" s="2" t="n"/>
    </row>
    <row r="690">
      <c r="A690" s="2" t="n">
        <v>689</v>
      </c>
      <c r="B690" s="2" t="inlineStr">
        <is>
          <t>не сюжет</t>
        </is>
      </c>
      <c r="C690" s="2" t="n">
        <v>12930</v>
      </c>
      <c r="D690" s="3" t="inlineStr">
        <is>
          <t>Приключения саламуры 1</t>
        </is>
      </c>
      <c r="E690" s="2" t="n">
        <v>1975</v>
      </c>
      <c r="F690" s="2" t="inlineStr">
        <is>
          <t>мультфильм</t>
        </is>
      </c>
      <c r="G690" s="2" t="inlineStr">
        <is>
          <t>ГРУЗИЯ-ФИЛЬМ - АО</t>
        </is>
      </c>
      <c r="H690" s="2" t="n">
        <v>27</v>
      </c>
      <c r="I690" s="2" t="inlineStr"/>
      <c r="J690" s="2" t="inlineStr">
        <is>
          <t>да</t>
        </is>
      </c>
      <c r="K690" s="3" t="inlineStr">
        <is>
          <t>По заказу ГОСТЕЛЕРАДИО СССР</t>
        </is>
      </c>
      <c r="L690" s="2" t="inlineStr">
        <is>
          <t>https://animator.ru/db/?p=show_film&amp;fid=4160</t>
        </is>
      </c>
      <c r="M690" s="2">
        <f>HYPERLINK("https://ru.wikipedia.org/w/index.php?search=%D0%9F%D1%80%D0%B8%D0%BA%D0%BB%D1%8E%D1%87%D0%B5%D0%BD%D0%B8%D1%8F%20%D1%81%D0%B0%D0%BB%D0%B0%D0%BC%D1%83%D1%80%D1%8B%201%201975%20%D1%84%D0%B8%D0%BB%D1%8C%D0%BC","искать")</f>
        <v/>
      </c>
      <c r="N690" s="3" t="n"/>
      <c r="O690" s="2" t="n"/>
      <c r="P690" s="2" t="n"/>
    </row>
    <row r="691">
      <c r="A691" s="2" t="n">
        <v>690</v>
      </c>
      <c r="B691" s="2" t="inlineStr">
        <is>
          <t>не сюжет</t>
        </is>
      </c>
      <c r="C691" s="2" t="n">
        <v>12931</v>
      </c>
      <c r="D691" s="3" t="inlineStr">
        <is>
          <t>Приключения саламуры 2</t>
        </is>
      </c>
      <c r="E691" s="2" t="n">
        <v>1976</v>
      </c>
      <c r="F691" s="2" t="inlineStr">
        <is>
          <t>мультфильм</t>
        </is>
      </c>
      <c r="G691" s="2" t="inlineStr">
        <is>
          <t>ГРУЗИЯ-ФИЛЬМ - АО</t>
        </is>
      </c>
      <c r="H691" s="2" t="n">
        <v>27</v>
      </c>
      <c r="I691" s="2" t="inlineStr"/>
      <c r="J691" s="2" t="inlineStr">
        <is>
          <t>да</t>
        </is>
      </c>
      <c r="K691" s="3" t="inlineStr">
        <is>
          <t>По заказу ГОСТЕЛЕРАДИО СССР</t>
        </is>
      </c>
      <c r="L691" s="2" t="inlineStr">
        <is>
          <t>https://animator.ru/db/?p=show_film&amp;fid=4161</t>
        </is>
      </c>
      <c r="M691" s="2">
        <f>HYPERLINK("https://ru.wikipedia.org/w/index.php?search=%D0%9F%D1%80%D0%B8%D0%BA%D0%BB%D1%8E%D1%87%D0%B5%D0%BD%D0%B8%D1%8F%20%D1%81%D0%B0%D0%BB%D0%B0%D0%BC%D1%83%D1%80%D1%8B%202%201976%20%D1%84%D0%B8%D0%BB%D1%8C%D0%BC","искать")</f>
        <v/>
      </c>
      <c r="N691" s="3" t="n"/>
      <c r="O691" s="2" t="n"/>
      <c r="P691" s="2" t="n"/>
    </row>
    <row r="692">
      <c r="A692" s="2" t="n">
        <v>691</v>
      </c>
      <c r="B692" s="2" t="inlineStr">
        <is>
          <t>не сюжет</t>
        </is>
      </c>
      <c r="C692" s="2" t="n">
        <v>12934</v>
      </c>
      <c r="D692" s="3" t="inlineStr">
        <is>
          <t>Пес, еж и мальчик нико</t>
        </is>
      </c>
      <c r="E692" s="2" t="n">
        <v>1984</v>
      </c>
      <c r="F692" s="2" t="inlineStr">
        <is>
          <t>мультфильм</t>
        </is>
      </c>
      <c r="G692" s="2" t="inlineStr">
        <is>
          <t>ГРУЗИЯ-ФИЛЬМ - АО</t>
        </is>
      </c>
      <c r="H692" s="2" t="n">
        <v>27</v>
      </c>
      <c r="I692" s="2" t="inlineStr"/>
      <c r="J692" s="2" t="inlineStr">
        <is>
          <t>да</t>
        </is>
      </c>
      <c r="K692" s="3" t="inlineStr">
        <is>
          <t>По заказу ГОСТЕЛЕРАДИО СССР</t>
        </is>
      </c>
      <c r="L692" s="2" t="inlineStr">
        <is>
          <t>https://animator.ru/db/?p=show_film&amp;fid=4164</t>
        </is>
      </c>
      <c r="M692" s="2">
        <f>HYPERLINK("https://ru.wikipedia.org/w/index.php?search=%D0%9F%D0%B5%D1%81%2C%20%D0%B5%D0%B6%20%D0%B8%20%D0%BC%D0%B0%D0%BB%D1%8C%D1%87%D0%B8%D0%BA%20%D0%BD%D0%B8%D0%BA%D0%BE%201984%20%D1%84%D0%B8%D0%BB%D1%8C%D0%BC","искать")</f>
        <v/>
      </c>
      <c r="N692" s="3" t="n"/>
      <c r="O692" s="2" t="n"/>
      <c r="P692" s="2" t="n"/>
    </row>
    <row r="693">
      <c r="A693" s="2" t="n">
        <v>692</v>
      </c>
      <c r="B693" s="2" t="inlineStr">
        <is>
          <t>не сюжет</t>
        </is>
      </c>
      <c r="C693" s="2" t="n">
        <v>12994</v>
      </c>
      <c r="D693" s="3" t="inlineStr">
        <is>
          <t>Счастье кадыра</t>
        </is>
      </c>
      <c r="E693" s="2" t="n">
        <v>1977</v>
      </c>
      <c r="F693" s="2" t="inlineStr">
        <is>
          <t>мультфильм</t>
        </is>
      </c>
      <c r="G693" s="2" t="inlineStr">
        <is>
          <t>КАЗАХФИЛЬМ</t>
        </is>
      </c>
      <c r="H693" s="2" t="n">
        <v>27</v>
      </c>
      <c r="I693" s="2" t="inlineStr"/>
      <c r="J693" s="2" t="inlineStr">
        <is>
          <t>да</t>
        </is>
      </c>
      <c r="K693" s="3" t="inlineStr">
        <is>
          <t>По мотивам казахской сказки</t>
        </is>
      </c>
      <c r="L693" s="2" t="inlineStr">
        <is>
          <t>https://animator.ru/db/?p=show_film&amp;fid=4226</t>
        </is>
      </c>
      <c r="M693" s="2">
        <f>HYPERLINK("https://ru.wikipedia.org/w/index.php?search=%D0%A1%D1%87%D0%B0%D1%81%D1%82%D1%8C%D0%B5%20%D0%BA%D0%B0%D0%B4%D1%8B%D1%80%D0%B0%201977%20%D1%84%D0%B8%D0%BB%D1%8C%D0%BC","искать")</f>
        <v/>
      </c>
      <c r="N693" s="3" t="n"/>
      <c r="O693" s="2" t="n"/>
      <c r="P693" s="2" t="n"/>
    </row>
    <row r="694">
      <c r="A694" s="2" t="n">
        <v>693</v>
      </c>
      <c r="B694" s="2" t="inlineStr">
        <is>
          <t>не сюжет</t>
        </is>
      </c>
      <c r="C694" s="2" t="n">
        <v>13000</v>
      </c>
      <c r="D694" s="3" t="inlineStr">
        <is>
          <t>Шелковая кисточка</t>
        </is>
      </c>
      <c r="E694" s="2" t="n">
        <v>1978</v>
      </c>
      <c r="F694" s="2" t="inlineStr">
        <is>
          <t>мультфильм</t>
        </is>
      </c>
      <c r="G694" s="2" t="inlineStr">
        <is>
          <t>КАЗАХФИЛЬМ</t>
        </is>
      </c>
      <c r="H694" s="2" t="n">
        <v>27</v>
      </c>
      <c r="I694" s="2" t="inlineStr"/>
      <c r="J694" s="2" t="inlineStr">
        <is>
          <t>да</t>
        </is>
      </c>
      <c r="K694" s="3" t="inlineStr">
        <is>
          <t>По мотивам алтайской сказки</t>
        </is>
      </c>
      <c r="L694" s="2" t="inlineStr">
        <is>
          <t>https://animator.ru/db/?p=show_film&amp;fid=4232</t>
        </is>
      </c>
      <c r="M694" s="2">
        <f>HYPERLINK("https://ru.wikipedia.org/w/index.php?search=%D0%A8%D0%B5%D0%BB%D0%BA%D0%BE%D0%B2%D0%B0%D1%8F%20%D0%BA%D0%B8%D1%81%D1%82%D0%BE%D1%87%D0%BA%D0%B0%201978%20%D1%84%D0%B8%D0%BB%D1%8C%D0%BC","искать")</f>
        <v/>
      </c>
      <c r="N694" s="3" t="n"/>
      <c r="O694" s="2" t="n"/>
      <c r="P694" s="2" t="n"/>
    </row>
    <row r="695">
      <c r="A695" s="2" t="n">
        <v>694</v>
      </c>
      <c r="B695" s="2" t="inlineStr">
        <is>
          <t>не сюжет</t>
        </is>
      </c>
      <c r="C695" s="2" t="n">
        <v>13003</v>
      </c>
      <c r="D695" s="3" t="inlineStr">
        <is>
          <t>Каменная жаба</t>
        </is>
      </c>
      <c r="E695" s="2" t="n">
        <v>1986</v>
      </c>
      <c r="F695" s="2" t="inlineStr">
        <is>
          <t>мультфильм</t>
        </is>
      </c>
      <c r="G695" s="2" t="inlineStr">
        <is>
          <t>КАЗАХФИЛЬМ</t>
        </is>
      </c>
      <c r="H695" s="2" t="n">
        <v>27</v>
      </c>
      <c r="I695" s="2" t="inlineStr"/>
      <c r="J695" s="2" t="inlineStr">
        <is>
          <t>да</t>
        </is>
      </c>
      <c r="K695" s="3" t="inlineStr">
        <is>
          <t>По мотивам казахской сказки</t>
        </is>
      </c>
      <c r="L695" s="2" t="inlineStr">
        <is>
          <t>https://animator.ru/db/?p=show_film&amp;fid=4235</t>
        </is>
      </c>
      <c r="M695" s="2">
        <f>HYPERLINK("https://ru.wikipedia.org/w/index.php?search=%D0%9A%D0%B0%D0%BC%D0%B5%D0%BD%D0%BD%D0%B0%D1%8F%20%D0%B6%D0%B0%D0%B1%D0%B0%201986%20%D1%84%D0%B8%D0%BB%D1%8C%D0%BC","искать")</f>
        <v/>
      </c>
      <c r="N695" s="3" t="n"/>
      <c r="O695" s="2" t="n"/>
      <c r="P695" s="2" t="n"/>
    </row>
    <row r="696">
      <c r="A696" s="2" t="n">
        <v>695</v>
      </c>
      <c r="B696" s="2" t="inlineStr">
        <is>
          <t>не сюжет</t>
        </is>
      </c>
      <c r="C696" s="2" t="n">
        <v>13023</v>
      </c>
      <c r="D696" s="3" t="inlineStr">
        <is>
          <t>Батыр - заячья душа</t>
        </is>
      </c>
      <c r="E696" s="2" t="n">
        <v>1989</v>
      </c>
      <c r="F696" s="2" t="inlineStr">
        <is>
          <t>мультфильм</t>
        </is>
      </c>
      <c r="G696" s="2" t="inlineStr">
        <is>
          <t>КАЗАХФИЛЬМ</t>
        </is>
      </c>
      <c r="H696" s="2" t="n">
        <v>27</v>
      </c>
      <c r="I696" s="2" t="inlineStr"/>
      <c r="J696" s="2" t="inlineStr">
        <is>
          <t>да</t>
        </is>
      </c>
      <c r="K696" s="3" t="inlineStr">
        <is>
          <t>По мотивам казахской сказки</t>
        </is>
      </c>
      <c r="L696" s="2" t="inlineStr">
        <is>
          <t>https://animator.ru/db/?p=show_film&amp;fid=4255</t>
        </is>
      </c>
      <c r="M696" s="2">
        <f>HYPERLINK("https://ru.wikipedia.org/w/index.php?search=%D0%91%D0%B0%D1%82%D1%8B%D1%80%20-%20%D0%B7%D0%B0%D1%8F%D1%87%D1%8C%D1%8F%20%D0%B4%D1%83%D1%88%D0%B0%201989%20%D1%84%D0%B8%D0%BB%D1%8C%D0%BC","искать")</f>
        <v/>
      </c>
      <c r="N696" s="3" t="n"/>
      <c r="O696" s="2" t="n"/>
      <c r="P696" s="2" t="n"/>
    </row>
    <row r="697">
      <c r="A697" s="2" t="n">
        <v>696</v>
      </c>
      <c r="B697" s="2" t="inlineStr">
        <is>
          <t>не сюжет</t>
        </is>
      </c>
      <c r="C697" s="2" t="n">
        <v>13116</v>
      </c>
      <c r="D697" s="3" t="inlineStr">
        <is>
          <t>Снежная сказка</t>
        </is>
      </c>
      <c r="E697" s="2" t="n">
        <v>1986</v>
      </c>
      <c r="F697" s="2" t="inlineStr">
        <is>
          <t>мультфильм</t>
        </is>
      </c>
      <c r="G697" s="2" t="inlineStr">
        <is>
          <t>МОЛДОВА-ФИЛЬМ</t>
        </is>
      </c>
      <c r="H697" s="2" t="n">
        <v>27</v>
      </c>
      <c r="I697" s="2" t="inlineStr"/>
      <c r="J697" s="2" t="inlineStr">
        <is>
          <t>да</t>
        </is>
      </c>
      <c r="K697" s="3" t="inlineStr">
        <is>
          <t>По мотивам сказки В.Прохина</t>
        </is>
      </c>
      <c r="L697" s="2" t="inlineStr">
        <is>
          <t>https://animator.ru/db/?p=show_film&amp;fid=4348</t>
        </is>
      </c>
      <c r="M697" s="2">
        <f>HYPERLINK("https://ru.wikipedia.org/w/index.php?search=%D0%A1%D0%BD%D0%B5%D0%B6%D0%BD%D0%B0%D1%8F%20%D1%81%D0%BA%D0%B0%D0%B7%D0%BA%D0%B0%201986%20%D1%84%D0%B8%D0%BB%D1%8C%D0%BC","искать")</f>
        <v/>
      </c>
      <c r="N697" s="3" t="n"/>
      <c r="O697" s="2" t="n"/>
      <c r="P697" s="2" t="n"/>
    </row>
    <row r="698">
      <c r="A698" s="2" t="n">
        <v>697</v>
      </c>
      <c r="B698" s="2" t="inlineStr">
        <is>
          <t>не сюжет</t>
        </is>
      </c>
      <c r="C698" s="2" t="n">
        <v>13188</v>
      </c>
      <c r="D698" s="3" t="inlineStr">
        <is>
          <t>Рубаи старого сказочника</t>
        </is>
      </c>
      <c r="E698" s="2" t="n">
        <v>1975</v>
      </c>
      <c r="F698" s="2" t="inlineStr">
        <is>
          <t>мультфильм</t>
        </is>
      </c>
      <c r="G698" s="2" t="inlineStr">
        <is>
          <t>УЗБЕКФИЛЬМ</t>
        </is>
      </c>
      <c r="H698" s="2" t="n">
        <v>27</v>
      </c>
      <c r="I698" s="2" t="inlineStr"/>
      <c r="J698" s="2" t="inlineStr">
        <is>
          <t>да</t>
        </is>
      </c>
      <c r="K698" s="3" t="inlineStr">
        <is>
          <t>По мотивам восточных сказок</t>
        </is>
      </c>
      <c r="L698" s="2" t="inlineStr">
        <is>
          <t>https://animator.ru/db/?p=show_film&amp;fid=4427</t>
        </is>
      </c>
      <c r="M698" s="2">
        <f>HYPERLINK("https://ru.wikipedia.org/w/index.php?search=%D0%A0%D1%83%D0%B1%D0%B0%D0%B8%20%D1%81%D1%82%D0%B0%D1%80%D0%BE%D0%B3%D0%BE%20%D1%81%D0%BA%D0%B0%D0%B7%D0%BE%D1%87%D0%BD%D0%B8%D0%BA%D0%B0%201975%20%D1%84%D0%B8%D0%BB%D1%8C%D0%BC","искать")</f>
        <v/>
      </c>
      <c r="N698" s="3" t="n"/>
      <c r="O698" s="2" t="n"/>
      <c r="P698" s="2" t="n"/>
    </row>
    <row r="699">
      <c r="A699" s="2" t="n">
        <v>698</v>
      </c>
      <c r="B699" s="2" t="inlineStr">
        <is>
          <t>не сюжет</t>
        </is>
      </c>
      <c r="C699" s="2" t="n">
        <v>13202</v>
      </c>
      <c r="D699" s="3" t="inlineStr">
        <is>
          <t>Есть ли толк в добре?</t>
        </is>
      </c>
      <c r="E699" s="2" t="n">
        <v>1986</v>
      </c>
      <c r="F699" s="2" t="inlineStr">
        <is>
          <t>мультфильм</t>
        </is>
      </c>
      <c r="G699" s="2" t="inlineStr">
        <is>
          <t>УЗБЕКФИЛЬМ</t>
        </is>
      </c>
      <c r="H699" s="2" t="n">
        <v>27</v>
      </c>
      <c r="I699" s="2" t="inlineStr"/>
      <c r="J699" s="2" t="inlineStr">
        <is>
          <t>да</t>
        </is>
      </c>
      <c r="K699" s="3" t="inlineStr">
        <is>
          <t>По мотивам узбекских сказок</t>
        </is>
      </c>
      <c r="L699" s="2" t="inlineStr">
        <is>
          <t>https://animator.ru/db/?p=show_film&amp;fid=4441</t>
        </is>
      </c>
      <c r="M699" s="2">
        <f>HYPERLINK("https://ru.wikipedia.org/w/index.php?search=%D0%95%D1%81%D1%82%D1%8C%20%D0%BB%D0%B8%20%D1%82%D0%BE%D0%BB%D0%BA%20%D0%B2%20%D0%B4%D0%BE%D0%B1%D1%80%D0%B5%3F%201986%20%D1%84%D0%B8%D0%BB%D1%8C%D0%BC","искать")</f>
        <v/>
      </c>
      <c r="N699" s="3" t="n"/>
      <c r="O699" s="2" t="n"/>
      <c r="P699" s="2" t="n"/>
    </row>
    <row r="700">
      <c r="A700" s="2" t="n">
        <v>699</v>
      </c>
      <c r="B700" s="2" t="inlineStr">
        <is>
          <t>не сюжет</t>
        </is>
      </c>
      <c r="C700" s="2" t="n">
        <v>13332</v>
      </c>
      <c r="D700" s="3" t="inlineStr">
        <is>
          <t>Портрет</t>
        </is>
      </c>
      <c r="E700" s="2" t="n">
        <v>1982</v>
      </c>
      <c r="F700" s="2" t="inlineStr">
        <is>
          <t>мультфильм</t>
        </is>
      </c>
      <c r="G700" s="2" t="inlineStr">
        <is>
          <t>КИРГИЗФИЛЬМ</t>
        </is>
      </c>
      <c r="H700" s="2" t="n">
        <v>27</v>
      </c>
      <c r="I700" s="2" t="inlineStr"/>
      <c r="J700" s="2" t="inlineStr">
        <is>
          <t>да</t>
        </is>
      </c>
      <c r="K700" s="3" t="inlineStr">
        <is>
          <t>По мотивам восточных сказок</t>
        </is>
      </c>
      <c r="L700" s="2" t="inlineStr">
        <is>
          <t>https://animator.ru/db/?p=show_film&amp;fid=4603</t>
        </is>
      </c>
      <c r="M700" s="2">
        <f>HYPERLINK("https://ru.wikipedia.org/w/index.php?search=%D0%9F%D0%BE%D1%80%D1%82%D1%80%D0%B5%D1%82%201982%20%D1%84%D0%B8%D0%BB%D1%8C%D0%BC","искать")</f>
        <v/>
      </c>
      <c r="N700" s="3" t="n"/>
      <c r="O700" s="2" t="n"/>
      <c r="P700" s="2" t="n"/>
    </row>
    <row r="701">
      <c r="A701" s="2" t="n">
        <v>700</v>
      </c>
      <c r="B701" s="2" t="inlineStr">
        <is>
          <t>не сюжет</t>
        </is>
      </c>
      <c r="C701" s="2" t="n">
        <v>13355</v>
      </c>
      <c r="D701" s="3" t="inlineStr">
        <is>
          <t>Гибель гармсиля</t>
        </is>
      </c>
      <c r="E701" s="2" t="n">
        <v>1976</v>
      </c>
      <c r="F701" s="2" t="inlineStr">
        <is>
          <t>мультфильм</t>
        </is>
      </c>
      <c r="G701" s="2" t="inlineStr">
        <is>
          <t>УЗБЕКФИЛЬМ</t>
        </is>
      </c>
      <c r="H701" s="2" t="n">
        <v>27</v>
      </c>
      <c r="I701" s="2" t="inlineStr"/>
      <c r="J701" s="2" t="inlineStr">
        <is>
          <t>да</t>
        </is>
      </c>
      <c r="K701" s="3" t="inlineStr">
        <is>
          <t>По мотивам восточных сказок</t>
        </is>
      </c>
      <c r="L701" s="2" t="inlineStr">
        <is>
          <t>https://animator.ru/db/?p=show_film&amp;fid=4633</t>
        </is>
      </c>
      <c r="M701" s="2">
        <f>HYPERLINK("https://ru.wikipedia.org/w/index.php?search=%D0%93%D0%B8%D0%B1%D0%B5%D0%BB%D1%8C%20%D0%B3%D0%B0%D1%80%D0%BC%D1%81%D0%B8%D0%BB%D1%8F%201976%20%D1%84%D0%B8%D0%BB%D1%8C%D0%BC","искать")</f>
        <v/>
      </c>
      <c r="N701" s="3" t="n"/>
      <c r="O701" s="2" t="n"/>
      <c r="P701" s="2" t="n"/>
    </row>
    <row r="702">
      <c r="A702" s="2" t="n">
        <v>701</v>
      </c>
      <c r="B702" s="2" t="inlineStr">
        <is>
          <t>не сюжет</t>
        </is>
      </c>
      <c r="C702" s="2" t="n">
        <v>13358</v>
      </c>
      <c r="D702" s="3" t="inlineStr">
        <is>
          <t>Заколдованный корабль</t>
        </is>
      </c>
      <c r="E702" s="2" t="n">
        <v>1977</v>
      </c>
      <c r="F702" s="2" t="inlineStr">
        <is>
          <t>мультфильм</t>
        </is>
      </c>
      <c r="G702" s="2" t="inlineStr">
        <is>
          <t>УЗБЕКФИЛЬМ</t>
        </is>
      </c>
      <c r="H702" s="2" t="n">
        <v>27</v>
      </c>
      <c r="I702" s="2" t="inlineStr"/>
      <c r="J702" s="2" t="inlineStr">
        <is>
          <t>да</t>
        </is>
      </c>
      <c r="K702" s="3" t="inlineStr">
        <is>
          <t>По мотивам восточных сказок</t>
        </is>
      </c>
      <c r="L702" s="2" t="inlineStr">
        <is>
          <t>https://animator.ru/db/?p=show_film&amp;fid=4636</t>
        </is>
      </c>
      <c r="M702" s="2">
        <f>HYPERLINK("https://ru.wikipedia.org/w/index.php?search=%D0%97%D0%B0%D0%BA%D0%BE%D0%BB%D0%B4%D0%BE%D0%B2%D0%B0%D0%BD%D0%BD%D1%8B%D0%B9%20%D0%BA%D0%BE%D1%80%D0%B0%D0%B1%D0%BB%D1%8C%201977%20%D1%84%D0%B8%D0%BB%D1%8C%D0%BC","искать")</f>
        <v/>
      </c>
      <c r="N702" s="3" t="n"/>
      <c r="O702" s="2" t="n"/>
      <c r="P702" s="2" t="n"/>
    </row>
    <row r="703">
      <c r="A703" s="2" t="n">
        <v>702</v>
      </c>
      <c r="B703" s="2" t="inlineStr">
        <is>
          <t>не сюжет</t>
        </is>
      </c>
      <c r="C703" s="2" t="n">
        <v>13359</v>
      </c>
      <c r="D703" s="3" t="inlineStr">
        <is>
          <t>Зов ники</t>
        </is>
      </c>
      <c r="E703" s="2" t="n">
        <v>1980</v>
      </c>
      <c r="F703" s="2" t="inlineStr">
        <is>
          <t>мультфильм</t>
        </is>
      </c>
      <c r="G703" s="2" t="inlineStr">
        <is>
          <t>ТАЛЛИННФИЛЬМ</t>
        </is>
      </c>
      <c r="H703" s="2" t="n">
        <v>27</v>
      </c>
      <c r="I703" s="2" t="inlineStr"/>
      <c r="J703" s="2" t="inlineStr">
        <is>
          <t>да</t>
        </is>
      </c>
      <c r="K703" s="3" t="inlineStr">
        <is>
          <t>О рождении парусного спорта</t>
        </is>
      </c>
      <c r="L703" s="2" t="inlineStr">
        <is>
          <t>https://animator.ru/db/?p=show_film&amp;fid=4637</t>
        </is>
      </c>
      <c r="M703" s="2">
        <f>HYPERLINK("https://ru.wikipedia.org/w/index.php?search=%D0%97%D0%BE%D0%B2%20%D0%BD%D0%B8%D0%BA%D0%B8%201980%20%D1%84%D0%B8%D0%BB%D1%8C%D0%BC","искать")</f>
        <v/>
      </c>
      <c r="N703" s="3" t="n"/>
      <c r="O703" s="2" t="n"/>
      <c r="P703" s="2" t="n"/>
    </row>
    <row r="704">
      <c r="A704" s="2" t="n">
        <v>703</v>
      </c>
      <c r="B704" s="2" t="inlineStr">
        <is>
          <t>не сюжет</t>
        </is>
      </c>
      <c r="C704" s="2" t="n">
        <v>13466</v>
      </c>
      <c r="D704" s="3" t="inlineStr">
        <is>
          <t>Пудя</t>
        </is>
      </c>
      <c r="E704" s="2" t="n">
        <v>1990</v>
      </c>
      <c r="F704" s="2" t="inlineStr">
        <is>
          <t>мультфильм</t>
        </is>
      </c>
      <c r="G704" s="2" t="inlineStr">
        <is>
          <t>ЭКРАН</t>
        </is>
      </c>
      <c r="H704" s="2" t="n">
        <v>27</v>
      </c>
      <c r="I704" s="2" t="inlineStr"/>
      <c r="J704" s="2" t="inlineStr">
        <is>
          <t>да</t>
        </is>
      </c>
      <c r="K704" s="3" t="inlineStr">
        <is>
          <t>По рассказу Бориса Житкова.</t>
        </is>
      </c>
      <c r="L704" s="2" t="inlineStr">
        <is>
          <t>2026-10_мультфильмы_список_владельца.xlsx; https://animator.ru/db/?p=show_film&amp;fid=4748</t>
        </is>
      </c>
      <c r="M704" s="2">
        <f>HYPERLINK("https://ru.wikipedia.org/w/index.php?search=%D0%9F%D1%83%D0%B4%D1%8F%201990%20%D1%84%D0%B8%D0%BB%D1%8C%D0%BC","искать")</f>
        <v/>
      </c>
      <c r="N704" s="3" t="n"/>
      <c r="O704" s="2" t="n"/>
      <c r="P704" s="2" t="n"/>
    </row>
    <row r="705">
      <c r="A705" s="2" t="n">
        <v>704</v>
      </c>
      <c r="B705" s="2" t="inlineStr">
        <is>
          <t>не сюжет</t>
        </is>
      </c>
      <c r="C705" s="2" t="n">
        <v>13532</v>
      </c>
      <c r="D705" s="3" t="inlineStr">
        <is>
          <t>Воробьишко</t>
        </is>
      </c>
      <c r="E705" s="2" t="n">
        <v>1984</v>
      </c>
      <c r="F705" s="2" t="inlineStr">
        <is>
          <t>мультфильм</t>
        </is>
      </c>
      <c r="G705" s="2" t="inlineStr">
        <is>
          <t>Свердловская киностудия</t>
        </is>
      </c>
      <c r="H705" s="2" t="n">
        <v>27</v>
      </c>
      <c r="I705" s="2" t="inlineStr"/>
      <c r="J705" s="2" t="inlineStr">
        <is>
          <t>да</t>
        </is>
      </c>
      <c r="K705" s="3" t="inlineStr">
        <is>
          <t>По мотивам сказки Горького.</t>
        </is>
      </c>
      <c r="L705" s="2" t="inlineStr">
        <is>
          <t>2026-10_мультфильмы_список_владельца.xlsx; https://animator.ru/db/?p=show_film&amp;fid=4851</t>
        </is>
      </c>
      <c r="M705" s="2">
        <f>HYPERLINK("https://ru.wikipedia.org/w/index.php?search=%D0%92%D0%BE%D1%80%D0%BE%D0%B1%D1%8C%D0%B8%D1%88%D0%BA%D0%BE%201984%20%D1%84%D0%B8%D0%BB%D1%8C%D0%BC","искать")</f>
        <v/>
      </c>
      <c r="N705" s="3" t="n"/>
      <c r="O705" s="2" t="n"/>
      <c r="P705" s="2" t="n"/>
    </row>
    <row r="706">
      <c r="A706" s="2" t="n">
        <v>705</v>
      </c>
      <c r="B706" s="2" t="inlineStr">
        <is>
          <t>не сюжет</t>
        </is>
      </c>
      <c r="C706" s="2" t="n">
        <v>13575</v>
      </c>
      <c r="D706" s="3" t="inlineStr">
        <is>
          <t>Волшебная серна</t>
        </is>
      </c>
      <c r="E706" s="2" t="n">
        <v>1980</v>
      </c>
      <c r="F706" s="2" t="inlineStr">
        <is>
          <t>мультфильм</t>
        </is>
      </c>
      <c r="G706" s="2" t="inlineStr">
        <is>
          <t>УЗБЕКФИЛЬМ</t>
        </is>
      </c>
      <c r="H706" s="2" t="n">
        <v>27</v>
      </c>
      <c r="I706" s="2" t="inlineStr"/>
      <c r="J706" s="2" t="inlineStr">
        <is>
          <t>да</t>
        </is>
      </c>
      <c r="K706" s="3" t="inlineStr">
        <is>
          <t>По мотивам узбекской сказки</t>
        </is>
      </c>
      <c r="L706" s="2" t="inlineStr">
        <is>
          <t>https://animator.ru/db/?p=show_film&amp;fid=4912</t>
        </is>
      </c>
      <c r="M706" s="2">
        <f>HYPERLINK("https://ru.wikipedia.org/w/index.php?search=%D0%92%D0%BE%D0%BB%D1%88%D0%B5%D0%B1%D0%BD%D0%B0%D1%8F%20%D1%81%D0%B5%D1%80%D0%BD%D0%B0%201980%20%D1%84%D0%B8%D0%BB%D1%8C%D0%BC","искать")</f>
        <v/>
      </c>
      <c r="N706" s="3" t="n"/>
      <c r="O706" s="2" t="n"/>
      <c r="P706" s="2" t="n"/>
    </row>
    <row r="707">
      <c r="A707" s="2" t="n">
        <v>706</v>
      </c>
      <c r="B707" s="2" t="inlineStr">
        <is>
          <t>не сюжет</t>
        </is>
      </c>
      <c r="C707" s="2" t="n">
        <v>13657</v>
      </c>
      <c r="D707" s="3" t="inlineStr">
        <is>
          <t>Возвращение со звезд</t>
        </is>
      </c>
      <c r="E707" s="2" t="n">
        <v>1982</v>
      </c>
      <c r="F707" s="2" t="inlineStr">
        <is>
          <t>мультфильм</t>
        </is>
      </c>
      <c r="G707" s="2" t="inlineStr">
        <is>
          <t>ЭКРАН</t>
        </is>
      </c>
      <c r="H707" s="2" t="n">
        <v>27</v>
      </c>
      <c r="I707" s="2" t="inlineStr"/>
      <c r="J707" s="2" t="inlineStr">
        <is>
          <t>да</t>
        </is>
      </c>
      <c r="K707" s="3" t="inlineStr">
        <is>
          <t>О бережном отношении к воде</t>
        </is>
      </c>
      <c r="L707" s="2" t="inlineStr">
        <is>
          <t>https://animator.ru/db/?p=show_film&amp;fid=5049</t>
        </is>
      </c>
      <c r="M707" s="2">
        <f>HYPERLINK("https://ru.wikipedia.org/w/index.php?search=%D0%92%D0%BE%D0%B7%D0%B2%D1%80%D0%B0%D1%89%D0%B5%D0%BD%D0%B8%D0%B5%20%D1%81%D0%BE%20%D0%B7%D0%B2%D0%B5%D0%B7%D0%B4%201982%20%D1%84%D0%B8%D0%BB%D1%8C%D0%BC","искать")</f>
        <v/>
      </c>
      <c r="N707" s="3" t="n"/>
      <c r="O707" s="2" t="n"/>
      <c r="P707" s="2" t="n"/>
    </row>
    <row r="708">
      <c r="A708" s="2" t="n">
        <v>707</v>
      </c>
      <c r="B708" s="2" t="inlineStr">
        <is>
          <t>не сюжет</t>
        </is>
      </c>
      <c r="C708" s="2" t="n">
        <v>14124</v>
      </c>
      <c r="D708" s="3" t="inlineStr">
        <is>
          <t>Копилка</t>
        </is>
      </c>
      <c r="E708" s="2" t="n">
        <v>1989</v>
      </c>
      <c r="F708" s="2" t="inlineStr">
        <is>
          <t>мультфильм</t>
        </is>
      </c>
      <c r="G708" s="2" t="inlineStr">
        <is>
          <t>КУЙБЫШЕВТЕЛЕФИЛЬМ</t>
        </is>
      </c>
      <c r="H708" s="2" t="n">
        <v>27</v>
      </c>
      <c r="I708" s="2" t="inlineStr"/>
      <c r="J708" s="2" t="inlineStr">
        <is>
          <t>да</t>
        </is>
      </c>
      <c r="K708" s="3" t="inlineStr">
        <is>
          <t>Из цикла "Чудеса в Гусляре"</t>
        </is>
      </c>
      <c r="L708" s="2" t="inlineStr">
        <is>
          <t>https://animator.ru/db/?p=show_film&amp;fid=5522</t>
        </is>
      </c>
      <c r="M708" s="2">
        <f>HYPERLINK("https://ru.wikipedia.org/w/index.php?search=%D0%9A%D0%BE%D0%BF%D0%B8%D0%BB%D0%BA%D0%B0%201989%20%D1%84%D0%B8%D0%BB%D1%8C%D0%BC","искать")</f>
        <v/>
      </c>
      <c r="N708" s="3" t="n"/>
      <c r="O708" s="2" t="n"/>
      <c r="P708" s="2" t="n"/>
    </row>
    <row r="709">
      <c r="A709" s="2" t="n">
        <v>708</v>
      </c>
      <c r="B709" s="2" t="inlineStr">
        <is>
          <t>не сюжет</t>
        </is>
      </c>
      <c r="C709" s="2" t="n">
        <v>8862</v>
      </c>
      <c r="D709" s="3" t="inlineStr">
        <is>
          <t>Наместник Будды</t>
        </is>
      </c>
      <c r="E709" s="2" t="n">
        <v>1936</v>
      </c>
      <c r="F709" s="2" t="inlineStr">
        <is>
          <t>кинофильм</t>
        </is>
      </c>
      <c r="G709" s="2" t="n"/>
      <c r="H709" s="2" t="n">
        <v>28</v>
      </c>
      <c r="I709" s="2" t="inlineStr"/>
      <c r="J709" s="2" t="inlineStr">
        <is>
          <t>да</t>
        </is>
      </c>
      <c r="K709" s="3" t="inlineStr">
        <is>
          <t>Фильм о революции в Монголии</t>
        </is>
      </c>
      <c r="L709" s="2" t="inlineStr">
        <is>
          <t>Кино_СССР сводный каталог.xlsx: список фильмов (доп.)</t>
        </is>
      </c>
      <c r="M709" s="2">
        <f>HYPERLINK("https://ru.wikipedia.org/w/index.php?search=%D0%9D%D0%B0%D0%BC%D0%B5%D1%81%D1%82%D0%BD%D0%B8%D0%BA%20%D0%91%D1%83%D0%B4%D0%B4%D1%8B%201936%20%D1%84%D0%B8%D0%BB%D1%8C%D0%BC","искать")</f>
        <v/>
      </c>
      <c r="N709" s="3" t="n"/>
      <c r="O709" s="2" t="n"/>
      <c r="P709" s="2" t="n"/>
    </row>
    <row r="710">
      <c r="A710" s="2" t="n">
        <v>709</v>
      </c>
      <c r="B710" s="2" t="inlineStr">
        <is>
          <t>не сюжет</t>
        </is>
      </c>
      <c r="C710" s="2" t="n">
        <v>8937</v>
      </c>
      <c r="D710" s="3" t="inlineStr">
        <is>
          <t>Победители</t>
        </is>
      </c>
      <c r="E710" s="2" t="n">
        <v>1952</v>
      </c>
      <c r="F710" s="2" t="inlineStr">
        <is>
          <t>кинофильм</t>
        </is>
      </c>
      <c r="G710" s="2" t="n"/>
      <c r="H710" s="2" t="n">
        <v>28</v>
      </c>
      <c r="I710" s="2" t="inlineStr"/>
      <c r="J710" s="2" t="inlineStr">
        <is>
          <t>да</t>
        </is>
      </c>
      <c r="K710" s="3" t="inlineStr">
        <is>
          <t>О строителях Цимлянской ГЭС.</t>
        </is>
      </c>
      <c r="L710" s="2" t="inlineStr">
        <is>
          <t>Кино_СССР сводный каталог.xlsx: список фильмов (доп.)</t>
        </is>
      </c>
      <c r="M710" s="2">
        <f>HYPERLINK("https://ru.wikipedia.org/w/index.php?search=%D0%9F%D0%BE%D0%B1%D0%B5%D0%B4%D0%B8%D1%82%D0%B5%D0%BB%D0%B8%201952%20%D1%84%D0%B8%D0%BB%D1%8C%D0%BC","искать")</f>
        <v/>
      </c>
      <c r="N710" s="3" t="n"/>
      <c r="O710" s="2" t="n"/>
      <c r="P710" s="2" t="n"/>
    </row>
    <row r="711">
      <c r="A711" s="2" t="n">
        <v>710</v>
      </c>
      <c r="B711" s="2" t="inlineStr">
        <is>
          <t>не сюжет</t>
        </is>
      </c>
      <c r="C711" s="2" t="n">
        <v>10550</v>
      </c>
      <c r="D711" s="3" t="inlineStr">
        <is>
          <t>Вот такие истории</t>
        </is>
      </c>
      <c r="E711" s="2" t="n">
        <v>1974</v>
      </c>
      <c r="F711" s="2" t="inlineStr">
        <is>
          <t>фильм-спектакль</t>
        </is>
      </c>
      <c r="G711" s="2" t="inlineStr">
        <is>
          <t>Центральное телевидение</t>
        </is>
      </c>
      <c r="H711" s="2" t="n">
        <v>28</v>
      </c>
      <c r="I711" s="2" t="inlineStr"/>
      <c r="J711" s="2" t="inlineStr">
        <is>
          <t>да</t>
        </is>
      </c>
      <c r="K711" s="3" t="inlineStr">
        <is>
          <t>Три новеллы из жизни завода.</t>
        </is>
      </c>
      <c r="L711" s="2" t="inlineStr">
        <is>
          <t>https://www.kino-teatr.ru/teatr/movie/93040/annot/</t>
        </is>
      </c>
      <c r="M711" s="2">
        <f>HYPERLINK("https://ru.wikipedia.org/w/index.php?search=%D0%92%D0%BE%D1%82%20%D1%82%D0%B0%D0%BA%D0%B8%D0%B5%20%D0%B8%D1%81%D1%82%D0%BE%D1%80%D0%B8%D0%B8%201974%20%D1%84%D0%B8%D0%BB%D1%8C%D0%BC","искать")</f>
        <v/>
      </c>
      <c r="N711" s="3" t="n"/>
      <c r="O711" s="2" t="n"/>
      <c r="P711" s="2" t="n"/>
    </row>
    <row r="712">
      <c r="A712" s="2" t="n">
        <v>711</v>
      </c>
      <c r="B712" s="2" t="inlineStr">
        <is>
          <t>не сюжет</t>
        </is>
      </c>
      <c r="C712" s="2" t="n">
        <v>11920</v>
      </c>
      <c r="D712" s="3" t="inlineStr">
        <is>
          <t>Почему ослик заупрямился</t>
        </is>
      </c>
      <c r="E712" s="2" t="n">
        <v>1979</v>
      </c>
      <c r="F712" s="2" t="inlineStr">
        <is>
          <t>мультфильм</t>
        </is>
      </c>
      <c r="G712" s="2" t="inlineStr">
        <is>
          <t>Союзмультфильм</t>
        </is>
      </c>
      <c r="H712" s="2" t="n">
        <v>28</v>
      </c>
      <c r="I712" s="2" t="inlineStr"/>
      <c r="J712" s="2" t="inlineStr">
        <is>
          <t>да</t>
        </is>
      </c>
      <c r="K712" s="3" t="inlineStr">
        <is>
          <t>По мотивам восточной сказки.</t>
        </is>
      </c>
      <c r="L712" s="2" t="inlineStr">
        <is>
          <t>2026-10_мультфильмы_список_владельца.xlsx; https://animator.ru/db/?p=show_film&amp;fid=2835</t>
        </is>
      </c>
      <c r="M712" s="2">
        <f>HYPERLINK("https://ru.wikipedia.org/w/index.php?search=%D0%9F%D0%BE%D1%87%D0%B5%D0%BC%D1%83%20%D0%BE%D1%81%D0%BB%D0%B8%D0%BA%20%D0%B7%D0%B0%D1%83%D0%BF%D1%80%D1%8F%D0%BC%D0%B8%D0%BB%D1%81%D1%8F%201979%20%D1%84%D0%B8%D0%BB%D1%8C%D0%BC","искать")</f>
        <v/>
      </c>
      <c r="N712" s="3" t="n"/>
      <c r="O712" s="2" t="n"/>
      <c r="P712" s="2" t="n"/>
    </row>
    <row r="713">
      <c r="A713" s="2" t="n">
        <v>712</v>
      </c>
      <c r="B713" s="2" t="inlineStr">
        <is>
          <t>не сюжет</t>
        </is>
      </c>
      <c r="C713" s="2" t="n">
        <v>11921</v>
      </c>
      <c r="D713" s="3" t="inlineStr">
        <is>
          <t>Премудрый пескарь</t>
        </is>
      </c>
      <c r="E713" s="2" t="n">
        <v>1979</v>
      </c>
      <c r="F713" s="2" t="inlineStr">
        <is>
          <t>мультфильм</t>
        </is>
      </c>
      <c r="G713" s="2" t="inlineStr">
        <is>
          <t>Союзмультфильм</t>
        </is>
      </c>
      <c r="H713" s="2" t="n">
        <v>28</v>
      </c>
      <c r="I713" s="2" t="inlineStr"/>
      <c r="J713" s="2" t="inlineStr">
        <is>
          <t>да</t>
        </is>
      </c>
      <c r="K713" s="3" t="inlineStr">
        <is>
          <t>По сказке Салтыкова-Щедрина.</t>
        </is>
      </c>
      <c r="L713" s="2" t="inlineStr">
        <is>
          <t>2026-10_мультфильмы_список_владельца.xlsx; https://animator.ru/db/?p=show_film&amp;fid=2836</t>
        </is>
      </c>
      <c r="M713" s="2">
        <f>HYPERLINK("https://ru.wikipedia.org/w/index.php?search=%D0%9F%D1%80%D0%B5%D0%BC%D1%83%D0%B4%D1%80%D1%8B%D0%B9%20%D0%BF%D0%B5%D1%81%D0%BA%D0%B0%D1%80%D1%8C%201979%20%D1%84%D0%B8%D0%BB%D1%8C%D0%BC","искать")</f>
        <v/>
      </c>
      <c r="N713" s="3" t="n"/>
      <c r="O713" s="2" t="n"/>
      <c r="P713" s="2" t="n"/>
    </row>
    <row r="714">
      <c r="A714" s="2" t="n">
        <v>713</v>
      </c>
      <c r="B714" s="2" t="inlineStr">
        <is>
          <t>не сюжет</t>
        </is>
      </c>
      <c r="C714" s="2" t="n">
        <v>12051</v>
      </c>
      <c r="D714" s="3" t="inlineStr">
        <is>
          <t>Охотник и его сын</t>
        </is>
      </c>
      <c r="E714" s="2" t="n">
        <v>1983</v>
      </c>
      <c r="F714" s="2" t="inlineStr">
        <is>
          <t>мультфильм</t>
        </is>
      </c>
      <c r="G714" s="2" t="inlineStr">
        <is>
          <t>Союзмультфильм</t>
        </is>
      </c>
      <c r="H714" s="2" t="n">
        <v>28</v>
      </c>
      <c r="I714" s="2" t="inlineStr"/>
      <c r="J714" s="2" t="inlineStr">
        <is>
          <t>да</t>
        </is>
      </c>
      <c r="K714" s="3" t="inlineStr">
        <is>
          <t>По мотивам восточных сказок.</t>
        </is>
      </c>
      <c r="L714" s="2" t="inlineStr">
        <is>
          <t>2026-10_мультфильмы_список_владельца.xlsx; https://animator.ru/db/?p=show_film&amp;fid=3166</t>
        </is>
      </c>
      <c r="M714" s="2">
        <f>HYPERLINK("https://ru.wikipedia.org/w/index.php?search=%D0%9E%D1%85%D0%BE%D1%82%D0%BD%D0%B8%D0%BA%20%D0%B8%20%D0%B5%D0%B3%D0%BE%20%D1%81%D1%8B%D0%BD%201983%20%D1%84%D0%B8%D0%BB%D1%8C%D0%BC","искать")</f>
        <v/>
      </c>
      <c r="N714" s="3" t="n"/>
      <c r="O714" s="2" t="n"/>
      <c r="P714" s="2" t="n"/>
    </row>
    <row r="715">
      <c r="A715" s="2" t="n">
        <v>714</v>
      </c>
      <c r="B715" s="2" t="inlineStr">
        <is>
          <t>не сюжет</t>
        </is>
      </c>
      <c r="C715" s="2" t="n">
        <v>12079</v>
      </c>
      <c r="D715" s="3" t="inlineStr">
        <is>
          <t>Кубик и Тобик</t>
        </is>
      </c>
      <c r="E715" s="2" t="n">
        <v>1984</v>
      </c>
      <c r="F715" s="2" t="inlineStr">
        <is>
          <t>мультфильм</t>
        </is>
      </c>
      <c r="G715" s="2" t="inlineStr">
        <is>
          <t>Союзмультфильм</t>
        </is>
      </c>
      <c r="H715" s="2" t="n">
        <v>28</v>
      </c>
      <c r="I715" s="2" t="inlineStr"/>
      <c r="J715" s="2" t="inlineStr">
        <is>
          <t>да</t>
        </is>
      </c>
      <c r="K715" s="3" t="inlineStr">
        <is>
          <t>Для малышей о верной дружбе.</t>
        </is>
      </c>
      <c r="L715" s="2" t="inlineStr">
        <is>
          <t>2026-10_мультфильмы_список_владельца.xlsx; https://animator.ru/db/?p=show_film&amp;fid=3194</t>
        </is>
      </c>
      <c r="M715" s="2">
        <f>HYPERLINK("https://ru.wikipedia.org/w/index.php?search=%D0%9A%D1%83%D0%B1%D0%B8%D0%BA%20%D0%B8%20%D0%A2%D0%BE%D0%B1%D0%B8%D0%BA%201984%20%D1%84%D0%B8%D0%BB%D1%8C%D0%BC","искать")</f>
        <v/>
      </c>
      <c r="N715" s="3" t="n"/>
      <c r="O715" s="2" t="n"/>
      <c r="P715" s="2" t="n"/>
    </row>
    <row r="716">
      <c r="A716" s="2" t="n">
        <v>715</v>
      </c>
      <c r="B716" s="2" t="inlineStr">
        <is>
          <t>не сюжет</t>
        </is>
      </c>
      <c r="C716" s="2" t="n">
        <v>12378</v>
      </c>
      <c r="D716" s="3" t="inlineStr">
        <is>
          <t>Зенитка</t>
        </is>
      </c>
      <c r="E716" s="2" t="n">
        <v>1967</v>
      </c>
      <c r="F716" s="2" t="inlineStr">
        <is>
          <t>мультфильм</t>
        </is>
      </c>
      <c r="G716" s="2" t="inlineStr">
        <is>
          <t>КИЕВНАУЧФИЛЬМ</t>
        </is>
      </c>
      <c r="H716" s="2" t="n">
        <v>28</v>
      </c>
      <c r="I716" s="2" t="inlineStr"/>
      <c r="J716" s="2" t="inlineStr">
        <is>
          <t>да</t>
        </is>
      </c>
      <c r="K716" s="3" t="inlineStr">
        <is>
          <t>По произведению Остапа Вишни</t>
        </is>
      </c>
      <c r="L716" s="2" t="inlineStr">
        <is>
          <t>https://animator.ru/db/?p=show_film&amp;fid=3548</t>
        </is>
      </c>
      <c r="M716" s="2">
        <f>HYPERLINK("https://ru.wikipedia.org/w/index.php?search=%D0%97%D0%B5%D0%BD%D0%B8%D1%82%D0%BA%D0%B0%201967%20%D1%84%D0%B8%D0%BB%D1%8C%D0%BC","искать")</f>
        <v/>
      </c>
      <c r="N716" s="3" t="n"/>
      <c r="O716" s="2" t="n"/>
      <c r="P716" s="2" t="n"/>
    </row>
    <row r="717">
      <c r="A717" s="2" t="n">
        <v>716</v>
      </c>
      <c r="B717" s="2" t="inlineStr">
        <is>
          <t>не сюжет</t>
        </is>
      </c>
      <c r="C717" s="2" t="n">
        <v>12393</v>
      </c>
      <c r="D717" s="3" t="inlineStr">
        <is>
          <t>История о девочке, наступившей на хлеб</t>
        </is>
      </c>
      <c r="E717" s="2" t="n">
        <v>1986</v>
      </c>
      <c r="F717" s="2" t="inlineStr">
        <is>
          <t>мультфильм</t>
        </is>
      </c>
      <c r="G717" s="2" t="inlineStr">
        <is>
          <t>КИЕВНАУЧФИЛЬМ</t>
        </is>
      </c>
      <c r="H717" s="2" t="n">
        <v>28</v>
      </c>
      <c r="I717" s="2" t="inlineStr"/>
      <c r="J717" s="2" t="inlineStr">
        <is>
          <t>да</t>
        </is>
      </c>
      <c r="K717" s="3" t="inlineStr">
        <is>
          <t>По мотивам сказки Андерсена.</t>
        </is>
      </c>
      <c r="L717" s="2" t="inlineStr">
        <is>
          <t>2026-10_мультфильмы_список_владельца.xlsx; https://animator.ru/db/?p=show_film&amp;fid=3564</t>
        </is>
      </c>
      <c r="M717" s="2">
        <f>HYPERLINK("https://ru.wikipedia.org/w/index.php?search=%D0%98%D1%81%D1%82%D0%BE%D1%80%D0%B8%D1%8F%20%D0%BE%20%D0%B4%D0%B5%D0%B2%D0%BE%D1%87%D0%BA%D0%B5%2C%20%D0%BD%D0%B0%D1%81%D1%82%D1%83%D0%BF%D0%B8%D0%B2%D1%88%D0%B5%D0%B9%20%D0%BD%D0%B0%20%D1%85%D0%BB%D0%B5%D0%B1%201986%20%D1%84%D0%B8%D0%BB%D1%8C%D0%BC","искать")</f>
        <v/>
      </c>
      <c r="N717" s="3" t="n"/>
      <c r="O717" s="2" t="n"/>
      <c r="P717" s="2" t="n"/>
    </row>
    <row r="718">
      <c r="A718" s="2" t="n">
        <v>717</v>
      </c>
      <c r="B718" s="2" t="inlineStr">
        <is>
          <t>не сюжет</t>
        </is>
      </c>
      <c r="C718" s="2" t="n">
        <v>12463</v>
      </c>
      <c r="D718" s="3" t="inlineStr">
        <is>
          <t>Мы - женщины. Самая красивая</t>
        </is>
      </c>
      <c r="E718" s="2" t="n">
        <v>1988</v>
      </c>
      <c r="F718" s="2" t="inlineStr">
        <is>
          <t>мультфильм</t>
        </is>
      </c>
      <c r="G718" s="2" t="inlineStr">
        <is>
          <t>КИЕВНАУЧФИЛЬМ</t>
        </is>
      </c>
      <c r="H718" s="2" t="n">
        <v>28</v>
      </c>
      <c r="I718" s="2" t="inlineStr"/>
      <c r="J718" s="2" t="inlineStr">
        <is>
          <t>да</t>
        </is>
      </c>
      <c r="K718" s="3" t="inlineStr">
        <is>
          <t>Использована музыка Вивальди</t>
        </is>
      </c>
      <c r="L718" s="2" t="inlineStr">
        <is>
          <t>https://animator.ru/db/?p=show_film&amp;fid=3635</t>
        </is>
      </c>
      <c r="M718" s="2">
        <f>HYPERLINK("https://ru.wikipedia.org/w/index.php?search=%D0%9C%D1%8B%20-%20%D0%B6%D0%B5%D0%BD%D1%89%D0%B8%D0%BD%D1%8B.%20%D0%A1%D0%B0%D0%BC%D0%B0%D1%8F%20%D0%BA%D1%80%D0%B0%D1%81%D0%B8%D0%B2%D0%B0%D1%8F%201988%20%D1%84%D0%B8%D0%BB%D1%8C%D0%BC","искать")</f>
        <v/>
      </c>
      <c r="N718" s="3" t="n"/>
      <c r="O718" s="2" t="n"/>
      <c r="P718" s="2" t="n"/>
    </row>
    <row r="719">
      <c r="A719" s="2" t="n">
        <v>718</v>
      </c>
      <c r="B719" s="2" t="inlineStr">
        <is>
          <t>не сюжет</t>
        </is>
      </c>
      <c r="C719" s="2" t="n">
        <v>12492</v>
      </c>
      <c r="D719" s="3" t="inlineStr">
        <is>
          <t>Очень старая сказка</t>
        </is>
      </c>
      <c r="E719" s="2" t="n">
        <v>1983</v>
      </c>
      <c r="F719" s="2" t="inlineStr">
        <is>
          <t>мультфильм</t>
        </is>
      </c>
      <c r="G719" s="2" t="inlineStr">
        <is>
          <t>КИЕВНАУЧФИЛЬМ</t>
        </is>
      </c>
      <c r="H719" s="2" t="n">
        <v>28</v>
      </c>
      <c r="I719" s="2" t="inlineStr"/>
      <c r="J719" s="2" t="inlineStr">
        <is>
          <t>да</t>
        </is>
      </c>
      <c r="K719" s="3" t="inlineStr">
        <is>
          <t>По мотивам сказки "Колобок".</t>
        </is>
      </c>
      <c r="L719" s="2" t="inlineStr">
        <is>
          <t>2026-10_мультфильмы_список_владельца.xlsx; https://animator.ru/db/?p=show_film&amp;fid=3667</t>
        </is>
      </c>
      <c r="M719" s="2">
        <f>HYPERLINK("https://ru.wikipedia.org/w/index.php?search=%D0%9E%D1%87%D0%B5%D0%BD%D1%8C%20%D1%81%D1%82%D0%B0%D1%80%D0%B0%D1%8F%20%D1%81%D0%BA%D0%B0%D0%B7%D0%BA%D0%B0%201983%20%D1%84%D0%B8%D0%BB%D1%8C%D0%BC","искать")</f>
        <v/>
      </c>
      <c r="N719" s="3" t="n"/>
      <c r="O719" s="2" t="n"/>
      <c r="P719" s="2" t="n"/>
    </row>
    <row r="720">
      <c r="A720" s="2" t="n">
        <v>719</v>
      </c>
      <c r="B720" s="2" t="inlineStr">
        <is>
          <t>не сюжет</t>
        </is>
      </c>
      <c r="C720" s="2" t="n">
        <v>12528</v>
      </c>
      <c r="D720" s="3" t="inlineStr">
        <is>
          <t>Три панька</t>
        </is>
      </c>
      <c r="E720" s="2" t="n">
        <v>1989</v>
      </c>
      <c r="F720" s="2" t="inlineStr">
        <is>
          <t>мультфильм</t>
        </is>
      </c>
      <c r="G720" s="2" t="inlineStr">
        <is>
          <t>КИЕВНАУЧФИЛЬМ</t>
        </is>
      </c>
      <c r="H720" s="2" t="n">
        <v>28</v>
      </c>
      <c r="I720" s="2" t="inlineStr"/>
      <c r="J720" s="2" t="inlineStr">
        <is>
          <t>да</t>
        </is>
      </c>
      <c r="K720" s="3" t="inlineStr">
        <is>
          <t>Комическая украинская сказка</t>
        </is>
      </c>
      <c r="L720" s="2" t="inlineStr">
        <is>
          <t>https://animator.ru/db/?p=show_film&amp;fid=3704</t>
        </is>
      </c>
      <c r="M720" s="2">
        <f>HYPERLINK("https://ru.wikipedia.org/w/index.php?search=%D0%A2%D1%80%D0%B8%20%D0%BF%D0%B0%D0%BD%D1%8C%D0%BA%D0%B0%201989%20%D1%84%D0%B8%D0%BB%D1%8C%D0%BC","искать")</f>
        <v/>
      </c>
      <c r="N720" s="3" t="n"/>
      <c r="O720" s="2" t="n"/>
      <c r="P720" s="2" t="n"/>
    </row>
    <row r="721">
      <c r="A721" s="2" t="n">
        <v>720</v>
      </c>
      <c r="B721" s="2" t="inlineStr">
        <is>
          <t>не сюжет</t>
        </is>
      </c>
      <c r="C721" s="2" t="n">
        <v>12745</v>
      </c>
      <c r="D721" s="3" t="inlineStr">
        <is>
          <t>Легенда об озере Парвана</t>
        </is>
      </c>
      <c r="E721" s="2" t="n">
        <v>1971</v>
      </c>
      <c r="F721" s="2" t="inlineStr">
        <is>
          <t>мультфильм</t>
        </is>
      </c>
      <c r="G721" s="2" t="inlineStr">
        <is>
          <t>АРМЕНФИЛЬМ</t>
        </is>
      </c>
      <c r="H721" s="2" t="n">
        <v>28</v>
      </c>
      <c r="I721" s="2" t="inlineStr"/>
      <c r="J721" s="2" t="inlineStr">
        <is>
          <t>да</t>
        </is>
      </c>
      <c r="K721" s="3" t="inlineStr">
        <is>
          <t>По легенде Ованеса Туманяна.</t>
        </is>
      </c>
      <c r="L721" s="2" t="inlineStr">
        <is>
          <t>2026-10_мультфильмы_список_владельца.xlsx; https://animator.ru/db/?p=show_film&amp;fid=3954</t>
        </is>
      </c>
      <c r="M721" s="2">
        <f>HYPERLINK("https://ru.wikipedia.org/w/index.php?search=%D0%9B%D0%B5%D0%B3%D0%B5%D0%BD%D0%B4%D0%B0%20%D0%BE%D0%B1%20%D0%BE%D0%B7%D0%B5%D1%80%D0%B5%20%D0%9F%D0%B0%D1%80%D0%B2%D0%B0%D0%BD%D0%B0%201971%20%D1%84%D0%B8%D0%BB%D1%8C%D0%BC","искать")</f>
        <v/>
      </c>
      <c r="N721" s="3" t="n"/>
      <c r="O721" s="2" t="n"/>
      <c r="P721" s="2" t="n"/>
    </row>
    <row r="722">
      <c r="A722" s="2" t="n">
        <v>721</v>
      </c>
      <c r="B722" s="2" t="inlineStr">
        <is>
          <t>не сюжет</t>
        </is>
      </c>
      <c r="C722" s="2" t="n">
        <v>12970</v>
      </c>
      <c r="D722" s="3" t="inlineStr">
        <is>
          <t>Два на один</t>
        </is>
      </c>
      <c r="E722" s="2" t="n">
        <v>1987</v>
      </c>
      <c r="F722" s="2" t="inlineStr">
        <is>
          <t>мультфильм</t>
        </is>
      </c>
      <c r="G722" s="2" t="inlineStr">
        <is>
          <t>ГРУЗИЯ-ФИЛЬМ - АО</t>
        </is>
      </c>
      <c r="H722" s="2" t="n">
        <v>28</v>
      </c>
      <c r="I722" s="2" t="inlineStr"/>
      <c r="J722" s="2" t="inlineStr">
        <is>
          <t>да</t>
        </is>
      </c>
      <c r="K722" s="3" t="inlineStr">
        <is>
          <t>ПРо мотивам сказки Андерсена</t>
        </is>
      </c>
      <c r="L722" s="2" t="inlineStr">
        <is>
          <t>https://animator.ru/db/?p=show_film&amp;fid=4200</t>
        </is>
      </c>
      <c r="M722" s="2">
        <f>HYPERLINK("https://ru.wikipedia.org/w/index.php?search=%D0%94%D0%B2%D0%B0%20%D0%BD%D0%B0%20%D0%BE%D0%B4%D0%B8%D0%BD%201987%20%D1%84%D0%B8%D0%BB%D1%8C%D0%BC","искать")</f>
        <v/>
      </c>
      <c r="N722" s="3" t="n"/>
      <c r="O722" s="2" t="n"/>
      <c r="P722" s="2" t="n"/>
    </row>
    <row r="723">
      <c r="A723" s="2" t="n">
        <v>722</v>
      </c>
      <c r="B723" s="2" t="inlineStr">
        <is>
          <t>не сюжет</t>
        </is>
      </c>
      <c r="C723" s="2" t="n">
        <v>13132</v>
      </c>
      <c r="D723" s="3" t="inlineStr">
        <is>
          <t>Ох, этот мир! Рыжий</t>
        </is>
      </c>
      <c r="E723" s="2" t="n">
        <v>1990</v>
      </c>
      <c r="F723" s="2" t="inlineStr">
        <is>
          <t>мультфильм</t>
        </is>
      </c>
      <c r="G723" s="2" t="inlineStr">
        <is>
          <t>МОЛДОВА-ФИЛЬМ</t>
        </is>
      </c>
      <c r="H723" s="2" t="n">
        <v>28</v>
      </c>
      <c r="I723" s="2" t="inlineStr"/>
      <c r="J723" s="2" t="inlineStr">
        <is>
          <t>да</t>
        </is>
      </c>
      <c r="K723" s="3" t="inlineStr">
        <is>
          <t>О спасительном чувстве юмора</t>
        </is>
      </c>
      <c r="L723" s="2" t="inlineStr">
        <is>
          <t>https://animator.ru/db/?p=show_film&amp;fid=4364</t>
        </is>
      </c>
      <c r="M723" s="2">
        <f>HYPERLINK("https://ru.wikipedia.org/w/index.php?search=%D0%9E%D1%85%2C%20%D1%8D%D1%82%D0%BE%D1%82%20%D0%BC%D0%B8%D1%80%21%20%D0%A0%D1%8B%D0%B6%D0%B8%D0%B9%201990%20%D1%84%D0%B8%D0%BB%D1%8C%D0%BC","искать")</f>
        <v/>
      </c>
      <c r="N723" s="3" t="n"/>
      <c r="O723" s="2" t="n"/>
      <c r="P723" s="2" t="n"/>
    </row>
    <row r="724">
      <c r="A724" s="2" t="n">
        <v>723</v>
      </c>
      <c r="B724" s="2" t="inlineStr">
        <is>
          <t>не сюжет</t>
        </is>
      </c>
      <c r="C724" s="2" t="n">
        <v>13133</v>
      </c>
      <c r="D724" s="3" t="inlineStr">
        <is>
          <t>Ох, этот мир! Карта</t>
        </is>
      </c>
      <c r="E724" s="2" t="n">
        <v>1990</v>
      </c>
      <c r="F724" s="2" t="inlineStr">
        <is>
          <t>мультфильм</t>
        </is>
      </c>
      <c r="G724" s="2" t="inlineStr">
        <is>
          <t>МОЛДОВА-ФИЛЬМ</t>
        </is>
      </c>
      <c r="H724" s="2" t="n">
        <v>28</v>
      </c>
      <c r="I724" s="2" t="inlineStr"/>
      <c r="J724" s="2" t="inlineStr">
        <is>
          <t>да</t>
        </is>
      </c>
      <c r="K724" s="3" t="inlineStr">
        <is>
          <t>О спасительном чувстве юмора</t>
        </is>
      </c>
      <c r="L724" s="2" t="inlineStr">
        <is>
          <t>https://animator.ru/db/?p=show_film&amp;fid=4365</t>
        </is>
      </c>
      <c r="M724" s="2">
        <f>HYPERLINK("https://ru.wikipedia.org/w/index.php?search=%D0%9E%D1%85%2C%20%D1%8D%D1%82%D0%BE%D1%82%20%D0%BC%D0%B8%D1%80%21%20%D0%9A%D0%B0%D1%80%D1%82%D0%B0%201990%20%D1%84%D0%B8%D0%BB%D1%8C%D0%BC","искать")</f>
        <v/>
      </c>
      <c r="N724" s="3" t="n"/>
      <c r="O724" s="2" t="n"/>
      <c r="P724" s="2" t="n"/>
    </row>
    <row r="725">
      <c r="A725" s="2" t="n">
        <v>724</v>
      </c>
      <c r="B725" s="2" t="inlineStr">
        <is>
          <t>не сюжет</t>
        </is>
      </c>
      <c r="C725" s="2" t="n">
        <v>13215</v>
      </c>
      <c r="D725" s="3" t="inlineStr">
        <is>
          <t>Тахир и зухра</t>
        </is>
      </c>
      <c r="E725" s="2" t="n">
        <v>1989</v>
      </c>
      <c r="F725" s="2" t="inlineStr">
        <is>
          <t>мультфильм</t>
        </is>
      </c>
      <c r="G725" s="2" t="inlineStr">
        <is>
          <t>УЗБЕКФИЛЬМ</t>
        </is>
      </c>
      <c r="H725" s="2" t="n">
        <v>28</v>
      </c>
      <c r="I725" s="2" t="inlineStr"/>
      <c r="J725" s="2" t="inlineStr">
        <is>
          <t>да</t>
        </is>
      </c>
      <c r="K725" s="3" t="inlineStr">
        <is>
          <t>По мотивам восточной легенды</t>
        </is>
      </c>
      <c r="L725" s="2" t="inlineStr">
        <is>
          <t>https://animator.ru/db/?p=show_film&amp;fid=4454</t>
        </is>
      </c>
      <c r="M725" s="2">
        <f>HYPERLINK("https://ru.wikipedia.org/w/index.php?search=%D0%A2%D0%B0%D1%85%D0%B8%D1%80%20%D0%B8%20%D0%B7%D1%83%D1%85%D1%80%D0%B0%201989%20%D1%84%D0%B8%D0%BB%D1%8C%D0%BC","искать")</f>
        <v/>
      </c>
      <c r="N725" s="3" t="n"/>
      <c r="O725" s="2" t="n"/>
      <c r="P725" s="2" t="n"/>
    </row>
    <row r="726">
      <c r="A726" s="2" t="n">
        <v>725</v>
      </c>
      <c r="B726" s="2" t="inlineStr">
        <is>
          <t>не сюжет</t>
        </is>
      </c>
      <c r="C726" s="2" t="n">
        <v>13331</v>
      </c>
      <c r="D726" s="3" t="inlineStr">
        <is>
          <t>Старик меке и черный великан</t>
        </is>
      </c>
      <c r="E726" s="2" t="n">
        <v>1980</v>
      </c>
      <c r="F726" s="2" t="inlineStr">
        <is>
          <t>мультфильм</t>
        </is>
      </c>
      <c r="G726" s="2" t="inlineStr">
        <is>
          <t>КИРГИЗФИЛЬМ</t>
        </is>
      </c>
      <c r="H726" s="2" t="n">
        <v>28</v>
      </c>
      <c r="I726" s="2" t="inlineStr"/>
      <c r="J726" s="2" t="inlineStr">
        <is>
          <t>да</t>
        </is>
      </c>
      <c r="K726" s="3" t="inlineStr">
        <is>
          <t>По мотивам киргизской сказки</t>
        </is>
      </c>
      <c r="L726" s="2" t="inlineStr">
        <is>
          <t>https://animator.ru/db/?p=show_film&amp;fid=4601</t>
        </is>
      </c>
      <c r="M726" s="2">
        <f>HYPERLINK("https://ru.wikipedia.org/w/index.php?search=%D0%A1%D1%82%D0%B0%D1%80%D0%B8%D0%BA%20%D0%BC%D0%B5%D0%BA%D0%B5%20%D0%B8%20%D1%87%D0%B5%D1%80%D0%BD%D1%8B%D0%B9%20%D0%B2%D0%B5%D0%BB%D0%B8%D0%BA%D0%B0%D0%BD%201980%20%D1%84%D0%B8%D0%BB%D1%8C%D0%BC","искать")</f>
        <v/>
      </c>
      <c r="N726" s="3" t="n"/>
      <c r="O726" s="2" t="n"/>
      <c r="P726" s="2" t="n"/>
    </row>
    <row r="727">
      <c r="A727" s="2" t="n">
        <v>726</v>
      </c>
      <c r="B727" s="2" t="inlineStr">
        <is>
          <t>не сюжет</t>
        </is>
      </c>
      <c r="C727" s="2" t="n">
        <v>13627</v>
      </c>
      <c r="D727" s="3" t="inlineStr">
        <is>
          <t>Берегите хлеб</t>
        </is>
      </c>
      <c r="E727" s="2" t="n">
        <v>1982</v>
      </c>
      <c r="F727" s="2" t="inlineStr">
        <is>
          <t>мультфильм</t>
        </is>
      </c>
      <c r="G727" s="2" t="inlineStr">
        <is>
          <t>ЭКРАН</t>
        </is>
      </c>
      <c r="H727" s="2" t="n">
        <v>28</v>
      </c>
      <c r="I727" s="2" t="inlineStr"/>
      <c r="J727" s="2" t="inlineStr">
        <is>
          <t>да</t>
        </is>
      </c>
      <c r="K727" s="3" t="inlineStr">
        <is>
          <t>О бережном отношении к хлебу</t>
        </is>
      </c>
      <c r="L727" s="2" t="inlineStr">
        <is>
          <t>https://animator.ru/db/?p=show_film&amp;fid=5019</t>
        </is>
      </c>
      <c r="M727" s="2">
        <f>HYPERLINK("https://ru.wikipedia.org/w/index.php?search=%D0%91%D0%B5%D1%80%D0%B5%D0%B3%D0%B8%D1%82%D0%B5%20%D1%85%D0%BB%D0%B5%D0%B1%201982%20%D1%84%D0%B8%D0%BB%D1%8C%D0%BC","искать")</f>
        <v/>
      </c>
      <c r="N727" s="3" t="n"/>
      <c r="O727" s="2" t="n"/>
      <c r="P727" s="2" t="n"/>
    </row>
    <row r="728">
      <c r="A728" s="2" t="n">
        <v>727</v>
      </c>
      <c r="B728" s="2" t="inlineStr">
        <is>
          <t>не сюжет</t>
        </is>
      </c>
      <c r="C728" s="2" t="n">
        <v>13815</v>
      </c>
      <c r="D728" s="3" t="inlineStr">
        <is>
          <t>Охотники на привале</t>
        </is>
      </c>
      <c r="E728" s="2" t="n">
        <v>1988</v>
      </c>
      <c r="F728" s="2" t="inlineStr">
        <is>
          <t>мультфильм</t>
        </is>
      </c>
      <c r="G728" s="2" t="inlineStr">
        <is>
          <t>ЭКРАН</t>
        </is>
      </c>
      <c r="H728" s="2" t="n">
        <v>28</v>
      </c>
      <c r="I728" s="2" t="inlineStr"/>
      <c r="J728" s="2" t="inlineStr">
        <is>
          <t>да</t>
        </is>
      </c>
      <c r="K728" s="3" t="inlineStr">
        <is>
          <t>Плакат на экологическую тему</t>
        </is>
      </c>
      <c r="L728" s="2" t="inlineStr">
        <is>
          <t>https://animator.ru/db/?p=show_film&amp;fid=5208</t>
        </is>
      </c>
      <c r="M728" s="2">
        <f>HYPERLINK("https://ru.wikipedia.org/w/index.php?search=%D0%9E%D1%85%D0%BE%D1%82%D0%BD%D0%B8%D0%BA%D0%B8%20%D0%BD%D0%B0%20%D0%BF%D1%80%D0%B8%D0%B2%D0%B0%D0%BB%D0%B5%201988%20%D1%84%D0%B8%D0%BB%D1%8C%D0%BC","искать")</f>
        <v/>
      </c>
      <c r="N728" s="3" t="n"/>
      <c r="O728" s="2" t="n"/>
      <c r="P728" s="2" t="n"/>
    </row>
    <row r="729">
      <c r="A729" s="2" t="n">
        <v>728</v>
      </c>
      <c r="B729" s="2" t="inlineStr">
        <is>
          <t>не сюжет</t>
        </is>
      </c>
      <c r="C729" s="2" t="n">
        <v>13839</v>
      </c>
      <c r="D729" s="3" t="inlineStr">
        <is>
          <t>Похождения хряпова</t>
        </is>
      </c>
      <c r="E729" s="2" t="n">
        <v>1982</v>
      </c>
      <c r="F729" s="2" t="inlineStr">
        <is>
          <t>мультфильм</t>
        </is>
      </c>
      <c r="G729" s="2" t="inlineStr">
        <is>
          <t>ЭКРАН</t>
        </is>
      </c>
      <c r="H729" s="2" t="n">
        <v>28</v>
      </c>
      <c r="I729" s="2" t="inlineStr"/>
      <c r="J729" s="2" t="inlineStr">
        <is>
          <t>да</t>
        </is>
      </c>
      <c r="K729" s="3" t="inlineStr">
        <is>
          <t>Для взрослых. На темы морали</t>
        </is>
      </c>
      <c r="L729" s="2" t="inlineStr">
        <is>
          <t>https://animator.ru/db/?p=show_film&amp;fid=5232</t>
        </is>
      </c>
      <c r="M729" s="2">
        <f>HYPERLINK("https://ru.wikipedia.org/w/index.php?search=%D0%9F%D0%BE%D1%85%D0%BE%D0%B6%D0%B4%D0%B5%D0%BD%D0%B8%D1%8F%20%D1%85%D1%80%D1%8F%D0%BF%D0%BE%D0%B2%D0%B0%201982%20%D1%84%D0%B8%D0%BB%D1%8C%D0%BC","искать")</f>
        <v/>
      </c>
      <c r="N729" s="3" t="n"/>
      <c r="O729" s="2" t="n"/>
      <c r="P729" s="2" t="n"/>
    </row>
    <row r="730">
      <c r="A730" s="2" t="n">
        <v>729</v>
      </c>
      <c r="B730" s="2" t="inlineStr">
        <is>
          <t>не сюжет</t>
        </is>
      </c>
      <c r="C730" s="2" t="n">
        <v>14082</v>
      </c>
      <c r="D730" s="3" t="inlineStr">
        <is>
          <t>Чудесный ковер</t>
        </is>
      </c>
      <c r="E730" s="2" t="n">
        <v>1977</v>
      </c>
      <c r="F730" s="2" t="inlineStr">
        <is>
          <t>мультфильм</t>
        </is>
      </c>
      <c r="G730" s="2" t="inlineStr">
        <is>
          <t>УЗБЕКФИЛЬМ</t>
        </is>
      </c>
      <c r="H730" s="2" t="n">
        <v>28</v>
      </c>
      <c r="I730" s="2" t="inlineStr"/>
      <c r="J730" s="2" t="inlineStr">
        <is>
          <t>да</t>
        </is>
      </c>
      <c r="K730" s="3" t="inlineStr">
        <is>
          <t>По мотивам узбекских сказок.</t>
        </is>
      </c>
      <c r="L730" s="2" t="inlineStr">
        <is>
          <t>2026-10_мультфильмы_список_владельца.xlsx; https://animator.ru/db/?p=show_film&amp;fid=5479</t>
        </is>
      </c>
      <c r="M730" s="2">
        <f>HYPERLINK("https://ru.wikipedia.org/w/index.php?search=%D0%A7%D1%83%D0%B4%D0%B5%D1%81%D0%BD%D1%8B%D0%B9%20%D0%BA%D0%BE%D0%B2%D0%B5%D1%80%201977%20%D1%84%D0%B8%D0%BB%D1%8C%D0%BC","искать")</f>
        <v/>
      </c>
      <c r="N730" s="3" t="n"/>
      <c r="O730" s="2" t="n"/>
      <c r="P730" s="2" t="n"/>
    </row>
    <row r="731">
      <c r="A731" s="2" t="n">
        <v>730</v>
      </c>
      <c r="B731" s="2" t="inlineStr">
        <is>
          <t>не сюжет</t>
        </is>
      </c>
      <c r="C731" s="2" t="n">
        <v>14272</v>
      </c>
      <c r="D731" s="3" t="inlineStr">
        <is>
          <t>Ананси (Сказка джунглей)</t>
        </is>
      </c>
      <c r="E731" s="2" t="n">
        <v>1970</v>
      </c>
      <c r="F731" s="2" t="inlineStr">
        <is>
          <t>мультфильм</t>
        </is>
      </c>
      <c r="G731" s="2" t="inlineStr">
        <is>
          <t>Союзмультфильм</t>
        </is>
      </c>
      <c r="H731" s="2" t="n">
        <v>28</v>
      </c>
      <c r="I731" s="2" t="inlineStr"/>
      <c r="J731" s="2" t="inlineStr">
        <is>
          <t>да</t>
        </is>
      </c>
      <c r="K731" s="3" t="inlineStr">
        <is>
          <t>Сюжеты - "Три желания" и др.</t>
        </is>
      </c>
      <c r="L731" s="2" t="inlineStr">
        <is>
          <t>https://animator.ru/db/?p=show_film&amp;fid=5738</t>
        </is>
      </c>
      <c r="M731" s="2">
        <f>HYPERLINK("https://ru.wikipedia.org/w/index.php?search=%D0%90%D0%BD%D0%B0%D0%BD%D1%81%D0%B8%20%28%D0%A1%D0%BA%D0%B0%D0%B7%D0%BA%D0%B0%20%D0%B4%D0%B6%D1%83%D0%BD%D0%B3%D0%BB%D0%B5%D0%B9%29%201970%20%D1%84%D0%B8%D0%BB%D1%8C%D0%BC","искать")</f>
        <v/>
      </c>
      <c r="N731" s="3" t="n"/>
      <c r="O731" s="2" t="n"/>
      <c r="P731" s="2" t="n"/>
    </row>
    <row r="732">
      <c r="A732" s="2" t="n">
        <v>731</v>
      </c>
      <c r="B732" s="2" t="inlineStr">
        <is>
          <t>не сюжет</t>
        </is>
      </c>
      <c r="C732" s="2" t="n">
        <v>14361</v>
      </c>
      <c r="D732" s="3" t="inlineStr">
        <is>
          <t>Волк и портной</t>
        </is>
      </c>
      <c r="E732" s="2" t="n">
        <v>1966</v>
      </c>
      <c r="F732" s="2" t="inlineStr">
        <is>
          <t>мультфильм</t>
        </is>
      </c>
      <c r="G732" s="2" t="n"/>
      <c r="H732" s="2" t="n">
        <v>28</v>
      </c>
      <c r="I732" s="2" t="inlineStr"/>
      <c r="J732" s="2" t="inlineStr">
        <is>
          <t>да</t>
        </is>
      </c>
      <c r="K732" s="3" t="inlineStr">
        <is>
          <t>По мотивам литовской сказки.</t>
        </is>
      </c>
      <c r="L732" s="2" t="inlineStr">
        <is>
          <t>https://animator.ru/db/?p=show_film&amp;fid=6061</t>
        </is>
      </c>
      <c r="M732" s="2">
        <f>HYPERLINK("https://ru.wikipedia.org/w/index.php?search=%D0%92%D0%BE%D0%BB%D0%BA%20%D0%B8%20%D0%BF%D0%BE%D1%80%D1%82%D0%BD%D0%BE%D0%B9%201966%20%D1%84%D0%B8%D0%BB%D1%8C%D0%BC","искать")</f>
        <v/>
      </c>
      <c r="N732" s="3" t="n"/>
      <c r="O732" s="2" t="n"/>
      <c r="P732" s="2" t="n"/>
    </row>
    <row r="733">
      <c r="A733" s="2" t="n">
        <v>732</v>
      </c>
      <c r="B733" s="2" t="inlineStr">
        <is>
          <t>не сюжет</t>
        </is>
      </c>
      <c r="C733" s="2" t="n">
        <v>7929</v>
      </c>
      <c r="D733" s="3" t="inlineStr">
        <is>
          <t>На заре туманной юности</t>
        </is>
      </c>
      <c r="E733" s="2" t="n">
        <v>1970</v>
      </c>
      <c r="F733" s="2" t="inlineStr">
        <is>
          <t>телефильм</t>
        </is>
      </c>
      <c r="G733" s="2" t="n"/>
      <c r="H733" s="2" t="n">
        <v>29</v>
      </c>
      <c r="I733" s="2" t="inlineStr"/>
      <c r="J733" s="2" t="inlineStr">
        <is>
          <t>да</t>
        </is>
      </c>
      <c r="K733" s="3" t="inlineStr">
        <is>
          <t>По рассказу Андрея Платонова.</t>
        </is>
      </c>
      <c r="L733" s="2" t="inlineStr">
        <is>
          <t>Кино_СССР сводный каталог.xlsx: список телефильмов</t>
        </is>
      </c>
      <c r="M733" s="2">
        <f>HYPERLINK("https://ru.wikipedia.org/w/index.php?search=%D0%9D%D0%B0%20%D0%B7%D0%B0%D1%80%D0%B5%20%D1%82%D1%83%D0%BC%D0%B0%D0%BD%D0%BD%D0%BE%D0%B9%20%D1%8E%D0%BD%D0%BE%D1%81%D1%82%D0%B8%201970%20%D1%84%D0%B8%D0%BB%D1%8C%D0%BC","искать")</f>
        <v/>
      </c>
      <c r="N733" s="3" t="n"/>
      <c r="O733" s="2" t="n"/>
      <c r="P733" s="2" t="n"/>
    </row>
    <row r="734">
      <c r="A734" s="2" t="n">
        <v>733</v>
      </c>
      <c r="B734" s="2" t="inlineStr">
        <is>
          <t>не сюжет</t>
        </is>
      </c>
      <c r="C734" s="2" t="n">
        <v>8890</v>
      </c>
      <c r="D734" s="3" t="inlineStr">
        <is>
          <t>Один в поле не воин</t>
        </is>
      </c>
      <c r="E734" s="2" t="n">
        <v>1929</v>
      </c>
      <c r="F734" s="2" t="inlineStr">
        <is>
          <t>кинофильм</t>
        </is>
      </c>
      <c r="G734" s="2" t="n"/>
      <c r="H734" s="2" t="n">
        <v>29</v>
      </c>
      <c r="I734" s="2" t="inlineStr"/>
      <c r="J734" s="2" t="inlineStr">
        <is>
          <t>да</t>
        </is>
      </c>
      <c r="K734" s="3" t="inlineStr">
        <is>
          <t>Агитпропфильм в шести частях.</t>
        </is>
      </c>
      <c r="L734" s="2" t="inlineStr">
        <is>
          <t>Кино_СССР сводный каталог.xlsx: список фильмов (доп.)</t>
        </is>
      </c>
      <c r="M734" s="2">
        <f>HYPERLINK("https://ru.wikipedia.org/w/index.php?search=%D0%9E%D0%B4%D0%B8%D0%BD%20%D0%B2%20%D0%BF%D0%BE%D0%BB%D0%B5%20%D0%BD%D0%B5%20%D0%B2%D0%BE%D0%B8%D0%BD%201929%20%D1%84%D0%B8%D0%BB%D1%8C%D0%BC","искать")</f>
        <v/>
      </c>
      <c r="N734" s="3" t="n"/>
      <c r="O734" s="2" t="n"/>
      <c r="P734" s="2" t="n"/>
    </row>
    <row r="735">
      <c r="A735" s="2" t="n">
        <v>734</v>
      </c>
      <c r="B735" s="2" t="inlineStr">
        <is>
          <t>не сюжет</t>
        </is>
      </c>
      <c r="C735" s="2" t="n">
        <v>9056</v>
      </c>
      <c r="D735" s="3" t="inlineStr">
        <is>
          <t>Совет да любовь</t>
        </is>
      </c>
      <c r="E735" s="2" t="n">
        <v>1971</v>
      </c>
      <c r="F735" s="2" t="inlineStr">
        <is>
          <t>кинофильм</t>
        </is>
      </c>
      <c r="G735" s="2" t="n"/>
      <c r="H735" s="2" t="n">
        <v>29</v>
      </c>
      <c r="I735" s="2" t="inlineStr"/>
      <c r="J735" s="2" t="inlineStr">
        <is>
          <t>да</t>
        </is>
      </c>
      <c r="K735" s="3" t="inlineStr">
        <is>
          <t>История любви юноши и девушки</t>
        </is>
      </c>
      <c r="L735" s="2" t="inlineStr">
        <is>
          <t>Кино_СССР сводный каталог.xlsx: список фильмов (доп.)</t>
        </is>
      </c>
      <c r="M735" s="2">
        <f>HYPERLINK("https://ru.wikipedia.org/w/index.php?search=%D0%A1%D0%BE%D0%B2%D0%B5%D1%82%20%D0%B4%D0%B0%20%D0%BB%D1%8E%D0%B1%D0%BE%D0%B2%D1%8C%201971%20%D1%84%D0%B8%D0%BB%D1%8C%D0%BC","искать")</f>
        <v/>
      </c>
      <c r="N735" s="3" t="n"/>
      <c r="O735" s="2" t="n"/>
      <c r="P735" s="2" t="n"/>
    </row>
    <row r="736">
      <c r="A736" s="2" t="n">
        <v>735</v>
      </c>
      <c r="B736" s="2" t="inlineStr">
        <is>
          <t>не сюжет</t>
        </is>
      </c>
      <c r="C736" s="2" t="n">
        <v>10288</v>
      </c>
      <c r="D736" s="3" t="inlineStr">
        <is>
          <t>Архимеды XX века</t>
        </is>
      </c>
      <c r="E736" s="2" t="n">
        <v>1969</v>
      </c>
      <c r="F736" s="2" t="inlineStr">
        <is>
          <t>фильм-спектакль</t>
        </is>
      </c>
      <c r="G736" s="2" t="inlineStr">
        <is>
          <t>Ленинградское телевидение</t>
        </is>
      </c>
      <c r="H736" s="2" t="n">
        <v>29</v>
      </c>
      <c r="I736" s="2" t="inlineStr"/>
      <c r="J736" s="2" t="inlineStr">
        <is>
          <t>да</t>
        </is>
      </c>
      <c r="K736" s="3" t="inlineStr">
        <is>
          <t>По рассказам Николая Внукова.</t>
        </is>
      </c>
      <c r="L736" s="2" t="inlineStr">
        <is>
          <t>https://www.kino-teatr.ru/teatr/movie/119098/annot/</t>
        </is>
      </c>
      <c r="M736" s="2">
        <f>HYPERLINK("https://ru.wikipedia.org/w/index.php?search=%D0%90%D1%80%D1%85%D0%B8%D0%BC%D0%B5%D0%B4%D1%8B%20XX%20%D0%B2%D0%B5%D0%BA%D0%B0%201969%20%D1%84%D0%B8%D0%BB%D1%8C%D0%BC","искать")</f>
        <v/>
      </c>
      <c r="N736" s="3" t="n"/>
      <c r="O736" s="2" t="n"/>
      <c r="P736" s="2" t="n"/>
    </row>
    <row r="737">
      <c r="A737" s="2" t="n">
        <v>736</v>
      </c>
      <c r="B737" s="2" t="inlineStr">
        <is>
          <t>не сюжет</t>
        </is>
      </c>
      <c r="C737" s="2" t="n">
        <v>11672</v>
      </c>
      <c r="D737" s="3" t="inlineStr">
        <is>
          <t>Край, в котором ты живешь</t>
        </is>
      </c>
      <c r="E737" s="2" t="n">
        <v>1972</v>
      </c>
      <c r="F737" s="2" t="inlineStr">
        <is>
          <t>мультфильм</t>
        </is>
      </c>
      <c r="G737" s="2" t="inlineStr">
        <is>
          <t>Союзмультфильм</t>
        </is>
      </c>
      <c r="H737" s="2" t="n">
        <v>29</v>
      </c>
      <c r="I737" s="2" t="inlineStr"/>
      <c r="J737" s="2" t="inlineStr">
        <is>
          <t>да</t>
        </is>
      </c>
      <c r="K737" s="3" t="inlineStr">
        <is>
          <t>Фильм-песня по рисункам детей</t>
        </is>
      </c>
      <c r="L737" s="2" t="inlineStr">
        <is>
          <t>https://animator.ru/db/?p=show_film&amp;fid=2586</t>
        </is>
      </c>
      <c r="M737" s="2">
        <f>HYPERLINK("https://ru.wikipedia.org/w/index.php?search=%D0%9A%D1%80%D0%B0%D0%B9%2C%20%D0%B2%20%D0%BA%D0%BE%D1%82%D0%BE%D1%80%D0%BE%D0%BC%20%D1%82%D1%8B%20%D0%B6%D0%B8%D0%B2%D0%B5%D1%88%D1%8C%201972%20%D1%84%D0%B8%D0%BB%D1%8C%D0%BC","искать")</f>
        <v/>
      </c>
      <c r="N737" s="3" t="n"/>
      <c r="O737" s="2" t="n"/>
      <c r="P737" s="2" t="n"/>
    </row>
    <row r="738">
      <c r="A738" s="2" t="n">
        <v>737</v>
      </c>
      <c r="B738" s="2" t="inlineStr">
        <is>
          <t>не сюжет</t>
        </is>
      </c>
      <c r="C738" s="2" t="n">
        <v>12060</v>
      </c>
      <c r="D738" s="3" t="inlineStr">
        <is>
          <t>Снегирь</t>
        </is>
      </c>
      <c r="E738" s="2" t="n">
        <v>1983</v>
      </c>
      <c r="F738" s="2" t="inlineStr">
        <is>
          <t>мультфильм</t>
        </is>
      </c>
      <c r="G738" s="2" t="inlineStr">
        <is>
          <t>Союзмультфильм</t>
        </is>
      </c>
      <c r="H738" s="2" t="n">
        <v>29</v>
      </c>
      <c r="I738" s="2" t="inlineStr"/>
      <c r="J738" s="2" t="inlineStr">
        <is>
          <t>да</t>
        </is>
      </c>
      <c r="K738" s="3" t="inlineStr">
        <is>
          <t>По стихотворению Агнии Барто.</t>
        </is>
      </c>
      <c r="L738" s="2" t="inlineStr">
        <is>
          <t>2026-10_мультфильмы_список_владельца.xlsx; https://animator.ru/db/?p=show_film&amp;fid=3175</t>
        </is>
      </c>
      <c r="M738" s="2">
        <f>HYPERLINK("https://ru.wikipedia.org/w/index.php?search=%D0%A1%D0%BD%D0%B5%D0%B3%D0%B8%D1%80%D1%8C%201983%20%D1%84%D0%B8%D0%BB%D1%8C%D0%BC","искать")</f>
        <v/>
      </c>
      <c r="N738" s="3" t="n"/>
      <c r="O738" s="2" t="n"/>
      <c r="P738" s="2" t="n"/>
    </row>
    <row r="739">
      <c r="A739" s="2" t="n">
        <v>738</v>
      </c>
      <c r="B739" s="2" t="inlineStr">
        <is>
          <t>не сюжет</t>
        </is>
      </c>
      <c r="C739" s="2" t="n">
        <v>12091</v>
      </c>
      <c r="D739" s="3" t="inlineStr">
        <is>
          <t>Про Буку</t>
        </is>
      </c>
      <c r="E739" s="2" t="n">
        <v>1984</v>
      </c>
      <c r="F739" s="2" t="inlineStr">
        <is>
          <t>мультфильм</t>
        </is>
      </c>
      <c r="G739" s="2" t="inlineStr">
        <is>
          <t>Союзмультфильм</t>
        </is>
      </c>
      <c r="H739" s="2" t="n">
        <v>29</v>
      </c>
      <c r="I739" s="2" t="inlineStr"/>
      <c r="J739" s="2" t="inlineStr">
        <is>
          <t>да</t>
        </is>
      </c>
      <c r="K739" s="3" t="inlineStr">
        <is>
          <t>Музыкальная сказка для детей.</t>
        </is>
      </c>
      <c r="L739" s="2" t="inlineStr">
        <is>
          <t>2026-10_мультфильмы_список_владельца.xlsx; https://animator.ru/db/?p=show_film&amp;fid=3207</t>
        </is>
      </c>
      <c r="M739" s="2">
        <f>HYPERLINK("https://ru.wikipedia.org/w/index.php?search=%D0%9F%D1%80%D0%BE%20%D0%91%D1%83%D0%BA%D1%83%201984%20%D1%84%D0%B8%D0%BB%D1%8C%D0%BC","искать")</f>
        <v/>
      </c>
      <c r="N739" s="3" t="n"/>
      <c r="O739" s="2" t="n"/>
      <c r="P739" s="2" t="n"/>
    </row>
    <row r="740">
      <c r="A740" s="2" t="n">
        <v>739</v>
      </c>
      <c r="B740" s="2" t="inlineStr">
        <is>
          <t>не сюжет</t>
        </is>
      </c>
      <c r="C740" s="2" t="n">
        <v>12296</v>
      </c>
      <c r="D740" s="3" t="inlineStr">
        <is>
          <t>Чемодан</t>
        </is>
      </c>
      <c r="E740" s="2" t="n">
        <v>1991</v>
      </c>
      <c r="F740" s="2" t="inlineStr">
        <is>
          <t>мультфильм</t>
        </is>
      </c>
      <c r="G740" s="2" t="inlineStr">
        <is>
          <t>Союзмультфильм</t>
        </is>
      </c>
      <c r="H740" s="2" t="n">
        <v>29</v>
      </c>
      <c r="I740" s="2" t="inlineStr"/>
      <c r="J740" s="2" t="inlineStr">
        <is>
          <t>да</t>
        </is>
      </c>
      <c r="K740" s="3" t="inlineStr">
        <is>
          <t>По стихотворению В.Линьковой.</t>
        </is>
      </c>
      <c r="L740" s="2" t="inlineStr">
        <is>
          <t>2026-10_мультфильмы_список_владельца.xlsx; https://animator.ru/db/?p=show_film&amp;fid=3413</t>
        </is>
      </c>
      <c r="M740" s="2">
        <f>HYPERLINK("https://ru.wikipedia.org/w/index.php?search=%D0%A7%D0%B5%D0%BC%D0%BE%D0%B4%D0%B0%D0%BD%201991%20%D1%84%D0%B8%D0%BB%D1%8C%D0%BC","искать")</f>
        <v/>
      </c>
      <c r="N740" s="3" t="n"/>
      <c r="O740" s="2" t="n"/>
      <c r="P740" s="2" t="n"/>
    </row>
    <row r="741">
      <c r="A741" s="2" t="n">
        <v>740</v>
      </c>
      <c r="B741" s="2" t="inlineStr">
        <is>
          <t>не сюжет</t>
        </is>
      </c>
      <c r="C741" s="2" t="n">
        <v>12308</v>
      </c>
      <c r="D741" s="3" t="inlineStr">
        <is>
          <t>История одного города. Органчик</t>
        </is>
      </c>
      <c r="E741" s="2" t="n">
        <v>1991</v>
      </c>
      <c r="F741" s="2" t="inlineStr">
        <is>
          <t>мультфильм</t>
        </is>
      </c>
      <c r="G741" s="2" t="inlineStr">
        <is>
          <t>Союзмультфильм</t>
        </is>
      </c>
      <c r="H741" s="2" t="n">
        <v>29</v>
      </c>
      <c r="I741" s="2" t="inlineStr"/>
      <c r="J741" s="2" t="inlineStr">
        <is>
          <t>да</t>
        </is>
      </c>
      <c r="K741" s="3" t="inlineStr">
        <is>
          <t>По повести Салтыкова-Щедрина.</t>
        </is>
      </c>
      <c r="L741" s="2" t="inlineStr">
        <is>
          <t>2026-10_мультфильмы_список_владельца.xlsx; https://animator.ru/db/?p=show_film&amp;fid=3425</t>
        </is>
      </c>
      <c r="M741" s="2">
        <f>HYPERLINK("https://ru.wikipedia.org/w/index.php?search=%D0%98%D1%81%D1%82%D0%BE%D1%80%D0%B8%D1%8F%20%D0%BE%D0%B4%D0%BD%D0%BE%D0%B3%D0%BE%20%D0%B3%D0%BE%D1%80%D0%BE%D0%B4%D0%B0.%20%D0%9E%D1%80%D0%B3%D0%B0%D0%BD%D1%87%D0%B8%D0%BA%201991%20%D1%84%D0%B8%D0%BB%D1%8C%D0%BC","искать")</f>
        <v/>
      </c>
      <c r="N741" s="3" t="n"/>
      <c r="O741" s="2" t="n"/>
      <c r="P741" s="2" t="n"/>
    </row>
    <row r="742">
      <c r="A742" s="2" t="n">
        <v>741</v>
      </c>
      <c r="B742" s="2" t="inlineStr">
        <is>
          <t>не сюжет</t>
        </is>
      </c>
      <c r="C742" s="2" t="n">
        <v>12368</v>
      </c>
      <c r="D742" s="3" t="inlineStr">
        <is>
          <t>Жаркие звезды</t>
        </is>
      </c>
      <c r="E742" s="2" t="n">
        <v>1982</v>
      </c>
      <c r="F742" s="2" t="inlineStr">
        <is>
          <t>мультфильм</t>
        </is>
      </c>
      <c r="G742" s="2" t="inlineStr">
        <is>
          <t>КИЕВНАУЧФИЛЬМ</t>
        </is>
      </c>
      <c r="H742" s="2" t="n">
        <v>29</v>
      </c>
      <c r="I742" s="2" t="inlineStr"/>
      <c r="J742" s="2" t="inlineStr">
        <is>
          <t>да</t>
        </is>
      </c>
      <c r="K742" s="3" t="inlineStr">
        <is>
          <t>По стихотворению В.Луговского</t>
        </is>
      </c>
      <c r="L742" s="2" t="inlineStr">
        <is>
          <t>https://animator.ru/db/?p=show_film&amp;fid=3535</t>
        </is>
      </c>
      <c r="M742" s="2">
        <f>HYPERLINK("https://ru.wikipedia.org/w/index.php?search=%D0%96%D0%B0%D1%80%D0%BA%D0%B8%D0%B5%20%D0%B7%D0%B2%D0%B5%D0%B7%D0%B4%D1%8B%201982%20%D1%84%D0%B8%D0%BB%D1%8C%D0%BC","искать")</f>
        <v/>
      </c>
      <c r="N742" s="3" t="n"/>
      <c r="O742" s="2" t="n"/>
      <c r="P742" s="2" t="n"/>
    </row>
    <row r="743">
      <c r="A743" s="2" t="n">
        <v>742</v>
      </c>
      <c r="B743" s="2" t="inlineStr">
        <is>
          <t>не сюжет</t>
        </is>
      </c>
      <c r="C743" s="2" t="n">
        <v>12497</v>
      </c>
      <c r="D743" s="3" t="inlineStr">
        <is>
          <t>Парасолька на модном курорте</t>
        </is>
      </c>
      <c r="E743" s="2" t="n">
        <v>1977</v>
      </c>
      <c r="F743" s="2" t="inlineStr">
        <is>
          <t>мультфильм</t>
        </is>
      </c>
      <c r="G743" s="2" t="inlineStr">
        <is>
          <t>КИЕВНАУЧФИЛЬМ</t>
        </is>
      </c>
      <c r="H743" s="2" t="n">
        <v>29</v>
      </c>
      <c r="I743" s="2" t="inlineStr"/>
      <c r="J743" s="2" t="inlineStr">
        <is>
          <t>да</t>
        </is>
      </c>
      <c r="K743" s="3" t="inlineStr">
        <is>
          <t>Мульт из серии про Парасольку</t>
        </is>
      </c>
      <c r="L743" s="2" t="inlineStr">
        <is>
          <t>2026-10_мультфильмы_список_владельца.xlsx; https://animator.ru/db/?p=show_film&amp;fid=3672</t>
        </is>
      </c>
      <c r="M743" s="2">
        <f>HYPERLINK("https://ru.wikipedia.org/w/index.php?search=%D0%9F%D0%B0%D1%80%D0%B0%D1%81%D0%BE%D0%BB%D1%8C%D0%BA%D0%B0%20%D0%BD%D0%B0%20%D0%BC%D0%BE%D0%B4%D0%BD%D0%BE%D0%BC%20%D0%BA%D1%83%D1%80%D0%BE%D1%80%D1%82%D0%B5%201977%20%D1%84%D0%B8%D0%BB%D1%8C%D0%BC","искать")</f>
        <v/>
      </c>
      <c r="N743" s="3" t="n"/>
      <c r="O743" s="2" t="n"/>
      <c r="P743" s="2" t="n"/>
    </row>
    <row r="744">
      <c r="A744" s="2" t="n">
        <v>743</v>
      </c>
      <c r="B744" s="2" t="inlineStr">
        <is>
          <t>не сюжет</t>
        </is>
      </c>
      <c r="C744" s="2" t="n">
        <v>12549</v>
      </c>
      <c r="D744" s="3" t="inlineStr">
        <is>
          <t>Сказка о Жадности</t>
        </is>
      </c>
      <c r="E744" s="2" t="n">
        <v>1976</v>
      </c>
      <c r="F744" s="2" t="inlineStr">
        <is>
          <t>мультфильм</t>
        </is>
      </c>
      <c r="G744" s="2" t="inlineStr">
        <is>
          <t>КИЕВНАУЧФИЛЬМ</t>
        </is>
      </c>
      <c r="H744" s="2" t="n">
        <v>29</v>
      </c>
      <c r="I744" s="2" t="inlineStr"/>
      <c r="J744" s="2" t="inlineStr">
        <is>
          <t>да</t>
        </is>
      </c>
      <c r="K744" s="3" t="inlineStr">
        <is>
          <t>О том, как плохо быть жадным.</t>
        </is>
      </c>
      <c r="L744" s="2" t="inlineStr">
        <is>
          <t>https://animator.ru/db/?p=show_film&amp;fid=3728</t>
        </is>
      </c>
      <c r="M744" s="2">
        <f>HYPERLINK("https://ru.wikipedia.org/w/index.php?search=%D0%A1%D0%BA%D0%B0%D0%B7%D0%BA%D0%B0%20%D0%BE%20%D0%96%D0%B0%D0%B4%D0%BD%D0%BE%D1%81%D1%82%D0%B8%201976%20%D1%84%D0%B8%D0%BB%D1%8C%D0%BC","искать")</f>
        <v/>
      </c>
      <c r="N744" s="3" t="n"/>
      <c r="O744" s="2" t="n"/>
      <c r="P744" s="2" t="n"/>
    </row>
    <row r="745">
      <c r="A745" s="2" t="n">
        <v>744</v>
      </c>
      <c r="B745" s="2" t="inlineStr">
        <is>
          <t>не сюжет</t>
        </is>
      </c>
      <c r="C745" s="2" t="n">
        <v>12557</v>
      </c>
      <c r="D745" s="3" t="inlineStr">
        <is>
          <t>Сказки райского сада</t>
        </is>
      </c>
      <c r="E745" s="2" t="n">
        <v>1975</v>
      </c>
      <c r="F745" s="2" t="inlineStr">
        <is>
          <t>мультфильм</t>
        </is>
      </c>
      <c r="G745" s="2" t="inlineStr">
        <is>
          <t>КИЕВНАУЧФИЛЬМ</t>
        </is>
      </c>
      <c r="H745" s="2" t="n">
        <v>29</v>
      </c>
      <c r="I745" s="2" t="inlineStr"/>
      <c r="J745" s="2" t="inlineStr">
        <is>
          <t>да</t>
        </is>
      </c>
      <c r="K745" s="3" t="inlineStr">
        <is>
          <t>По мотивам библейских легенд.</t>
        </is>
      </c>
      <c r="L745" s="2" t="inlineStr">
        <is>
          <t>2026-10_мультфильмы_список_владельца.xlsx; https://animator.ru/db/?p=show_film&amp;fid=3736</t>
        </is>
      </c>
      <c r="M745" s="2">
        <f>HYPERLINK("https://ru.wikipedia.org/w/index.php?search=%D0%A1%D0%BA%D0%B0%D0%B7%D0%BA%D0%B8%20%D1%80%D0%B0%D0%B9%D1%81%D0%BA%D0%BE%D0%B3%D0%BE%20%D1%81%D0%B0%D0%B4%D0%B0%201975%20%D1%84%D0%B8%D0%BB%D1%8C%D0%BC","искать")</f>
        <v/>
      </c>
      <c r="N745" s="3" t="n"/>
      <c r="O745" s="2" t="n"/>
      <c r="P745" s="2" t="n"/>
    </row>
    <row r="746">
      <c r="A746" s="2" t="n">
        <v>745</v>
      </c>
      <c r="B746" s="2" t="inlineStr">
        <is>
          <t>не сюжет</t>
        </is>
      </c>
      <c r="C746" s="2" t="n">
        <v>12659</v>
      </c>
      <c r="D746" s="3" t="inlineStr">
        <is>
          <t>От сказки к сказке</t>
        </is>
      </c>
      <c r="E746" s="2" t="n">
        <v>1990</v>
      </c>
      <c r="F746" s="2" t="inlineStr">
        <is>
          <t>мультфильм</t>
        </is>
      </c>
      <c r="G746" s="2" t="inlineStr">
        <is>
          <t>Союзмультфильм</t>
        </is>
      </c>
      <c r="H746" s="2" t="n">
        <v>29</v>
      </c>
      <c r="I746" s="2" t="inlineStr"/>
      <c r="J746" s="2" t="inlineStr">
        <is>
          <t>да</t>
        </is>
      </c>
      <c r="K746" s="3" t="inlineStr">
        <is>
          <t>Программа фильмов прошлых лет</t>
        </is>
      </c>
      <c r="L746" s="2" t="inlineStr">
        <is>
          <t>https://animator.ru/db/?p=show_film&amp;fid=3839</t>
        </is>
      </c>
      <c r="M746" s="2">
        <f>HYPERLINK("https://ru.wikipedia.org/w/index.php?search=%D0%9E%D1%82%20%D1%81%D0%BA%D0%B0%D0%B7%D0%BA%D0%B8%20%D0%BA%20%D1%81%D0%BA%D0%B0%D0%B7%D0%BA%D0%B5%201990%20%D1%84%D0%B8%D0%BB%D1%8C%D0%BC","искать")</f>
        <v/>
      </c>
      <c r="N746" s="3" t="n"/>
      <c r="O746" s="2" t="n"/>
      <c r="P746" s="2" t="n"/>
    </row>
    <row r="747">
      <c r="A747" s="2" t="n">
        <v>746</v>
      </c>
      <c r="B747" s="2" t="inlineStr">
        <is>
          <t>не сюжет</t>
        </is>
      </c>
      <c r="C747" s="2" t="n">
        <v>12709</v>
      </c>
      <c r="D747" s="3" t="inlineStr">
        <is>
          <t>Он прилетал лишь однажды</t>
        </is>
      </c>
      <c r="E747" s="2" t="n">
        <v>1978</v>
      </c>
      <c r="F747" s="2" t="inlineStr">
        <is>
          <t>мультфильм</t>
        </is>
      </c>
      <c r="G747" s="2" t="inlineStr">
        <is>
          <t>БЕЛАРУСЬФИЛЬМ НАЦИОНАЛЬНАЯ КИНОСТУДИЯ - ГП</t>
        </is>
      </c>
      <c r="H747" s="2" t="n">
        <v>29</v>
      </c>
      <c r="I747" s="2" t="inlineStr"/>
      <c r="J747" s="2" t="inlineStr">
        <is>
          <t>да</t>
        </is>
      </c>
      <c r="K747" s="3" t="inlineStr">
        <is>
          <t>О Пришельце из далеких миров.</t>
        </is>
      </c>
      <c r="L747" s="2" t="inlineStr">
        <is>
          <t>2026-10_мультфильмы_список_владельца.xlsx; https://animator.ru/db/?p=show_film&amp;fid=3904</t>
        </is>
      </c>
      <c r="M747" s="2">
        <f>HYPERLINK("https://ru.wikipedia.org/w/index.php?search=%D0%9E%D0%BD%20%D0%BF%D1%80%D0%B8%D0%BB%D0%B5%D1%82%D0%B0%D0%BB%20%D0%BB%D0%B8%D1%88%D1%8C%20%D0%BE%D0%B4%D0%BD%D0%B0%D0%B6%D0%B4%D1%8B%201978%20%D1%84%D0%B8%D0%BB%D1%8C%D0%BC","искать")</f>
        <v/>
      </c>
      <c r="N747" s="3" t="n"/>
      <c r="O747" s="2" t="n"/>
      <c r="P747" s="2" t="n"/>
    </row>
    <row r="748">
      <c r="A748" s="2" t="n">
        <v>747</v>
      </c>
      <c r="B748" s="2" t="inlineStr">
        <is>
          <t>не сюжет</t>
        </is>
      </c>
      <c r="C748" s="2" t="n">
        <v>12840</v>
      </c>
      <c r="D748" s="3" t="inlineStr">
        <is>
          <t>Ра-ни-на</t>
        </is>
      </c>
      <c r="E748" s="2" t="n">
        <v>1974</v>
      </c>
      <c r="F748" s="2" t="inlineStr">
        <is>
          <t>мультфильм</t>
        </is>
      </c>
      <c r="G748" s="2" t="inlineStr">
        <is>
          <t>ГРУЗИЯ-ФИЛЬМ - АО</t>
        </is>
      </c>
      <c r="H748" s="2" t="n">
        <v>29</v>
      </c>
      <c r="I748" s="2" t="inlineStr"/>
      <c r="J748" s="2" t="inlineStr">
        <is>
          <t>да</t>
        </is>
      </c>
      <c r="K748" s="3" t="inlineStr">
        <is>
          <t>По мотивам грузинской сказки.</t>
        </is>
      </c>
      <c r="L748" s="2" t="inlineStr">
        <is>
          <t>2026-10_мультфильмы_список_владельца.xlsx; https://animator.ru/db/?p=show_film&amp;fid=4062</t>
        </is>
      </c>
      <c r="M748" s="2">
        <f>HYPERLINK("https://ru.wikipedia.org/w/index.php?search=%D0%A0%D0%B0-%D0%BD%D0%B8-%D0%BD%D0%B0%201974%20%D1%84%D0%B8%D0%BB%D1%8C%D0%BC","искать")</f>
        <v/>
      </c>
      <c r="N748" s="3" t="n"/>
      <c r="O748" s="2" t="n"/>
      <c r="P748" s="2" t="n"/>
    </row>
    <row r="749">
      <c r="A749" s="2" t="n">
        <v>748</v>
      </c>
      <c r="B749" s="2" t="inlineStr">
        <is>
          <t>не сюжет</t>
        </is>
      </c>
      <c r="C749" s="2" t="n">
        <v>13092</v>
      </c>
      <c r="D749" s="3" t="inlineStr">
        <is>
          <t>Андриеш</t>
        </is>
      </c>
      <c r="E749" s="2" t="n">
        <v>1981</v>
      </c>
      <c r="F749" s="2" t="inlineStr">
        <is>
          <t>мультфильм</t>
        </is>
      </c>
      <c r="G749" s="2" t="inlineStr">
        <is>
          <t>МОЛДОВА-ФИЛЬМ</t>
        </is>
      </c>
      <c r="H749" s="2" t="n">
        <v>29</v>
      </c>
      <c r="I749" s="2" t="inlineStr"/>
      <c r="J749" s="2" t="inlineStr">
        <is>
          <t>да</t>
        </is>
      </c>
      <c r="K749" s="3" t="inlineStr">
        <is>
          <t>По одноименной поэме Е.Букала</t>
        </is>
      </c>
      <c r="L749" s="2" t="inlineStr">
        <is>
          <t>https://animator.ru/db/?p=show_film&amp;fid=4324</t>
        </is>
      </c>
      <c r="M749" s="2">
        <f>HYPERLINK("https://ru.wikipedia.org/w/index.php?search=%D0%90%D0%BD%D0%B4%D1%80%D0%B8%D0%B5%D1%88%201981%20%D1%84%D0%B8%D0%BB%D1%8C%D0%BC","искать")</f>
        <v/>
      </c>
      <c r="N749" s="3" t="n"/>
      <c r="O749" s="2" t="n"/>
      <c r="P749" s="2" t="n"/>
    </row>
    <row r="750">
      <c r="A750" s="2" t="n">
        <v>749</v>
      </c>
      <c r="B750" s="2" t="inlineStr">
        <is>
          <t>не сюжет</t>
        </is>
      </c>
      <c r="C750" s="2" t="n">
        <v>13101</v>
      </c>
      <c r="D750" s="3" t="inlineStr">
        <is>
          <t>Марица</t>
        </is>
      </c>
      <c r="E750" s="2" t="n">
        <v>1972</v>
      </c>
      <c r="F750" s="2" t="inlineStr">
        <is>
          <t>мультфильм</t>
        </is>
      </c>
      <c r="G750" s="2" t="inlineStr">
        <is>
          <t>МОЛДОВА-ФИЛЬМ</t>
        </is>
      </c>
      <c r="H750" s="2" t="n">
        <v>29</v>
      </c>
      <c r="I750" s="2" t="inlineStr"/>
      <c r="J750" s="2" t="inlineStr">
        <is>
          <t>да</t>
        </is>
      </c>
      <c r="K750" s="3" t="inlineStr">
        <is>
          <t>По мотивам молдавской сказки.</t>
        </is>
      </c>
      <c r="L750" s="2" t="inlineStr">
        <is>
          <t>2026-10_мультфильмы_список_владельца.xlsx; https://animator.ru/db/?p=show_film&amp;fid=4333</t>
        </is>
      </c>
      <c r="M750" s="2">
        <f>HYPERLINK("https://ru.wikipedia.org/w/index.php?search=%D0%9C%D0%B0%D1%80%D0%B8%D1%86%D0%B0%201972%20%D1%84%D0%B8%D0%BB%D1%8C%D0%BC","искать")</f>
        <v/>
      </c>
      <c r="N750" s="3" t="n"/>
      <c r="O750" s="2" t="n"/>
      <c r="P750" s="2" t="n"/>
    </row>
    <row r="751">
      <c r="A751" s="2" t="n">
        <v>750</v>
      </c>
      <c r="B751" s="2" t="inlineStr">
        <is>
          <t>не сюжет</t>
        </is>
      </c>
      <c r="C751" s="2" t="n">
        <v>13180</v>
      </c>
      <c r="D751" s="3" t="inlineStr">
        <is>
          <t>Мал, да удал</t>
        </is>
      </c>
      <c r="E751" s="2" t="n">
        <v>1972</v>
      </c>
      <c r="F751" s="2" t="inlineStr">
        <is>
          <t>мультфильм</t>
        </is>
      </c>
      <c r="G751" s="2" t="inlineStr">
        <is>
          <t>УЗБЕКФИЛЬМ</t>
        </is>
      </c>
      <c r="H751" s="2" t="n">
        <v>29</v>
      </c>
      <c r="I751" s="2" t="inlineStr"/>
      <c r="J751" s="2" t="inlineStr">
        <is>
          <t>да</t>
        </is>
      </c>
      <c r="K751" s="3" t="inlineStr">
        <is>
          <t>По мотивам туркменской сказки</t>
        </is>
      </c>
      <c r="L751" s="2" t="inlineStr">
        <is>
          <t>https://animator.ru/db/?p=show_film&amp;fid=4419</t>
        </is>
      </c>
      <c r="M751" s="2">
        <f>HYPERLINK("https://ru.wikipedia.org/w/index.php?search=%D0%9C%D0%B0%D0%BB%2C%20%D0%B4%D0%B0%20%D1%83%D0%B4%D0%B0%D0%BB%201972%20%D1%84%D0%B8%D0%BB%D1%8C%D0%BC","искать")</f>
        <v/>
      </c>
      <c r="N751" s="3" t="n"/>
      <c r="O751" s="2" t="n"/>
      <c r="P751" s="2" t="n"/>
    </row>
    <row r="752">
      <c r="A752" s="2" t="n">
        <v>751</v>
      </c>
      <c r="B752" s="2" t="inlineStr">
        <is>
          <t>не сюжет</t>
        </is>
      </c>
      <c r="C752" s="2" t="n">
        <v>13219</v>
      </c>
      <c r="D752" s="3" t="inlineStr">
        <is>
          <t>Добрый насим</t>
        </is>
      </c>
      <c r="E752" s="2" t="n">
        <v>1970</v>
      </c>
      <c r="F752" s="2" t="inlineStr">
        <is>
          <t>мультфильм</t>
        </is>
      </c>
      <c r="G752" s="2" t="inlineStr">
        <is>
          <t>ТАДЖИКФИЛЬМ</t>
        </is>
      </c>
      <c r="H752" s="2" t="n">
        <v>29</v>
      </c>
      <c r="I752" s="2" t="inlineStr"/>
      <c r="J752" s="2" t="inlineStr">
        <is>
          <t>да</t>
        </is>
      </c>
      <c r="K752" s="3" t="inlineStr">
        <is>
          <t>По мотивам поэмы Акзама Ситки</t>
        </is>
      </c>
      <c r="L752" s="2" t="inlineStr">
        <is>
          <t>https://animator.ru/db/?p=show_film&amp;fid=4458</t>
        </is>
      </c>
      <c r="M752" s="2">
        <f>HYPERLINK("https://ru.wikipedia.org/w/index.php?search=%D0%94%D0%BE%D0%B1%D1%80%D1%8B%D0%B9%20%D0%BD%D0%B0%D1%81%D0%B8%D0%BC%201970%20%D1%84%D0%B8%D0%BB%D1%8C%D0%BC","искать")</f>
        <v/>
      </c>
      <c r="N752" s="3" t="n"/>
      <c r="O752" s="2" t="n"/>
      <c r="P752" s="2" t="n"/>
    </row>
    <row r="753">
      <c r="A753" s="2" t="n">
        <v>752</v>
      </c>
      <c r="B753" s="2" t="inlineStr">
        <is>
          <t>не сюжет</t>
        </is>
      </c>
      <c r="C753" s="2" t="n">
        <v>13268</v>
      </c>
      <c r="D753" s="3" t="inlineStr">
        <is>
          <t>Хитрый Антс и Нечистый</t>
        </is>
      </c>
      <c r="E753" s="2" t="n">
        <v>1967</v>
      </c>
      <c r="F753" s="2" t="inlineStr">
        <is>
          <t>мультфильм</t>
        </is>
      </c>
      <c r="G753" s="2" t="inlineStr">
        <is>
          <t>ТАЛЛИННФИЛЬМ</t>
        </is>
      </c>
      <c r="H753" s="2" t="n">
        <v>29</v>
      </c>
      <c r="I753" s="2" t="inlineStr"/>
      <c r="J753" s="2" t="inlineStr">
        <is>
          <t>да</t>
        </is>
      </c>
      <c r="K753" s="3" t="inlineStr">
        <is>
          <t>По мотивам сказок о Нечистом.</t>
        </is>
      </c>
      <c r="L753" s="2" t="inlineStr">
        <is>
          <t>2026-10_мультфильмы_список_владельца.xlsx; https://animator.ru/db/?p=show_film&amp;fid=4523</t>
        </is>
      </c>
      <c r="M753" s="2">
        <f>HYPERLINK("https://ru.wikipedia.org/w/index.php?search=%D0%A5%D0%B8%D1%82%D1%80%D1%8B%D0%B9%20%D0%90%D0%BD%D1%82%D1%81%20%D0%B8%20%D0%9D%D0%B5%D1%87%D0%B8%D1%81%D1%82%D1%8B%D0%B9%201967%20%D1%84%D0%B8%D0%BB%D1%8C%D0%BC","искать")</f>
        <v/>
      </c>
      <c r="N753" s="3" t="n"/>
      <c r="O753" s="2" t="n"/>
      <c r="P753" s="2" t="n"/>
    </row>
    <row r="754">
      <c r="A754" s="2" t="n">
        <v>753</v>
      </c>
      <c r="B754" s="2" t="inlineStr">
        <is>
          <t>не сюжет</t>
        </is>
      </c>
      <c r="C754" s="2" t="n">
        <v>13307</v>
      </c>
      <c r="D754" s="3" t="inlineStr">
        <is>
          <t>Джиуфа</t>
        </is>
      </c>
      <c r="E754" s="2" t="n">
        <v>1979</v>
      </c>
      <c r="F754" s="2" t="inlineStr">
        <is>
          <t>мультфильм</t>
        </is>
      </c>
      <c r="G754" s="2" t="inlineStr">
        <is>
          <t>ТАЛЛИННФИЛЬМ</t>
        </is>
      </c>
      <c r="H754" s="2" t="n">
        <v>29</v>
      </c>
      <c r="I754" s="2" t="inlineStr"/>
      <c r="J754" s="2" t="inlineStr">
        <is>
          <t>да</t>
        </is>
      </c>
      <c r="K754" s="3" t="inlineStr">
        <is>
          <t>По мотивам итальянской сказки</t>
        </is>
      </c>
      <c r="L754" s="2" t="inlineStr">
        <is>
          <t>https://animator.ru/db/?p=show_film&amp;fid=4565</t>
        </is>
      </c>
      <c r="M754" s="2">
        <f>HYPERLINK("https://ru.wikipedia.org/w/index.php?search=%D0%94%D0%B6%D0%B8%D1%83%D1%84%D0%B0%201979%20%D1%84%D0%B8%D0%BB%D1%8C%D0%BC","искать")</f>
        <v/>
      </c>
      <c r="N754" s="3" t="n"/>
      <c r="O754" s="2" t="n"/>
      <c r="P754" s="2" t="n"/>
    </row>
    <row r="755">
      <c r="A755" s="2" t="n">
        <v>754</v>
      </c>
      <c r="B755" s="2" t="inlineStr">
        <is>
          <t>не сюжет</t>
        </is>
      </c>
      <c r="C755" s="2" t="n">
        <v>13450</v>
      </c>
      <c r="D755" s="3" t="inlineStr">
        <is>
          <t>Синичкин календарь. 2. Весна</t>
        </is>
      </c>
      <c r="E755" s="2" t="n">
        <v>1983</v>
      </c>
      <c r="F755" s="2" t="inlineStr">
        <is>
          <t>мультфильм</t>
        </is>
      </c>
      <c r="G755" s="2" t="inlineStr">
        <is>
          <t>СОЮЗТЕЛЕФИЛЬМ</t>
        </is>
      </c>
      <c r="H755" s="2" t="n">
        <v>29</v>
      </c>
      <c r="I755" s="2" t="inlineStr"/>
      <c r="J755" s="2" t="inlineStr">
        <is>
          <t>да</t>
        </is>
      </c>
      <c r="K755" s="3" t="inlineStr">
        <is>
          <t>По мотивам рассказов В.Бианки</t>
        </is>
      </c>
      <c r="L755" s="2" t="inlineStr">
        <is>
          <t>https://animator.ru/db/?p=show_film&amp;fid=4731</t>
        </is>
      </c>
      <c r="M755" s="2">
        <f>HYPERLINK("https://ru.wikipedia.org/w/index.php?search=%D0%A1%D0%B8%D0%BD%D0%B8%D1%87%D0%BA%D0%B8%D0%BD%20%D0%BA%D0%B0%D0%BB%D0%B5%D0%BD%D0%B4%D0%B0%D1%80%D1%8C.%202.%20%D0%92%D0%B5%D1%81%D0%BD%D0%B0%201983%20%D1%84%D0%B8%D0%BB%D1%8C%D0%BC","искать")</f>
        <v/>
      </c>
      <c r="N755" s="3" t="n"/>
      <c r="O755" s="2" t="n"/>
      <c r="P755" s="2" t="n"/>
    </row>
    <row r="756">
      <c r="A756" s="2" t="n">
        <v>755</v>
      </c>
      <c r="B756" s="2" t="inlineStr">
        <is>
          <t>не сюжет</t>
        </is>
      </c>
      <c r="C756" s="2" t="n">
        <v>13473</v>
      </c>
      <c r="D756" s="3" t="inlineStr">
        <is>
          <t>Будь моим слоном</t>
        </is>
      </c>
      <c r="E756" s="2" t="n">
        <v>1976</v>
      </c>
      <c r="F756" s="2" t="inlineStr">
        <is>
          <t>мультфильм</t>
        </is>
      </c>
      <c r="G756" s="2" t="inlineStr">
        <is>
          <t>ПЕРМЬТЕЛЕФИЛЬМ</t>
        </is>
      </c>
      <c r="H756" s="2" t="n">
        <v>29</v>
      </c>
      <c r="I756" s="2" t="inlineStr"/>
      <c r="J756" s="2" t="inlineStr">
        <is>
          <t>да</t>
        </is>
      </c>
      <c r="K756" s="3" t="inlineStr">
        <is>
          <t>История о дружбе. Для малышей</t>
        </is>
      </c>
      <c r="L756" s="2" t="inlineStr">
        <is>
          <t>https://animator.ru/db/?p=show_film&amp;fid=4760</t>
        </is>
      </c>
      <c r="M756" s="2">
        <f>HYPERLINK("https://ru.wikipedia.org/w/index.php?search=%D0%91%D1%83%D0%B4%D1%8C%20%D0%BC%D0%BE%D0%B8%D0%BC%20%D1%81%D0%BB%D0%BE%D0%BD%D0%BE%D0%BC%201976%20%D1%84%D0%B8%D0%BB%D1%8C%D0%BC","искать")</f>
        <v/>
      </c>
      <c r="N756" s="3" t="n"/>
      <c r="O756" s="2" t="n"/>
      <c r="P756" s="2" t="n"/>
    </row>
    <row r="757">
      <c r="A757" s="2" t="n">
        <v>756</v>
      </c>
      <c r="B757" s="2" t="inlineStr">
        <is>
          <t>не сюжет</t>
        </is>
      </c>
      <c r="C757" s="2" t="n">
        <v>13611</v>
      </c>
      <c r="D757" s="3" t="inlineStr">
        <is>
          <t>Синичкин календарь. 1. Зима</t>
        </is>
      </c>
      <c r="E757" s="2" t="n">
        <v>1983</v>
      </c>
      <c r="F757" s="2" t="inlineStr">
        <is>
          <t>мультфильм</t>
        </is>
      </c>
      <c r="G757" s="2" t="inlineStr">
        <is>
          <t>ЭКРАН</t>
        </is>
      </c>
      <c r="H757" s="2" t="n">
        <v>29</v>
      </c>
      <c r="I757" s="2" t="inlineStr"/>
      <c r="J757" s="2" t="inlineStr">
        <is>
          <t>да</t>
        </is>
      </c>
      <c r="K757" s="3" t="inlineStr">
        <is>
          <t>По мотивам рассказов В.Бианки</t>
        </is>
      </c>
      <c r="L757" s="2" t="inlineStr">
        <is>
          <t>https://animator.ru/db/?p=show_film&amp;fid=4962</t>
        </is>
      </c>
      <c r="M757" s="2">
        <f>HYPERLINK("https://ru.wikipedia.org/w/index.php?search=%D0%A1%D0%B8%D0%BD%D0%B8%D1%87%D0%BA%D0%B8%D0%BD%20%D0%BA%D0%B0%D0%BB%D0%B5%D0%BD%D0%B4%D0%B0%D1%80%D1%8C.%201.%20%D0%97%D0%B8%D0%BC%D0%B0%201983%20%D1%84%D0%B8%D0%BB%D1%8C%D0%BC","искать")</f>
        <v/>
      </c>
      <c r="N757" s="3" t="n"/>
      <c r="O757" s="2" t="n"/>
      <c r="P757" s="2" t="n"/>
    </row>
    <row r="758">
      <c r="A758" s="2" t="n">
        <v>757</v>
      </c>
      <c r="B758" s="2" t="inlineStr">
        <is>
          <t>не сюжет</t>
        </is>
      </c>
      <c r="C758" s="2" t="n">
        <v>13689</v>
      </c>
      <c r="D758" s="3" t="inlineStr">
        <is>
          <t>Душа пегаса</t>
        </is>
      </c>
      <c r="E758" s="2" t="n">
        <v>1986</v>
      </c>
      <c r="F758" s="2" t="inlineStr">
        <is>
          <t>мультфильм</t>
        </is>
      </c>
      <c r="G758" s="2" t="inlineStr">
        <is>
          <t>МУЛЬТТЕЛЕФИЛЬМ ("Экран")</t>
        </is>
      </c>
      <c r="H758" s="2" t="n">
        <v>29</v>
      </c>
      <c r="I758" s="2" t="inlineStr"/>
      <c r="J758" s="2" t="inlineStr">
        <is>
          <t>да</t>
        </is>
      </c>
      <c r="K758" s="3" t="inlineStr">
        <is>
          <t>О вреде курения. Для взрослых</t>
        </is>
      </c>
      <c r="L758" s="2" t="inlineStr">
        <is>
          <t>https://animator.ru/db/?p=show_film&amp;fid=5081</t>
        </is>
      </c>
      <c r="M758" s="2">
        <f>HYPERLINK("https://ru.wikipedia.org/w/index.php?search=%D0%94%D1%83%D1%88%D0%B0%20%D0%BF%D0%B5%D0%B3%D0%B0%D1%81%D0%B0%201986%20%D1%84%D0%B8%D0%BB%D1%8C%D0%BC","искать")</f>
        <v/>
      </c>
      <c r="N758" s="3" t="n"/>
      <c r="O758" s="2" t="n"/>
      <c r="P758" s="2" t="n"/>
    </row>
    <row r="759">
      <c r="A759" s="2" t="n">
        <v>758</v>
      </c>
      <c r="B759" s="2" t="inlineStr">
        <is>
          <t>не сюжет</t>
        </is>
      </c>
      <c r="C759" s="2" t="n">
        <v>13776</v>
      </c>
      <c r="D759" s="3" t="inlineStr">
        <is>
          <t>Назло зайцу</t>
        </is>
      </c>
      <c r="E759" s="2" t="n">
        <v>1987</v>
      </c>
      <c r="F759" s="2" t="inlineStr">
        <is>
          <t>мультфильм</t>
        </is>
      </c>
      <c r="G759" s="2" t="inlineStr">
        <is>
          <t>ЭКРАН</t>
        </is>
      </c>
      <c r="H759" s="2" t="n">
        <v>29</v>
      </c>
      <c r="I759" s="2" t="inlineStr"/>
      <c r="J759" s="2" t="inlineStr">
        <is>
          <t>да</t>
        </is>
      </c>
      <c r="K759" s="3" t="inlineStr">
        <is>
          <t>О плохом и хорошем воспитании</t>
        </is>
      </c>
      <c r="L759" s="2" t="inlineStr">
        <is>
          <t>https://animator.ru/db/?p=show_film&amp;fid=5169</t>
        </is>
      </c>
      <c r="M759" s="2">
        <f>HYPERLINK("https://ru.wikipedia.org/w/index.php?search=%D0%9D%D0%B0%D0%B7%D0%BB%D0%BE%20%D0%B7%D0%B0%D0%B9%D1%86%D1%83%201987%20%D1%84%D0%B8%D0%BB%D1%8C%D0%BC","искать")</f>
        <v/>
      </c>
      <c r="N759" s="3" t="n"/>
      <c r="O759" s="2" t="n"/>
      <c r="P759" s="2" t="n"/>
    </row>
    <row r="760">
      <c r="A760" s="2" t="n">
        <v>759</v>
      </c>
      <c r="B760" s="2" t="inlineStr">
        <is>
          <t>не сюжет</t>
        </is>
      </c>
      <c r="C760" s="2" t="n">
        <v>13992</v>
      </c>
      <c r="D760" s="3" t="inlineStr">
        <is>
          <t>Четверка друзей. Сон</t>
        </is>
      </c>
      <c r="E760" s="2" t="n">
        <v>1981</v>
      </c>
      <c r="F760" s="2" t="inlineStr">
        <is>
          <t>мультфильм</t>
        </is>
      </c>
      <c r="G760" s="2" t="inlineStr">
        <is>
          <t>ЭКРАН</t>
        </is>
      </c>
      <c r="H760" s="2" t="n">
        <v>29</v>
      </c>
      <c r="I760" s="2" t="inlineStr"/>
      <c r="J760" s="2" t="inlineStr">
        <is>
          <t>да</t>
        </is>
      </c>
      <c r="K760" s="3" t="inlineStr">
        <is>
          <t>Заключительный фильм трилогии</t>
        </is>
      </c>
      <c r="L760" s="2" t="inlineStr">
        <is>
          <t>https://animator.ru/db/?p=show_film&amp;fid=5386</t>
        </is>
      </c>
      <c r="M760" s="2">
        <f>HYPERLINK("https://ru.wikipedia.org/w/index.php?search=%D0%A7%D0%B5%D1%82%D0%B2%D0%B5%D1%80%D0%BA%D0%B0%20%D0%B4%D1%80%D1%83%D0%B7%D0%B5%D0%B9.%20%D0%A1%D0%BE%D0%BD%201981%20%D1%84%D0%B8%D0%BB%D1%8C%D0%BC","искать")</f>
        <v/>
      </c>
      <c r="N760" s="3" t="n"/>
      <c r="O760" s="2" t="n"/>
      <c r="P760" s="2" t="n"/>
    </row>
    <row r="761">
      <c r="A761" s="2" t="n">
        <v>760</v>
      </c>
      <c r="B761" s="2" t="inlineStr">
        <is>
          <t>не сюжет</t>
        </is>
      </c>
      <c r="C761" s="2" t="n">
        <v>14059</v>
      </c>
      <c r="D761" s="3" t="inlineStr">
        <is>
          <t>Ромка, Фомка и Артос (1/3)</t>
        </is>
      </c>
      <c r="E761" s="2" t="n">
        <v>1989</v>
      </c>
      <c r="F761" s="2" t="inlineStr">
        <is>
          <t>мультфильм</t>
        </is>
      </c>
      <c r="G761" s="2" t="inlineStr">
        <is>
          <t>Свердловская киностудия</t>
        </is>
      </c>
      <c r="H761" s="2" t="n">
        <v>29</v>
      </c>
      <c r="I761" s="2" t="inlineStr"/>
      <c r="J761" s="2" t="inlineStr">
        <is>
          <t>да</t>
        </is>
      </c>
      <c r="K761" s="3" t="inlineStr">
        <is>
          <t>Заключительный фильм трилогии</t>
        </is>
      </c>
      <c r="L761" s="2" t="inlineStr">
        <is>
          <t>https://animator.ru/db/?p=show_film&amp;fid=5455</t>
        </is>
      </c>
      <c r="M761" s="2">
        <f>HYPERLINK("https://ru.wikipedia.org/w/index.php?search=%D0%A0%D0%BE%D0%BC%D0%BA%D0%B0%2C%20%D0%A4%D0%BE%D0%BC%D0%BA%D0%B0%20%D0%B8%20%D0%90%D1%80%D1%82%D0%BE%D1%81%20%281/3%29%201989%20%D1%84%D0%B8%D0%BB%D1%8C%D0%BC","искать")</f>
        <v/>
      </c>
      <c r="N761" s="3" t="n"/>
      <c r="O761" s="2" t="n"/>
      <c r="P761" s="2" t="n"/>
    </row>
    <row r="762">
      <c r="A762" s="2" t="n">
        <v>761</v>
      </c>
      <c r="B762" s="2" t="inlineStr">
        <is>
          <t>не сюжет</t>
        </is>
      </c>
      <c r="C762" s="2" t="n">
        <v>7198</v>
      </c>
      <c r="D762" s="3" t="inlineStr">
        <is>
          <t>Ак Меер</t>
        </is>
      </c>
      <c r="E762" s="2" t="n">
        <v>1969</v>
      </c>
      <c r="F762" s="2" t="inlineStr">
        <is>
          <t>телефильм</t>
        </is>
      </c>
      <c r="G762" s="2" t="n"/>
      <c r="H762" s="2" t="n">
        <v>30</v>
      </c>
      <c r="I762" s="2" t="inlineStr"/>
      <c r="J762" s="2" t="inlineStr">
        <is>
          <t>да</t>
        </is>
      </c>
      <c r="K762" s="3" t="inlineStr">
        <is>
          <t>Телефильм по народной легенде.</t>
        </is>
      </c>
      <c r="L762" s="2" t="inlineStr">
        <is>
          <t>Кино_СССР сводный каталог.xlsx: список телефильмов</t>
        </is>
      </c>
      <c r="M762" s="2">
        <f>HYPERLINK("https://ru.wikipedia.org/w/index.php?search=%D0%90%D0%BA%20%D0%9C%D0%B5%D0%B5%D1%80%201969%20%D1%84%D0%B8%D0%BB%D1%8C%D0%BC","искать")</f>
        <v/>
      </c>
      <c r="N762" s="3" t="n"/>
      <c r="O762" s="2" t="n"/>
      <c r="P762" s="2" t="n"/>
    </row>
    <row r="763">
      <c r="A763" s="2" t="n">
        <v>762</v>
      </c>
      <c r="B763" s="2" t="inlineStr">
        <is>
          <t>не сюжет</t>
        </is>
      </c>
      <c r="C763" s="2" t="n">
        <v>9053</v>
      </c>
      <c r="D763" s="3" t="inlineStr">
        <is>
          <t>Сны между праздниками</t>
        </is>
      </c>
      <c r="E763" s="2" t="n">
        <v>1989</v>
      </c>
      <c r="F763" s="2" t="inlineStr">
        <is>
          <t>кинофильм</t>
        </is>
      </c>
      <c r="G763" s="2" t="n"/>
      <c r="H763" s="2" t="n">
        <v>30</v>
      </c>
      <c r="I763" s="2" t="inlineStr"/>
      <c r="J763" s="2" t="inlineStr">
        <is>
          <t>да</t>
        </is>
      </c>
      <c r="K763" s="3" t="inlineStr">
        <is>
          <t>Рассказ про спящего режиссера.</t>
        </is>
      </c>
      <c r="L763" s="2" t="inlineStr">
        <is>
          <t>Кино_СССР сводный каталог.xlsx: список фильмов (доп.)</t>
        </is>
      </c>
      <c r="M763" s="2">
        <f>HYPERLINK("https://ru.wikipedia.org/w/index.php?search=%D0%A1%D0%BD%D1%8B%20%D0%BC%D0%B5%D0%B6%D0%B4%D1%83%20%D0%BF%D1%80%D0%B0%D0%B7%D0%B4%D0%BD%D0%B8%D0%BA%D0%B0%D0%BC%D0%B8%201989%20%D1%84%D0%B8%D0%BB%D1%8C%D0%BC","искать")</f>
        <v/>
      </c>
      <c r="N763" s="3" t="n"/>
      <c r="O763" s="2" t="n"/>
      <c r="P763" s="2" t="n"/>
    </row>
    <row r="764">
      <c r="A764" s="2" t="n">
        <v>763</v>
      </c>
      <c r="B764" s="2" t="inlineStr">
        <is>
          <t>не сюжет</t>
        </is>
      </c>
      <c r="C764" s="2" t="n">
        <v>9161</v>
      </c>
      <c r="D764" s="3" t="inlineStr">
        <is>
          <t>Что это?</t>
        </is>
      </c>
      <c r="E764" s="2" t="n">
        <v>1929</v>
      </c>
      <c r="F764" s="2" t="inlineStr">
        <is>
          <t>кинофильм</t>
        </is>
      </c>
      <c r="G764" s="2" t="n"/>
      <c r="H764" s="2" t="n">
        <v>30</v>
      </c>
      <c r="I764" s="2" t="inlineStr"/>
      <c r="J764" s="2" t="inlineStr">
        <is>
          <t>да</t>
        </is>
      </c>
      <c r="K764" s="3" t="inlineStr">
        <is>
          <t>Культурфильм о проблемах быта.</t>
        </is>
      </c>
      <c r="L764" s="2" t="inlineStr">
        <is>
          <t>Кино_СССР сводный каталог.xlsx: список фильмов (доп.)</t>
        </is>
      </c>
      <c r="M764" s="2">
        <f>HYPERLINK("https://ru.wikipedia.org/w/index.php?search=%D0%A7%D1%82%D0%BE%20%D1%8D%D1%82%D0%BE%3F%201929%20%D1%84%D0%B8%D0%BB%D1%8C%D0%BC","искать")</f>
        <v/>
      </c>
      <c r="N764" s="3" t="n"/>
      <c r="O764" s="2" t="n"/>
      <c r="P764" s="2" t="n"/>
    </row>
    <row r="765">
      <c r="A765" s="2" t="n">
        <v>764</v>
      </c>
      <c r="B765" s="2" t="inlineStr">
        <is>
          <t>не сюжет</t>
        </is>
      </c>
      <c r="C765" s="2" t="n">
        <v>10555</v>
      </c>
      <c r="D765" s="3" t="inlineStr">
        <is>
          <t>Гости и хозяева</t>
        </is>
      </c>
      <c r="E765" s="2" t="n">
        <v>1974</v>
      </c>
      <c r="F765" s="2" t="inlineStr">
        <is>
          <t>фильм-спектакль</t>
        </is>
      </c>
      <c r="G765" s="2" t="inlineStr">
        <is>
          <t>Ленинградское телевидение</t>
        </is>
      </c>
      <c r="H765" s="2" t="n">
        <v>30</v>
      </c>
      <c r="I765" s="2" t="inlineStr"/>
      <c r="J765" s="2" t="inlineStr">
        <is>
          <t>да</t>
        </is>
      </c>
      <c r="K765" s="3" t="inlineStr">
        <is>
          <t>По повести Ирины Велембовской.</t>
        </is>
      </c>
      <c r="L765" s="2" t="inlineStr">
        <is>
          <t>https://www.kino-teatr.ru/teatr/movie/137188/annot/</t>
        </is>
      </c>
      <c r="M765" s="2">
        <f>HYPERLINK("https://ru.wikipedia.org/w/index.php?search=%D0%93%D0%BE%D1%81%D1%82%D0%B8%20%D0%B8%20%D1%85%D0%BE%D0%B7%D1%8F%D0%B5%D0%B2%D0%B0%201974%20%D1%84%D0%B8%D0%BB%D1%8C%D0%BC","искать")</f>
        <v/>
      </c>
      <c r="N765" s="3" t="n"/>
      <c r="O765" s="2" t="n"/>
      <c r="P765" s="2" t="n"/>
    </row>
    <row r="766">
      <c r="A766" s="2" t="n">
        <v>765</v>
      </c>
      <c r="B766" s="2" t="inlineStr">
        <is>
          <t>не сюжет</t>
        </is>
      </c>
      <c r="C766" s="2" t="n">
        <v>11243</v>
      </c>
      <c r="D766" s="3" t="inlineStr">
        <is>
          <t>Трое на красном ковре (1988-1990)</t>
        </is>
      </c>
      <c r="E766" s="2" t="n">
        <v>1988</v>
      </c>
      <c r="F766" s="2" t="inlineStr">
        <is>
          <t>фильм-спектакль</t>
        </is>
      </c>
      <c r="G766" s="2" t="inlineStr">
        <is>
          <t>Главная редакция литературно-драматических программ ЦТ</t>
        </is>
      </c>
      <c r="H766" s="2" t="n">
        <v>30</v>
      </c>
      <c r="I766" s="2" t="inlineStr"/>
      <c r="J766" s="2" t="inlineStr">
        <is>
          <t>да</t>
        </is>
      </c>
      <c r="K766" s="3" t="inlineStr">
        <is>
          <t>Из цикла "Политический театр".</t>
        </is>
      </c>
      <c r="L766" s="2" t="inlineStr">
        <is>
          <t>https://www.kino-teatr.ru/teatr/movie/11180/annot/</t>
        </is>
      </c>
      <c r="M766" s="2">
        <f>HYPERLINK("https://ru.wikipedia.org/w/index.php?search=%D0%A2%D1%80%D0%BE%D0%B5%20%D0%BD%D0%B0%20%D0%BA%D1%80%D0%B0%D1%81%D0%BD%D0%BE%D0%BC%20%D0%BA%D0%BE%D0%B2%D1%80%D0%B5%20%281988-1990%29%201988%20%D1%84%D0%B8%D0%BB%D1%8C%D0%BC","искать")</f>
        <v/>
      </c>
      <c r="N766" s="3" t="n"/>
      <c r="O766" s="2" t="n"/>
      <c r="P766" s="2" t="n"/>
    </row>
    <row r="767">
      <c r="A767" s="2" t="n">
        <v>766</v>
      </c>
      <c r="B767" s="2" t="inlineStr">
        <is>
          <t>не сюжет</t>
        </is>
      </c>
      <c r="C767" s="2" t="n">
        <v>11395</v>
      </c>
      <c r="D767" s="3" t="inlineStr">
        <is>
          <t>Тайна</t>
        </is>
      </c>
      <c r="E767" s="2" t="n">
        <v>1980</v>
      </c>
      <c r="F767" s="2" t="inlineStr">
        <is>
          <t>мультфильм</t>
        </is>
      </c>
      <c r="G767" s="2" t="inlineStr">
        <is>
          <t>ГРУЗИЯ-ФИЛЬМ - АО</t>
        </is>
      </c>
      <c r="H767" s="2" t="n">
        <v>30</v>
      </c>
      <c r="I767" s="2" t="inlineStr"/>
      <c r="J767" s="2" t="inlineStr">
        <is>
          <t>да</t>
        </is>
      </c>
      <c r="K767" s="3" t="inlineStr">
        <is>
          <t>Фильм участвовал в Тарусе-1997</t>
        </is>
      </c>
      <c r="L767" s="2" t="inlineStr">
        <is>
          <t>https://animator.ru/db/?p=show_film&amp;fid=1926</t>
        </is>
      </c>
      <c r="M767" s="2">
        <f>HYPERLINK("https://ru.wikipedia.org/w/index.php?search=%D0%A2%D0%B0%D0%B9%D0%BD%D0%B0%201980%20%D1%84%D0%B8%D0%BB%D1%8C%D0%BC","искать")</f>
        <v/>
      </c>
      <c r="N767" s="3" t="n"/>
      <c r="O767" s="2" t="n"/>
      <c r="P767" s="2" t="n"/>
    </row>
    <row r="768">
      <c r="A768" s="2" t="n">
        <v>767</v>
      </c>
      <c r="B768" s="2" t="inlineStr">
        <is>
          <t>не сюжет</t>
        </is>
      </c>
      <c r="C768" s="2" t="n">
        <v>11547</v>
      </c>
      <c r="D768" s="3" t="inlineStr">
        <is>
          <t>ТРИ ПОРОСЕНКА ("Фитиль" N 14)</t>
        </is>
      </c>
      <c r="E768" s="2" t="n">
        <v>1963</v>
      </c>
      <c r="F768" s="2" t="inlineStr">
        <is>
          <t>мультфильм</t>
        </is>
      </c>
      <c r="G768" s="2" t="inlineStr">
        <is>
          <t>Союзмультфильм</t>
        </is>
      </c>
      <c r="H768" s="2" t="n">
        <v>30</v>
      </c>
      <c r="I768" s="2" t="inlineStr"/>
      <c r="J768" s="2" t="inlineStr">
        <is>
          <t>да</t>
        </is>
      </c>
      <c r="K768" s="3" t="inlineStr">
        <is>
          <t>О беспорядках на мясокомбинате</t>
        </is>
      </c>
      <c r="L768" s="2" t="inlineStr">
        <is>
          <t>https://animator.ru/db/?p=show_film&amp;fid=2379</t>
        </is>
      </c>
      <c r="M768" s="2">
        <f>HYPERLINK("https://ru.wikipedia.org/w/index.php?search=%D0%A2%D0%A0%D0%98%20%D0%9F%D0%9E%D0%A0%D0%9E%D0%A1%D0%95%D0%9D%D0%9A%D0%90%20%28%22%D0%A4%D0%B8%D1%82%D0%B8%D0%BB%D1%8C%22%20N%2014%29%201963%20%D1%84%D0%B8%D0%BB%D1%8C%D0%BC","искать")</f>
        <v/>
      </c>
      <c r="N768" s="3" t="n"/>
      <c r="O768" s="2" t="n"/>
      <c r="P768" s="2" t="n"/>
    </row>
    <row r="769">
      <c r="A769" s="2" t="n">
        <v>768</v>
      </c>
      <c r="B769" s="2" t="inlineStr">
        <is>
          <t>не сюжет</t>
        </is>
      </c>
      <c r="C769" s="2" t="n">
        <v>12099</v>
      </c>
      <c r="D769" s="3" t="inlineStr">
        <is>
          <t>То ли птица, то ли зверь</t>
        </is>
      </c>
      <c r="E769" s="2" t="n">
        <v>1984</v>
      </c>
      <c r="F769" s="2" t="inlineStr">
        <is>
          <t>мультфильм</t>
        </is>
      </c>
      <c r="G769" s="2" t="inlineStr">
        <is>
          <t>Союзмультфильм</t>
        </is>
      </c>
      <c r="H769" s="2" t="n">
        <v>30</v>
      </c>
      <c r="I769" s="2" t="inlineStr"/>
      <c r="J769" s="2" t="inlineStr">
        <is>
          <t>да</t>
        </is>
      </c>
      <c r="K769" s="3" t="inlineStr">
        <is>
          <t>По мотивам монгольской сказки.</t>
        </is>
      </c>
      <c r="L769" s="2" t="inlineStr">
        <is>
          <t>2026-10_мультфильмы_список_владельца.xlsx; https://animator.ru/db/?p=show_film&amp;fid=3215</t>
        </is>
      </c>
      <c r="M769" s="2">
        <f>HYPERLINK("https://ru.wikipedia.org/w/index.php?search=%D0%A2%D0%BE%20%D0%BB%D0%B8%20%D0%BF%D1%82%D0%B8%D1%86%D0%B0%2C%20%D1%82%D0%BE%20%D0%BB%D0%B8%20%D0%B7%D0%B2%D0%B5%D1%80%D1%8C%201984%20%D1%84%D0%B8%D0%BB%D1%8C%D0%BC","искать")</f>
        <v/>
      </c>
      <c r="N769" s="3" t="n"/>
      <c r="O769" s="2" t="n"/>
      <c r="P769" s="2" t="n"/>
    </row>
    <row r="770">
      <c r="A770" s="2" t="n">
        <v>769</v>
      </c>
      <c r="B770" s="2" t="inlineStr">
        <is>
          <t>не сюжет</t>
        </is>
      </c>
      <c r="C770" s="2" t="n">
        <v>12206</v>
      </c>
      <c r="D770" s="3" t="inlineStr">
        <is>
          <t>Исчезатель</t>
        </is>
      </c>
      <c r="E770" s="2" t="n">
        <v>1987</v>
      </c>
      <c r="F770" s="2" t="inlineStr">
        <is>
          <t>мультфильм</t>
        </is>
      </c>
      <c r="G770" s="2" t="inlineStr">
        <is>
          <t>Союзмультфильм</t>
        </is>
      </c>
      <c r="H770" s="2" t="n">
        <v>30</v>
      </c>
      <c r="I770" s="2" t="inlineStr"/>
      <c r="J770" s="2" t="inlineStr">
        <is>
          <t>да</t>
        </is>
      </c>
      <c r="K770" s="3" t="inlineStr">
        <is>
          <t>По мотивам рассказа Р.Лафферти</t>
        </is>
      </c>
      <c r="L770" s="2" t="inlineStr">
        <is>
          <t>https://animator.ru/db/?p=show_film&amp;fid=3323</t>
        </is>
      </c>
      <c r="M770" s="2">
        <f>HYPERLINK("https://ru.wikipedia.org/w/index.php?search=%D0%98%D1%81%D1%87%D0%B5%D0%B7%D0%B0%D1%82%D0%B5%D0%BB%D1%8C%201987%20%D1%84%D0%B8%D0%BB%D1%8C%D0%BC","искать")</f>
        <v/>
      </c>
      <c r="N770" s="3" t="n"/>
      <c r="O770" s="2" t="n"/>
      <c r="P770" s="2" t="n"/>
    </row>
    <row r="771">
      <c r="A771" s="2" t="n">
        <v>770</v>
      </c>
      <c r="B771" s="2" t="inlineStr">
        <is>
          <t>не сюжет</t>
        </is>
      </c>
      <c r="C771" s="2" t="n">
        <v>12329</v>
      </c>
      <c r="D771" s="3" t="inlineStr">
        <is>
          <t>Буквы из ящика радиста. Три буквы...</t>
        </is>
      </c>
      <c r="E771" s="2" t="n">
        <v>1966</v>
      </c>
      <c r="F771" s="2" t="inlineStr">
        <is>
          <t>мультфильм</t>
        </is>
      </c>
      <c r="G771" s="2" t="inlineStr">
        <is>
          <t>КИЕВНАУЧФИЛЬМ</t>
        </is>
      </c>
      <c r="H771" s="2" t="n">
        <v>30</v>
      </c>
      <c r="I771" s="2" t="inlineStr"/>
      <c r="J771" s="2" t="inlineStr">
        <is>
          <t>да</t>
        </is>
      </c>
      <c r="K771" s="3" t="inlineStr">
        <is>
          <t>По сказке Б.Фучика и Б.Силовой</t>
        </is>
      </c>
      <c r="L771" s="2" t="inlineStr">
        <is>
          <t>https://animator.ru/db/?p=show_film&amp;fid=3493</t>
        </is>
      </c>
      <c r="M771" s="2">
        <f>HYPERLINK("https://ru.wikipedia.org/w/index.php?search=%D0%91%D1%83%D0%BA%D0%B2%D1%8B%20%D0%B8%D0%B7%20%D1%8F%D1%89%D0%B8%D0%BA%D0%B0%20%D1%80%D0%B0%D0%B4%D0%B8%D1%81%D1%82%D0%B0.%20%D0%A2%D1%80%D0%B8%20%D0%B1%D1%83%D0%BA%D0%B2%D1%8B...%201966%20%D1%84%D0%B8%D0%BB%D1%8C%D0%BC","искать")</f>
        <v/>
      </c>
      <c r="N771" s="3" t="n"/>
      <c r="O771" s="2" t="n"/>
      <c r="P771" s="2" t="n"/>
    </row>
    <row r="772">
      <c r="A772" s="2" t="n">
        <v>771</v>
      </c>
      <c r="B772" s="2" t="inlineStr">
        <is>
          <t>не сюжет</t>
        </is>
      </c>
      <c r="C772" s="2" t="n">
        <v>12429</v>
      </c>
      <c r="D772" s="3" t="inlineStr">
        <is>
          <t>Колосок</t>
        </is>
      </c>
      <c r="E772" s="2" t="n">
        <v>1982</v>
      </c>
      <c r="F772" s="2" t="inlineStr">
        <is>
          <t>мультфильм</t>
        </is>
      </c>
      <c r="G772" s="2" t="inlineStr">
        <is>
          <t>КИЕВНАУЧФИЛЬМ</t>
        </is>
      </c>
      <c r="H772" s="2" t="n">
        <v>30</v>
      </c>
      <c r="I772" s="2" t="inlineStr"/>
      <c r="J772" s="2" t="inlineStr">
        <is>
          <t>да</t>
        </is>
      </c>
      <c r="K772" s="3" t="inlineStr">
        <is>
          <t>По украинской народной сказке.</t>
        </is>
      </c>
      <c r="L772" s="2" t="inlineStr">
        <is>
          <t>2026-10_мультфильмы_список_владельца.xlsx; https://animator.ru/db/?p=show_film&amp;fid=3600</t>
        </is>
      </c>
      <c r="M772" s="2">
        <f>HYPERLINK("https://ru.wikipedia.org/w/index.php?search=%D0%9A%D0%BE%D0%BB%D0%BE%D1%81%D0%BE%D0%BA%201982%20%D1%84%D0%B8%D0%BB%D1%8C%D0%BC","искать")</f>
        <v/>
      </c>
      <c r="N772" s="3" t="n"/>
      <c r="O772" s="2" t="n"/>
      <c r="P772" s="2" t="n"/>
    </row>
    <row r="773">
      <c r="A773" s="2" t="n">
        <v>772</v>
      </c>
      <c r="B773" s="2" t="inlineStr">
        <is>
          <t>не сюжет</t>
        </is>
      </c>
      <c r="C773" s="2" t="n">
        <v>12496</v>
      </c>
      <c r="D773" s="3" t="inlineStr">
        <is>
          <t>Парасолька и автомобиль</t>
        </is>
      </c>
      <c r="E773" s="2" t="n">
        <v>1975</v>
      </c>
      <c r="F773" s="2" t="inlineStr">
        <is>
          <t>мультфильм</t>
        </is>
      </c>
      <c r="G773" s="2" t="inlineStr">
        <is>
          <t>КИЕВНАУЧФИЛЬМ</t>
        </is>
      </c>
      <c r="H773" s="2" t="n">
        <v>30</v>
      </c>
      <c r="I773" s="2" t="inlineStr"/>
      <c r="J773" s="2" t="inlineStr">
        <is>
          <t>да</t>
        </is>
      </c>
      <c r="K773" s="3" t="inlineStr">
        <is>
          <t>Мульт из серии про Парасольку.</t>
        </is>
      </c>
      <c r="L773" s="2" t="inlineStr">
        <is>
          <t>2026-10_мультфильмы_список_владельца.xlsx; https://animator.ru/db/?p=show_film&amp;fid=3671</t>
        </is>
      </c>
      <c r="M773" s="2">
        <f>HYPERLINK("https://ru.wikipedia.org/w/index.php?search=%D0%9F%D0%B0%D1%80%D0%B0%D1%81%D0%BE%D0%BB%D1%8C%D0%BA%D0%B0%20%D0%B8%20%D0%B0%D0%B2%D1%82%D0%BE%D0%BC%D0%BE%D0%B1%D0%B8%D0%BB%D1%8C%201975%20%D1%84%D0%B8%D0%BB%D1%8C%D0%BC","искать")</f>
        <v/>
      </c>
      <c r="N773" s="3" t="n"/>
      <c r="O773" s="2" t="n"/>
      <c r="P773" s="2" t="n"/>
    </row>
    <row r="774">
      <c r="A774" s="2" t="n">
        <v>773</v>
      </c>
      <c r="B774" s="2" t="inlineStr">
        <is>
          <t>не сюжет</t>
        </is>
      </c>
      <c r="C774" s="2" t="n">
        <v>12499</v>
      </c>
      <c r="D774" s="3" t="inlineStr">
        <is>
          <t>Парасолька на рыбалке</t>
        </is>
      </c>
      <c r="E774" s="2" t="n">
        <v>1973</v>
      </c>
      <c r="F774" s="2" t="inlineStr">
        <is>
          <t>мультфильм</t>
        </is>
      </c>
      <c r="G774" s="2" t="inlineStr">
        <is>
          <t>КИЕВНАУЧФИЛЬМ</t>
        </is>
      </c>
      <c r="H774" s="2" t="n">
        <v>30</v>
      </c>
      <c r="I774" s="2" t="inlineStr"/>
      <c r="J774" s="2" t="inlineStr">
        <is>
          <t>да</t>
        </is>
      </c>
      <c r="K774" s="3" t="inlineStr">
        <is>
          <t>Мульт из серии про Парасольку.</t>
        </is>
      </c>
      <c r="L774" s="2" t="inlineStr">
        <is>
          <t>2026-10_мультфильмы_список_владельца.xlsx; https://animator.ru/db/?p=show_film&amp;fid=3674</t>
        </is>
      </c>
      <c r="M774" s="2">
        <f>HYPERLINK("https://ru.wikipedia.org/w/index.php?search=%D0%9F%D0%B0%D1%80%D0%B0%D1%81%D0%BE%D0%BB%D1%8C%D0%BA%D0%B0%20%D0%BD%D0%B0%20%D1%80%D1%8B%D0%B1%D0%B0%D0%BB%D0%BA%D0%B5%201973%20%D1%84%D0%B8%D0%BB%D1%8C%D0%BC","искать")</f>
        <v/>
      </c>
      <c r="N774" s="3" t="n"/>
      <c r="O774" s="2" t="n"/>
      <c r="P774" s="2" t="n"/>
    </row>
    <row r="775">
      <c r="A775" s="2" t="n">
        <v>774</v>
      </c>
      <c r="B775" s="2" t="inlineStr">
        <is>
          <t>не сюжет</t>
        </is>
      </c>
      <c r="C775" s="2" t="n">
        <v>12591</v>
      </c>
      <c r="D775" s="3" t="inlineStr">
        <is>
          <t>Украйнизация</t>
        </is>
      </c>
      <c r="E775" s="2" t="n">
        <v>1927</v>
      </c>
      <c r="F775" s="2" t="inlineStr">
        <is>
          <t>мультфильм</t>
        </is>
      </c>
      <c r="G775" s="2" t="inlineStr">
        <is>
          <t>Центральная мультмастерская ВУФКУ</t>
        </is>
      </c>
      <c r="H775" s="2" t="n">
        <v>30</v>
      </c>
      <c r="I775" s="2" t="inlineStr"/>
      <c r="J775" s="2" t="inlineStr">
        <is>
          <t>да</t>
        </is>
      </c>
      <c r="K775" s="3" t="inlineStr">
        <is>
          <t>Сведений о выходе на экран нет</t>
        </is>
      </c>
      <c r="L775" s="2" t="inlineStr">
        <is>
          <t>https://animator.ru/db/?p=show_film&amp;fid=3771</t>
        </is>
      </c>
      <c r="M775" s="2">
        <f>HYPERLINK("https://ru.wikipedia.org/w/index.php?search=%D0%A3%D0%BA%D1%80%D0%B0%D0%B9%D0%BD%D0%B8%D0%B7%D0%B0%D1%86%D0%B8%D1%8F%201927%20%D1%84%D0%B8%D0%BB%D1%8C%D0%BC","искать")</f>
        <v/>
      </c>
      <c r="N775" s="3" t="n"/>
      <c r="O775" s="2" t="n"/>
      <c r="P775" s="2" t="n"/>
    </row>
    <row r="776">
      <c r="A776" s="2" t="n">
        <v>775</v>
      </c>
      <c r="B776" s="2" t="inlineStr">
        <is>
          <t>не сюжет</t>
        </is>
      </c>
      <c r="C776" s="2" t="n">
        <v>12850</v>
      </c>
      <c r="D776" s="3" t="inlineStr">
        <is>
          <t>Так рождаются звезды</t>
        </is>
      </c>
      <c r="E776" s="2" t="n">
        <v>1969</v>
      </c>
      <c r="F776" s="2" t="inlineStr">
        <is>
          <t>мультфильм</t>
        </is>
      </c>
      <c r="G776" s="2" t="inlineStr">
        <is>
          <t>ГРУЗИЯ-ФИЛЬМ - АО</t>
        </is>
      </c>
      <c r="H776" s="2" t="n">
        <v>30</v>
      </c>
      <c r="I776" s="2" t="inlineStr"/>
      <c r="J776" s="2" t="inlineStr">
        <is>
          <t>да</t>
        </is>
      </c>
      <c r="K776" s="3" t="inlineStr">
        <is>
          <t>На всесоюзный экран не выпущен</t>
        </is>
      </c>
      <c r="L776" s="2" t="inlineStr">
        <is>
          <t>https://animator.ru/db/?p=show_film&amp;fid=4074</t>
        </is>
      </c>
      <c r="M776" s="2">
        <f>HYPERLINK("https://ru.wikipedia.org/w/index.php?search=%D0%A2%D0%B0%D0%BA%20%D1%80%D0%BE%D0%B6%D0%B4%D0%B0%D1%8E%D1%82%D1%81%D1%8F%20%D0%B7%D0%B2%D0%B5%D0%B7%D0%B4%D1%8B%201969%20%D1%84%D0%B8%D0%BB%D1%8C%D0%BC","искать")</f>
        <v/>
      </c>
      <c r="N776" s="3" t="n"/>
      <c r="O776" s="2" t="n"/>
      <c r="P776" s="2" t="n"/>
    </row>
    <row r="777">
      <c r="A777" s="2" t="n">
        <v>776</v>
      </c>
      <c r="B777" s="2" t="inlineStr">
        <is>
          <t>не сюжет</t>
        </is>
      </c>
      <c r="C777" s="2" t="n">
        <v>13243</v>
      </c>
      <c r="D777" s="3" t="inlineStr">
        <is>
          <t>Надоедливый музыкант и другие шутки-малютки</t>
        </is>
      </c>
      <c r="E777" s="2" t="n">
        <v>1972</v>
      </c>
      <c r="F777" s="2" t="inlineStr">
        <is>
          <t>мультфильм</t>
        </is>
      </c>
      <c r="G777" s="2" t="inlineStr">
        <is>
          <t>ТАЛЛИННФИЛЬМ</t>
        </is>
      </c>
      <c r="H777" s="2" t="n">
        <v>30</v>
      </c>
      <c r="I777" s="2" t="inlineStr"/>
      <c r="J777" s="2" t="inlineStr">
        <is>
          <t>да</t>
        </is>
      </c>
      <c r="K777" s="3" t="inlineStr">
        <is>
          <t>Веселые миниатюры для взрослых</t>
        </is>
      </c>
      <c r="L777" s="2" t="inlineStr">
        <is>
          <t>https://animator.ru/db/?p=show_film&amp;fid=4488</t>
        </is>
      </c>
      <c r="M777" s="2">
        <f>HYPERLINK("https://ru.wikipedia.org/w/index.php?search=%D0%9D%D0%B0%D0%B4%D0%BE%D0%B5%D0%B4%D0%BB%D0%B8%D0%B2%D1%8B%D0%B9%20%D0%BC%D1%83%D0%B7%D1%8B%D0%BA%D0%B0%D0%BD%D1%82%20%D0%B8%20%D0%B4%D1%80%D1%83%D0%B3%D0%B8%D0%B5%20%D1%88%D1%83%D1%82%D0%BA%D0%B8-%D0%BC%D0%B0%D0%BB%D1%8E%D1%82%D0%BA%D0%B8%201972%20%D1%84%D0%B8%D0%BB%D1%8C%D0%BC","искать")</f>
        <v/>
      </c>
      <c r="N777" s="3" t="n"/>
      <c r="O777" s="2" t="n"/>
      <c r="P777" s="2" t="n"/>
    </row>
    <row r="778">
      <c r="A778" s="2" t="n">
        <v>777</v>
      </c>
      <c r="B778" s="2" t="inlineStr">
        <is>
          <t>не сюжет</t>
        </is>
      </c>
      <c r="C778" s="2" t="n">
        <v>13489</v>
      </c>
      <c r="D778" s="3" t="inlineStr">
        <is>
          <t>Резвый</t>
        </is>
      </c>
      <c r="E778" s="2" t="n">
        <v>1990</v>
      </c>
      <c r="F778" s="2" t="inlineStr">
        <is>
          <t>мультфильм</t>
        </is>
      </c>
      <c r="G778" s="2" t="inlineStr">
        <is>
          <t>Свердловская киностудия</t>
        </is>
      </c>
      <c r="H778" s="2" t="n">
        <v>30</v>
      </c>
      <c r="I778" s="2" t="inlineStr"/>
      <c r="J778" s="2" t="inlineStr">
        <is>
          <t>да</t>
        </is>
      </c>
      <c r="K778" s="3" t="inlineStr">
        <is>
          <t>О добром отношении к животным.</t>
        </is>
      </c>
      <c r="L778" s="2" t="inlineStr">
        <is>
          <t>2026-10_мультфильмы_список_владельца.xlsx; https://animator.ru/db/?p=show_film&amp;fid=4779</t>
        </is>
      </c>
      <c r="M778" s="2">
        <f>HYPERLINK("https://ru.wikipedia.org/w/index.php?search=%D0%A0%D0%B5%D0%B7%D0%B2%D1%8B%D0%B9%201990%20%D1%84%D0%B8%D0%BB%D1%8C%D0%BC","искать")</f>
        <v/>
      </c>
      <c r="N778" s="3" t="n"/>
      <c r="O778" s="2" t="n"/>
      <c r="P778" s="2" t="n"/>
    </row>
    <row r="779">
      <c r="A779" s="2" t="n">
        <v>778</v>
      </c>
      <c r="B779" s="2" t="inlineStr">
        <is>
          <t>не сюжет</t>
        </is>
      </c>
      <c r="C779" s="2" t="n">
        <v>13615</v>
      </c>
      <c r="D779" s="3" t="inlineStr">
        <is>
          <t>Жук - Кривая горка</t>
        </is>
      </c>
      <c r="E779" s="2" t="n">
        <v>1973</v>
      </c>
      <c r="F779" s="2" t="inlineStr">
        <is>
          <t>мультфильм</t>
        </is>
      </c>
      <c r="G779" s="2" t="inlineStr">
        <is>
          <t>ЭКРАН</t>
        </is>
      </c>
      <c r="H779" s="2" t="n">
        <v>30</v>
      </c>
      <c r="I779" s="2" t="inlineStr"/>
      <c r="J779" s="2" t="inlineStr">
        <is>
          <t>да</t>
        </is>
      </c>
      <c r="K779" s="3" t="inlineStr">
        <is>
          <t>О жуке, который любил порядок.</t>
        </is>
      </c>
      <c r="L779" s="2" t="inlineStr">
        <is>
          <t>2026-10_мультфильмы_список_владельца.xlsx; https://animator.ru/db/?p=show_film&amp;fid=5006</t>
        </is>
      </c>
      <c r="M779" s="2">
        <f>HYPERLINK("https://ru.wikipedia.org/w/index.php?search=%D0%96%D1%83%D0%BA%20-%20%D0%9A%D1%80%D0%B8%D0%B2%D0%B0%D1%8F%20%D0%B3%D0%BE%D1%80%D0%BA%D0%B0%201973%20%D1%84%D0%B8%D0%BB%D1%8C%D0%BC","искать")</f>
        <v/>
      </c>
      <c r="N779" s="3" t="n"/>
      <c r="O779" s="2" t="n"/>
      <c r="P779" s="2" t="n"/>
    </row>
    <row r="780">
      <c r="A780" s="2" t="n">
        <v>779</v>
      </c>
      <c r="B780" s="2" t="inlineStr">
        <is>
          <t>не сюжет</t>
        </is>
      </c>
      <c r="C780" s="2" t="n">
        <v>13641</v>
      </c>
      <c r="D780" s="3" t="inlineStr">
        <is>
          <t>Ванна</t>
        </is>
      </c>
      <c r="E780" s="2" t="n">
        <v>1986</v>
      </c>
      <c r="F780" s="2" t="inlineStr">
        <is>
          <t>мультфильм</t>
        </is>
      </c>
      <c r="G780" s="2" t="inlineStr">
        <is>
          <t>ЭКРАН</t>
        </is>
      </c>
      <c r="H780" s="2" t="n">
        <v>30</v>
      </c>
      <c r="I780" s="2" t="inlineStr"/>
      <c r="J780" s="2" t="inlineStr">
        <is>
          <t>да</t>
        </is>
      </c>
      <c r="K780" s="3" t="inlineStr">
        <is>
          <t>О необходимости экономить воду</t>
        </is>
      </c>
      <c r="L780" s="2" t="inlineStr">
        <is>
          <t>https://animator.ru/db/?p=show_film&amp;fid=5033</t>
        </is>
      </c>
      <c r="M780" s="2">
        <f>HYPERLINK("https://ru.wikipedia.org/w/index.php?search=%D0%92%D0%B0%D0%BD%D0%BD%D0%B0%201986%20%D1%84%D0%B8%D0%BB%D1%8C%D0%BC","искать")</f>
        <v/>
      </c>
      <c r="N780" s="3" t="n"/>
      <c r="O780" s="2" t="n"/>
      <c r="P780" s="2" t="n"/>
    </row>
    <row r="781">
      <c r="A781" s="2" t="n">
        <v>780</v>
      </c>
      <c r="B781" s="2" t="inlineStr">
        <is>
          <t>не сюжет</t>
        </is>
      </c>
      <c r="C781" s="2" t="n">
        <v>13701</v>
      </c>
      <c r="D781" s="3" t="inlineStr">
        <is>
          <t>Зеленый брат</t>
        </is>
      </c>
      <c r="E781" s="2" t="n">
        <v>1988</v>
      </c>
      <c r="F781" s="2" t="inlineStr">
        <is>
          <t>мультфильм</t>
        </is>
      </c>
      <c r="G781" s="2" t="inlineStr">
        <is>
          <t>ЭКРАН</t>
        </is>
      </c>
      <c r="H781" s="2" t="n">
        <v>30</v>
      </c>
      <c r="I781" s="2" t="inlineStr"/>
      <c r="J781" s="2" t="inlineStr">
        <is>
          <t>да</t>
        </is>
      </c>
      <c r="K781" s="3" t="inlineStr">
        <is>
          <t>О бережном отношении к природе</t>
        </is>
      </c>
      <c r="L781" s="2" t="inlineStr">
        <is>
          <t>https://animator.ru/db/?p=show_film&amp;fid=5094</t>
        </is>
      </c>
      <c r="M781" s="2">
        <f>HYPERLINK("https://ru.wikipedia.org/w/index.php?search=%D0%97%D0%B5%D0%BB%D0%B5%D0%BD%D1%8B%D0%B9%20%D0%B1%D1%80%D0%B0%D1%82%201988%20%D1%84%D0%B8%D0%BB%D1%8C%D0%BC","искать")</f>
        <v/>
      </c>
      <c r="N781" s="3" t="n"/>
      <c r="O781" s="2" t="n"/>
      <c r="P781" s="2" t="n"/>
    </row>
    <row r="782">
      <c r="A782" s="2" t="n">
        <v>781</v>
      </c>
      <c r="B782" s="2" t="inlineStr">
        <is>
          <t>не сюжет</t>
        </is>
      </c>
      <c r="C782" s="2" t="n">
        <v>13716</v>
      </c>
      <c r="D782" s="3" t="inlineStr">
        <is>
          <t>Каскадер</t>
        </is>
      </c>
      <c r="E782" s="2" t="n">
        <v>1988</v>
      </c>
      <c r="F782" s="2" t="inlineStr">
        <is>
          <t>мультфильм</t>
        </is>
      </c>
      <c r="G782" s="2" t="inlineStr">
        <is>
          <t>ЭКРАН</t>
        </is>
      </c>
      <c r="H782" s="2" t="n">
        <v>30</v>
      </c>
      <c r="I782" s="2" t="inlineStr"/>
      <c r="J782" s="2" t="inlineStr">
        <is>
          <t>да</t>
        </is>
      </c>
      <c r="K782" s="3" t="inlineStr">
        <is>
          <t>Плакат о чистоте дворов и улиц</t>
        </is>
      </c>
      <c r="L782" s="2" t="inlineStr">
        <is>
          <t>https://animator.ru/db/?p=show_film&amp;fid=5109</t>
        </is>
      </c>
      <c r="M782" s="2">
        <f>HYPERLINK("https://ru.wikipedia.org/w/index.php?search=%D0%9A%D0%B0%D1%81%D0%BA%D0%B0%D0%B4%D0%B5%D1%80%201988%20%D1%84%D0%B8%D0%BB%D1%8C%D0%BC","искать")</f>
        <v/>
      </c>
      <c r="N782" s="3" t="n"/>
      <c r="O782" s="2" t="n"/>
      <c r="P782" s="2" t="n"/>
    </row>
    <row r="783">
      <c r="A783" s="2" t="n">
        <v>782</v>
      </c>
      <c r="B783" s="2" t="inlineStr">
        <is>
          <t>не сюжет</t>
        </is>
      </c>
      <c r="C783" s="2" t="n">
        <v>13880</v>
      </c>
      <c r="D783" s="3" t="inlineStr">
        <is>
          <t>Рикэ-хохолок</t>
        </is>
      </c>
      <c r="E783" s="2" t="n">
        <v>1985</v>
      </c>
      <c r="F783" s="2" t="inlineStr">
        <is>
          <t>мультфильм</t>
        </is>
      </c>
      <c r="G783" s="2" t="inlineStr">
        <is>
          <t>МУЛЬТТЕЛЕФИЛЬМ ("Экран")</t>
        </is>
      </c>
      <c r="H783" s="2" t="n">
        <v>30</v>
      </c>
      <c r="I783" s="2" t="inlineStr"/>
      <c r="J783" s="2" t="inlineStr">
        <is>
          <t>да</t>
        </is>
      </c>
      <c r="K783" s="3" t="inlineStr">
        <is>
          <t>По мотивам сказки Шарля Перро.</t>
        </is>
      </c>
      <c r="L783" s="2" t="inlineStr">
        <is>
          <t>2026-10_мультфильмы_список_владельца.xlsx; https://animator.ru/db/?p=show_film&amp;fid=5273</t>
        </is>
      </c>
      <c r="M783" s="2">
        <f>HYPERLINK("https://ru.wikipedia.org/w/index.php?search=%D0%A0%D0%B8%D0%BA%D1%8D-%D1%85%D0%BE%D1%85%D0%BE%D0%BB%D0%BE%D0%BA%201985%20%D1%84%D0%B8%D0%BB%D1%8C%D0%BC","искать")</f>
        <v/>
      </c>
      <c r="N783" s="3" t="n"/>
      <c r="O783" s="2" t="n"/>
      <c r="P783" s="2" t="n"/>
    </row>
    <row r="784">
      <c r="A784" s="2" t="n">
        <v>783</v>
      </c>
      <c r="B784" s="2" t="inlineStr">
        <is>
          <t>не сюжет</t>
        </is>
      </c>
      <c r="C784" s="2" t="n">
        <v>14003</v>
      </c>
      <c r="D784" s="3" t="inlineStr">
        <is>
          <t>Яблоко</t>
        </is>
      </c>
      <c r="E784" s="2" t="n">
        <v>1972</v>
      </c>
      <c r="F784" s="2" t="inlineStr">
        <is>
          <t>мультфильм</t>
        </is>
      </c>
      <c r="G784" s="2" t="inlineStr">
        <is>
          <t>ЭКРАН</t>
        </is>
      </c>
      <c r="H784" s="2" t="n">
        <v>30</v>
      </c>
      <c r="I784" s="2" t="inlineStr"/>
      <c r="J784" s="2" t="inlineStr">
        <is>
          <t>да</t>
        </is>
      </c>
      <c r="K784" s="3" t="inlineStr">
        <is>
          <t>О вреде пьянства. Для взрослых</t>
        </is>
      </c>
      <c r="L784" s="2" t="inlineStr">
        <is>
          <t>https://animator.ru/db/?p=show_film&amp;fid=5397</t>
        </is>
      </c>
      <c r="M784" s="2">
        <f>HYPERLINK("https://ru.wikipedia.org/w/index.php?search=%D0%AF%D0%B1%D0%BB%D0%BE%D0%BA%D0%BE%201972%20%D1%84%D0%B8%D0%BB%D1%8C%D0%BC","искать")</f>
        <v/>
      </c>
      <c r="N784" s="3" t="n"/>
      <c r="O784" s="2" t="n"/>
      <c r="P784" s="2" t="n"/>
    </row>
    <row r="785">
      <c r="A785" s="2" t="n">
        <v>784</v>
      </c>
      <c r="B785" s="2" t="inlineStr">
        <is>
          <t>не сюжет</t>
        </is>
      </c>
      <c r="C785" s="2" t="n">
        <v>14233</v>
      </c>
      <c r="D785" s="3" t="inlineStr">
        <is>
          <t>Аварийная бригада 1</t>
        </is>
      </c>
      <c r="E785" s="2" t="n">
        <v>1991</v>
      </c>
      <c r="F785" s="2" t="inlineStr">
        <is>
          <t>мультфильм</t>
        </is>
      </c>
      <c r="G785" s="2" t="inlineStr">
        <is>
          <t>ДАУКА (DAUKA)</t>
        </is>
      </c>
      <c r="H785" s="2" t="n">
        <v>30</v>
      </c>
      <c r="I785" s="2" t="inlineStr"/>
      <c r="J785" s="2" t="inlineStr">
        <is>
          <t>да</t>
        </is>
      </c>
      <c r="K785" s="3" t="inlineStr">
        <is>
          <t>Сюжеты - "Лебедь" и "Памятник"</t>
        </is>
      </c>
      <c r="L785" s="2" t="inlineStr">
        <is>
          <t>https://animator.ru/db/?p=show_film&amp;fid=5655</t>
        </is>
      </c>
      <c r="M785" s="2">
        <f>HYPERLINK("https://ru.wikipedia.org/w/index.php?search=%D0%90%D0%B2%D0%B0%D1%80%D0%B8%D0%B9%D0%BD%D0%B0%D1%8F%20%D0%B1%D1%80%D0%B8%D0%B3%D0%B0%D0%B4%D0%B0%201%201991%20%D1%84%D0%B8%D0%BB%D1%8C%D0%BC","искать")</f>
        <v/>
      </c>
      <c r="N785" s="3" t="n"/>
      <c r="O785" s="2" t="n"/>
      <c r="P785" s="2" t="n"/>
    </row>
    <row r="786">
      <c r="A786" s="2" t="n">
        <v>785</v>
      </c>
      <c r="B786" s="2" t="inlineStr">
        <is>
          <t>не сюжет</t>
        </is>
      </c>
      <c r="C786" s="2" t="n">
        <v>8872</v>
      </c>
      <c r="D786" s="3" t="inlineStr">
        <is>
          <t>Нелюбимая</t>
        </is>
      </c>
      <c r="E786" s="2" t="n">
        <v>1991</v>
      </c>
      <c r="F786" s="2" t="inlineStr">
        <is>
          <t>кинофильм</t>
        </is>
      </c>
      <c r="G786" s="2" t="n"/>
      <c r="H786" s="2" t="n">
        <v>31</v>
      </c>
      <c r="I786" s="2" t="inlineStr"/>
      <c r="J786" s="2" t="inlineStr">
        <is>
          <t>да</t>
        </is>
      </c>
      <c r="K786" s="3" t="inlineStr">
        <is>
          <t>Шесть новелл о женских судьбах.</t>
        </is>
      </c>
      <c r="L786" s="2" t="inlineStr">
        <is>
          <t>Кино_СССР сводный каталог.xlsx: список фильмов (доп.)</t>
        </is>
      </c>
      <c r="M786" s="2">
        <f>HYPERLINK("https://ru.wikipedia.org/w/index.php?search=%D0%9D%D0%B5%D0%BB%D1%8E%D0%B1%D0%B8%D0%BC%D0%B0%D1%8F%201991%20%D1%84%D0%B8%D0%BB%D1%8C%D0%BC","искать")</f>
        <v/>
      </c>
      <c r="N786" s="3" t="n"/>
      <c r="O786" s="2" t="n"/>
      <c r="P786" s="2" t="n"/>
    </row>
    <row r="787">
      <c r="A787" s="2" t="n">
        <v>786</v>
      </c>
      <c r="B787" s="2" t="inlineStr">
        <is>
          <t>не сюжет</t>
        </is>
      </c>
      <c r="C787" s="2" t="n">
        <v>8909</v>
      </c>
      <c r="D787" s="3" t="inlineStr">
        <is>
          <t>Открытие</t>
        </is>
      </c>
      <c r="E787" s="2" t="n">
        <v>1982</v>
      </c>
      <c r="F787" s="2" t="inlineStr">
        <is>
          <t>кинофильм</t>
        </is>
      </c>
      <c r="G787" s="2" t="n"/>
      <c r="H787" s="2" t="n">
        <v>31</v>
      </c>
      <c r="I787" s="2" t="inlineStr"/>
      <c r="J787" s="2" t="inlineStr">
        <is>
          <t>да</t>
        </is>
      </c>
      <c r="K787" s="3" t="inlineStr">
        <is>
          <t>По одноименной книге Ю.Щербака.</t>
        </is>
      </c>
      <c r="L787" s="2" t="inlineStr">
        <is>
          <t>Кино_СССР сводный каталог.xlsx: список фильмов (доп.)</t>
        </is>
      </c>
      <c r="M787" s="2">
        <f>HYPERLINK("https://ru.wikipedia.org/w/index.php?search=%D0%9E%D1%82%D0%BA%D1%80%D1%8B%D1%82%D0%B8%D0%B5%201982%20%D1%84%D0%B8%D0%BB%D1%8C%D0%BC","искать")</f>
        <v/>
      </c>
      <c r="N787" s="3" t="n"/>
      <c r="O787" s="2" t="n"/>
      <c r="P787" s="2" t="n"/>
    </row>
    <row r="788">
      <c r="A788" s="2" t="n">
        <v>787</v>
      </c>
      <c r="B788" s="2" t="inlineStr">
        <is>
          <t>не сюжет</t>
        </is>
      </c>
      <c r="C788" s="2" t="n">
        <v>11717</v>
      </c>
      <c r="D788" s="3" t="inlineStr">
        <is>
          <t>Спасибо</t>
        </is>
      </c>
      <c r="E788" s="2" t="n">
        <v>1973</v>
      </c>
      <c r="F788" s="2" t="inlineStr">
        <is>
          <t>мультфильм</t>
        </is>
      </c>
      <c r="G788" s="2" t="inlineStr">
        <is>
          <t>Союзмультфильм</t>
        </is>
      </c>
      <c r="H788" s="2" t="n">
        <v>31</v>
      </c>
      <c r="I788" s="2" t="inlineStr"/>
      <c r="J788" s="2" t="inlineStr">
        <is>
          <t>да</t>
        </is>
      </c>
      <c r="K788" s="3" t="inlineStr">
        <is>
          <t>О самолетостроителях. Для детей</t>
        </is>
      </c>
      <c r="L788" s="2" t="inlineStr">
        <is>
          <t>https://animator.ru/db/?p=show_film&amp;fid=2631</t>
        </is>
      </c>
      <c r="M788" s="2">
        <f>HYPERLINK("https://ru.wikipedia.org/w/index.php?search=%D0%A1%D0%BF%D0%B0%D1%81%D0%B8%D0%B1%D0%BE%201973%20%D1%84%D0%B8%D0%BB%D1%8C%D0%BC","искать")</f>
        <v/>
      </c>
      <c r="N788" s="3" t="n"/>
      <c r="O788" s="2" t="n"/>
      <c r="P788" s="2" t="n"/>
    </row>
    <row r="789">
      <c r="A789" s="2" t="n">
        <v>788</v>
      </c>
      <c r="B789" s="2" t="inlineStr">
        <is>
          <t>не сюжет</t>
        </is>
      </c>
      <c r="C789" s="2" t="n">
        <v>11755</v>
      </c>
      <c r="D789" s="3" t="inlineStr">
        <is>
          <t>Метеор и другие. 6. Футбольные звёзды</t>
        </is>
      </c>
      <c r="E789" s="2" t="n">
        <v>1974</v>
      </c>
      <c r="F789" s="2" t="inlineStr">
        <is>
          <t>мультфильм</t>
        </is>
      </c>
      <c r="G789" s="2" t="inlineStr">
        <is>
          <t>Союзмультфильм</t>
        </is>
      </c>
      <c r="H789" s="2" t="n">
        <v>31</v>
      </c>
      <c r="I789" s="2" t="inlineStr"/>
      <c r="J789" s="2" t="inlineStr">
        <is>
          <t>да</t>
        </is>
      </c>
      <c r="K789" s="3" t="inlineStr">
        <is>
          <t>Комментирует Владимир Перетурин</t>
        </is>
      </c>
      <c r="L789" s="2" t="inlineStr">
        <is>
          <t>https://animator.ru/db/?p=show_film&amp;fid=2669</t>
        </is>
      </c>
      <c r="M789" s="2">
        <f>HYPERLINK("https://ru.wikipedia.org/w/index.php?search=%D0%9C%D0%B5%D1%82%D0%B5%D0%BE%D1%80%20%D0%B8%20%D0%B4%D1%80%D1%83%D0%B3%D0%B8%D0%B5.%206.%20%D0%A4%D1%83%D1%82%D0%B1%D0%BE%D0%BB%D1%8C%D0%BD%D1%8B%D0%B5%20%D0%B7%D0%B2%D1%91%D0%B7%D0%B4%D1%8B%201974%20%D1%84%D0%B8%D0%BB%D1%8C%D0%BC","искать")</f>
        <v/>
      </c>
      <c r="N789" s="3" t="n"/>
      <c r="O789" s="2" t="n"/>
      <c r="P789" s="2" t="n"/>
    </row>
    <row r="790">
      <c r="A790" s="2" t="n">
        <v>789</v>
      </c>
      <c r="B790" s="2" t="inlineStr">
        <is>
          <t>не сюжет</t>
        </is>
      </c>
      <c r="C790" s="2" t="n">
        <v>11783</v>
      </c>
      <c r="D790" s="3" t="inlineStr">
        <is>
          <t>Поезд памяти</t>
        </is>
      </c>
      <c r="E790" s="2" t="n">
        <v>1975</v>
      </c>
      <c r="F790" s="2" t="inlineStr">
        <is>
          <t>мультфильм</t>
        </is>
      </c>
      <c r="G790" s="2" t="inlineStr">
        <is>
          <t>Союзмультфильм</t>
        </is>
      </c>
      <c r="H790" s="2" t="n">
        <v>31</v>
      </c>
      <c r="I790" s="2" t="inlineStr"/>
      <c r="J790" s="2" t="inlineStr">
        <is>
          <t>да</t>
        </is>
      </c>
      <c r="K790" s="3" t="inlineStr">
        <is>
          <t>По стихотворениям Пабло Неруды.</t>
        </is>
      </c>
      <c r="L790" s="2" t="inlineStr">
        <is>
          <t>2026-10_мультфильмы_список_владельца.xlsx; https://animator.ru/db/?p=show_film&amp;fid=2697</t>
        </is>
      </c>
      <c r="M790" s="2">
        <f>HYPERLINK("https://ru.wikipedia.org/w/index.php?search=%D0%9F%D0%BE%D0%B5%D0%B7%D0%B4%20%D0%BF%D0%B0%D0%BC%D1%8F%D1%82%D0%B8%201975%20%D1%84%D0%B8%D0%BB%D1%8C%D0%BC","искать")</f>
        <v/>
      </c>
      <c r="N790" s="3" t="n"/>
      <c r="O790" s="2" t="n"/>
      <c r="P790" s="2" t="n"/>
    </row>
    <row r="791">
      <c r="A791" s="2" t="n">
        <v>790</v>
      </c>
      <c r="B791" s="2" t="inlineStr">
        <is>
          <t>не сюжет</t>
        </is>
      </c>
      <c r="C791" s="2" t="n">
        <v>12168</v>
      </c>
      <c r="D791" s="3" t="inlineStr">
        <is>
          <t>Боцман и попугай. Ч.5</t>
        </is>
      </c>
      <c r="E791" s="2" t="n">
        <v>1986</v>
      </c>
      <c r="F791" s="2" t="inlineStr">
        <is>
          <t>мультфильм</t>
        </is>
      </c>
      <c r="G791" s="2" t="inlineStr">
        <is>
          <t>Союзмультфильм</t>
        </is>
      </c>
      <c r="H791" s="2" t="n">
        <v>31</v>
      </c>
      <c r="I791" s="2" t="inlineStr"/>
      <c r="J791" s="2" t="inlineStr">
        <is>
          <t>да</t>
        </is>
      </c>
      <c r="K791" s="3" t="inlineStr">
        <is>
          <t>"Эх, Рома, Рома..." Мульт пятый</t>
        </is>
      </c>
      <c r="L791" s="2" t="inlineStr">
        <is>
          <t>2026-10_мультфильмы_список_владельца.xlsx; https://animator.ru/db/?p=show_film&amp;fid=3284</t>
        </is>
      </c>
      <c r="M791" s="2">
        <f>HYPERLINK("https://ru.wikipedia.org/w/index.php?search=%D0%91%D0%BE%D1%86%D0%BC%D0%B0%D0%BD%20%D0%B8%20%D0%BF%D0%BE%D0%BF%D1%83%D0%B3%D0%B0%D0%B9.%20%D0%A7.5%201986%20%D1%84%D0%B8%D0%BB%D1%8C%D0%BC","искать")</f>
        <v/>
      </c>
      <c r="N791" s="3" t="n"/>
      <c r="O791" s="2" t="n"/>
      <c r="P791" s="2" t="n"/>
    </row>
    <row r="792">
      <c r="A792" s="2" t="n">
        <v>791</v>
      </c>
      <c r="B792" s="2" t="inlineStr">
        <is>
          <t>не сюжет</t>
        </is>
      </c>
      <c r="C792" s="2" t="n">
        <v>12193</v>
      </c>
      <c r="D792" s="3" t="inlineStr">
        <is>
          <t>Сын камня и великан</t>
        </is>
      </c>
      <c r="E792" s="2" t="n">
        <v>1986</v>
      </c>
      <c r="F792" s="2" t="inlineStr">
        <is>
          <t>мультфильм</t>
        </is>
      </c>
      <c r="G792" s="2" t="inlineStr">
        <is>
          <t>Союзмультфильм</t>
        </is>
      </c>
      <c r="H792" s="2" t="n">
        <v>31</v>
      </c>
      <c r="I792" s="2" t="inlineStr"/>
      <c r="J792" s="2" t="inlineStr">
        <is>
          <t>да</t>
        </is>
      </c>
      <c r="K792" s="3" t="inlineStr">
        <is>
          <t>По мотивам адыгейских сказаний.</t>
        </is>
      </c>
      <c r="L792" s="2" t="inlineStr">
        <is>
          <t>2026-10_мультфильмы_список_владельца.xlsx; https://animator.ru/db/?p=show_film&amp;fid=3310</t>
        </is>
      </c>
      <c r="M792" s="2">
        <f>HYPERLINK("https://ru.wikipedia.org/w/index.php?search=%D0%A1%D1%8B%D0%BD%20%D0%BA%D0%B0%D0%BC%D0%BD%D1%8F%20%D0%B8%20%D0%B2%D0%B5%D0%BB%D0%B8%D0%BA%D0%B0%D0%BD%201986%20%D1%84%D0%B8%D0%BB%D1%8C%D0%BC","искать")</f>
        <v/>
      </c>
      <c r="N792" s="3" t="n"/>
      <c r="O792" s="2" t="n"/>
      <c r="P792" s="2" t="n"/>
    </row>
    <row r="793">
      <c r="A793" s="2" t="n">
        <v>792</v>
      </c>
      <c r="B793" s="2" t="inlineStr">
        <is>
          <t>не сюжет</t>
        </is>
      </c>
      <c r="C793" s="2" t="n">
        <v>12755</v>
      </c>
      <c r="D793" s="3" t="inlineStr">
        <is>
          <t>Чтоб этого не случилось (Гарсеван в отпуске)</t>
        </is>
      </c>
      <c r="E793" s="2" t="n">
        <v>1977</v>
      </c>
      <c r="F793" s="2" t="inlineStr">
        <is>
          <t>мультфильм</t>
        </is>
      </c>
      <c r="G793" s="2" t="inlineStr">
        <is>
          <t>АРМЕНФИЛЬМ</t>
        </is>
      </c>
      <c r="H793" s="2" t="n">
        <v>31</v>
      </c>
      <c r="I793" s="2" t="inlineStr"/>
      <c r="J793" s="2" t="inlineStr">
        <is>
          <t>да</t>
        </is>
      </c>
      <c r="K793" s="3" t="inlineStr">
        <is>
          <t>О защите природы (для взрослых)</t>
        </is>
      </c>
      <c r="L793" s="2" t="inlineStr">
        <is>
          <t>https://animator.ru/db/?p=show_film&amp;fid=3964</t>
        </is>
      </c>
      <c r="M793" s="2">
        <f>HYPERLINK("https://ru.wikipedia.org/w/index.php?search=%D0%A7%D1%82%D0%BE%D0%B1%20%D1%8D%D1%82%D0%BE%D0%B3%D0%BE%20%D0%BD%D0%B5%20%D1%81%D0%BB%D1%83%D1%87%D0%B8%D0%BB%D0%BE%D1%81%D1%8C%20%28%D0%93%D0%B0%D1%80%D1%81%D0%B5%D0%B2%D0%B0%D0%BD%20%D0%B2%20%D0%BE%D1%82%D0%BF%D1%83%D1%81%D0%BA%D0%B5%29%201977%20%D1%84%D0%B8%D0%BB%D1%8C%D0%BC","искать")</f>
        <v/>
      </c>
      <c r="N793" s="3" t="n"/>
      <c r="O793" s="2" t="n"/>
      <c r="P793" s="2" t="n"/>
    </row>
    <row r="794">
      <c r="A794" s="2" t="n">
        <v>793</v>
      </c>
      <c r="B794" s="2" t="inlineStr">
        <is>
          <t>не сюжет</t>
        </is>
      </c>
      <c r="C794" s="2" t="n">
        <v>12993</v>
      </c>
      <c r="D794" s="3" t="inlineStr">
        <is>
          <t>Солнечный зайчик</t>
        </is>
      </c>
      <c r="E794" s="2" t="n">
        <v>1975</v>
      </c>
      <c r="F794" s="2" t="inlineStr">
        <is>
          <t>мультфильм</t>
        </is>
      </c>
      <c r="G794" s="2" t="inlineStr">
        <is>
          <t>КАЗАХФИЛЬМ</t>
        </is>
      </c>
      <c r="H794" s="2" t="n">
        <v>31</v>
      </c>
      <c r="I794" s="2" t="inlineStr"/>
      <c r="J794" s="2" t="inlineStr">
        <is>
          <t>да</t>
        </is>
      </c>
      <c r="K794" s="3" t="inlineStr">
        <is>
          <t>Фильм по экологической тематике</t>
        </is>
      </c>
      <c r="L794" s="2" t="inlineStr">
        <is>
          <t>https://animator.ru/db/?p=show_film&amp;fid=4225</t>
        </is>
      </c>
      <c r="M794" s="2">
        <f>HYPERLINK("https://ru.wikipedia.org/w/index.php?search=%D0%A1%D0%BE%D0%BB%D0%BD%D0%B5%D1%87%D0%BD%D1%8B%D0%B9%20%D0%B7%D0%B0%D0%B9%D1%87%D0%B8%D0%BA%201975%20%D1%84%D0%B8%D0%BB%D1%8C%D0%BC","искать")</f>
        <v/>
      </c>
      <c r="N794" s="3" t="n"/>
      <c r="O794" s="2" t="n"/>
      <c r="P794" s="2" t="n"/>
    </row>
    <row r="795">
      <c r="A795" s="2" t="n">
        <v>794</v>
      </c>
      <c r="B795" s="2" t="inlineStr">
        <is>
          <t>не сюжет</t>
        </is>
      </c>
      <c r="C795" s="2" t="n">
        <v>13368</v>
      </c>
      <c r="D795" s="3" t="inlineStr">
        <is>
          <t>Мудрость и богатство</t>
        </is>
      </c>
      <c r="E795" s="2" t="n">
        <v>1978</v>
      </c>
      <c r="F795" s="2" t="inlineStr">
        <is>
          <t>мультфильм</t>
        </is>
      </c>
      <c r="G795" s="2" t="inlineStr">
        <is>
          <t>КАЗАХФИЛЬМ</t>
        </is>
      </c>
      <c r="H795" s="2" t="n">
        <v>31</v>
      </c>
      <c r="I795" s="2" t="inlineStr"/>
      <c r="J795" s="2" t="inlineStr">
        <is>
          <t>да</t>
        </is>
      </c>
      <c r="K795" s="3" t="inlineStr">
        <is>
          <t>Мудрость выше любого богатства.</t>
        </is>
      </c>
      <c r="L795" s="2" t="inlineStr">
        <is>
          <t>2026-10_мультфильмы_список_владельца.xlsx; https://animator.ru/db/?p=show_film&amp;fid=4646</t>
        </is>
      </c>
      <c r="M795" s="2">
        <f>HYPERLINK("https://ru.wikipedia.org/w/index.php?search=%D0%9C%D1%83%D0%B4%D1%80%D0%BE%D1%81%D1%82%D1%8C%20%D0%B8%20%D0%B1%D0%BE%D0%B3%D0%B0%D1%82%D1%81%D1%82%D0%B2%D0%BE%201978%20%D1%84%D0%B8%D0%BB%D1%8C%D0%BC","искать")</f>
        <v/>
      </c>
      <c r="N795" s="3" t="n"/>
      <c r="O795" s="2" t="n"/>
      <c r="P795" s="2" t="n"/>
    </row>
    <row r="796">
      <c r="A796" s="2" t="n">
        <v>795</v>
      </c>
      <c r="B796" s="2" t="inlineStr">
        <is>
          <t>не сюжет</t>
        </is>
      </c>
      <c r="C796" s="2" t="n">
        <v>13457</v>
      </c>
      <c r="D796" s="3" t="inlineStr">
        <is>
          <t>Ель</t>
        </is>
      </c>
      <c r="E796" s="2" t="n">
        <v>1984</v>
      </c>
      <c r="F796" s="2" t="inlineStr">
        <is>
          <t>мультфильм</t>
        </is>
      </c>
      <c r="G796" s="2" t="inlineStr">
        <is>
          <t>ЭКРАН</t>
        </is>
      </c>
      <c r="H796" s="2" t="n">
        <v>31</v>
      </c>
      <c r="I796" s="2" t="inlineStr"/>
      <c r="J796" s="2" t="inlineStr">
        <is>
          <t>да</t>
        </is>
      </c>
      <c r="K796" s="3" t="inlineStr">
        <is>
          <t>По одноименной сказке Андерсена</t>
        </is>
      </c>
      <c r="L796" s="2" t="inlineStr">
        <is>
          <t>https://animator.ru/db/?p=show_film&amp;fid=4738</t>
        </is>
      </c>
      <c r="M796" s="2">
        <f>HYPERLINK("https://ru.wikipedia.org/w/index.php?search=%D0%95%D0%BB%D1%8C%201984%20%D1%84%D0%B8%D0%BB%D1%8C%D0%BC","искать")</f>
        <v/>
      </c>
      <c r="N796" s="3" t="n"/>
      <c r="O796" s="2" t="n"/>
      <c r="P796" s="2" t="n"/>
    </row>
    <row r="797">
      <c r="A797" s="2" t="n">
        <v>796</v>
      </c>
      <c r="B797" s="2" t="inlineStr">
        <is>
          <t>не сюжет</t>
        </is>
      </c>
      <c r="C797" s="2" t="n">
        <v>14212</v>
      </c>
      <c r="D797" s="3" t="inlineStr">
        <is>
          <t>Картинки по старинке (ч.2)</t>
        </is>
      </c>
      <c r="E797" s="2" t="n">
        <v>1991</v>
      </c>
      <c r="F797" s="2" t="inlineStr">
        <is>
          <t>мультфильм</t>
        </is>
      </c>
      <c r="G797" s="2" t="inlineStr">
        <is>
          <t>САРАТОВТЕЛЕФИЛЬМ</t>
        </is>
      </c>
      <c r="H797" s="2" t="n">
        <v>31</v>
      </c>
      <c r="I797" s="2" t="inlineStr"/>
      <c r="J797" s="2" t="inlineStr">
        <is>
          <t>да</t>
        </is>
      </c>
      <c r="K797" s="3" t="inlineStr">
        <is>
          <t>Второй фильм одноименного цикла</t>
        </is>
      </c>
      <c r="L797" s="2" t="inlineStr">
        <is>
          <t>https://animator.ru/db/?p=show_film&amp;fid=5618</t>
        </is>
      </c>
      <c r="M797" s="2">
        <f>HYPERLINK("https://ru.wikipedia.org/w/index.php?search=%D0%9A%D0%B0%D1%80%D1%82%D0%B8%D0%BD%D0%BA%D0%B8%20%D0%BF%D0%BE%20%D1%81%D1%82%D0%B0%D1%80%D0%B8%D0%BD%D0%BA%D0%B5%20%28%D1%87.2%29%201991%20%D1%84%D0%B8%D0%BB%D1%8C%D0%BC","искать")</f>
        <v/>
      </c>
      <c r="N797" s="3" t="n"/>
      <c r="O797" s="2" t="n"/>
      <c r="P797" s="2" t="n"/>
    </row>
    <row r="798">
      <c r="A798" s="2" t="n">
        <v>797</v>
      </c>
      <c r="B798" s="2" t="inlineStr">
        <is>
          <t>не сюжет</t>
        </is>
      </c>
      <c r="C798" s="2" t="n">
        <v>14234</v>
      </c>
      <c r="D798" s="3" t="inlineStr">
        <is>
          <t>Аварийная бригада 2</t>
        </is>
      </c>
      <c r="E798" s="2" t="n">
        <v>1991</v>
      </c>
      <c r="F798" s="2" t="inlineStr">
        <is>
          <t>мультфильм</t>
        </is>
      </c>
      <c r="G798" s="2" t="inlineStr">
        <is>
          <t>ДАУКА (DAUKA)</t>
        </is>
      </c>
      <c r="H798" s="2" t="n">
        <v>31</v>
      </c>
      <c r="I798" s="2" t="inlineStr"/>
      <c r="J798" s="2" t="inlineStr">
        <is>
          <t>да</t>
        </is>
      </c>
      <c r="K798" s="3" t="inlineStr">
        <is>
          <t>Сюжеты - "Собаколовы" и "Отель"</t>
        </is>
      </c>
      <c r="L798" s="2" t="inlineStr">
        <is>
          <t>https://animator.ru/db/?p=show_film&amp;fid=5656</t>
        </is>
      </c>
      <c r="M798" s="2">
        <f>HYPERLINK("https://ru.wikipedia.org/w/index.php?search=%D0%90%D0%B2%D0%B0%D1%80%D0%B8%D0%B9%D0%BD%D0%B0%D1%8F%20%D0%B1%D1%80%D0%B8%D0%B3%D0%B0%D0%B4%D0%B0%202%201991%20%D1%84%D0%B8%D0%BB%D1%8C%D0%BC","искать")</f>
        <v/>
      </c>
      <c r="N798" s="3" t="n"/>
      <c r="O798" s="2" t="n"/>
      <c r="P798" s="2" t="n"/>
    </row>
    <row r="799">
      <c r="A799" s="2" t="n">
        <v>798</v>
      </c>
      <c r="B799" s="2" t="inlineStr">
        <is>
          <t>не сюжет</t>
        </is>
      </c>
      <c r="C799" s="2" t="n">
        <v>14306</v>
      </c>
      <c r="D799" s="3" t="inlineStr">
        <is>
          <t>Полуденный стрелочник</t>
        </is>
      </c>
      <c r="E799" s="2" t="n">
        <v>1990</v>
      </c>
      <c r="F799" s="2" t="inlineStr">
        <is>
          <t>мультфильм</t>
        </is>
      </c>
      <c r="G799" s="2" t="inlineStr">
        <is>
          <t>БЕЛАРУСЬФИЛЬМ НАЦИОНАЛЬНАЯ КИНОСТУДИЯ - ГП</t>
        </is>
      </c>
      <c r="H799" s="2" t="n">
        <v>31</v>
      </c>
      <c r="I799" s="2" t="inlineStr"/>
      <c r="J799" s="2" t="inlineStr">
        <is>
          <t>да</t>
        </is>
      </c>
      <c r="K799" s="3" t="inlineStr">
        <is>
          <t>Сюжет из альманаха "Лабиринт" 1</t>
        </is>
      </c>
      <c r="L799" s="2" t="inlineStr">
        <is>
          <t>https://animator.ru/db/?p=show_film&amp;fid=5852</t>
        </is>
      </c>
      <c r="M799" s="2">
        <f>HYPERLINK("https://ru.wikipedia.org/w/index.php?search=%D0%9F%D0%BE%D0%BB%D1%83%D0%B4%D0%B5%D0%BD%D0%BD%D1%8B%D0%B9%20%D1%81%D1%82%D1%80%D0%B5%D0%BB%D0%BE%D1%87%D0%BD%D0%B8%D0%BA%201990%20%D1%84%D0%B8%D0%BB%D1%8C%D0%BC","искать")</f>
        <v/>
      </c>
      <c r="N799" s="3" t="n"/>
      <c r="O799" s="2" t="n"/>
      <c r="P799" s="2" t="n"/>
    </row>
    <row r="800">
      <c r="A800" s="2" t="n">
        <v>799</v>
      </c>
      <c r="B800" s="2" t="inlineStr">
        <is>
          <t>не сюжет</t>
        </is>
      </c>
      <c r="C800" s="2" t="n">
        <v>9816</v>
      </c>
      <c r="D800" s="3" t="inlineStr">
        <is>
          <t>Плохая примета</t>
        </is>
      </c>
      <c r="E800" s="2" t="n">
        <v>1960</v>
      </c>
      <c r="F800" s="2" t="inlineStr">
        <is>
          <t>телефильм</t>
        </is>
      </c>
      <c r="G800" s="2" t="inlineStr">
        <is>
          <t>Ленфильм</t>
        </is>
      </c>
      <c r="H800" s="2" t="n">
        <v>32</v>
      </c>
      <c r="I800" s="2" t="inlineStr"/>
      <c r="J800" s="2" t="inlineStr">
        <is>
          <t>да</t>
        </is>
      </c>
      <c r="K800" s="3" t="inlineStr">
        <is>
          <t>Экранизация рассказа А. Чужмира.</t>
        </is>
      </c>
      <c r="L800" s="2" t="inlineStr">
        <is>
          <t>https://www.kino-teatr.ru/short/movie/sov/14927/annot/</t>
        </is>
      </c>
      <c r="M800" s="2">
        <f>HYPERLINK("https://ru.wikipedia.org/w/index.php?search=%D0%9F%D0%BB%D0%BE%D1%85%D0%B0%D1%8F%20%D0%BF%D1%80%D0%B8%D0%BC%D0%B5%D1%82%D0%B0%201960%20%D1%84%D0%B8%D0%BB%D1%8C%D0%BC","искать")</f>
        <v/>
      </c>
      <c r="N800" s="3" t="n"/>
      <c r="O800" s="2" t="n"/>
      <c r="P800" s="2" t="n"/>
    </row>
    <row r="801">
      <c r="A801" s="2" t="n">
        <v>800</v>
      </c>
      <c r="B801" s="2" t="inlineStr">
        <is>
          <t>не сюжет</t>
        </is>
      </c>
      <c r="C801" s="2" t="n">
        <v>10136</v>
      </c>
      <c r="D801" s="3" t="inlineStr">
        <is>
          <t>Агитатор</t>
        </is>
      </c>
      <c r="E801" s="2" t="n">
        <v>1965</v>
      </c>
      <c r="F801" s="2" t="inlineStr">
        <is>
          <t>фильм-спектакль</t>
        </is>
      </c>
      <c r="G801" s="2" t="inlineStr">
        <is>
          <t>Ленинградское телевидение</t>
        </is>
      </c>
      <c r="H801" s="2" t="n">
        <v>32</v>
      </c>
      <c r="I801" s="2" t="inlineStr"/>
      <c r="J801" s="2" t="inlineStr">
        <is>
          <t>да</t>
        </is>
      </c>
      <c r="K801" s="3" t="inlineStr">
        <is>
          <t>По пьесе Д.Дэля "Третья верста".</t>
        </is>
      </c>
      <c r="L801" s="2" t="inlineStr">
        <is>
          <t>https://www.kino-teatr.ru/teatr/movie/136085/annot/</t>
        </is>
      </c>
      <c r="M801" s="2">
        <f>HYPERLINK("https://ru.wikipedia.org/w/index.php?search=%D0%90%D0%B3%D0%B8%D1%82%D0%B0%D1%82%D0%BE%D1%80%201965%20%D1%84%D0%B8%D0%BB%D1%8C%D0%BC","искать")</f>
        <v/>
      </c>
      <c r="N801" s="3" t="n"/>
      <c r="O801" s="2" t="n"/>
      <c r="P801" s="2" t="n"/>
    </row>
    <row r="802">
      <c r="A802" s="2" t="n">
        <v>801</v>
      </c>
      <c r="B802" s="2" t="inlineStr">
        <is>
          <t>не сюжет</t>
        </is>
      </c>
      <c r="C802" s="2" t="n">
        <v>10241</v>
      </c>
      <c r="D802" s="3" t="inlineStr">
        <is>
          <t>Годы странствий</t>
        </is>
      </c>
      <c r="E802" s="2" t="n">
        <v>1968</v>
      </c>
      <c r="F802" s="2" t="inlineStr">
        <is>
          <t>фильм-спектакль</t>
        </is>
      </c>
      <c r="G802" s="2" t="inlineStr">
        <is>
          <t>Ленинградское ТВ</t>
        </is>
      </c>
      <c r="H802" s="2" t="n">
        <v>32</v>
      </c>
      <c r="I802" s="2" t="inlineStr"/>
      <c r="J802" s="2" t="inlineStr">
        <is>
          <t>да</t>
        </is>
      </c>
      <c r="K802" s="3" t="inlineStr">
        <is>
          <t>По одноименной пьесе А.Арбузова.</t>
        </is>
      </c>
      <c r="L802" s="2" t="inlineStr">
        <is>
          <t>https://www.kino-teatr.ru/teatr/movie/92882/annot/</t>
        </is>
      </c>
      <c r="M802" s="2">
        <f>HYPERLINK("https://ru.wikipedia.org/w/index.php?search=%D0%93%D0%BE%D0%B4%D1%8B%20%D1%81%D1%82%D1%80%D0%B0%D0%BD%D1%81%D1%82%D0%B2%D0%B8%D0%B9%201968%20%D1%84%D0%B8%D0%BB%D1%8C%D0%BC","искать")</f>
        <v/>
      </c>
      <c r="N802" s="3" t="n"/>
      <c r="O802" s="2" t="n"/>
      <c r="P802" s="2" t="n"/>
    </row>
    <row r="803">
      <c r="A803" s="2" t="n">
        <v>802</v>
      </c>
      <c r="B803" s="2" t="inlineStr">
        <is>
          <t>не сюжет</t>
        </is>
      </c>
      <c r="C803" s="2" t="n">
        <v>10487</v>
      </c>
      <c r="D803" s="3" t="inlineStr">
        <is>
          <t>В добрый час</t>
        </is>
      </c>
      <c r="E803" s="2" t="n">
        <v>1973</v>
      </c>
      <c r="F803" s="2" t="inlineStr">
        <is>
          <t>фильм-спектакль</t>
        </is>
      </c>
      <c r="G803" s="2" t="inlineStr">
        <is>
          <t>Ленинградское телевидение</t>
        </is>
      </c>
      <c r="H803" s="2" t="n">
        <v>32</v>
      </c>
      <c r="I803" s="2" t="inlineStr"/>
      <c r="J803" s="2" t="inlineStr">
        <is>
          <t>да</t>
        </is>
      </c>
      <c r="K803" s="3" t="inlineStr">
        <is>
          <t>Телеспектакль по пьесе В.Розова.</t>
        </is>
      </c>
      <c r="L803" s="2" t="inlineStr">
        <is>
          <t>https://www.kino-teatr.ru/teatr/movie/106879/annot/</t>
        </is>
      </c>
      <c r="M803" s="2">
        <f>HYPERLINK("https://ru.wikipedia.org/w/index.php?search=%D0%92%20%D0%B4%D0%BE%D0%B1%D1%80%D1%8B%D0%B9%20%D1%87%D0%B0%D1%81%201973%20%D1%84%D0%B8%D0%BB%D1%8C%D0%BC","искать")</f>
        <v/>
      </c>
      <c r="N803" s="3" t="n"/>
      <c r="O803" s="2" t="n"/>
      <c r="P803" s="2" t="n"/>
    </row>
    <row r="804">
      <c r="A804" s="2" t="n">
        <v>803</v>
      </c>
      <c r="B804" s="2" t="inlineStr">
        <is>
          <t>не сюжет</t>
        </is>
      </c>
      <c r="C804" s="2" t="n">
        <v>11689</v>
      </c>
      <c r="D804" s="3" t="inlineStr">
        <is>
          <t>Фаэтон - сын Солнца</t>
        </is>
      </c>
      <c r="E804" s="2" t="n">
        <v>1972</v>
      </c>
      <c r="F804" s="2" t="inlineStr">
        <is>
          <t>мультфильм</t>
        </is>
      </c>
      <c r="G804" s="2" t="inlineStr">
        <is>
          <t>Союзмультфильм</t>
        </is>
      </c>
      <c r="H804" s="2" t="n">
        <v>32</v>
      </c>
      <c r="I804" s="2" t="inlineStr"/>
      <c r="J804" s="2" t="inlineStr">
        <is>
          <t>да</t>
        </is>
      </c>
      <c r="K804" s="3" t="inlineStr">
        <is>
          <t>По мотивам древнегреческого мифа</t>
        </is>
      </c>
      <c r="L804" s="2" t="inlineStr">
        <is>
          <t>https://animator.ru/db/?p=show_film&amp;fid=2603</t>
        </is>
      </c>
      <c r="M804" s="2">
        <f>HYPERLINK("https://ru.wikipedia.org/w/index.php?search=%D0%A4%D0%B0%D1%8D%D1%82%D0%BE%D0%BD%20-%20%D1%81%D1%8B%D0%BD%20%D0%A1%D0%BE%D0%BB%D0%BD%D1%86%D0%B0%201972%20%D1%84%D0%B8%D0%BB%D1%8C%D0%BC","искать")</f>
        <v/>
      </c>
      <c r="N804" s="3" t="n"/>
      <c r="O804" s="2" t="n"/>
      <c r="P804" s="2" t="n"/>
    </row>
    <row r="805">
      <c r="A805" s="2" t="n">
        <v>804</v>
      </c>
      <c r="B805" s="2" t="inlineStr">
        <is>
          <t>не сюжет</t>
        </is>
      </c>
      <c r="C805" s="2" t="n">
        <v>11712</v>
      </c>
      <c r="D805" s="3" t="inlineStr">
        <is>
          <t>Персей</t>
        </is>
      </c>
      <c r="E805" s="2" t="n">
        <v>1973</v>
      </c>
      <c r="F805" s="2" t="inlineStr">
        <is>
          <t>мультфильм</t>
        </is>
      </c>
      <c r="G805" s="2" t="inlineStr">
        <is>
          <t>Союзмультфильм</t>
        </is>
      </c>
      <c r="H805" s="2" t="n">
        <v>32</v>
      </c>
      <c r="I805" s="2" t="inlineStr"/>
      <c r="J805" s="2" t="inlineStr">
        <is>
          <t>да</t>
        </is>
      </c>
      <c r="K805" s="3" t="inlineStr">
        <is>
          <t>По мотивам древнегреческих мифов</t>
        </is>
      </c>
      <c r="L805" s="2" t="inlineStr">
        <is>
          <t>https://animator.ru/db/?p=show_film&amp;fid=2626</t>
        </is>
      </c>
      <c r="M805" s="2">
        <f>HYPERLINK("https://ru.wikipedia.org/w/index.php?search=%D0%9F%D0%B5%D1%80%D1%81%D0%B5%D0%B9%201973%20%D1%84%D0%B8%D0%BB%D1%8C%D0%BC","искать")</f>
        <v/>
      </c>
      <c r="N805" s="3" t="n"/>
      <c r="O805" s="2" t="n"/>
      <c r="P805" s="2" t="n"/>
    </row>
    <row r="806">
      <c r="A806" s="2" t="n">
        <v>805</v>
      </c>
      <c r="B806" s="2" t="inlineStr">
        <is>
          <t>не сюжет</t>
        </is>
      </c>
      <c r="C806" s="2" t="n">
        <v>12027</v>
      </c>
      <c r="D806" s="3" t="inlineStr">
        <is>
          <t>Сын камня</t>
        </is>
      </c>
      <c r="E806" s="2" t="n">
        <v>1982</v>
      </c>
      <c r="F806" s="2" t="inlineStr">
        <is>
          <t>мультфильм</t>
        </is>
      </c>
      <c r="G806" s="2" t="inlineStr">
        <is>
          <t>Союзмультфильм</t>
        </is>
      </c>
      <c r="H806" s="2" t="n">
        <v>32</v>
      </c>
      <c r="I806" s="2" t="inlineStr"/>
      <c r="J806" s="2" t="inlineStr">
        <is>
          <t>да</t>
        </is>
      </c>
      <c r="K806" s="3" t="inlineStr">
        <is>
          <t>Пол мотивам адыгейских сказаний.</t>
        </is>
      </c>
      <c r="L806" s="2" t="inlineStr">
        <is>
          <t>2026-10_мультфильмы_список_владельца.xlsx; https://animator.ru/db/?p=show_film&amp;fid=3141</t>
        </is>
      </c>
      <c r="M806" s="2">
        <f>HYPERLINK("https://ru.wikipedia.org/w/index.php?search=%D0%A1%D1%8B%D0%BD%20%D0%BA%D0%B0%D0%BC%D0%BD%D1%8F%201982%20%D1%84%D0%B8%D0%BB%D1%8C%D0%BC","искать")</f>
        <v/>
      </c>
      <c r="N806" s="3" t="n"/>
      <c r="O806" s="2" t="n"/>
      <c r="P806" s="2" t="n"/>
    </row>
    <row r="807">
      <c r="A807" s="2" t="n">
        <v>806</v>
      </c>
      <c r="B807" s="2" t="inlineStr">
        <is>
          <t>не сюжет</t>
        </is>
      </c>
      <c r="C807" s="2" t="n">
        <v>12067</v>
      </c>
      <c r="D807" s="3" t="inlineStr">
        <is>
          <t>Ваня и крокодил</t>
        </is>
      </c>
      <c r="E807" s="2" t="n">
        <v>1984</v>
      </c>
      <c r="F807" s="2" t="inlineStr">
        <is>
          <t>мультфильм</t>
        </is>
      </c>
      <c r="G807" s="2" t="inlineStr">
        <is>
          <t>Союзмультфильм</t>
        </is>
      </c>
      <c r="H807" s="2" t="n">
        <v>32</v>
      </c>
      <c r="I807" s="2" t="inlineStr"/>
      <c r="J807" s="2" t="inlineStr">
        <is>
          <t>да</t>
        </is>
      </c>
      <c r="K807" s="3" t="inlineStr">
        <is>
          <t>По сказке Чуковского "Крокодил".</t>
        </is>
      </c>
      <c r="L807" s="2" t="inlineStr">
        <is>
          <t>2026-10_мультфильмы_список_владельца.xlsx; https://animator.ru/db/?p=show_film&amp;fid=3182</t>
        </is>
      </c>
      <c r="M807" s="2">
        <f>HYPERLINK("https://ru.wikipedia.org/w/index.php?search=%D0%92%D0%B0%D0%BD%D1%8F%20%D0%B8%20%D0%BA%D1%80%D0%BE%D0%BA%D0%BE%D0%B4%D0%B8%D0%BB%201984%20%D1%84%D0%B8%D0%BB%D1%8C%D0%BC","искать")</f>
        <v/>
      </c>
      <c r="N807" s="3" t="n"/>
      <c r="O807" s="2" t="n"/>
      <c r="P807" s="2" t="n"/>
    </row>
    <row r="808">
      <c r="A808" s="2" t="n">
        <v>807</v>
      </c>
      <c r="B808" s="2" t="inlineStr">
        <is>
          <t>не сюжет</t>
        </is>
      </c>
      <c r="C808" s="2" t="n">
        <v>12156</v>
      </c>
      <c r="D808" s="3" t="inlineStr">
        <is>
          <t>Пудель</t>
        </is>
      </c>
      <c r="E808" s="2" t="n">
        <v>1985</v>
      </c>
      <c r="F808" s="2" t="inlineStr">
        <is>
          <t>мультфильм</t>
        </is>
      </c>
      <c r="G808" s="2" t="inlineStr">
        <is>
          <t>Союзмультфильм</t>
        </is>
      </c>
      <c r="H808" s="2" t="n">
        <v>32</v>
      </c>
      <c r="I808" s="2" t="inlineStr"/>
      <c r="J808" s="2" t="inlineStr">
        <is>
          <t>да</t>
        </is>
      </c>
      <c r="K808" s="3" t="inlineStr">
        <is>
          <t>По мотивам стихотворения Маршака</t>
        </is>
      </c>
      <c r="L808" s="2" t="inlineStr">
        <is>
          <t>https://animator.ru/db/?p=show_film&amp;fid=3272</t>
        </is>
      </c>
      <c r="M808" s="2">
        <f>HYPERLINK("https://ru.wikipedia.org/w/index.php?search=%D0%9F%D1%83%D0%B4%D0%B5%D0%BB%D1%8C%201985%20%D1%84%D0%B8%D0%BB%D1%8C%D0%BC","искать")</f>
        <v/>
      </c>
      <c r="N808" s="3" t="n"/>
      <c r="O808" s="2" t="n"/>
      <c r="P808" s="2" t="n"/>
    </row>
    <row r="809">
      <c r="A809" s="2" t="n">
        <v>808</v>
      </c>
      <c r="B809" s="2" t="inlineStr">
        <is>
          <t>не сюжет</t>
        </is>
      </c>
      <c r="C809" s="2" t="n">
        <v>12174</v>
      </c>
      <c r="D809" s="3" t="inlineStr">
        <is>
          <t>Геракл у Адмета</t>
        </is>
      </c>
      <c r="E809" s="2" t="n">
        <v>1986</v>
      </c>
      <c r="F809" s="2" t="inlineStr">
        <is>
          <t>мультфильм</t>
        </is>
      </c>
      <c r="G809" s="2" t="inlineStr">
        <is>
          <t>Союзмультфильм</t>
        </is>
      </c>
      <c r="H809" s="2" t="n">
        <v>32</v>
      </c>
      <c r="I809" s="2" t="inlineStr"/>
      <c r="J809" s="2" t="inlineStr">
        <is>
          <t>да</t>
        </is>
      </c>
      <c r="K809" s="3" t="inlineStr">
        <is>
          <t>По мотивам древнегреческого мифа</t>
        </is>
      </c>
      <c r="L809" s="2" t="inlineStr">
        <is>
          <t>https://animator.ru/db/?p=show_film&amp;fid=3290</t>
        </is>
      </c>
      <c r="M809" s="2">
        <f>HYPERLINK("https://ru.wikipedia.org/w/index.php?search=%D0%93%D0%B5%D1%80%D0%B0%D0%BA%D0%BB%20%D1%83%20%D0%90%D0%B4%D0%BC%D0%B5%D1%82%D0%B0%201986%20%D1%84%D0%B8%D0%BB%D1%8C%D0%BC","искать")</f>
        <v/>
      </c>
      <c r="N809" s="3" t="n"/>
      <c r="O809" s="2" t="n"/>
      <c r="P809" s="2" t="n"/>
    </row>
    <row r="810">
      <c r="A810" s="2" t="n">
        <v>809</v>
      </c>
      <c r="B810" s="2" t="inlineStr">
        <is>
          <t>не сюжет</t>
        </is>
      </c>
      <c r="C810" s="2" t="n">
        <v>12313</v>
      </c>
      <c r="D810" s="3" t="inlineStr">
        <is>
          <t>Праздник новогодней елки</t>
        </is>
      </c>
      <c r="E810" s="2" t="n">
        <v>1991</v>
      </c>
      <c r="F810" s="2" t="inlineStr">
        <is>
          <t>мультфильм</t>
        </is>
      </c>
      <c r="G810" s="2" t="inlineStr">
        <is>
          <t>Союзмультфильм</t>
        </is>
      </c>
      <c r="H810" s="2" t="n">
        <v>32</v>
      </c>
      <c r="I810" s="2" t="inlineStr"/>
      <c r="J810" s="2" t="inlineStr">
        <is>
          <t>да</t>
        </is>
      </c>
      <c r="K810" s="3" t="inlineStr">
        <is>
          <t>Сборник новогодних мультфильмов.</t>
        </is>
      </c>
      <c r="L810" s="2" t="inlineStr">
        <is>
          <t>2026-10_мультфильмы_список_владельца.xlsx; https://animator.ru/db/?p=show_film&amp;fid=3430</t>
        </is>
      </c>
      <c r="M810" s="2">
        <f>HYPERLINK("https://ru.wikipedia.org/w/index.php?search=%D0%9F%D1%80%D0%B0%D0%B7%D0%B4%D0%BD%D0%B8%D0%BA%20%D0%BD%D0%BE%D0%B2%D0%BE%D0%B3%D0%BE%D0%B4%D0%BD%D0%B5%D0%B9%20%D0%B5%D0%BB%D0%BA%D0%B8%201991%20%D1%84%D0%B8%D0%BB%D1%8C%D0%BC","искать")</f>
        <v/>
      </c>
      <c r="N810" s="3" t="n"/>
      <c r="O810" s="2" t="n"/>
      <c r="P810" s="2" t="n"/>
    </row>
    <row r="811">
      <c r="A811" s="2" t="n">
        <v>810</v>
      </c>
      <c r="B811" s="2" t="inlineStr">
        <is>
          <t>не сюжет</t>
        </is>
      </c>
      <c r="C811" s="2" t="n">
        <v>13078</v>
      </c>
      <c r="D811" s="3" t="inlineStr">
        <is>
          <t>Пес и ветер</t>
        </is>
      </c>
      <c r="E811" s="2" t="n">
        <v>1978</v>
      </c>
      <c r="F811" s="2" t="inlineStr">
        <is>
          <t>мультфильм</t>
        </is>
      </c>
      <c r="G811" s="2" t="inlineStr">
        <is>
          <t>ГОСТЕЛЕРАДИО ЛАТВ. ССР ("ТЕЛЕФИЛЬМ-РИГА")</t>
        </is>
      </c>
      <c r="H811" s="2" t="n">
        <v>32</v>
      </c>
      <c r="I811" s="2" t="inlineStr"/>
      <c r="J811" s="2" t="inlineStr">
        <is>
          <t>да</t>
        </is>
      </c>
      <c r="K811" s="3" t="inlineStr">
        <is>
          <t>По сказке И.Зиедониса. Для детей</t>
        </is>
      </c>
      <c r="L811" s="2" t="inlineStr">
        <is>
          <t>https://animator.ru/db/?p=show_film&amp;fid=4310</t>
        </is>
      </c>
      <c r="M811" s="2">
        <f>HYPERLINK("https://ru.wikipedia.org/w/index.php?search=%D0%9F%D0%B5%D1%81%20%D0%B8%20%D0%B2%D0%B5%D1%82%D0%B5%D1%80%201978%20%D1%84%D0%B8%D0%BB%D1%8C%D0%BC","искать")</f>
        <v/>
      </c>
      <c r="N811" s="3" t="n"/>
      <c r="O811" s="2" t="n"/>
      <c r="P811" s="2" t="n"/>
    </row>
    <row r="812">
      <c r="A812" s="2" t="n">
        <v>811</v>
      </c>
      <c r="B812" s="2" t="inlineStr">
        <is>
          <t>не сюжет</t>
        </is>
      </c>
      <c r="C812" s="2" t="n">
        <v>13223</v>
      </c>
      <c r="D812" s="3" t="inlineStr">
        <is>
          <t>Атомик и воротилы (Атомик в опасности)</t>
        </is>
      </c>
      <c r="E812" s="2" t="n">
        <v>1970</v>
      </c>
      <c r="F812" s="2" t="inlineStr">
        <is>
          <t>мультфильм</t>
        </is>
      </c>
      <c r="G812" s="2" t="inlineStr">
        <is>
          <t>ТАЛЛИННФИЛЬМ</t>
        </is>
      </c>
      <c r="H812" s="2" t="n">
        <v>32</v>
      </c>
      <c r="I812" s="2" t="inlineStr"/>
      <c r="J812" s="2" t="inlineStr">
        <is>
          <t>да</t>
        </is>
      </c>
      <c r="K812" s="3" t="inlineStr">
        <is>
          <t>Продолжение истории про Атомика.</t>
        </is>
      </c>
      <c r="L812" s="2" t="inlineStr">
        <is>
          <t>2026-10_мультфильмы_список_владельца.xlsx; https://animator.ru/db/?p=show_film&amp;fid=4462</t>
        </is>
      </c>
      <c r="M812" s="2">
        <f>HYPERLINK("https://ru.wikipedia.org/w/index.php?search=%D0%90%D1%82%D0%BE%D0%BC%D0%B8%D0%BA%20%D0%B8%20%D0%B2%D0%BE%D1%80%D0%BE%D1%82%D0%B8%D0%BB%D1%8B%20%28%D0%90%D1%82%D0%BE%D0%BC%D0%B8%D0%BA%20%D0%B2%20%D0%BE%D0%BF%D0%B0%D1%81%D0%BD%D0%BE%D1%81%D1%82%D0%B8%29%201970%20%D1%84%D0%B8%D0%BB%D1%8C%D0%BC","искать")</f>
        <v/>
      </c>
      <c r="N812" s="3" t="n"/>
      <c r="O812" s="2" t="n"/>
      <c r="P812" s="2" t="n"/>
    </row>
    <row r="813">
      <c r="A813" s="2" t="n">
        <v>812</v>
      </c>
      <c r="B813" s="2" t="inlineStr">
        <is>
          <t>не сюжет</t>
        </is>
      </c>
      <c r="C813" s="2" t="n">
        <v>13272</v>
      </c>
      <c r="D813" s="3" t="inlineStr">
        <is>
          <t>Девочка и златогривый</t>
        </is>
      </c>
      <c r="E813" s="2" t="n">
        <v>1978</v>
      </c>
      <c r="F813" s="2" t="inlineStr">
        <is>
          <t>мультфильм</t>
        </is>
      </c>
      <c r="G813" s="2" t="inlineStr">
        <is>
          <t>ТАЛЛИННФИЛЬМ</t>
        </is>
      </c>
      <c r="H813" s="2" t="n">
        <v>32</v>
      </c>
      <c r="I813" s="2" t="inlineStr"/>
      <c r="J813" s="2" t="inlineStr">
        <is>
          <t>да</t>
        </is>
      </c>
      <c r="K813" s="3" t="inlineStr">
        <is>
          <t>По мотивам стихотворения Х.Мянни</t>
        </is>
      </c>
      <c r="L813" s="2" t="inlineStr">
        <is>
          <t>https://animator.ru/db/?p=show_film&amp;fid=4529</t>
        </is>
      </c>
      <c r="M813" s="2">
        <f>HYPERLINK("https://ru.wikipedia.org/w/index.php?search=%D0%94%D0%B5%D0%B2%D0%BE%D1%87%D0%BA%D0%B0%20%D0%B8%20%D0%B7%D0%BB%D0%B0%D1%82%D0%BE%D0%B3%D1%80%D0%B8%D0%B2%D1%8B%D0%B9%201978%20%D1%84%D0%B8%D0%BB%D1%8C%D0%BC","искать")</f>
        <v/>
      </c>
      <c r="N813" s="3" t="n"/>
      <c r="O813" s="2" t="n"/>
      <c r="P813" s="2" t="n"/>
    </row>
    <row r="814">
      <c r="A814" s="2" t="n">
        <v>813</v>
      </c>
      <c r="B814" s="2" t="inlineStr">
        <is>
          <t>не сюжет</t>
        </is>
      </c>
      <c r="C814" s="2" t="n">
        <v>13319</v>
      </c>
      <c r="D814" s="3" t="inlineStr">
        <is>
          <t>Колодец</t>
        </is>
      </c>
      <c r="E814" s="2" t="n">
        <v>1972</v>
      </c>
      <c r="F814" s="2" t="inlineStr">
        <is>
          <t>мультфильм</t>
        </is>
      </c>
      <c r="G814" s="2" t="inlineStr">
        <is>
          <t>ТАЛЛИННФИЛЬМ</t>
        </is>
      </c>
      <c r="H814" s="2" t="n">
        <v>32</v>
      </c>
      <c r="I814" s="2" t="inlineStr"/>
      <c r="J814" s="2" t="inlineStr">
        <is>
          <t>да</t>
        </is>
      </c>
      <c r="K814" s="3" t="inlineStr">
        <is>
          <t>Первый эстонский рисованый фильм</t>
        </is>
      </c>
      <c r="L814" s="2" t="inlineStr">
        <is>
          <t>https://animator.ru/db/?p=show_film&amp;fid=4581</t>
        </is>
      </c>
      <c r="M814" s="2">
        <f>HYPERLINK("https://ru.wikipedia.org/w/index.php?search=%D0%9A%D0%BE%D0%BB%D0%BE%D0%B4%D0%B5%D1%86%201972%20%D1%84%D0%B8%D0%BB%D1%8C%D0%BC","искать")</f>
        <v/>
      </c>
      <c r="N814" s="3" t="n"/>
      <c r="O814" s="2" t="n"/>
      <c r="P814" s="2" t="n"/>
    </row>
    <row r="815">
      <c r="A815" s="2" t="n">
        <v>814</v>
      </c>
      <c r="B815" s="2" t="inlineStr">
        <is>
          <t>не сюжет</t>
        </is>
      </c>
      <c r="C815" s="2" t="n">
        <v>13630</v>
      </c>
      <c r="D815" s="3" t="inlineStr">
        <is>
          <t>Бим, Бам, Бом и волк</t>
        </is>
      </c>
      <c r="E815" s="2" t="n">
        <v>1974</v>
      </c>
      <c r="F815" s="2" t="inlineStr">
        <is>
          <t>мультфильм</t>
        </is>
      </c>
      <c r="G815" s="2" t="inlineStr">
        <is>
          <t>ЭКРАН</t>
        </is>
      </c>
      <c r="H815" s="2" t="n">
        <v>32</v>
      </c>
      <c r="I815" s="2" t="inlineStr"/>
      <c r="J815" s="2" t="inlineStr">
        <is>
          <t>да</t>
        </is>
      </c>
      <c r="K815" s="3" t="inlineStr">
        <is>
          <t>Вариация на тему "Трех поросят".</t>
        </is>
      </c>
      <c r="L815" s="2" t="inlineStr">
        <is>
          <t>https://animator.ru/db/?p=show_film&amp;fid=5022</t>
        </is>
      </c>
      <c r="M815" s="2">
        <f>HYPERLINK("https://ru.wikipedia.org/w/index.php?search=%D0%91%D0%B8%D0%BC%2C%20%D0%91%D0%B0%D0%BC%2C%20%D0%91%D0%BE%D0%BC%20%D0%B8%20%D0%B2%D0%BE%D0%BB%D0%BA%201974%20%D1%84%D0%B8%D0%BB%D1%8C%D0%BC","искать")</f>
        <v/>
      </c>
      <c r="N815" s="3" t="n"/>
      <c r="O815" s="2" t="n"/>
      <c r="P815" s="2" t="n"/>
    </row>
    <row r="816">
      <c r="A816" s="2" t="n">
        <v>815</v>
      </c>
      <c r="B816" s="2" t="inlineStr">
        <is>
          <t>не сюжет</t>
        </is>
      </c>
      <c r="C816" s="2" t="n">
        <v>13781</v>
      </c>
      <c r="D816" s="3" t="inlineStr">
        <is>
          <t>Натюрморт</t>
        </is>
      </c>
      <c r="E816" s="2" t="n">
        <v>1981</v>
      </c>
      <c r="F816" s="2" t="inlineStr">
        <is>
          <t>мультфильм</t>
        </is>
      </c>
      <c r="G816" s="2" t="inlineStr">
        <is>
          <t>ЭКРАН</t>
        </is>
      </c>
      <c r="H816" s="2" t="n">
        <v>32</v>
      </c>
      <c r="I816" s="2" t="inlineStr"/>
      <c r="J816" s="2" t="inlineStr">
        <is>
          <t>да</t>
        </is>
      </c>
      <c r="K816" s="3" t="inlineStr">
        <is>
          <t>Этюд о цветах на музыку Скрябина</t>
        </is>
      </c>
      <c r="L816" s="2" t="inlineStr">
        <is>
          <t>https://animator.ru/db/?p=show_film&amp;fid=5174</t>
        </is>
      </c>
      <c r="M816" s="2">
        <f>HYPERLINK("https://ru.wikipedia.org/w/index.php?search=%D0%9D%D0%B0%D1%82%D1%8E%D1%80%D0%BC%D0%BE%D1%80%D1%82%201981%20%D1%84%D0%B8%D0%BB%D1%8C%D0%BC","искать")</f>
        <v/>
      </c>
      <c r="N816" s="3" t="n"/>
      <c r="O816" s="2" t="n"/>
      <c r="P816" s="2" t="n"/>
    </row>
    <row r="817">
      <c r="A817" s="2" t="n">
        <v>816</v>
      </c>
      <c r="B817" s="2" t="inlineStr">
        <is>
          <t>не сюжет</t>
        </is>
      </c>
      <c r="C817" s="2" t="n">
        <v>13844</v>
      </c>
      <c r="D817" s="3" t="inlineStr">
        <is>
          <t>Праздник непослушания</t>
        </is>
      </c>
      <c r="E817" s="2" t="n">
        <v>1977</v>
      </c>
      <c r="F817" s="2" t="inlineStr">
        <is>
          <t>мультфильм</t>
        </is>
      </c>
      <c r="G817" s="2" t="inlineStr">
        <is>
          <t>ЭКРАН</t>
        </is>
      </c>
      <c r="H817" s="2" t="n">
        <v>32</v>
      </c>
      <c r="I817" s="2" t="inlineStr"/>
      <c r="J817" s="2" t="inlineStr">
        <is>
          <t>да</t>
        </is>
      </c>
      <c r="K817" s="3" t="inlineStr">
        <is>
          <t>По одноименной пьесе С.Михалкова</t>
        </is>
      </c>
      <c r="L817" s="2" t="inlineStr">
        <is>
          <t>https://animator.ru/db/?p=show_film&amp;fid=5237</t>
        </is>
      </c>
      <c r="M817" s="2">
        <f>HYPERLINK("https://ru.wikipedia.org/w/index.php?search=%D0%9F%D1%80%D0%B0%D0%B7%D0%B4%D0%BD%D0%B8%D0%BA%20%D0%BD%D0%B5%D0%BF%D0%BE%D1%81%D0%BB%D1%83%D1%88%D0%B0%D0%BD%D0%B8%D1%8F%201977%20%D1%84%D0%B8%D0%BB%D1%8C%D0%BC","искать")</f>
        <v/>
      </c>
      <c r="N817" s="3" t="n"/>
      <c r="O817" s="2" t="n"/>
      <c r="P817" s="2" t="n"/>
    </row>
    <row r="818">
      <c r="A818" s="2" t="n">
        <v>817</v>
      </c>
      <c r="B818" s="2" t="inlineStr">
        <is>
          <t>не сюжет</t>
        </is>
      </c>
      <c r="C818" s="2" t="n">
        <v>13899</v>
      </c>
      <c r="D818" s="3" t="inlineStr">
        <is>
          <t>СЛЕДСТВИЕ ВЕДУТ КОЛОБКИ (серии 3 и 4)</t>
        </is>
      </c>
      <c r="E818" s="2" t="n">
        <v>1987</v>
      </c>
      <c r="F818" s="2" t="inlineStr">
        <is>
          <t>мультфильм</t>
        </is>
      </c>
      <c r="G818" s="2" t="inlineStr">
        <is>
          <t>ЭКРАН</t>
        </is>
      </c>
      <c r="H818" s="2" t="n">
        <v>32</v>
      </c>
      <c r="I818" s="2" t="inlineStr"/>
      <c r="J818" s="2" t="inlineStr">
        <is>
          <t>да</t>
        </is>
      </c>
      <c r="K818" s="3" t="inlineStr">
        <is>
          <t>Из цикла "Колобки идут по следу"</t>
        </is>
      </c>
      <c r="L818" s="2" t="inlineStr">
        <is>
          <t>https://animator.ru/db/?p=show_film&amp;fid=5293</t>
        </is>
      </c>
      <c r="M818" s="2">
        <f>HYPERLINK("https://ru.wikipedia.org/w/index.php?search=%D0%A1%D0%9B%D0%95%D0%94%D0%A1%D0%A2%D0%92%D0%98%D0%95%20%D0%92%D0%95%D0%94%D0%A3%D0%A2%20%D0%9A%D0%9E%D0%9B%D0%9E%D0%91%D0%9A%D0%98%20%28%D1%81%D0%B5%D1%80%D0%B8%D0%B8%203%20%D0%B8%204%29%201987%20%D1%84%D0%B8%D0%BB%D1%8C%D0%BC","искать")</f>
        <v/>
      </c>
      <c r="N818" s="3" t="n"/>
      <c r="O818" s="2" t="n"/>
      <c r="P818" s="2" t="n"/>
    </row>
    <row r="819">
      <c r="A819" s="2" t="n">
        <v>818</v>
      </c>
      <c r="B819" s="2" t="inlineStr">
        <is>
          <t>не сюжет</t>
        </is>
      </c>
      <c r="C819" s="2" t="n">
        <v>14112</v>
      </c>
      <c r="D819" s="3" t="inlineStr">
        <is>
          <t>Замочек с секретом</t>
        </is>
      </c>
      <c r="E819" s="2" t="n">
        <v>1985</v>
      </c>
      <c r="F819" s="2" t="inlineStr">
        <is>
          <t>мультфильм</t>
        </is>
      </c>
      <c r="G819" s="2" t="inlineStr">
        <is>
          <t>ПЕРМЬТЕЛЕФИЛЬМ</t>
        </is>
      </c>
      <c r="H819" s="2" t="n">
        <v>32</v>
      </c>
      <c r="I819" s="2" t="inlineStr"/>
      <c r="J819" s="2" t="inlineStr">
        <is>
          <t>да</t>
        </is>
      </c>
      <c r="K819" s="3" t="inlineStr">
        <is>
          <t>По мотивам коми-пермяцких сказок</t>
        </is>
      </c>
      <c r="L819" s="2" t="inlineStr">
        <is>
          <t>https://animator.ru/db/?p=show_film&amp;fid=5510</t>
        </is>
      </c>
      <c r="M819" s="2">
        <f>HYPERLINK("https://ru.wikipedia.org/w/index.php?search=%D0%97%D0%B0%D0%BC%D0%BE%D1%87%D0%B5%D0%BA%20%D1%81%20%D1%81%D0%B5%D0%BA%D1%80%D0%B5%D1%82%D0%BE%D0%BC%201985%20%D1%84%D0%B8%D0%BB%D1%8C%D0%BC","искать")</f>
        <v/>
      </c>
      <c r="N819" s="3" t="n"/>
      <c r="O819" s="2" t="n"/>
      <c r="P819" s="2" t="n"/>
    </row>
    <row r="820">
      <c r="A820" s="2" t="n">
        <v>819</v>
      </c>
      <c r="B820" s="2" t="inlineStr">
        <is>
          <t>не сюжет</t>
        </is>
      </c>
      <c r="C820" s="2" t="n">
        <v>14198</v>
      </c>
      <c r="D820" s="3" t="inlineStr">
        <is>
          <t>Чурек и малыш</t>
        </is>
      </c>
      <c r="E820" s="2" t="n">
        <v>1980</v>
      </c>
      <c r="F820" s="2" t="inlineStr">
        <is>
          <t>мультфильм</t>
        </is>
      </c>
      <c r="G820" s="2" t="inlineStr">
        <is>
          <t>ТУРКМЕНТЕЛЕФИЛЬМ</t>
        </is>
      </c>
      <c r="H820" s="2" t="n">
        <v>32</v>
      </c>
      <c r="I820" s="2" t="inlineStr"/>
      <c r="J820" s="2" t="inlineStr">
        <is>
          <t>да</t>
        </is>
      </c>
      <c r="K820" s="3" t="inlineStr">
        <is>
          <t>По сказке К.Кулиева "Хлеб и хан"</t>
        </is>
      </c>
      <c r="L820" s="2" t="inlineStr">
        <is>
          <t>https://animator.ru/db/?p=show_film&amp;fid=5596</t>
        </is>
      </c>
      <c r="M820" s="2">
        <f>HYPERLINK("https://ru.wikipedia.org/w/index.php?search=%D0%A7%D1%83%D1%80%D0%B5%D0%BA%20%D0%B8%20%D0%BC%D0%B0%D0%BB%D1%8B%D1%88%201980%20%D1%84%D0%B8%D0%BB%D1%8C%D0%BC","искать")</f>
        <v/>
      </c>
      <c r="N820" s="3" t="n"/>
      <c r="O820" s="2" t="n"/>
      <c r="P820" s="2" t="n"/>
    </row>
    <row r="821">
      <c r="A821" s="2" t="n">
        <v>820</v>
      </c>
      <c r="B821" s="2" t="inlineStr">
        <is>
          <t>не сюжет</t>
        </is>
      </c>
      <c r="C821" s="2" t="n">
        <v>14303</v>
      </c>
      <c r="D821" s="3" t="inlineStr">
        <is>
          <t>Медведь - липовая нога</t>
        </is>
      </c>
      <c r="E821" s="2" t="n">
        <v>1990</v>
      </c>
      <c r="F821" s="2" t="inlineStr">
        <is>
          <t>мультфильм</t>
        </is>
      </c>
      <c r="G821" s="2" t="inlineStr">
        <is>
          <t>СОЮЗТЕЛЕФИЛЬМ</t>
        </is>
      </c>
      <c r="H821" s="2" t="n">
        <v>32</v>
      </c>
      <c r="I821" s="2" t="inlineStr"/>
      <c r="J821" s="2" t="inlineStr">
        <is>
          <t>да</t>
        </is>
      </c>
      <c r="K821" s="3" t="inlineStr">
        <is>
          <t>На сюжет русской народной сказкм</t>
        </is>
      </c>
      <c r="L821" s="2" t="inlineStr">
        <is>
          <t>https://animator.ru/db/?p=show_film&amp;fid=5848</t>
        </is>
      </c>
      <c r="M821" s="2">
        <f>HYPERLINK("https://ru.wikipedia.org/w/index.php?search=%D0%9C%D0%B5%D0%B4%D0%B2%D0%B5%D0%B4%D1%8C%20-%20%D0%BB%D0%B8%D0%BF%D0%BE%D0%B2%D0%B0%D1%8F%20%D0%BD%D0%BE%D0%B3%D0%B0%201990%20%D1%84%D0%B8%D0%BB%D1%8C%D0%BC","искать")</f>
        <v/>
      </c>
      <c r="N821" s="3" t="n"/>
      <c r="O821" s="2" t="n"/>
      <c r="P821" s="2" t="n"/>
    </row>
    <row r="822">
      <c r="A822" s="2" t="n">
        <v>821</v>
      </c>
      <c r="B822" s="2" t="inlineStr">
        <is>
          <t>не сюжет</t>
        </is>
      </c>
      <c r="C822" s="2" t="n">
        <v>14384</v>
      </c>
      <c r="D822" s="3" t="inlineStr">
        <is>
          <t>Кстати о птичках</t>
        </is>
      </c>
      <c r="E822" s="2" t="n">
        <v>1974</v>
      </c>
      <c r="F822" s="2" t="inlineStr">
        <is>
          <t>мультфильм</t>
        </is>
      </c>
      <c r="G822" s="2" t="n"/>
      <c r="H822" s="2" t="n">
        <v>32</v>
      </c>
      <c r="I822" s="2" t="inlineStr"/>
      <c r="J822" s="2" t="inlineStr">
        <is>
          <t>да</t>
        </is>
      </c>
      <c r="K822" s="3" t="inlineStr">
        <is>
          <t>"Подпольный" фильм по Г.Бородину</t>
        </is>
      </c>
      <c r="L822" s="2" t="inlineStr">
        <is>
          <t>https://animator.ru/db/?p=show_film&amp;fid=6346</t>
        </is>
      </c>
      <c r="M822" s="2">
        <f>HYPERLINK("https://ru.wikipedia.org/w/index.php?search=%D0%9A%D1%81%D1%82%D0%B0%D1%82%D0%B8%20%D0%BE%20%D0%BF%D1%82%D0%B8%D1%87%D0%BA%D0%B0%D1%85%201974%20%D1%84%D0%B8%D0%BB%D1%8C%D0%BC","искать")</f>
        <v/>
      </c>
      <c r="N822" s="3" t="n"/>
      <c r="O822" s="2" t="n"/>
      <c r="P822" s="2" t="n"/>
    </row>
    <row r="823">
      <c r="A823" s="2" t="n">
        <v>822</v>
      </c>
      <c r="B823" s="2" t="inlineStr">
        <is>
          <t>не сюжет</t>
        </is>
      </c>
      <c r="C823" s="2" t="n">
        <v>14457</v>
      </c>
      <c r="D823" s="3" t="inlineStr">
        <is>
          <t>В гостинице</t>
        </is>
      </c>
      <c r="E823" s="2" t="n">
        <v>1979</v>
      </c>
      <c r="F823" s="2" t="inlineStr">
        <is>
          <t>мультфильм</t>
        </is>
      </c>
      <c r="G823" s="2" t="n"/>
      <c r="H823" s="2" t="n">
        <v>32</v>
      </c>
      <c r="I823" s="2" t="inlineStr"/>
      <c r="J823" s="2" t="inlineStr">
        <is>
          <t>да</t>
        </is>
      </c>
      <c r="K823" s="3" t="inlineStr">
        <is>
          <t>Обучающий фильм для иностранцев.</t>
        </is>
      </c>
      <c r="L823" s="2" t="inlineStr">
        <is>
          <t>https://animator.ru/db/?p=show_film&amp;fid=6713</t>
        </is>
      </c>
      <c r="M823" s="2">
        <f>HYPERLINK("https://ru.wikipedia.org/w/index.php?search=%D0%92%20%D0%B3%D0%BE%D1%81%D1%82%D0%B8%D0%BD%D0%B8%D1%86%D0%B5%201979%20%D1%84%D0%B8%D0%BB%D1%8C%D0%BC","искать")</f>
        <v/>
      </c>
      <c r="N823" s="3" t="n"/>
      <c r="O823" s="2" t="n"/>
      <c r="P823" s="2" t="n"/>
    </row>
    <row r="824">
      <c r="A824" s="2" t="n">
        <v>823</v>
      </c>
      <c r="B824" s="2" t="inlineStr">
        <is>
          <t>не сюжет</t>
        </is>
      </c>
      <c r="C824" s="2" t="n">
        <v>14458</v>
      </c>
      <c r="D824" s="3" t="inlineStr">
        <is>
          <t>В гостях</t>
        </is>
      </c>
      <c r="E824" s="2" t="n">
        <v>1979</v>
      </c>
      <c r="F824" s="2" t="inlineStr">
        <is>
          <t>мультфильм</t>
        </is>
      </c>
      <c r="G824" s="2" t="n"/>
      <c r="H824" s="2" t="n">
        <v>32</v>
      </c>
      <c r="I824" s="2" t="inlineStr"/>
      <c r="J824" s="2" t="inlineStr">
        <is>
          <t>да</t>
        </is>
      </c>
      <c r="K824" s="3" t="inlineStr">
        <is>
          <t>Обучающий фильм для иностранцев.</t>
        </is>
      </c>
      <c r="L824" s="2" t="inlineStr">
        <is>
          <t>https://animator.ru/db/?p=show_film&amp;fid=6714</t>
        </is>
      </c>
      <c r="M824" s="2">
        <f>HYPERLINK("https://ru.wikipedia.org/w/index.php?search=%D0%92%20%D0%B3%D0%BE%D1%81%D1%82%D1%8F%D1%85%201979%20%D1%84%D0%B8%D0%BB%D1%8C%D0%BC","искать")</f>
        <v/>
      </c>
      <c r="N824" s="3" t="n"/>
      <c r="O824" s="2" t="n"/>
      <c r="P824" s="2" t="n"/>
    </row>
    <row r="825">
      <c r="A825" s="2" t="n">
        <v>824</v>
      </c>
      <c r="B825" s="2" t="inlineStr">
        <is>
          <t>не сюжет</t>
        </is>
      </c>
      <c r="C825" s="2" t="n">
        <v>11657</v>
      </c>
      <c r="D825" s="3" t="inlineStr">
        <is>
          <t>Аргонавты</t>
        </is>
      </c>
      <c r="E825" s="2" t="n">
        <v>1971</v>
      </c>
      <c r="F825" s="2" t="inlineStr">
        <is>
          <t>мультфильм</t>
        </is>
      </c>
      <c r="G825" s="2" t="inlineStr">
        <is>
          <t>Союзмультфильм</t>
        </is>
      </c>
      <c r="H825" s="2" t="n">
        <v>33</v>
      </c>
      <c r="I825" s="2" t="inlineStr"/>
      <c r="J825" s="2" t="inlineStr">
        <is>
          <t>да</t>
        </is>
      </c>
      <c r="K825" s="3" t="inlineStr">
        <is>
          <t>По мотивам древнегреческих мифов.</t>
        </is>
      </c>
      <c r="L825" s="2" t="inlineStr">
        <is>
          <t>2026-10_мультфильмы_список_владельца.xlsx; https://animator.ru/db/?p=show_film&amp;fid=2571</t>
        </is>
      </c>
      <c r="M825" s="2">
        <f>HYPERLINK("https://ru.wikipedia.org/w/index.php?search=%D0%90%D1%80%D0%B3%D0%BE%D0%BD%D0%B0%D0%B2%D1%82%D1%8B%201971%20%D1%84%D0%B8%D0%BB%D1%8C%D0%BC","искать")</f>
        <v/>
      </c>
      <c r="N825" s="3" t="n"/>
      <c r="O825" s="2" t="n"/>
      <c r="P825" s="2" t="n"/>
    </row>
    <row r="826">
      <c r="A826" s="2" t="n">
        <v>825</v>
      </c>
      <c r="B826" s="2" t="inlineStr">
        <is>
          <t>не сюжет</t>
        </is>
      </c>
      <c r="C826" s="2" t="n">
        <v>11691</v>
      </c>
      <c r="D826" s="3" t="inlineStr">
        <is>
          <t>Экспонат</t>
        </is>
      </c>
      <c r="E826" s="2" t="n">
        <v>1972</v>
      </c>
      <c r="F826" s="2" t="inlineStr">
        <is>
          <t>мультфильм</t>
        </is>
      </c>
      <c r="G826" s="2" t="inlineStr">
        <is>
          <t>Союзмультфильм</t>
        </is>
      </c>
      <c r="H826" s="2" t="n">
        <v>33</v>
      </c>
      <c r="I826" s="2" t="inlineStr"/>
      <c r="J826" s="2" t="inlineStr">
        <is>
          <t>да</t>
        </is>
      </c>
      <c r="K826" s="3" t="inlineStr">
        <is>
          <t>Сюжет из киножурнала Фитиль №121.</t>
        </is>
      </c>
      <c r="L826" s="2" t="inlineStr">
        <is>
          <t>2026-10_мультфильмы_список_владельца.xlsx; https://animator.ru/db/?p=show_film&amp;fid=2605</t>
        </is>
      </c>
      <c r="M826" s="2">
        <f>HYPERLINK("https://ru.wikipedia.org/w/index.php?search=%D0%AD%D0%BA%D1%81%D0%BF%D0%BE%D0%BD%D0%B0%D1%82%201972%20%D1%84%D0%B8%D0%BB%D1%8C%D0%BC","искать")</f>
        <v/>
      </c>
      <c r="N826" s="3" t="n"/>
      <c r="O826" s="2" t="n"/>
      <c r="P826" s="2" t="n"/>
    </row>
    <row r="827">
      <c r="A827" s="2" t="n">
        <v>826</v>
      </c>
      <c r="B827" s="2" t="inlineStr">
        <is>
          <t>не сюжет</t>
        </is>
      </c>
      <c r="C827" s="2" t="n">
        <v>11885</v>
      </c>
      <c r="D827" s="3" t="inlineStr">
        <is>
          <t>Пойга и лиса</t>
        </is>
      </c>
      <c r="E827" s="2" t="n">
        <v>1978</v>
      </c>
      <c r="F827" s="2" t="inlineStr">
        <is>
          <t>мультфильм</t>
        </is>
      </c>
      <c r="G827" s="2" t="inlineStr">
        <is>
          <t>Союзмультфильм</t>
        </is>
      </c>
      <c r="H827" s="2" t="n">
        <v>33</v>
      </c>
      <c r="I827" s="2" t="inlineStr"/>
      <c r="J827" s="2" t="inlineStr">
        <is>
          <t>да</t>
        </is>
      </c>
      <c r="K827" s="3" t="inlineStr">
        <is>
          <t>По мотивам сказки Бориса Шергина.</t>
        </is>
      </c>
      <c r="L827" s="2" t="inlineStr">
        <is>
          <t>2026-10_мультфильмы_список_владельца.xlsx; https://animator.ru/db/?p=show_film&amp;fid=2800</t>
        </is>
      </c>
      <c r="M827" s="2">
        <f>HYPERLINK("https://ru.wikipedia.org/w/index.php?search=%D0%9F%D0%BE%D0%B9%D0%B3%D0%B0%20%D0%B8%20%D0%BB%D0%B8%D1%81%D0%B0%201978%20%D1%84%D0%B8%D0%BB%D1%8C%D0%BC","искать")</f>
        <v/>
      </c>
      <c r="N827" s="3" t="n"/>
      <c r="O827" s="2" t="n"/>
      <c r="P827" s="2" t="n"/>
    </row>
    <row r="828">
      <c r="A828" s="2" t="n">
        <v>827</v>
      </c>
      <c r="B828" s="2" t="inlineStr">
        <is>
          <t>не сюжет</t>
        </is>
      </c>
      <c r="C828" s="2" t="n">
        <v>11915</v>
      </c>
      <c r="D828" s="3" t="inlineStr">
        <is>
          <t>ОХОТА (Назаров)</t>
        </is>
      </c>
      <c r="E828" s="2" t="n">
        <v>1979</v>
      </c>
      <c r="F828" s="2" t="inlineStr">
        <is>
          <t>мультфильм</t>
        </is>
      </c>
      <c r="G828" s="2" t="inlineStr">
        <is>
          <t>Союзмультфильм</t>
        </is>
      </c>
      <c r="H828" s="2" t="n">
        <v>33</v>
      </c>
      <c r="I828" s="2" t="inlineStr"/>
      <c r="J828" s="2" t="inlineStr">
        <is>
          <t>да</t>
        </is>
      </c>
      <c r="K828" s="3" t="inlineStr">
        <is>
          <t>В фильме использована музыка Баха</t>
        </is>
      </c>
      <c r="L828" s="2" t="inlineStr">
        <is>
          <t>https://animator.ru/db/?p=show_film&amp;fid=2830</t>
        </is>
      </c>
      <c r="M828" s="2">
        <f>HYPERLINK("https://ru.wikipedia.org/w/index.php?search=%D0%9E%D0%A5%D0%9E%D0%A2%D0%90%20%28%D0%9D%D0%B0%D0%B7%D0%B0%D1%80%D0%BE%D0%B2%29%201979%20%D1%84%D0%B8%D0%BB%D1%8C%D0%BC","искать")</f>
        <v/>
      </c>
      <c r="N828" s="3" t="n"/>
      <c r="O828" s="2" t="n"/>
      <c r="P828" s="2" t="n"/>
    </row>
    <row r="829">
      <c r="A829" s="2" t="n">
        <v>828</v>
      </c>
      <c r="B829" s="2" t="inlineStr">
        <is>
          <t>не сюжет</t>
        </is>
      </c>
      <c r="C829" s="2" t="n">
        <v>11937</v>
      </c>
      <c r="D829" s="3" t="inlineStr">
        <is>
          <t>Еще раз про квартет</t>
        </is>
      </c>
      <c r="E829" s="2" t="n">
        <v>1980</v>
      </c>
      <c r="F829" s="2" t="inlineStr">
        <is>
          <t>мультфильм</t>
        </is>
      </c>
      <c r="G829" s="2" t="inlineStr">
        <is>
          <t>Союзмультфильм</t>
        </is>
      </c>
      <c r="H829" s="2" t="n">
        <v>33</v>
      </c>
      <c r="I829" s="2" t="inlineStr"/>
      <c r="J829" s="2" t="inlineStr">
        <is>
          <t>да</t>
        </is>
      </c>
      <c r="K829" s="3" t="inlineStr">
        <is>
          <t>Парафраз на тему известной басни.</t>
        </is>
      </c>
      <c r="L829" s="2" t="inlineStr">
        <is>
          <t>2026-10_мультфильмы_список_владельца.xlsx; https://animator.ru/db/?p=show_film&amp;fid=2852</t>
        </is>
      </c>
      <c r="M829" s="2">
        <f>HYPERLINK("https://ru.wikipedia.org/w/index.php?search=%D0%95%D1%89%D0%B5%20%D1%80%D0%B0%D0%B7%20%D0%BF%D1%80%D0%BE%20%D0%BA%D0%B2%D0%B0%D1%80%D1%82%D0%B5%D1%82%201980%20%D1%84%D0%B8%D0%BB%D1%8C%D0%BC","искать")</f>
        <v/>
      </c>
      <c r="N829" s="3" t="n"/>
      <c r="O829" s="2" t="n"/>
      <c r="P829" s="2" t="n"/>
    </row>
    <row r="830">
      <c r="A830" s="2" t="n">
        <v>829</v>
      </c>
      <c r="B830" s="2" t="inlineStr">
        <is>
          <t>не сюжет</t>
        </is>
      </c>
      <c r="C830" s="2" t="n">
        <v>11961</v>
      </c>
      <c r="D830" s="3" t="inlineStr">
        <is>
          <t>До свидания, овраг</t>
        </is>
      </c>
      <c r="E830" s="2" t="n">
        <v>1981</v>
      </c>
      <c r="F830" s="2" t="inlineStr">
        <is>
          <t>мультфильм</t>
        </is>
      </c>
      <c r="G830" s="2" t="inlineStr">
        <is>
          <t>Союзмультфильм</t>
        </is>
      </c>
      <c r="H830" s="2" t="n">
        <v>33</v>
      </c>
      <c r="I830" s="2" t="inlineStr"/>
      <c r="J830" s="2" t="inlineStr">
        <is>
          <t>да</t>
        </is>
      </c>
      <c r="K830" s="3" t="inlineStr">
        <is>
          <t>Печальная история бездомныз собак</t>
        </is>
      </c>
      <c r="L830" s="2" t="inlineStr">
        <is>
          <t>https://animator.ru/db/?p=show_film&amp;fid=2877</t>
        </is>
      </c>
      <c r="M830" s="2">
        <f>HYPERLINK("https://ru.wikipedia.org/w/index.php?search=%D0%94%D0%BE%20%D1%81%D0%B2%D0%B8%D0%B4%D0%B0%D0%BD%D0%B8%D1%8F%2C%20%D0%BE%D0%B2%D1%80%D0%B0%D0%B3%201981%20%D1%84%D0%B8%D0%BB%D1%8C%D0%BC","искать")</f>
        <v/>
      </c>
      <c r="N830" s="3" t="n"/>
      <c r="O830" s="2" t="n"/>
      <c r="P830" s="2" t="n"/>
    </row>
    <row r="831">
      <c r="A831" s="2" t="n">
        <v>830</v>
      </c>
      <c r="B831" s="2" t="inlineStr">
        <is>
          <t>не сюжет</t>
        </is>
      </c>
      <c r="C831" s="2" t="n">
        <v>12014</v>
      </c>
      <c r="D831" s="3" t="inlineStr">
        <is>
          <t>Олимпионики</t>
        </is>
      </c>
      <c r="E831" s="2" t="n">
        <v>1982</v>
      </c>
      <c r="F831" s="2" t="inlineStr">
        <is>
          <t>мультфильм</t>
        </is>
      </c>
      <c r="G831" s="2" t="inlineStr">
        <is>
          <t>Союзмультфильм</t>
        </is>
      </c>
      <c r="H831" s="2" t="n">
        <v>33</v>
      </c>
      <c r="I831" s="2" t="inlineStr"/>
      <c r="J831" s="2" t="inlineStr">
        <is>
          <t>да</t>
        </is>
      </c>
      <c r="K831" s="3" t="inlineStr">
        <is>
          <t>Шутливая история Олимпийских игр.</t>
        </is>
      </c>
      <c r="L831" s="2" t="inlineStr">
        <is>
          <t>2026-10_мультфильмы_список_владельца.xlsx; https://animator.ru/db/?p=show_film&amp;fid=3128</t>
        </is>
      </c>
      <c r="M831" s="2">
        <f>HYPERLINK("https://ru.wikipedia.org/w/index.php?search=%D0%9E%D0%BB%D0%B8%D0%BC%D0%BF%D0%B8%D0%BE%D0%BD%D0%B8%D0%BA%D0%B8%201982%20%D1%84%D0%B8%D0%BB%D1%8C%D0%BC","искать")</f>
        <v/>
      </c>
      <c r="N831" s="3" t="n"/>
      <c r="O831" s="2" t="n"/>
      <c r="P831" s="2" t="n"/>
    </row>
    <row r="832">
      <c r="A832" s="2" t="n">
        <v>831</v>
      </c>
      <c r="B832" s="2" t="inlineStr">
        <is>
          <t>не сюжет</t>
        </is>
      </c>
      <c r="C832" s="2" t="n">
        <v>12262</v>
      </c>
      <c r="D832" s="3" t="inlineStr">
        <is>
          <t>Уважаемый леший</t>
        </is>
      </c>
      <c r="E832" s="2" t="n">
        <v>1988</v>
      </c>
      <c r="F832" s="2" t="inlineStr">
        <is>
          <t>мультфильм</t>
        </is>
      </c>
      <c r="G832" s="2" t="inlineStr">
        <is>
          <t>Союзмультфильм</t>
        </is>
      </c>
      <c r="H832" s="2" t="n">
        <v>33</v>
      </c>
      <c r="I832" s="2" t="inlineStr"/>
      <c r="J832" s="2" t="inlineStr">
        <is>
          <t>да</t>
        </is>
      </c>
      <c r="K832" s="3" t="inlineStr">
        <is>
          <t>Своеобразная буффонада. Для детей</t>
        </is>
      </c>
      <c r="L832" s="2" t="inlineStr">
        <is>
          <t>https://animator.ru/db/?p=show_film&amp;fid=3379</t>
        </is>
      </c>
      <c r="M832" s="2">
        <f>HYPERLINK("https://ru.wikipedia.org/w/index.php?search=%D0%A3%D0%B2%D0%B0%D0%B6%D0%B0%D0%B5%D0%BC%D1%8B%D0%B9%20%D0%BB%D0%B5%D1%88%D0%B8%D0%B9%201988%20%D1%84%D0%B8%D0%BB%D1%8C%D0%BC","искать")</f>
        <v/>
      </c>
      <c r="N832" s="3" t="n"/>
      <c r="O832" s="2" t="n"/>
      <c r="P832" s="2" t="n"/>
    </row>
    <row r="833">
      <c r="A833" s="2" t="n">
        <v>832</v>
      </c>
      <c r="B833" s="2" t="inlineStr">
        <is>
          <t>не сюжет</t>
        </is>
      </c>
      <c r="C833" s="2" t="n">
        <v>12552</v>
      </c>
      <c r="D833" s="3" t="inlineStr">
        <is>
          <t>Сказка о яблоне</t>
        </is>
      </c>
      <c r="E833" s="2" t="n">
        <v>1975</v>
      </c>
      <c r="F833" s="2" t="inlineStr">
        <is>
          <t>мультфильм</t>
        </is>
      </c>
      <c r="G833" s="2" t="inlineStr">
        <is>
          <t>КИЕВНАУЧФИЛЬМ</t>
        </is>
      </c>
      <c r="H833" s="2" t="n">
        <v>33</v>
      </c>
      <c r="I833" s="2" t="inlineStr"/>
      <c r="J833" s="2" t="inlineStr">
        <is>
          <t>да</t>
        </is>
      </c>
      <c r="K833" s="3" t="inlineStr">
        <is>
          <t>По мотивам сказки Оскара Уайльда.</t>
        </is>
      </c>
      <c r="L833" s="2" t="inlineStr">
        <is>
          <t>2026-10_мультфильмы_список_владельца.xlsx; https://animator.ru/db/?p=show_film&amp;fid=3731</t>
        </is>
      </c>
      <c r="M833" s="2">
        <f>HYPERLINK("https://ru.wikipedia.org/w/index.php?search=%D0%A1%D0%BA%D0%B0%D0%B7%D0%BA%D0%B0%20%D0%BE%20%D1%8F%D0%B1%D0%BB%D0%BE%D0%BD%D0%B5%201975%20%D1%84%D0%B8%D0%BB%D1%8C%D0%BC","искать")</f>
        <v/>
      </c>
      <c r="N833" s="3" t="n"/>
      <c r="O833" s="2" t="n"/>
      <c r="P833" s="2" t="n"/>
    </row>
    <row r="834">
      <c r="A834" s="2" t="n">
        <v>833</v>
      </c>
      <c r="B834" s="2" t="inlineStr">
        <is>
          <t>не сюжет</t>
        </is>
      </c>
      <c r="C834" s="2" t="n">
        <v>12564</v>
      </c>
      <c r="D834" s="3" t="inlineStr">
        <is>
          <t>Сотворение микромира</t>
        </is>
      </c>
      <c r="E834" s="2" t="n">
        <v>1972</v>
      </c>
      <c r="F834" s="2" t="inlineStr">
        <is>
          <t>мультфильм</t>
        </is>
      </c>
      <c r="G834" s="2" t="inlineStr">
        <is>
          <t>КИЕВНАУЧФИЛЬМ</t>
        </is>
      </c>
      <c r="H834" s="2" t="n">
        <v>33</v>
      </c>
      <c r="I834" s="2" t="inlineStr"/>
      <c r="J834" s="2" t="inlineStr">
        <is>
          <t>да</t>
        </is>
      </c>
      <c r="K834" s="3" t="inlineStr">
        <is>
          <t>С юмором - о физике. Для взрослых</t>
        </is>
      </c>
      <c r="L834" s="2" t="inlineStr">
        <is>
          <t>https://animator.ru/db/?p=show_film&amp;fid=3743</t>
        </is>
      </c>
      <c r="M834" s="2">
        <f>HYPERLINK("https://ru.wikipedia.org/w/index.php?search=%D0%A1%D0%BE%D1%82%D0%B2%D0%BE%D1%80%D0%B5%D0%BD%D0%B8%D0%B5%20%D0%BC%D0%B8%D0%BA%D1%80%D0%BE%D0%BC%D0%B8%D1%80%D0%B0%201972%20%D1%84%D0%B8%D0%BB%D1%8C%D0%BC","искать")</f>
        <v/>
      </c>
      <c r="N834" s="3" t="n"/>
      <c r="O834" s="2" t="n"/>
      <c r="P834" s="2" t="n"/>
    </row>
    <row r="835">
      <c r="A835" s="2" t="n">
        <v>834</v>
      </c>
      <c r="B835" s="2" t="inlineStr">
        <is>
          <t>не сюжет</t>
        </is>
      </c>
      <c r="C835" s="2" t="n">
        <v>12785</v>
      </c>
      <c r="D835" s="3" t="inlineStr">
        <is>
          <t>Лис, который ничего не умел</t>
        </is>
      </c>
      <c r="E835" s="2" t="n">
        <v>1977</v>
      </c>
      <c r="F835" s="2" t="inlineStr">
        <is>
          <t>мультфильм</t>
        </is>
      </c>
      <c r="G835" s="2" t="inlineStr">
        <is>
          <t>АРМЕНФИЛЬМ</t>
        </is>
      </c>
      <c r="H835" s="2" t="n">
        <v>33</v>
      </c>
      <c r="I835" s="2" t="inlineStr"/>
      <c r="J835" s="2" t="inlineStr">
        <is>
          <t>да</t>
        </is>
      </c>
      <c r="K835" s="3" t="inlineStr">
        <is>
          <t>По книге "Сказки дядюшки Римуса".</t>
        </is>
      </c>
      <c r="L835" s="2" t="inlineStr">
        <is>
          <t>2026-10_мультфильмы_список_владельца.xlsx; https://animator.ru/db/?p=show_film&amp;fid=3994</t>
        </is>
      </c>
      <c r="M835" s="2">
        <f>HYPERLINK("https://ru.wikipedia.org/w/index.php?search=%D0%9B%D0%B8%D1%81%2C%20%D0%BA%D0%BE%D1%82%D0%BE%D1%80%D1%8B%D0%B9%20%D0%BD%D0%B8%D1%87%D0%B5%D0%B3%D0%BE%20%D0%BD%D0%B5%20%D1%83%D0%BC%D0%B5%D0%BB%201977%20%D1%84%D0%B8%D0%BB%D1%8C%D0%BC","искать")</f>
        <v/>
      </c>
      <c r="N835" s="3" t="n"/>
      <c r="O835" s="2" t="n"/>
      <c r="P835" s="2" t="n"/>
    </row>
    <row r="836">
      <c r="A836" s="2" t="n">
        <v>835</v>
      </c>
      <c r="B836" s="2" t="inlineStr">
        <is>
          <t>не сюжет</t>
        </is>
      </c>
      <c r="C836" s="2" t="n">
        <v>12978</v>
      </c>
      <c r="D836" s="3" t="inlineStr">
        <is>
          <t>Белый кот</t>
        </is>
      </c>
      <c r="E836" s="2" t="n">
        <v>1982</v>
      </c>
      <c r="F836" s="2" t="inlineStr">
        <is>
          <t>мультфильм</t>
        </is>
      </c>
      <c r="G836" s="2" t="inlineStr">
        <is>
          <t>КАЗАХФИЛЬМ</t>
        </is>
      </c>
      <c r="H836" s="2" t="n">
        <v>33</v>
      </c>
      <c r="I836" s="2" t="inlineStr"/>
      <c r="J836" s="2" t="inlineStr">
        <is>
          <t>да</t>
        </is>
      </c>
      <c r="K836" s="3" t="inlineStr">
        <is>
          <t>Сказка об очень добром белом коте</t>
        </is>
      </c>
      <c r="L836" s="2" t="inlineStr">
        <is>
          <t>https://animator.ru/db/?p=show_film&amp;fid=4210</t>
        </is>
      </c>
      <c r="M836" s="2">
        <f>HYPERLINK("https://ru.wikipedia.org/w/index.php?search=%D0%91%D0%B5%D0%BB%D1%8B%D0%B9%20%D0%BA%D0%BE%D1%82%201982%20%D1%84%D0%B8%D0%BB%D1%8C%D0%BC","искать")</f>
        <v/>
      </c>
      <c r="N836" s="3" t="n"/>
      <c r="O836" s="2" t="n"/>
      <c r="P836" s="2" t="n"/>
    </row>
    <row r="837">
      <c r="A837" s="2" t="n">
        <v>836</v>
      </c>
      <c r="B837" s="2" t="inlineStr">
        <is>
          <t>не сюжет</t>
        </is>
      </c>
      <c r="C837" s="2" t="n">
        <v>13277</v>
      </c>
      <c r="D837" s="3" t="inlineStr">
        <is>
          <t>Нищий</t>
        </is>
      </c>
      <c r="E837" s="2" t="n">
        <v>1985</v>
      </c>
      <c r="F837" s="2" t="inlineStr">
        <is>
          <t>мультфильм</t>
        </is>
      </c>
      <c r="G837" s="2" t="inlineStr">
        <is>
          <t>ТАЛЛИННФИЛЬМ</t>
        </is>
      </c>
      <c r="H837" s="2" t="n">
        <v>33</v>
      </c>
      <c r="I837" s="2" t="inlineStr"/>
      <c r="J837" s="2" t="inlineStr">
        <is>
          <t>да</t>
        </is>
      </c>
      <c r="K837" s="3" t="inlineStr">
        <is>
          <t>Притча о равнодушии. Для взрослых</t>
        </is>
      </c>
      <c r="L837" s="2" t="inlineStr">
        <is>
          <t>https://animator.ru/db/?p=show_film&amp;fid=4534</t>
        </is>
      </c>
      <c r="M837" s="2">
        <f>HYPERLINK("https://ru.wikipedia.org/w/index.php?search=%D0%9D%D0%B8%D1%89%D0%B8%D0%B9%201985%20%D1%84%D0%B8%D0%BB%D1%8C%D0%BC","искать")</f>
        <v/>
      </c>
      <c r="N837" s="3" t="n"/>
      <c r="O837" s="2" t="n"/>
      <c r="P837" s="2" t="n"/>
    </row>
    <row r="838">
      <c r="A838" s="2" t="n">
        <v>837</v>
      </c>
      <c r="B838" s="2" t="inlineStr">
        <is>
          <t>не сюжет</t>
        </is>
      </c>
      <c r="C838" s="2" t="n">
        <v>13482</v>
      </c>
      <c r="D838" s="3" t="inlineStr">
        <is>
          <t>Щедрость (1988)</t>
        </is>
      </c>
      <c r="E838" s="2" t="n">
        <v>1988</v>
      </c>
      <c r="F838" s="2" t="inlineStr">
        <is>
          <t>мультфильм</t>
        </is>
      </c>
      <c r="G838" s="2" t="inlineStr">
        <is>
          <t>ЛИТОВСКАЯ КИНОСТУДИЯ</t>
        </is>
      </c>
      <c r="H838" s="2" t="n">
        <v>33</v>
      </c>
      <c r="I838" s="2" t="inlineStr"/>
      <c r="J838" s="2" t="inlineStr">
        <is>
          <t>да</t>
        </is>
      </c>
      <c r="K838" s="3" t="inlineStr">
        <is>
          <t>По мотивам сказки "Щедрое дерево"</t>
        </is>
      </c>
      <c r="L838" s="2" t="inlineStr">
        <is>
          <t>https://animator.ru/db/?p=show_film&amp;fid=4772</t>
        </is>
      </c>
      <c r="M838" s="2">
        <f>HYPERLINK("https://ru.wikipedia.org/w/index.php?search=%D0%A9%D0%B5%D0%B4%D1%80%D0%BE%D1%81%D1%82%D1%8C%20%281988%29%201988%20%D1%84%D0%B8%D0%BB%D1%8C%D0%BC","искать")</f>
        <v/>
      </c>
      <c r="N838" s="3" t="n"/>
      <c r="O838" s="2" t="n"/>
      <c r="P838" s="2" t="n"/>
    </row>
    <row r="839">
      <c r="A839" s="2" t="n">
        <v>838</v>
      </c>
      <c r="B839" s="2" t="inlineStr">
        <is>
          <t>не сюжет</t>
        </is>
      </c>
      <c r="C839" s="2" t="n">
        <v>13552</v>
      </c>
      <c r="D839" s="3" t="inlineStr">
        <is>
          <t>Умельцы</t>
        </is>
      </c>
      <c r="E839" s="2" t="n">
        <v>1973</v>
      </c>
      <c r="F839" s="2" t="inlineStr">
        <is>
          <t>мультфильм</t>
        </is>
      </c>
      <c r="G839" s="2" t="inlineStr">
        <is>
          <t>Союзмультфильм</t>
        </is>
      </c>
      <c r="H839" s="2" t="n">
        <v>33</v>
      </c>
      <c r="I839" s="2" t="inlineStr"/>
      <c r="J839" s="2" t="inlineStr">
        <is>
          <t>да</t>
        </is>
      </c>
      <c r="K839" s="3" t="inlineStr">
        <is>
          <t>Об отношении к памятникам старины</t>
        </is>
      </c>
      <c r="L839" s="2" t="inlineStr">
        <is>
          <t>https://animator.ru/db/?p=show_film&amp;fid=4872</t>
        </is>
      </c>
      <c r="M839" s="2">
        <f>HYPERLINK("https://ru.wikipedia.org/w/index.php?search=%D0%A3%D0%BC%D0%B5%D0%BB%D1%8C%D1%86%D1%8B%201973%20%D1%84%D0%B8%D0%BB%D1%8C%D0%BC","искать")</f>
        <v/>
      </c>
      <c r="N839" s="3" t="n"/>
      <c r="O839" s="2" t="n"/>
      <c r="P839" s="2" t="n"/>
    </row>
    <row r="840">
      <c r="A840" s="2" t="n">
        <v>839</v>
      </c>
      <c r="B840" s="2" t="inlineStr">
        <is>
          <t>не сюжет</t>
        </is>
      </c>
      <c r="C840" s="2" t="n">
        <v>13672</v>
      </c>
      <c r="D840" s="3" t="inlineStr">
        <is>
          <t>Да будет свет!</t>
        </is>
      </c>
      <c r="E840" s="2" t="n">
        <v>1987</v>
      </c>
      <c r="F840" s="2" t="inlineStr">
        <is>
          <t>мультфильм</t>
        </is>
      </c>
      <c r="G840" s="2" t="inlineStr">
        <is>
          <t>ЭКРАН</t>
        </is>
      </c>
      <c r="H840" s="2" t="n">
        <v>33</v>
      </c>
      <c r="I840" s="2" t="inlineStr"/>
      <c r="J840" s="2" t="inlineStr">
        <is>
          <t>да</t>
        </is>
      </c>
      <c r="K840" s="3" t="inlineStr">
        <is>
          <t>Плакат об экономии электрохнергии</t>
        </is>
      </c>
      <c r="L840" s="2" t="inlineStr">
        <is>
          <t>https://animator.ru/db/?p=show_film&amp;fid=5064</t>
        </is>
      </c>
      <c r="M840" s="2">
        <f>HYPERLINK("https://ru.wikipedia.org/w/index.php?search=%D0%94%D0%B0%20%D0%B1%D1%83%D0%B4%D0%B5%D1%82%20%D1%81%D0%B2%D0%B5%D1%82%21%201987%20%D1%84%D0%B8%D0%BB%D1%8C%D0%BC","искать")</f>
        <v/>
      </c>
      <c r="N840" s="3" t="n"/>
      <c r="O840" s="2" t="n"/>
      <c r="P840" s="2" t="n"/>
    </row>
    <row r="841">
      <c r="A841" s="2" t="n">
        <v>840</v>
      </c>
      <c r="B841" s="2" t="inlineStr">
        <is>
          <t>не сюжет</t>
        </is>
      </c>
      <c r="C841" s="2" t="n">
        <v>13752</v>
      </c>
      <c r="D841" s="3" t="inlineStr">
        <is>
          <t>Лифт</t>
        </is>
      </c>
      <c r="E841" s="2" t="n">
        <v>1986</v>
      </c>
      <c r="F841" s="2" t="inlineStr">
        <is>
          <t>мультфильм</t>
        </is>
      </c>
      <c r="G841" s="2" t="inlineStr">
        <is>
          <t>ЭКРАН</t>
        </is>
      </c>
      <c r="H841" s="2" t="n">
        <v>33</v>
      </c>
      <c r="I841" s="2" t="inlineStr"/>
      <c r="J841" s="2" t="inlineStr">
        <is>
          <t>да</t>
        </is>
      </c>
      <c r="K841" s="3" t="inlineStr">
        <is>
          <t>Плакат об экономии электроэнергии</t>
        </is>
      </c>
      <c r="L841" s="2" t="inlineStr">
        <is>
          <t>https://animator.ru/db/?p=show_film&amp;fid=5145</t>
        </is>
      </c>
      <c r="M841" s="2">
        <f>HYPERLINK("https://ru.wikipedia.org/w/index.php?search=%D0%9B%D0%B8%D1%84%D1%82%201986%20%D1%84%D0%B8%D0%BB%D1%8C%D0%BC","искать")</f>
        <v/>
      </c>
      <c r="N841" s="3" t="n"/>
      <c r="O841" s="2" t="n"/>
      <c r="P841" s="2" t="n"/>
    </row>
    <row r="842">
      <c r="A842" s="2" t="n">
        <v>841</v>
      </c>
      <c r="B842" s="2" t="inlineStr">
        <is>
          <t>не сюжет</t>
        </is>
      </c>
      <c r="C842" s="2" t="n">
        <v>13771</v>
      </c>
      <c r="D842" s="3" t="inlineStr">
        <is>
          <t>Мотив</t>
        </is>
      </c>
      <c r="E842" s="2" t="n">
        <v>1984</v>
      </c>
      <c r="F842" s="2" t="inlineStr">
        <is>
          <t>мультфильм</t>
        </is>
      </c>
      <c r="G842" s="2" t="inlineStr">
        <is>
          <t>ЭКРАН</t>
        </is>
      </c>
      <c r="H842" s="2" t="n">
        <v>33</v>
      </c>
      <c r="I842" s="2" t="inlineStr"/>
      <c r="J842" s="2" t="inlineStr">
        <is>
          <t>да</t>
        </is>
      </c>
      <c r="K842" s="3" t="inlineStr">
        <is>
          <t>Живописный этюд о красоте природы</t>
        </is>
      </c>
      <c r="L842" s="2" t="inlineStr">
        <is>
          <t>https://animator.ru/db/?p=show_film&amp;fid=5164</t>
        </is>
      </c>
      <c r="M842" s="2">
        <f>HYPERLINK("https://ru.wikipedia.org/w/index.php?search=%D0%9C%D0%BE%D1%82%D0%B8%D0%B2%201984%20%D1%84%D0%B8%D0%BB%D1%8C%D0%BC","искать")</f>
        <v/>
      </c>
      <c r="N842" s="3" t="n"/>
      <c r="O842" s="2" t="n"/>
      <c r="P842" s="2" t="n"/>
    </row>
    <row r="843">
      <c r="A843" s="2" t="n">
        <v>842</v>
      </c>
      <c r="B843" s="2" t="inlineStr">
        <is>
          <t>не сюжет</t>
        </is>
      </c>
      <c r="C843" s="2" t="n">
        <v>13911</v>
      </c>
      <c r="D843" s="3" t="inlineStr">
        <is>
          <t>Сорока</t>
        </is>
      </c>
      <c r="E843" s="2" t="n">
        <v>1982</v>
      </c>
      <c r="F843" s="2" t="inlineStr">
        <is>
          <t>мультфильм</t>
        </is>
      </c>
      <c r="G843" s="2" t="inlineStr">
        <is>
          <t>ЭКРАН</t>
        </is>
      </c>
      <c r="H843" s="2" t="n">
        <v>33</v>
      </c>
      <c r="I843" s="2" t="inlineStr"/>
      <c r="J843" s="2" t="inlineStr">
        <is>
          <t>да</t>
        </is>
      </c>
      <c r="K843" s="3" t="inlineStr">
        <is>
          <t>О сороке, падкой на все блестящее</t>
        </is>
      </c>
      <c r="L843" s="2" t="inlineStr">
        <is>
          <t>https://animator.ru/db/?p=show_film&amp;fid=5305</t>
        </is>
      </c>
      <c r="M843" s="2">
        <f>HYPERLINK("https://ru.wikipedia.org/w/index.php?search=%D0%A1%D0%BE%D1%80%D0%BE%D0%BA%D0%B0%201982%20%D1%84%D0%B8%D0%BB%D1%8C%D0%BC","искать")</f>
        <v/>
      </c>
      <c r="N843" s="3" t="n"/>
      <c r="O843" s="2" t="n"/>
      <c r="P843" s="2" t="n"/>
    </row>
    <row r="844">
      <c r="A844" s="2" t="n">
        <v>843</v>
      </c>
      <c r="B844" s="2" t="inlineStr">
        <is>
          <t>не сюжет</t>
        </is>
      </c>
      <c r="C844" s="2" t="n">
        <v>13931</v>
      </c>
      <c r="D844" s="3" t="inlineStr">
        <is>
          <t>Турист</t>
        </is>
      </c>
      <c r="E844" s="2" t="n">
        <v>1972</v>
      </c>
      <c r="F844" s="2" t="inlineStr">
        <is>
          <t>мультфильм</t>
        </is>
      </c>
      <c r="G844" s="2" t="inlineStr">
        <is>
          <t>ЭКРАН</t>
        </is>
      </c>
      <c r="H844" s="2" t="n">
        <v>33</v>
      </c>
      <c r="I844" s="2" t="inlineStr"/>
      <c r="J844" s="2" t="inlineStr">
        <is>
          <t>да</t>
        </is>
      </c>
      <c r="K844" s="3" t="inlineStr">
        <is>
          <t>О вреде алкоголизма. Для взрослых</t>
        </is>
      </c>
      <c r="L844" s="2" t="inlineStr">
        <is>
          <t>https://animator.ru/db/?p=show_film&amp;fid=5325</t>
        </is>
      </c>
      <c r="M844" s="2">
        <f>HYPERLINK("https://ru.wikipedia.org/w/index.php?search=%D0%A2%D1%83%D1%80%D0%B8%D1%81%D1%82%201972%20%D1%84%D0%B8%D0%BB%D1%8C%D0%BC","искать")</f>
        <v/>
      </c>
      <c r="N844" s="3" t="n"/>
      <c r="O844" s="2" t="n"/>
      <c r="P844" s="2" t="n"/>
    </row>
    <row r="845">
      <c r="A845" s="2" t="n">
        <v>844</v>
      </c>
      <c r="B845" s="2" t="inlineStr">
        <is>
          <t>не сюжет</t>
        </is>
      </c>
      <c r="C845" s="2" t="n">
        <v>14095</v>
      </c>
      <c r="D845" s="3" t="inlineStr">
        <is>
          <t>Муми-Дол. В Муми-Дол приходит осень</t>
        </is>
      </c>
      <c r="E845" s="2" t="n">
        <v>1983</v>
      </c>
      <c r="F845" s="2" t="inlineStr">
        <is>
          <t>мультфильм</t>
        </is>
      </c>
      <c r="G845" s="2" t="inlineStr">
        <is>
          <t>СВЕРДЛОВСКТЕЛЕФИЛЬМ</t>
        </is>
      </c>
      <c r="H845" s="2" t="n">
        <v>33</v>
      </c>
      <c r="I845" s="2" t="inlineStr"/>
      <c r="J845" s="2" t="inlineStr">
        <is>
          <t>да</t>
        </is>
      </c>
      <c r="K845" s="3" t="inlineStr">
        <is>
          <t>Последний мультфильм из трилогии.</t>
        </is>
      </c>
      <c r="L845" s="2" t="inlineStr">
        <is>
          <t>2026-10_мультфильмы_список_владельца.xlsx; https://animator.ru/db/?p=show_film&amp;fid=5493</t>
        </is>
      </c>
      <c r="M845" s="2">
        <f>HYPERLINK("https://ru.wikipedia.org/w/index.php?search=%D0%9C%D1%83%D0%BC%D0%B8-%D0%94%D0%BE%D0%BB.%20%D0%92%20%D0%9C%D1%83%D0%BC%D0%B8-%D0%94%D0%BE%D0%BB%20%D0%BF%D1%80%D0%B8%D1%85%D0%BE%D0%B4%D0%B8%D1%82%20%D0%BE%D1%81%D0%B5%D0%BD%D1%8C%201983%20%D1%84%D0%B8%D0%BB%D1%8C%D0%BC","искать")</f>
        <v/>
      </c>
      <c r="N845" s="3" t="n"/>
      <c r="O845" s="2" t="n"/>
      <c r="P845" s="2" t="n"/>
    </row>
    <row r="846">
      <c r="A846" s="2" t="n">
        <v>845</v>
      </c>
      <c r="B846" s="2" t="inlineStr">
        <is>
          <t>не сюжет</t>
        </is>
      </c>
      <c r="C846" s="2" t="n">
        <v>14194</v>
      </c>
      <c r="D846" s="3" t="inlineStr">
        <is>
          <t>Что сильнее?</t>
        </is>
      </c>
      <c r="E846" s="2" t="n">
        <v>1984</v>
      </c>
      <c r="F846" s="2" t="inlineStr">
        <is>
          <t>мультфильм</t>
        </is>
      </c>
      <c r="G846" s="2" t="inlineStr">
        <is>
          <t>ТУРКМЕНТЕЛЕФИЛЬМ</t>
        </is>
      </c>
      <c r="H846" s="2" t="n">
        <v>33</v>
      </c>
      <c r="I846" s="2" t="inlineStr"/>
      <c r="J846" s="2" t="inlineStr">
        <is>
          <t>да</t>
        </is>
      </c>
      <c r="K846" s="3" t="inlineStr">
        <is>
          <t>История про зверюшек. Для малышей</t>
        </is>
      </c>
      <c r="L846" s="2" t="inlineStr">
        <is>
          <t>https://animator.ru/db/?p=show_film&amp;fid=5592</t>
        </is>
      </c>
      <c r="M846" s="2">
        <f>HYPERLINK("https://ru.wikipedia.org/w/index.php?search=%D0%A7%D1%82%D0%BE%20%D1%81%D0%B8%D0%BB%D1%8C%D0%BD%D0%B5%D0%B5%3F%201984%20%D1%84%D0%B8%D0%BB%D1%8C%D0%BC","искать")</f>
        <v/>
      </c>
      <c r="N846" s="3" t="n"/>
      <c r="O846" s="2" t="n"/>
      <c r="P846" s="2" t="n"/>
    </row>
    <row r="847">
      <c r="A847" s="2" t="n">
        <v>846</v>
      </c>
      <c r="B847" s="2" t="inlineStr">
        <is>
          <t>не сюжет</t>
        </is>
      </c>
      <c r="C847" s="2" t="n">
        <v>14298</v>
      </c>
      <c r="D847" s="3" t="inlineStr">
        <is>
          <t>Капец конического всадника</t>
        </is>
      </c>
      <c r="E847" s="2" t="n">
        <v>1990</v>
      </c>
      <c r="F847" s="2" t="inlineStr">
        <is>
          <t>мультфильм</t>
        </is>
      </c>
      <c r="G847" s="2" t="inlineStr">
        <is>
          <t>БЕЛАРУСЬФИЛЬМ НАЦИОНАЛЬНАЯ КИНОСТУДИЯ - ГП</t>
        </is>
      </c>
      <c r="H847" s="2" t="n">
        <v>33</v>
      </c>
      <c r="I847" s="2" t="inlineStr"/>
      <c r="J847" s="2" t="inlineStr">
        <is>
          <t>да</t>
        </is>
      </c>
      <c r="K847" s="3" t="inlineStr">
        <is>
          <t>Новелла из альманаха "Лабиринт-1"</t>
        </is>
      </c>
      <c r="L847" s="2" t="inlineStr">
        <is>
          <t>https://animator.ru/db/?p=show_film&amp;fid=5841</t>
        </is>
      </c>
      <c r="M847" s="2">
        <f>HYPERLINK("https://ru.wikipedia.org/w/index.php?search=%D0%9A%D0%B0%D0%BF%D0%B5%D1%86%20%D0%BA%D0%BE%D0%BD%D0%B8%D1%87%D0%B5%D1%81%D0%BA%D0%BE%D0%B3%D0%BE%20%D0%B2%D1%81%D0%B0%D0%B4%D0%BD%D0%B8%D0%BA%D0%B0%201990%20%D1%84%D0%B8%D0%BB%D1%8C%D0%BC","искать")</f>
        <v/>
      </c>
      <c r="N847" s="3" t="n"/>
      <c r="O847" s="2" t="n"/>
      <c r="P847" s="2" t="n"/>
    </row>
    <row r="848">
      <c r="A848" s="2" t="n">
        <v>847</v>
      </c>
      <c r="B848" s="2" t="inlineStr">
        <is>
          <t>не сюжет</t>
        </is>
      </c>
      <c r="C848" s="2" t="n">
        <v>9144</v>
      </c>
      <c r="D848" s="3" t="inlineStr">
        <is>
          <t>Хижины надежды</t>
        </is>
      </c>
      <c r="E848" s="2" t="n">
        <v>1971</v>
      </c>
      <c r="F848" s="2" t="inlineStr">
        <is>
          <t>кинофильм</t>
        </is>
      </c>
      <c r="G848" s="2" t="n"/>
      <c r="H848" s="2" t="n">
        <v>34</v>
      </c>
      <c r="I848" s="2" t="inlineStr"/>
      <c r="J848" s="2" t="inlineStr">
        <is>
          <t>да</t>
        </is>
      </c>
      <c r="K848" s="3" t="inlineStr">
        <is>
          <t>О несчастной любви бедного рыбака.</t>
        </is>
      </c>
      <c r="L848" s="2" t="inlineStr">
        <is>
          <t>Кино_СССР сводный каталог.xlsx: список фильмов (доп.)</t>
        </is>
      </c>
      <c r="M848" s="2">
        <f>HYPERLINK("https://ru.wikipedia.org/w/index.php?search=%D0%A5%D0%B8%D0%B6%D0%B8%D0%BD%D1%8B%20%D0%BD%D0%B0%D0%B4%D0%B5%D0%B6%D0%B4%D1%8B%201971%20%D1%84%D0%B8%D0%BB%D1%8C%D0%BC","искать")</f>
        <v/>
      </c>
      <c r="N848" s="3" t="n"/>
      <c r="O848" s="2" t="n"/>
      <c r="P848" s="2" t="n"/>
    </row>
    <row r="849">
      <c r="A849" s="2" t="n">
        <v>848</v>
      </c>
      <c r="B849" s="2" t="inlineStr">
        <is>
          <t>не сюжет</t>
        </is>
      </c>
      <c r="C849" s="2" t="n">
        <v>9920</v>
      </c>
      <c r="D849" s="3" t="inlineStr">
        <is>
          <t>Огневушка-поскакушка</t>
        </is>
      </c>
      <c r="E849" s="2" t="n">
        <v>1976</v>
      </c>
      <c r="F849" s="2" t="inlineStr">
        <is>
          <t>телефильм</t>
        </is>
      </c>
      <c r="G849" s="2" t="inlineStr">
        <is>
          <t>Свердловское телевидение</t>
        </is>
      </c>
      <c r="H849" s="2" t="n">
        <v>34</v>
      </c>
      <c r="I849" s="2" t="inlineStr"/>
      <c r="J849" s="2" t="inlineStr">
        <is>
          <t>да</t>
        </is>
      </c>
      <c r="K849" s="3" t="inlineStr">
        <is>
          <t>Экранизация рассказа Павла Бажова.</t>
        </is>
      </c>
      <c r="L849" s="2" t="inlineStr">
        <is>
          <t>https://www.kino-teatr.ru/short/movie/sov/108486/annot/</t>
        </is>
      </c>
      <c r="M849" s="2">
        <f>HYPERLINK("https://ru.wikipedia.org/w/index.php?search=%D0%9E%D0%B3%D0%BD%D0%B5%D0%B2%D1%83%D1%88%D0%BA%D0%B0-%D0%BF%D0%BE%D1%81%D0%BA%D0%B0%D0%BA%D1%83%D1%88%D0%BA%D0%B0%201976%20%D1%84%D0%B8%D0%BB%D1%8C%D0%BC","искать")</f>
        <v/>
      </c>
      <c r="N849" s="3" t="n"/>
      <c r="O849" s="2" t="n"/>
      <c r="P849" s="2" t="n"/>
    </row>
    <row r="850">
      <c r="A850" s="2" t="n">
        <v>849</v>
      </c>
      <c r="B850" s="2" t="inlineStr">
        <is>
          <t>не сюжет</t>
        </is>
      </c>
      <c r="C850" s="2" t="n">
        <v>10285</v>
      </c>
      <c r="D850" s="3" t="inlineStr">
        <is>
          <t>Апрель</t>
        </is>
      </c>
      <c r="E850" s="2" t="n">
        <v>1969</v>
      </c>
      <c r="F850" s="2" t="inlineStr">
        <is>
          <t>фильм-спектакль</t>
        </is>
      </c>
      <c r="G850" s="2" t="inlineStr">
        <is>
          <t>Ленинградское телевидение</t>
        </is>
      </c>
      <c r="H850" s="2" t="n">
        <v>34</v>
      </c>
      <c r="I850" s="2" t="inlineStr"/>
      <c r="J850" s="2" t="inlineStr">
        <is>
          <t>да</t>
        </is>
      </c>
      <c r="K850" s="3" t="inlineStr">
        <is>
          <t>По пьесе А.Афиногенова "Машенька".</t>
        </is>
      </c>
      <c r="L850" s="2" t="inlineStr">
        <is>
          <t>https://www.kino-teatr.ru/teatr/movie/93619/annot/</t>
        </is>
      </c>
      <c r="M850" s="2">
        <f>HYPERLINK("https://ru.wikipedia.org/w/index.php?search=%D0%90%D0%BF%D1%80%D0%B5%D0%BB%D1%8C%201969%20%D1%84%D0%B8%D0%BB%D1%8C%D0%BC","искать")</f>
        <v/>
      </c>
      <c r="N850" s="3" t="n"/>
      <c r="O850" s="2" t="n"/>
      <c r="P850" s="2" t="n"/>
    </row>
    <row r="851">
      <c r="A851" s="2" t="n">
        <v>850</v>
      </c>
      <c r="B851" s="2" t="inlineStr">
        <is>
          <t>не сюжет</t>
        </is>
      </c>
      <c r="C851" s="2" t="n">
        <v>10630</v>
      </c>
      <c r="D851" s="3" t="inlineStr">
        <is>
          <t>Троил и Крессида</t>
        </is>
      </c>
      <c r="E851" s="2" t="n">
        <v>1975</v>
      </c>
      <c r="F851" s="2" t="inlineStr">
        <is>
          <t>фильм-спектакль</t>
        </is>
      </c>
      <c r="G851" s="2" t="inlineStr">
        <is>
          <t>Ленинградское ТВ, Подборки фильмов, экранизации Шекспира</t>
        </is>
      </c>
      <c r="H851" s="2" t="n">
        <v>34</v>
      </c>
      <c r="I851" s="2" t="inlineStr"/>
      <c r="J851" s="2" t="inlineStr">
        <is>
          <t>да</t>
        </is>
      </c>
      <c r="K851" s="3" t="inlineStr">
        <is>
          <t>По мотивам пьесы Вильяма Шекспира.</t>
        </is>
      </c>
      <c r="L851" s="2" t="inlineStr">
        <is>
          <t>https://www.kino-teatr.ru/teatr/movie/98270/annot/</t>
        </is>
      </c>
      <c r="M851" s="2">
        <f>HYPERLINK("https://ru.wikipedia.org/w/index.php?search=%D0%A2%D1%80%D0%BE%D0%B8%D0%BB%20%D0%B8%20%D0%9A%D1%80%D0%B5%D1%81%D1%81%D0%B8%D0%B4%D0%B0%201975%20%D1%84%D0%B8%D0%BB%D1%8C%D0%BC","искать")</f>
        <v/>
      </c>
      <c r="N851" s="3" t="n"/>
      <c r="O851" s="2" t="n"/>
      <c r="P851" s="2" t="n"/>
    </row>
    <row r="852">
      <c r="A852" s="2" t="n">
        <v>851</v>
      </c>
      <c r="B852" s="2" t="inlineStr">
        <is>
          <t>не сюжет</t>
        </is>
      </c>
      <c r="C852" s="2" t="n">
        <v>11329</v>
      </c>
      <c r="D852" s="3" t="inlineStr">
        <is>
          <t>Холодная осень</t>
        </is>
      </c>
      <c r="E852" s="2" t="n">
        <v>1990</v>
      </c>
      <c r="F852" s="2" t="inlineStr">
        <is>
          <t>фильм-спектакль</t>
        </is>
      </c>
      <c r="G852" s="2" t="inlineStr">
        <is>
          <t>Главная редакция литературно-драматический программ ЦТ</t>
        </is>
      </c>
      <c r="H852" s="2" t="n">
        <v>34</v>
      </c>
      <c r="I852" s="2" t="inlineStr"/>
      <c r="J852" s="2" t="inlineStr">
        <is>
          <t>да</t>
        </is>
      </c>
      <c r="K852" s="3" t="inlineStr">
        <is>
          <t>По одноименному рассказу И.Бунина.</t>
        </is>
      </c>
      <c r="L852" s="2" t="inlineStr">
        <is>
          <t>https://www.kino-teatr.ru/teatr/movie/9676/annot/</t>
        </is>
      </c>
      <c r="M852" s="2">
        <f>HYPERLINK("https://ru.wikipedia.org/w/index.php?search=%D0%A5%D0%BE%D0%BB%D0%BE%D0%B4%D0%BD%D0%B0%D1%8F%20%D0%BE%D1%81%D0%B5%D0%BD%D1%8C%201990%20%D1%84%D0%B8%D0%BB%D1%8C%D0%BC","искать")</f>
        <v/>
      </c>
      <c r="N852" s="3" t="n"/>
      <c r="O852" s="2" t="n"/>
      <c r="P852" s="2" t="n"/>
    </row>
    <row r="853">
      <c r="A853" s="2" t="n">
        <v>852</v>
      </c>
      <c r="B853" s="2" t="inlineStr">
        <is>
          <t>не сюжет</t>
        </is>
      </c>
      <c r="C853" s="2" t="n">
        <v>11650</v>
      </c>
      <c r="D853" s="3" t="inlineStr">
        <is>
          <t>Только для взрослых (выпуск 1)</t>
        </is>
      </c>
      <c r="E853" s="2" t="n">
        <v>1971</v>
      </c>
      <c r="F853" s="2" t="inlineStr">
        <is>
          <t>мультфильм</t>
        </is>
      </c>
      <c r="G853" s="2" t="inlineStr">
        <is>
          <t>Союзмультфильм</t>
        </is>
      </c>
      <c r="H853" s="2" t="n">
        <v>34</v>
      </c>
      <c r="I853" s="2" t="inlineStr"/>
      <c r="J853" s="2" t="inlineStr">
        <is>
          <t>да</t>
        </is>
      </c>
      <c r="K853" s="3" t="inlineStr">
        <is>
          <t>Сатирические миниатюрыдля взрослых</t>
        </is>
      </c>
      <c r="L853" s="2" t="inlineStr">
        <is>
          <t>2026-10_мультфильмы_список_владельца.xlsx; https://animator.ru/db/?p=show_film&amp;fid=2564</t>
        </is>
      </c>
      <c r="M853" s="2">
        <f>HYPERLINK("https://ru.wikipedia.org/w/index.php?search=%D0%A2%D0%BE%D0%BB%D1%8C%D0%BA%D0%BE%20%D0%B4%D0%BB%D1%8F%20%D0%B2%D0%B7%D1%80%D0%BE%D1%81%D0%BB%D1%8B%D1%85%20%28%D0%B2%D1%8B%D0%BF%D1%83%D1%81%D0%BA%201%29%201971%20%D1%84%D0%B8%D0%BB%D1%8C%D0%BC","искать")</f>
        <v/>
      </c>
      <c r="N853" s="3" t="n"/>
      <c r="O853" s="2" t="n"/>
      <c r="P853" s="2" t="n"/>
    </row>
    <row r="854">
      <c r="A854" s="2" t="n">
        <v>853</v>
      </c>
      <c r="B854" s="2" t="inlineStr">
        <is>
          <t>не сюжет</t>
        </is>
      </c>
      <c r="C854" s="2" t="n">
        <v>11809</v>
      </c>
      <c r="D854" s="3" t="inlineStr">
        <is>
          <t>Петя и волк</t>
        </is>
      </c>
      <c r="E854" s="2" t="n">
        <v>1976</v>
      </c>
      <c r="F854" s="2" t="inlineStr">
        <is>
          <t>мультфильм</t>
        </is>
      </c>
      <c r="G854" s="2" t="inlineStr">
        <is>
          <t>Союзмультфильм</t>
        </is>
      </c>
      <c r="H854" s="2" t="n">
        <v>34</v>
      </c>
      <c r="I854" s="2" t="inlineStr"/>
      <c r="J854" s="2" t="inlineStr">
        <is>
          <t>да</t>
        </is>
      </c>
      <c r="K854" s="3" t="inlineStr">
        <is>
          <t>По музыкальной сказке С.Прокофьева</t>
        </is>
      </c>
      <c r="L854" s="2" t="inlineStr">
        <is>
          <t>https://animator.ru/db/?p=show_film&amp;fid=2723</t>
        </is>
      </c>
      <c r="M854" s="2">
        <f>HYPERLINK("https://ru.wikipedia.org/w/index.php?search=%D0%9F%D0%B5%D1%82%D1%8F%20%D0%B8%20%D0%B2%D0%BE%D0%BB%D0%BA%201976%20%D1%84%D0%B8%D0%BB%D1%8C%D0%BC","искать")</f>
        <v/>
      </c>
      <c r="N854" s="3" t="n"/>
      <c r="O854" s="2" t="n"/>
      <c r="P854" s="2" t="n"/>
    </row>
    <row r="855">
      <c r="A855" s="2" t="n">
        <v>854</v>
      </c>
      <c r="B855" s="2" t="inlineStr">
        <is>
          <t>не сюжет</t>
        </is>
      </c>
      <c r="C855" s="2" t="n">
        <v>11840</v>
      </c>
      <c r="D855" s="3" t="inlineStr">
        <is>
          <t>Мальчик с пальчик (1977)</t>
        </is>
      </c>
      <c r="E855" s="2" t="n">
        <v>1977</v>
      </c>
      <c r="F855" s="2" t="inlineStr">
        <is>
          <t>мультфильм</t>
        </is>
      </c>
      <c r="G855" s="2" t="inlineStr">
        <is>
          <t>Союзмультфильм</t>
        </is>
      </c>
      <c r="H855" s="2" t="n">
        <v>34</v>
      </c>
      <c r="I855" s="2" t="inlineStr"/>
      <c r="J855" s="2" t="inlineStr">
        <is>
          <t>да</t>
        </is>
      </c>
      <c r="K855" s="3" t="inlineStr">
        <is>
          <t>По мотивам русской народной сказки</t>
        </is>
      </c>
      <c r="L855" s="2" t="inlineStr">
        <is>
          <t>https://animator.ru/db/?p=show_film&amp;fid=2755</t>
        </is>
      </c>
      <c r="M855" s="2">
        <f>HYPERLINK("https://ru.wikipedia.org/w/index.php?search=%D0%9C%D0%B0%D0%BB%D1%8C%D1%87%D0%B8%D0%BA%20%D1%81%20%D0%BF%D0%B0%D0%BB%D1%8C%D1%87%D0%B8%D0%BA%20%281977%29%201977%20%D1%84%D0%B8%D0%BB%D1%8C%D0%BC","искать")</f>
        <v/>
      </c>
      <c r="N855" s="3" t="n"/>
      <c r="O855" s="2" t="n"/>
      <c r="P855" s="2" t="n"/>
    </row>
    <row r="856">
      <c r="A856" s="2" t="n">
        <v>855</v>
      </c>
      <c r="B856" s="2" t="inlineStr">
        <is>
          <t>не сюжет</t>
        </is>
      </c>
      <c r="C856" s="2" t="n">
        <v>11936</v>
      </c>
      <c r="D856" s="3" t="inlineStr">
        <is>
          <t>Девочка и медведь</t>
        </is>
      </c>
      <c r="E856" s="2" t="n">
        <v>1980</v>
      </c>
      <c r="F856" s="2" t="inlineStr">
        <is>
          <t>мультфильм</t>
        </is>
      </c>
      <c r="G856" s="2" t="inlineStr">
        <is>
          <t>Союзмультфильм</t>
        </is>
      </c>
      <c r="H856" s="2" t="n">
        <v>34</v>
      </c>
      <c r="I856" s="2" t="inlineStr"/>
      <c r="J856" s="2" t="inlineStr">
        <is>
          <t>да</t>
        </is>
      </c>
      <c r="K856" s="3" t="inlineStr">
        <is>
          <t>По мотивам русской народной сказки</t>
        </is>
      </c>
      <c r="L856" s="2" t="inlineStr">
        <is>
          <t>https://animator.ru/db/?p=show_film&amp;fid=2851</t>
        </is>
      </c>
      <c r="M856" s="2">
        <f>HYPERLINK("https://ru.wikipedia.org/w/index.php?search=%D0%94%D0%B5%D0%B2%D0%BE%D1%87%D0%BA%D0%B0%20%D0%B8%20%D0%BC%D0%B5%D0%B4%D0%B2%D0%B5%D0%B4%D1%8C%201980%20%D1%84%D0%B8%D0%BB%D1%8C%D0%BC","искать")</f>
        <v/>
      </c>
      <c r="N856" s="3" t="n"/>
      <c r="O856" s="2" t="n"/>
      <c r="P856" s="2" t="n"/>
    </row>
    <row r="857">
      <c r="A857" s="2" t="n">
        <v>856</v>
      </c>
      <c r="B857" s="2" t="inlineStr">
        <is>
          <t>не сюжет</t>
        </is>
      </c>
      <c r="C857" s="2" t="n">
        <v>11963</v>
      </c>
      <c r="D857" s="3" t="inlineStr">
        <is>
          <t>Зимовье зверей (1981)</t>
        </is>
      </c>
      <c r="E857" s="2" t="n">
        <v>1981</v>
      </c>
      <c r="F857" s="2" t="inlineStr">
        <is>
          <t>мультфильм</t>
        </is>
      </c>
      <c r="G857" s="2" t="inlineStr">
        <is>
          <t>Союзмультфильм</t>
        </is>
      </c>
      <c r="H857" s="2" t="n">
        <v>34</v>
      </c>
      <c r="I857" s="2" t="inlineStr"/>
      <c r="J857" s="2" t="inlineStr">
        <is>
          <t>да</t>
        </is>
      </c>
      <c r="K857" s="3" t="inlineStr">
        <is>
          <t>По мотивам русской народной сказки</t>
        </is>
      </c>
      <c r="L857" s="2" t="inlineStr">
        <is>
          <t>https://animator.ru/db/?p=show_film&amp;fid=2879</t>
        </is>
      </c>
      <c r="M857" s="2">
        <f>HYPERLINK("https://ru.wikipedia.org/w/index.php?search=%D0%97%D0%B8%D0%BC%D0%BE%D0%B2%D1%8C%D0%B5%20%D0%B7%D0%B2%D0%B5%D1%80%D0%B5%D0%B9%20%281981%29%201981%20%D1%84%D0%B8%D0%BB%D1%8C%D0%BC","искать")</f>
        <v/>
      </c>
      <c r="N857" s="3" t="n"/>
      <c r="O857" s="2" t="n"/>
      <c r="P857" s="2" t="n"/>
    </row>
    <row r="858">
      <c r="A858" s="2" t="n">
        <v>857</v>
      </c>
      <c r="B858" s="2" t="inlineStr">
        <is>
          <t>не сюжет</t>
        </is>
      </c>
      <c r="C858" s="2" t="n">
        <v>12040</v>
      </c>
      <c r="D858" s="3" t="inlineStr">
        <is>
          <t>Горе - не беда</t>
        </is>
      </c>
      <c r="E858" s="2" t="n">
        <v>1983</v>
      </c>
      <c r="F858" s="2" t="inlineStr">
        <is>
          <t>мультфильм</t>
        </is>
      </c>
      <c r="G858" s="2" t="inlineStr">
        <is>
          <t>Союзмультфильм</t>
        </is>
      </c>
      <c r="H858" s="2" t="n">
        <v>34</v>
      </c>
      <c r="I858" s="2" t="inlineStr"/>
      <c r="J858" s="2" t="inlineStr">
        <is>
          <t>да</t>
        </is>
      </c>
      <c r="K858" s="3" t="inlineStr">
        <is>
          <t>По мотивам русских народных сказок</t>
        </is>
      </c>
      <c r="L858" s="2" t="inlineStr">
        <is>
          <t>https://animator.ru/db/?p=show_film&amp;fid=3155</t>
        </is>
      </c>
      <c r="M858" s="2">
        <f>HYPERLINK("https://ru.wikipedia.org/w/index.php?search=%D0%93%D0%BE%D1%80%D0%B5%20-%20%D0%BD%D0%B5%20%D0%B1%D0%B5%D0%B4%D0%B0%201983%20%D1%84%D0%B8%D0%BB%D1%8C%D0%BC","искать")</f>
        <v/>
      </c>
      <c r="N858" s="3" t="n"/>
      <c r="O858" s="2" t="n"/>
      <c r="P858" s="2" t="n"/>
    </row>
    <row r="859">
      <c r="A859" s="2" t="n">
        <v>858</v>
      </c>
      <c r="B859" s="2" t="inlineStr">
        <is>
          <t>не сюжет</t>
        </is>
      </c>
      <c r="C859" s="2" t="n">
        <v>12141</v>
      </c>
      <c r="D859" s="3" t="inlineStr">
        <is>
          <t>Загадка сфинкса</t>
        </is>
      </c>
      <c r="E859" s="2" t="n">
        <v>1985</v>
      </c>
      <c r="F859" s="2" t="inlineStr">
        <is>
          <t>мультфильм</t>
        </is>
      </c>
      <c r="G859" s="2" t="inlineStr">
        <is>
          <t>Союзмультфильм</t>
        </is>
      </c>
      <c r="H859" s="2" t="n">
        <v>34</v>
      </c>
      <c r="I859" s="2" t="inlineStr"/>
      <c r="J859" s="2" t="inlineStr">
        <is>
          <t>да</t>
        </is>
      </c>
      <c r="K859" s="3" t="inlineStr">
        <is>
          <t>По мотивам фресок Древнего Египта.</t>
        </is>
      </c>
      <c r="L859" s="2" t="inlineStr">
        <is>
          <t>2026-10_мультфильмы_список_владельца.xlsx; https://animator.ru/db/?p=show_film&amp;fid=3257</t>
        </is>
      </c>
      <c r="M859" s="2">
        <f>HYPERLINK("https://ru.wikipedia.org/w/index.php?search=%D0%97%D0%B0%D0%B3%D0%B0%D0%B4%D0%BA%D0%B0%20%D1%81%D1%84%D0%B8%D0%BD%D0%BA%D1%81%D0%B0%201985%20%D1%84%D0%B8%D0%BB%D1%8C%D0%BC","искать")</f>
        <v/>
      </c>
      <c r="N859" s="3" t="n"/>
      <c r="O859" s="2" t="n"/>
      <c r="P859" s="2" t="n"/>
    </row>
    <row r="860">
      <c r="A860" s="2" t="n">
        <v>859</v>
      </c>
      <c r="B860" s="2" t="inlineStr">
        <is>
          <t>не сюжет</t>
        </is>
      </c>
      <c r="C860" s="2" t="n">
        <v>12537</v>
      </c>
      <c r="D860" s="3" t="inlineStr">
        <is>
          <t>Самовар Иван Иваныч</t>
        </is>
      </c>
      <c r="E860" s="2" t="n">
        <v>1987</v>
      </c>
      <c r="F860" s="2" t="inlineStr">
        <is>
          <t>мультфильм</t>
        </is>
      </c>
      <c r="G860" s="2" t="inlineStr">
        <is>
          <t>КИЕВНАУЧФИЛЬМ</t>
        </is>
      </c>
      <c r="H860" s="2" t="n">
        <v>34</v>
      </c>
      <c r="I860" s="2" t="inlineStr"/>
      <c r="J860" s="2" t="inlineStr">
        <is>
          <t>да</t>
        </is>
      </c>
      <c r="K860" s="3" t="inlineStr">
        <is>
          <t>По мотивам стихотворений Д.Хармса.</t>
        </is>
      </c>
      <c r="L860" s="2" t="inlineStr">
        <is>
          <t>2026-10_мультфильмы_список_владельца.xlsx; https://animator.ru/db/?p=show_film&amp;fid=3715</t>
        </is>
      </c>
      <c r="M860" s="2">
        <f>HYPERLINK("https://ru.wikipedia.org/w/index.php?search=%D0%A1%D0%B0%D0%BC%D0%BE%D0%B2%D0%B0%D1%80%20%D0%98%D0%B2%D0%B0%D0%BD%20%D0%98%D0%B2%D0%B0%D0%BD%D1%8B%D1%87%201987%20%D1%84%D0%B8%D0%BB%D1%8C%D0%BC","искать")</f>
        <v/>
      </c>
      <c r="N860" s="3" t="n"/>
      <c r="O860" s="2" t="n"/>
      <c r="P860" s="2" t="n"/>
    </row>
    <row r="861">
      <c r="A861" s="2" t="n">
        <v>860</v>
      </c>
      <c r="B861" s="2" t="inlineStr">
        <is>
          <t>не сюжет</t>
        </is>
      </c>
      <c r="C861" s="2" t="n">
        <v>12623</v>
      </c>
      <c r="D861" s="3" t="inlineStr">
        <is>
          <t>ШЕФСКАЯ ПОМОЩЬ ("Фитиль" N 290)</t>
        </is>
      </c>
      <c r="E861" s="2" t="n">
        <v>1986</v>
      </c>
      <c r="F861" s="2" t="inlineStr">
        <is>
          <t>мультфильм</t>
        </is>
      </c>
      <c r="G861" s="2" t="inlineStr">
        <is>
          <t>Союзмультфильм</t>
        </is>
      </c>
      <c r="H861" s="2" t="n">
        <v>34</v>
      </c>
      <c r="I861" s="2" t="inlineStr"/>
      <c r="J861" s="2" t="inlineStr">
        <is>
          <t>да</t>
        </is>
      </c>
      <c r="K861" s="3" t="inlineStr">
        <is>
          <t>О злоупотреблениях на очощной базе</t>
        </is>
      </c>
      <c r="L861" s="2" t="inlineStr">
        <is>
          <t>https://animator.ru/db/?p=show_film&amp;fid=3803</t>
        </is>
      </c>
      <c r="M861" s="2">
        <f>HYPERLINK("https://ru.wikipedia.org/w/index.php?search=%D0%A8%D0%95%D0%A4%D0%A1%D0%9A%D0%90%D0%AF%20%D0%9F%D0%9E%D0%9C%D0%9E%D0%A9%D0%AC%20%28%22%D0%A4%D0%B8%D1%82%D0%B8%D0%BB%D1%8C%22%20N%20290%29%201986%20%D1%84%D0%B8%D0%BB%D1%8C%D0%BC","искать")</f>
        <v/>
      </c>
      <c r="N861" s="3" t="n"/>
      <c r="O861" s="2" t="n"/>
      <c r="P861" s="2" t="n"/>
    </row>
    <row r="862">
      <c r="A862" s="2" t="n">
        <v>861</v>
      </c>
      <c r="B862" s="2" t="inlineStr">
        <is>
          <t>не сюжет</t>
        </is>
      </c>
      <c r="C862" s="2" t="n">
        <v>12935</v>
      </c>
      <c r="D862" s="3" t="inlineStr">
        <is>
          <t>Сказка про Бачо и его маму</t>
        </is>
      </c>
      <c r="E862" s="2" t="n">
        <v>1978</v>
      </c>
      <c r="F862" s="2" t="inlineStr">
        <is>
          <t>мультфильм</t>
        </is>
      </c>
      <c r="G862" s="2" t="inlineStr">
        <is>
          <t>ГРУЗИЯ-ФИЛЬМ - АО</t>
        </is>
      </c>
      <c r="H862" s="2" t="n">
        <v>34</v>
      </c>
      <c r="I862" s="2" t="inlineStr"/>
      <c r="J862" s="2" t="inlineStr">
        <is>
          <t>да</t>
        </is>
      </c>
      <c r="K862" s="3" t="inlineStr">
        <is>
          <t>По одноименной сказке О.Иоселиани.</t>
        </is>
      </c>
      <c r="L862" s="2" t="inlineStr">
        <is>
          <t>2026-10_мультфильмы_список_владельца.xlsx; https://animator.ru/db/?p=show_film&amp;fid=4165</t>
        </is>
      </c>
      <c r="M862" s="2">
        <f>HYPERLINK("https://ru.wikipedia.org/w/index.php?search=%D0%A1%D0%BA%D0%B0%D0%B7%D0%BA%D0%B0%20%D0%BF%D1%80%D0%BE%20%D0%91%D0%B0%D1%87%D0%BE%20%D0%B8%20%D0%B5%D0%B3%D0%BE%20%D0%BC%D0%B0%D0%BC%D1%83%201978%20%D1%84%D0%B8%D0%BB%D1%8C%D0%BC","искать")</f>
        <v/>
      </c>
      <c r="N862" s="3" t="n"/>
      <c r="O862" s="2" t="n"/>
      <c r="P862" s="2" t="n"/>
    </row>
    <row r="863">
      <c r="A863" s="2" t="n">
        <v>862</v>
      </c>
      <c r="B863" s="2" t="inlineStr">
        <is>
          <t>не сюжет</t>
        </is>
      </c>
      <c r="C863" s="2" t="n">
        <v>13192</v>
      </c>
      <c r="D863" s="3" t="inlineStr">
        <is>
          <t>Солнечный луч</t>
        </is>
      </c>
      <c r="E863" s="2" t="n">
        <v>1971</v>
      </c>
      <c r="F863" s="2" t="inlineStr">
        <is>
          <t>мультфильм</t>
        </is>
      </c>
      <c r="G863" s="2" t="inlineStr">
        <is>
          <t>УЗБЕКФИЛЬМ</t>
        </is>
      </c>
      <c r="H863" s="2" t="n">
        <v>34</v>
      </c>
      <c r="I863" s="2" t="inlineStr"/>
      <c r="J863" s="2" t="inlineStr">
        <is>
          <t>да</t>
        </is>
      </c>
      <c r="K863" s="3" t="inlineStr">
        <is>
          <t>По одноименной сказке Ал.Т.Попеску</t>
        </is>
      </c>
      <c r="L863" s="2" t="inlineStr">
        <is>
          <t>https://animator.ru/db/?p=show_film&amp;fid=4431</t>
        </is>
      </c>
      <c r="M863" s="2">
        <f>HYPERLINK("https://ru.wikipedia.org/w/index.php?search=%D0%A1%D0%BE%D0%BB%D0%BD%D0%B5%D1%87%D0%BD%D1%8B%D0%B9%20%D0%BB%D1%83%D1%87%201971%20%D1%84%D0%B8%D0%BB%D1%8C%D0%BC","искать")</f>
        <v/>
      </c>
      <c r="N863" s="3" t="n"/>
      <c r="O863" s="2" t="n"/>
      <c r="P863" s="2" t="n"/>
    </row>
    <row r="864">
      <c r="A864" s="2" t="n">
        <v>863</v>
      </c>
      <c r="B864" s="2" t="inlineStr">
        <is>
          <t>не сюжет</t>
        </is>
      </c>
      <c r="C864" s="2" t="n">
        <v>13195</v>
      </c>
      <c r="D864" s="3" t="inlineStr">
        <is>
          <t>Тайна кукушки</t>
        </is>
      </c>
      <c r="E864" s="2" t="n">
        <v>1972</v>
      </c>
      <c r="F864" s="2" t="inlineStr">
        <is>
          <t>мультфильм</t>
        </is>
      </c>
      <c r="G864" s="2" t="inlineStr">
        <is>
          <t>УЗБЕКФИЛЬМ</t>
        </is>
      </c>
      <c r="H864" s="2" t="n">
        <v>34</v>
      </c>
      <c r="I864" s="2" t="inlineStr"/>
      <c r="J864" s="2" t="inlineStr">
        <is>
          <t>да</t>
        </is>
      </c>
      <c r="K864" s="3" t="inlineStr">
        <is>
          <t>О родительской любви. Для взрослых</t>
        </is>
      </c>
      <c r="L864" s="2" t="inlineStr">
        <is>
          <t>https://animator.ru/db/?p=show_film&amp;fid=4434</t>
        </is>
      </c>
      <c r="M864" s="2">
        <f>HYPERLINK("https://ru.wikipedia.org/w/index.php?search=%D0%A2%D0%B0%D0%B9%D0%BD%D0%B0%20%D0%BA%D1%83%D0%BA%D1%83%D1%88%D0%BA%D0%B8%201972%20%D1%84%D0%B8%D0%BB%D1%8C%D0%BC","искать")</f>
        <v/>
      </c>
      <c r="N864" s="3" t="n"/>
      <c r="O864" s="2" t="n"/>
      <c r="P864" s="2" t="n"/>
    </row>
    <row r="865">
      <c r="A865" s="2" t="n">
        <v>864</v>
      </c>
      <c r="B865" s="2" t="inlineStr">
        <is>
          <t>не сюжет</t>
        </is>
      </c>
      <c r="C865" s="2" t="n">
        <v>13238</v>
      </c>
      <c r="D865" s="3" t="inlineStr">
        <is>
          <t>Крыль</t>
        </is>
      </c>
      <c r="E865" s="2" t="n">
        <v>1972</v>
      </c>
      <c r="F865" s="2" t="inlineStr">
        <is>
          <t>мультфильм</t>
        </is>
      </c>
      <c r="G865" s="2" t="inlineStr">
        <is>
          <t>ТАЛЛИННФИЛЬМ</t>
        </is>
      </c>
      <c r="H865" s="2" t="n">
        <v>34</v>
      </c>
      <c r="I865" s="2" t="inlineStr"/>
      <c r="J865" s="2" t="inlineStr">
        <is>
          <t>да</t>
        </is>
      </c>
      <c r="K865" s="3" t="inlineStr">
        <is>
          <t>О Крыле - друге детей. Для малышей</t>
        </is>
      </c>
      <c r="L865" s="2" t="inlineStr">
        <is>
          <t>https://animator.ru/db/?p=show_film&amp;fid=4481</t>
        </is>
      </c>
      <c r="M865" s="2">
        <f>HYPERLINK("https://ru.wikipedia.org/w/index.php?search=%D0%9A%D1%80%D1%8B%D0%BB%D1%8C%201972%20%D1%84%D0%B8%D0%BB%D1%8C%D0%BC","искать")</f>
        <v/>
      </c>
      <c r="N865" s="3" t="n"/>
      <c r="O865" s="2" t="n"/>
      <c r="P865" s="2" t="n"/>
    </row>
    <row r="866">
      <c r="A866" s="2" t="n">
        <v>865</v>
      </c>
      <c r="B866" s="2" t="inlineStr">
        <is>
          <t>не сюжет</t>
        </is>
      </c>
      <c r="C866" s="2" t="n">
        <v>13411</v>
      </c>
      <c r="D866" s="3" t="inlineStr">
        <is>
          <t>Девичьи узоры</t>
        </is>
      </c>
      <c r="E866" s="2" t="n">
        <v>1981</v>
      </c>
      <c r="F866" s="2" t="inlineStr">
        <is>
          <t>мультфильм</t>
        </is>
      </c>
      <c r="G866" s="2" t="inlineStr">
        <is>
          <t>ЭКРАН</t>
        </is>
      </c>
      <c r="H866" s="2" t="n">
        <v>34</v>
      </c>
      <c r="I866" s="2" t="inlineStr"/>
      <c r="J866" s="2" t="inlineStr">
        <is>
          <t>да</t>
        </is>
      </c>
      <c r="K866" s="3" t="inlineStr">
        <is>
          <t>По мотивам русских народных сказок</t>
        </is>
      </c>
      <c r="L866" s="2" t="inlineStr">
        <is>
          <t>https://animator.ru/db/?p=show_film&amp;fid=4691</t>
        </is>
      </c>
      <c r="M866" s="2">
        <f>HYPERLINK("https://ru.wikipedia.org/w/index.php?search=%D0%94%D0%B5%D0%B2%D0%B8%D1%87%D1%8C%D0%B8%20%D1%83%D0%B7%D0%BE%D1%80%D1%8B%201981%20%D1%84%D0%B8%D0%BB%D1%8C%D0%BC","искать")</f>
        <v/>
      </c>
      <c r="N866" s="3" t="n"/>
      <c r="O866" s="2" t="n"/>
      <c r="P866" s="2" t="n"/>
    </row>
    <row r="867">
      <c r="A867" s="2" t="n">
        <v>866</v>
      </c>
      <c r="B867" s="2" t="inlineStr">
        <is>
          <t>не сюжет</t>
        </is>
      </c>
      <c r="C867" s="2" t="n">
        <v>13474</v>
      </c>
      <c r="D867" s="3" t="inlineStr">
        <is>
          <t>По щучьему велению</t>
        </is>
      </c>
      <c r="E867" s="2" t="n">
        <v>1984</v>
      </c>
      <c r="F867" s="2" t="inlineStr">
        <is>
          <t>мультфильм</t>
        </is>
      </c>
      <c r="G867" s="2" t="inlineStr">
        <is>
          <t>Свердловская киностудия</t>
        </is>
      </c>
      <c r="H867" s="2" t="n">
        <v>34</v>
      </c>
      <c r="I867" s="2" t="inlineStr"/>
      <c r="J867" s="2" t="inlineStr">
        <is>
          <t>да</t>
        </is>
      </c>
      <c r="K867" s="3" t="inlineStr">
        <is>
          <t>По мотивам русской народной сказки</t>
        </is>
      </c>
      <c r="L867" s="2" t="inlineStr">
        <is>
          <t>https://animator.ru/db/?p=show_film&amp;fid=4762</t>
        </is>
      </c>
      <c r="M867" s="2">
        <f>HYPERLINK("https://ru.wikipedia.org/w/index.php?search=%D0%9F%D0%BE%20%D1%89%D1%83%D1%87%D1%8C%D0%B5%D0%BC%D1%83%20%D0%B2%D0%B5%D0%BB%D0%B5%D0%BD%D0%B8%D1%8E%201984%20%D1%84%D0%B8%D0%BB%D1%8C%D0%BC","искать")</f>
        <v/>
      </c>
      <c r="N867" s="3" t="n"/>
      <c r="O867" s="2" t="n"/>
      <c r="P867" s="2" t="n"/>
    </row>
    <row r="868">
      <c r="A868" s="2" t="n">
        <v>867</v>
      </c>
      <c r="B868" s="2" t="inlineStr">
        <is>
          <t>не сюжет</t>
        </is>
      </c>
      <c r="C868" s="2" t="n">
        <v>13655</v>
      </c>
      <c r="D868" s="3" t="inlineStr">
        <is>
          <t>Вода</t>
        </is>
      </c>
      <c r="E868" s="2" t="n">
        <v>1982</v>
      </c>
      <c r="F868" s="2" t="inlineStr">
        <is>
          <t>мультфильм</t>
        </is>
      </c>
      <c r="G868" s="2" t="inlineStr">
        <is>
          <t>ЭКРАН</t>
        </is>
      </c>
      <c r="H868" s="2" t="n">
        <v>34</v>
      </c>
      <c r="I868" s="2" t="inlineStr"/>
      <c r="J868" s="2" t="inlineStr">
        <is>
          <t>да</t>
        </is>
      </c>
      <c r="K868" s="3" t="inlineStr">
        <is>
          <t>На тему бережного отношения к воде</t>
        </is>
      </c>
      <c r="L868" s="2" t="inlineStr">
        <is>
          <t>https://animator.ru/db/?p=show_film&amp;fid=5047</t>
        </is>
      </c>
      <c r="M868" s="2">
        <f>HYPERLINK("https://ru.wikipedia.org/w/index.php?search=%D0%92%D0%BE%D0%B4%D0%B0%201982%20%D1%84%D0%B8%D0%BB%D1%8C%D0%BC","искать")</f>
        <v/>
      </c>
      <c r="N868" s="3" t="n"/>
      <c r="O868" s="2" t="n"/>
      <c r="P868" s="2" t="n"/>
    </row>
    <row r="869">
      <c r="A869" s="2" t="n">
        <v>868</v>
      </c>
      <c r="B869" s="2" t="inlineStr">
        <is>
          <t>не сюжет</t>
        </is>
      </c>
      <c r="C869" s="2" t="n">
        <v>13729</v>
      </c>
      <c r="D869" s="3" t="inlineStr">
        <is>
          <t>Копейка</t>
        </is>
      </c>
      <c r="E869" s="2" t="n">
        <v>1982</v>
      </c>
      <c r="F869" s="2" t="inlineStr">
        <is>
          <t>мультфильм</t>
        </is>
      </c>
      <c r="G869" s="2" t="inlineStr">
        <is>
          <t>ЭКРАН</t>
        </is>
      </c>
      <c r="H869" s="2" t="n">
        <v>34</v>
      </c>
      <c r="I869" s="2" t="inlineStr"/>
      <c r="J869" s="2" t="inlineStr">
        <is>
          <t>да</t>
        </is>
      </c>
      <c r="K869" s="3" t="inlineStr">
        <is>
          <t>Плакат об экономии электроэенергии</t>
        </is>
      </c>
      <c r="L869" s="2" t="inlineStr">
        <is>
          <t>https://animator.ru/db/?p=show_film&amp;fid=5122</t>
        </is>
      </c>
      <c r="M869" s="2">
        <f>HYPERLINK("https://ru.wikipedia.org/w/index.php?search=%D0%9A%D0%BE%D0%BF%D0%B5%D0%B9%D0%BA%D0%B0%201982%20%D1%84%D0%B8%D0%BB%D1%8C%D0%BC","искать")</f>
        <v/>
      </c>
      <c r="N869" s="3" t="n"/>
      <c r="O869" s="2" t="n"/>
      <c r="P869" s="2" t="n"/>
    </row>
    <row r="870">
      <c r="A870" s="2" t="n">
        <v>869</v>
      </c>
      <c r="B870" s="2" t="inlineStr">
        <is>
          <t>не сюжет</t>
        </is>
      </c>
      <c r="C870" s="2" t="n">
        <v>14176</v>
      </c>
      <c r="D870" s="3" t="inlineStr">
        <is>
          <t>Сказание о Кудым-оше</t>
        </is>
      </c>
      <c r="E870" s="2" t="n">
        <v>1988</v>
      </c>
      <c r="F870" s="2" t="inlineStr">
        <is>
          <t>мультфильм</t>
        </is>
      </c>
      <c r="G870" s="2" t="inlineStr">
        <is>
          <t>ПЕРМЬТЕЛЕФИЛЬМ</t>
        </is>
      </c>
      <c r="H870" s="2" t="n">
        <v>34</v>
      </c>
      <c r="I870" s="2" t="inlineStr"/>
      <c r="J870" s="2" t="inlineStr">
        <is>
          <t>да</t>
        </is>
      </c>
      <c r="K870" s="3" t="inlineStr">
        <is>
          <t>По мотивам коми-пермяцких сказаний</t>
        </is>
      </c>
      <c r="L870" s="2" t="inlineStr">
        <is>
          <t>https://animator.ru/db/?p=show_film&amp;fid=5574</t>
        </is>
      </c>
      <c r="M870" s="2">
        <f>HYPERLINK("https://ru.wikipedia.org/w/index.php?search=%D0%A1%D0%BA%D0%B0%D0%B7%D0%B0%D0%BD%D0%B8%D0%B5%20%D0%BE%20%D0%9A%D1%83%D0%B4%D1%8B%D0%BC-%D0%BE%D1%88%D0%B5%201988%20%D1%84%D0%B8%D0%BB%D1%8C%D0%BC","искать")</f>
        <v/>
      </c>
      <c r="N870" s="3" t="n"/>
      <c r="O870" s="2" t="n"/>
      <c r="P870" s="2" t="n"/>
    </row>
    <row r="871">
      <c r="A871" s="2" t="n">
        <v>870</v>
      </c>
      <c r="B871" s="2" t="inlineStr">
        <is>
          <t>не сюжет</t>
        </is>
      </c>
      <c r="C871" s="2" t="n">
        <v>14180</v>
      </c>
      <c r="D871" s="3" t="inlineStr">
        <is>
          <t>Сказ о Пере богатыре</t>
        </is>
      </c>
      <c r="E871" s="2" t="n">
        <v>1988</v>
      </c>
      <c r="F871" s="2" t="inlineStr">
        <is>
          <t>мультфильм</t>
        </is>
      </c>
      <c r="G871" s="2" t="inlineStr">
        <is>
          <t>ПЕРМЬТЕЛЕФИЛЬМ</t>
        </is>
      </c>
      <c r="H871" s="2" t="n">
        <v>34</v>
      </c>
      <c r="I871" s="2" t="inlineStr"/>
      <c r="J871" s="2" t="inlineStr">
        <is>
          <t>да</t>
        </is>
      </c>
      <c r="K871" s="3" t="inlineStr">
        <is>
          <t>По мотивам коми-пермяцких сказаний</t>
        </is>
      </c>
      <c r="L871" s="2" t="inlineStr">
        <is>
          <t>https://animator.ru/db/?p=show_film&amp;fid=5578</t>
        </is>
      </c>
      <c r="M871" s="2">
        <f>HYPERLINK("https://ru.wikipedia.org/w/index.php?search=%D0%A1%D0%BA%D0%B0%D0%B7%20%D0%BE%20%D0%9F%D0%B5%D1%80%D0%B5%20%D0%B1%D0%BE%D0%B3%D0%B0%D1%82%D1%8B%D1%80%D0%B5%201988%20%D1%84%D0%B8%D0%BB%D1%8C%D0%BC","искать")</f>
        <v/>
      </c>
      <c r="N871" s="3" t="n"/>
      <c r="O871" s="2" t="n"/>
      <c r="P871" s="2" t="n"/>
    </row>
    <row r="872">
      <c r="A872" s="2" t="n">
        <v>871</v>
      </c>
      <c r="B872" s="2" t="inlineStr">
        <is>
          <t>не сюжет</t>
        </is>
      </c>
      <c r="C872" s="2" t="n">
        <v>14213</v>
      </c>
      <c r="D872" s="3" t="inlineStr">
        <is>
          <t>Картинки по старинке (ч.1)</t>
        </is>
      </c>
      <c r="E872" s="2" t="n">
        <v>1990</v>
      </c>
      <c r="F872" s="2" t="inlineStr">
        <is>
          <t>мультфильм</t>
        </is>
      </c>
      <c r="G872" s="2" t="inlineStr">
        <is>
          <t>САРАТОВТЕЛЕФИЛЬМ</t>
        </is>
      </c>
      <c r="H872" s="2" t="n">
        <v>34</v>
      </c>
      <c r="I872" s="2" t="inlineStr"/>
      <c r="J872" s="2" t="inlineStr">
        <is>
          <t>да</t>
        </is>
      </c>
      <c r="K872" s="3" t="inlineStr">
        <is>
          <t>Первый фильм из одноименного цикла</t>
        </is>
      </c>
      <c r="L872" s="2" t="inlineStr">
        <is>
          <t>https://animator.ru/db/?p=show_film&amp;fid=5619</t>
        </is>
      </c>
      <c r="M872" s="2">
        <f>HYPERLINK("https://ru.wikipedia.org/w/index.php?search=%D0%9A%D0%B0%D1%80%D1%82%D0%B8%D0%BD%D0%BA%D0%B8%20%D0%BF%D0%BE%20%D1%81%D1%82%D0%B0%D1%80%D0%B8%D0%BD%D0%BA%D0%B5%20%28%D1%87.1%29%201990%20%D1%84%D0%B8%D0%BB%D1%8C%D0%BC","искать")</f>
        <v/>
      </c>
      <c r="N872" s="3" t="n"/>
      <c r="O872" s="2" t="n"/>
      <c r="P872" s="2" t="n"/>
    </row>
    <row r="873">
      <c r="A873" s="2" t="n">
        <v>872</v>
      </c>
      <c r="B873" s="2" t="inlineStr">
        <is>
          <t>не сюжет</t>
        </is>
      </c>
      <c r="C873" s="2" t="n">
        <v>14315</v>
      </c>
      <c r="D873" s="3" t="inlineStr">
        <is>
          <t>Любовь и смерть картошки обыкновенной</t>
        </is>
      </c>
      <c r="E873" s="2" t="n">
        <v>1990</v>
      </c>
      <c r="F873" s="2" t="inlineStr">
        <is>
          <t>мультфильм</t>
        </is>
      </c>
      <c r="G873" s="2" t="inlineStr">
        <is>
          <t>УКРАНИМАФИЛЬМ</t>
        </is>
      </c>
      <c r="H873" s="2" t="n">
        <v>34</v>
      </c>
      <c r="I873" s="2" t="inlineStr"/>
      <c r="J873" s="2" t="inlineStr">
        <is>
          <t>да</t>
        </is>
      </c>
      <c r="K873" s="3" t="inlineStr">
        <is>
          <t>Фильм-опера, пародия на мелодраму.</t>
        </is>
      </c>
      <c r="L873" s="2" t="inlineStr">
        <is>
          <t>2026-10_мультфильмы_список_владельца.xlsx; https://animator.ru/db/?p=show_film&amp;fid=5861</t>
        </is>
      </c>
      <c r="M873" s="2">
        <f>HYPERLINK("https://ru.wikipedia.org/w/index.php?search=%D0%9B%D1%8E%D0%B1%D0%BE%D0%B2%D1%8C%20%D0%B8%20%D1%81%D0%BC%D0%B5%D1%80%D1%82%D1%8C%20%D0%BA%D0%B0%D1%80%D1%82%D0%BE%D1%88%D0%BA%D0%B8%20%D0%BE%D0%B1%D1%8B%D0%BA%D0%BD%D0%BE%D0%B2%D0%B5%D0%BD%D0%BD%D0%BE%D0%B9%201990%20%D1%84%D0%B8%D0%BB%D1%8C%D0%BC","искать")</f>
        <v/>
      </c>
      <c r="N873" s="3" t="n"/>
      <c r="O873" s="2" t="n"/>
      <c r="P873" s="2" t="n"/>
    </row>
    <row r="874">
      <c r="A874" s="2" t="n">
        <v>873</v>
      </c>
      <c r="B874" s="2" t="inlineStr">
        <is>
          <t>не сюжет</t>
        </is>
      </c>
      <c r="C874" s="2" t="n">
        <v>7425</v>
      </c>
      <c r="D874" s="3" t="inlineStr">
        <is>
          <t>Выше только облака</t>
        </is>
      </c>
      <c r="E874" s="2" t="n">
        <v>1976</v>
      </c>
      <c r="F874" s="2" t="inlineStr">
        <is>
          <t>телефильм</t>
        </is>
      </c>
      <c r="G874" s="2" t="n"/>
      <c r="H874" s="2" t="n">
        <v>35</v>
      </c>
      <c r="I874" s="2" t="inlineStr"/>
      <c r="J874" s="2" t="inlineStr">
        <is>
          <t>да</t>
        </is>
      </c>
      <c r="K874" s="3" t="inlineStr">
        <is>
          <t>Телефильм повествует о быте чабанов</t>
        </is>
      </c>
      <c r="L874" s="2" t="inlineStr">
        <is>
          <t>Кино_СССР сводный каталог.xlsx: список телефильмов</t>
        </is>
      </c>
      <c r="M874" s="2">
        <f>HYPERLINK("https://ru.wikipedia.org/w/index.php?search=%D0%92%D1%8B%D1%88%D0%B5%20%D1%82%D0%BE%D0%BB%D1%8C%D0%BA%D0%BE%20%D0%BE%D0%B1%D0%BB%D0%B0%D0%BA%D0%B0%201976%20%D1%84%D0%B8%D0%BB%D1%8C%D0%BC","искать")</f>
        <v/>
      </c>
      <c r="N874" s="3" t="n"/>
      <c r="O874" s="2" t="n"/>
      <c r="P874" s="2" t="n"/>
    </row>
    <row r="875">
      <c r="A875" s="2" t="n">
        <v>874</v>
      </c>
      <c r="B875" s="2" t="inlineStr">
        <is>
          <t>не сюжет</t>
        </is>
      </c>
      <c r="C875" s="2" t="n">
        <v>10092</v>
      </c>
      <c r="D875" s="3" t="inlineStr">
        <is>
          <t>Голубой огонёк-1962</t>
        </is>
      </c>
      <c r="E875" s="2" t="n">
        <v>1962</v>
      </c>
      <c r="F875" s="2" t="inlineStr">
        <is>
          <t>фильм-спектакль</t>
        </is>
      </c>
      <c r="G875" s="2" t="inlineStr">
        <is>
          <t>Центральное телевидение СССР</t>
        </is>
      </c>
      <c r="H875" s="2" t="n">
        <v>35</v>
      </c>
      <c r="I875" s="2" t="inlineStr"/>
      <c r="J875" s="2" t="inlineStr">
        <is>
          <t>да</t>
        </is>
      </c>
      <c r="K875" s="3" t="inlineStr">
        <is>
          <t>Первый новогодний "Голубой огонек".</t>
        </is>
      </c>
      <c r="L875" s="2" t="inlineStr">
        <is>
          <t>https://www.kino-teatr.ru/teatr/movie/103797/annot/</t>
        </is>
      </c>
      <c r="M875" s="2">
        <f>HYPERLINK("https://ru.wikipedia.org/w/index.php?search=%D0%93%D0%BE%D0%BB%D1%83%D0%B1%D0%BE%D0%B9%20%D0%BE%D0%B3%D0%BE%D0%BD%D1%91%D0%BA-1962%201962%20%D1%84%D0%B8%D0%BB%D1%8C%D0%BC","искать")</f>
        <v/>
      </c>
      <c r="N875" s="3" t="n"/>
      <c r="O875" s="2" t="n"/>
      <c r="P875" s="2" t="n"/>
    </row>
    <row r="876">
      <c r="A876" s="2" t="n">
        <v>875</v>
      </c>
      <c r="B876" s="2" t="inlineStr">
        <is>
          <t>не сюжет</t>
        </is>
      </c>
      <c r="C876" s="2" t="n">
        <v>10209</v>
      </c>
      <c r="D876" s="3" t="inlineStr">
        <is>
          <t>На большой дороге</t>
        </is>
      </c>
      <c r="E876" s="2" t="n">
        <v>1967</v>
      </c>
      <c r="F876" s="2" t="inlineStr">
        <is>
          <t>фильм-спектакль</t>
        </is>
      </c>
      <c r="G876" s="2" t="inlineStr">
        <is>
          <t>Ленинградское ТВ</t>
        </is>
      </c>
      <c r="H876" s="2" t="n">
        <v>35</v>
      </c>
      <c r="I876" s="2" t="inlineStr"/>
      <c r="J876" s="2" t="inlineStr">
        <is>
          <t>да</t>
        </is>
      </c>
      <c r="K876" s="3" t="inlineStr">
        <is>
          <t>По драматическому этюду А.П.Чехова.</t>
        </is>
      </c>
      <c r="L876" s="2" t="inlineStr">
        <is>
          <t>https://www.kino-teatr.ru/teatr/movie/92825/annot/</t>
        </is>
      </c>
      <c r="M876" s="2">
        <f>HYPERLINK("https://ru.wikipedia.org/w/index.php?search=%D0%9D%D0%B0%20%D0%B1%D0%BE%D0%BB%D1%8C%D1%88%D0%BE%D0%B9%20%D0%B4%D0%BE%D1%80%D0%BE%D0%B3%D0%B5%201967%20%D1%84%D0%B8%D0%BB%D1%8C%D0%BC","искать")</f>
        <v/>
      </c>
      <c r="N876" s="3" t="n"/>
      <c r="O876" s="2" t="n"/>
      <c r="P876" s="2" t="n"/>
    </row>
    <row r="877">
      <c r="A877" s="2" t="n">
        <v>876</v>
      </c>
      <c r="B877" s="2" t="inlineStr">
        <is>
          <t>не сюжет</t>
        </is>
      </c>
      <c r="C877" s="2" t="n">
        <v>10215</v>
      </c>
      <c r="D877" s="3" t="inlineStr">
        <is>
          <t>Прощай, оружие!</t>
        </is>
      </c>
      <c r="E877" s="2" t="n">
        <v>1967</v>
      </c>
      <c r="F877" s="2" t="inlineStr">
        <is>
          <t>фильм-спектакль</t>
        </is>
      </c>
      <c r="G877" s="2" t="inlineStr">
        <is>
          <t>Ленинградское ТВ</t>
        </is>
      </c>
      <c r="H877" s="2" t="n">
        <v>35</v>
      </c>
      <c r="I877" s="2" t="inlineStr"/>
      <c r="J877" s="2" t="inlineStr">
        <is>
          <t>да</t>
        </is>
      </c>
      <c r="K877" s="3" t="inlineStr">
        <is>
          <t>По одноименному роману Э.Хемингуэя.</t>
        </is>
      </c>
      <c r="L877" s="2" t="inlineStr">
        <is>
          <t>https://www.kino-teatr.ru/teatr/movie/79316/annot/</t>
        </is>
      </c>
      <c r="M877" s="2">
        <f>HYPERLINK("https://ru.wikipedia.org/w/index.php?search=%D0%9F%D1%80%D0%BE%D1%89%D0%B0%D0%B9%2C%20%D0%BE%D1%80%D1%83%D0%B6%D0%B8%D0%B5%21%201967%20%D1%84%D0%B8%D0%BB%D1%8C%D0%BC","искать")</f>
        <v/>
      </c>
      <c r="N877" s="3" t="n"/>
      <c r="O877" s="2" t="n"/>
      <c r="P877" s="2" t="n"/>
    </row>
    <row r="878">
      <c r="A878" s="2" t="n">
        <v>877</v>
      </c>
      <c r="B878" s="2" t="inlineStr">
        <is>
          <t>не сюжет</t>
        </is>
      </c>
      <c r="C878" s="2" t="n">
        <v>10271</v>
      </c>
      <c r="D878" s="3" t="inlineStr">
        <is>
          <t>Пядь земли</t>
        </is>
      </c>
      <c r="E878" s="2" t="n">
        <v>1968</v>
      </c>
      <c r="F878" s="2" t="inlineStr">
        <is>
          <t>фильм-спектакль</t>
        </is>
      </c>
      <c r="G878" s="2" t="inlineStr">
        <is>
          <t>Ленинградская студия телевидения</t>
        </is>
      </c>
      <c r="H878" s="2" t="n">
        <v>35</v>
      </c>
      <c r="I878" s="2" t="inlineStr"/>
      <c r="J878" s="2" t="inlineStr">
        <is>
          <t>да</t>
        </is>
      </c>
      <c r="K878" s="3" t="inlineStr">
        <is>
          <t>По одноименной пьесе Бориса Рымаря.</t>
        </is>
      </c>
      <c r="L878" s="2" t="inlineStr">
        <is>
          <t>https://www.kino-teatr.ru/teatr/movie/80372/annot/</t>
        </is>
      </c>
      <c r="M878" s="2">
        <f>HYPERLINK("https://ru.wikipedia.org/w/index.php?search=%D0%9F%D1%8F%D0%B4%D1%8C%20%D0%B7%D0%B5%D0%BC%D0%BB%D0%B8%201968%20%D1%84%D0%B8%D0%BB%D1%8C%D0%BC","искать")</f>
        <v/>
      </c>
      <c r="N878" s="3" t="n"/>
      <c r="O878" s="2" t="n"/>
      <c r="P878" s="2" t="n"/>
    </row>
    <row r="879">
      <c r="A879" s="2" t="n">
        <v>878</v>
      </c>
      <c r="B879" s="2" t="inlineStr">
        <is>
          <t>не сюжет</t>
        </is>
      </c>
      <c r="C879" s="2" t="n">
        <v>10326</v>
      </c>
      <c r="D879" s="3" t="inlineStr">
        <is>
          <t>Провинциалка</t>
        </is>
      </c>
      <c r="E879" s="2" t="n">
        <v>1969</v>
      </c>
      <c r="F879" s="2" t="inlineStr">
        <is>
          <t>фильм-спектакль</t>
        </is>
      </c>
      <c r="G879" s="2" t="inlineStr">
        <is>
          <t>Гл. ред. лит.-драм. программ</t>
        </is>
      </c>
      <c r="H879" s="2" t="n">
        <v>35</v>
      </c>
      <c r="I879" s="2" t="inlineStr"/>
      <c r="J879" s="2" t="inlineStr">
        <is>
          <t>да</t>
        </is>
      </c>
      <c r="K879" s="3" t="inlineStr">
        <is>
          <t>По одноименной пьесе И.С.Тургенева.</t>
        </is>
      </c>
      <c r="L879" s="2" t="inlineStr">
        <is>
          <t>https://www.kino-teatr.ru/teatr/movie/93058/annot/</t>
        </is>
      </c>
      <c r="M879" s="2">
        <f>HYPERLINK("https://ru.wikipedia.org/w/index.php?search=%D0%9F%D1%80%D0%BE%D0%B2%D0%B8%D0%BD%D1%86%D0%B8%D0%B0%D0%BB%D0%BA%D0%B0%201969%20%D1%84%D0%B8%D0%BB%D1%8C%D0%BC","искать")</f>
        <v/>
      </c>
      <c r="N879" s="3" t="n"/>
      <c r="O879" s="2" t="n"/>
      <c r="P879" s="2" t="n"/>
    </row>
    <row r="880">
      <c r="A880" s="2" t="n">
        <v>879</v>
      </c>
      <c r="B880" s="2" t="inlineStr">
        <is>
          <t>не сюжет</t>
        </is>
      </c>
      <c r="C880" s="2" t="n">
        <v>10433</v>
      </c>
      <c r="D880" s="3" t="inlineStr">
        <is>
          <t>Былое и думы</t>
        </is>
      </c>
      <c r="E880" s="2" t="n">
        <v>1972</v>
      </c>
      <c r="F880" s="2" t="inlineStr">
        <is>
          <t>фильм-спектакль</t>
        </is>
      </c>
      <c r="G880" s="2" t="inlineStr">
        <is>
          <t>Главная редакция литературно-драматических программ</t>
        </is>
      </c>
      <c r="H880" s="2" t="n">
        <v>35</v>
      </c>
      <c r="I880" s="2" t="inlineStr"/>
      <c r="J880" s="2" t="inlineStr">
        <is>
          <t>да</t>
        </is>
      </c>
      <c r="K880" s="3" t="inlineStr">
        <is>
          <t>По одноименному роману А.И.Герцена.</t>
        </is>
      </c>
      <c r="L880" s="2" t="inlineStr">
        <is>
          <t>https://www.kino-teatr.ru/teatr/movie/90609/annot/</t>
        </is>
      </c>
      <c r="M880" s="2">
        <f>HYPERLINK("https://ru.wikipedia.org/w/index.php?search=%D0%91%D1%8B%D0%BB%D0%BE%D0%B5%20%D0%B8%20%D0%B4%D1%83%D0%BC%D1%8B%201972%20%D1%84%D0%B8%D0%BB%D1%8C%D0%BC","искать")</f>
        <v/>
      </c>
      <c r="N880" s="3" t="n"/>
      <c r="O880" s="2" t="n"/>
      <c r="P880" s="2" t="n"/>
    </row>
    <row r="881">
      <c r="A881" s="2" t="n">
        <v>880</v>
      </c>
      <c r="B881" s="2" t="inlineStr">
        <is>
          <t>не сюжет</t>
        </is>
      </c>
      <c r="C881" s="2" t="n">
        <v>10660</v>
      </c>
      <c r="D881" s="3" t="inlineStr">
        <is>
          <t>Ну, публика!</t>
        </is>
      </c>
      <c r="E881" s="2" t="n">
        <v>1976</v>
      </c>
      <c r="F881" s="2" t="inlineStr">
        <is>
          <t>фильм-спектакль</t>
        </is>
      </c>
      <c r="G881" s="2" t="inlineStr">
        <is>
          <t>ГРЛДП ЦТ</t>
        </is>
      </c>
      <c r="H881" s="2" t="n">
        <v>35</v>
      </c>
      <c r="I881" s="2" t="inlineStr"/>
      <c r="J881" s="2" t="inlineStr">
        <is>
          <t>да</t>
        </is>
      </c>
      <c r="K881" s="3" t="inlineStr">
        <is>
          <t>По мотивам ранних рассказов Чехова.</t>
        </is>
      </c>
      <c r="L881" s="2" t="inlineStr">
        <is>
          <t>https://www.kino-teatr.ru/teatr/movie/80822/annot/</t>
        </is>
      </c>
      <c r="M881" s="2">
        <f>HYPERLINK("https://ru.wikipedia.org/w/index.php?search=%D0%9D%D1%83%2C%20%D0%BF%D1%83%D0%B1%D0%BB%D0%B8%D0%BA%D0%B0%21%201976%20%D1%84%D0%B8%D0%BB%D1%8C%D0%BC","искать")</f>
        <v/>
      </c>
      <c r="N881" s="3" t="n"/>
      <c r="O881" s="2" t="n"/>
      <c r="P881" s="2" t="n"/>
    </row>
    <row r="882">
      <c r="A882" s="2" t="n">
        <v>881</v>
      </c>
      <c r="B882" s="2" t="inlineStr">
        <is>
          <t>не сюжет</t>
        </is>
      </c>
      <c r="C882" s="2" t="n">
        <v>11217</v>
      </c>
      <c r="D882" s="3" t="inlineStr">
        <is>
          <t>Натали</t>
        </is>
      </c>
      <c r="E882" s="2" t="n">
        <v>1988</v>
      </c>
      <c r="F882" s="2" t="inlineStr">
        <is>
          <t>фильм-спектакль</t>
        </is>
      </c>
      <c r="G882" s="2" t="inlineStr">
        <is>
          <t>Ленинградское ТВ</t>
        </is>
      </c>
      <c r="H882" s="2" t="n">
        <v>35</v>
      </c>
      <c r="I882" s="2" t="inlineStr"/>
      <c r="J882" s="2" t="inlineStr">
        <is>
          <t>да</t>
        </is>
      </c>
      <c r="K882" s="3" t="inlineStr">
        <is>
          <t>По мотивам произведений И.А.Бунина.</t>
        </is>
      </c>
      <c r="L882" s="2" t="inlineStr">
        <is>
          <t>https://www.kino-teatr.ru/teatr/movie/14347/annot/</t>
        </is>
      </c>
      <c r="M882" s="2">
        <f>HYPERLINK("https://ru.wikipedia.org/w/index.php?search=%D0%9D%D0%B0%D1%82%D0%B0%D0%BB%D0%B8%201988%20%D1%84%D0%B8%D0%BB%D1%8C%D0%BC","искать")</f>
        <v/>
      </c>
      <c r="N882" s="3" t="n"/>
      <c r="O882" s="2" t="n"/>
      <c r="P882" s="2" t="n"/>
    </row>
    <row r="883">
      <c r="A883" s="2" t="n">
        <v>882</v>
      </c>
      <c r="B883" s="2" t="inlineStr">
        <is>
          <t>не сюжет</t>
        </is>
      </c>
      <c r="C883" s="2" t="n">
        <v>11693</v>
      </c>
      <c r="D883" s="3" t="inlineStr">
        <is>
          <t>Айболит и Бармалей</t>
        </is>
      </c>
      <c r="E883" s="2" t="n">
        <v>1973</v>
      </c>
      <c r="F883" s="2" t="inlineStr">
        <is>
          <t>мультфильм</t>
        </is>
      </c>
      <c r="G883" s="2" t="inlineStr">
        <is>
          <t>Союзмультфильм</t>
        </is>
      </c>
      <c r="H883" s="2" t="n">
        <v>35</v>
      </c>
      <c r="I883" s="2" t="inlineStr"/>
      <c r="J883" s="2" t="inlineStr">
        <is>
          <t>да</t>
        </is>
      </c>
      <c r="K883" s="3" t="inlineStr">
        <is>
          <t>По мотивам сказки Корнея Чуковского</t>
        </is>
      </c>
      <c r="L883" s="2" t="inlineStr">
        <is>
          <t>https://gosfilmofond.ru/films/248302/</t>
        </is>
      </c>
      <c r="M883" s="2">
        <f>HYPERLINK("https://ru.wikipedia.org/w/index.php?search=%D0%90%D0%B9%D0%B1%D0%BE%D0%BB%D0%B8%D1%82%20%D0%B8%20%D0%91%D0%B0%D1%80%D0%BC%D0%B0%D0%BB%D0%B5%D0%B9%201973%20%D1%84%D0%B8%D0%BB%D1%8C%D0%BC","искать")</f>
        <v/>
      </c>
      <c r="N883" s="3" t="n"/>
      <c r="O883" s="2" t="n"/>
      <c r="P883" s="2" t="n"/>
    </row>
    <row r="884">
      <c r="A884" s="2" t="n">
        <v>883</v>
      </c>
      <c r="B884" s="2" t="inlineStr">
        <is>
          <t>не сюжет</t>
        </is>
      </c>
      <c r="C884" s="2" t="n">
        <v>11722</v>
      </c>
      <c r="D884" s="3" t="inlineStr">
        <is>
          <t>Юморески (выпуск 1)</t>
        </is>
      </c>
      <c r="E884" s="2" t="n">
        <v>1973</v>
      </c>
      <c r="F884" s="2" t="inlineStr">
        <is>
          <t>мультфильм</t>
        </is>
      </c>
      <c r="G884" s="2" t="inlineStr">
        <is>
          <t>Союзмультфильм</t>
        </is>
      </c>
      <c r="H884" s="2" t="n">
        <v>35</v>
      </c>
      <c r="I884" s="2" t="inlineStr"/>
      <c r="J884" s="2" t="inlineStr">
        <is>
          <t>да</t>
        </is>
      </c>
      <c r="K884" s="3" t="inlineStr">
        <is>
          <t>Юмористические новеллы для взрослых</t>
        </is>
      </c>
      <c r="L884" s="2" t="inlineStr">
        <is>
          <t>https://animator.ru/db/?p=show_film&amp;fid=2636</t>
        </is>
      </c>
      <c r="M884" s="2">
        <f>HYPERLINK("https://ru.wikipedia.org/w/index.php?search=%D0%AE%D0%BC%D0%BE%D1%80%D0%B5%D1%81%D0%BA%D0%B8%20%28%D0%B2%D1%8B%D0%BF%D1%83%D1%81%D0%BA%201%29%201973%20%D1%84%D0%B8%D0%BB%D1%8C%D0%BC","искать")</f>
        <v/>
      </c>
      <c r="N884" s="3" t="n"/>
      <c r="O884" s="2" t="n"/>
      <c r="P884" s="2" t="n"/>
    </row>
    <row r="885">
      <c r="A885" s="2" t="n">
        <v>884</v>
      </c>
      <c r="B885" s="2" t="inlineStr">
        <is>
          <t>не сюжет</t>
        </is>
      </c>
      <c r="C885" s="2" t="n">
        <v>11753</v>
      </c>
      <c r="D885" s="3" t="inlineStr">
        <is>
          <t>Только для взрослых (выпуск 3)</t>
        </is>
      </c>
      <c r="E885" s="2" t="n">
        <v>1974</v>
      </c>
      <c r="F885" s="2" t="inlineStr">
        <is>
          <t>мультфильм</t>
        </is>
      </c>
      <c r="G885" s="2" t="inlineStr">
        <is>
          <t>Союзмультфильм</t>
        </is>
      </c>
      <c r="H885" s="2" t="n">
        <v>35</v>
      </c>
      <c r="I885" s="2" t="inlineStr"/>
      <c r="J885" s="2" t="inlineStr">
        <is>
          <t>да</t>
        </is>
      </c>
      <c r="K885" s="3" t="inlineStr">
        <is>
          <t>Сатирические миниатюрыдля взрослых.</t>
        </is>
      </c>
      <c r="L885" s="2" t="inlineStr">
        <is>
          <t>2026-10_мультфильмы_список_владельца.xlsx; https://animator.ru/db/?p=show_film&amp;fid=2667</t>
        </is>
      </c>
      <c r="M885" s="2">
        <f>HYPERLINK("https://ru.wikipedia.org/w/index.php?search=%D0%A2%D0%BE%D0%BB%D1%8C%D0%BA%D0%BE%20%D0%B4%D0%BB%D1%8F%20%D0%B2%D0%B7%D1%80%D0%BE%D1%81%D0%BB%D1%8B%D1%85%20%28%D0%B2%D1%8B%D0%BF%D1%83%D1%81%D0%BA%203%29%201974%20%D1%84%D0%B8%D0%BB%D1%8C%D0%BC","искать")</f>
        <v/>
      </c>
      <c r="N885" s="3" t="n"/>
      <c r="O885" s="2" t="n"/>
      <c r="P885" s="2" t="n"/>
    </row>
    <row r="886">
      <c r="A886" s="2" t="n">
        <v>885</v>
      </c>
      <c r="B886" s="2" t="inlineStr">
        <is>
          <t>не сюжет</t>
        </is>
      </c>
      <c r="C886" s="2" t="n">
        <v>11837</v>
      </c>
      <c r="D886" s="3" t="inlineStr">
        <is>
          <t>Как грибы с горохом воевали</t>
        </is>
      </c>
      <c r="E886" s="2" t="n">
        <v>1977</v>
      </c>
      <c r="F886" s="2" t="inlineStr">
        <is>
          <t>мультфильм</t>
        </is>
      </c>
      <c r="G886" s="2" t="inlineStr">
        <is>
          <t>Союзмультфильм</t>
        </is>
      </c>
      <c r="H886" s="2" t="n">
        <v>35</v>
      </c>
      <c r="I886" s="2" t="inlineStr"/>
      <c r="J886" s="2" t="inlineStr">
        <is>
          <t>да</t>
        </is>
      </c>
      <c r="K886" s="3" t="inlineStr">
        <is>
          <t>По мотивам шуточной русской сказки.</t>
        </is>
      </c>
      <c r="L886" s="2" t="inlineStr">
        <is>
          <t>2026-10_мультфильмы_список_владельца.xlsx; https://animator.ru/db/?p=show_film&amp;fid=2752</t>
        </is>
      </c>
      <c r="M886" s="2">
        <f>HYPERLINK("https://ru.wikipedia.org/w/index.php?search=%D0%9A%D0%B0%D0%BA%20%D0%B3%D1%80%D0%B8%D0%B1%D1%8B%20%D1%81%20%D0%B3%D0%BE%D1%80%D0%BE%D1%85%D0%BE%D0%BC%20%D0%B2%D0%BE%D0%B5%D0%B2%D0%B0%D0%BB%D0%B8%201977%20%D1%84%D0%B8%D0%BB%D1%8C%D0%BC","искать")</f>
        <v/>
      </c>
      <c r="N886" s="3" t="n"/>
      <c r="O886" s="2" t="n"/>
      <c r="P886" s="2" t="n"/>
    </row>
    <row r="887">
      <c r="A887" s="2" t="n">
        <v>886</v>
      </c>
      <c r="B887" s="2" t="inlineStr">
        <is>
          <t>не сюжет</t>
        </is>
      </c>
      <c r="C887" s="2" t="n">
        <v>12017</v>
      </c>
      <c r="D887" s="3" t="inlineStr">
        <is>
          <t>Последняя охота</t>
        </is>
      </c>
      <c r="E887" s="2" t="n">
        <v>1982</v>
      </c>
      <c r="F887" s="2" t="inlineStr">
        <is>
          <t>мультфильм</t>
        </is>
      </c>
      <c r="G887" s="2" t="inlineStr">
        <is>
          <t>Союзмультфильм</t>
        </is>
      </c>
      <c r="H887" s="2" t="n">
        <v>35</v>
      </c>
      <c r="I887" s="2" t="inlineStr"/>
      <c r="J887" s="2" t="inlineStr">
        <is>
          <t>да</t>
        </is>
      </c>
      <c r="K887" s="3" t="inlineStr">
        <is>
          <t>О необходимости охранять все живое.</t>
        </is>
      </c>
      <c r="L887" s="2" t="inlineStr">
        <is>
          <t>2026-10_мультфильмы_список_владельца.xlsx; https://animator.ru/db/?p=show_film&amp;fid=3131</t>
        </is>
      </c>
      <c r="M887" s="2">
        <f>HYPERLINK("https://ru.wikipedia.org/w/index.php?search=%D0%9F%D0%BE%D1%81%D0%BB%D0%B5%D0%B4%D0%BD%D1%8F%D1%8F%20%D0%BE%D1%85%D0%BE%D1%82%D0%B0%201982%20%D1%84%D0%B8%D0%BB%D1%8C%D0%BC","искать")</f>
        <v/>
      </c>
      <c r="N887" s="3" t="n"/>
      <c r="O887" s="2" t="n"/>
      <c r="P887" s="2" t="n"/>
    </row>
    <row r="888">
      <c r="A888" s="2" t="n">
        <v>887</v>
      </c>
      <c r="B888" s="2" t="inlineStr">
        <is>
          <t>не сюжет</t>
        </is>
      </c>
      <c r="C888" s="2" t="n">
        <v>12028</v>
      </c>
      <c r="D888" s="3" t="inlineStr">
        <is>
          <t>Тайна желтого куста</t>
        </is>
      </c>
      <c r="E888" s="2" t="n">
        <v>1982</v>
      </c>
      <c r="F888" s="2" t="inlineStr">
        <is>
          <t>мультфильм</t>
        </is>
      </c>
      <c r="G888" s="2" t="inlineStr">
        <is>
          <t>Союзмультфильм</t>
        </is>
      </c>
      <c r="H888" s="2" t="n">
        <v>35</v>
      </c>
      <c r="I888" s="2" t="inlineStr"/>
      <c r="J888" s="2" t="inlineStr">
        <is>
          <t>да</t>
        </is>
      </c>
      <c r="K888" s="3" t="inlineStr">
        <is>
          <t>Агитплакат против детского курения.</t>
        </is>
      </c>
      <c r="L888" s="2" t="inlineStr">
        <is>
          <t>https://animator.ru/db/?p=show_film&amp;fid=3142</t>
        </is>
      </c>
      <c r="M888" s="2">
        <f>HYPERLINK("https://ru.wikipedia.org/w/index.php?search=%D0%A2%D0%B0%D0%B9%D0%BD%D0%B0%20%D0%B6%D0%B5%D0%BB%D1%82%D0%BE%D0%B3%D0%BE%20%D0%BA%D1%83%D1%81%D1%82%D0%B0%201982%20%D1%84%D0%B8%D0%BB%D1%8C%D0%BC","искать")</f>
        <v/>
      </c>
      <c r="N888" s="3" t="n"/>
      <c r="O888" s="2" t="n"/>
      <c r="P888" s="2" t="n"/>
    </row>
    <row r="889">
      <c r="A889" s="2" t="n">
        <v>888</v>
      </c>
      <c r="B889" s="2" t="inlineStr">
        <is>
          <t>не сюжет</t>
        </is>
      </c>
      <c r="C889" s="2" t="n">
        <v>12038</v>
      </c>
      <c r="D889" s="3" t="inlineStr">
        <is>
          <t>Волчище - серый хвостище</t>
        </is>
      </c>
      <c r="E889" s="2" t="n">
        <v>1983</v>
      </c>
      <c r="F889" s="2" t="inlineStr">
        <is>
          <t>мультфильм</t>
        </is>
      </c>
      <c r="G889" s="2" t="inlineStr">
        <is>
          <t>Союзмультфильм</t>
        </is>
      </c>
      <c r="H889" s="2" t="n">
        <v>35</v>
      </c>
      <c r="I889" s="2" t="inlineStr"/>
      <c r="J889" s="2" t="inlineStr">
        <is>
          <t>да</t>
        </is>
      </c>
      <c r="K889" s="3" t="inlineStr">
        <is>
          <t>По мотивам русской народной сказки.</t>
        </is>
      </c>
      <c r="L889" s="2" t="inlineStr">
        <is>
          <t>2026-10_мультфильмы_список_владельца.xlsx; https://animator.ru/db/?p=show_film&amp;fid=3153</t>
        </is>
      </c>
      <c r="M889" s="2">
        <f>HYPERLINK("https://ru.wikipedia.org/w/index.php?search=%D0%92%D0%BE%D0%BB%D1%87%D0%B8%D1%89%D0%B5%20-%20%D1%81%D0%B5%D1%80%D1%8B%D0%B9%20%D1%85%D0%B2%D0%BE%D1%81%D1%82%D0%B8%D1%89%D0%B5%201983%20%D1%84%D0%B8%D0%BB%D1%8C%D0%BC","искать")</f>
        <v/>
      </c>
      <c r="N889" s="3" t="n"/>
      <c r="O889" s="2" t="n"/>
      <c r="P889" s="2" t="n"/>
    </row>
    <row r="890">
      <c r="A890" s="2" t="n">
        <v>889</v>
      </c>
      <c r="B890" s="2" t="inlineStr">
        <is>
          <t>не сюжет</t>
        </is>
      </c>
      <c r="C890" s="2" t="n">
        <v>12061</v>
      </c>
      <c r="D890" s="3" t="inlineStr">
        <is>
          <t>Солдатский кафтан</t>
        </is>
      </c>
      <c r="E890" s="2" t="n">
        <v>1983</v>
      </c>
      <c r="F890" s="2" t="inlineStr">
        <is>
          <t>мультфильм</t>
        </is>
      </c>
      <c r="G890" s="2" t="inlineStr">
        <is>
          <t>Союзмультфильм</t>
        </is>
      </c>
      <c r="H890" s="2" t="n">
        <v>35</v>
      </c>
      <c r="I890" s="2" t="inlineStr"/>
      <c r="J890" s="2" t="inlineStr">
        <is>
          <t>да</t>
        </is>
      </c>
      <c r="K890" s="3" t="inlineStr">
        <is>
          <t>По мотивам русских народных сказок.</t>
        </is>
      </c>
      <c r="L890" s="2" t="inlineStr">
        <is>
          <t>2026-10_мультфильмы_список_владельца.xlsx; https://animator.ru/db/?p=show_film&amp;fid=3176</t>
        </is>
      </c>
      <c r="M890" s="2">
        <f>HYPERLINK("https://ru.wikipedia.org/w/index.php?search=%D0%A1%D0%BE%D0%BB%D0%B4%D0%B0%D1%82%D1%81%D0%BA%D0%B8%D0%B9%20%D0%BA%D0%B0%D1%84%D1%82%D0%B0%D0%BD%201983%20%D1%84%D0%B8%D0%BB%D1%8C%D0%BC","искать")</f>
        <v/>
      </c>
      <c r="N890" s="3" t="n"/>
      <c r="O890" s="2" t="n"/>
      <c r="P890" s="2" t="n"/>
    </row>
    <row r="891">
      <c r="A891" s="2" t="n">
        <v>890</v>
      </c>
      <c r="B891" s="2" t="inlineStr">
        <is>
          <t>не сюжет</t>
        </is>
      </c>
      <c r="C891" s="2" t="n">
        <v>12167</v>
      </c>
      <c r="D891" s="3" t="inlineStr">
        <is>
          <t>Боцман и попугай. Ч.4</t>
        </is>
      </c>
      <c r="E891" s="2" t="n">
        <v>1985</v>
      </c>
      <c r="F891" s="2" t="inlineStr">
        <is>
          <t>мультфильм</t>
        </is>
      </c>
      <c r="G891" s="2" t="inlineStr">
        <is>
          <t>Союзмультфильм</t>
        </is>
      </c>
      <c r="H891" s="2" t="n">
        <v>35</v>
      </c>
      <c r="I891" s="2" t="inlineStr"/>
      <c r="J891" s="2" t="inlineStr">
        <is>
          <t>да</t>
        </is>
      </c>
      <c r="K891" s="3" t="inlineStr">
        <is>
          <t>"Эх, Рома, Рома..." Мульт четвертый</t>
        </is>
      </c>
      <c r="L891" s="2" t="inlineStr">
        <is>
          <t>2026-10_мультфильмы_список_владельца.xlsx; https://animator.ru/db/?p=show_film&amp;fid=3283</t>
        </is>
      </c>
      <c r="M891" s="2">
        <f>HYPERLINK("https://ru.wikipedia.org/w/index.php?search=%D0%91%D0%BE%D1%86%D0%BC%D0%B0%D0%BD%20%D0%B8%20%D0%BF%D0%BE%D0%BF%D1%83%D0%B3%D0%B0%D0%B9.%20%D0%A7.4%201985%20%D1%84%D0%B8%D0%BB%D1%8C%D0%BC","искать")</f>
        <v/>
      </c>
      <c r="N891" s="3" t="n"/>
      <c r="O891" s="2" t="n"/>
      <c r="P891" s="2" t="n"/>
    </row>
    <row r="892">
      <c r="A892" s="2" t="n">
        <v>891</v>
      </c>
      <c r="B892" s="2" t="inlineStr">
        <is>
          <t>не сюжет</t>
        </is>
      </c>
      <c r="C892" s="2" t="n">
        <v>12317</v>
      </c>
      <c r="D892" s="3" t="inlineStr">
        <is>
          <t>А вы, друзья, как ни садитесь</t>
        </is>
      </c>
      <c r="E892" s="2" t="n">
        <v>1972</v>
      </c>
      <c r="F892" s="2" t="inlineStr">
        <is>
          <t>мультфильм</t>
        </is>
      </c>
      <c r="G892" s="2" t="inlineStr">
        <is>
          <t>КИЕВНАУЧФИЛЬМ</t>
        </is>
      </c>
      <c r="H892" s="2" t="n">
        <v>35</v>
      </c>
      <c r="I892" s="2" t="inlineStr"/>
      <c r="J892" s="2" t="inlineStr">
        <is>
          <t>да</t>
        </is>
      </c>
      <c r="K892" s="3" t="inlineStr">
        <is>
          <t>По мотивам басни Крылова "Квартет".</t>
        </is>
      </c>
      <c r="L892" s="2" t="inlineStr">
        <is>
          <t>https://animator.ru/db/?p=show_film&amp;fid=3479</t>
        </is>
      </c>
      <c r="M892" s="2">
        <f>HYPERLINK("https://ru.wikipedia.org/w/index.php?search=%D0%90%20%D0%B2%D1%8B%2C%20%D0%B4%D1%80%D1%83%D0%B7%D1%8C%D1%8F%2C%20%D0%BA%D0%B0%D0%BA%20%D0%BD%D0%B8%20%D1%81%D0%B0%D0%B4%D0%B8%D1%82%D0%B5%D1%81%D1%8C%201972%20%D1%84%D0%B8%D0%BB%D1%8C%D0%BC","искать")</f>
        <v/>
      </c>
      <c r="N892" s="3" t="n"/>
      <c r="O892" s="2" t="n"/>
      <c r="P892" s="2" t="n"/>
    </row>
    <row r="893">
      <c r="A893" s="2" t="n">
        <v>892</v>
      </c>
      <c r="B893" s="2" t="inlineStr">
        <is>
          <t>не сюжет</t>
        </is>
      </c>
      <c r="C893" s="2" t="n">
        <v>12373</v>
      </c>
      <c r="D893" s="3" t="inlineStr">
        <is>
          <t>Журавушка</t>
        </is>
      </c>
      <c r="E893" s="2" t="n">
        <v>1982</v>
      </c>
      <c r="F893" s="2" t="inlineStr">
        <is>
          <t>мультфильм</t>
        </is>
      </c>
      <c r="G893" s="2" t="inlineStr">
        <is>
          <t>КИЕВНАУЧФИЛЬМ</t>
        </is>
      </c>
      <c r="H893" s="2" t="n">
        <v>35</v>
      </c>
      <c r="I893" s="2" t="inlineStr"/>
      <c r="J893" s="2" t="inlineStr">
        <is>
          <t>да</t>
        </is>
      </c>
      <c r="K893" s="3" t="inlineStr">
        <is>
          <t>По мотивам поэмы Б.Олейника "Крыло"</t>
        </is>
      </c>
      <c r="L893" s="2" t="inlineStr">
        <is>
          <t>https://animator.ru/db/?p=show_film&amp;fid=3541</t>
        </is>
      </c>
      <c r="M893" s="2">
        <f>HYPERLINK("https://ru.wikipedia.org/w/index.php?search=%D0%96%D1%83%D1%80%D0%B0%D0%B2%D1%83%D1%88%D0%BA%D0%B0%201982%20%D1%84%D0%B8%D0%BB%D1%8C%D0%BC","искать")</f>
        <v/>
      </c>
      <c r="N893" s="3" t="n"/>
      <c r="O893" s="2" t="n"/>
      <c r="P893" s="2" t="n"/>
    </row>
    <row r="894">
      <c r="A894" s="2" t="n">
        <v>893</v>
      </c>
      <c r="B894" s="2" t="inlineStr">
        <is>
          <t>не сюжет</t>
        </is>
      </c>
      <c r="C894" s="2" t="n">
        <v>12431</v>
      </c>
      <c r="D894" s="3" t="inlineStr">
        <is>
          <t>Колыбельная</t>
        </is>
      </c>
      <c r="E894" s="2" t="n">
        <v>1984</v>
      </c>
      <c r="F894" s="2" t="inlineStr">
        <is>
          <t>мультфильм</t>
        </is>
      </c>
      <c r="G894" s="2" t="inlineStr">
        <is>
          <t>КИЕВНАУЧФИЛЬМ</t>
        </is>
      </c>
      <c r="H894" s="2" t="n">
        <v>35</v>
      </c>
      <c r="I894" s="2" t="inlineStr"/>
      <c r="J894" s="2" t="inlineStr">
        <is>
          <t>да</t>
        </is>
      </c>
      <c r="K894" s="3" t="inlineStr">
        <is>
          <t>XVII ВКФ, Киев, 1984 -- Диплом жюри</t>
        </is>
      </c>
      <c r="L894" s="2" t="inlineStr">
        <is>
          <t>https://animator.ru/db/?p=show_film&amp;fid=3602</t>
        </is>
      </c>
      <c r="M894" s="2">
        <f>HYPERLINK("https://ru.wikipedia.org/w/index.php?search=%D0%9A%D0%BE%D0%BB%D1%8B%D0%B1%D0%B5%D0%BB%D1%8C%D0%BD%D0%B0%D1%8F%201984%20%D1%84%D0%B8%D0%BB%D1%8C%D0%BC","искать")</f>
        <v/>
      </c>
      <c r="N894" s="3" t="n"/>
      <c r="O894" s="2" t="n"/>
      <c r="P894" s="2" t="n"/>
    </row>
    <row r="895">
      <c r="A895" s="2" t="n">
        <v>894</v>
      </c>
      <c r="B895" s="2" t="inlineStr">
        <is>
          <t>не сюжет</t>
        </is>
      </c>
      <c r="C895" s="2" t="n">
        <v>12459</v>
      </c>
      <c r="D895" s="3" t="inlineStr">
        <is>
          <t>Моя семья</t>
        </is>
      </c>
      <c r="E895" s="2" t="n">
        <v>1989</v>
      </c>
      <c r="F895" s="2" t="inlineStr">
        <is>
          <t>мультфильм</t>
        </is>
      </c>
      <c r="G895" s="2" t="inlineStr">
        <is>
          <t>КИЕВНАУЧФИЛЬМ</t>
        </is>
      </c>
      <c r="H895" s="2" t="n">
        <v>35</v>
      </c>
      <c r="I895" s="2" t="inlineStr"/>
      <c r="J895" s="2" t="inlineStr">
        <is>
          <t>да</t>
        </is>
      </c>
      <c r="K895" s="3" t="inlineStr">
        <is>
          <t>По одноименному рассказу К.Мелихана</t>
        </is>
      </c>
      <c r="L895" s="2" t="inlineStr">
        <is>
          <t>https://animator.ru/db/?p=show_film&amp;fid=3631</t>
        </is>
      </c>
      <c r="M895" s="2">
        <f>HYPERLINK("https://ru.wikipedia.org/w/index.php?search=%D0%9C%D0%BE%D1%8F%20%D1%81%D0%B5%D0%BC%D1%8C%D1%8F%201989%20%D1%84%D0%B8%D0%BB%D1%8C%D0%BC","искать")</f>
        <v/>
      </c>
      <c r="N895" s="3" t="n"/>
      <c r="O895" s="2" t="n"/>
      <c r="P895" s="2" t="n"/>
    </row>
    <row r="896">
      <c r="A896" s="2" t="n">
        <v>895</v>
      </c>
      <c r="B896" s="2" t="inlineStr">
        <is>
          <t>не сюжет</t>
        </is>
      </c>
      <c r="C896" s="2" t="n">
        <v>12511</v>
      </c>
      <c r="D896" s="3" t="inlineStr">
        <is>
          <t>Почему у осла длинные уши</t>
        </is>
      </c>
      <c r="E896" s="2" t="n">
        <v>1977</v>
      </c>
      <c r="F896" s="2" t="inlineStr">
        <is>
          <t>мультфильм</t>
        </is>
      </c>
      <c r="G896" s="2" t="inlineStr">
        <is>
          <t>КИЕВНАУЧФИЛЬМ</t>
        </is>
      </c>
      <c r="H896" s="2" t="n">
        <v>35</v>
      </c>
      <c r="I896" s="2" t="inlineStr"/>
      <c r="J896" s="2" t="inlineStr">
        <is>
          <t>да</t>
        </is>
      </c>
      <c r="K896" s="3" t="inlineStr">
        <is>
          <t>Пропагандистский политический фильм</t>
        </is>
      </c>
      <c r="L896" s="2" t="inlineStr">
        <is>
          <t>https://animator.ru/db/?p=show_film&amp;fid=3686</t>
        </is>
      </c>
      <c r="M896" s="2">
        <f>HYPERLINK("https://ru.wikipedia.org/w/index.php?search=%D0%9F%D0%BE%D1%87%D0%B5%D0%BC%D1%83%20%D1%83%20%D0%BE%D1%81%D0%BB%D0%B0%20%D0%B4%D0%BB%D0%B8%D0%BD%D0%BD%D1%8B%D0%B5%20%D1%83%D1%88%D0%B8%201977%20%D1%84%D0%B8%D0%BB%D1%8C%D0%BC","искать")</f>
        <v/>
      </c>
      <c r="N896" s="3" t="n"/>
      <c r="O896" s="2" t="n"/>
      <c r="P896" s="2" t="n"/>
    </row>
    <row r="897">
      <c r="A897" s="2" t="n">
        <v>896</v>
      </c>
      <c r="B897" s="2" t="inlineStr">
        <is>
          <t>не сюжет</t>
        </is>
      </c>
      <c r="C897" s="2" t="n">
        <v>12543</v>
      </c>
      <c r="D897" s="3" t="inlineStr">
        <is>
          <t>Сезон охоты</t>
        </is>
      </c>
      <c r="E897" s="2" t="n">
        <v>1981</v>
      </c>
      <c r="F897" s="2" t="inlineStr">
        <is>
          <t>мультфильм</t>
        </is>
      </c>
      <c r="G897" s="2" t="inlineStr">
        <is>
          <t>КИЕВНАУЧФИЛЬМ</t>
        </is>
      </c>
      <c r="H897" s="2" t="n">
        <v>35</v>
      </c>
      <c r="I897" s="2" t="inlineStr"/>
      <c r="J897" s="2" t="inlineStr">
        <is>
          <t>да</t>
        </is>
      </c>
      <c r="K897" s="3" t="inlineStr">
        <is>
          <t>XV ВКФ, Таллинн 1982 -- Диплом жюри</t>
        </is>
      </c>
      <c r="L897" s="2" t="inlineStr">
        <is>
          <t>https://animator.ru/db/?p=show_film&amp;fid=3721</t>
        </is>
      </c>
      <c r="M897" s="2">
        <f>HYPERLINK("https://ru.wikipedia.org/w/index.php?search=%D0%A1%D0%B5%D0%B7%D0%BE%D0%BD%20%D0%BE%D1%85%D0%BE%D1%82%D1%8B%201981%20%D1%84%D0%B8%D0%BB%D1%8C%D0%BC","искать")</f>
        <v/>
      </c>
      <c r="N897" s="3" t="n"/>
      <c r="O897" s="2" t="n"/>
      <c r="P897" s="2" t="n"/>
    </row>
    <row r="898">
      <c r="A898" s="2" t="n">
        <v>897</v>
      </c>
      <c r="B898" s="2" t="inlineStr">
        <is>
          <t>не сюжет</t>
        </is>
      </c>
      <c r="C898" s="2" t="n">
        <v>12585</v>
      </c>
      <c r="D898" s="3" t="inlineStr">
        <is>
          <t>Трудолюбивая старушка</t>
        </is>
      </c>
      <c r="E898" s="2" t="n">
        <v>1986</v>
      </c>
      <c r="F898" s="2" t="inlineStr">
        <is>
          <t>мультфильм</t>
        </is>
      </c>
      <c r="G898" s="2" t="inlineStr">
        <is>
          <t>КИЕВНАУЧФИЛЬМ</t>
        </is>
      </c>
      <c r="H898" s="2" t="n">
        <v>35</v>
      </c>
      <c r="I898" s="2" t="inlineStr"/>
      <c r="J898" s="2" t="inlineStr">
        <is>
          <t>да</t>
        </is>
      </c>
      <c r="K898" s="3" t="inlineStr">
        <is>
          <t>По мотивам стихотворения Юны Мориц.</t>
        </is>
      </c>
      <c r="L898" s="2" t="inlineStr">
        <is>
          <t>2026-10_мультфильмы_список_владельца.xlsx; https://animator.ru/db/?p=show_film&amp;fid=3765</t>
        </is>
      </c>
      <c r="M898" s="2">
        <f>HYPERLINK("https://ru.wikipedia.org/w/index.php?search=%D0%A2%D1%80%D1%83%D0%B4%D0%BE%D0%BB%D1%8E%D0%B1%D0%B8%D0%B2%D0%B0%D1%8F%20%D1%81%D1%82%D0%B0%D1%80%D1%83%D1%88%D0%BA%D0%B0%201986%20%D1%84%D0%B8%D0%BB%D1%8C%D0%BC","искать")</f>
        <v/>
      </c>
      <c r="N898" s="3" t="n"/>
      <c r="O898" s="2" t="n"/>
      <c r="P898" s="2" t="n"/>
    </row>
    <row r="899">
      <c r="A899" s="2" t="n">
        <v>898</v>
      </c>
      <c r="B899" s="2" t="inlineStr">
        <is>
          <t>не сюжет</t>
        </is>
      </c>
      <c r="C899" s="2" t="n">
        <v>12794</v>
      </c>
      <c r="D899" s="3" t="inlineStr">
        <is>
          <t>Бунт красок</t>
        </is>
      </c>
      <c r="E899" s="2" t="n">
        <v>1968</v>
      </c>
      <c r="F899" s="2" t="inlineStr">
        <is>
          <t>мультфильм</t>
        </is>
      </c>
      <c r="G899" s="2" t="inlineStr">
        <is>
          <t>ГРУЗИЯ-ФИЛЬМ - АО</t>
        </is>
      </c>
      <c r="H899" s="2" t="n">
        <v>35</v>
      </c>
      <c r="I899" s="2" t="inlineStr"/>
      <c r="J899" s="2" t="inlineStr">
        <is>
          <t>да</t>
        </is>
      </c>
      <c r="K899" s="3" t="inlineStr">
        <is>
          <t>Фильм не принят на Всесоюзный экран</t>
        </is>
      </c>
      <c r="L899" s="2" t="inlineStr">
        <is>
          <t>https://animator.ru/db/?p=show_film&amp;fid=4003</t>
        </is>
      </c>
      <c r="M899" s="2">
        <f>HYPERLINK("https://ru.wikipedia.org/w/index.php?search=%D0%91%D1%83%D0%BD%D1%82%20%D0%BA%D1%80%D0%B0%D1%81%D0%BE%D0%BA%201968%20%D1%84%D0%B8%D0%BB%D1%8C%D0%BC","искать")</f>
        <v/>
      </c>
      <c r="N899" s="3" t="n"/>
      <c r="O899" s="2" t="n"/>
      <c r="P899" s="2" t="n"/>
    </row>
    <row r="900">
      <c r="A900" s="2" t="n">
        <v>899</v>
      </c>
      <c r="B900" s="2" t="inlineStr">
        <is>
          <t>не сюжет</t>
        </is>
      </c>
      <c r="C900" s="2" t="n">
        <v>12958</v>
      </c>
      <c r="D900" s="3" t="inlineStr">
        <is>
          <t>Семья</t>
        </is>
      </c>
      <c r="E900" s="2" t="n">
        <v>1988</v>
      </c>
      <c r="F900" s="2" t="inlineStr">
        <is>
          <t>мультфильм</t>
        </is>
      </c>
      <c r="G900" s="2" t="inlineStr">
        <is>
          <t>ГРУЗИЯ-ФИЛЬМ - АО</t>
        </is>
      </c>
      <c r="H900" s="2" t="n">
        <v>35</v>
      </c>
      <c r="I900" s="2" t="inlineStr"/>
      <c r="J900" s="2" t="inlineStr">
        <is>
          <t>да</t>
        </is>
      </c>
      <c r="K900" s="3" t="inlineStr">
        <is>
          <t>Об одном дне жизни маленького щенка</t>
        </is>
      </c>
      <c r="L900" s="2" t="inlineStr">
        <is>
          <t>https://animator.ru/db/?p=show_film&amp;fid=4188</t>
        </is>
      </c>
      <c r="M900" s="2">
        <f>HYPERLINK("https://ru.wikipedia.org/w/index.php?search=%D0%A1%D0%B5%D0%BC%D1%8C%D1%8F%201988%20%D1%84%D0%B8%D0%BB%D1%8C%D0%BC","искать")</f>
        <v/>
      </c>
      <c r="N900" s="3" t="n"/>
      <c r="O900" s="2" t="n"/>
      <c r="P900" s="2" t="n"/>
    </row>
    <row r="901">
      <c r="A901" s="2" t="n">
        <v>900</v>
      </c>
      <c r="B901" s="2" t="inlineStr">
        <is>
          <t>не сюжет</t>
        </is>
      </c>
      <c r="C901" s="2" t="n">
        <v>13017</v>
      </c>
      <c r="D901" s="3" t="inlineStr">
        <is>
          <t>Мозаика-2. Цветок</t>
        </is>
      </c>
      <c r="E901" s="2" t="n">
        <v>1989</v>
      </c>
      <c r="F901" s="2" t="inlineStr">
        <is>
          <t>мультфильм</t>
        </is>
      </c>
      <c r="G901" s="2" t="inlineStr">
        <is>
          <t>КАЗАХФИЛЬМ</t>
        </is>
      </c>
      <c r="H901" s="2" t="n">
        <v>35</v>
      </c>
      <c r="I901" s="2" t="inlineStr"/>
      <c r="J901" s="2" t="inlineStr">
        <is>
          <t>да</t>
        </is>
      </c>
      <c r="K901" s="3" t="inlineStr">
        <is>
          <t>О взаимосвязи всего живого на Земле</t>
        </is>
      </c>
      <c r="L901" s="2" t="inlineStr">
        <is>
          <t>https://animator.ru/db/?p=show_film&amp;fid=4249</t>
        </is>
      </c>
      <c r="M901" s="2">
        <f>HYPERLINK("https://ru.wikipedia.org/w/index.php?search=%D0%9C%D0%BE%D0%B7%D0%B0%D0%B8%D0%BA%D0%B0-2.%20%D0%A6%D0%B2%D0%B5%D1%82%D0%BE%D0%BA%201989%20%D1%84%D0%B8%D0%BB%D1%8C%D0%BC","искать")</f>
        <v/>
      </c>
      <c r="N901" s="3" t="n"/>
      <c r="O901" s="2" t="n"/>
      <c r="P901" s="2" t="n"/>
    </row>
    <row r="902">
      <c r="A902" s="2" t="n">
        <v>901</v>
      </c>
      <c r="B902" s="2" t="inlineStr">
        <is>
          <t>не сюжет</t>
        </is>
      </c>
      <c r="C902" s="2" t="n">
        <v>13020</v>
      </c>
      <c r="D902" s="3" t="inlineStr">
        <is>
          <t>Непредвиденная встреча</t>
        </is>
      </c>
      <c r="E902" s="2" t="n">
        <v>1989</v>
      </c>
      <c r="F902" s="2" t="inlineStr">
        <is>
          <t>мультфильм</t>
        </is>
      </c>
      <c r="G902" s="2" t="inlineStr">
        <is>
          <t>КАЗАХФИЛЬМ</t>
        </is>
      </c>
      <c r="H902" s="2" t="n">
        <v>35</v>
      </c>
      <c r="I902" s="2" t="inlineStr"/>
      <c r="J902" s="2" t="inlineStr">
        <is>
          <t>да</t>
        </is>
      </c>
      <c r="K902" s="3" t="inlineStr">
        <is>
          <t>О встрече человека со своим прошлым</t>
        </is>
      </c>
      <c r="L902" s="2" t="inlineStr">
        <is>
          <t>https://animator.ru/db/?p=show_film&amp;fid=4252</t>
        </is>
      </c>
      <c r="M902" s="2">
        <f>HYPERLINK("https://ru.wikipedia.org/w/index.php?search=%D0%9D%D0%B5%D0%BF%D1%80%D0%B5%D0%B4%D0%B2%D0%B8%D0%B4%D0%B5%D0%BD%D0%BD%D0%B0%D1%8F%20%D0%B2%D1%81%D1%82%D1%80%D0%B5%D1%87%D0%B0%201989%20%D1%84%D0%B8%D0%BB%D1%8C%D0%BC","искать")</f>
        <v/>
      </c>
      <c r="N902" s="3" t="n"/>
      <c r="O902" s="2" t="n"/>
      <c r="P902" s="2" t="n"/>
    </row>
    <row r="903">
      <c r="A903" s="2" t="n">
        <v>902</v>
      </c>
      <c r="B903" s="2" t="inlineStr">
        <is>
          <t>не сюжет</t>
        </is>
      </c>
      <c r="C903" s="2" t="n">
        <v>13342</v>
      </c>
      <c r="D903" s="3" t="inlineStr">
        <is>
          <t>Треугольник</t>
        </is>
      </c>
      <c r="E903" s="2" t="n">
        <v>1982</v>
      </c>
      <c r="F903" s="2" t="inlineStr">
        <is>
          <t>мультфильм</t>
        </is>
      </c>
      <c r="G903" s="2" t="inlineStr">
        <is>
          <t>ТАЛЛИННФИЛЬМ</t>
        </is>
      </c>
      <c r="H903" s="2" t="n">
        <v>35</v>
      </c>
      <c r="I903" s="2" t="inlineStr"/>
      <c r="J903" s="2" t="inlineStr">
        <is>
          <t>да</t>
        </is>
      </c>
      <c r="K903" s="3" t="inlineStr">
        <is>
          <t>О семейных неурядицах. Для взрослых</t>
        </is>
      </c>
      <c r="L903" s="2" t="inlineStr">
        <is>
          <t>https://animator.ru/db/?p=show_film&amp;fid=4615</t>
        </is>
      </c>
      <c r="M903" s="2">
        <f>HYPERLINK("https://ru.wikipedia.org/w/index.php?search=%D0%A2%D1%80%D0%B5%D1%83%D0%B3%D0%BE%D0%BB%D1%8C%D0%BD%D0%B8%D0%BA%201982%20%D1%84%D0%B8%D0%BB%D1%8C%D0%BC","искать")</f>
        <v/>
      </c>
      <c r="N903" s="3" t="n"/>
      <c r="O903" s="2" t="n"/>
      <c r="P903" s="2" t="n"/>
    </row>
    <row r="904">
      <c r="A904" s="2" t="n">
        <v>903</v>
      </c>
      <c r="B904" s="2" t="inlineStr">
        <is>
          <t>не сюжет</t>
        </is>
      </c>
      <c r="C904" s="2" t="n">
        <v>13395</v>
      </c>
      <c r="D904" s="3" t="inlineStr">
        <is>
          <t>Когда медвежонок проснется</t>
        </is>
      </c>
      <c r="E904" s="2" t="n">
        <v>1979</v>
      </c>
      <c r="F904" s="2" t="inlineStr">
        <is>
          <t>мультфильм</t>
        </is>
      </c>
      <c r="G904" s="2" t="inlineStr">
        <is>
          <t>ЭКРАН</t>
        </is>
      </c>
      <c r="H904" s="2" t="n">
        <v>35</v>
      </c>
      <c r="I904" s="2" t="inlineStr"/>
      <c r="J904" s="2" t="inlineStr">
        <is>
          <t>да</t>
        </is>
      </c>
      <c r="K904" s="3" t="inlineStr">
        <is>
          <t>Про зайчонка Ушастика и его друзей.</t>
        </is>
      </c>
      <c r="L904" s="2" t="inlineStr">
        <is>
          <t>2026-10_мультфильмы_список_владельца.xlsx; https://animator.ru/db/?p=show_film&amp;fid=4675</t>
        </is>
      </c>
      <c r="M904" s="2">
        <f>HYPERLINK("https://ru.wikipedia.org/w/index.php?search=%D0%9A%D0%BE%D0%B3%D0%B4%D0%B0%20%D0%BC%D0%B5%D0%B4%D0%B2%D0%B5%D0%B6%D0%BE%D0%BD%D0%BE%D0%BA%20%D0%BF%D1%80%D0%BE%D1%81%D0%BD%D0%B5%D1%82%D1%81%D1%8F%201979%20%D1%84%D0%B8%D0%BB%D1%8C%D0%BC","искать")</f>
        <v/>
      </c>
      <c r="N904" s="3" t="n"/>
      <c r="O904" s="2" t="n"/>
      <c r="P904" s="2" t="n"/>
    </row>
    <row r="905">
      <c r="A905" s="2" t="n">
        <v>904</v>
      </c>
      <c r="B905" s="2" t="inlineStr">
        <is>
          <t>не сюжет</t>
        </is>
      </c>
      <c r="C905" s="2" t="n">
        <v>13506</v>
      </c>
      <c r="D905" s="3" t="inlineStr">
        <is>
          <t>Зачем верблюду апельсин?</t>
        </is>
      </c>
      <c r="E905" s="2" t="n">
        <v>1986</v>
      </c>
      <c r="F905" s="2" t="inlineStr">
        <is>
          <t>мультфильм</t>
        </is>
      </c>
      <c r="G905" s="2" t="inlineStr">
        <is>
          <t>МУЛЬТТЕЛЕФИЛЬМ ("Экран")</t>
        </is>
      </c>
      <c r="H905" s="2" t="n">
        <v>35</v>
      </c>
      <c r="I905" s="2" t="inlineStr"/>
      <c r="J905" s="2" t="inlineStr">
        <is>
          <t>да</t>
        </is>
      </c>
      <c r="K905" s="3" t="inlineStr">
        <is>
          <t>Три сюжета о Зебре, Коне и Ленивце.</t>
        </is>
      </c>
      <c r="L905" s="2" t="inlineStr">
        <is>
          <t>2026-10_мультфильмы_список_владельца.xlsx; https://animator.ru/db/?p=show_film&amp;fid=4796</t>
        </is>
      </c>
      <c r="M905" s="2">
        <f>HYPERLINK("https://ru.wikipedia.org/w/index.php?search=%D0%97%D0%B0%D1%87%D0%B5%D0%BC%20%D0%B2%D0%B5%D1%80%D0%B1%D0%BB%D1%8E%D0%B4%D1%83%20%D0%B0%D0%BF%D0%B5%D0%BB%D1%8C%D1%81%D0%B8%D0%BD%3F%201986%20%D1%84%D0%B8%D0%BB%D1%8C%D0%BC","искать")</f>
        <v/>
      </c>
      <c r="N905" s="3" t="n"/>
      <c r="O905" s="2" t="n"/>
      <c r="P905" s="2" t="n"/>
    </row>
    <row r="906">
      <c r="A906" s="2" t="n">
        <v>905</v>
      </c>
      <c r="B906" s="2" t="inlineStr">
        <is>
          <t>не сюжет</t>
        </is>
      </c>
      <c r="C906" s="2" t="n">
        <v>13680</v>
      </c>
      <c r="D906" s="3" t="inlineStr">
        <is>
          <t>Доктор Бартек и смерть (ч.1)</t>
        </is>
      </c>
      <c r="E906" s="2" t="n">
        <v>1989</v>
      </c>
      <c r="F906" s="2" t="inlineStr">
        <is>
          <t>мультфильм</t>
        </is>
      </c>
      <c r="G906" s="2" t="inlineStr">
        <is>
          <t>ЭКРАН</t>
        </is>
      </c>
      <c r="H906" s="2" t="n">
        <v>35</v>
      </c>
      <c r="I906" s="2" t="inlineStr"/>
      <c r="J906" s="2" t="inlineStr">
        <is>
          <t>да</t>
        </is>
      </c>
      <c r="K906" s="3" t="inlineStr">
        <is>
          <t>По мотивам польской народной сказки</t>
        </is>
      </c>
      <c r="L906" s="2" t="inlineStr">
        <is>
          <t>https://animator.ru/db/?p=show_film&amp;fid=5072</t>
        </is>
      </c>
      <c r="M906" s="2">
        <f>HYPERLINK("https://ru.wikipedia.org/w/index.php?search=%D0%94%D0%BE%D0%BA%D1%82%D0%BE%D1%80%20%D0%91%D0%B0%D1%80%D1%82%D0%B5%D0%BA%20%D0%B8%20%D1%81%D0%BC%D0%B5%D1%80%D1%82%D1%8C%20%28%D1%87.1%29%201989%20%D1%84%D0%B8%D0%BB%D1%8C%D0%BC","искать")</f>
        <v/>
      </c>
      <c r="N906" s="3" t="n"/>
      <c r="O906" s="2" t="n"/>
      <c r="P906" s="2" t="n"/>
    </row>
    <row r="907">
      <c r="A907" s="2" t="n">
        <v>906</v>
      </c>
      <c r="B907" s="2" t="inlineStr">
        <is>
          <t>не сюжет</t>
        </is>
      </c>
      <c r="C907" s="2" t="n">
        <v>13891</v>
      </c>
      <c r="D907" s="3" t="inlineStr">
        <is>
          <t>Синичкин календарь. 4. Осень</t>
        </is>
      </c>
      <c r="E907" s="2" t="n">
        <v>1984</v>
      </c>
      <c r="F907" s="2" t="inlineStr">
        <is>
          <t>мультфильм</t>
        </is>
      </c>
      <c r="G907" s="2" t="inlineStr">
        <is>
          <t>ЭКРАН</t>
        </is>
      </c>
      <c r="H907" s="2" t="n">
        <v>35</v>
      </c>
      <c r="I907" s="2" t="inlineStr"/>
      <c r="J907" s="2" t="inlineStr">
        <is>
          <t>да</t>
        </is>
      </c>
      <c r="K907" s="3" t="inlineStr">
        <is>
          <t>По мотивам рассказов Виталия Бианки</t>
        </is>
      </c>
      <c r="L907" s="2" t="inlineStr">
        <is>
          <t>https://animator.ru/db/?p=show_film&amp;fid=5285</t>
        </is>
      </c>
      <c r="M907" s="2">
        <f>HYPERLINK("https://ru.wikipedia.org/w/index.php?search=%D0%A1%D0%B8%D0%BD%D0%B8%D1%87%D0%BA%D0%B8%D0%BD%20%D0%BA%D0%B0%D0%BB%D0%B5%D0%BD%D0%B4%D0%B0%D1%80%D1%8C.%204.%20%D0%9E%D1%81%D0%B5%D0%BD%D1%8C%201984%20%D1%84%D0%B8%D0%BB%D1%8C%D0%BC","искать")</f>
        <v/>
      </c>
      <c r="N907" s="3" t="n"/>
      <c r="O907" s="2" t="n"/>
      <c r="P907" s="2" t="n"/>
    </row>
    <row r="908">
      <c r="A908" s="2" t="n">
        <v>907</v>
      </c>
      <c r="B908" s="2" t="inlineStr">
        <is>
          <t>не сюжет</t>
        </is>
      </c>
      <c r="C908" s="2" t="n">
        <v>13923</v>
      </c>
      <c r="D908" s="3" t="inlineStr">
        <is>
          <t>Тебе - атакующий класс!</t>
        </is>
      </c>
      <c r="E908" s="2" t="n">
        <v>1977</v>
      </c>
      <c r="F908" s="2" t="inlineStr">
        <is>
          <t>мультфильм</t>
        </is>
      </c>
      <c r="G908" s="2" t="inlineStr">
        <is>
          <t>ЭКРАН</t>
        </is>
      </c>
      <c r="H908" s="2" t="n">
        <v>35</v>
      </c>
      <c r="I908" s="2" t="inlineStr"/>
      <c r="J908" s="2" t="inlineStr">
        <is>
          <t>да</t>
        </is>
      </c>
      <c r="K908" s="3" t="inlineStr">
        <is>
          <t>По мотивам произведений Маяковского</t>
        </is>
      </c>
      <c r="L908" s="2" t="inlineStr">
        <is>
          <t>https://animator.ru/db/?p=show_film&amp;fid=5317</t>
        </is>
      </c>
      <c r="M908" s="2">
        <f>HYPERLINK("https://ru.wikipedia.org/w/index.php?search=%D0%A2%D0%B5%D0%B1%D0%B5%20-%20%D0%B0%D1%82%D0%B0%D0%BA%D1%83%D1%8E%D1%89%D0%B8%D0%B9%20%D0%BA%D0%BB%D0%B0%D1%81%D1%81%21%201977%20%D1%84%D0%B8%D0%BB%D1%8C%D0%BC","искать")</f>
        <v/>
      </c>
      <c r="N908" s="3" t="n"/>
      <c r="O908" s="2" t="n"/>
      <c r="P908" s="2" t="n"/>
    </row>
    <row r="909">
      <c r="A909" s="2" t="n">
        <v>908</v>
      </c>
      <c r="B909" s="2" t="inlineStr">
        <is>
          <t>не сюжет</t>
        </is>
      </c>
      <c r="C909" s="2" t="n">
        <v>13941</v>
      </c>
      <c r="D909" s="3" t="inlineStr">
        <is>
          <t>Ушастик</t>
        </is>
      </c>
      <c r="E909" s="2" t="n">
        <v>1979</v>
      </c>
      <c r="F909" s="2" t="inlineStr">
        <is>
          <t>мультфильм</t>
        </is>
      </c>
      <c r="G909" s="2" t="inlineStr">
        <is>
          <t>ЭКРАН</t>
        </is>
      </c>
      <c r="H909" s="2" t="n">
        <v>35</v>
      </c>
      <c r="I909" s="2" t="inlineStr"/>
      <c r="J909" s="2" t="inlineStr">
        <is>
          <t>да</t>
        </is>
      </c>
      <c r="K909" s="3" t="inlineStr">
        <is>
          <t>Про зайчонка Ушастика и его друзей.</t>
        </is>
      </c>
      <c r="L909" s="2" t="inlineStr">
        <is>
          <t>2026-10_мультфильмы_список_владельца.xlsx; https://animator.ru/db/?p=show_film&amp;fid=5335</t>
        </is>
      </c>
      <c r="M909" s="2">
        <f>HYPERLINK("https://ru.wikipedia.org/w/index.php?search=%D0%A3%D1%88%D0%B0%D1%81%D1%82%D0%B8%D0%BA%201979%20%D1%84%D0%B8%D0%BB%D1%8C%D0%BC","искать")</f>
        <v/>
      </c>
      <c r="N909" s="3" t="n"/>
      <c r="O909" s="2" t="n"/>
      <c r="P909" s="2" t="n"/>
    </row>
    <row r="910">
      <c r="A910" s="2" t="n">
        <v>909</v>
      </c>
      <c r="B910" s="2" t="inlineStr">
        <is>
          <t>не сюжет</t>
        </is>
      </c>
      <c r="C910" s="2" t="n">
        <v>13942</v>
      </c>
      <c r="D910" s="3" t="inlineStr">
        <is>
          <t>Таинственная пропажа</t>
        </is>
      </c>
      <c r="E910" s="2" t="n">
        <v>1982</v>
      </c>
      <c r="F910" s="2" t="inlineStr">
        <is>
          <t>мультфильм</t>
        </is>
      </c>
      <c r="G910" s="2" t="inlineStr">
        <is>
          <t>ЭКРАН</t>
        </is>
      </c>
      <c r="H910" s="2" t="n">
        <v>35</v>
      </c>
      <c r="I910" s="2" t="inlineStr"/>
      <c r="J910" s="2" t="inlineStr">
        <is>
          <t>да</t>
        </is>
      </c>
      <c r="K910" s="3" t="inlineStr">
        <is>
          <t>Про зайчонка Ушастика и его друзей.</t>
        </is>
      </c>
      <c r="L910" s="2" t="inlineStr">
        <is>
          <t>2026-10_мультфильмы_список_владельца.xlsx; https://animator.ru/db/?p=show_film&amp;fid=5336</t>
        </is>
      </c>
      <c r="M910" s="2">
        <f>HYPERLINK("https://ru.wikipedia.org/w/index.php?search=%D0%A2%D0%B0%D0%B8%D0%BD%D1%81%D1%82%D0%B2%D0%B5%D0%BD%D0%BD%D0%B0%D1%8F%20%D0%BF%D1%80%D0%BE%D0%BF%D0%B0%D0%B6%D0%B0%201982%20%D1%84%D0%B8%D0%BB%D1%8C%D0%BC","искать")</f>
        <v/>
      </c>
      <c r="N910" s="3" t="n"/>
      <c r="O910" s="2" t="n"/>
      <c r="P910" s="2" t="n"/>
    </row>
    <row r="911">
      <c r="A911" s="2" t="n">
        <v>910</v>
      </c>
      <c r="B911" s="2" t="inlineStr">
        <is>
          <t>не сюжет</t>
        </is>
      </c>
      <c r="C911" s="2" t="n">
        <v>13943</v>
      </c>
      <c r="D911" s="3" t="inlineStr">
        <is>
          <t>Как гусенок на лису охотился</t>
        </is>
      </c>
      <c r="E911" s="2" t="n">
        <v>1982</v>
      </c>
      <c r="F911" s="2" t="inlineStr">
        <is>
          <t>мультфильм</t>
        </is>
      </c>
      <c r="G911" s="2" t="inlineStr">
        <is>
          <t>ЭКРАН</t>
        </is>
      </c>
      <c r="H911" s="2" t="n">
        <v>35</v>
      </c>
      <c r="I911" s="2" t="inlineStr"/>
      <c r="J911" s="2" t="inlineStr">
        <is>
          <t>да</t>
        </is>
      </c>
      <c r="K911" s="3" t="inlineStr">
        <is>
          <t>Про зайчонка Ушастика и его друзей.</t>
        </is>
      </c>
      <c r="L911" s="2" t="inlineStr">
        <is>
          <t>2026-10_мультфильмы_список_владельца.xlsx; https://animator.ru/db/?p=show_film&amp;fid=5337</t>
        </is>
      </c>
      <c r="M911" s="2">
        <f>HYPERLINK("https://ru.wikipedia.org/w/index.php?search=%D0%9A%D0%B0%D0%BA%20%D0%B3%D1%83%D1%81%D0%B5%D0%BD%D0%BE%D0%BA%20%D0%BD%D0%B0%20%D0%BB%D0%B8%D1%81%D1%83%20%D0%BE%D1%85%D0%BE%D1%82%D0%B8%D0%BB%D1%81%D1%8F%201982%20%D1%84%D0%B8%D0%BB%D1%8C%D0%BC","искать")</f>
        <v/>
      </c>
      <c r="N911" s="3" t="n"/>
      <c r="O911" s="2" t="n"/>
      <c r="P911" s="2" t="n"/>
    </row>
    <row r="912">
      <c r="A912" s="2" t="n">
        <v>911</v>
      </c>
      <c r="B912" s="2" t="inlineStr">
        <is>
          <t>не сюжет</t>
        </is>
      </c>
      <c r="C912" s="2" t="n">
        <v>14140</v>
      </c>
      <c r="D912" s="3" t="inlineStr">
        <is>
          <t>Не хочу и не буду</t>
        </is>
      </c>
      <c r="E912" s="2" t="n">
        <v>1984</v>
      </c>
      <c r="F912" s="2" t="inlineStr">
        <is>
          <t>мультфильм</t>
        </is>
      </c>
      <c r="G912" s="2" t="inlineStr">
        <is>
          <t>ВОЛГОГРАДТЕЛЕФИЛЬМ</t>
        </is>
      </c>
      <c r="H912" s="2" t="n">
        <v>35</v>
      </c>
      <c r="I912" s="2" t="inlineStr"/>
      <c r="J912" s="2" t="inlineStr">
        <is>
          <t>да</t>
        </is>
      </c>
      <c r="K912" s="3" t="inlineStr">
        <is>
          <t>О непослушном цыпленке. Для малышей</t>
        </is>
      </c>
      <c r="L912" s="2" t="inlineStr">
        <is>
          <t>https://animator.ru/db/?p=show_film&amp;fid=5538</t>
        </is>
      </c>
      <c r="M912" s="2">
        <f>HYPERLINK("https://ru.wikipedia.org/w/index.php?search=%D0%9D%D0%B5%20%D1%85%D0%BE%D1%87%D1%83%20%D0%B8%20%D0%BD%D0%B5%20%D0%B1%D1%83%D0%B4%D1%83%201984%20%D1%84%D0%B8%D0%BB%D1%8C%D0%BC","искать")</f>
        <v/>
      </c>
      <c r="N912" s="3" t="n"/>
      <c r="O912" s="2" t="n"/>
      <c r="P912" s="2" t="n"/>
    </row>
    <row r="913">
      <c r="A913" s="2" t="n">
        <v>912</v>
      </c>
      <c r="B913" s="2" t="inlineStr">
        <is>
          <t>не сюжет</t>
        </is>
      </c>
      <c r="C913" s="2" t="n">
        <v>14202</v>
      </c>
      <c r="D913" s="3" t="inlineStr">
        <is>
          <t>Я встретил вас</t>
        </is>
      </c>
      <c r="E913" s="2" t="n">
        <v>1973</v>
      </c>
      <c r="F913" s="2" t="inlineStr">
        <is>
          <t>мультфильм</t>
        </is>
      </c>
      <c r="G913" s="2" t="inlineStr">
        <is>
          <t>СВЕРДЛОВСКТЕЛЕФИЛЬМ</t>
        </is>
      </c>
      <c r="H913" s="2" t="n">
        <v>35</v>
      </c>
      <c r="I913" s="2" t="inlineStr"/>
      <c r="J913" s="2" t="inlineStr">
        <is>
          <t>да</t>
        </is>
      </c>
      <c r="K913" s="3" t="inlineStr">
        <is>
          <t>Музыкальный мультфильм для взрослых</t>
        </is>
      </c>
      <c r="L913" s="2" t="inlineStr">
        <is>
          <t>https://animator.ru/db/?p=show_film&amp;fid=5600</t>
        </is>
      </c>
      <c r="M913" s="2">
        <f>HYPERLINK("https://ru.wikipedia.org/w/index.php?search=%D0%AF%20%D0%B2%D1%81%D1%82%D1%80%D0%B5%D1%82%D0%B8%D0%BB%20%D0%B2%D0%B0%D1%81%201973%20%D1%84%D0%B8%D0%BB%D1%8C%D0%BC","искать")</f>
        <v/>
      </c>
      <c r="N913" s="3" t="n"/>
      <c r="O913" s="2" t="n"/>
      <c r="P913" s="2" t="n"/>
    </row>
    <row r="914">
      <c r="A914" s="2" t="n">
        <v>913</v>
      </c>
      <c r="B914" s="2" t="inlineStr">
        <is>
          <t>не сюжет</t>
        </is>
      </c>
      <c r="C914" s="2" t="n">
        <v>14407</v>
      </c>
      <c r="D914" s="3" t="inlineStr">
        <is>
          <t>Гостья</t>
        </is>
      </c>
      <c r="E914" s="2" t="n">
        <v>1991</v>
      </c>
      <c r="F914" s="2" t="inlineStr">
        <is>
          <t>мультфильм</t>
        </is>
      </c>
      <c r="G914" s="2" t="inlineStr">
        <is>
          <t>ЭКРАН</t>
        </is>
      </c>
      <c r="H914" s="2" t="n">
        <v>35</v>
      </c>
      <c r="I914" s="2" t="inlineStr"/>
      <c r="J914" s="2" t="inlineStr">
        <is>
          <t>да</t>
        </is>
      </c>
      <c r="K914" s="3" t="inlineStr">
        <is>
          <t>По мотивам русской народной сказки.</t>
        </is>
      </c>
      <c r="L914" s="2" t="inlineStr">
        <is>
          <t>2026-10_мультфильмы_список_владельца.xlsx; https://animator.ru/db/?p=show_film&amp;fid=6564</t>
        </is>
      </c>
      <c r="M914" s="2">
        <f>HYPERLINK("https://ru.wikipedia.org/w/index.php?search=%D0%93%D0%BE%D1%81%D1%82%D1%8C%D1%8F%201991%20%D1%84%D0%B8%D0%BB%D1%8C%D0%BC","искать")</f>
        <v/>
      </c>
      <c r="N914" s="3" t="n"/>
      <c r="O914" s="2" t="n"/>
      <c r="P914" s="2" t="n"/>
    </row>
    <row r="915">
      <c r="A915" s="2" t="n">
        <v>914</v>
      </c>
      <c r="B915" s="2" t="inlineStr">
        <is>
          <t>не сюжет</t>
        </is>
      </c>
      <c r="C915" s="2" t="n">
        <v>7331</v>
      </c>
      <c r="D915" s="3" t="inlineStr">
        <is>
          <t>Ветер каждый день</t>
        </is>
      </c>
      <c r="E915" s="2" t="n">
        <v>1973</v>
      </c>
      <c r="F915" s="2" t="inlineStr">
        <is>
          <t>телефильм</t>
        </is>
      </c>
      <c r="G915" s="2" t="n"/>
      <c r="H915" s="2" t="n">
        <v>36</v>
      </c>
      <c r="I915" s="2" t="inlineStr"/>
      <c r="J915" s="2" t="inlineStr">
        <is>
          <t>да</t>
        </is>
      </c>
      <c r="K915" s="3" t="inlineStr">
        <is>
          <t>О строительстве гидроэлектростанции.</t>
        </is>
      </c>
      <c r="L915" s="2" t="inlineStr">
        <is>
          <t>Кино_СССР сводный каталог.xlsx: список телефильмов</t>
        </is>
      </c>
      <c r="M915" s="2">
        <f>HYPERLINK("https://ru.wikipedia.org/w/index.php?search=%D0%92%D0%B5%D1%82%D0%B5%D1%80%20%D0%BA%D0%B0%D0%B6%D0%B4%D1%8B%D0%B9%20%D0%B4%D0%B5%D0%BD%D1%8C%201973%20%D1%84%D0%B8%D0%BB%D1%8C%D0%BC","искать")</f>
        <v/>
      </c>
      <c r="N915" s="3" t="n"/>
      <c r="O915" s="2" t="n"/>
      <c r="P915" s="2" t="n"/>
    </row>
    <row r="916">
      <c r="A916" s="2" t="n">
        <v>915</v>
      </c>
      <c r="B916" s="2" t="inlineStr">
        <is>
          <t>не сюжет</t>
        </is>
      </c>
      <c r="C916" s="2" t="n">
        <v>7822</v>
      </c>
      <c r="D916" s="3" t="inlineStr">
        <is>
          <t>Лучафэрул</t>
        </is>
      </c>
      <c r="E916" s="2" t="n">
        <v>1986</v>
      </c>
      <c r="F916" s="2" t="inlineStr">
        <is>
          <t>телефильм</t>
        </is>
      </c>
      <c r="G916" s="2" t="n"/>
      <c r="H916" s="2" t="n">
        <v>36</v>
      </c>
      <c r="I916" s="2" t="inlineStr"/>
      <c r="J916" s="2" t="inlineStr">
        <is>
          <t>да</t>
        </is>
      </c>
      <c r="K916" s="3" t="inlineStr">
        <is>
          <t>По одноименной поэме Михая Эминеску.</t>
        </is>
      </c>
      <c r="L916" s="2" t="inlineStr">
        <is>
          <t>Кино_СССР сводный каталог.xlsx: список телефильмов</t>
        </is>
      </c>
      <c r="M916" s="2">
        <f>HYPERLINK("https://ru.wikipedia.org/w/index.php?search=%D0%9B%D1%83%D1%87%D0%B0%D1%84%D1%8D%D1%80%D1%83%D0%BB%201986%20%D1%84%D0%B8%D0%BB%D1%8C%D0%BC","искать")</f>
        <v/>
      </c>
      <c r="N916" s="3" t="n"/>
      <c r="O916" s="2" t="n"/>
      <c r="P916" s="2" t="n"/>
    </row>
    <row r="917">
      <c r="A917" s="2" t="n">
        <v>916</v>
      </c>
      <c r="B917" s="2" t="inlineStr">
        <is>
          <t>не сюжет</t>
        </is>
      </c>
      <c r="C917" s="2" t="n">
        <v>9117</v>
      </c>
      <c r="D917" s="3" t="inlineStr">
        <is>
          <t>У истока дней</t>
        </is>
      </c>
      <c r="E917" s="2" t="n">
        <v>1990</v>
      </c>
      <c r="F917" s="2" t="inlineStr">
        <is>
          <t>кинофильм</t>
        </is>
      </c>
      <c r="G917" s="2" t="n"/>
      <c r="H917" s="2" t="n">
        <v>36</v>
      </c>
      <c r="I917" s="2" t="inlineStr"/>
      <c r="J917" s="2" t="inlineStr">
        <is>
          <t>да</t>
        </is>
      </c>
      <c r="K917" s="3" t="inlineStr">
        <is>
          <t>По одноименному рассказу И.А.Бунина.</t>
        </is>
      </c>
      <c r="L917" s="2" t="inlineStr">
        <is>
          <t>Кино_СССР сводный каталог.xlsx: список фильмов (доп.)</t>
        </is>
      </c>
      <c r="M917" s="2">
        <f>HYPERLINK("https://ru.wikipedia.org/w/index.php?search=%D0%A3%20%D0%B8%D1%81%D1%82%D0%BE%D0%BA%D0%B0%20%D0%B4%D0%BD%D0%B5%D0%B9%201990%20%D1%84%D0%B8%D0%BB%D1%8C%D0%BC","искать")</f>
        <v/>
      </c>
      <c r="N917" s="3" t="n"/>
      <c r="O917" s="2" t="n"/>
      <c r="P917" s="2" t="n"/>
    </row>
    <row r="918">
      <c r="A918" s="2" t="n">
        <v>917</v>
      </c>
      <c r="B918" s="2" t="inlineStr">
        <is>
          <t>не сюжет</t>
        </is>
      </c>
      <c r="C918" s="2" t="n">
        <v>9806</v>
      </c>
      <c r="D918" s="3" t="inlineStr">
        <is>
          <t>Плач волчицы</t>
        </is>
      </c>
      <c r="E918" s="2" t="n">
        <v>1989</v>
      </c>
      <c r="F918" s="2" t="inlineStr">
        <is>
          <t>кинофильм</t>
        </is>
      </c>
      <c r="G918" s="2" t="inlineStr">
        <is>
          <t>Киргизфильм</t>
        </is>
      </c>
      <c r="H918" s="2" t="n">
        <v>36</v>
      </c>
      <c r="I918" s="2" t="inlineStr"/>
      <c r="J918" s="2" t="inlineStr">
        <is>
          <t>да</t>
        </is>
      </c>
      <c r="K918" s="3" t="inlineStr">
        <is>
          <t>По роману "Плаха" Чингиза Айтматова.</t>
        </is>
      </c>
      <c r="L918" s="2" t="inlineStr">
        <is>
          <t>https://www.kino-teatr.ru/kino/movie/sov/152081/annot/</t>
        </is>
      </c>
      <c r="M918" s="2">
        <f>HYPERLINK("https://ru.wikipedia.org/w/index.php?search=%D0%9F%D0%BB%D0%B0%D1%87%20%D0%B2%D0%BE%D0%BB%D1%87%D0%B8%D1%86%D1%8B%201989%20%D1%84%D0%B8%D0%BB%D1%8C%D0%BC","искать")</f>
        <v/>
      </c>
      <c r="N918" s="3" t="n"/>
      <c r="O918" s="2" t="n"/>
      <c r="P918" s="2" t="n"/>
    </row>
    <row r="919">
      <c r="A919" s="2" t="n">
        <v>918</v>
      </c>
      <c r="B919" s="2" t="inlineStr">
        <is>
          <t>не сюжет</t>
        </is>
      </c>
      <c r="C919" s="2" t="n">
        <v>9976</v>
      </c>
      <c r="D919" s="3" t="inlineStr">
        <is>
          <t>Старый машинист</t>
        </is>
      </c>
      <c r="E919" s="2" t="n">
        <v>1981</v>
      </c>
      <c r="F919" s="2" t="inlineStr">
        <is>
          <t>телефильм</t>
        </is>
      </c>
      <c r="G919" s="2" t="inlineStr">
        <is>
          <t>Грузия-фильм</t>
        </is>
      </c>
      <c r="H919" s="2" t="n">
        <v>36</v>
      </c>
      <c r="I919" s="2" t="inlineStr"/>
      <c r="J919" s="2" t="inlineStr">
        <is>
          <t>да</t>
        </is>
      </c>
      <c r="K919" s="3" t="inlineStr">
        <is>
          <t>По рассказу Арчила Сулакаури "Габо".</t>
        </is>
      </c>
      <c r="L919" s="2" t="inlineStr">
        <is>
          <t>https://www.kino-teatr.ru/short/movie/sov/16026/annot/</t>
        </is>
      </c>
      <c r="M919" s="2">
        <f>HYPERLINK("https://ru.wikipedia.org/w/index.php?search=%D0%A1%D1%82%D0%B0%D1%80%D1%8B%D0%B9%20%D0%BC%D0%B0%D1%88%D0%B8%D0%BD%D0%B8%D1%81%D1%82%201981%20%D1%84%D0%B8%D0%BB%D1%8C%D0%BC","искать")</f>
        <v/>
      </c>
      <c r="N919" s="3" t="n"/>
      <c r="O919" s="2" t="n"/>
      <c r="P919" s="2" t="n"/>
    </row>
    <row r="920">
      <c r="A920" s="2" t="n">
        <v>919</v>
      </c>
      <c r="B920" s="2" t="inlineStr">
        <is>
          <t>не сюжет</t>
        </is>
      </c>
      <c r="C920" s="2" t="n">
        <v>10158</v>
      </c>
      <c r="D920" s="3" t="inlineStr">
        <is>
          <t>Учитель словесности</t>
        </is>
      </c>
      <c r="E920" s="2" t="n">
        <v>1965</v>
      </c>
      <c r="F920" s="2" t="inlineStr">
        <is>
          <t>фильм-спектакль</t>
        </is>
      </c>
      <c r="G920" s="2" t="inlineStr">
        <is>
          <t>Центральное телевидение</t>
        </is>
      </c>
      <c r="H920" s="2" t="n">
        <v>36</v>
      </c>
      <c r="I920" s="2" t="inlineStr"/>
      <c r="J920" s="2" t="inlineStr">
        <is>
          <t>да</t>
        </is>
      </c>
      <c r="K920" s="3" t="inlineStr">
        <is>
          <t>По одноименному рассказу А.П.Чехова.</t>
        </is>
      </c>
      <c r="L920" s="2" t="inlineStr">
        <is>
          <t>https://www.kino-teatr.ru/teatr/movie/9440/annot/</t>
        </is>
      </c>
      <c r="M920" s="2">
        <f>HYPERLINK("https://ru.wikipedia.org/w/index.php?search=%D0%A3%D1%87%D0%B8%D1%82%D0%B5%D0%BB%D1%8C%20%D1%81%D0%BB%D0%BE%D0%B2%D0%B5%D1%81%D0%BD%D0%BE%D1%81%D1%82%D0%B8%201965%20%D1%84%D0%B8%D0%BB%D1%8C%D0%BC","искать")</f>
        <v/>
      </c>
      <c r="N920" s="3" t="n"/>
      <c r="O920" s="2" t="n"/>
      <c r="P920" s="2" t="n"/>
    </row>
    <row r="921">
      <c r="A921" s="2" t="n">
        <v>920</v>
      </c>
      <c r="B921" s="2" t="inlineStr">
        <is>
          <t>не сюжет</t>
        </is>
      </c>
      <c r="C921" s="2" t="n">
        <v>10348</v>
      </c>
      <c r="D921" s="3" t="inlineStr">
        <is>
          <t>Арап Петра Великого</t>
        </is>
      </c>
      <c r="E921" s="2" t="n">
        <v>1970</v>
      </c>
      <c r="F921" s="2" t="inlineStr">
        <is>
          <t>фильм-спектакль</t>
        </is>
      </c>
      <c r="G921" s="2" t="inlineStr">
        <is>
          <t>Центральное телевидение, Подборки фильмов, экранизации Пушкина</t>
        </is>
      </c>
      <c r="H921" s="2" t="n">
        <v>36</v>
      </c>
      <c r="I921" s="2" t="inlineStr"/>
      <c r="J921" s="2" t="inlineStr">
        <is>
          <t>да</t>
        </is>
      </c>
      <c r="K921" s="3" t="inlineStr">
        <is>
          <t>По незаконченному роману А.С.Пушкина</t>
        </is>
      </c>
      <c r="L921" s="2" t="inlineStr">
        <is>
          <t>https://www.kino-teatr.ru/teatr/movie/136502/annot/</t>
        </is>
      </c>
      <c r="M921" s="2">
        <f>HYPERLINK("https://ru.wikipedia.org/w/index.php?search=%D0%90%D1%80%D0%B0%D0%BF%20%D0%9F%D0%B5%D1%82%D1%80%D0%B0%20%D0%92%D0%B5%D0%BB%D0%B8%D0%BA%D0%BE%D0%B3%D0%BE%201970%20%D1%84%D0%B8%D0%BB%D1%8C%D0%BC","искать")</f>
        <v/>
      </c>
      <c r="N921" s="3" t="n"/>
      <c r="O921" s="2" t="n"/>
      <c r="P921" s="2" t="n"/>
    </row>
    <row r="922">
      <c r="A922" s="2" t="n">
        <v>921</v>
      </c>
      <c r="B922" s="2" t="inlineStr">
        <is>
          <t>не сюжет</t>
        </is>
      </c>
      <c r="C922" s="2" t="n">
        <v>10349</v>
      </c>
      <c r="D922" s="3" t="inlineStr">
        <is>
          <t>Борис Годунов. Сцены из трагедии</t>
        </is>
      </c>
      <c r="E922" s="2" t="n">
        <v>1970</v>
      </c>
      <c r="F922" s="2" t="inlineStr">
        <is>
          <t>фильм-спектакль</t>
        </is>
      </c>
      <c r="G922" s="2" t="inlineStr">
        <is>
          <t>ЦТ, Подборки фильмов, экранизации Пушкина, фильмы про 16-й век</t>
        </is>
      </c>
      <c r="H922" s="2" t="n">
        <v>36</v>
      </c>
      <c r="I922" s="2" t="inlineStr"/>
      <c r="J922" s="2" t="inlineStr">
        <is>
          <t>да</t>
        </is>
      </c>
      <c r="K922" s="3" t="inlineStr">
        <is>
          <t>По одноименной трагедии А.С.Пушкина.</t>
        </is>
      </c>
      <c r="L922" s="2" t="inlineStr">
        <is>
          <t>https://www.kino-teatr.ru/teatr/movie/621/annot/</t>
        </is>
      </c>
      <c r="M922" s="2">
        <f>HYPERLINK("https://ru.wikipedia.org/w/index.php?search=%D0%91%D0%BE%D1%80%D0%B8%D1%81%20%D0%93%D0%BE%D0%B4%D1%83%D0%BD%D0%BE%D0%B2.%20%D0%A1%D1%86%D0%B5%D0%BD%D1%8B%20%D0%B8%D0%B7%20%D1%82%D1%80%D0%B0%D0%B3%D0%B5%D0%B4%D0%B8%D0%B8%201970%20%D1%84%D0%B8%D0%BB%D1%8C%D0%BC","искать")</f>
        <v/>
      </c>
      <c r="N922" s="3" t="n"/>
      <c r="O922" s="2" t="n"/>
      <c r="P922" s="2" t="n"/>
    </row>
    <row r="923">
      <c r="A923" s="2" t="n">
        <v>922</v>
      </c>
      <c r="B923" s="2" t="inlineStr">
        <is>
          <t>не сюжет</t>
        </is>
      </c>
      <c r="C923" s="2" t="n">
        <v>10734</v>
      </c>
      <c r="D923" s="3" t="inlineStr">
        <is>
          <t>Возвращение на круги своя</t>
        </is>
      </c>
      <c r="E923" s="2" t="n">
        <v>1978</v>
      </c>
      <c r="F923" s="2" t="inlineStr">
        <is>
          <t>фильм-спектакль</t>
        </is>
      </c>
      <c r="G923" s="2" t="inlineStr">
        <is>
          <t>Ленинградское телевидение</t>
        </is>
      </c>
      <c r="H923" s="2" t="n">
        <v>36</v>
      </c>
      <c r="I923" s="2" t="inlineStr"/>
      <c r="J923" s="2" t="inlineStr">
        <is>
          <t>да</t>
        </is>
      </c>
      <c r="K923" s="3" t="inlineStr">
        <is>
          <t>Телеспектакль по повести Иона Друцэ.</t>
        </is>
      </c>
      <c r="L923" s="2" t="inlineStr">
        <is>
          <t>https://www.kino-teatr.ru/teatr/movie/120257/annot/</t>
        </is>
      </c>
      <c r="M923" s="2">
        <f>HYPERLINK("https://ru.wikipedia.org/w/index.php?search=%D0%92%D0%BE%D0%B7%D0%B2%D1%80%D0%B0%D1%89%D0%B5%D0%BD%D0%B8%D0%B5%20%D0%BD%D0%B0%20%D0%BA%D1%80%D1%83%D0%B3%D0%B8%20%D1%81%D0%B2%D0%BE%D1%8F%201978%20%D1%84%D0%B8%D0%BB%D1%8C%D0%BC","искать")</f>
        <v/>
      </c>
      <c r="N923" s="3" t="n"/>
      <c r="O923" s="2" t="n"/>
      <c r="P923" s="2" t="n"/>
    </row>
    <row r="924">
      <c r="A924" s="2" t="n">
        <v>923</v>
      </c>
      <c r="B924" s="2" t="inlineStr">
        <is>
          <t>не сюжет</t>
        </is>
      </c>
      <c r="C924" s="2" t="n">
        <v>11265</v>
      </c>
      <c r="D924" s="3" t="inlineStr">
        <is>
          <t>Мелкий бес</t>
        </is>
      </c>
      <c r="E924" s="2" t="n">
        <v>1989</v>
      </c>
      <c r="F924" s="2" t="inlineStr">
        <is>
          <t>фильм-спектакль</t>
        </is>
      </c>
      <c r="G924" s="2" t="inlineStr">
        <is>
          <t>Ленинградское телевидение</t>
        </is>
      </c>
      <c r="H924" s="2" t="n">
        <v>36</v>
      </c>
      <c r="I924" s="2" t="inlineStr"/>
      <c r="J924" s="2" t="inlineStr">
        <is>
          <t>да</t>
        </is>
      </c>
      <c r="K924" s="3" t="inlineStr">
        <is>
          <t>Телеспектакль по повести Ф.Сологуба.</t>
        </is>
      </c>
      <c r="L924" s="2" t="inlineStr">
        <is>
          <t>https://www.kino-teatr.ru/teatr/movie/119943/annot/</t>
        </is>
      </c>
      <c r="M924" s="2">
        <f>HYPERLINK("https://ru.wikipedia.org/w/index.php?search=%D0%9C%D0%B5%D0%BB%D0%BA%D0%B8%D0%B9%20%D0%B1%D0%B5%D1%81%201989%20%D1%84%D0%B8%D0%BB%D1%8C%D0%BC","искать")</f>
        <v/>
      </c>
      <c r="N924" s="3" t="n"/>
      <c r="O924" s="2" t="n"/>
      <c r="P924" s="2" t="n"/>
    </row>
    <row r="925">
      <c r="A925" s="2" t="n">
        <v>924</v>
      </c>
      <c r="B925" s="2" t="inlineStr">
        <is>
          <t>не сюжет</t>
        </is>
      </c>
      <c r="C925" s="2" t="n">
        <v>11352</v>
      </c>
      <c r="D925" s="3" t="inlineStr">
        <is>
          <t>Я играю Шостаковича</t>
        </is>
      </c>
      <c r="E925" s="2" t="n">
        <v>1991</v>
      </c>
      <c r="F925" s="2" t="inlineStr">
        <is>
          <t>фильм-спектакль</t>
        </is>
      </c>
      <c r="G925" s="2" t="inlineStr">
        <is>
          <t>Московский театр эстрады</t>
        </is>
      </c>
      <c r="H925" s="2" t="n">
        <v>36</v>
      </c>
      <c r="I925" s="2" t="inlineStr"/>
      <c r="J925" s="2" t="inlineStr">
        <is>
          <t>да</t>
        </is>
      </c>
      <c r="K925" s="3" t="inlineStr">
        <is>
          <t>Эстрадный музыкальный моноспектакль.</t>
        </is>
      </c>
      <c r="L925" s="2" t="inlineStr">
        <is>
          <t>https://www.kino-teatr.ru/teatr/movie/90338/annot/</t>
        </is>
      </c>
      <c r="M925" s="2">
        <f>HYPERLINK("https://ru.wikipedia.org/w/index.php?search=%D0%AF%20%D0%B8%D0%B3%D1%80%D0%B0%D1%8E%20%D0%A8%D0%BE%D1%81%D1%82%D0%B0%D0%BA%D0%BE%D0%B2%D0%B8%D1%87%D0%B0%201991%20%D1%84%D0%B8%D0%BB%D1%8C%D0%BC","искать")</f>
        <v/>
      </c>
      <c r="N925" s="3" t="n"/>
      <c r="O925" s="2" t="n"/>
      <c r="P925" s="2" t="n"/>
    </row>
    <row r="926">
      <c r="A926" s="2" t="n">
        <v>925</v>
      </c>
      <c r="B926" s="2" t="inlineStr">
        <is>
          <t>не сюжет</t>
        </is>
      </c>
      <c r="C926" s="2" t="n">
        <v>11646</v>
      </c>
      <c r="D926" s="3" t="inlineStr">
        <is>
          <t>Снежные люди</t>
        </is>
      </c>
      <c r="E926" s="2" t="n">
        <v>1971</v>
      </c>
      <c r="F926" s="2" t="inlineStr">
        <is>
          <t>мультфильм</t>
        </is>
      </c>
      <c r="G926" s="2" t="inlineStr">
        <is>
          <t>Союзмультфильм</t>
        </is>
      </c>
      <c r="H926" s="2" t="n">
        <v>36</v>
      </c>
      <c r="I926" s="2" t="inlineStr"/>
      <c r="J926" s="2" t="inlineStr">
        <is>
          <t>да</t>
        </is>
      </c>
      <c r="K926" s="3" t="inlineStr">
        <is>
          <t>О том, как медведь стал алкоголиком.</t>
        </is>
      </c>
      <c r="L926" s="2" t="inlineStr">
        <is>
          <t>https://animator.ru/db/?p=show_film&amp;fid=2560</t>
        </is>
      </c>
      <c r="M926" s="2">
        <f>HYPERLINK("https://ru.wikipedia.org/w/index.php?search=%D0%A1%D0%BD%D0%B5%D0%B6%D0%BD%D1%8B%D0%B5%20%D0%BB%D1%8E%D0%B4%D0%B8%201971%20%D1%84%D0%B8%D0%BB%D1%8C%D0%BC","искать")</f>
        <v/>
      </c>
      <c r="N926" s="3" t="n"/>
      <c r="O926" s="2" t="n"/>
      <c r="P926" s="2" t="n"/>
    </row>
    <row r="927">
      <c r="A927" s="2" t="n">
        <v>926</v>
      </c>
      <c r="B927" s="2" t="inlineStr">
        <is>
          <t>не сюжет</t>
        </is>
      </c>
      <c r="C927" s="2" t="n">
        <v>11810</v>
      </c>
      <c r="D927" s="3" t="inlineStr">
        <is>
          <t>Почтовая рыбка</t>
        </is>
      </c>
      <c r="E927" s="2" t="n">
        <v>1976</v>
      </c>
      <c r="F927" s="2" t="inlineStr">
        <is>
          <t>мультфильм</t>
        </is>
      </c>
      <c r="G927" s="2" t="inlineStr">
        <is>
          <t>Союзмультфильм</t>
        </is>
      </c>
      <c r="H927" s="2" t="n">
        <v>36</v>
      </c>
      <c r="I927" s="2" t="inlineStr"/>
      <c r="J927" s="2" t="inlineStr">
        <is>
          <t>да</t>
        </is>
      </c>
      <c r="K927" s="3" t="inlineStr">
        <is>
          <t>Познавательный мультфильм для детей.</t>
        </is>
      </c>
      <c r="L927" s="2" t="inlineStr">
        <is>
          <t>2026-10_мультфильмы_список_владельца.xlsx; https://animator.ru/db/?p=show_film&amp;fid=2724</t>
        </is>
      </c>
      <c r="M927" s="2">
        <f>HYPERLINK("https://ru.wikipedia.org/w/index.php?search=%D0%9F%D0%BE%D1%87%D1%82%D0%BE%D0%B2%D0%B0%D1%8F%20%D1%80%D1%8B%D0%B1%D0%BA%D0%B0%201976%20%D1%84%D0%B8%D0%BB%D1%8C%D0%BC","искать")</f>
        <v/>
      </c>
      <c r="N927" s="3" t="n"/>
      <c r="O927" s="2" t="n"/>
      <c r="P927" s="2" t="n"/>
    </row>
    <row r="928">
      <c r="A928" s="2" t="n">
        <v>927</v>
      </c>
      <c r="B928" s="2" t="inlineStr">
        <is>
          <t>не сюжет</t>
        </is>
      </c>
      <c r="C928" s="2" t="n">
        <v>11912</v>
      </c>
      <c r="D928" s="3" t="inlineStr">
        <is>
          <t>Недодел и Передел</t>
        </is>
      </c>
      <c r="E928" s="2" t="n">
        <v>1979</v>
      </c>
      <c r="F928" s="2" t="inlineStr">
        <is>
          <t>мультфильм</t>
        </is>
      </c>
      <c r="G928" s="2" t="inlineStr">
        <is>
          <t>Союзмультфильм</t>
        </is>
      </c>
      <c r="H928" s="2" t="n">
        <v>36</v>
      </c>
      <c r="I928" s="2" t="inlineStr"/>
      <c r="J928" s="2" t="inlineStr">
        <is>
          <t>да</t>
        </is>
      </c>
      <c r="K928" s="3" t="inlineStr">
        <is>
          <t>По мотивам русских комических сказок</t>
        </is>
      </c>
      <c r="L928" s="2" t="inlineStr">
        <is>
          <t>https://animator.ru/db/?p=show_film&amp;fid=2827</t>
        </is>
      </c>
      <c r="M928" s="2">
        <f>HYPERLINK("https://ru.wikipedia.org/w/index.php?search=%D0%9D%D0%B5%D0%B4%D0%BE%D0%B4%D0%B5%D0%BB%20%D0%B8%20%D0%9F%D0%B5%D1%80%D0%B5%D0%B4%D0%B5%D0%BB%201979%20%D1%84%D0%B8%D0%BB%D1%8C%D0%BC","искать")</f>
        <v/>
      </c>
      <c r="N928" s="3" t="n"/>
      <c r="O928" s="2" t="n"/>
      <c r="P928" s="2" t="n"/>
    </row>
    <row r="929">
      <c r="A929" s="2" t="n">
        <v>928</v>
      </c>
      <c r="B929" s="2" t="inlineStr">
        <is>
          <t>не сюжет</t>
        </is>
      </c>
      <c r="C929" s="2" t="n">
        <v>11993</v>
      </c>
      <c r="D929" s="3" t="inlineStr">
        <is>
          <t>Халиф-аист</t>
        </is>
      </c>
      <c r="E929" s="2" t="n">
        <v>1981</v>
      </c>
      <c r="F929" s="2" t="inlineStr">
        <is>
          <t>мультфильм</t>
        </is>
      </c>
      <c r="G929" s="2" t="inlineStr">
        <is>
          <t>Союзмультфильм</t>
        </is>
      </c>
      <c r="H929" s="2" t="n">
        <v>36</v>
      </c>
      <c r="I929" s="2" t="inlineStr"/>
      <c r="J929" s="2" t="inlineStr">
        <is>
          <t>да</t>
        </is>
      </c>
      <c r="K929" s="3" t="inlineStr">
        <is>
          <t>По мотивам одноименной сказке Гауфа.</t>
        </is>
      </c>
      <c r="L929" s="2" t="inlineStr">
        <is>
          <t>2026-10_мультфильмы_список_владельца.xlsx; https://animator.ru/db/?p=show_film&amp;fid=3107</t>
        </is>
      </c>
      <c r="M929" s="2">
        <f>HYPERLINK("https://ru.wikipedia.org/w/index.php?search=%D0%A5%D0%B0%D0%BB%D0%B8%D1%84-%D0%B0%D0%B8%D1%81%D1%82%201981%20%D1%84%D0%B8%D0%BB%D1%8C%D0%BC","искать")</f>
        <v/>
      </c>
      <c r="N929" s="3" t="n"/>
      <c r="O929" s="2" t="n"/>
      <c r="P929" s="2" t="n"/>
    </row>
    <row r="930">
      <c r="A930" s="2" t="n">
        <v>929</v>
      </c>
      <c r="B930" s="2" t="inlineStr">
        <is>
          <t>не сюжет</t>
        </is>
      </c>
      <c r="C930" s="2" t="n">
        <v>12071</v>
      </c>
      <c r="D930" s="3" t="inlineStr">
        <is>
          <t>Горшочек каши</t>
        </is>
      </c>
      <c r="E930" s="2" t="n">
        <v>1984</v>
      </c>
      <c r="F930" s="2" t="inlineStr">
        <is>
          <t>мультфильм</t>
        </is>
      </c>
      <c r="G930" s="2" t="inlineStr">
        <is>
          <t>Союзмультфильм</t>
        </is>
      </c>
      <c r="H930" s="2" t="n">
        <v>36</v>
      </c>
      <c r="I930" s="2" t="inlineStr"/>
      <c r="J930" s="2" t="inlineStr">
        <is>
          <t>да</t>
        </is>
      </c>
      <c r="K930" s="3" t="inlineStr">
        <is>
          <t>"Горшочек, вари! Горшочек, не вари!"</t>
        </is>
      </c>
      <c r="L930" s="2" t="inlineStr">
        <is>
          <t>2026-10_мультфильмы_список_владельца.xlsx; https://animator.ru/db/?p=show_film&amp;fid=3186</t>
        </is>
      </c>
      <c r="M930" s="2">
        <f>HYPERLINK("https://ru.wikipedia.org/w/index.php?search=%D0%93%D0%BE%D1%80%D1%88%D0%BE%D1%87%D0%B5%D0%BA%20%D0%BA%D0%B0%D1%88%D0%B8%201984%20%D1%84%D0%B8%D0%BB%D1%8C%D0%BC","искать")</f>
        <v/>
      </c>
      <c r="N930" s="3" t="n"/>
      <c r="O930" s="2" t="n"/>
      <c r="P930" s="2" t="n"/>
    </row>
    <row r="931">
      <c r="A931" s="2" t="n">
        <v>930</v>
      </c>
      <c r="B931" s="2" t="inlineStr">
        <is>
          <t>не сюжет</t>
        </is>
      </c>
      <c r="C931" s="2" t="n">
        <v>12481</v>
      </c>
      <c r="D931" s="3" t="inlineStr">
        <is>
          <t>Олешка - белые рожки</t>
        </is>
      </c>
      <c r="E931" s="2" t="n">
        <v>1974</v>
      </c>
      <c r="F931" s="2" t="inlineStr">
        <is>
          <t>мультфильм</t>
        </is>
      </c>
      <c r="G931" s="2" t="inlineStr">
        <is>
          <t>КИЕВНАУЧФИЛЬМ</t>
        </is>
      </c>
      <c r="H931" s="2" t="n">
        <v>36</v>
      </c>
      <c r="I931" s="2" t="inlineStr"/>
      <c r="J931" s="2" t="inlineStr">
        <is>
          <t>да</t>
        </is>
      </c>
      <c r="K931" s="3" t="inlineStr">
        <is>
          <t>Сказка о дружбе мальчика и олененка.</t>
        </is>
      </c>
      <c r="L931" s="2" t="inlineStr">
        <is>
          <t>2026-10_мультфильмы_список_владельца.xlsx; https://animator.ru/db/?p=show_film&amp;fid=3656</t>
        </is>
      </c>
      <c r="M931" s="2">
        <f>HYPERLINK("https://ru.wikipedia.org/w/index.php?search=%D0%9E%D0%BB%D0%B5%D1%88%D0%BA%D0%B0%20-%20%D0%B1%D0%B5%D0%BB%D1%8B%D0%B5%20%D1%80%D0%BE%D0%B6%D0%BA%D0%B8%201974%20%D1%84%D0%B8%D0%BB%D1%8C%D0%BC","искать")</f>
        <v/>
      </c>
      <c r="N931" s="3" t="n"/>
      <c r="O931" s="2" t="n"/>
      <c r="P931" s="2" t="n"/>
    </row>
    <row r="932">
      <c r="A932" s="2" t="n">
        <v>931</v>
      </c>
      <c r="B932" s="2" t="inlineStr">
        <is>
          <t>не сюжет</t>
        </is>
      </c>
      <c r="C932" s="2" t="n">
        <v>12489</v>
      </c>
      <c r="D932" s="3" t="inlineStr">
        <is>
          <t>Открытое письмо Селезня</t>
        </is>
      </c>
      <c r="E932" s="2" t="n">
        <v>1979</v>
      </c>
      <c r="F932" s="2" t="inlineStr">
        <is>
          <t>мультфильм</t>
        </is>
      </c>
      <c r="G932" s="2" t="inlineStr">
        <is>
          <t>КИЕВНАУЧФИЛЬМ</t>
        </is>
      </c>
      <c r="H932" s="2" t="n">
        <v>36</v>
      </c>
      <c r="I932" s="2" t="inlineStr"/>
      <c r="J932" s="2" t="inlineStr">
        <is>
          <t>да</t>
        </is>
      </c>
      <c r="K932" s="3" t="inlineStr">
        <is>
          <t>По мотивам произведения Остапа Вишни</t>
        </is>
      </c>
      <c r="L932" s="2" t="inlineStr">
        <is>
          <t>2026-10_мультфильмы_список_владельца.xlsx; https://animator.ru/db/?p=show_film&amp;fid=3664</t>
        </is>
      </c>
      <c r="M932" s="2">
        <f>HYPERLINK("https://ru.wikipedia.org/w/index.php?search=%D0%9E%D1%82%D0%BA%D1%80%D1%8B%D1%82%D0%BE%D0%B5%20%D0%BF%D0%B8%D1%81%D1%8C%D0%BC%D0%BE%20%D0%A1%D0%B5%D0%BB%D0%B5%D0%B7%D0%BD%D1%8F%201979%20%D1%84%D0%B8%D0%BB%D1%8C%D0%BC","искать")</f>
        <v/>
      </c>
      <c r="N932" s="3" t="n"/>
      <c r="O932" s="2" t="n"/>
      <c r="P932" s="2" t="n"/>
    </row>
    <row r="933">
      <c r="A933" s="2" t="n">
        <v>932</v>
      </c>
      <c r="B933" s="2" t="inlineStr">
        <is>
          <t>не сюжет</t>
        </is>
      </c>
      <c r="C933" s="2" t="n">
        <v>12607</v>
      </c>
      <c r="D933" s="3" t="inlineStr">
        <is>
          <t>Чумацкий шлях</t>
        </is>
      </c>
      <c r="E933" s="2" t="n">
        <v>1985</v>
      </c>
      <c r="F933" s="2" t="inlineStr">
        <is>
          <t>мультфильм</t>
        </is>
      </c>
      <c r="G933" s="2" t="inlineStr">
        <is>
          <t>КИЕВНАУЧФИЛЬМ</t>
        </is>
      </c>
      <c r="H933" s="2" t="n">
        <v>36</v>
      </c>
      <c r="I933" s="2" t="inlineStr"/>
      <c r="J933" s="2" t="inlineStr">
        <is>
          <t>да</t>
        </is>
      </c>
      <c r="K933" s="3" t="inlineStr">
        <is>
          <t>XIV ВКФ, Вильнюс 1981 -- Диплом жюри</t>
        </is>
      </c>
      <c r="L933" s="2" t="inlineStr">
        <is>
          <t>https://animator.ru/db/?p=show_film&amp;fid=3787</t>
        </is>
      </c>
      <c r="M933" s="2">
        <f>HYPERLINK("https://ru.wikipedia.org/w/index.php?search=%D0%A7%D1%83%D0%BC%D0%B0%D1%86%D0%BA%D0%B8%D0%B9%20%D1%88%D0%BB%D1%8F%D1%85%201985%20%D1%84%D0%B8%D0%BB%D1%8C%D0%BC","искать")</f>
        <v/>
      </c>
      <c r="N933" s="3" t="n"/>
      <c r="O933" s="2" t="n"/>
      <c r="P933" s="2" t="n"/>
    </row>
    <row r="934">
      <c r="A934" s="2" t="n">
        <v>933</v>
      </c>
      <c r="B934" s="2" t="inlineStr">
        <is>
          <t>не сюжет</t>
        </is>
      </c>
      <c r="C934" s="2" t="n">
        <v>13073</v>
      </c>
      <c r="D934" s="3" t="inlineStr">
        <is>
          <t>Волшебная птица (1976)</t>
        </is>
      </c>
      <c r="E934" s="2" t="n">
        <v>1976</v>
      </c>
      <c r="F934" s="2" t="inlineStr">
        <is>
          <t>мультфильм</t>
        </is>
      </c>
      <c r="G934" s="2" t="inlineStr">
        <is>
          <t>ГОСТЕЛЕРАДИО ЛАТВ. ССР ("ТЕЛЕФИЛЬМ-РИГА")</t>
        </is>
      </c>
      <c r="H934" s="2" t="n">
        <v>36</v>
      </c>
      <c r="I934" s="2" t="inlineStr"/>
      <c r="J934" s="2" t="inlineStr">
        <is>
          <t>да</t>
        </is>
      </c>
      <c r="K934" s="3" t="inlineStr">
        <is>
          <t>По мотивам латышских народный сказок</t>
        </is>
      </c>
      <c r="L934" s="2" t="inlineStr">
        <is>
          <t>https://animator.ru/db/?p=show_film&amp;fid=4305</t>
        </is>
      </c>
      <c r="M934" s="2">
        <f>HYPERLINK("https://ru.wikipedia.org/w/index.php?search=%D0%92%D0%BE%D0%BB%D1%88%D0%B5%D0%B1%D0%BD%D0%B0%D1%8F%20%D0%BF%D1%82%D0%B8%D1%86%D0%B0%20%281976%29%201976%20%D1%84%D0%B8%D0%BB%D1%8C%D0%BC","искать")</f>
        <v/>
      </c>
      <c r="N934" s="3" t="n"/>
      <c r="O934" s="2" t="n"/>
      <c r="P934" s="2" t="n"/>
    </row>
    <row r="935">
      <c r="A935" s="2" t="n">
        <v>934</v>
      </c>
      <c r="B935" s="2" t="inlineStr">
        <is>
          <t>не сюжет</t>
        </is>
      </c>
      <c r="C935" s="2" t="n">
        <v>13099</v>
      </c>
      <c r="D935" s="3" t="inlineStr">
        <is>
          <t>Лестница</t>
        </is>
      </c>
      <c r="E935" s="2" t="n">
        <v>1974</v>
      </c>
      <c r="F935" s="2" t="inlineStr">
        <is>
          <t>мультфильм</t>
        </is>
      </c>
      <c r="G935" s="2" t="inlineStr">
        <is>
          <t>МОЛДОВА-ФИЛЬМ</t>
        </is>
      </c>
      <c r="H935" s="2" t="n">
        <v>36</v>
      </c>
      <c r="I935" s="2" t="inlineStr"/>
      <c r="J935" s="2" t="inlineStr">
        <is>
          <t>да</t>
        </is>
      </c>
      <c r="K935" s="3" t="inlineStr">
        <is>
          <t>Притча о пустоте жизни. Для взрослых</t>
        </is>
      </c>
      <c r="L935" s="2" t="inlineStr">
        <is>
          <t>https://animator.ru/db/?p=show_film&amp;fid=4331</t>
        </is>
      </c>
      <c r="M935" s="2">
        <f>HYPERLINK("https://ru.wikipedia.org/w/index.php?search=%D0%9B%D0%B5%D1%81%D1%82%D0%BD%D0%B8%D1%86%D0%B0%201974%20%D1%84%D0%B8%D0%BB%D1%8C%D0%BC","искать")</f>
        <v/>
      </c>
      <c r="N935" s="3" t="n"/>
      <c r="O935" s="2" t="n"/>
      <c r="P935" s="2" t="inlineStr">
        <is>
          <t>ГФФ: «Лестница» 1975 — год отличается, проверить — по сверке другой фильм, не предложено</t>
        </is>
      </c>
    </row>
    <row r="936">
      <c r="A936" s="2" t="n">
        <v>935</v>
      </c>
      <c r="B936" s="2" t="inlineStr">
        <is>
          <t>не сюжет</t>
        </is>
      </c>
      <c r="C936" s="2" t="n">
        <v>13122</v>
      </c>
      <c r="D936" s="3" t="inlineStr">
        <is>
          <t>За чужим погонишься - свое потеряешь</t>
        </is>
      </c>
      <c r="E936" s="2" t="n">
        <v>1986</v>
      </c>
      <c r="F936" s="2" t="inlineStr">
        <is>
          <t>мультфильм</t>
        </is>
      </c>
      <c r="G936" s="2" t="inlineStr">
        <is>
          <t>МОЛДОВА-ФИЛЬМ</t>
        </is>
      </c>
      <c r="H936" s="2" t="n">
        <v>36</v>
      </c>
      <c r="I936" s="2" t="inlineStr"/>
      <c r="J936" s="2" t="inlineStr">
        <is>
          <t>да</t>
        </is>
      </c>
      <c r="K936" s="3" t="inlineStr">
        <is>
          <t>По мотивам шуточных молдавских скзок</t>
        </is>
      </c>
      <c r="L936" s="2" t="inlineStr">
        <is>
          <t>https://animator.ru/db/?p=show_film&amp;fid=4354</t>
        </is>
      </c>
      <c r="M936" s="2">
        <f>HYPERLINK("https://ru.wikipedia.org/w/index.php?search=%D0%97%D0%B0%20%D1%87%D1%83%D0%B6%D0%B8%D0%BC%20%D0%BF%D0%BE%D0%B3%D0%BE%D0%BD%D0%B8%D1%88%D1%8C%D1%81%D1%8F%20-%20%D1%81%D0%B2%D0%BE%D0%B5%20%D0%BF%D0%BE%D1%82%D0%B5%D1%80%D1%8F%D0%B5%D1%88%D1%8C%201986%20%D1%84%D0%B8%D0%BB%D1%8C%D0%BC","искать")</f>
        <v/>
      </c>
      <c r="N936" s="3" t="n"/>
      <c r="O936" s="2" t="n"/>
      <c r="P936" s="2" t="n"/>
    </row>
    <row r="937">
      <c r="A937" s="2" t="n">
        <v>936</v>
      </c>
      <c r="B937" s="2" t="inlineStr">
        <is>
          <t>не сюжет</t>
        </is>
      </c>
      <c r="C937" s="2" t="n">
        <v>13134</v>
      </c>
      <c r="D937" s="3" t="inlineStr">
        <is>
          <t>Дракон</t>
        </is>
      </c>
      <c r="E937" s="2" t="n">
        <v>1990</v>
      </c>
      <c r="F937" s="2" t="inlineStr">
        <is>
          <t>мультфильм</t>
        </is>
      </c>
      <c r="G937" s="2" t="inlineStr">
        <is>
          <t>МОЛДОВА-ФИЛЬМ</t>
        </is>
      </c>
      <c r="H937" s="2" t="n">
        <v>36</v>
      </c>
      <c r="I937" s="2" t="inlineStr"/>
      <c r="J937" s="2" t="inlineStr">
        <is>
          <t>да</t>
        </is>
      </c>
      <c r="K937" s="3" t="inlineStr">
        <is>
          <t>О защите окружающей среды. Для детей</t>
        </is>
      </c>
      <c r="L937" s="2" t="inlineStr">
        <is>
          <t>https://animator.ru/db/?p=show_film&amp;fid=4366</t>
        </is>
      </c>
      <c r="M937" s="2">
        <f>HYPERLINK("https://ru.wikipedia.org/w/index.php?search=%D0%94%D1%80%D0%B0%D0%BA%D0%BE%D0%BD%201990%20%D1%84%D0%B8%D0%BB%D1%8C%D0%BC","искать")</f>
        <v/>
      </c>
      <c r="N937" s="3" t="n"/>
      <c r="O937" s="2" t="n"/>
      <c r="P937" s="2" t="n"/>
    </row>
    <row r="938">
      <c r="A938" s="2" t="n">
        <v>937</v>
      </c>
      <c r="B938" s="2" t="inlineStr">
        <is>
          <t>не сюжет</t>
        </is>
      </c>
      <c r="C938" s="2" t="n">
        <v>13225</v>
      </c>
      <c r="D938" s="3" t="inlineStr">
        <is>
          <t>Война птиц и зверей</t>
        </is>
      </c>
      <c r="E938" s="2" t="n">
        <v>1971</v>
      </c>
      <c r="F938" s="2" t="inlineStr">
        <is>
          <t>мультфильм</t>
        </is>
      </c>
      <c r="G938" s="2" t="inlineStr">
        <is>
          <t>ТАЛЛИННФИЛЬМ</t>
        </is>
      </c>
      <c r="H938" s="2" t="n">
        <v>36</v>
      </c>
      <c r="I938" s="2" t="inlineStr"/>
      <c r="J938" s="2" t="inlineStr">
        <is>
          <t>да</t>
        </is>
      </c>
      <c r="K938" s="3" t="inlineStr">
        <is>
          <t>По мотивам эстонской народной сказки</t>
        </is>
      </c>
      <c r="L938" s="2" t="inlineStr">
        <is>
          <t>https://animator.ru/db/?p=show_film&amp;fid=4465</t>
        </is>
      </c>
      <c r="M938" s="2">
        <f>HYPERLINK("https://ru.wikipedia.org/w/index.php?search=%D0%92%D0%BE%D0%B9%D0%BD%D0%B0%20%D0%BF%D1%82%D0%B8%D1%86%20%D0%B8%20%D0%B7%D0%B2%D0%B5%D1%80%D0%B5%D0%B9%201971%20%D1%84%D0%B8%D0%BB%D1%8C%D0%BC","искать")</f>
        <v/>
      </c>
      <c r="N938" s="3" t="n"/>
      <c r="O938" s="2" t="n"/>
      <c r="P938" s="2" t="n"/>
    </row>
    <row r="939">
      <c r="A939" s="2" t="n">
        <v>938</v>
      </c>
      <c r="B939" s="2" t="inlineStr">
        <is>
          <t>не сюжет</t>
        </is>
      </c>
      <c r="C939" s="2" t="n">
        <v>13316</v>
      </c>
      <c r="D939" s="3" t="inlineStr">
        <is>
          <t>Золотой осел</t>
        </is>
      </c>
      <c r="E939" s="2" t="n">
        <v>1976</v>
      </c>
      <c r="F939" s="2" t="inlineStr">
        <is>
          <t>мультфильм</t>
        </is>
      </c>
      <c r="G939" s="2" t="inlineStr">
        <is>
          <t>ТАЛЛИННФИЛЬМ</t>
        </is>
      </c>
      <c r="H939" s="2" t="n">
        <v>36</v>
      </c>
      <c r="I939" s="2" t="inlineStr"/>
      <c r="J939" s="2" t="inlineStr">
        <is>
          <t>да</t>
        </is>
      </c>
      <c r="K939" s="3" t="inlineStr">
        <is>
          <t>По мотивам одноименной сатиры Апулея</t>
        </is>
      </c>
      <c r="L939" s="2" t="inlineStr">
        <is>
          <t>https://animator.ru/db/?p=show_film&amp;fid=4578</t>
        </is>
      </c>
      <c r="M939" s="2">
        <f>HYPERLINK("https://ru.wikipedia.org/w/index.php?search=%D0%97%D0%BE%D0%BB%D0%BE%D1%82%D0%BE%D0%B9%20%D0%BE%D1%81%D0%B5%D0%BB%201976%20%D1%84%D0%B8%D0%BB%D1%8C%D0%BC","искать")</f>
        <v/>
      </c>
      <c r="N939" s="3" t="n"/>
      <c r="O939" s="2" t="n"/>
      <c r="P939" s="2" t="n"/>
    </row>
    <row r="940">
      <c r="A940" s="2" t="n">
        <v>939</v>
      </c>
      <c r="B940" s="2" t="inlineStr">
        <is>
          <t>не сюжет</t>
        </is>
      </c>
      <c r="C940" s="2" t="n">
        <v>13693</v>
      </c>
      <c r="D940" s="3" t="inlineStr">
        <is>
          <t>Забота</t>
        </is>
      </c>
      <c r="E940" s="2" t="n">
        <v>1983</v>
      </c>
      <c r="F940" s="2" t="inlineStr">
        <is>
          <t>мультфильм</t>
        </is>
      </c>
      <c r="G940" s="2" t="inlineStr">
        <is>
          <t>ЭКРАН</t>
        </is>
      </c>
      <c r="H940" s="2" t="n">
        <v>36</v>
      </c>
      <c r="I940" s="2" t="inlineStr"/>
      <c r="J940" s="2" t="inlineStr">
        <is>
          <t>да</t>
        </is>
      </c>
      <c r="K940" s="3" t="inlineStr">
        <is>
          <t>Шутливый фильм о нерадивом дворнике.</t>
        </is>
      </c>
      <c r="L940" s="2" t="inlineStr">
        <is>
          <t>2026-10_мультфильмы_список_владельца.xlsx; https://animator.ru/db/?p=show_film&amp;fid=5086</t>
        </is>
      </c>
      <c r="M940" s="2">
        <f>HYPERLINK("https://ru.wikipedia.org/w/index.php?search=%D0%97%D0%B0%D0%B1%D0%BE%D1%82%D0%B0%201983%20%D1%84%D0%B8%D0%BB%D1%8C%D0%BC","искать")</f>
        <v/>
      </c>
      <c r="N940" s="3" t="n"/>
      <c r="O940" s="2" t="n"/>
      <c r="P940" s="2" t="n"/>
    </row>
    <row r="941">
      <c r="A941" s="2" t="n">
        <v>940</v>
      </c>
      <c r="B941" s="2" t="inlineStr">
        <is>
          <t>не сюжет</t>
        </is>
      </c>
      <c r="C941" s="2" t="n">
        <v>13724</v>
      </c>
      <c r="D941" s="3" t="inlineStr">
        <is>
          <t>Конец</t>
        </is>
      </c>
      <c r="E941" s="2" t="n">
        <v>1986</v>
      </c>
      <c r="F941" s="2" t="inlineStr">
        <is>
          <t>мультфильм</t>
        </is>
      </c>
      <c r="G941" s="2" t="inlineStr">
        <is>
          <t>МУЛЬТТЕЛЕФИЛЬМ ("Экран")</t>
        </is>
      </c>
      <c r="H941" s="2" t="n">
        <v>36</v>
      </c>
      <c r="I941" s="2" t="inlineStr"/>
      <c r="J941" s="2" t="inlineStr">
        <is>
          <t>да</t>
        </is>
      </c>
      <c r="K941" s="3" t="inlineStr">
        <is>
          <t>Антиалкогольный плакат. Для взрослых</t>
        </is>
      </c>
      <c r="L941" s="2" t="inlineStr">
        <is>
          <t>https://animator.ru/db/?p=show_film&amp;fid=5117</t>
        </is>
      </c>
      <c r="M941" s="2">
        <f>HYPERLINK("https://ru.wikipedia.org/w/index.php?search=%D0%9A%D0%BE%D0%BD%D0%B5%D1%86%201986%20%D1%84%D0%B8%D0%BB%D1%8C%D0%BC","искать")</f>
        <v/>
      </c>
      <c r="N941" s="3" t="n"/>
      <c r="O941" s="2" t="n"/>
      <c r="P941" s="2" t="n"/>
    </row>
    <row r="942">
      <c r="A942" s="2" t="n">
        <v>941</v>
      </c>
      <c r="B942" s="2" t="inlineStr">
        <is>
          <t>не сюжет</t>
        </is>
      </c>
      <c r="C942" s="2" t="n">
        <v>13747</v>
      </c>
      <c r="D942" s="3" t="inlineStr">
        <is>
          <t>Лапочка</t>
        </is>
      </c>
      <c r="E942" s="2" t="n">
        <v>1986</v>
      </c>
      <c r="F942" s="2" t="inlineStr">
        <is>
          <t>мультфильм</t>
        </is>
      </c>
      <c r="G942" s="2" t="inlineStr">
        <is>
          <t>ЭКРАН</t>
        </is>
      </c>
      <c r="H942" s="2" t="n">
        <v>36</v>
      </c>
      <c r="I942" s="2" t="inlineStr"/>
      <c r="J942" s="2" t="inlineStr">
        <is>
          <t>да</t>
        </is>
      </c>
      <c r="K942" s="3" t="inlineStr">
        <is>
          <t>О проблемах воспитания. Для взрослых</t>
        </is>
      </c>
      <c r="L942" s="2" t="inlineStr">
        <is>
          <t>https://animator.ru/db/?p=show_film&amp;fid=5140</t>
        </is>
      </c>
      <c r="M942" s="2">
        <f>HYPERLINK("https://ru.wikipedia.org/w/index.php?search=%D0%9B%D0%B0%D0%BF%D0%BE%D1%87%D0%BA%D0%B0%201986%20%D1%84%D0%B8%D0%BB%D1%8C%D0%BC","искать")</f>
        <v/>
      </c>
      <c r="N942" s="3" t="n"/>
      <c r="O942" s="2" t="n"/>
      <c r="P942" s="2" t="n"/>
    </row>
    <row r="943">
      <c r="A943" s="2" t="n">
        <v>942</v>
      </c>
      <c r="B943" s="2" t="inlineStr">
        <is>
          <t>не сюжет</t>
        </is>
      </c>
      <c r="C943" s="2" t="n">
        <v>13876</v>
      </c>
      <c r="D943" s="3" t="inlineStr">
        <is>
          <t>Рекордный вес</t>
        </is>
      </c>
      <c r="E943" s="2" t="n">
        <v>1981</v>
      </c>
      <c r="F943" s="2" t="inlineStr">
        <is>
          <t>мультфильм</t>
        </is>
      </c>
      <c r="G943" s="2" t="inlineStr">
        <is>
          <t>ЭКРАН</t>
        </is>
      </c>
      <c r="H943" s="2" t="n">
        <v>36</v>
      </c>
      <c r="I943" s="2" t="inlineStr"/>
      <c r="J943" s="2" t="inlineStr">
        <is>
          <t>да</t>
        </is>
      </c>
      <c r="K943" s="3" t="inlineStr">
        <is>
          <t>Из цикла микрофильмов о видах спорта</t>
        </is>
      </c>
      <c r="L943" s="2" t="inlineStr">
        <is>
          <t>https://animator.ru/db/?p=show_film&amp;fid=5269</t>
        </is>
      </c>
      <c r="M943" s="2">
        <f>HYPERLINK("https://ru.wikipedia.org/w/index.php?search=%D0%A0%D0%B5%D0%BA%D0%BE%D1%80%D0%B4%D0%BD%D1%8B%D0%B9%20%D0%B2%D0%B5%D1%81%201981%20%D1%84%D0%B8%D0%BB%D1%8C%D0%BC","искать")</f>
        <v/>
      </c>
      <c r="N943" s="3" t="n"/>
      <c r="O943" s="2" t="n"/>
      <c r="P943" s="2" t="n"/>
    </row>
    <row r="944">
      <c r="A944" s="2" t="n">
        <v>943</v>
      </c>
      <c r="B944" s="2" t="inlineStr">
        <is>
          <t>не сюжет</t>
        </is>
      </c>
      <c r="C944" s="2" t="n">
        <v>13886</v>
      </c>
      <c r="D944" s="3" t="inlineStr">
        <is>
          <t>Олимпиада-80. Санный спорт</t>
        </is>
      </c>
      <c r="E944" s="2" t="n">
        <v>1981</v>
      </c>
      <c r="F944" s="2" t="inlineStr">
        <is>
          <t>мультфильм</t>
        </is>
      </c>
      <c r="G944" s="2" t="inlineStr">
        <is>
          <t>ЭКРАН</t>
        </is>
      </c>
      <c r="H944" s="2" t="n">
        <v>36</v>
      </c>
      <c r="I944" s="2" t="inlineStr"/>
      <c r="J944" s="2" t="inlineStr">
        <is>
          <t>да</t>
        </is>
      </c>
      <c r="K944" s="3" t="inlineStr">
        <is>
          <t>Из цикла микровильмов о видах спорта</t>
        </is>
      </c>
      <c r="L944" s="2" t="inlineStr">
        <is>
          <t>https://animator.ru/db/?p=show_film&amp;fid=5279</t>
        </is>
      </c>
      <c r="M944" s="2">
        <f>HYPERLINK("https://ru.wikipedia.org/w/index.php?search=%D0%9E%D0%BB%D0%B8%D0%BC%D0%BF%D0%B8%D0%B0%D0%B4%D0%B0-80.%20%D0%A1%D0%B0%D0%BD%D0%BD%D1%8B%D0%B9%20%D1%81%D0%BF%D0%BE%D1%80%D1%82%201981%20%D1%84%D0%B8%D0%BB%D1%8C%D0%BC","искать")</f>
        <v/>
      </c>
      <c r="N944" s="3" t="n"/>
      <c r="O944" s="2" t="n"/>
      <c r="P944" s="2" t="n"/>
    </row>
    <row r="945">
      <c r="A945" s="2" t="n">
        <v>944</v>
      </c>
      <c r="B945" s="2" t="inlineStr">
        <is>
          <t>не сюжет</t>
        </is>
      </c>
      <c r="C945" s="2" t="n">
        <v>13890</v>
      </c>
      <c r="D945" s="3" t="inlineStr">
        <is>
          <t>Симулянт</t>
        </is>
      </c>
      <c r="E945" s="2" t="n">
        <v>1972</v>
      </c>
      <c r="F945" s="2" t="inlineStr">
        <is>
          <t>мультфильм</t>
        </is>
      </c>
      <c r="G945" s="2" t="inlineStr">
        <is>
          <t>ЭКРАН</t>
        </is>
      </c>
      <c r="H945" s="2" t="n">
        <v>36</v>
      </c>
      <c r="I945" s="2" t="inlineStr"/>
      <c r="J945" s="2" t="inlineStr">
        <is>
          <t>да</t>
        </is>
      </c>
      <c r="K945" s="3" t="inlineStr">
        <is>
          <t>По басне С.Михалкова "Заяц-симулянт"</t>
        </is>
      </c>
      <c r="L945" s="2" t="inlineStr">
        <is>
          <t>https://animator.ru/db/?p=show_film&amp;fid=5283</t>
        </is>
      </c>
      <c r="M945" s="2">
        <f>HYPERLINK("https://ru.wikipedia.org/w/index.php?search=%D0%A1%D0%B8%D0%BC%D1%83%D0%BB%D1%8F%D0%BD%D1%82%201972%20%D1%84%D0%B8%D0%BB%D1%8C%D0%BC","искать")</f>
        <v/>
      </c>
      <c r="N945" s="3" t="n"/>
      <c r="O945" s="2" t="n"/>
      <c r="P945" s="2" t="n"/>
    </row>
    <row r="946">
      <c r="A946" s="2" t="n">
        <v>945</v>
      </c>
      <c r="B946" s="2" t="inlineStr">
        <is>
          <t>не сюжет</t>
        </is>
      </c>
      <c r="C946" s="2" t="n">
        <v>13924</v>
      </c>
      <c r="D946" s="3" t="inlineStr">
        <is>
          <t>Телеглаз</t>
        </is>
      </c>
      <c r="E946" s="2" t="n">
        <v>1982</v>
      </c>
      <c r="F946" s="2" t="inlineStr">
        <is>
          <t>мультфильм</t>
        </is>
      </c>
      <c r="G946" s="2" t="inlineStr">
        <is>
          <t>ЭКРАН</t>
        </is>
      </c>
      <c r="H946" s="2" t="n">
        <v>36</v>
      </c>
      <c r="I946" s="2" t="inlineStr"/>
      <c r="J946" s="2" t="inlineStr">
        <is>
          <t>да</t>
        </is>
      </c>
      <c r="K946" s="3" t="inlineStr">
        <is>
          <t>Заставка к циклу передач об экономии</t>
        </is>
      </c>
      <c r="L946" s="2" t="inlineStr">
        <is>
          <t>https://animator.ru/db/?p=show_film&amp;fid=5318</t>
        </is>
      </c>
      <c r="M946" s="2">
        <f>HYPERLINK("https://ru.wikipedia.org/w/index.php?search=%D0%A2%D0%B5%D0%BB%D0%B5%D0%B3%D0%BB%D0%B0%D0%B7%201982%20%D1%84%D0%B8%D0%BB%D1%8C%D0%BC","искать")</f>
        <v/>
      </c>
      <c r="N946" s="3" t="n"/>
      <c r="O946" s="2" t="n"/>
      <c r="P946" s="2" t="n"/>
    </row>
    <row r="947">
      <c r="A947" s="2" t="n">
        <v>946</v>
      </c>
      <c r="B947" s="2" t="inlineStr">
        <is>
          <t>не сюжет</t>
        </is>
      </c>
      <c r="C947" s="2" t="n">
        <v>13996</v>
      </c>
      <c r="D947" s="3" t="inlineStr">
        <is>
          <t>Шахматы</t>
        </is>
      </c>
      <c r="E947" s="2" t="n">
        <v>1981</v>
      </c>
      <c r="F947" s="2" t="inlineStr">
        <is>
          <t>мультфильм</t>
        </is>
      </c>
      <c r="G947" s="2" t="inlineStr">
        <is>
          <t>ЭКРАН</t>
        </is>
      </c>
      <c r="H947" s="2" t="n">
        <v>36</v>
      </c>
      <c r="I947" s="2" t="inlineStr"/>
      <c r="J947" s="2" t="inlineStr">
        <is>
          <t>да</t>
        </is>
      </c>
      <c r="K947" s="3" t="inlineStr">
        <is>
          <t>Из цикла микрофильмов о видах спорта</t>
        </is>
      </c>
      <c r="L947" s="2" t="inlineStr">
        <is>
          <t>https://animator.ru/db/?p=show_film&amp;fid=5390</t>
        </is>
      </c>
      <c r="M947" s="2">
        <f>HYPERLINK("https://ru.wikipedia.org/w/index.php?search=%D0%A8%D0%B0%D1%85%D0%BC%D0%B0%D1%82%D1%8B%201981%20%D1%84%D0%B8%D0%BB%D1%8C%D0%BC","искать")</f>
        <v/>
      </c>
      <c r="N947" s="3" t="n"/>
      <c r="O947" s="2" t="n"/>
      <c r="P947" s="2" t="n"/>
    </row>
    <row r="948">
      <c r="A948" s="2" t="n">
        <v>947</v>
      </c>
      <c r="B948" s="2" t="inlineStr">
        <is>
          <t>не сюжет</t>
        </is>
      </c>
      <c r="C948" s="2" t="n">
        <v>14125</v>
      </c>
      <c r="D948" s="3" t="inlineStr">
        <is>
          <t>Кувшинка</t>
        </is>
      </c>
      <c r="E948" s="2" t="n">
        <v>1987</v>
      </c>
      <c r="F948" s="2" t="inlineStr">
        <is>
          <t>мультфильм</t>
        </is>
      </c>
      <c r="G948" s="2" t="inlineStr">
        <is>
          <t>КУЙБЫШЕВТЕЛЕФИЛЬМ</t>
        </is>
      </c>
      <c r="H948" s="2" t="n">
        <v>36</v>
      </c>
      <c r="I948" s="2" t="inlineStr"/>
      <c r="J948" s="2" t="inlineStr">
        <is>
          <t>да</t>
        </is>
      </c>
      <c r="K948" s="3" t="inlineStr">
        <is>
          <t>По мотивам сказок Братьев Бондаренко</t>
        </is>
      </c>
      <c r="L948" s="2" t="inlineStr">
        <is>
          <t>https://animator.ru/db/?p=show_film&amp;fid=5523</t>
        </is>
      </c>
      <c r="M948" s="2">
        <f>HYPERLINK("https://ru.wikipedia.org/w/index.php?search=%D0%9A%D1%83%D0%B2%D1%88%D0%B8%D0%BD%D0%BA%D0%B0%201987%20%D1%84%D0%B8%D0%BB%D1%8C%D0%BC","искать")</f>
        <v/>
      </c>
      <c r="N948" s="3" t="n"/>
      <c r="O948" s="2" t="n"/>
      <c r="P948" s="2" t="n"/>
    </row>
    <row r="949">
      <c r="A949" s="2" t="n">
        <v>948</v>
      </c>
      <c r="B949" s="2" t="inlineStr">
        <is>
          <t>не сюжет</t>
        </is>
      </c>
      <c r="C949" s="2" t="n">
        <v>14142</v>
      </c>
      <c r="D949" s="3" t="inlineStr">
        <is>
          <t>Огник</t>
        </is>
      </c>
      <c r="E949" s="2" t="n">
        <v>1976</v>
      </c>
      <c r="F949" s="2" t="inlineStr">
        <is>
          <t>мультфильм</t>
        </is>
      </c>
      <c r="G949" s="2" t="inlineStr">
        <is>
          <t>ТУРКМЕНТЕЛЕФИЛЬМ</t>
        </is>
      </c>
      <c r="H949" s="2" t="n">
        <v>36</v>
      </c>
      <c r="I949" s="2" t="inlineStr"/>
      <c r="J949" s="2" t="inlineStr">
        <is>
          <t>да</t>
        </is>
      </c>
      <c r="K949" s="3" t="inlineStr">
        <is>
          <t>О жеребенке и его друге. Для малышей</t>
        </is>
      </c>
      <c r="L949" s="2" t="inlineStr">
        <is>
          <t>https://animator.ru/db/?p=show_film&amp;fid=5540</t>
        </is>
      </c>
      <c r="M949" s="2">
        <f>HYPERLINK("https://ru.wikipedia.org/w/index.php?search=%D0%9E%D0%B3%D0%BD%D0%B8%D0%BA%201976%20%D1%84%D0%B8%D0%BB%D1%8C%D0%BC","искать")</f>
        <v/>
      </c>
      <c r="N949" s="3" t="n"/>
      <c r="O949" s="2" t="n"/>
      <c r="P949" s="2" t="n"/>
    </row>
    <row r="950">
      <c r="A950" s="2" t="n">
        <v>949</v>
      </c>
      <c r="B950" s="2" t="inlineStr">
        <is>
          <t>не сюжет</t>
        </is>
      </c>
      <c r="C950" s="2" t="n">
        <v>14195</v>
      </c>
      <c r="D950" s="3" t="inlineStr">
        <is>
          <t>Чудесное лекарство</t>
        </is>
      </c>
      <c r="E950" s="2" t="n">
        <v>1988</v>
      </c>
      <c r="F950" s="2" t="inlineStr">
        <is>
          <t>мультфильм</t>
        </is>
      </c>
      <c r="G950" s="2" t="inlineStr">
        <is>
          <t>КАЗАХТЕЛЕФИЛЬМ</t>
        </is>
      </c>
      <c r="H950" s="2" t="n">
        <v>36</v>
      </c>
      <c r="I950" s="2" t="inlineStr"/>
      <c r="J950" s="2" t="inlineStr">
        <is>
          <t>да</t>
        </is>
      </c>
      <c r="K950" s="3" t="inlineStr">
        <is>
          <t>По мотивам корейской народной сказки</t>
        </is>
      </c>
      <c r="L950" s="2" t="inlineStr">
        <is>
          <t>https://animator.ru/db/?p=show_film&amp;fid=5593</t>
        </is>
      </c>
      <c r="M950" s="2">
        <f>HYPERLINK("https://ru.wikipedia.org/w/index.php?search=%D0%A7%D1%83%D0%B4%D0%B5%D1%81%D0%BD%D0%BE%D0%B5%20%D0%BB%D0%B5%D0%BA%D0%B0%D1%80%D1%81%D1%82%D0%B2%D0%BE%201988%20%D1%84%D0%B8%D0%BB%D1%8C%D0%BC","искать")</f>
        <v/>
      </c>
      <c r="N950" s="3" t="n"/>
      <c r="O950" s="2" t="n"/>
      <c r="P950" s="2" t="n"/>
    </row>
    <row r="951">
      <c r="A951" s="2" t="n">
        <v>950</v>
      </c>
      <c r="B951" s="2" t="inlineStr">
        <is>
          <t>не сюжет</t>
        </is>
      </c>
      <c r="C951" s="2" t="n">
        <v>14334</v>
      </c>
      <c r="D951" s="3" t="inlineStr">
        <is>
          <t>Лошадь, скрипка и немножко нервно</t>
        </is>
      </c>
      <c r="E951" s="2" t="n">
        <v>1991</v>
      </c>
      <c r="F951" s="2" t="inlineStr">
        <is>
          <t>мультфильм</t>
        </is>
      </c>
      <c r="G951" s="2" t="inlineStr">
        <is>
          <t>ЛЕНФИЛЬМ - Санкт-Петербургская киностудия - ФУП</t>
        </is>
      </c>
      <c r="H951" s="2" t="n">
        <v>36</v>
      </c>
      <c r="I951" s="2" t="inlineStr"/>
      <c r="J951" s="2" t="inlineStr">
        <is>
          <t>да</t>
        </is>
      </c>
      <c r="K951" s="3" t="inlineStr">
        <is>
          <t>По мотивам стихотворения Маяковского</t>
        </is>
      </c>
      <c r="L951" s="2" t="inlineStr">
        <is>
          <t>https://animator.ru/db/?p=show_film&amp;fid=5902</t>
        </is>
      </c>
      <c r="M951" s="2">
        <f>HYPERLINK("https://ru.wikipedia.org/w/index.php?search=%D0%9B%D0%BE%D1%88%D0%B0%D0%B4%D1%8C%2C%20%D1%81%D0%BA%D1%80%D0%B8%D0%BF%D0%BA%D0%B0%20%D0%B8%20%D0%BD%D0%B5%D0%BC%D0%BD%D0%BE%D0%B6%D0%BA%D0%BE%20%D0%BD%D0%B5%D1%80%D0%B2%D0%BD%D0%BE%201991%20%D1%84%D0%B8%D0%BB%D1%8C%D0%BC","искать")</f>
        <v/>
      </c>
      <c r="N951" s="3" t="n"/>
      <c r="O951" s="2" t="n"/>
      <c r="P951" s="2" t="n"/>
    </row>
    <row r="952">
      <c r="A952" s="2" t="n">
        <v>951</v>
      </c>
      <c r="B952" s="2" t="inlineStr">
        <is>
          <t>не сюжет</t>
        </is>
      </c>
      <c r="C952" s="2" t="n">
        <v>9246</v>
      </c>
      <c r="D952" s="3" t="inlineStr">
        <is>
          <t>Боевой киносборник "Наши девушки"</t>
        </is>
      </c>
      <c r="E952" s="2" t="n">
        <v>1942</v>
      </c>
      <c r="F952" s="2" t="inlineStr">
        <is>
          <t>кинофильм</t>
        </is>
      </c>
      <c r="G952" s="2" t="inlineStr">
        <is>
          <t>ЦОКС</t>
        </is>
      </c>
      <c r="H952" s="2" t="n">
        <v>37</v>
      </c>
      <c r="I952" s="2" t="inlineStr"/>
      <c r="J952" s="2" t="inlineStr">
        <is>
          <t>да</t>
        </is>
      </c>
      <c r="K952" s="3" t="inlineStr">
        <is>
          <t>Фильмы в составе: Тоня, Однажды ночью</t>
        </is>
      </c>
      <c r="L952" s="2" t="inlineStr">
        <is>
          <t>Кино_СССР сводный каталог.xlsx: список фильмов (доп.)</t>
        </is>
      </c>
      <c r="M952" s="2">
        <f>HYPERLINK("https://ru.wikipedia.org/w/index.php?search=%D0%91%D0%BE%D0%B5%D0%B2%D0%BE%D0%B9%20%D0%BA%D0%B8%D0%BD%D0%BE%D1%81%D0%B1%D0%BE%D1%80%D0%BD%D0%B8%D0%BA%20%22%D0%9D%D0%B0%D1%88%D0%B8%20%D0%B4%D0%B5%D0%B2%D1%83%D1%88%D0%BA%D0%B8%22%201942%20%D1%84%D0%B8%D0%BB%D1%8C%D0%BC","искать")</f>
        <v/>
      </c>
      <c r="N952" s="3" t="n"/>
      <c r="O952" s="2" t="n"/>
      <c r="P952" s="2" t="n"/>
    </row>
    <row r="953">
      <c r="A953" s="2" t="n">
        <v>952</v>
      </c>
      <c r="B953" s="2" t="inlineStr">
        <is>
          <t>не сюжет</t>
        </is>
      </c>
      <c r="C953" s="2" t="n">
        <v>10077</v>
      </c>
      <c r="D953" s="3" t="inlineStr">
        <is>
          <t>Макар Дубрава</t>
        </is>
      </c>
      <c r="E953" s="2" t="n">
        <v>1960</v>
      </c>
      <c r="F953" s="2" t="inlineStr">
        <is>
          <t>фильм-спектакль</t>
        </is>
      </c>
      <c r="G953" s="2" t="n"/>
      <c r="H953" s="2" t="n">
        <v>37</v>
      </c>
      <c r="I953" s="2" t="inlineStr"/>
      <c r="J953" s="2" t="inlineStr">
        <is>
          <t>да</t>
        </is>
      </c>
      <c r="K953" s="3" t="inlineStr">
        <is>
          <t>Фильм-спектакль по пьесе А.Корнейчука</t>
        </is>
      </c>
      <c r="L953" s="2" t="inlineStr">
        <is>
          <t>https://www.kino-teatr.ru/teatr/movie/13114/annot/</t>
        </is>
      </c>
      <c r="M953" s="2">
        <f>HYPERLINK("https://ru.wikipedia.org/w/index.php?search=%D0%9C%D0%B0%D0%BA%D0%B0%D1%80%20%D0%94%D1%83%D0%B1%D1%80%D0%B0%D0%B2%D0%B0%201960%20%D1%84%D0%B8%D0%BB%D1%8C%D0%BC","искать")</f>
        <v/>
      </c>
      <c r="N953" s="3" t="n"/>
      <c r="O953" s="2" t="n"/>
      <c r="P953" s="2" t="n"/>
    </row>
    <row r="954">
      <c r="A954" s="2" t="n">
        <v>953</v>
      </c>
      <c r="B954" s="2" t="inlineStr">
        <is>
          <t>не сюжет</t>
        </is>
      </c>
      <c r="C954" s="2" t="n">
        <v>10149</v>
      </c>
      <c r="D954" s="3" t="inlineStr">
        <is>
          <t>Обломов</t>
        </is>
      </c>
      <c r="E954" s="2" t="n">
        <v>1965</v>
      </c>
      <c r="F954" s="2" t="inlineStr">
        <is>
          <t>фильм-спектакль</t>
        </is>
      </c>
      <c r="G954" s="2" t="inlineStr">
        <is>
          <t>Ленинградское телевидение</t>
        </is>
      </c>
      <c r="H954" s="2" t="n">
        <v>37</v>
      </c>
      <c r="I954" s="2" t="inlineStr"/>
      <c r="J954" s="2" t="inlineStr">
        <is>
          <t>да</t>
        </is>
      </c>
      <c r="K954" s="3" t="inlineStr">
        <is>
          <t>По одноименному роману И.А.Гончарова.</t>
        </is>
      </c>
      <c r="L954" s="2" t="inlineStr">
        <is>
          <t>https://www.kino-teatr.ru/teatr/movie/93049/annot/</t>
        </is>
      </c>
      <c r="M954" s="2">
        <f>HYPERLINK("https://ru.wikipedia.org/w/index.php?search=%D0%9E%D0%B1%D0%BB%D0%BE%D0%BC%D0%BE%D0%B2%201965%20%D1%84%D0%B8%D0%BB%D1%8C%D0%BC","искать")</f>
        <v/>
      </c>
      <c r="N954" s="3" t="n"/>
      <c r="O954" s="2" t="n"/>
      <c r="P954" s="2" t="n"/>
    </row>
    <row r="955">
      <c r="A955" s="2" t="n">
        <v>954</v>
      </c>
      <c r="B955" s="2" t="inlineStr">
        <is>
          <t>не сюжет</t>
        </is>
      </c>
      <c r="C955" s="2" t="n">
        <v>10273</v>
      </c>
      <c r="D955" s="3" t="inlineStr">
        <is>
          <t>Скучная история. Из записок старого человека</t>
        </is>
      </c>
      <c r="E955" s="2" t="n">
        <v>1968</v>
      </c>
      <c r="F955" s="2" t="inlineStr">
        <is>
          <t>фильм-спектакль</t>
        </is>
      </c>
      <c r="G955" s="2" t="inlineStr">
        <is>
          <t>Центральное телевидение</t>
        </is>
      </c>
      <c r="H955" s="2" t="n">
        <v>37</v>
      </c>
      <c r="I955" s="2" t="inlineStr"/>
      <c r="J955" s="2" t="inlineStr">
        <is>
          <t>да</t>
        </is>
      </c>
      <c r="K955" s="3" t="inlineStr">
        <is>
          <t>По одноименному рассказу А.П. Чехова.</t>
        </is>
      </c>
      <c r="L955" s="2" t="inlineStr">
        <is>
          <t>https://www.kino-teatr.ru/teatr/movie/14269/annot/</t>
        </is>
      </c>
      <c r="M955" s="2">
        <f>HYPERLINK("https://ru.wikipedia.org/w/index.php?search=%D0%A1%D0%BA%D1%83%D1%87%D0%BD%D0%B0%D1%8F%20%D0%B8%D1%81%D1%82%D0%BE%D1%80%D0%B8%D1%8F.%20%D0%98%D0%B7%20%D0%B7%D0%B0%D0%BF%D0%B8%D1%81%D0%BE%D0%BA%20%D1%81%D1%82%D0%B0%D1%80%D0%BE%D0%B3%D0%BE%20%D1%87%D0%B5%D0%BB%D0%BE%D0%B2%D0%B5%D0%BA%D0%B0%201968%20%D1%84%D0%B8%D0%BB%D1%8C%D0%BC","искать")</f>
        <v/>
      </c>
      <c r="N955" s="3" t="n"/>
      <c r="O955" s="2" t="n"/>
      <c r="P955" s="2" t="n"/>
    </row>
    <row r="956">
      <c r="A956" s="2" t="n">
        <v>955</v>
      </c>
      <c r="B956" s="2" t="inlineStr">
        <is>
          <t>не сюжет</t>
        </is>
      </c>
      <c r="C956" s="2" t="n">
        <v>10488</v>
      </c>
      <c r="D956" s="3" t="inlineStr">
        <is>
          <t>В номерах</t>
        </is>
      </c>
      <c r="E956" s="2" t="n">
        <v>1973</v>
      </c>
      <c r="F956" s="2" t="inlineStr">
        <is>
          <t>фильм-спектакль</t>
        </is>
      </c>
      <c r="G956" s="2" t="inlineStr">
        <is>
          <t>Главная редакция литературно-драматических программ Центрального телевидения, Подборки фильмов, экранизации Чехова</t>
        </is>
      </c>
      <c r="H956" s="2" t="n">
        <v>37</v>
      </c>
      <c r="I956" s="2" t="inlineStr"/>
      <c r="J956" s="2" t="inlineStr">
        <is>
          <t>да</t>
        </is>
      </c>
      <c r="K956" s="3" t="inlineStr">
        <is>
          <t>По рассказам Антона Павловича Чехова.</t>
        </is>
      </c>
      <c r="L956" s="2" t="inlineStr">
        <is>
          <t>https://www.kino-teatr.ru/teatr/movie/13933/annot/</t>
        </is>
      </c>
      <c r="M956" s="2">
        <f>HYPERLINK("https://ru.wikipedia.org/w/index.php?search=%D0%92%20%D0%BD%D0%BE%D0%BC%D0%B5%D1%80%D0%B0%D1%85%201973%20%D1%84%D0%B8%D0%BB%D1%8C%D0%BC","искать")</f>
        <v/>
      </c>
      <c r="N956" s="3" t="n"/>
      <c r="O956" s="2" t="n"/>
      <c r="P956" s="2" t="n"/>
    </row>
    <row r="957">
      <c r="A957" s="2" t="n">
        <v>956</v>
      </c>
      <c r="B957" s="2" t="inlineStr">
        <is>
          <t>не сюжет</t>
        </is>
      </c>
      <c r="C957" s="2" t="n">
        <v>11546</v>
      </c>
      <c r="D957" s="3" t="inlineStr">
        <is>
          <t>ПРОБОЛТАЛИ ("Фитиль" N 12)</t>
        </is>
      </c>
      <c r="E957" s="2" t="n">
        <v>1963</v>
      </c>
      <c r="F957" s="2" t="inlineStr">
        <is>
          <t>мультфильм</t>
        </is>
      </c>
      <c r="G957" s="2" t="inlineStr">
        <is>
          <t>Союзмультфильм</t>
        </is>
      </c>
      <c r="H957" s="2" t="n">
        <v>37</v>
      </c>
      <c r="I957" s="2" t="inlineStr"/>
      <c r="J957" s="2" t="inlineStr">
        <is>
          <t>да</t>
        </is>
      </c>
      <c r="K957" s="3" t="inlineStr">
        <is>
          <t>О том, что болтовней делу не поможешь</t>
        </is>
      </c>
      <c r="L957" s="2" t="inlineStr">
        <is>
          <t>https://animator.ru/db/?p=show_film&amp;fid=2378</t>
        </is>
      </c>
      <c r="M957" s="2">
        <f>HYPERLINK("https://ru.wikipedia.org/w/index.php?search=%D0%9F%D0%A0%D0%9E%D0%91%D0%9E%D0%9B%D0%A2%D0%90%D0%9B%D0%98%20%28%22%D0%A4%D0%B8%D1%82%D0%B8%D0%BB%D1%8C%22%20N%2012%29%201963%20%D1%84%D0%B8%D0%BB%D1%8C%D0%BC","искать")</f>
        <v/>
      </c>
      <c r="N957" s="3" t="n"/>
      <c r="O957" s="2" t="n"/>
      <c r="P957" s="2" t="n"/>
    </row>
    <row r="958">
      <c r="A958" s="2" t="n">
        <v>957</v>
      </c>
      <c r="B958" s="2" t="inlineStr">
        <is>
          <t>не сюжет</t>
        </is>
      </c>
      <c r="C958" s="2" t="n">
        <v>11682</v>
      </c>
      <c r="D958" s="3" t="inlineStr">
        <is>
          <t>Песня о юном барабанщике</t>
        </is>
      </c>
      <c r="E958" s="2" t="n">
        <v>1972</v>
      </c>
      <c r="F958" s="2" t="inlineStr">
        <is>
          <t>мультфильм</t>
        </is>
      </c>
      <c r="G958" s="2" t="inlineStr">
        <is>
          <t>Союзмультфильм</t>
        </is>
      </c>
      <c r="H958" s="2" t="n">
        <v>37</v>
      </c>
      <c r="I958" s="2" t="inlineStr"/>
      <c r="J958" s="2" t="inlineStr">
        <is>
          <t>да</t>
        </is>
      </c>
      <c r="K958" s="3" t="inlineStr">
        <is>
          <t>На тему известной революционной песни</t>
        </is>
      </c>
      <c r="L958" s="2" t="inlineStr">
        <is>
          <t>https://animator.ru/db/?p=show_film&amp;fid=2596</t>
        </is>
      </c>
      <c r="M958" s="2">
        <f>HYPERLINK("https://ru.wikipedia.org/w/index.php?search=%D0%9F%D0%B5%D1%81%D0%BD%D1%8F%20%D0%BE%20%D1%8E%D0%BD%D0%BE%D0%BC%20%D0%B1%D0%B0%D1%80%D0%B0%D0%B1%D0%B0%D0%BD%D1%89%D0%B8%D0%BA%D0%B5%201972%20%D1%84%D0%B8%D0%BB%D1%8C%D0%BC","искать")</f>
        <v/>
      </c>
      <c r="N958" s="3" t="n"/>
      <c r="O958" s="2" t="n"/>
      <c r="P958" s="2" t="n"/>
    </row>
    <row r="959">
      <c r="A959" s="2" t="n">
        <v>958</v>
      </c>
      <c r="B959" s="2" t="inlineStr">
        <is>
          <t>не сюжет</t>
        </is>
      </c>
      <c r="C959" s="2" t="n">
        <v>11731</v>
      </c>
      <c r="D959" s="3" t="inlineStr">
        <is>
          <t>Все наоборот</t>
        </is>
      </c>
      <c r="E959" s="2" t="n">
        <v>1974</v>
      </c>
      <c r="F959" s="2" t="inlineStr">
        <is>
          <t>мультфильм</t>
        </is>
      </c>
      <c r="G959" s="2" t="inlineStr">
        <is>
          <t>Союзмультфильм</t>
        </is>
      </c>
      <c r="H959" s="2" t="n">
        <v>37</v>
      </c>
      <c r="I959" s="2" t="inlineStr"/>
      <c r="J959" s="2" t="inlineStr">
        <is>
          <t>да</t>
        </is>
      </c>
      <c r="K959" s="3" t="inlineStr">
        <is>
          <t>Как важно быть самим собой. Для детей</t>
        </is>
      </c>
      <c r="L959" s="2" t="inlineStr">
        <is>
          <t>https://animator.ru/db/?p=show_film&amp;fid=2645</t>
        </is>
      </c>
      <c r="M959" s="2">
        <f>HYPERLINK("https://ru.wikipedia.org/w/index.php?search=%D0%92%D1%81%D0%B5%20%D0%BD%D0%B0%D0%BE%D0%B1%D0%BE%D1%80%D0%BE%D1%82%201974%20%D1%84%D0%B8%D0%BB%D1%8C%D0%BC","искать")</f>
        <v/>
      </c>
      <c r="N959" s="3" t="n"/>
      <c r="O959" s="2" t="n"/>
      <c r="P959" s="2" t="n"/>
    </row>
    <row r="960">
      <c r="A960" s="2" t="n">
        <v>959</v>
      </c>
      <c r="B960" s="2" t="inlineStr">
        <is>
          <t>не сюжет</t>
        </is>
      </c>
      <c r="C960" s="2" t="n">
        <v>11828</v>
      </c>
      <c r="D960" s="3" t="inlineStr">
        <is>
          <t>Вперед, время!</t>
        </is>
      </c>
      <c r="E960" s="2" t="n">
        <v>1977</v>
      </c>
      <c r="F960" s="2" t="inlineStr">
        <is>
          <t>мультфильм</t>
        </is>
      </c>
      <c r="G960" s="2" t="inlineStr">
        <is>
          <t>Союзмультфильм</t>
        </is>
      </c>
      <c r="H960" s="2" t="n">
        <v>37</v>
      </c>
      <c r="I960" s="2" t="inlineStr"/>
      <c r="J960" s="2" t="inlineStr">
        <is>
          <t>да</t>
        </is>
      </c>
      <c r="K960" s="3" t="inlineStr">
        <is>
          <t>По мотивам стихотворений Маяковского.</t>
        </is>
      </c>
      <c r="L960" s="2" t="inlineStr">
        <is>
          <t>2026-10_мультфильмы_список_владельца.xlsx; https://animator.ru/db/?p=show_film&amp;fid=2743</t>
        </is>
      </c>
      <c r="M960" s="2">
        <f>HYPERLINK("https://ru.wikipedia.org/w/index.php?search=%D0%92%D0%BF%D0%B5%D1%80%D0%B5%D0%B4%2C%20%D0%B2%D1%80%D0%B5%D0%BC%D1%8F%21%201977%20%D1%84%D0%B8%D0%BB%D1%8C%D0%BC","искать")</f>
        <v/>
      </c>
      <c r="N960" s="3" t="n"/>
      <c r="O960" s="2" t="n"/>
      <c r="P960" s="2" t="n"/>
    </row>
    <row r="961">
      <c r="A961" s="2" t="n">
        <v>960</v>
      </c>
      <c r="B961" s="2" t="inlineStr">
        <is>
          <t>не сюжет</t>
        </is>
      </c>
      <c r="C961" s="2" t="n">
        <v>11989</v>
      </c>
      <c r="D961" s="3" t="inlineStr">
        <is>
          <t>Сказка о глупом мышонке (1981)</t>
        </is>
      </c>
      <c r="E961" s="2" t="n">
        <v>1981</v>
      </c>
      <c r="F961" s="2" t="inlineStr">
        <is>
          <t>мультфильм</t>
        </is>
      </c>
      <c r="G961" s="2" t="inlineStr">
        <is>
          <t>Союзмультфильм</t>
        </is>
      </c>
      <c r="H961" s="2" t="n">
        <v>37</v>
      </c>
      <c r="I961" s="2" t="inlineStr"/>
      <c r="J961" s="2" t="inlineStr">
        <is>
          <t>да</t>
        </is>
      </c>
      <c r="K961" s="3" t="inlineStr">
        <is>
          <t>По одноименному стихотворению Маршака</t>
        </is>
      </c>
      <c r="L961" s="2" t="inlineStr">
        <is>
          <t>https://animator.ru/db/?p=show_film&amp;fid=3103</t>
        </is>
      </c>
      <c r="M961" s="2">
        <f>HYPERLINK("https://ru.wikipedia.org/w/index.php?search=%D0%A1%D0%BA%D0%B0%D0%B7%D0%BA%D0%B0%20%D0%BE%20%D0%B3%D0%BB%D1%83%D0%BF%D0%BE%D0%BC%20%D0%BC%D1%8B%D1%88%D0%BE%D0%BD%D0%BA%D0%B5%20%281981%29%201981%20%D1%84%D0%B8%D0%BB%D1%8C%D0%BC","искать")</f>
        <v/>
      </c>
      <c r="N961" s="3" t="n"/>
      <c r="O961" s="2" t="n"/>
      <c r="P961" s="2" t="n"/>
    </row>
    <row r="962">
      <c r="A962" s="2" t="n">
        <v>961</v>
      </c>
      <c r="B962" s="2" t="inlineStr">
        <is>
          <t>не сюжет</t>
        </is>
      </c>
      <c r="C962" s="2" t="n">
        <v>12155</v>
      </c>
      <c r="D962" s="3" t="inlineStr">
        <is>
          <t>Про Сидорова Вову</t>
        </is>
      </c>
      <c r="E962" s="2" t="n">
        <v>1985</v>
      </c>
      <c r="F962" s="2" t="inlineStr">
        <is>
          <t>мультфильм</t>
        </is>
      </c>
      <c r="G962" s="2" t="inlineStr">
        <is>
          <t>Союзмультфильм</t>
        </is>
      </c>
      <c r="H962" s="2" t="n">
        <v>37</v>
      </c>
      <c r="I962" s="2" t="inlineStr"/>
      <c r="J962" s="2" t="inlineStr">
        <is>
          <t>да</t>
        </is>
      </c>
      <c r="K962" s="3" t="inlineStr">
        <is>
          <t>По мотивам стихотворения Э.Успенского</t>
        </is>
      </c>
      <c r="L962" s="2" t="inlineStr">
        <is>
          <t>https://animator.ru/db/?p=show_film&amp;fid=3271</t>
        </is>
      </c>
      <c r="M962" s="2">
        <f>HYPERLINK("https://ru.wikipedia.org/w/index.php?search=%D0%9F%D1%80%D0%BE%20%D0%A1%D0%B8%D0%B4%D0%BE%D1%80%D0%BE%D0%B2%D0%B0%20%D0%92%D0%BE%D0%B2%D1%83%201985%20%D1%84%D0%B8%D0%BB%D1%8C%D0%BC","искать")</f>
        <v/>
      </c>
      <c r="N962" s="3" t="n"/>
      <c r="O962" s="2" t="n"/>
      <c r="P962" s="2" t="n"/>
    </row>
    <row r="963">
      <c r="A963" s="2" t="n">
        <v>962</v>
      </c>
      <c r="B963" s="2" t="inlineStr">
        <is>
          <t>не сюжет</t>
        </is>
      </c>
      <c r="C963" s="2" t="n">
        <v>12235</v>
      </c>
      <c r="D963" s="3" t="inlineStr">
        <is>
          <t>Витамин роста</t>
        </is>
      </c>
      <c r="E963" s="2" t="n">
        <v>1988</v>
      </c>
      <c r="F963" s="2" t="inlineStr">
        <is>
          <t>мультфильм</t>
        </is>
      </c>
      <c r="G963" s="2" t="inlineStr">
        <is>
          <t>Союзмультфильм</t>
        </is>
      </c>
      <c r="H963" s="2" t="n">
        <v>37</v>
      </c>
      <c r="I963" s="2" t="inlineStr"/>
      <c r="J963" s="2" t="inlineStr">
        <is>
          <t>да</t>
        </is>
      </c>
      <c r="K963" s="3" t="inlineStr">
        <is>
          <t>По мотивам стихотворения О.Григорьева</t>
        </is>
      </c>
      <c r="L963" s="2" t="inlineStr">
        <is>
          <t>https://animator.ru/db/?p=show_film&amp;fid=3352</t>
        </is>
      </c>
      <c r="M963" s="2">
        <f>HYPERLINK("https://ru.wikipedia.org/w/index.php?search=%D0%92%D0%B8%D1%82%D0%B0%D0%BC%D0%B8%D0%BD%20%D1%80%D0%BE%D1%81%D1%82%D0%B0%201988%20%D1%84%D0%B8%D0%BB%D1%8C%D0%BC","искать")</f>
        <v/>
      </c>
      <c r="N963" s="3" t="n"/>
      <c r="O963" s="2" t="n"/>
      <c r="P963" s="2" t="n"/>
    </row>
    <row r="964">
      <c r="A964" s="2" t="n">
        <v>963</v>
      </c>
      <c r="B964" s="2" t="inlineStr">
        <is>
          <t>не сюжет</t>
        </is>
      </c>
      <c r="C964" s="2" t="n">
        <v>12441</v>
      </c>
      <c r="D964" s="3" t="inlineStr">
        <is>
          <t>Кто получит ананас?</t>
        </is>
      </c>
      <c r="E964" s="2" t="n">
        <v>1978</v>
      </c>
      <c r="F964" s="2" t="inlineStr">
        <is>
          <t>мультфильм</t>
        </is>
      </c>
      <c r="G964" s="2" t="inlineStr">
        <is>
          <t>КИЕВНАУЧФИЛЬМ</t>
        </is>
      </c>
      <c r="H964" s="2" t="n">
        <v>37</v>
      </c>
      <c r="I964" s="2" t="inlineStr"/>
      <c r="J964" s="2" t="inlineStr">
        <is>
          <t>да</t>
        </is>
      </c>
      <c r="K964" s="3" t="inlineStr">
        <is>
          <t>ВДНХ, Москва 1979 -- Бронзовая медаль</t>
        </is>
      </c>
      <c r="L964" s="2" t="inlineStr">
        <is>
          <t>https://animator.ru/db/?p=show_film&amp;fid=3612</t>
        </is>
      </c>
      <c r="M964" s="2">
        <f>HYPERLINK("https://ru.wikipedia.org/w/index.php?search=%D0%9A%D1%82%D0%BE%20%D0%BF%D0%BE%D0%BB%D1%83%D1%87%D0%B8%D1%82%20%D0%B0%D0%BD%D0%B0%D0%BD%D0%B0%D1%81%3F%201978%20%D1%84%D0%B8%D0%BB%D1%8C%D0%BC","искать")</f>
        <v/>
      </c>
      <c r="N964" s="3" t="n"/>
      <c r="O964" s="2" t="n"/>
      <c r="P964" s="2" t="n"/>
    </row>
    <row r="965">
      <c r="A965" s="2" t="n">
        <v>964</v>
      </c>
      <c r="B965" s="2" t="inlineStr">
        <is>
          <t>не сюжет</t>
        </is>
      </c>
      <c r="C965" s="2" t="n">
        <v>12444</v>
      </c>
      <c r="D965" s="3" t="inlineStr">
        <is>
          <t>Лень (1979)</t>
        </is>
      </c>
      <c r="E965" s="2" t="n">
        <v>1979</v>
      </c>
      <c r="F965" s="2" t="inlineStr">
        <is>
          <t>мультфильм</t>
        </is>
      </c>
      <c r="G965" s="2" t="inlineStr">
        <is>
          <t>КИЕВНАУЧФИЛЬМ</t>
        </is>
      </c>
      <c r="H965" s="2" t="n">
        <v>37</v>
      </c>
      <c r="I965" s="2" t="inlineStr"/>
      <c r="J965" s="2" t="inlineStr">
        <is>
          <t>да</t>
        </is>
      </c>
      <c r="K965" s="3" t="inlineStr">
        <is>
          <t>XIII ВКФ, Душанбе 1980 -- Диплом жюри</t>
        </is>
      </c>
      <c r="L965" s="2" t="inlineStr">
        <is>
          <t>https://animator.ru/db/?p=show_film&amp;fid=3615</t>
        </is>
      </c>
      <c r="M965" s="2">
        <f>HYPERLINK("https://ru.wikipedia.org/w/index.php?search=%D0%9B%D0%B5%D0%BD%D1%8C%20%281979%29%201979%20%D1%84%D0%B8%D0%BB%D1%8C%D0%BC","искать")</f>
        <v/>
      </c>
      <c r="N965" s="3" t="n"/>
      <c r="O965" s="2" t="n"/>
      <c r="P965" s="2" t="n"/>
    </row>
    <row r="966">
      <c r="A966" s="2" t="n">
        <v>965</v>
      </c>
      <c r="B966" s="2" t="inlineStr">
        <is>
          <t>не сюжет</t>
        </is>
      </c>
      <c r="C966" s="2" t="n">
        <v>12568</v>
      </c>
      <c r="D966" s="3" t="inlineStr">
        <is>
          <t>Старик и петух</t>
        </is>
      </c>
      <c r="E966" s="2" t="n">
        <v>1984</v>
      </c>
      <c r="F966" s="2" t="inlineStr">
        <is>
          <t>мультфильм</t>
        </is>
      </c>
      <c r="G966" s="2" t="inlineStr">
        <is>
          <t>КИЕВНАУЧФИЛЬМ</t>
        </is>
      </c>
      <c r="H966" s="2" t="n">
        <v>37</v>
      </c>
      <c r="I966" s="2" t="inlineStr"/>
      <c r="J966" s="2" t="inlineStr">
        <is>
          <t>да</t>
        </is>
      </c>
      <c r="K966" s="3" t="inlineStr">
        <is>
          <t>По мотивам украинской народной сказки</t>
        </is>
      </c>
      <c r="L966" s="2" t="inlineStr">
        <is>
          <t>https://animator.ru/db/?p=show_film&amp;fid=3748</t>
        </is>
      </c>
      <c r="M966" s="2">
        <f>HYPERLINK("https://ru.wikipedia.org/w/index.php?search=%D0%A1%D1%82%D0%B0%D1%80%D0%B8%D0%BA%20%D0%B8%20%D0%BF%D0%B5%D1%82%D1%83%D1%85%201984%20%D1%84%D0%B8%D0%BB%D1%8C%D0%BC","искать")</f>
        <v/>
      </c>
      <c r="N966" s="3" t="n"/>
      <c r="O966" s="2" t="n"/>
      <c r="P966" s="2" t="n"/>
    </row>
    <row r="967">
      <c r="A967" s="2" t="n">
        <v>966</v>
      </c>
      <c r="B967" s="2" t="inlineStr">
        <is>
          <t>не сюжет</t>
        </is>
      </c>
      <c r="C967" s="2" t="n">
        <v>12573</v>
      </c>
      <c r="D967" s="3" t="inlineStr">
        <is>
          <t>Страшная месть</t>
        </is>
      </c>
      <c r="E967" s="2" t="n">
        <v>1987</v>
      </c>
      <c r="F967" s="2" t="inlineStr">
        <is>
          <t>мультфильм</t>
        </is>
      </c>
      <c r="G967" s="2" t="inlineStr">
        <is>
          <t>КИЕВНАУЧФИЛЬМ</t>
        </is>
      </c>
      <c r="H967" s="2" t="n">
        <v>37</v>
      </c>
      <c r="I967" s="2" t="inlineStr"/>
      <c r="J967" s="2" t="inlineStr">
        <is>
          <t>да</t>
        </is>
      </c>
      <c r="K967" s="3" t="inlineStr">
        <is>
          <t>По повести Гоголя. Думу поет М.Литвин</t>
        </is>
      </c>
      <c r="L967" s="2" t="inlineStr">
        <is>
          <t>https://animator.ru/db/?p=show_film&amp;fid=3753</t>
        </is>
      </c>
      <c r="M967" s="2">
        <f>HYPERLINK("https://ru.wikipedia.org/w/index.php?search=%D0%A1%D1%82%D1%80%D0%B0%D1%88%D0%BD%D0%B0%D1%8F%20%D0%BC%D0%B5%D1%81%D1%82%D1%8C%201987%20%D1%84%D0%B8%D0%BB%D1%8C%D0%BC","искать")</f>
        <v/>
      </c>
      <c r="N967" s="3" t="n"/>
      <c r="O967" s="2" t="n"/>
      <c r="P967" s="2" t="n"/>
    </row>
    <row r="968">
      <c r="A968" s="2" t="n">
        <v>967</v>
      </c>
      <c r="B968" s="2" t="inlineStr">
        <is>
          <t>не сюжет</t>
        </is>
      </c>
      <c r="C968" s="2" t="n">
        <v>12792</v>
      </c>
      <c r="D968" s="3" t="inlineStr">
        <is>
          <t>Блоха и муравей</t>
        </is>
      </c>
      <c r="E968" s="2" t="n">
        <v>1971</v>
      </c>
      <c r="F968" s="2" t="inlineStr">
        <is>
          <t>мультфильм</t>
        </is>
      </c>
      <c r="G968" s="2" t="inlineStr">
        <is>
          <t>ГРУЗИЯ-ФИЛЬМ - АО</t>
        </is>
      </c>
      <c r="H968" s="2" t="n">
        <v>37</v>
      </c>
      <c r="I968" s="2" t="inlineStr"/>
      <c r="J968" s="2" t="inlineStr">
        <is>
          <t>да</t>
        </is>
      </c>
      <c r="K968" s="3" t="inlineStr">
        <is>
          <t>По мотивам грузинской народной сказки</t>
        </is>
      </c>
      <c r="L968" s="2" t="inlineStr">
        <is>
          <t>https://animator.ru/db/?p=show_film&amp;fid=4001</t>
        </is>
      </c>
      <c r="M968" s="2">
        <f>HYPERLINK("https://ru.wikipedia.org/w/index.php?search=%D0%91%D0%BB%D0%BE%D1%85%D0%B0%20%D0%B8%20%D0%BC%D1%83%D1%80%D0%B0%D0%B2%D0%B5%D0%B9%201971%20%D1%84%D0%B8%D0%BB%D1%8C%D0%BC","искать")</f>
        <v/>
      </c>
      <c r="N968" s="3" t="n"/>
      <c r="O968" s="2" t="n"/>
      <c r="P968" s="2" t="n"/>
    </row>
    <row r="969">
      <c r="A969" s="2" t="n">
        <v>968</v>
      </c>
      <c r="B969" s="2" t="inlineStr">
        <is>
          <t>не сюжет</t>
        </is>
      </c>
      <c r="C969" s="2" t="n">
        <v>12885</v>
      </c>
      <c r="D969" s="3" t="inlineStr">
        <is>
          <t>Оптимистическая миниатюра</t>
        </is>
      </c>
      <c r="E969" s="2" t="n">
        <v>1978</v>
      </c>
      <c r="F969" s="2" t="inlineStr">
        <is>
          <t>мультфильм</t>
        </is>
      </c>
      <c r="G969" s="2" t="inlineStr">
        <is>
          <t>ГРУЗИЯ-ФИЛЬМ - АО</t>
        </is>
      </c>
      <c r="H969" s="2" t="n">
        <v>37</v>
      </c>
      <c r="I969" s="2" t="inlineStr"/>
      <c r="J969" s="2" t="inlineStr">
        <is>
          <t>да</t>
        </is>
      </c>
      <c r="K969" s="3" t="inlineStr">
        <is>
          <t>В фильме звучит музыка И.Стравинского</t>
        </is>
      </c>
      <c r="L969" s="2" t="inlineStr">
        <is>
          <t>https://animator.ru/db/?p=show_film&amp;fid=4115</t>
        </is>
      </c>
      <c r="M969" s="2">
        <f>HYPERLINK("https://ru.wikipedia.org/w/index.php?search=%D0%9E%D0%BF%D1%82%D0%B8%D0%BC%D0%B8%D1%81%D1%82%D0%B8%D1%87%D0%B5%D1%81%D0%BA%D0%B0%D1%8F%20%D0%BC%D0%B8%D0%BD%D0%B8%D0%B0%D1%82%D1%8E%D1%80%D0%B0%201978%20%D1%84%D0%B8%D0%BB%D1%8C%D0%BC","искать")</f>
        <v/>
      </c>
      <c r="N969" s="3" t="n"/>
      <c r="O969" s="2" t="n"/>
      <c r="P969" s="2" t="n"/>
    </row>
    <row r="970">
      <c r="A970" s="2" t="n">
        <v>969</v>
      </c>
      <c r="B970" s="2" t="inlineStr">
        <is>
          <t>не сюжет</t>
        </is>
      </c>
      <c r="C970" s="2" t="n">
        <v>12947</v>
      </c>
      <c r="D970" s="3" t="inlineStr">
        <is>
          <t>Охотник</t>
        </is>
      </c>
      <c r="E970" s="2" t="n">
        <v>1986</v>
      </c>
      <c r="F970" s="2" t="inlineStr">
        <is>
          <t>мультфильм</t>
        </is>
      </c>
      <c r="G970" s="2" t="inlineStr">
        <is>
          <t>ГРУЗИЯ-ФИЛЬМ - АО</t>
        </is>
      </c>
      <c r="H970" s="2" t="n">
        <v>37</v>
      </c>
      <c r="I970" s="2" t="inlineStr"/>
      <c r="J970" s="2" t="inlineStr">
        <is>
          <t>да</t>
        </is>
      </c>
      <c r="K970" s="3" t="inlineStr">
        <is>
          <t>Фильм в защиту природы (для взрослых)</t>
        </is>
      </c>
      <c r="L970" s="2" t="inlineStr">
        <is>
          <t>https://animator.ru/db/?p=show_film&amp;fid=4177</t>
        </is>
      </c>
      <c r="M970" s="2">
        <f>HYPERLINK("https://ru.wikipedia.org/w/index.php?search=%D0%9E%D1%85%D0%BE%D1%82%D0%BD%D0%B8%D0%BA%201986%20%D1%84%D0%B8%D0%BB%D1%8C%D0%BC","искать")</f>
        <v/>
      </c>
      <c r="N970" s="3" t="n"/>
      <c r="O970" s="2" t="n"/>
      <c r="P970" s="2" t="n"/>
    </row>
    <row r="971">
      <c r="A971" s="2" t="n">
        <v>970</v>
      </c>
      <c r="B971" s="2" t="inlineStr">
        <is>
          <t>не сюжет</t>
        </is>
      </c>
      <c r="C971" s="2" t="n">
        <v>13162</v>
      </c>
      <c r="D971" s="3" t="inlineStr">
        <is>
          <t>Птица кахка</t>
        </is>
      </c>
      <c r="E971" s="2" t="n">
        <v>1988</v>
      </c>
      <c r="F971" s="2" t="inlineStr">
        <is>
          <t>мультфильм</t>
        </is>
      </c>
      <c r="G971" s="2" t="inlineStr">
        <is>
          <t>ТАДЖИКФИЛЬМ</t>
        </is>
      </c>
      <c r="H971" s="2" t="n">
        <v>37</v>
      </c>
      <c r="I971" s="2" t="inlineStr"/>
      <c r="J971" s="2" t="inlineStr">
        <is>
          <t>да</t>
        </is>
      </c>
      <c r="K971" s="3" t="inlineStr">
        <is>
          <t>По мотивам таджикской народной сказки</t>
        </is>
      </c>
      <c r="L971" s="2" t="inlineStr">
        <is>
          <t>https://animator.ru/db/?p=show_film&amp;fid=4399</t>
        </is>
      </c>
      <c r="M971" s="2">
        <f>HYPERLINK("https://ru.wikipedia.org/w/index.php?search=%D0%9F%D1%82%D0%B8%D1%86%D0%B0%20%D0%BA%D0%B0%D1%85%D0%BA%D0%B0%201988%20%D1%84%D0%B8%D0%BB%D1%8C%D0%BC","искать")</f>
        <v/>
      </c>
      <c r="N971" s="3" t="n"/>
      <c r="O971" s="2" t="n"/>
      <c r="P971" s="2" t="n"/>
    </row>
    <row r="972">
      <c r="A972" s="2" t="n">
        <v>971</v>
      </c>
      <c r="B972" s="2" t="inlineStr">
        <is>
          <t>не сюжет</t>
        </is>
      </c>
      <c r="C972" s="2" t="n">
        <v>13276</v>
      </c>
      <c r="D972" s="3" t="inlineStr">
        <is>
          <t>Заколдованный остров</t>
        </is>
      </c>
      <c r="E972" s="2" t="n">
        <v>1985</v>
      </c>
      <c r="F972" s="2" t="inlineStr">
        <is>
          <t>мультфильм</t>
        </is>
      </c>
      <c r="G972" s="2" t="inlineStr">
        <is>
          <t>ТАЛЛИННФИЛЬМ</t>
        </is>
      </c>
      <c r="H972" s="2" t="n">
        <v>37</v>
      </c>
      <c r="I972" s="2" t="inlineStr"/>
      <c r="J972" s="2" t="inlineStr">
        <is>
          <t>да</t>
        </is>
      </c>
      <c r="K972" s="3" t="inlineStr">
        <is>
          <t>По мотивам чукотской народной сказки.</t>
        </is>
      </c>
      <c r="L972" s="2" t="inlineStr">
        <is>
          <t>2026-10_мультфильмы_список_владельца.xlsx; https://animator.ru/db/?p=show_film&amp;fid=4533</t>
        </is>
      </c>
      <c r="M972" s="2">
        <f>HYPERLINK("https://ru.wikipedia.org/w/index.php?search=%D0%97%D0%B0%D0%BA%D0%BE%D0%BB%D0%B4%D0%BE%D0%B2%D0%B0%D0%BD%D0%BD%D1%8B%D0%B9%20%D0%BE%D1%81%D1%82%D1%80%D0%BE%D0%B2%201985%20%D1%84%D0%B8%D0%BB%D1%8C%D0%BC","искать")</f>
        <v/>
      </c>
      <c r="N972" s="3" t="n"/>
      <c r="O972" s="2" t="n"/>
      <c r="P972" s="2" t="n"/>
    </row>
    <row r="973">
      <c r="A973" s="2" t="n">
        <v>972</v>
      </c>
      <c r="B973" s="2" t="inlineStr">
        <is>
          <t>не сюжет</t>
        </is>
      </c>
      <c r="C973" s="2" t="n">
        <v>13297</v>
      </c>
      <c r="D973" s="3" t="inlineStr">
        <is>
          <t>Жизнь и смерть</t>
        </is>
      </c>
      <c r="E973" s="2" t="n">
        <v>1990</v>
      </c>
      <c r="F973" s="2" t="inlineStr">
        <is>
          <t>мультфильм</t>
        </is>
      </c>
      <c r="G973" s="2" t="inlineStr">
        <is>
          <t>ТАЛЛИННФИЛЬМ</t>
        </is>
      </c>
      <c r="H973" s="2" t="n">
        <v>37</v>
      </c>
      <c r="I973" s="2" t="inlineStr"/>
      <c r="J973" s="2" t="inlineStr">
        <is>
          <t>да</t>
        </is>
      </c>
      <c r="K973" s="3" t="inlineStr">
        <is>
          <t>Сатирические минисюжеты. Для взрослых</t>
        </is>
      </c>
      <c r="L973" s="2" t="inlineStr">
        <is>
          <t>https://animator.ru/db/?p=show_film&amp;fid=4554</t>
        </is>
      </c>
      <c r="M973" s="2">
        <f>HYPERLINK("https://ru.wikipedia.org/w/index.php?search=%D0%96%D0%B8%D0%B7%D0%BD%D1%8C%20%D0%B8%20%D1%81%D0%BC%D0%B5%D1%80%D1%82%D1%8C%201990%20%D1%84%D0%B8%D0%BB%D1%8C%D0%BC","искать")</f>
        <v/>
      </c>
      <c r="N973" s="3" t="n"/>
      <c r="O973" s="2" t="n"/>
      <c r="P973" s="2" t="n"/>
    </row>
    <row r="974">
      <c r="A974" s="2" t="n">
        <v>973</v>
      </c>
      <c r="B974" s="2" t="inlineStr">
        <is>
          <t>не сюжет</t>
        </is>
      </c>
      <c r="C974" s="2" t="n">
        <v>13361</v>
      </c>
      <c r="D974" s="3" t="inlineStr">
        <is>
          <t>История одной странной дружбы</t>
        </is>
      </c>
      <c r="E974" s="2" t="n">
        <v>1980</v>
      </c>
      <c r="F974" s="2" t="inlineStr">
        <is>
          <t>мультфильм</t>
        </is>
      </c>
      <c r="G974" s="2" t="inlineStr">
        <is>
          <t>КАЗАХФИЛЬМ</t>
        </is>
      </c>
      <c r="H974" s="2" t="n">
        <v>37</v>
      </c>
      <c r="I974" s="2" t="inlineStr"/>
      <c r="J974" s="2" t="inlineStr">
        <is>
          <t>да</t>
        </is>
      </c>
      <c r="K974" s="3" t="inlineStr">
        <is>
          <t>О дружбе малышей - Цыпленка и Лисенка</t>
        </is>
      </c>
      <c r="L974" s="2" t="inlineStr">
        <is>
          <t>https://animator.ru/db/?p=show_film&amp;fid=4639</t>
        </is>
      </c>
      <c r="M974" s="2">
        <f>HYPERLINK("https://ru.wikipedia.org/w/index.php?search=%D0%98%D1%81%D1%82%D0%BE%D1%80%D0%B8%D1%8F%20%D0%BE%D0%B4%D0%BD%D0%BE%D0%B9%20%D1%81%D1%82%D1%80%D0%B0%D0%BD%D0%BD%D0%BE%D0%B9%20%D0%B4%D1%80%D1%83%D0%B6%D0%B1%D1%8B%201980%20%D1%84%D0%B8%D0%BB%D1%8C%D0%BC","искать")</f>
        <v/>
      </c>
      <c r="N974" s="3" t="n"/>
      <c r="O974" s="2" t="n"/>
      <c r="P974" s="2" t="n"/>
    </row>
    <row r="975">
      <c r="A975" s="2" t="n">
        <v>974</v>
      </c>
      <c r="B975" s="2" t="inlineStr">
        <is>
          <t>не сюжет</t>
        </is>
      </c>
      <c r="C975" s="2" t="n">
        <v>13369</v>
      </c>
      <c r="D975" s="3" t="inlineStr">
        <is>
          <t>Обманутые обманщики</t>
        </is>
      </c>
      <c r="E975" s="2" t="n">
        <v>1977</v>
      </c>
      <c r="F975" s="2" t="inlineStr">
        <is>
          <t>мультфильм</t>
        </is>
      </c>
      <c r="G975" s="2" t="inlineStr">
        <is>
          <t>УЗБЕКФИЛЬМ</t>
        </is>
      </c>
      <c r="H975" s="2" t="n">
        <v>37</v>
      </c>
      <c r="I975" s="2" t="inlineStr"/>
      <c r="J975" s="2" t="inlineStr">
        <is>
          <t>да</t>
        </is>
      </c>
      <c r="K975" s="3" t="inlineStr">
        <is>
          <t>По мотивам историй о Ходжа-Насреддине</t>
        </is>
      </c>
      <c r="L975" s="2" t="inlineStr">
        <is>
          <t>https://animator.ru/db/?p=show_film&amp;fid=4647</t>
        </is>
      </c>
      <c r="M975" s="2">
        <f>HYPERLINK("https://ru.wikipedia.org/w/index.php?search=%D0%9E%D0%B1%D0%BC%D0%B0%D0%BD%D1%83%D1%82%D1%8B%D0%B5%20%D0%BE%D0%B1%D0%BC%D0%B0%D0%BD%D1%89%D0%B8%D0%BA%D0%B8%201977%20%D1%84%D0%B8%D0%BB%D1%8C%D0%BC","искать")</f>
        <v/>
      </c>
      <c r="N975" s="3" t="n"/>
      <c r="O975" s="2" t="n"/>
      <c r="P975" s="2" t="n"/>
    </row>
    <row r="976">
      <c r="A976" s="2" t="n">
        <v>975</v>
      </c>
      <c r="B976" s="2" t="inlineStr">
        <is>
          <t>не сюжет</t>
        </is>
      </c>
      <c r="C976" s="2" t="n">
        <v>13602</v>
      </c>
      <c r="D976" s="3" t="inlineStr">
        <is>
          <t>Калле и Бука</t>
        </is>
      </c>
      <c r="E976" s="2" t="n">
        <v>1984</v>
      </c>
      <c r="F976" s="2" t="inlineStr">
        <is>
          <t>мультфильм</t>
        </is>
      </c>
      <c r="G976" s="2" t="inlineStr">
        <is>
          <t>ТАЛЛИННФИЛЬМ</t>
        </is>
      </c>
      <c r="H976" s="2" t="n">
        <v>37</v>
      </c>
      <c r="I976" s="2" t="inlineStr"/>
      <c r="J976" s="2" t="inlineStr">
        <is>
          <t>да</t>
        </is>
      </c>
      <c r="K976" s="3" t="inlineStr">
        <is>
          <t>По мотивам эстонской народной сказки.</t>
        </is>
      </c>
      <c r="L976" s="2" t="inlineStr">
        <is>
          <t>2026-10_мультфильмы_список_владельца.xlsx; https://animator.ru/db/?p=show_film&amp;fid=4952</t>
        </is>
      </c>
      <c r="M976" s="2">
        <f>HYPERLINK("https://ru.wikipedia.org/w/index.php?search=%D0%9A%D0%B0%D0%BB%D0%BB%D0%B5%20%D0%B8%20%D0%91%D1%83%D0%BA%D0%B0%201984%20%D1%84%D0%B8%D0%BB%D1%8C%D0%BC","искать")</f>
        <v/>
      </c>
      <c r="N976" s="3" t="n"/>
      <c r="O976" s="2" t="n"/>
      <c r="P976" s="2" t="n"/>
    </row>
    <row r="977">
      <c r="A977" s="2" t="n">
        <v>976</v>
      </c>
      <c r="B977" s="2" t="inlineStr">
        <is>
          <t>не сюжет</t>
        </is>
      </c>
      <c r="C977" s="2" t="n">
        <v>13775</v>
      </c>
      <c r="D977" s="3" t="inlineStr">
        <is>
          <t>Наедине с природой</t>
        </is>
      </c>
      <c r="E977" s="2" t="n">
        <v>1988</v>
      </c>
      <c r="F977" s="2" t="inlineStr">
        <is>
          <t>мультфильм</t>
        </is>
      </c>
      <c r="G977" s="2" t="inlineStr">
        <is>
          <t>ЭКРАН</t>
        </is>
      </c>
      <c r="H977" s="2" t="n">
        <v>37</v>
      </c>
      <c r="I977" s="2" t="inlineStr"/>
      <c r="J977" s="2" t="inlineStr">
        <is>
          <t>да</t>
        </is>
      </c>
      <c r="K977" s="3" t="inlineStr">
        <is>
          <t>По мотивам рассказа А.Валтона "Назад"</t>
        </is>
      </c>
      <c r="L977" s="2" t="inlineStr">
        <is>
          <t>https://animator.ru/db/?p=show_film&amp;fid=5168</t>
        </is>
      </c>
      <c r="M977" s="2">
        <f>HYPERLINK("https://ru.wikipedia.org/w/index.php?search=%D0%9D%D0%B0%D0%B5%D0%B4%D0%B8%D0%BD%D0%B5%20%D1%81%20%D0%BF%D1%80%D0%B8%D1%80%D0%BE%D0%B4%D0%BE%D0%B9%201988%20%D1%84%D0%B8%D0%BB%D1%8C%D0%BC","искать")</f>
        <v/>
      </c>
      <c r="N977" s="3" t="n"/>
      <c r="O977" s="2" t="n"/>
      <c r="P977" s="2" t="n"/>
    </row>
    <row r="978">
      <c r="A978" s="2" t="n">
        <v>977</v>
      </c>
      <c r="B978" s="2" t="inlineStr">
        <is>
          <t>не сюжет</t>
        </is>
      </c>
      <c r="C978" s="2" t="n">
        <v>13895</v>
      </c>
      <c r="D978" s="3" t="inlineStr">
        <is>
          <t>Скафандр</t>
        </is>
      </c>
      <c r="E978" s="2" t="n">
        <v>1984</v>
      </c>
      <c r="F978" s="2" t="inlineStr">
        <is>
          <t>мультфильм</t>
        </is>
      </c>
      <c r="G978" s="2" t="inlineStr">
        <is>
          <t>ЭКРАН</t>
        </is>
      </c>
      <c r="H978" s="2" t="n">
        <v>37</v>
      </c>
      <c r="I978" s="2" t="inlineStr"/>
      <c r="J978" s="2" t="inlineStr">
        <is>
          <t>да</t>
        </is>
      </c>
      <c r="K978" s="3" t="inlineStr">
        <is>
          <t>Об загрязненном воздухе наших городов</t>
        </is>
      </c>
      <c r="L978" s="2" t="inlineStr">
        <is>
          <t>https://animator.ru/db/?p=show_film&amp;fid=5289</t>
        </is>
      </c>
      <c r="M978" s="2">
        <f>HYPERLINK("https://ru.wikipedia.org/w/index.php?search=%D0%A1%D0%BA%D0%B0%D1%84%D0%B0%D0%BD%D0%B4%D1%80%201984%20%D1%84%D0%B8%D0%BB%D1%8C%D0%BC","искать")</f>
        <v/>
      </c>
      <c r="N978" s="3" t="n"/>
      <c r="O978" s="2" t="n"/>
      <c r="P978" s="2" t="n"/>
    </row>
    <row r="979">
      <c r="A979" s="2" t="n">
        <v>978</v>
      </c>
      <c r="B979" s="2" t="inlineStr">
        <is>
          <t>не сюжет</t>
        </is>
      </c>
      <c r="C979" s="2" t="n">
        <v>13954</v>
      </c>
      <c r="D979" s="3" t="inlineStr">
        <is>
          <t>Холодно - горячо</t>
        </is>
      </c>
      <c r="E979" s="2" t="n">
        <v>1987</v>
      </c>
      <c r="F979" s="2" t="inlineStr">
        <is>
          <t>мультфильм</t>
        </is>
      </c>
      <c r="G979" s="2" t="inlineStr">
        <is>
          <t>ЭКРАН</t>
        </is>
      </c>
      <c r="H979" s="2" t="n">
        <v>37</v>
      </c>
      <c r="I979" s="2" t="inlineStr"/>
      <c r="J979" s="2" t="inlineStr">
        <is>
          <t>да</t>
        </is>
      </c>
      <c r="K979" s="3" t="inlineStr">
        <is>
          <t>Плакат о безопасном обращении с газом</t>
        </is>
      </c>
      <c r="L979" s="2" t="inlineStr">
        <is>
          <t>https://animator.ru/db/?p=show_film&amp;fid=5348</t>
        </is>
      </c>
      <c r="M979" s="2">
        <f>HYPERLINK("https://ru.wikipedia.org/w/index.php?search=%D0%A5%D0%BE%D0%BB%D0%BE%D0%B4%D0%BD%D0%BE%20-%20%D0%B3%D0%BE%D1%80%D1%8F%D1%87%D0%BE%201987%20%D1%84%D0%B8%D0%BB%D1%8C%D0%BC","искать")</f>
        <v/>
      </c>
      <c r="N979" s="3" t="n"/>
      <c r="O979" s="2" t="n"/>
      <c r="P979" s="2" t="n"/>
    </row>
    <row r="980">
      <c r="A980" s="2" t="n">
        <v>979</v>
      </c>
      <c r="B980" s="2" t="inlineStr">
        <is>
          <t>не сюжет</t>
        </is>
      </c>
      <c r="C980" s="2" t="n">
        <v>14062</v>
      </c>
      <c r="D980" s="3" t="inlineStr">
        <is>
          <t>Сказка о волшебном гранате</t>
        </is>
      </c>
      <c r="E980" s="2" t="n">
        <v>1982</v>
      </c>
      <c r="F980" s="2" t="inlineStr">
        <is>
          <t>мультфильм</t>
        </is>
      </c>
      <c r="G980" s="2" t="inlineStr">
        <is>
          <t>УЗБЕКФИЛЬМ</t>
        </is>
      </c>
      <c r="H980" s="2" t="n">
        <v>37</v>
      </c>
      <c r="I980" s="2" t="inlineStr"/>
      <c r="J980" s="2" t="inlineStr">
        <is>
          <t>да</t>
        </is>
      </c>
      <c r="K980" s="3" t="inlineStr">
        <is>
          <t>По мотивам узбекских народных сказок.</t>
        </is>
      </c>
      <c r="L980" s="2" t="inlineStr">
        <is>
          <t>2026-10_мультфильмы_список_владельца.xlsx; https://animator.ru/db/?p=show_film&amp;fid=5458</t>
        </is>
      </c>
      <c r="M980" s="2">
        <f>HYPERLINK("https://ru.wikipedia.org/w/index.php?search=%D0%A1%D0%BA%D0%B0%D0%B7%D0%BA%D0%B0%20%D0%BE%20%D0%B2%D0%BE%D0%BB%D1%88%D0%B5%D0%B1%D0%BD%D0%BE%D0%BC%20%D0%B3%D1%80%D0%B0%D0%BD%D0%B0%D1%82%D0%B5%201982%20%D1%84%D0%B8%D0%BB%D1%8C%D0%BC","искать")</f>
        <v/>
      </c>
      <c r="N980" s="3" t="n"/>
      <c r="O980" s="2" t="n"/>
      <c r="P980" s="2" t="n"/>
    </row>
    <row r="981">
      <c r="A981" s="2" t="n">
        <v>980</v>
      </c>
      <c r="B981" s="2" t="inlineStr">
        <is>
          <t>не сюжет</t>
        </is>
      </c>
      <c r="C981" s="2" t="n">
        <v>14134</v>
      </c>
      <c r="D981" s="3" t="inlineStr">
        <is>
          <t>Музыкальный магазин</t>
        </is>
      </c>
      <c r="E981" s="2" t="n">
        <v>1970</v>
      </c>
      <c r="F981" s="2" t="inlineStr">
        <is>
          <t>мультфильм</t>
        </is>
      </c>
      <c r="G981" s="2" t="inlineStr">
        <is>
          <t>ВОЛГОГРАДТЕЛЕФИЛЬМ</t>
        </is>
      </c>
      <c r="H981" s="2" t="n">
        <v>37</v>
      </c>
      <c r="I981" s="2" t="inlineStr"/>
      <c r="J981" s="2" t="inlineStr">
        <is>
          <t>да</t>
        </is>
      </c>
      <c r="K981" s="3" t="inlineStr">
        <is>
          <t>По мотивам одноименной сказки Л.Легут</t>
        </is>
      </c>
      <c r="L981" s="2" t="inlineStr">
        <is>
          <t>https://animator.ru/db/?p=show_film&amp;fid=5532</t>
        </is>
      </c>
      <c r="M981" s="2">
        <f>HYPERLINK("https://ru.wikipedia.org/w/index.php?search=%D0%9C%D1%83%D0%B7%D1%8B%D0%BA%D0%B0%D0%BB%D1%8C%D0%BD%D1%8B%D0%B9%20%D0%BC%D0%B0%D0%B3%D0%B0%D0%B7%D0%B8%D0%BD%201970%20%D1%84%D0%B8%D0%BB%D1%8C%D0%BC","искать")</f>
        <v/>
      </c>
      <c r="N981" s="3" t="n"/>
      <c r="O981" s="2" t="n"/>
      <c r="P981" s="2" t="n"/>
    </row>
    <row r="982">
      <c r="A982" s="2" t="n">
        <v>981</v>
      </c>
      <c r="B982" s="2" t="inlineStr">
        <is>
          <t>не сюжет</t>
        </is>
      </c>
      <c r="C982" s="2" t="n">
        <v>14156</v>
      </c>
      <c r="D982" s="3" t="inlineStr">
        <is>
          <t>Потя и Потиха</t>
        </is>
      </c>
      <c r="E982" s="2" t="n">
        <v>1982</v>
      </c>
      <c r="F982" s="2" t="inlineStr">
        <is>
          <t>мультфильм</t>
        </is>
      </c>
      <c r="G982" s="2" t="inlineStr">
        <is>
          <t>ПЕРМЬТЕЛЕФИЛЬМ</t>
        </is>
      </c>
      <c r="H982" s="2" t="n">
        <v>37</v>
      </c>
      <c r="I982" s="2" t="inlineStr"/>
      <c r="J982" s="2" t="inlineStr">
        <is>
          <t>да</t>
        </is>
      </c>
      <c r="K982" s="3" t="inlineStr">
        <is>
          <t>По мотивам коми-пермяцкого фольклора.</t>
        </is>
      </c>
      <c r="L982" s="2" t="inlineStr">
        <is>
          <t>2026-10_мультфильмы_список_владельца.xlsx; https://animator.ru/db/?p=show_film&amp;fid=5554</t>
        </is>
      </c>
      <c r="M982" s="2">
        <f>HYPERLINK("https://ru.wikipedia.org/w/index.php?search=%D0%9F%D0%BE%D1%82%D1%8F%20%D0%B8%20%D0%9F%D0%BE%D1%82%D0%B8%D1%85%D0%B0%201982%20%D1%84%D0%B8%D0%BB%D1%8C%D0%BC","искать")</f>
        <v/>
      </c>
      <c r="N982" s="3" t="n"/>
      <c r="O982" s="2" t="n"/>
      <c r="P982" s="2" t="n"/>
    </row>
    <row r="983">
      <c r="A983" s="2" t="n">
        <v>982</v>
      </c>
      <c r="B983" s="2" t="inlineStr">
        <is>
          <t>не сюжет</t>
        </is>
      </c>
      <c r="C983" s="2" t="n">
        <v>14305</v>
      </c>
      <c r="D983" s="3" t="inlineStr">
        <is>
          <t>Один день</t>
        </is>
      </c>
      <c r="E983" s="2" t="n">
        <v>1989</v>
      </c>
      <c r="F983" s="2" t="inlineStr">
        <is>
          <t>мультфильм</t>
        </is>
      </c>
      <c r="G983" s="2" t="inlineStr">
        <is>
          <t>КИРГИЗФИЛЬМ</t>
        </is>
      </c>
      <c r="H983" s="2" t="n">
        <v>37</v>
      </c>
      <c r="I983" s="2" t="inlineStr"/>
      <c r="J983" s="2" t="inlineStr">
        <is>
          <t>да</t>
        </is>
      </c>
      <c r="K983" s="3" t="inlineStr">
        <is>
          <t>По мотивам киргизских народных сказок</t>
        </is>
      </c>
      <c r="L983" s="2" t="inlineStr">
        <is>
          <t>https://animator.ru/db/?p=show_film&amp;fid=5850</t>
        </is>
      </c>
      <c r="M983" s="2">
        <f>HYPERLINK("https://ru.wikipedia.org/w/index.php?search=%D0%9E%D0%B4%D0%B8%D0%BD%20%D0%B4%D0%B5%D0%BD%D1%8C%201989%20%D1%84%D0%B8%D0%BB%D1%8C%D0%BC","искать")</f>
        <v/>
      </c>
      <c r="N983" s="3" t="n"/>
      <c r="O983" s="2" t="n"/>
      <c r="P983" s="2" t="n"/>
    </row>
    <row r="984">
      <c r="A984" s="2" t="n">
        <v>983</v>
      </c>
      <c r="B984" s="2" t="inlineStr">
        <is>
          <t>не сюжет</t>
        </is>
      </c>
      <c r="C984" s="2" t="n">
        <v>14325</v>
      </c>
      <c r="D984" s="3" t="inlineStr">
        <is>
          <t>Жильцы старого дома</t>
        </is>
      </c>
      <c r="E984" s="2" t="n">
        <v>1988</v>
      </c>
      <c r="F984" s="2" t="inlineStr">
        <is>
          <t>мультфильм</t>
        </is>
      </c>
      <c r="G984" s="2" t="inlineStr">
        <is>
          <t>Свердловская киностудия</t>
        </is>
      </c>
      <c r="H984" s="2" t="n">
        <v>37</v>
      </c>
      <c r="I984" s="2" t="inlineStr"/>
      <c r="J984" s="2" t="inlineStr">
        <is>
          <t>да</t>
        </is>
      </c>
      <c r="K984" s="3" t="inlineStr">
        <is>
          <t>По мотивам рассказов К. Паустовского.</t>
        </is>
      </c>
      <c r="L984" s="2" t="inlineStr">
        <is>
          <t>2026-10_мультфильмы_список_владельца.xlsx; https://animator.ru/db/?p=show_film&amp;fid=5872</t>
        </is>
      </c>
      <c r="M984" s="2">
        <f>HYPERLINK("https://ru.wikipedia.org/w/index.php?search=%D0%96%D0%B8%D0%BB%D1%8C%D1%86%D1%8B%20%D1%81%D1%82%D0%B0%D1%80%D0%BE%D0%B3%D0%BE%20%D0%B4%D0%BE%D0%BC%D0%B0%201988%20%D1%84%D0%B8%D0%BB%D1%8C%D0%BC","искать")</f>
        <v/>
      </c>
      <c r="N984" s="3" t="n"/>
      <c r="O984" s="2" t="n"/>
      <c r="P984" s="2" t="n"/>
    </row>
    <row r="985">
      <c r="A985" s="2" t="n">
        <v>984</v>
      </c>
      <c r="B985" s="2" t="inlineStr">
        <is>
          <t>не сюжет</t>
        </is>
      </c>
      <c r="C985" s="2" t="n">
        <v>7985</v>
      </c>
      <c r="D985" s="3" t="inlineStr">
        <is>
          <t>Необыкновенное лето</t>
        </is>
      </c>
      <c r="E985" s="2" t="n">
        <v>1979</v>
      </c>
      <c r="F985" s="2" t="inlineStr">
        <is>
          <t>телефильм</t>
        </is>
      </c>
      <c r="G985" s="2" t="n"/>
      <c r="H985" s="2" t="n">
        <v>38</v>
      </c>
      <c r="I985" s="2" t="inlineStr"/>
      <c r="J985" s="2" t="inlineStr">
        <is>
          <t>да</t>
        </is>
      </c>
      <c r="K985" s="3" t="inlineStr">
        <is>
          <t>Сериал по одноименному роману К.Федина</t>
        </is>
      </c>
      <c r="L985" s="2" t="inlineStr">
        <is>
          <t>Кино_СССР сводный каталог.xlsx: список телефильмов</t>
        </is>
      </c>
      <c r="M985" s="2">
        <f>HYPERLINK("https://ru.wikipedia.org/w/index.php?search=%D0%9D%D0%B5%D0%BE%D0%B1%D1%8B%D0%BA%D0%BD%D0%BE%D0%B2%D0%B5%D0%BD%D0%BD%D0%BE%D0%B5%20%D0%BB%D0%B5%D1%82%D0%BE%201979%20%D1%84%D0%B8%D0%BB%D1%8C%D0%BC","искать")</f>
        <v/>
      </c>
      <c r="N985" s="3" t="n"/>
      <c r="O985" s="2" t="n"/>
      <c r="P985" s="2" t="n"/>
    </row>
    <row r="986">
      <c r="A986" s="2" t="n">
        <v>985</v>
      </c>
      <c r="B986" s="2" t="inlineStr">
        <is>
          <t>не сюжет</t>
        </is>
      </c>
      <c r="C986" s="2" t="n">
        <v>9818</v>
      </c>
      <c r="D986" s="3" t="inlineStr">
        <is>
          <t>После бала</t>
        </is>
      </c>
      <c r="E986" s="2" t="n">
        <v>1961</v>
      </c>
      <c r="F986" s="2" t="inlineStr">
        <is>
          <t>телефильм</t>
        </is>
      </c>
      <c r="G986" s="2" t="inlineStr">
        <is>
          <t>Главная редакция литературно-драматических программ ЦТ</t>
        </is>
      </c>
      <c r="H986" s="2" t="n">
        <v>38</v>
      </c>
      <c r="I986" s="2" t="inlineStr"/>
      <c r="J986" s="2" t="inlineStr">
        <is>
          <t>да</t>
        </is>
      </c>
      <c r="K986" s="3" t="inlineStr">
        <is>
          <t>По одноименному рассказу Л.Н.Толстого.</t>
        </is>
      </c>
      <c r="L986" s="2" t="inlineStr">
        <is>
          <t>https://www.kino-teatr.ru/short/movie/sov/12137/annot/</t>
        </is>
      </c>
      <c r="M986" s="2">
        <f>HYPERLINK("https://ru.wikipedia.org/w/index.php?search=%D0%9F%D0%BE%D1%81%D0%BB%D0%B5%20%D0%B1%D0%B0%D0%BB%D0%B0%201961%20%D1%84%D0%B8%D0%BB%D1%8C%D0%BC","искать")</f>
        <v/>
      </c>
      <c r="N986" s="3" t="n"/>
      <c r="O986" s="2" t="n"/>
      <c r="P986" s="2" t="n"/>
    </row>
    <row r="987">
      <c r="A987" s="2" t="n">
        <v>986</v>
      </c>
      <c r="B987" s="2" t="inlineStr">
        <is>
          <t>не сюжет</t>
        </is>
      </c>
      <c r="C987" s="2" t="n">
        <v>9835</v>
      </c>
      <c r="D987" s="3" t="inlineStr">
        <is>
          <t>Подарок</t>
        </is>
      </c>
      <c r="E987" s="2" t="n">
        <v>1966</v>
      </c>
      <c r="F987" s="2" t="inlineStr">
        <is>
          <t>кинофильм</t>
        </is>
      </c>
      <c r="G987" s="2" t="inlineStr">
        <is>
          <t>Мосфильм</t>
        </is>
      </c>
      <c r="H987" s="2" t="n">
        <v>38</v>
      </c>
      <c r="I987" s="2" t="inlineStr"/>
      <c r="J987" s="2" t="inlineStr">
        <is>
          <t>да</t>
        </is>
      </c>
      <c r="K987" s="3" t="inlineStr">
        <is>
          <t>Фильм снят по заказу Госавтоинспекции.</t>
        </is>
      </c>
      <c r="L987" s="2" t="inlineStr">
        <is>
          <t>https://www.kino-teatr.ru/short/movie/sov/5261/annot/</t>
        </is>
      </c>
      <c r="M987" s="2">
        <f>HYPERLINK("https://ru.wikipedia.org/w/index.php?search=%D0%9F%D0%BE%D0%B4%D0%B0%D1%80%D0%BE%D0%BA%201966%20%D1%84%D0%B8%D0%BB%D1%8C%D0%BC","искать")</f>
        <v/>
      </c>
      <c r="N987" s="3" t="n"/>
      <c r="O987" s="2" t="n"/>
      <c r="P987" s="2" t="n"/>
    </row>
    <row r="988">
      <c r="A988" s="2" t="n">
        <v>987</v>
      </c>
      <c r="B988" s="2" t="inlineStr">
        <is>
          <t>не сюжет</t>
        </is>
      </c>
      <c r="C988" s="2" t="n">
        <v>9926</v>
      </c>
      <c r="D988" s="3" t="inlineStr">
        <is>
          <t>Колесо</t>
        </is>
      </c>
      <c r="E988" s="2" t="n">
        <v>1977</v>
      </c>
      <c r="F988" s="2" t="inlineStr">
        <is>
          <t>телефильм</t>
        </is>
      </c>
      <c r="G988" s="2" t="inlineStr">
        <is>
          <t>Белорусское телевидение</t>
        </is>
      </c>
      <c r="H988" s="2" t="n">
        <v>38</v>
      </c>
      <c r="I988" s="2" t="inlineStr"/>
      <c r="J988" s="2" t="inlineStr">
        <is>
          <t>да</t>
        </is>
      </c>
      <c r="K988" s="3" t="inlineStr">
        <is>
          <t>По рассказу А.Дударева "Святая птица".</t>
        </is>
      </c>
      <c r="L988" s="2" t="inlineStr">
        <is>
          <t>https://www.kino-teatr.ru/short/movie/sov/37765/annot/</t>
        </is>
      </c>
      <c r="M988" s="2">
        <f>HYPERLINK("https://ru.wikipedia.org/w/index.php?search=%D0%9A%D0%BE%D0%BB%D0%B5%D1%81%D0%BE%201977%20%D1%84%D0%B8%D0%BB%D1%8C%D0%BC","искать")</f>
        <v/>
      </c>
      <c r="N988" s="3" t="n"/>
      <c r="O988" s="2" t="n"/>
      <c r="P988" s="2" t="n"/>
    </row>
    <row r="989">
      <c r="A989" s="2" t="n">
        <v>988</v>
      </c>
      <c r="B989" s="2" t="inlineStr">
        <is>
          <t>не сюжет</t>
        </is>
      </c>
      <c r="C989" s="2" t="n">
        <v>10061</v>
      </c>
      <c r="D989" s="3" t="inlineStr">
        <is>
          <t>Два брата</t>
        </is>
      </c>
      <c r="E989" s="2" t="n">
        <v>1954</v>
      </c>
      <c r="F989" s="2" t="inlineStr">
        <is>
          <t>фильм-спектакль</t>
        </is>
      </c>
      <c r="G989" s="2" t="inlineStr">
        <is>
          <t>Ленинградское ТВ, Подборки фильмов, экранизации Лермонтова</t>
        </is>
      </c>
      <c r="H989" s="2" t="n">
        <v>38</v>
      </c>
      <c r="I989" s="2" t="inlineStr"/>
      <c r="J989" s="2" t="inlineStr">
        <is>
          <t>да</t>
        </is>
      </c>
      <c r="K989" s="3" t="inlineStr">
        <is>
          <t>Телеспектакль по пьесе М.Ю.Лермонтова.</t>
        </is>
      </c>
      <c r="L989" s="2" t="inlineStr">
        <is>
          <t>https://www.kino-teatr.ru/teatr/movie/80331/annot/</t>
        </is>
      </c>
      <c r="M989" s="2">
        <f>HYPERLINK("https://ru.wikipedia.org/w/index.php?search=%D0%94%D0%B2%D0%B0%20%D0%B1%D1%80%D0%B0%D1%82%D0%B0%201954%20%D1%84%D0%B8%D0%BB%D1%8C%D0%BC","искать")</f>
        <v/>
      </c>
      <c r="N989" s="3" t="n"/>
      <c r="O989" s="2" t="n"/>
      <c r="P989" s="2" t="n"/>
    </row>
    <row r="990">
      <c r="A990" s="2" t="n">
        <v>989</v>
      </c>
      <c r="B990" s="2" t="inlineStr">
        <is>
          <t>не сюжет</t>
        </is>
      </c>
      <c r="C990" s="2" t="n">
        <v>10248</v>
      </c>
      <c r="D990" s="3" t="inlineStr">
        <is>
          <t>Зыковы</t>
        </is>
      </c>
      <c r="E990" s="2" t="n">
        <v>1968</v>
      </c>
      <c r="F990" s="2" t="inlineStr">
        <is>
          <t>фильм-спектакль</t>
        </is>
      </c>
      <c r="G990" s="2" t="inlineStr">
        <is>
          <t>Ленинградское ТВ</t>
        </is>
      </c>
      <c r="H990" s="2" t="n">
        <v>38</v>
      </c>
      <c r="I990" s="2" t="inlineStr"/>
      <c r="J990" s="2" t="inlineStr">
        <is>
          <t>да</t>
        </is>
      </c>
      <c r="K990" s="3" t="inlineStr">
        <is>
          <t>По одноименной пьесе Максима Горького.</t>
        </is>
      </c>
      <c r="L990" s="2" t="inlineStr">
        <is>
          <t>https://www.kino-teatr.ru/teatr/movie/80909/annot/</t>
        </is>
      </c>
      <c r="M990" s="2">
        <f>HYPERLINK("https://ru.wikipedia.org/w/index.php?search=%D0%97%D1%8B%D0%BA%D0%BE%D0%B2%D1%8B%201968%20%D1%84%D0%B8%D0%BB%D1%8C%D0%BC","искать")</f>
        <v/>
      </c>
      <c r="N990" s="3" t="n"/>
      <c r="O990" s="2" t="n"/>
      <c r="P990" s="2" t="n"/>
    </row>
    <row r="991">
      <c r="A991" s="2" t="n">
        <v>990</v>
      </c>
      <c r="B991" s="2" t="inlineStr">
        <is>
          <t>не сюжет</t>
        </is>
      </c>
      <c r="C991" s="2" t="n">
        <v>10687</v>
      </c>
      <c r="D991" s="3" t="inlineStr">
        <is>
          <t>Доходное место</t>
        </is>
      </c>
      <c r="E991" s="2" t="n">
        <v>1977</v>
      </c>
      <c r="F991" s="2" t="inlineStr">
        <is>
          <t>фильм-спектакль</t>
        </is>
      </c>
      <c r="G991" s="2" t="inlineStr">
        <is>
          <t>Главная редакция литературно-драматических программ ЦТ</t>
        </is>
      </c>
      <c r="H991" s="2" t="n">
        <v>38</v>
      </c>
      <c r="I991" s="2" t="inlineStr"/>
      <c r="J991" s="2" t="inlineStr">
        <is>
          <t>да</t>
        </is>
      </c>
      <c r="K991" s="3" t="inlineStr">
        <is>
          <t>По одноименной пьесе А.Н. Островского.</t>
        </is>
      </c>
      <c r="L991" s="2" t="inlineStr">
        <is>
          <t>https://www.kino-teatr.ru/teatr/movie/2013/annot/</t>
        </is>
      </c>
      <c r="M991" s="2">
        <f>HYPERLINK("https://ru.wikipedia.org/w/index.php?search=%D0%94%D0%BE%D1%85%D0%BE%D0%B4%D0%BD%D0%BE%D0%B5%20%D0%BC%D0%B5%D1%81%D1%82%D0%BE%201977%20%D1%84%D0%B8%D0%BB%D1%8C%D0%BC","искать")</f>
        <v/>
      </c>
      <c r="N991" s="3" t="n"/>
      <c r="O991" s="2" t="n"/>
      <c r="P991" s="2" t="n"/>
    </row>
    <row r="992">
      <c r="A992" s="2" t="n">
        <v>991</v>
      </c>
      <c r="B992" s="2" t="inlineStr">
        <is>
          <t>не сюжет</t>
        </is>
      </c>
      <c r="C992" s="2" t="n">
        <v>11096</v>
      </c>
      <c r="D992" s="3" t="inlineStr">
        <is>
          <t>Будильник. Рассказы А.П.Чехова</t>
        </is>
      </c>
      <c r="E992" s="2" t="n">
        <v>1986</v>
      </c>
      <c r="F992" s="2" t="inlineStr">
        <is>
          <t>фильм-спектакль</t>
        </is>
      </c>
      <c r="G992" s="2" t="inlineStr">
        <is>
          <t>Студия детских и юношеских программ ЦТ, Подборки фильмов, экранизации Чехова</t>
        </is>
      </c>
      <c r="H992" s="2" t="n">
        <v>38</v>
      </c>
      <c r="I992" s="2" t="inlineStr"/>
      <c r="J992" s="2" t="inlineStr">
        <is>
          <t>да</t>
        </is>
      </c>
      <c r="K992" s="3" t="inlineStr">
        <is>
          <t>Телеспектакль по рассказам А.П.Чехова.</t>
        </is>
      </c>
      <c r="L992" s="2" t="inlineStr">
        <is>
          <t>https://www.kino-teatr.ru/teatr/movie/2509/annot/</t>
        </is>
      </c>
      <c r="M992" s="2">
        <f>HYPERLINK("https://ru.wikipedia.org/w/index.php?search=%D0%91%D1%83%D0%B4%D0%B8%D0%BB%D1%8C%D0%BD%D0%B8%D0%BA.%20%D0%A0%D0%B0%D1%81%D1%81%D0%BA%D0%B0%D0%B7%D1%8B%20%D0%90.%D0%9F.%D0%A7%D0%B5%D1%85%D0%BE%D0%B2%D0%B0%201986%20%D1%84%D0%B8%D0%BB%D1%8C%D0%BC","искать")</f>
        <v/>
      </c>
      <c r="N992" s="3" t="n"/>
      <c r="O992" s="2" t="n"/>
      <c r="P992" s="2" t="n"/>
    </row>
    <row r="993">
      <c r="A993" s="2" t="n">
        <v>992</v>
      </c>
      <c r="B993" s="2" t="inlineStr">
        <is>
          <t>не сюжет</t>
        </is>
      </c>
      <c r="C993" s="2" t="n">
        <v>11242</v>
      </c>
      <c r="D993" s="3" t="inlineStr">
        <is>
          <t>Янтарь для короны дочери султана</t>
        </is>
      </c>
      <c r="E993" s="2" t="n">
        <v>1988</v>
      </c>
      <c r="F993" s="2" t="inlineStr">
        <is>
          <t>фильм-спектакль</t>
        </is>
      </c>
      <c r="G993" s="2" t="inlineStr">
        <is>
          <t>Литовское телевидение</t>
        </is>
      </c>
      <c r="H993" s="2" t="n">
        <v>38</v>
      </c>
      <c r="I993" s="2" t="inlineStr"/>
      <c r="J993" s="2" t="inlineStr">
        <is>
          <t>да</t>
        </is>
      </c>
      <c r="K993" s="3" t="inlineStr">
        <is>
          <t>По мотивам сказки А.Лёбите "Куршюкас".</t>
        </is>
      </c>
      <c r="L993" s="2" t="inlineStr">
        <is>
          <t>https://www.kino-teatr.ru/teatr/movie/107922/annot/</t>
        </is>
      </c>
      <c r="M993" s="2">
        <f>HYPERLINK("https://ru.wikipedia.org/w/index.php?search=%D0%AF%D0%BD%D1%82%D0%B0%D1%80%D1%8C%20%D0%B4%D0%BB%D1%8F%20%D0%BA%D0%BE%D1%80%D0%BE%D0%BD%D1%8B%20%D0%B4%D0%BE%D1%87%D0%B5%D1%80%D0%B8%20%D1%81%D1%83%D0%BB%D1%82%D0%B0%D0%BD%D0%B0%201988%20%D1%84%D0%B8%D0%BB%D1%8C%D0%BC","искать")</f>
        <v/>
      </c>
      <c r="N993" s="3" t="n"/>
      <c r="O993" s="2" t="n"/>
      <c r="P993" s="2" t="n"/>
    </row>
    <row r="994">
      <c r="A994" s="2" t="n">
        <v>993</v>
      </c>
      <c r="B994" s="2" t="inlineStr">
        <is>
          <t>не сюжет</t>
        </is>
      </c>
      <c r="C994" s="2" t="n">
        <v>11551</v>
      </c>
      <c r="D994" s="3" t="inlineStr">
        <is>
          <t>Попался</t>
        </is>
      </c>
      <c r="E994" s="2" t="n">
        <v>1964</v>
      </c>
      <c r="F994" s="2" t="inlineStr">
        <is>
          <t>мультфильм</t>
        </is>
      </c>
      <c r="G994" s="2" t="inlineStr">
        <is>
          <t>Союзмультфильм</t>
        </is>
      </c>
      <c r="H994" s="2" t="n">
        <v>38</v>
      </c>
      <c r="I994" s="2" t="inlineStr"/>
      <c r="J994" s="2" t="inlineStr">
        <is>
          <t>да</t>
        </is>
      </c>
      <c r="K994" s="3" t="inlineStr">
        <is>
          <t>Обращайтесь с электричеством осторожно</t>
        </is>
      </c>
      <c r="L994" s="2" t="inlineStr">
        <is>
          <t>https://animator.ru/db/?p=show_film&amp;fid=2384</t>
        </is>
      </c>
      <c r="M994" s="2">
        <f>HYPERLINK("https://ru.wikipedia.org/w/index.php?search=%D0%9F%D0%BE%D0%BF%D0%B0%D0%BB%D1%81%D1%8F%201964%20%D1%84%D0%B8%D0%BB%D1%8C%D0%BC","искать")</f>
        <v/>
      </c>
      <c r="N994" s="3" t="n"/>
      <c r="O994" s="2" t="n"/>
      <c r="P994" s="2" t="n"/>
    </row>
    <row r="995">
      <c r="A995" s="2" t="n">
        <v>994</v>
      </c>
      <c r="B995" s="2" t="inlineStr">
        <is>
          <t>не сюжет</t>
        </is>
      </c>
      <c r="C995" s="2" t="n">
        <v>11889</v>
      </c>
      <c r="D995" s="3" t="inlineStr">
        <is>
          <t>Спасибо, аист!</t>
        </is>
      </c>
      <c r="E995" s="2" t="n">
        <v>1978</v>
      </c>
      <c r="F995" s="2" t="inlineStr">
        <is>
          <t>мультфильм</t>
        </is>
      </c>
      <c r="G995" s="2" t="inlineStr">
        <is>
          <t>Союзмультфильм</t>
        </is>
      </c>
      <c r="H995" s="2" t="n">
        <v>38</v>
      </c>
      <c r="I995" s="2" t="inlineStr"/>
      <c r="J995" s="2" t="inlineStr">
        <is>
          <t>да</t>
        </is>
      </c>
      <c r="K995" s="3" t="inlineStr">
        <is>
          <t>Демографическая проблема. Для взрослых</t>
        </is>
      </c>
      <c r="L995" s="2" t="inlineStr">
        <is>
          <t>https://animator.ru/db/?p=show_film&amp;fid=2804</t>
        </is>
      </c>
      <c r="M995" s="2">
        <f>HYPERLINK("https://ru.wikipedia.org/w/index.php?search=%D0%A1%D0%BF%D0%B0%D1%81%D0%B8%D0%B1%D0%BE%2C%20%D0%B0%D0%B8%D1%81%D1%82%21%201978%20%D1%84%D0%B8%D0%BB%D1%8C%D0%BC","искать")</f>
        <v/>
      </c>
      <c r="N995" s="3" t="n"/>
      <c r="O995" s="2" t="n"/>
      <c r="P995" s="2" t="n"/>
    </row>
    <row r="996">
      <c r="A996" s="2" t="n">
        <v>995</v>
      </c>
      <c r="B996" s="2" t="inlineStr">
        <is>
          <t>не сюжет</t>
        </is>
      </c>
      <c r="C996" s="2" t="n">
        <v>11913</v>
      </c>
      <c r="D996" s="3" t="inlineStr">
        <is>
          <t>Новый Аладдин</t>
        </is>
      </c>
      <c r="E996" s="2" t="n">
        <v>1979</v>
      </c>
      <c r="F996" s="2" t="inlineStr">
        <is>
          <t>мультфильм</t>
        </is>
      </c>
      <c r="G996" s="2" t="inlineStr">
        <is>
          <t>Союзмультфильм</t>
        </is>
      </c>
      <c r="H996" s="2" t="n">
        <v>38</v>
      </c>
      <c r="I996" s="2" t="inlineStr"/>
      <c r="J996" s="2" t="inlineStr">
        <is>
          <t>да</t>
        </is>
      </c>
      <c r="K996" s="3" t="inlineStr">
        <is>
          <t>Пародия на "Аладдин и волшебная лампа"</t>
        </is>
      </c>
      <c r="L996" s="2" t="inlineStr">
        <is>
          <t>https://animator.ru/db/?p=show_film&amp;fid=2828</t>
        </is>
      </c>
      <c r="M996" s="2">
        <f>HYPERLINK("https://ru.wikipedia.org/w/index.php?search=%D0%9D%D0%BE%D0%B2%D1%8B%D0%B9%20%D0%90%D0%BB%D0%B0%D0%B4%D0%B4%D0%B8%D0%BD%201979%20%D1%84%D0%B8%D0%BB%D1%8C%D0%BC","искать")</f>
        <v/>
      </c>
      <c r="N996" s="3" t="n"/>
      <c r="O996" s="2" t="n"/>
      <c r="P996" s="2" t="n"/>
    </row>
    <row r="997">
      <c r="A997" s="2" t="n">
        <v>996</v>
      </c>
      <c r="B997" s="2" t="inlineStr">
        <is>
          <t>не сюжет</t>
        </is>
      </c>
      <c r="C997" s="2" t="n">
        <v>12250</v>
      </c>
      <c r="D997" s="3" t="inlineStr">
        <is>
          <t>Кошка, которая гуляла сама по себе</t>
        </is>
      </c>
      <c r="E997" s="2" t="n">
        <v>1988</v>
      </c>
      <c r="F997" s="2" t="inlineStr">
        <is>
          <t>мультфильм</t>
        </is>
      </c>
      <c r="G997" s="2" t="inlineStr">
        <is>
          <t>Союзмультфильм</t>
        </is>
      </c>
      <c r="H997" s="2" t="n">
        <v>38</v>
      </c>
      <c r="I997" s="2" t="inlineStr"/>
      <c r="J997" s="2" t="inlineStr">
        <is>
          <t>да</t>
        </is>
      </c>
      <c r="K997" s="3" t="inlineStr">
        <is>
          <t>По мотивам одноименной сказки Киплинга</t>
        </is>
      </c>
      <c r="L997" s="2" t="inlineStr">
        <is>
          <t>https://animator.ru/db/?p=show_film&amp;fid=3367</t>
        </is>
      </c>
      <c r="M997" s="2">
        <f>HYPERLINK("https://ru.wikipedia.org/w/index.php?search=%D0%9A%D0%BE%D1%88%D0%BA%D0%B0%2C%20%D0%BA%D0%BE%D1%82%D0%BE%D1%80%D0%B0%D1%8F%20%D0%B3%D1%83%D0%BB%D1%8F%D0%BB%D0%B0%20%D1%81%D0%B0%D0%BC%D0%B0%20%D0%BF%D0%BE%20%D1%81%D0%B5%D0%B1%D0%B5%201988%20%D1%84%D0%B8%D0%BB%D1%8C%D0%BC","искать")</f>
        <v/>
      </c>
      <c r="N997" s="3" t="n"/>
      <c r="O997" s="2" t="n"/>
      <c r="P997" s="2" t="n"/>
    </row>
    <row r="998">
      <c r="A998" s="2" t="n">
        <v>997</v>
      </c>
      <c r="B998" s="2" t="inlineStr">
        <is>
          <t>не сюжет</t>
        </is>
      </c>
      <c r="C998" s="2" t="n">
        <v>12297</v>
      </c>
      <c r="D998" s="3" t="inlineStr">
        <is>
          <t>Сказка</t>
        </is>
      </c>
      <c r="E998" s="2" t="n">
        <v>1991</v>
      </c>
      <c r="F998" s="2" t="inlineStr">
        <is>
          <t>мультфильм</t>
        </is>
      </c>
      <c r="G998" s="2" t="inlineStr">
        <is>
          <t>Союзмультфильм</t>
        </is>
      </c>
      <c r="H998" s="2" t="n">
        <v>38</v>
      </c>
      <c r="I998" s="2" t="inlineStr"/>
      <c r="J998" s="2" t="inlineStr">
        <is>
          <t>да</t>
        </is>
      </c>
      <c r="K998" s="3" t="inlineStr">
        <is>
          <t>По одноименному произведению Д.Хармса.</t>
        </is>
      </c>
      <c r="L998" s="2" t="inlineStr">
        <is>
          <t>2026-10_мультфильмы_список_владельца.xlsx; https://animator.ru/db/?p=show_film&amp;fid=3414</t>
        </is>
      </c>
      <c r="M998" s="2">
        <f>HYPERLINK("https://ru.wikipedia.org/w/index.php?search=%D0%A1%D0%BA%D0%B0%D0%B7%D0%BA%D0%B0%201991%20%D1%84%D0%B8%D0%BB%D1%8C%D0%BC","искать")</f>
        <v/>
      </c>
      <c r="N998" s="3" t="n"/>
      <c r="O998" s="2" t="n"/>
      <c r="P998" s="2" t="n"/>
    </row>
    <row r="999">
      <c r="A999" s="2" t="n">
        <v>998</v>
      </c>
      <c r="B999" s="2" t="inlineStr">
        <is>
          <t>не сюжет</t>
        </is>
      </c>
      <c r="C999" s="2" t="n">
        <v>12386</v>
      </c>
      <c r="D999" s="3" t="inlineStr">
        <is>
          <t>Иванко и вороний царь</t>
        </is>
      </c>
      <c r="E999" s="2" t="n">
        <v>1985</v>
      </c>
      <c r="F999" s="2" t="inlineStr">
        <is>
          <t>мультфильм</t>
        </is>
      </c>
      <c r="G999" s="2" t="inlineStr">
        <is>
          <t>КИЕВНАУЧФИЛЬМ</t>
        </is>
      </c>
      <c r="H999" s="2" t="n">
        <v>38</v>
      </c>
      <c r="I999" s="2" t="inlineStr"/>
      <c r="J999" s="2" t="inlineStr">
        <is>
          <t>да</t>
        </is>
      </c>
      <c r="K999" s="3" t="inlineStr">
        <is>
          <t>По мотивам украинских народных сказок.</t>
        </is>
      </c>
      <c r="L999" s="2" t="inlineStr">
        <is>
          <t>2026-10_мультфильмы_список_владельца.xlsx; https://animator.ru/db/?p=show_film&amp;fid=3557</t>
        </is>
      </c>
      <c r="M999" s="2">
        <f>HYPERLINK("https://ru.wikipedia.org/w/index.php?search=%D0%98%D0%B2%D0%B0%D0%BD%D0%BA%D0%BE%20%D0%B8%20%D0%B2%D0%BE%D1%80%D0%BE%D0%BD%D0%B8%D0%B9%20%D1%86%D0%B0%D1%80%D1%8C%201985%20%D1%84%D0%B8%D0%BB%D1%8C%D0%BC","искать")</f>
        <v/>
      </c>
      <c r="N999" s="3" t="n"/>
      <c r="O999" s="2" t="n"/>
      <c r="P999" s="2" t="n"/>
    </row>
    <row r="1000">
      <c r="A1000" s="2" t="n">
        <v>999</v>
      </c>
      <c r="B1000" s="2" t="inlineStr">
        <is>
          <t>не сюжет</t>
        </is>
      </c>
      <c r="C1000" s="2" t="n">
        <v>12407</v>
      </c>
      <c r="D1000" s="3" t="inlineStr">
        <is>
          <t>Как казаки олимпийцами стали</t>
        </is>
      </c>
      <c r="E1000" s="2" t="n">
        <v>1978</v>
      </c>
      <c r="F1000" s="2" t="inlineStr">
        <is>
          <t>мультфильм</t>
        </is>
      </c>
      <c r="G1000" s="2" t="inlineStr">
        <is>
          <t>КИЕВНАУЧФИЛЬМ</t>
        </is>
      </c>
      <c r="H1000" s="2" t="n">
        <v>38</v>
      </c>
      <c r="I1000" s="2" t="inlineStr"/>
      <c r="J1000" s="2" t="inlineStr">
        <is>
          <t>да</t>
        </is>
      </c>
      <c r="K1000" s="3" t="inlineStr">
        <is>
          <t>Мульт из серии про Запорожских казаков</t>
        </is>
      </c>
      <c r="L1000" s="2" t="inlineStr">
        <is>
          <t>2026-10_мультфильмы_список_владельца.xlsx; https://animator.ru/db/?p=show_film&amp;fid=3578</t>
        </is>
      </c>
      <c r="M1000" s="2">
        <f>HYPERLINK("https://ru.wikipedia.org/w/index.php?search=%D0%9A%D0%B0%D0%BA%20%D0%BA%D0%B0%D0%B7%D0%B0%D0%BA%D0%B8%20%D0%BE%D0%BB%D0%B8%D0%BC%D0%BF%D0%B8%D0%B9%D1%86%D0%B0%D0%BC%D0%B8%20%D1%81%D1%82%D0%B0%D0%BB%D0%B8%201978%20%D1%84%D0%B8%D0%BB%D1%8C%D0%BC","искать")</f>
        <v/>
      </c>
      <c r="N1000" s="3" t="n"/>
      <c r="O1000" s="2" t="n"/>
      <c r="P1000" s="2" t="n"/>
    </row>
    <row r="1001">
      <c r="A1001" s="2" t="n">
        <v>1000</v>
      </c>
      <c r="B1001" s="2" t="inlineStr">
        <is>
          <t>не сюжет</t>
        </is>
      </c>
      <c r="C1001" s="2" t="n">
        <v>12455</v>
      </c>
      <c r="D1001" s="3" t="inlineStr">
        <is>
          <t>Миколино богатство</t>
        </is>
      </c>
      <c r="E1001" s="2" t="n">
        <v>1983</v>
      </c>
      <c r="F1001" s="2" t="inlineStr">
        <is>
          <t>мультфильм</t>
        </is>
      </c>
      <c r="G1001" s="2" t="inlineStr">
        <is>
          <t>КИЕВНАУЧФИЛЬМ</t>
        </is>
      </c>
      <c r="H1001" s="2" t="n">
        <v>38</v>
      </c>
      <c r="I1001" s="2" t="inlineStr"/>
      <c r="J1001" s="2" t="inlineStr">
        <is>
          <t>да</t>
        </is>
      </c>
      <c r="K1001" s="3" t="inlineStr">
        <is>
          <t>По мотивам украинских народных сказок.</t>
        </is>
      </c>
      <c r="L1001" s="2" t="inlineStr">
        <is>
          <t>2026-10_мультфильмы_список_владельца.xlsx; https://animator.ru/db/?p=show_film&amp;fid=3626</t>
        </is>
      </c>
      <c r="M1001" s="2">
        <f>HYPERLINK("https://ru.wikipedia.org/w/index.php?search=%D0%9C%D0%B8%D0%BA%D0%BE%D0%BB%D0%B8%D0%BD%D0%BE%20%D0%B1%D0%BE%D0%B3%D0%B0%D1%82%D1%81%D1%82%D0%B2%D0%BE%201983%20%D1%84%D0%B8%D0%BB%D1%8C%D0%BC","искать")</f>
        <v/>
      </c>
      <c r="N1001" s="3" t="n"/>
      <c r="O1001" s="2" t="n"/>
      <c r="P1001" s="2" t="n"/>
    </row>
    <row r="1002">
      <c r="A1002" s="2" t="n">
        <v>1001</v>
      </c>
      <c r="B1002" s="2" t="inlineStr">
        <is>
          <t>не сюжет</t>
        </is>
      </c>
      <c r="C1002" s="2" t="n">
        <v>12598</v>
      </c>
      <c r="D1002" s="3" t="inlineStr">
        <is>
          <t>Человек и лев</t>
        </is>
      </c>
      <c r="E1002" s="2" t="n">
        <v>1986</v>
      </c>
      <c r="F1002" s="2" t="inlineStr">
        <is>
          <t>мультфильм</t>
        </is>
      </c>
      <c r="G1002" s="2" t="inlineStr">
        <is>
          <t>КИЕВНАУЧФИЛЬМ</t>
        </is>
      </c>
      <c r="H1002" s="2" t="n">
        <v>38</v>
      </c>
      <c r="I1002" s="2" t="inlineStr"/>
      <c r="J1002" s="2" t="inlineStr">
        <is>
          <t>да</t>
        </is>
      </c>
      <c r="K1002" s="3" t="inlineStr">
        <is>
          <t>По мотивам африканских народных сказок</t>
        </is>
      </c>
      <c r="L1002" s="2" t="inlineStr">
        <is>
          <t>https://animator.ru/db/?p=show_film&amp;fid=3778</t>
        </is>
      </c>
      <c r="M1002" s="2">
        <f>HYPERLINK("https://ru.wikipedia.org/w/index.php?search=%D0%A7%D0%B5%D0%BB%D0%BE%D0%B2%D0%B5%D0%BA%20%D0%B8%20%D0%BB%D0%B5%D0%B2%201986%20%D1%84%D0%B8%D0%BB%D1%8C%D0%BC","искать")</f>
        <v/>
      </c>
      <c r="N1002" s="3" t="n"/>
      <c r="O1002" s="2" t="n"/>
      <c r="P1002" s="2" t="n"/>
    </row>
    <row r="1003">
      <c r="A1003" s="2" t="n">
        <v>1002</v>
      </c>
      <c r="B1003" s="2" t="inlineStr">
        <is>
          <t>не сюжет</t>
        </is>
      </c>
      <c r="C1003" s="2" t="n">
        <v>12639</v>
      </c>
      <c r="D1003" s="3" t="inlineStr">
        <is>
          <t>Непослушная мама</t>
        </is>
      </c>
      <c r="E1003" s="2" t="n">
        <v>1989</v>
      </c>
      <c r="F1003" s="2" t="inlineStr">
        <is>
          <t>мультфильм</t>
        </is>
      </c>
      <c r="G1003" s="2" t="inlineStr">
        <is>
          <t>КИЕВНАУЧФИЛЬМ</t>
        </is>
      </c>
      <c r="H1003" s="2" t="n">
        <v>38</v>
      </c>
      <c r="I1003" s="2" t="inlineStr"/>
      <c r="J1003" s="2" t="inlineStr">
        <is>
          <t>да</t>
        </is>
      </c>
      <c r="K1003" s="3" t="inlineStr">
        <is>
          <t>По мотивам стихотворения Артура Милна.</t>
        </is>
      </c>
      <c r="L1003" s="2" t="inlineStr">
        <is>
          <t>2026-10_мультфильмы_список_владельца.xlsx; https://animator.ru/db/?p=show_film&amp;fid=3819</t>
        </is>
      </c>
      <c r="M1003" s="2">
        <f>HYPERLINK("https://ru.wikipedia.org/w/index.php?search=%D0%9D%D0%B5%D0%BF%D0%BE%D1%81%D0%BB%D1%83%D1%88%D0%BD%D0%B0%D1%8F%20%D0%BC%D0%B0%D0%BC%D0%B0%201989%20%D1%84%D0%B8%D0%BB%D1%8C%D0%BC","искать")</f>
        <v/>
      </c>
      <c r="N1003" s="3" t="n"/>
      <c r="O1003" s="2" t="n"/>
      <c r="P1003" s="2" t="n"/>
    </row>
    <row r="1004">
      <c r="A1004" s="2" t="n">
        <v>1003</v>
      </c>
      <c r="B1004" s="2" t="inlineStr">
        <is>
          <t>не сюжет</t>
        </is>
      </c>
      <c r="C1004" s="2" t="n">
        <v>12796</v>
      </c>
      <c r="D1004" s="3" t="inlineStr">
        <is>
          <t>Волк и ягненок</t>
        </is>
      </c>
      <c r="E1004" s="2" t="n">
        <v>1981</v>
      </c>
      <c r="F1004" s="2" t="inlineStr">
        <is>
          <t>мультфильм</t>
        </is>
      </c>
      <c r="G1004" s="2" t="inlineStr">
        <is>
          <t>ГРУЗИЯ-ФИЛЬМ - АО</t>
        </is>
      </c>
      <c r="H1004" s="2" t="n">
        <v>38</v>
      </c>
      <c r="I1004" s="2" t="inlineStr"/>
      <c r="J1004" s="2" t="inlineStr">
        <is>
          <t>да</t>
        </is>
      </c>
      <c r="K1004" s="3" t="inlineStr">
        <is>
          <t>По басне Крылова в переводе А.Церетели</t>
        </is>
      </c>
      <c r="L1004" s="2" t="inlineStr">
        <is>
          <t>https://animator.ru/db/?p=show_film&amp;fid=4005</t>
        </is>
      </c>
      <c r="M1004" s="2">
        <f>HYPERLINK("https://ru.wikipedia.org/w/index.php?search=%D0%92%D0%BE%D0%BB%D0%BA%20%D0%B8%20%D1%8F%D0%B3%D0%BD%D0%B5%D0%BD%D0%BE%D0%BA%201981%20%D1%84%D0%B8%D0%BB%D1%8C%D0%BC","искать")</f>
        <v/>
      </c>
      <c r="N1004" s="3" t="n"/>
      <c r="O1004" s="2" t="n"/>
      <c r="P1004" s="2" t="n"/>
    </row>
    <row r="1005">
      <c r="A1005" s="2" t="n">
        <v>1004</v>
      </c>
      <c r="B1005" s="2" t="inlineStr">
        <is>
          <t>не сюжет</t>
        </is>
      </c>
      <c r="C1005" s="2" t="n">
        <v>12799</v>
      </c>
      <c r="D1005" s="3" t="inlineStr">
        <is>
          <t>Две новеллы. Спасатель</t>
        </is>
      </c>
      <c r="E1005" s="2" t="n">
        <v>1972</v>
      </c>
      <c r="F1005" s="2" t="inlineStr">
        <is>
          <t>мультфильм</t>
        </is>
      </c>
      <c r="G1005" s="2" t="inlineStr">
        <is>
          <t>ГРУЗИЯ-ФИЛЬМ - АО</t>
        </is>
      </c>
      <c r="H1005" s="2" t="n">
        <v>38</v>
      </c>
      <c r="I1005" s="2" t="inlineStr"/>
      <c r="J1005" s="2" t="inlineStr">
        <is>
          <t>да</t>
        </is>
      </c>
      <c r="K1005" s="3" t="inlineStr">
        <is>
          <t>По мотивам басни Сулхан-Саба Орбелиани</t>
        </is>
      </c>
      <c r="L1005" s="2" t="inlineStr">
        <is>
          <t>https://animator.ru/db/?p=show_film&amp;fid=4010</t>
        </is>
      </c>
      <c r="M1005" s="2">
        <f>HYPERLINK("https://ru.wikipedia.org/w/index.php?search=%D0%94%D0%B2%D0%B5%20%D0%BD%D0%BE%D0%B2%D0%B5%D0%BB%D0%BB%D1%8B.%20%D0%A1%D0%BF%D0%B0%D1%81%D0%B0%D1%82%D0%B5%D0%BB%D1%8C%201972%20%D1%84%D0%B8%D0%BB%D1%8C%D0%BC","искать")</f>
        <v/>
      </c>
      <c r="N1005" s="3" t="n"/>
      <c r="O1005" s="2" t="n"/>
      <c r="P1005" s="2" t="n"/>
    </row>
    <row r="1006">
      <c r="A1006" s="2" t="n">
        <v>1005</v>
      </c>
      <c r="B1006" s="2" t="inlineStr">
        <is>
          <t>не сюжет</t>
        </is>
      </c>
      <c r="C1006" s="2" t="n">
        <v>12847</v>
      </c>
      <c r="D1006" s="3" t="inlineStr">
        <is>
          <t>Снова о драконе и витязе</t>
        </is>
      </c>
      <c r="E1006" s="2" t="n">
        <v>1976</v>
      </c>
      <c r="F1006" s="2" t="inlineStr">
        <is>
          <t>мультфильм</t>
        </is>
      </c>
      <c r="G1006" s="2" t="inlineStr">
        <is>
          <t>ГРУЗИЯ-ФИЛЬМ - АО</t>
        </is>
      </c>
      <c r="H1006" s="2" t="n">
        <v>38</v>
      </c>
      <c r="I1006" s="2" t="inlineStr"/>
      <c r="J1006" s="2" t="inlineStr">
        <is>
          <t>да</t>
        </is>
      </c>
      <c r="K1006" s="3" t="inlineStr">
        <is>
          <t>По мотивам старинной грузинской сказки</t>
        </is>
      </c>
      <c r="L1006" s="2" t="inlineStr">
        <is>
          <t>https://animator.ru/db/?p=show_film&amp;fid=4071</t>
        </is>
      </c>
      <c r="M1006" s="2">
        <f>HYPERLINK("https://ru.wikipedia.org/w/index.php?search=%D0%A1%D0%BD%D0%BE%D0%B2%D0%B0%20%D0%BE%20%D0%B4%D1%80%D0%B0%D0%BA%D0%BE%D0%BD%D0%B5%20%D0%B8%20%D0%B2%D0%B8%D1%82%D1%8F%D0%B7%D0%B5%201976%20%D1%84%D0%B8%D0%BB%D1%8C%D0%BC","искать")</f>
        <v/>
      </c>
      <c r="N1006" s="3" t="n"/>
      <c r="O1006" s="2" t="n"/>
      <c r="P1006" s="2" t="n"/>
    </row>
    <row r="1007">
      <c r="A1007" s="2" t="n">
        <v>1006</v>
      </c>
      <c r="B1007" s="2" t="inlineStr">
        <is>
          <t>не сюжет</t>
        </is>
      </c>
      <c r="C1007" s="2" t="n">
        <v>12922</v>
      </c>
      <c r="D1007" s="3" t="inlineStr">
        <is>
          <t>Лесной квартет</t>
        </is>
      </c>
      <c r="E1007" s="2" t="n">
        <v>1984</v>
      </c>
      <c r="F1007" s="2" t="inlineStr">
        <is>
          <t>мультфильм</t>
        </is>
      </c>
      <c r="G1007" s="2" t="inlineStr">
        <is>
          <t>ГРУЗИЯ-ФИЛЬМ - АО</t>
        </is>
      </c>
      <c r="H1007" s="2" t="n">
        <v>38</v>
      </c>
      <c r="I1007" s="2" t="inlineStr"/>
      <c r="J1007" s="2" t="inlineStr">
        <is>
          <t>да</t>
        </is>
      </c>
      <c r="K1007" s="3" t="inlineStr">
        <is>
          <t>По мотивам басни Сулхан-Саба Орбелиани</t>
        </is>
      </c>
      <c r="L1007" s="2" t="inlineStr">
        <is>
          <t>https://animator.ru/db/?p=show_film&amp;fid=4152</t>
        </is>
      </c>
      <c r="M1007" s="2">
        <f>HYPERLINK("https://ru.wikipedia.org/w/index.php?search=%D0%9B%D0%B5%D1%81%D0%BD%D0%BE%D0%B9%20%D0%BA%D0%B2%D0%B0%D1%80%D1%82%D0%B5%D1%82%201984%20%D1%84%D0%B8%D0%BB%D1%8C%D0%BC","искать")</f>
        <v/>
      </c>
      <c r="N1007" s="3" t="n"/>
      <c r="O1007" s="2" t="n"/>
      <c r="P1007" s="2" t="n"/>
    </row>
    <row r="1008">
      <c r="A1008" s="2" t="n">
        <v>1007</v>
      </c>
      <c r="B1008" s="2" t="inlineStr">
        <is>
          <t>не сюжет</t>
        </is>
      </c>
      <c r="C1008" s="2" t="n">
        <v>13110</v>
      </c>
      <c r="D1008" s="3" t="inlineStr">
        <is>
          <t>Элегия</t>
        </is>
      </c>
      <c r="E1008" s="2" t="n">
        <v>1975</v>
      </c>
      <c r="F1008" s="2" t="inlineStr">
        <is>
          <t>мультфильм</t>
        </is>
      </c>
      <c r="G1008" s="2" t="inlineStr">
        <is>
          <t>МОЛДОВА-ФИЛЬМ</t>
        </is>
      </c>
      <c r="H1008" s="2" t="n">
        <v>38</v>
      </c>
      <c r="I1008" s="2" t="inlineStr"/>
      <c r="J1008" s="2" t="inlineStr">
        <is>
          <t>да</t>
        </is>
      </c>
      <c r="K1008" s="3" t="inlineStr">
        <is>
          <t>О великой силе искусства. Для взрослых</t>
        </is>
      </c>
      <c r="L1008" s="2" t="inlineStr">
        <is>
          <t>https://animator.ru/db/?p=show_film&amp;fid=4342</t>
        </is>
      </c>
      <c r="M1008" s="2">
        <f>HYPERLINK("https://ru.wikipedia.org/w/index.php?search=%D0%AD%D0%BB%D0%B5%D0%B3%D0%B8%D1%8F%201975%20%D1%84%D0%B8%D0%BB%D1%8C%D0%BC","искать")</f>
        <v/>
      </c>
      <c r="N1008" s="3" t="n"/>
      <c r="O1008" s="2" t="n"/>
      <c r="P1008" s="2" t="n"/>
    </row>
    <row r="1009">
      <c r="A1009" s="2" t="n">
        <v>1008</v>
      </c>
      <c r="B1009" s="2" t="inlineStr">
        <is>
          <t>не сюжет</t>
        </is>
      </c>
      <c r="C1009" s="2" t="n">
        <v>13504</v>
      </c>
      <c r="D1009" s="3" t="inlineStr">
        <is>
          <t>Воробьишка-хвастунишка</t>
        </is>
      </c>
      <c r="E1009" s="2" t="n">
        <v>1981</v>
      </c>
      <c r="F1009" s="2" t="inlineStr">
        <is>
          <t>мультфильм</t>
        </is>
      </c>
      <c r="G1009" s="2" t="inlineStr">
        <is>
          <t>УЗБЕКФИЛЬМ</t>
        </is>
      </c>
      <c r="H1009" s="2" t="n">
        <v>38</v>
      </c>
      <c r="I1009" s="2" t="inlineStr"/>
      <c r="J1009" s="2" t="inlineStr">
        <is>
          <t>да</t>
        </is>
      </c>
      <c r="K1009" s="3" t="inlineStr">
        <is>
          <t>По сказке А.Лебедева "Воробей-ленивец"</t>
        </is>
      </c>
      <c r="L1009" s="2" t="inlineStr">
        <is>
          <t>https://animator.ru/db/?p=show_film&amp;fid=4794</t>
        </is>
      </c>
      <c r="M1009" s="2">
        <f>HYPERLINK("https://ru.wikipedia.org/w/index.php?search=%D0%92%D0%BE%D1%80%D0%BE%D0%B1%D1%8C%D0%B8%D1%88%D0%BA%D0%B0-%D1%85%D0%B2%D0%B0%D1%81%D1%82%D1%83%D0%BD%D0%B8%D1%88%D0%BA%D0%B0%201981%20%D1%84%D0%B8%D0%BB%D1%8C%D0%BC","искать")</f>
        <v/>
      </c>
      <c r="N1009" s="3" t="n"/>
      <c r="O1009" s="2" t="n"/>
      <c r="P1009" s="2" t="n"/>
    </row>
    <row r="1010">
      <c r="A1010" s="2" t="n">
        <v>1009</v>
      </c>
      <c r="B1010" s="2" t="inlineStr">
        <is>
          <t>не сюжет</t>
        </is>
      </c>
      <c r="C1010" s="2" t="n">
        <v>13631</v>
      </c>
      <c r="D1010" s="3" t="inlineStr">
        <is>
          <t>Блики</t>
        </is>
      </c>
      <c r="E1010" s="2" t="n">
        <v>1981</v>
      </c>
      <c r="F1010" s="2" t="inlineStr">
        <is>
          <t>мультфильм</t>
        </is>
      </c>
      <c r="G1010" s="2" t="inlineStr">
        <is>
          <t>ЭКРАН</t>
        </is>
      </c>
      <c r="H1010" s="2" t="n">
        <v>38</v>
      </c>
      <c r="I1010" s="2" t="inlineStr"/>
      <c r="J1010" s="2" t="inlineStr">
        <is>
          <t>да</t>
        </is>
      </c>
      <c r="K1010" s="3" t="inlineStr">
        <is>
          <t>Живописные вариации на новогодние темы</t>
        </is>
      </c>
      <c r="L1010" s="2" t="inlineStr">
        <is>
          <t>https://animator.ru/db/?p=show_film&amp;fid=5023</t>
        </is>
      </c>
      <c r="M1010" s="2">
        <f>HYPERLINK("https://ru.wikipedia.org/w/index.php?search=%D0%91%D0%BB%D0%B8%D0%BA%D0%B8%201981%20%D1%84%D0%B8%D0%BB%D1%8C%D0%BC","искать")</f>
        <v/>
      </c>
      <c r="N1010" s="3" t="n"/>
      <c r="O1010" s="2" t="n"/>
      <c r="P1010" s="2" t="n"/>
    </row>
    <row r="1011">
      <c r="A1011" s="2" t="n">
        <v>1010</v>
      </c>
      <c r="B1011" s="2" t="inlineStr">
        <is>
          <t>не сюжет</t>
        </is>
      </c>
      <c r="C1011" s="2" t="n">
        <v>13709</v>
      </c>
      <c r="D1011" s="3" t="inlineStr">
        <is>
          <t>Испанский язык</t>
        </is>
      </c>
      <c r="E1011" s="2" t="n">
        <v>1988</v>
      </c>
      <c r="F1011" s="2" t="inlineStr">
        <is>
          <t>мультфильм</t>
        </is>
      </c>
      <c r="G1011" s="2" t="inlineStr">
        <is>
          <t>ЭКРАН</t>
        </is>
      </c>
      <c r="H1011" s="2" t="n">
        <v>38</v>
      </c>
      <c r="I1011" s="2" t="inlineStr"/>
      <c r="J1011" s="2" t="inlineStr">
        <is>
          <t>да</t>
        </is>
      </c>
      <c r="K1011" s="3" t="inlineStr">
        <is>
          <t>Заставка к телеуроку испанского языка.</t>
        </is>
      </c>
      <c r="L1011" s="2" t="inlineStr">
        <is>
          <t>2026-10_мультфильмы_список_владельца.xlsx; https://animator.ru/db/?p=show_film&amp;fid=5102</t>
        </is>
      </c>
      <c r="M1011" s="2">
        <f>HYPERLINK("https://ru.wikipedia.org/w/index.php?search=%D0%98%D1%81%D0%BF%D0%B0%D0%BD%D1%81%D0%BA%D0%B8%D0%B9%20%D1%8F%D0%B7%D1%8B%D0%BA%201988%20%D1%84%D0%B8%D0%BB%D1%8C%D0%BC","искать")</f>
        <v/>
      </c>
      <c r="N1011" s="3" t="n"/>
      <c r="O1011" s="2" t="n"/>
      <c r="P1011" s="2" t="n"/>
    </row>
    <row r="1012">
      <c r="A1012" s="2" t="n">
        <v>1011</v>
      </c>
      <c r="B1012" s="2" t="inlineStr">
        <is>
          <t>не сюжет</t>
        </is>
      </c>
      <c r="C1012" s="2" t="n">
        <v>13749</v>
      </c>
      <c r="D1012" s="3" t="inlineStr">
        <is>
          <t>Легкий хлеб</t>
        </is>
      </c>
      <c r="E1012" s="2" t="n">
        <v>1987</v>
      </c>
      <c r="F1012" s="2" t="inlineStr">
        <is>
          <t>мультфильм</t>
        </is>
      </c>
      <c r="G1012" s="2" t="inlineStr">
        <is>
          <t>ЭКРАН</t>
        </is>
      </c>
      <c r="H1012" s="2" t="n">
        <v>38</v>
      </c>
      <c r="I1012" s="2" t="inlineStr"/>
      <c r="J1012" s="2" t="inlineStr">
        <is>
          <t>да</t>
        </is>
      </c>
      <c r="K1012" s="3" t="inlineStr">
        <is>
          <t>По мотивам белорусской народной сказки</t>
        </is>
      </c>
      <c r="L1012" s="2" t="inlineStr">
        <is>
          <t>https://animator.ru/db/?p=show_film&amp;fid=5142</t>
        </is>
      </c>
      <c r="M1012" s="2">
        <f>HYPERLINK("https://ru.wikipedia.org/w/index.php?search=%D0%9B%D0%B5%D0%B3%D0%BA%D0%B8%D0%B9%20%D1%85%D0%BB%D0%B5%D0%B1%201987%20%D1%84%D0%B8%D0%BB%D1%8C%D0%BC","искать")</f>
        <v/>
      </c>
      <c r="N1012" s="3" t="n"/>
      <c r="O1012" s="2" t="n"/>
      <c r="P1012" s="2" t="n"/>
    </row>
    <row r="1013">
      <c r="A1013" s="2" t="n">
        <v>1012</v>
      </c>
      <c r="B1013" s="2" t="inlineStr">
        <is>
          <t>не сюжет</t>
        </is>
      </c>
      <c r="C1013" s="2" t="n">
        <v>13784</v>
      </c>
      <c r="D1013" s="3" t="inlineStr">
        <is>
          <t>Не зная кода</t>
        </is>
      </c>
      <c r="E1013" s="2" t="n">
        <v>1987</v>
      </c>
      <c r="F1013" s="2" t="inlineStr">
        <is>
          <t>мультфильм</t>
        </is>
      </c>
      <c r="G1013" s="2" t="inlineStr">
        <is>
          <t>ЭКРАН</t>
        </is>
      </c>
      <c r="H1013" s="2" t="n">
        <v>38</v>
      </c>
      <c r="I1013" s="2" t="inlineStr"/>
      <c r="J1013" s="2" t="inlineStr">
        <is>
          <t>да</t>
        </is>
      </c>
      <c r="K1013" s="3" t="inlineStr">
        <is>
          <t>О правилах пользования кодом подъездов</t>
        </is>
      </c>
      <c r="L1013" s="2" t="inlineStr">
        <is>
          <t>https://animator.ru/db/?p=show_film&amp;fid=5177</t>
        </is>
      </c>
      <c r="M1013" s="2">
        <f>HYPERLINK("https://ru.wikipedia.org/w/index.php?search=%D0%9D%D0%B5%20%D0%B7%D0%BD%D0%B0%D1%8F%20%D0%BA%D0%BE%D0%B4%D0%B0%201987%20%D1%84%D0%B8%D0%BB%D1%8C%D0%BC","искать")</f>
        <v/>
      </c>
      <c r="N1013" s="3" t="n"/>
      <c r="O1013" s="2" t="n"/>
      <c r="P1013" s="2" t="n"/>
    </row>
    <row r="1014">
      <c r="A1014" s="2" t="n">
        <v>1013</v>
      </c>
      <c r="B1014" s="2" t="inlineStr">
        <is>
          <t>не сюжет</t>
        </is>
      </c>
      <c r="C1014" s="2" t="n">
        <v>13859</v>
      </c>
      <c r="D1014" s="3" t="inlineStr">
        <is>
          <t>Происшествие в музее</t>
        </is>
      </c>
      <c r="E1014" s="2" t="n">
        <v>1982</v>
      </c>
      <c r="F1014" s="2" t="inlineStr">
        <is>
          <t>мультфильм</t>
        </is>
      </c>
      <c r="G1014" s="2" t="inlineStr">
        <is>
          <t>ЭКРАН</t>
        </is>
      </c>
      <c r="H1014" s="2" t="n">
        <v>38</v>
      </c>
      <c r="I1014" s="2" t="inlineStr"/>
      <c r="J1014" s="2" t="inlineStr">
        <is>
          <t>да</t>
        </is>
      </c>
      <c r="K1014" s="3" t="inlineStr">
        <is>
          <t>О бережном отношении к водным ресурсам</t>
        </is>
      </c>
      <c r="L1014" s="2" t="inlineStr">
        <is>
          <t>https://animator.ru/db/?p=show_film&amp;fid=5252</t>
        </is>
      </c>
      <c r="M1014" s="2">
        <f>HYPERLINK("https://ru.wikipedia.org/w/index.php?search=%D0%9F%D1%80%D0%BE%D0%B8%D1%81%D1%88%D0%B5%D1%81%D1%82%D0%B2%D0%B8%D0%B5%20%D0%B2%20%D0%BC%D1%83%D0%B7%D0%B5%D0%B5%201982%20%D1%84%D0%B8%D0%BB%D1%8C%D0%BC","искать")</f>
        <v/>
      </c>
      <c r="N1014" s="3" t="n"/>
      <c r="O1014" s="2" t="n"/>
      <c r="P1014" s="2" t="n"/>
    </row>
    <row r="1015">
      <c r="A1015" s="2" t="n">
        <v>1014</v>
      </c>
      <c r="B1015" s="2" t="inlineStr">
        <is>
          <t>не сюжет</t>
        </is>
      </c>
      <c r="C1015" s="2" t="n">
        <v>13949</v>
      </c>
      <c r="D1015" s="3" t="inlineStr">
        <is>
          <t>Французский язык</t>
        </is>
      </c>
      <c r="E1015" s="2" t="n">
        <v>1983</v>
      </c>
      <c r="F1015" s="2" t="inlineStr">
        <is>
          <t>мультфильм</t>
        </is>
      </c>
      <c r="G1015" s="2" t="inlineStr">
        <is>
          <t>ЭКРАН</t>
        </is>
      </c>
      <c r="H1015" s="2" t="n">
        <v>38</v>
      </c>
      <c r="I1015" s="2" t="inlineStr"/>
      <c r="J1015" s="2" t="inlineStr">
        <is>
          <t>да</t>
        </is>
      </c>
      <c r="K1015" s="3" t="inlineStr">
        <is>
          <t>Заставка к передаче "Французский язык"</t>
        </is>
      </c>
      <c r="L1015" s="2" t="inlineStr">
        <is>
          <t>https://animator.ru/db/?p=show_film&amp;fid=5343</t>
        </is>
      </c>
      <c r="M1015" s="2">
        <f>HYPERLINK("https://ru.wikipedia.org/w/index.php?search=%D0%A4%D1%80%D0%B0%D0%BD%D1%86%D1%83%D0%B7%D1%81%D0%BA%D0%B8%D0%B9%20%D1%8F%D0%B7%D1%8B%D0%BA%201983%20%D1%84%D0%B8%D0%BB%D1%8C%D0%BC","искать")</f>
        <v/>
      </c>
      <c r="N1015" s="3" t="n"/>
      <c r="O1015" s="2" t="n"/>
      <c r="P1015" s="2" t="n"/>
    </row>
    <row r="1016">
      <c r="A1016" s="2" t="n">
        <v>1015</v>
      </c>
      <c r="B1016" s="2" t="inlineStr">
        <is>
          <t>не сюжет</t>
        </is>
      </c>
      <c r="C1016" s="2" t="n">
        <v>13971</v>
      </c>
      <c r="D1016" s="3" t="inlineStr">
        <is>
          <t>Все непонятливые</t>
        </is>
      </c>
      <c r="E1016" s="2" t="n">
        <v>1976</v>
      </c>
      <c r="F1016" s="2" t="inlineStr">
        <is>
          <t>мультфильм</t>
        </is>
      </c>
      <c r="G1016" s="2" t="inlineStr">
        <is>
          <t>ЭКРАН</t>
        </is>
      </c>
      <c r="H1016" s="2" t="n">
        <v>38</v>
      </c>
      <c r="I1016" s="2" t="inlineStr"/>
      <c r="J1016" s="2" t="inlineStr">
        <is>
          <t>да</t>
        </is>
      </c>
      <c r="K1016" s="3" t="inlineStr">
        <is>
          <t>О грубиянке курице и вежливом червячке</t>
        </is>
      </c>
      <c r="L1016" s="2" t="inlineStr">
        <is>
          <t>https://animator.ru/db/?p=show_film&amp;fid=5365</t>
        </is>
      </c>
      <c r="M1016" s="2">
        <f>HYPERLINK("https://ru.wikipedia.org/w/index.php?search=%D0%92%D1%81%D0%B5%20%D0%BD%D0%B5%D0%BF%D0%BE%D0%BD%D1%8F%D1%82%D0%BB%D0%B8%D0%B2%D1%8B%D0%B5%201976%20%D1%84%D0%B8%D0%BB%D1%8C%D0%BC","искать")</f>
        <v/>
      </c>
      <c r="N1016" s="3" t="n"/>
      <c r="O1016" s="2" t="n"/>
      <c r="P1016" s="2" t="n"/>
    </row>
    <row r="1017">
      <c r="A1017" s="2" t="n">
        <v>1016</v>
      </c>
      <c r="B1017" s="2" t="inlineStr">
        <is>
          <t>не сюжет</t>
        </is>
      </c>
      <c r="C1017" s="2" t="n">
        <v>14061</v>
      </c>
      <c r="D1017" s="3" t="inlineStr">
        <is>
          <t>Синюшкин колодец</t>
        </is>
      </c>
      <c r="E1017" s="2" t="n">
        <v>1973</v>
      </c>
      <c r="F1017" s="2" t="inlineStr">
        <is>
          <t>мультфильм</t>
        </is>
      </c>
      <c r="G1017" s="2" t="inlineStr">
        <is>
          <t>Свердловская киностудия</t>
        </is>
      </c>
      <c r="H1017" s="2" t="n">
        <v>38</v>
      </c>
      <c r="I1017" s="2" t="inlineStr"/>
      <c r="J1017" s="2" t="inlineStr">
        <is>
          <t>да</t>
        </is>
      </c>
      <c r="K1017" s="3" t="inlineStr">
        <is>
          <t>По мотивам одноименного сказа П.Бажова</t>
        </is>
      </c>
      <c r="L1017" s="2" t="inlineStr">
        <is>
          <t>https://animator.ru/db/?p=show_film&amp;fid=5457</t>
        </is>
      </c>
      <c r="M1017" s="2">
        <f>HYPERLINK("https://ru.wikipedia.org/w/index.php?search=%D0%A1%D0%B8%D0%BD%D1%8E%D1%88%D0%BA%D0%B8%D0%BD%20%D0%BA%D0%BE%D0%BB%D0%BE%D0%B4%D0%B5%D1%86%201973%20%D1%84%D0%B8%D0%BB%D1%8C%D0%BC","искать")</f>
        <v/>
      </c>
      <c r="N1017" s="3" t="n"/>
      <c r="O1017" s="2" t="n"/>
      <c r="P1017" s="2" t="n"/>
    </row>
    <row r="1018">
      <c r="A1018" s="2" t="n">
        <v>1017</v>
      </c>
      <c r="B1018" s="2" t="inlineStr">
        <is>
          <t>не сюжет</t>
        </is>
      </c>
      <c r="C1018" s="2" t="n">
        <v>14111</v>
      </c>
      <c r="D1018" s="3" t="inlineStr">
        <is>
          <t>Жила-была пчелка</t>
        </is>
      </c>
      <c r="E1018" s="2" t="n">
        <v>1978</v>
      </c>
      <c r="F1018" s="2" t="inlineStr">
        <is>
          <t>мультфильм</t>
        </is>
      </c>
      <c r="G1018" s="2" t="inlineStr">
        <is>
          <t>САРАТОВТЕЛЕФИЛЬМ</t>
        </is>
      </c>
      <c r="H1018" s="2" t="n">
        <v>38</v>
      </c>
      <c r="I1018" s="2" t="inlineStr"/>
      <c r="J1018" s="2" t="inlineStr">
        <is>
          <t>да</t>
        </is>
      </c>
      <c r="K1018" s="3" t="inlineStr">
        <is>
          <t>По мотивам сказки А. Алиша "Нечкебиль"</t>
        </is>
      </c>
      <c r="L1018" s="2" t="inlineStr">
        <is>
          <t>2026-10_мультфильмы_список_владельца.xlsx; https://animator.ru/db/?p=show_film&amp;fid=5509</t>
        </is>
      </c>
      <c r="M1018" s="2">
        <f>HYPERLINK("https://ru.wikipedia.org/w/index.php?search=%D0%96%D0%B8%D0%BB%D0%B0-%D0%B1%D1%8B%D0%BB%D0%B0%20%D0%BF%D1%87%D0%B5%D0%BB%D0%BA%D0%B0%201978%20%D1%84%D0%B8%D0%BB%D1%8C%D0%BC","искать")</f>
        <v/>
      </c>
      <c r="N1018" s="3" t="n"/>
      <c r="O1018" s="2" t="n"/>
      <c r="P1018" s="2" t="n"/>
    </row>
    <row r="1019">
      <c r="A1019" s="2" t="n">
        <v>1018</v>
      </c>
      <c r="B1019" s="2" t="inlineStr">
        <is>
          <t>не сюжет</t>
        </is>
      </c>
      <c r="C1019" s="2" t="n">
        <v>14189</v>
      </c>
      <c r="D1019" s="3" t="inlineStr">
        <is>
          <t>Тинка-Паутинка</t>
        </is>
      </c>
      <c r="E1019" s="2" t="n">
        <v>1988</v>
      </c>
      <c r="F1019" s="2" t="inlineStr">
        <is>
          <t>мультфильм</t>
        </is>
      </c>
      <c r="G1019" s="2" t="inlineStr">
        <is>
          <t>КАЗАХТЕЛЕФИЛЬМ</t>
        </is>
      </c>
      <c r="H1019" s="2" t="n">
        <v>38</v>
      </c>
      <c r="I1019" s="2" t="inlineStr"/>
      <c r="J1019" s="2" t="inlineStr">
        <is>
          <t>да</t>
        </is>
      </c>
      <c r="K1019" s="3" t="inlineStr">
        <is>
          <t>О маленьком лесном паучке. Для малышей</t>
        </is>
      </c>
      <c r="L1019" s="2" t="inlineStr">
        <is>
          <t>https://animator.ru/db/?p=show_film&amp;fid=5587</t>
        </is>
      </c>
      <c r="M1019" s="2">
        <f>HYPERLINK("https://ru.wikipedia.org/w/index.php?search=%D0%A2%D0%B8%D0%BD%D0%BA%D0%B0-%D0%9F%D0%B0%D1%83%D1%82%D0%B8%D0%BD%D0%BA%D0%B0%201988%20%D1%84%D0%B8%D0%BB%D1%8C%D0%BC","искать")</f>
        <v/>
      </c>
      <c r="N1019" s="3" t="n"/>
      <c r="O1019" s="2" t="n"/>
      <c r="P1019" s="2" t="n"/>
    </row>
    <row r="1020">
      <c r="A1020" s="2" t="n">
        <v>1019</v>
      </c>
      <c r="B1020" s="2" t="inlineStr">
        <is>
          <t>не сюжет</t>
        </is>
      </c>
      <c r="C1020" s="2" t="n">
        <v>14199</v>
      </c>
      <c r="D1020" s="3" t="inlineStr">
        <is>
          <t>Эх, Топтыгин, Топтыгин!</t>
        </is>
      </c>
      <c r="E1020" s="2" t="n">
        <v>1987</v>
      </c>
      <c r="F1020" s="2" t="inlineStr">
        <is>
          <t>мультфильм</t>
        </is>
      </c>
      <c r="G1020" s="2" t="inlineStr">
        <is>
          <t>САРАТОВТЕЛЕФИЛЬМ</t>
        </is>
      </c>
      <c r="H1020" s="2" t="n">
        <v>38</v>
      </c>
      <c r="I1020" s="2" t="inlineStr"/>
      <c r="J1020" s="2" t="inlineStr">
        <is>
          <t>да</t>
        </is>
      </c>
      <c r="K1020" s="3" t="inlineStr">
        <is>
          <t>Сказка о доверчивом медведе. Для детей</t>
        </is>
      </c>
      <c r="L1020" s="2" t="inlineStr">
        <is>
          <t>https://animator.ru/db/?p=show_film&amp;fid=5597</t>
        </is>
      </c>
      <c r="M1020" s="2">
        <f>HYPERLINK("https://ru.wikipedia.org/w/index.php?search=%D0%AD%D1%85%2C%20%D0%A2%D0%BE%D0%BF%D1%82%D1%8B%D0%B3%D0%B8%D0%BD%2C%20%D0%A2%D0%BE%D0%BF%D1%82%D1%8B%D0%B3%D0%B8%D0%BD%21%201987%20%D1%84%D0%B8%D0%BB%D1%8C%D0%BC","искать")</f>
        <v/>
      </c>
      <c r="N1020" s="3" t="n"/>
      <c r="O1020" s="2" t="n"/>
      <c r="P1020" s="2" t="n"/>
    </row>
    <row r="1021">
      <c r="A1021" s="2" t="n">
        <v>1020</v>
      </c>
      <c r="B1021" s="2" t="inlineStr">
        <is>
          <t>не сюжет</t>
        </is>
      </c>
      <c r="C1021" s="2" t="n">
        <v>14301</v>
      </c>
      <c r="D1021" s="3" t="inlineStr">
        <is>
          <t>Крокодил</t>
        </is>
      </c>
      <c r="E1021" s="2" t="n">
        <v>1991</v>
      </c>
      <c r="F1021" s="2" t="inlineStr">
        <is>
          <t>мультфильм</t>
        </is>
      </c>
      <c r="G1021" s="2" t="inlineStr">
        <is>
          <t>УКРАНИМАФИЛЬМ</t>
        </is>
      </c>
      <c r="H1021" s="2" t="n">
        <v>38</v>
      </c>
      <c r="I1021" s="2" t="inlineStr"/>
      <c r="J1021" s="2" t="inlineStr">
        <is>
          <t>да</t>
        </is>
      </c>
      <c r="K1021" s="3" t="inlineStr">
        <is>
          <t>По мотивам повести Ф. М. Достоевского.</t>
        </is>
      </c>
      <c r="L1021" s="2" t="inlineStr">
        <is>
          <t>2026-10_мультфильмы_список_владельца.xlsx; https://animator.ru/db/?p=show_film&amp;fid=5845</t>
        </is>
      </c>
      <c r="M1021" s="2">
        <f>HYPERLINK("https://ru.wikipedia.org/w/index.php?search=%D0%9A%D1%80%D0%BE%D0%BA%D0%BE%D0%B4%D0%B8%D0%BB%201991%20%D1%84%D0%B8%D0%BB%D1%8C%D0%BC","искать")</f>
        <v/>
      </c>
      <c r="N1021" s="3" t="n"/>
      <c r="O1021" s="2" t="n"/>
      <c r="P1021" s="2" t="n"/>
    </row>
    <row r="1022">
      <c r="A1022" s="2" t="n">
        <v>1021</v>
      </c>
      <c r="B1022" s="2" t="inlineStr">
        <is>
          <t>не сюжет</t>
        </is>
      </c>
      <c r="C1022" s="2" t="n">
        <v>14416</v>
      </c>
      <c r="D1022" s="3" t="inlineStr">
        <is>
          <t>Жил петух у мужика</t>
        </is>
      </c>
      <c r="E1022" s="2" t="n">
        <v>1989</v>
      </c>
      <c r="F1022" s="2" t="inlineStr">
        <is>
          <t>мультфильм</t>
        </is>
      </c>
      <c r="G1022" s="2" t="n"/>
      <c r="H1022" s="2" t="n">
        <v>38</v>
      </c>
      <c r="I1022" s="2" t="inlineStr"/>
      <c r="J1022" s="2" t="inlineStr">
        <is>
          <t>да</t>
        </is>
      </c>
      <c r="K1022" s="3" t="inlineStr">
        <is>
          <t>По мотивам народной молдавской сказки.</t>
        </is>
      </c>
      <c r="L1022" s="2" t="inlineStr">
        <is>
          <t>https://animator.ru/db/?p=show_film&amp;fid=6652</t>
        </is>
      </c>
      <c r="M1022" s="2">
        <f>HYPERLINK("https://ru.wikipedia.org/w/index.php?search=%D0%96%D0%B8%D0%BB%20%D0%BF%D0%B5%D1%82%D1%83%D1%85%20%D1%83%20%D0%BC%D1%83%D0%B6%D0%B8%D0%BA%D0%B0%201989%20%D1%84%D0%B8%D0%BB%D1%8C%D0%BC","искать")</f>
        <v/>
      </c>
      <c r="N1022" s="3" t="n"/>
      <c r="O1022" s="2" t="n"/>
      <c r="P1022" s="2" t="n"/>
    </row>
    <row r="1023">
      <c r="A1023" s="2" t="n">
        <v>1022</v>
      </c>
      <c r="B1023" s="2" t="inlineStr">
        <is>
          <t>не сюжет</t>
        </is>
      </c>
      <c r="C1023" s="2" t="n">
        <v>8732</v>
      </c>
      <c r="D1023" s="3" t="inlineStr">
        <is>
          <t>Засуха</t>
        </is>
      </c>
      <c r="E1023" s="2" t="n">
        <v>1933</v>
      </c>
      <c r="F1023" s="2" t="inlineStr">
        <is>
          <t>кинофильм</t>
        </is>
      </c>
      <c r="G1023" s="2" t="n"/>
      <c r="H1023" s="2" t="n">
        <v>39</v>
      </c>
      <c r="I1023" s="2" t="inlineStr"/>
      <c r="J1023" s="2" t="inlineStr">
        <is>
          <t>да</t>
        </is>
      </c>
      <c r="K1023" s="3" t="inlineStr">
        <is>
          <t>Киноповесть о простых труженниках села.</t>
        </is>
      </c>
      <c r="L1023" s="2" t="inlineStr">
        <is>
          <t>Кино_СССР сводный каталог.xlsx: список фильмов (доп.)</t>
        </is>
      </c>
      <c r="M1023" s="2">
        <f>HYPERLINK("https://ru.wikipedia.org/w/index.php?search=%D0%97%D0%B0%D1%81%D1%83%D1%85%D0%B0%201933%20%D1%84%D0%B8%D0%BB%D1%8C%D0%BC","искать")</f>
        <v/>
      </c>
      <c r="N1023" s="3" t="n"/>
      <c r="O1023" s="2" t="n"/>
      <c r="P1023" s="2" t="n"/>
    </row>
    <row r="1024">
      <c r="A1024" s="2" t="n">
        <v>1023</v>
      </c>
      <c r="B1024" s="2" t="inlineStr">
        <is>
          <t>не сюжет</t>
        </is>
      </c>
      <c r="C1024" s="2" t="n">
        <v>10139</v>
      </c>
      <c r="D1024" s="3" t="inlineStr">
        <is>
          <t>Верный робот</t>
        </is>
      </c>
      <c r="E1024" s="2" t="n">
        <v>1965</v>
      </c>
      <c r="F1024" s="2" t="inlineStr">
        <is>
          <t>фильм-спектакль</t>
        </is>
      </c>
      <c r="G1024" s="2" t="inlineStr">
        <is>
          <t>Ленинградское телевидение, Подборки фильмов, экранизации Станислава Лема</t>
        </is>
      </c>
      <c r="H1024" s="2" t="n">
        <v>39</v>
      </c>
      <c r="I1024" s="2" t="inlineStr"/>
      <c r="J1024" s="2" t="inlineStr">
        <is>
          <t>да</t>
        </is>
      </c>
      <c r="K1024" s="3" t="inlineStr">
        <is>
          <t>Телеспектакль по пьесе Станислава Лема.</t>
        </is>
      </c>
      <c r="L1024" s="2" t="inlineStr">
        <is>
          <t>https://www.kino-teatr.ru/teatr/movie/108975/annot/</t>
        </is>
      </c>
      <c r="M1024" s="2">
        <f>HYPERLINK("https://ru.wikipedia.org/w/index.php?search=%D0%92%D0%B5%D1%80%D0%BD%D1%8B%D0%B9%20%D1%80%D0%BE%D0%B1%D0%BE%D1%82%201965%20%D1%84%D0%B8%D0%BB%D1%8C%D0%BC","искать")</f>
        <v/>
      </c>
      <c r="N1024" s="3" t="n"/>
      <c r="O1024" s="2" t="n"/>
      <c r="P1024" s="2" t="n"/>
    </row>
    <row r="1025">
      <c r="A1025" s="2" t="n">
        <v>1024</v>
      </c>
      <c r="B1025" s="2" t="inlineStr">
        <is>
          <t>не сюжет</t>
        </is>
      </c>
      <c r="C1025" s="2" t="n">
        <v>10160</v>
      </c>
      <c r="D1025" s="3" t="inlineStr">
        <is>
          <t>Бегут дороги</t>
        </is>
      </c>
      <c r="E1025" s="2" t="n">
        <v>1966</v>
      </c>
      <c r="F1025" s="2" t="inlineStr">
        <is>
          <t>фильм-спектакль</t>
        </is>
      </c>
      <c r="G1025" s="2" t="inlineStr">
        <is>
          <t>Центральное телевидение</t>
        </is>
      </c>
      <c r="H1025" s="2" t="n">
        <v>39</v>
      </c>
      <c r="I1025" s="2" t="inlineStr"/>
      <c r="J1025" s="2" t="inlineStr">
        <is>
          <t>да</t>
        </is>
      </c>
      <c r="K1025" s="3" t="inlineStr">
        <is>
          <t>По повести В.Пистоленко "Бегут дороги".</t>
        </is>
      </c>
      <c r="L1025" s="2" t="inlineStr">
        <is>
          <t>https://www.kino-teatr.ru/teatr/movie/136897/annot/</t>
        </is>
      </c>
      <c r="M1025" s="2">
        <f>HYPERLINK("https://ru.wikipedia.org/w/index.php?search=%D0%91%D0%B5%D0%B3%D1%83%D1%82%20%D0%B4%D0%BE%D1%80%D0%BE%D0%B3%D0%B8%201966%20%D1%84%D0%B8%D0%BB%D1%8C%D0%BC","искать")</f>
        <v/>
      </c>
      <c r="N1025" s="3" t="n"/>
      <c r="O1025" s="2" t="n"/>
      <c r="P1025" s="2" t="n"/>
    </row>
    <row r="1026">
      <c r="A1026" s="2" t="n">
        <v>1025</v>
      </c>
      <c r="B1026" s="2" t="inlineStr">
        <is>
          <t>не сюжет</t>
        </is>
      </c>
      <c r="C1026" s="2" t="n">
        <v>10727</v>
      </c>
      <c r="D1026" s="3" t="inlineStr">
        <is>
          <t>Бенефис Людмилы Гурченко</t>
        </is>
      </c>
      <c r="E1026" s="2" t="n">
        <v>1978</v>
      </c>
      <c r="F1026" s="2" t="inlineStr">
        <is>
          <t>фильм-спектакль</t>
        </is>
      </c>
      <c r="G1026" s="2" t="inlineStr">
        <is>
          <t>Главная редакция музыкальных программ ЦТ</t>
        </is>
      </c>
      <c r="H1026" s="2" t="n">
        <v>39</v>
      </c>
      <c r="I1026" s="2" t="inlineStr"/>
      <c r="J1026" s="2" t="inlineStr">
        <is>
          <t>да</t>
        </is>
      </c>
      <c r="K1026" s="3" t="inlineStr">
        <is>
          <t>Телевизионный бенефис Людмилы Гурченко.</t>
        </is>
      </c>
      <c r="L1026" s="2" t="inlineStr">
        <is>
          <t>https://www.kino-teatr.ru/teatr/movie/82403/annot/</t>
        </is>
      </c>
      <c r="M1026" s="2">
        <f>HYPERLINK("https://ru.wikipedia.org/w/index.php?search=%D0%91%D0%B5%D0%BD%D0%B5%D1%84%D0%B8%D1%81%20%D0%9B%D1%8E%D0%B4%D0%BC%D0%B8%D0%BB%D1%8B%20%D0%93%D1%83%D1%80%D1%87%D0%B5%D0%BD%D0%BA%D0%BE%201978%20%D1%84%D0%B8%D0%BB%D1%8C%D0%BC","искать")</f>
        <v/>
      </c>
      <c r="N1026" s="3" t="n"/>
      <c r="O1026" s="2" t="n"/>
      <c r="P1026" s="2" t="inlineStr">
        <is>
          <t>Википедия: «Бенефис Людмилы Гурченко» — по сверке другой фильм, не предложено</t>
        </is>
      </c>
    </row>
    <row r="1027">
      <c r="A1027" s="2" t="n">
        <v>1026</v>
      </c>
      <c r="B1027" s="2" t="inlineStr">
        <is>
          <t>не сюжет</t>
        </is>
      </c>
      <c r="C1027" s="2" t="n">
        <v>11703</v>
      </c>
      <c r="D1027" s="3" t="inlineStr">
        <is>
          <t>Кем быть? (1973)</t>
        </is>
      </c>
      <c r="E1027" s="2" t="n">
        <v>1973</v>
      </c>
      <c r="F1027" s="2" t="inlineStr">
        <is>
          <t>мультфильм</t>
        </is>
      </c>
      <c r="G1027" s="2" t="inlineStr">
        <is>
          <t>Союзмультфильм</t>
        </is>
      </c>
      <c r="H1027" s="2" t="n">
        <v>39</v>
      </c>
      <c r="I1027" s="2" t="inlineStr"/>
      <c r="J1027" s="2" t="inlineStr">
        <is>
          <t>да</t>
        </is>
      </c>
      <c r="K1027" s="3" t="inlineStr">
        <is>
          <t>По стихотворению Маяковского. Для детей</t>
        </is>
      </c>
      <c r="L1027" s="2" t="inlineStr">
        <is>
          <t>https://animator.ru/db/?p=show_film&amp;fid=2617</t>
        </is>
      </c>
      <c r="M1027" s="2">
        <f>HYPERLINK("https://ru.wikipedia.org/w/index.php?search=%D0%9A%D0%B5%D0%BC%20%D0%B1%D1%8B%D1%82%D1%8C%3F%20%281973%29%201973%20%D1%84%D0%B8%D0%BB%D1%8C%D0%BC","искать")</f>
        <v/>
      </c>
      <c r="N1027" s="3" t="n"/>
      <c r="O1027" s="2" t="n"/>
      <c r="P1027" s="2" t="n"/>
    </row>
    <row r="1028">
      <c r="A1028" s="2" t="n">
        <v>1027</v>
      </c>
      <c r="B1028" s="2" t="inlineStr">
        <is>
          <t>не сюжет</t>
        </is>
      </c>
      <c r="C1028" s="2" t="n">
        <v>11748</v>
      </c>
      <c r="D1028" s="3" t="inlineStr">
        <is>
          <t>С бору по сосенке</t>
        </is>
      </c>
      <c r="E1028" s="2" t="n">
        <v>1974</v>
      </c>
      <c r="F1028" s="2" t="inlineStr">
        <is>
          <t>мультфильм</t>
        </is>
      </c>
      <c r="G1028" s="2" t="inlineStr">
        <is>
          <t>Союзмультфильм</t>
        </is>
      </c>
      <c r="H1028" s="2" t="n">
        <v>39</v>
      </c>
      <c r="I1028" s="2" t="inlineStr"/>
      <c r="J1028" s="2" t="inlineStr">
        <is>
          <t>да</t>
        </is>
      </c>
      <c r="K1028" s="3" t="inlineStr">
        <is>
          <t>Шуточный фильм о нерадивых спортсменах.</t>
        </is>
      </c>
      <c r="L1028" s="2" t="inlineStr">
        <is>
          <t>2026-10_мультфильмы_список_владельца.xlsx; https://animator.ru/db/?p=show_film&amp;fid=2662</t>
        </is>
      </c>
      <c r="M1028" s="2">
        <f>HYPERLINK("https://ru.wikipedia.org/w/index.php?search=%D0%A1%20%D0%B1%D0%BE%D1%80%D1%83%20%D0%BF%D0%BE%20%D1%81%D0%BE%D1%81%D0%B5%D0%BD%D0%BA%D0%B5%201974%20%D1%84%D0%B8%D0%BB%D1%8C%D0%BC","искать")</f>
        <v/>
      </c>
      <c r="N1028" s="3" t="n"/>
      <c r="O1028" s="2" t="n"/>
      <c r="P1028" s="2" t="n"/>
    </row>
    <row r="1029">
      <c r="A1029" s="2" t="n">
        <v>1028</v>
      </c>
      <c r="B1029" s="2" t="inlineStr">
        <is>
          <t>не сюжет</t>
        </is>
      </c>
      <c r="C1029" s="2" t="n">
        <v>11832</v>
      </c>
      <c r="D1029" s="3" t="inlineStr">
        <is>
          <t>Журавлиные перья</t>
        </is>
      </c>
      <c r="E1029" s="2" t="n">
        <v>1977</v>
      </c>
      <c r="F1029" s="2" t="inlineStr">
        <is>
          <t>мультфильм</t>
        </is>
      </c>
      <c r="G1029" s="2" t="inlineStr">
        <is>
          <t>Союзмультфильм</t>
        </is>
      </c>
      <c r="H1029" s="2" t="n">
        <v>39</v>
      </c>
      <c r="I1029" s="2" t="inlineStr"/>
      <c r="J1029" s="2" t="inlineStr">
        <is>
          <t>да</t>
        </is>
      </c>
      <c r="K1029" s="3" t="inlineStr">
        <is>
          <t>По японской сказке. Для любой аудитории</t>
        </is>
      </c>
      <c r="L1029" s="2" t="inlineStr">
        <is>
          <t>https://animator.ru/db/?p=show_film&amp;fid=2747</t>
        </is>
      </c>
      <c r="M1029" s="2">
        <f>HYPERLINK("https://ru.wikipedia.org/w/index.php?search=%D0%96%D1%83%D1%80%D0%B0%D0%B2%D0%BB%D0%B8%D0%BD%D1%8B%D0%B5%20%D0%BF%D0%B5%D1%80%D1%8C%D1%8F%201977%20%D1%84%D0%B8%D0%BB%D1%8C%D0%BC","искать")</f>
        <v/>
      </c>
      <c r="N1029" s="3" t="n"/>
      <c r="O1029" s="2" t="n"/>
      <c r="P1029" s="2" t="n"/>
    </row>
    <row r="1030">
      <c r="A1030" s="2" t="n">
        <v>1029</v>
      </c>
      <c r="B1030" s="2" t="inlineStr">
        <is>
          <t>не сюжет</t>
        </is>
      </c>
      <c r="C1030" s="2" t="n">
        <v>12160</v>
      </c>
      <c r="D1030" s="3" t="inlineStr">
        <is>
          <t>Старая лестница</t>
        </is>
      </c>
      <c r="E1030" s="2" t="n">
        <v>1985</v>
      </c>
      <c r="F1030" s="2" t="inlineStr">
        <is>
          <t>мультфильм</t>
        </is>
      </c>
      <c r="G1030" s="2" t="inlineStr">
        <is>
          <t>Союзмультфильм</t>
        </is>
      </c>
      <c r="H1030" s="2" t="n">
        <v>39</v>
      </c>
      <c r="I1030" s="2" t="inlineStr"/>
      <c r="J1030" s="2" t="inlineStr">
        <is>
          <t>да</t>
        </is>
      </c>
      <c r="K1030" s="3" t="inlineStr">
        <is>
          <t>По мотивам стихотворения И.Пивоваровой.</t>
        </is>
      </c>
      <c r="L1030" s="2" t="inlineStr">
        <is>
          <t>2026-10_мультфильмы_список_владельца.xlsx; https://animator.ru/db/?p=show_film&amp;fid=3276</t>
        </is>
      </c>
      <c r="M1030" s="2">
        <f>HYPERLINK("https://ru.wikipedia.org/w/index.php?search=%D0%A1%D1%82%D0%B0%D1%80%D0%B0%D1%8F%20%D0%BB%D0%B5%D1%81%D1%82%D0%BD%D0%B8%D1%86%D0%B0%201985%20%D1%84%D0%B8%D0%BB%D1%8C%D0%BC","искать")</f>
        <v/>
      </c>
      <c r="N1030" s="3" t="n"/>
      <c r="O1030" s="2" t="n"/>
      <c r="P1030" s="2" t="n"/>
    </row>
    <row r="1031">
      <c r="A1031" s="2" t="n">
        <v>1030</v>
      </c>
      <c r="B1031" s="2" t="inlineStr">
        <is>
          <t>не сюжет</t>
        </is>
      </c>
      <c r="C1031" s="2" t="n">
        <v>12188</v>
      </c>
      <c r="D1031" s="3" t="inlineStr">
        <is>
          <t>Петух и боярин</t>
        </is>
      </c>
      <c r="E1031" s="2" t="n">
        <v>1986</v>
      </c>
      <c r="F1031" s="2" t="inlineStr">
        <is>
          <t>мультфильм</t>
        </is>
      </c>
      <c r="G1031" s="2" t="inlineStr">
        <is>
          <t>Союзмультфильм</t>
        </is>
      </c>
      <c r="H1031" s="2" t="n">
        <v>39</v>
      </c>
      <c r="I1031" s="2" t="inlineStr"/>
      <c r="J1031" s="2" t="inlineStr">
        <is>
          <t>да</t>
        </is>
      </c>
      <c r="K1031" s="3" t="inlineStr">
        <is>
          <t>По сказке "Петух и волшебная мельница".</t>
        </is>
      </c>
      <c r="L1031" s="2" t="inlineStr">
        <is>
          <t>2026-10_мультфильмы_список_владельца.xlsx; https://animator.ru/db/?p=show_film&amp;fid=3305</t>
        </is>
      </c>
      <c r="M1031" s="2">
        <f>HYPERLINK("https://ru.wikipedia.org/w/index.php?search=%D0%9F%D0%B5%D1%82%D1%83%D1%85%20%D0%B8%20%D0%B1%D0%BE%D1%8F%D1%80%D0%B8%D0%BD%201986%20%D1%84%D0%B8%D0%BB%D1%8C%D0%BC","искать")</f>
        <v/>
      </c>
      <c r="N1031" s="3" t="n"/>
      <c r="O1031" s="2" t="n"/>
      <c r="P1031" s="2" t="n"/>
    </row>
    <row r="1032">
      <c r="A1032" s="2" t="n">
        <v>1031</v>
      </c>
      <c r="B1032" s="2" t="inlineStr">
        <is>
          <t>не сюжет</t>
        </is>
      </c>
      <c r="C1032" s="2" t="n">
        <v>12214</v>
      </c>
      <c r="D1032" s="3" t="inlineStr">
        <is>
          <t>Музыка революции</t>
        </is>
      </c>
      <c r="E1032" s="2" t="n">
        <v>1987</v>
      </c>
      <c r="F1032" s="2" t="inlineStr">
        <is>
          <t>мультфильм</t>
        </is>
      </c>
      <c r="G1032" s="2" t="inlineStr">
        <is>
          <t>Союзмультфильм</t>
        </is>
      </c>
      <c r="H1032" s="2" t="n">
        <v>39</v>
      </c>
      <c r="I1032" s="2" t="inlineStr"/>
      <c r="J1032" s="2" t="inlineStr">
        <is>
          <t>да</t>
        </is>
      </c>
      <c r="K1032" s="3" t="inlineStr">
        <is>
          <t>По мотивами поэмы А.Блока "Двенадцать".</t>
        </is>
      </c>
      <c r="L1032" s="2" t="inlineStr">
        <is>
          <t>2026-10_мультфильмы_список_владельца.xlsx; https://animator.ru/db/?p=show_film&amp;fid=3331</t>
        </is>
      </c>
      <c r="M1032" s="2">
        <f>HYPERLINK("https://ru.wikipedia.org/w/index.php?search=%D0%9C%D1%83%D0%B7%D1%8B%D0%BA%D0%B0%20%D1%80%D0%B5%D0%B2%D0%BE%D0%BB%D1%8E%D1%86%D0%B8%D0%B8%201987%20%D1%84%D0%B8%D0%BB%D1%8C%D0%BC","искать")</f>
        <v/>
      </c>
      <c r="N1032" s="3" t="n"/>
      <c r="O1032" s="2" t="n"/>
      <c r="P1032" s="2" t="n"/>
    </row>
    <row r="1033">
      <c r="A1033" s="2" t="n">
        <v>1032</v>
      </c>
      <c r="B1033" s="2" t="inlineStr">
        <is>
          <t>не сюжет</t>
        </is>
      </c>
      <c r="C1033" s="2" t="n">
        <v>12327</v>
      </c>
      <c r="D1033" s="3" t="inlineStr">
        <is>
          <t>Братец кролик и братец лис</t>
        </is>
      </c>
      <c r="E1033" s="2" t="n">
        <v>1972</v>
      </c>
      <c r="F1033" s="2" t="inlineStr">
        <is>
          <t>мультфильм</t>
        </is>
      </c>
      <c r="G1033" s="2" t="inlineStr">
        <is>
          <t>КИЕВНАУЧФИЛЬМ</t>
        </is>
      </c>
      <c r="H1033" s="2" t="n">
        <v>39</v>
      </c>
      <c r="I1033" s="2" t="inlineStr"/>
      <c r="J1033" s="2" t="inlineStr">
        <is>
          <t>да</t>
        </is>
      </c>
      <c r="K1033" s="3" t="inlineStr">
        <is>
          <t>По мотивам негритянских народных сказок</t>
        </is>
      </c>
      <c r="L1033" s="2" t="inlineStr">
        <is>
          <t>https://animator.ru/db/?p=show_film&amp;fid=3491</t>
        </is>
      </c>
      <c r="M1033" s="2">
        <f>HYPERLINK("https://ru.wikipedia.org/w/index.php?search=%D0%91%D1%80%D0%B0%D1%82%D0%B5%D1%86%20%D0%BA%D1%80%D0%BE%D0%BB%D0%B8%D0%BA%20%D0%B8%20%D0%B1%D1%80%D0%B0%D1%82%D0%B5%D1%86%20%D0%BB%D0%B8%D1%81%201972%20%D1%84%D0%B8%D0%BB%D1%8C%D0%BC","искать")</f>
        <v/>
      </c>
      <c r="N1033" s="3" t="n"/>
      <c r="O1033" s="2" t="n"/>
      <c r="P1033" s="2" t="n"/>
    </row>
    <row r="1034">
      <c r="A1034" s="2" t="n">
        <v>1033</v>
      </c>
      <c r="B1034" s="2" t="inlineStr">
        <is>
          <t>не сюжет</t>
        </is>
      </c>
      <c r="C1034" s="2" t="n">
        <v>12382</v>
      </c>
      <c r="D1034" s="3" t="inlineStr">
        <is>
          <t>Золотой гвоздь</t>
        </is>
      </c>
      <c r="E1034" s="2" t="n">
        <v>1986</v>
      </c>
      <c r="F1034" s="2" t="inlineStr">
        <is>
          <t>мультфильм</t>
        </is>
      </c>
      <c r="G1034" s="2" t="inlineStr">
        <is>
          <t>КИЕВНАУЧФИЛЬМ</t>
        </is>
      </c>
      <c r="H1034" s="2" t="n">
        <v>39</v>
      </c>
      <c r="I1034" s="2" t="inlineStr"/>
      <c r="J1034" s="2" t="inlineStr">
        <is>
          <t>да</t>
        </is>
      </c>
      <c r="K1034" s="3" t="inlineStr">
        <is>
          <t>По мотивам одноименной сказки Е.Пермяка</t>
        </is>
      </c>
      <c r="L1034" s="2" t="inlineStr">
        <is>
          <t>https://animator.ru/db/?p=show_film&amp;fid=3553</t>
        </is>
      </c>
      <c r="M1034" s="2">
        <f>HYPERLINK("https://ru.wikipedia.org/w/index.php?search=%D0%97%D0%BE%D0%BB%D0%BE%D1%82%D0%BE%D0%B9%20%D0%B3%D0%B2%D0%BE%D0%B7%D0%B4%D1%8C%201986%20%D1%84%D0%B8%D0%BB%D1%8C%D0%BC","искать")</f>
        <v/>
      </c>
      <c r="N1034" s="3" t="n"/>
      <c r="O1034" s="2" t="n"/>
      <c r="P1034" s="2" t="n"/>
    </row>
    <row r="1035">
      <c r="A1035" s="2" t="n">
        <v>1034</v>
      </c>
      <c r="B1035" s="2" t="inlineStr">
        <is>
          <t>не сюжет</t>
        </is>
      </c>
      <c r="C1035" s="2" t="n">
        <v>12404</v>
      </c>
      <c r="D1035" s="3" t="inlineStr">
        <is>
          <t>Как казаки невест выручали</t>
        </is>
      </c>
      <c r="E1035" s="2" t="n">
        <v>1973</v>
      </c>
      <c r="F1035" s="2" t="inlineStr">
        <is>
          <t>мультфильм</t>
        </is>
      </c>
      <c r="G1035" s="2" t="inlineStr">
        <is>
          <t>КИЕВНАУЧФИЛЬМ</t>
        </is>
      </c>
      <c r="H1035" s="2" t="n">
        <v>39</v>
      </c>
      <c r="I1035" s="2" t="inlineStr"/>
      <c r="J1035" s="2" t="inlineStr">
        <is>
          <t>да</t>
        </is>
      </c>
      <c r="K1035" s="3" t="inlineStr">
        <is>
          <t>Мульт из серии про Запорожских казаков.</t>
        </is>
      </c>
      <c r="L1035" s="2" t="inlineStr">
        <is>
          <t>2026-10_мультфильмы_список_владельца.xlsx; https://animator.ru/db/?p=show_film&amp;fid=3575</t>
        </is>
      </c>
      <c r="M1035" s="2">
        <f>HYPERLINK("https://ru.wikipedia.org/w/index.php?search=%D0%9A%D0%B0%D0%BA%20%D0%BA%D0%B0%D0%B7%D0%B0%D0%BA%D0%B8%20%D0%BD%D0%B5%D0%B2%D0%B5%D1%81%D1%82%20%D0%B2%D1%8B%D1%80%D1%83%D1%87%D0%B0%D0%BB%D0%B8%201973%20%D1%84%D0%B8%D0%BB%D1%8C%D0%BC","искать")</f>
        <v/>
      </c>
      <c r="N1035" s="3" t="n"/>
      <c r="O1035" s="2" t="n"/>
      <c r="P1035" s="2" t="n"/>
    </row>
    <row r="1036">
      <c r="A1036" s="2" t="n">
        <v>1035</v>
      </c>
      <c r="B1036" s="2" t="inlineStr">
        <is>
          <t>не сюжет</t>
        </is>
      </c>
      <c r="C1036" s="2" t="n">
        <v>12942</v>
      </c>
      <c r="D1036" s="3" t="inlineStr">
        <is>
          <t>Царь и птичка</t>
        </is>
      </c>
      <c r="E1036" s="2" t="n">
        <v>1985</v>
      </c>
      <c r="F1036" s="2" t="inlineStr">
        <is>
          <t>мультфильм</t>
        </is>
      </c>
      <c r="G1036" s="2" t="inlineStr">
        <is>
          <t>ГРУЗИЯ-ФИЛЬМ - АО</t>
        </is>
      </c>
      <c r="H1036" s="2" t="n">
        <v>39</v>
      </c>
      <c r="I1036" s="2" t="inlineStr"/>
      <c r="J1036" s="2" t="inlineStr">
        <is>
          <t>да</t>
        </is>
      </c>
      <c r="K1036" s="3" t="inlineStr">
        <is>
          <t>По мотивам грузинской сказки. Для детей</t>
        </is>
      </c>
      <c r="L1036" s="2" t="inlineStr">
        <is>
          <t>https://animator.ru/db/?p=show_film&amp;fid=4172</t>
        </is>
      </c>
      <c r="M1036" s="2">
        <f>HYPERLINK("https://ru.wikipedia.org/w/index.php?search=%D0%A6%D0%B0%D1%80%D1%8C%20%D0%B8%20%D0%BF%D1%82%D0%B8%D1%87%D0%BA%D0%B0%201985%20%D1%84%D0%B8%D0%BB%D1%8C%D0%BC","искать")</f>
        <v/>
      </c>
      <c r="N1036" s="3" t="n"/>
      <c r="O1036" s="2" t="n"/>
      <c r="P1036" s="2" t="n"/>
    </row>
    <row r="1037">
      <c r="A1037" s="2" t="n">
        <v>1036</v>
      </c>
      <c r="B1037" s="2" t="inlineStr">
        <is>
          <t>не сюжет</t>
        </is>
      </c>
      <c r="C1037" s="2" t="n">
        <v>13259</v>
      </c>
      <c r="D1037" s="3" t="inlineStr">
        <is>
          <t>Сестрицы</t>
        </is>
      </c>
      <c r="E1037" s="2" t="n">
        <v>1974</v>
      </c>
      <c r="F1037" s="2" t="inlineStr">
        <is>
          <t>мультфильм</t>
        </is>
      </c>
      <c r="G1037" s="2" t="inlineStr">
        <is>
          <t>ТАЛЛИННФИЛЬМ</t>
        </is>
      </c>
      <c r="H1037" s="2" t="n">
        <v>39</v>
      </c>
      <c r="I1037" s="2" t="inlineStr"/>
      <c r="J1037" s="2" t="inlineStr">
        <is>
          <t>да</t>
        </is>
      </c>
      <c r="K1037" s="3" t="inlineStr">
        <is>
          <t>О том, что ссориться плохо. Для малышей</t>
        </is>
      </c>
      <c r="L1037" s="2" t="inlineStr">
        <is>
          <t>https://animator.ru/db/?p=show_film&amp;fid=4510</t>
        </is>
      </c>
      <c r="M1037" s="2">
        <f>HYPERLINK("https://ru.wikipedia.org/w/index.php?search=%D0%A1%D0%B5%D1%81%D1%82%D1%80%D0%B8%D1%86%D1%8B%201974%20%D1%84%D0%B8%D0%BB%D1%8C%D0%BC","искать")</f>
        <v/>
      </c>
      <c r="N1037" s="3" t="n"/>
      <c r="O1037" s="2" t="n"/>
      <c r="P1037" s="2" t="n"/>
    </row>
    <row r="1038">
      <c r="A1038" s="2" t="n">
        <v>1037</v>
      </c>
      <c r="B1038" s="2" t="inlineStr">
        <is>
          <t>не сюжет</t>
        </is>
      </c>
      <c r="C1038" s="2" t="n">
        <v>13683</v>
      </c>
      <c r="D1038" s="3" t="inlineStr">
        <is>
          <t>Дом для Кузьки</t>
        </is>
      </c>
      <c r="E1038" s="2" t="n">
        <v>1984</v>
      </c>
      <c r="F1038" s="2" t="inlineStr">
        <is>
          <t>мультфильм</t>
        </is>
      </c>
      <c r="G1038" s="2" t="inlineStr">
        <is>
          <t>ЭКРАН</t>
        </is>
      </c>
      <c r="H1038" s="2" t="n">
        <v>39</v>
      </c>
      <c r="I1038" s="2" t="inlineStr"/>
      <c r="J1038" s="2" t="inlineStr">
        <is>
          <t>да</t>
        </is>
      </c>
      <c r="K1038" s="3" t="inlineStr">
        <is>
          <t>Мультфильм из серии про домовенка Кузю.</t>
        </is>
      </c>
      <c r="L1038" s="2" t="inlineStr">
        <is>
          <t>2026-10_мультфильмы_список_владельца.xlsx; https://animator.ru/db/?p=show_film&amp;fid=5075</t>
        </is>
      </c>
      <c r="M1038" s="2">
        <f>HYPERLINK("https://ru.wikipedia.org/w/index.php?search=%D0%94%D0%BE%D0%BC%20%D0%B4%D0%BB%D1%8F%20%D0%9A%D1%83%D0%B7%D1%8C%D0%BA%D0%B8%201984%20%D1%84%D0%B8%D0%BB%D1%8C%D0%BC","искать")</f>
        <v/>
      </c>
      <c r="N1038" s="3" t="n"/>
      <c r="O1038" s="2" t="n"/>
      <c r="P1038" s="2" t="n"/>
    </row>
    <row r="1039">
      <c r="A1039" s="2" t="n">
        <v>1038</v>
      </c>
      <c r="B1039" s="2" t="inlineStr">
        <is>
          <t>не сюжет</t>
        </is>
      </c>
      <c r="C1039" s="2" t="n">
        <v>13684</v>
      </c>
      <c r="D1039" s="3" t="inlineStr">
        <is>
          <t>Сказка для Наташи</t>
        </is>
      </c>
      <c r="E1039" s="2" t="n">
        <v>1986</v>
      </c>
      <c r="F1039" s="2" t="inlineStr">
        <is>
          <t>мультфильм</t>
        </is>
      </c>
      <c r="G1039" s="2" t="inlineStr">
        <is>
          <t>ЭКРАН</t>
        </is>
      </c>
      <c r="H1039" s="2" t="n">
        <v>39</v>
      </c>
      <c r="I1039" s="2" t="inlineStr"/>
      <c r="J1039" s="2" t="inlineStr">
        <is>
          <t>да</t>
        </is>
      </c>
      <c r="K1039" s="3" t="inlineStr">
        <is>
          <t>Мультфильм из серии про домовенка Кузю.</t>
        </is>
      </c>
      <c r="L1039" s="2" t="inlineStr">
        <is>
          <t>2026-10_мультфильмы_список_владельца.xlsx; https://animator.ru/db/?p=show_film&amp;fid=5076</t>
        </is>
      </c>
      <c r="M1039" s="2">
        <f>HYPERLINK("https://ru.wikipedia.org/w/index.php?search=%D0%A1%D0%BA%D0%B0%D0%B7%D0%BA%D0%B0%20%D0%B4%D0%BB%D1%8F%20%D0%9D%D0%B0%D1%82%D0%B0%D1%88%D0%B8%201986%20%D1%84%D0%B8%D0%BB%D1%8C%D0%BC","искать")</f>
        <v/>
      </c>
      <c r="N1039" s="3" t="n"/>
      <c r="O1039" s="2" t="n"/>
      <c r="P1039" s="2" t="n"/>
    </row>
    <row r="1040">
      <c r="A1040" s="2" t="n">
        <v>1039</v>
      </c>
      <c r="B1040" s="2" t="inlineStr">
        <is>
          <t>не сюжет</t>
        </is>
      </c>
      <c r="C1040" s="2" t="n">
        <v>13756</v>
      </c>
      <c r="D1040" s="3" t="inlineStr">
        <is>
          <t>Малышок и черная маска</t>
        </is>
      </c>
      <c r="E1040" s="2" t="n">
        <v>1970</v>
      </c>
      <c r="F1040" s="2" t="inlineStr">
        <is>
          <t>мультфильм</t>
        </is>
      </c>
      <c r="G1040" s="2" t="inlineStr">
        <is>
          <t>ЭКРАН</t>
        </is>
      </c>
      <c r="H1040" s="2" t="n">
        <v>39</v>
      </c>
      <c r="I1040" s="2" t="inlineStr"/>
      <c r="J1040" s="2" t="inlineStr">
        <is>
          <t>да</t>
        </is>
      </c>
      <c r="K1040" s="3" t="inlineStr">
        <is>
          <t>По мотивам пьесы Э.Кууз "Мамин поцелуй"</t>
        </is>
      </c>
      <c r="L1040" s="2" t="inlineStr">
        <is>
          <t>https://animator.ru/db/?p=show_film&amp;fid=5149</t>
        </is>
      </c>
      <c r="M1040" s="2">
        <f>HYPERLINK("https://ru.wikipedia.org/w/index.php?search=%D0%9C%D0%B0%D0%BB%D1%8B%D1%88%D0%BE%D0%BA%20%D0%B8%20%D1%87%D0%B5%D1%80%D0%BD%D0%B0%D1%8F%20%D0%BC%D0%B0%D1%81%D0%BA%D0%B0%201970%20%D1%84%D0%B8%D0%BB%D1%8C%D0%BC","искать")</f>
        <v/>
      </c>
      <c r="N1040" s="3" t="n"/>
      <c r="O1040" s="2" t="n"/>
      <c r="P1040" s="2" t="n"/>
    </row>
    <row r="1041">
      <c r="A1041" s="2" t="n">
        <v>1040</v>
      </c>
      <c r="B1041" s="2" t="inlineStr">
        <is>
          <t>не сюжет</t>
        </is>
      </c>
      <c r="C1041" s="2" t="n">
        <v>13970</v>
      </c>
      <c r="D1041" s="3" t="inlineStr">
        <is>
          <t>Вот какой рассеянный</t>
        </is>
      </c>
      <c r="E1041" s="2" t="n">
        <v>1975</v>
      </c>
      <c r="F1041" s="2" t="inlineStr">
        <is>
          <t>мультфильм</t>
        </is>
      </c>
      <c r="G1041" s="2" t="inlineStr">
        <is>
          <t>ЭКРАН</t>
        </is>
      </c>
      <c r="H1041" s="2" t="n">
        <v>39</v>
      </c>
      <c r="I1041" s="2" t="inlineStr"/>
      <c r="J1041" s="2" t="inlineStr">
        <is>
          <t>да</t>
        </is>
      </c>
      <c r="K1041" s="3" t="inlineStr">
        <is>
          <t>По одноименному стихотворению С.Маршака</t>
        </is>
      </c>
      <c r="L1041" s="2" t="inlineStr">
        <is>
          <t>https://animator.ru/db/?p=show_film&amp;fid=5364</t>
        </is>
      </c>
      <c r="M1041" s="2">
        <f>HYPERLINK("https://ru.wikipedia.org/w/index.php?search=%D0%92%D0%BE%D1%82%20%D0%BA%D0%B0%D0%BA%D0%BE%D0%B9%20%D1%80%D0%B0%D1%81%D1%81%D0%B5%D1%8F%D0%BD%D0%BD%D1%8B%D0%B9%201975%20%D1%84%D0%B8%D0%BB%D1%8C%D0%BC","искать")</f>
        <v/>
      </c>
      <c r="N1041" s="3" t="n"/>
      <c r="O1041" s="2" t="n"/>
      <c r="P1041" s="2" t="n"/>
    </row>
    <row r="1042">
      <c r="A1042" s="2" t="n">
        <v>1041</v>
      </c>
      <c r="B1042" s="2" t="inlineStr">
        <is>
          <t>не сюжет</t>
        </is>
      </c>
      <c r="C1042" s="2" t="n">
        <v>14025</v>
      </c>
      <c r="D1042" s="3" t="inlineStr">
        <is>
          <t>Золотой волос</t>
        </is>
      </c>
      <c r="E1042" s="2" t="n">
        <v>1979</v>
      </c>
      <c r="F1042" s="2" t="inlineStr">
        <is>
          <t>мультфильм</t>
        </is>
      </c>
      <c r="G1042" s="2" t="inlineStr">
        <is>
          <t>Свердловская киностудия</t>
        </is>
      </c>
      <c r="H1042" s="2" t="n">
        <v>39</v>
      </c>
      <c r="I1042" s="2" t="inlineStr"/>
      <c r="J1042" s="2" t="inlineStr">
        <is>
          <t>да</t>
        </is>
      </c>
      <c r="K1042" s="3" t="inlineStr">
        <is>
          <t>По мотивам одноименного сказа П.Бажова.</t>
        </is>
      </c>
      <c r="L1042" s="2" t="inlineStr">
        <is>
          <t>2026-10_мультфильмы_список_владельца.xlsx; https://animator.ru/db/?p=show_film&amp;fid=5420</t>
        </is>
      </c>
      <c r="M1042" s="2">
        <f>HYPERLINK("https://ru.wikipedia.org/w/index.php?search=%D0%97%D0%BE%D0%BB%D0%BE%D1%82%D0%BE%D0%B9%20%D0%B2%D0%BE%D0%BB%D0%BE%D1%81%201979%20%D1%84%D0%B8%D0%BB%D1%8C%D0%BC","искать")</f>
        <v/>
      </c>
      <c r="N1042" s="3" t="n"/>
      <c r="O1042" s="2" t="n"/>
      <c r="P1042" s="2" t="n"/>
    </row>
    <row r="1043">
      <c r="A1043" s="2" t="n">
        <v>1042</v>
      </c>
      <c r="B1043" s="2" t="inlineStr">
        <is>
          <t>не сюжет</t>
        </is>
      </c>
      <c r="C1043" s="2" t="n">
        <v>14036</v>
      </c>
      <c r="D1043" s="3" t="inlineStr">
        <is>
          <t>Медной горы хозяйка</t>
        </is>
      </c>
      <c r="E1043" s="2" t="n">
        <v>1975</v>
      </c>
      <c r="F1043" s="2" t="inlineStr">
        <is>
          <t>мультфильм</t>
        </is>
      </c>
      <c r="G1043" s="2" t="inlineStr">
        <is>
          <t>Свердловская киностудия</t>
        </is>
      </c>
      <c r="H1043" s="2" t="n">
        <v>39</v>
      </c>
      <c r="I1043" s="2" t="inlineStr"/>
      <c r="J1043" s="2" t="inlineStr">
        <is>
          <t>да</t>
        </is>
      </c>
      <c r="K1043" s="3" t="inlineStr">
        <is>
          <t>По мотивам одноименного сказа П.Бажова.</t>
        </is>
      </c>
      <c r="L1043" s="2" t="inlineStr">
        <is>
          <t>2026-10_мультфильмы_список_владельца.xlsx; https://animator.ru/db/?p=show_film&amp;fid=5432</t>
        </is>
      </c>
      <c r="M1043" s="2">
        <f>HYPERLINK("https://ru.wikipedia.org/w/index.php?search=%D0%9C%D0%B5%D0%B4%D0%BD%D0%BE%D0%B9%20%D0%B3%D0%BE%D1%80%D1%8B%20%D1%85%D0%BE%D0%B7%D1%8F%D0%B9%D0%BA%D0%B0%201975%20%D1%84%D0%B8%D0%BB%D1%8C%D0%BC","искать")</f>
        <v/>
      </c>
      <c r="N1043" s="3" t="n"/>
      <c r="O1043" s="2" t="n"/>
      <c r="P1043" s="2" t="n"/>
    </row>
    <row r="1044">
      <c r="A1044" s="2" t="n">
        <v>1043</v>
      </c>
      <c r="B1044" s="2" t="inlineStr">
        <is>
          <t>не сюжет</t>
        </is>
      </c>
      <c r="C1044" s="2" t="n">
        <v>14060</v>
      </c>
      <c r="D1044" s="3" t="inlineStr">
        <is>
          <t>Росомаха и лисица</t>
        </is>
      </c>
      <c r="E1044" s="2" t="n">
        <v>1982</v>
      </c>
      <c r="F1044" s="2" t="inlineStr">
        <is>
          <t>мультфильм</t>
        </is>
      </c>
      <c r="G1044" s="2" t="inlineStr">
        <is>
          <t>Свердловская киностудия</t>
        </is>
      </c>
      <c r="H1044" s="2" t="n">
        <v>39</v>
      </c>
      <c r="I1044" s="2" t="inlineStr"/>
      <c r="J1044" s="2" t="inlineStr">
        <is>
          <t>да</t>
        </is>
      </c>
      <c r="K1044" s="3" t="inlineStr">
        <is>
          <t>По мотивам эвенкийской народной сказки.</t>
        </is>
      </c>
      <c r="L1044" s="2" t="inlineStr">
        <is>
          <t>2026-10_мультфильмы_список_владельца.xlsx; https://animator.ru/db/?p=show_film&amp;fid=5456</t>
        </is>
      </c>
      <c r="M1044" s="2">
        <f>HYPERLINK("https://ru.wikipedia.org/w/index.php?search=%D0%A0%D0%BE%D1%81%D0%BE%D0%BC%D0%B0%D1%85%D0%B0%20%D0%B8%20%D0%BB%D0%B8%D1%81%D0%B8%D1%86%D0%B0%201982%20%D1%84%D0%B8%D0%BB%D1%8C%D0%BC","искать")</f>
        <v/>
      </c>
      <c r="N1044" s="3" t="n"/>
      <c r="O1044" s="2" t="n"/>
      <c r="P1044" s="2" t="n"/>
    </row>
    <row r="1045">
      <c r="A1045" s="2" t="n">
        <v>1044</v>
      </c>
      <c r="B1045" s="2" t="inlineStr">
        <is>
          <t>не сюжет</t>
        </is>
      </c>
      <c r="C1045" s="2" t="n">
        <v>14064</v>
      </c>
      <c r="D1045" s="3" t="inlineStr">
        <is>
          <t>Сказка про Комара Комаровича</t>
        </is>
      </c>
      <c r="E1045" s="2" t="n">
        <v>1980</v>
      </c>
      <c r="F1045" s="2" t="inlineStr">
        <is>
          <t>мультфильм</t>
        </is>
      </c>
      <c r="G1045" s="2" t="inlineStr">
        <is>
          <t>Свердловская киностудия</t>
        </is>
      </c>
      <c r="H1045" s="2" t="n">
        <v>39</v>
      </c>
      <c r="I1045" s="2" t="inlineStr"/>
      <c r="J1045" s="2" t="inlineStr">
        <is>
          <t>да</t>
        </is>
      </c>
      <c r="K1045" s="3" t="inlineStr">
        <is>
          <t>По одноименной сказке Д.Мамина-Сибиряка</t>
        </is>
      </c>
      <c r="L1045" s="2" t="inlineStr">
        <is>
          <t>https://animator.ru/db/?p=show_film&amp;fid=5460</t>
        </is>
      </c>
      <c r="M1045" s="2">
        <f>HYPERLINK("https://ru.wikipedia.org/w/index.php?search=%D0%A1%D0%BA%D0%B0%D0%B7%D0%BA%D0%B0%20%D0%BF%D1%80%D0%BE%20%D0%9A%D0%BE%D0%BC%D0%B0%D1%80%D0%B0%20%D0%9A%D0%BE%D0%BC%D0%B0%D1%80%D0%BE%D0%B2%D0%B8%D1%87%D0%B0%201980%20%D1%84%D0%B8%D0%BB%D1%8C%D0%BC","искать")</f>
        <v/>
      </c>
      <c r="N1045" s="3" t="n"/>
      <c r="O1045" s="2" t="n"/>
      <c r="P1045" s="2" t="n"/>
    </row>
    <row r="1046">
      <c r="A1046" s="2" t="n">
        <v>1045</v>
      </c>
      <c r="B1046" s="2" t="inlineStr">
        <is>
          <t>не сюжет</t>
        </is>
      </c>
      <c r="C1046" s="2" t="n">
        <v>14241</v>
      </c>
      <c r="D1046" s="3" t="inlineStr">
        <is>
          <t>У меня в кармане</t>
        </is>
      </c>
      <c r="E1046" s="2" t="n">
        <v>1983</v>
      </c>
      <c r="F1046" s="2" t="inlineStr">
        <is>
          <t>мультфильм</t>
        </is>
      </c>
      <c r="G1046" s="2" t="inlineStr">
        <is>
          <t>ГОСТЕЛЕРАДИО ЛАТВ. ССР ("ТЕЛЕФИЛЬМ-РИГА")</t>
        </is>
      </c>
      <c r="H1046" s="2" t="n">
        <v>39</v>
      </c>
      <c r="I1046" s="2" t="inlineStr"/>
      <c r="J1046" s="2" t="inlineStr">
        <is>
          <t>да</t>
        </is>
      </c>
      <c r="K1046" s="3" t="inlineStr">
        <is>
          <t>По мотивам произведений Ояра Вациетиса.</t>
        </is>
      </c>
      <c r="L1046" s="2" t="inlineStr">
        <is>
          <t>2026-10_мультфильмы_список_владельца.xlsx; https://animator.ru/db/?p=show_film&amp;fid=5664</t>
        </is>
      </c>
      <c r="M1046" s="2">
        <f>HYPERLINK("https://ru.wikipedia.org/w/index.php?search=%D0%A3%20%D0%BC%D0%B5%D0%BD%D1%8F%20%D0%B2%20%D0%BA%D0%B0%D1%80%D0%BC%D0%B0%D0%BD%D0%B5%201983%20%D1%84%D0%B8%D0%BB%D1%8C%D0%BC","искать")</f>
        <v/>
      </c>
      <c r="N1046" s="3" t="n"/>
      <c r="O1046" s="2" t="n"/>
      <c r="P1046" s="2" t="n"/>
    </row>
    <row r="1047">
      <c r="A1047" s="2" t="n">
        <v>1046</v>
      </c>
      <c r="B1047" s="2" t="inlineStr">
        <is>
          <t>не сюжет</t>
        </is>
      </c>
      <c r="C1047" s="2" t="n">
        <v>14389</v>
      </c>
      <c r="D1047" s="3" t="inlineStr">
        <is>
          <t>Переменка 3</t>
        </is>
      </c>
      <c r="E1047" s="2" t="n">
        <v>1984</v>
      </c>
      <c r="F1047" s="2" t="inlineStr">
        <is>
          <t>мультфильм</t>
        </is>
      </c>
      <c r="G1047" s="2" t="inlineStr">
        <is>
          <t>Союзмультфильм</t>
        </is>
      </c>
      <c r="H1047" s="2" t="n">
        <v>39</v>
      </c>
      <c r="I1047" s="2" t="inlineStr"/>
      <c r="J1047" s="2" t="inlineStr">
        <is>
          <t>да</t>
        </is>
      </c>
      <c r="K1047" s="3" t="inlineStr">
        <is>
          <t>Сюжеты -"Алхимик", "Наш двор", "Меняла"</t>
        </is>
      </c>
      <c r="L1047" s="2" t="inlineStr">
        <is>
          <t>https://animator.ru/db/?p=show_film&amp;fid=6422</t>
        </is>
      </c>
      <c r="M1047" s="2">
        <f>HYPERLINK("https://ru.wikipedia.org/w/index.php?search=%D0%9F%D0%B5%D1%80%D0%B5%D0%BC%D0%B5%D0%BD%D0%BA%D0%B0%203%201984%20%D1%84%D0%B8%D0%BB%D1%8C%D0%BC","искать")</f>
        <v/>
      </c>
      <c r="N1047" s="3" t="n"/>
      <c r="O1047" s="2" t="n"/>
      <c r="P1047" s="2" t="n"/>
    </row>
    <row r="1048">
      <c r="A1048" s="2" t="n">
        <v>1047</v>
      </c>
      <c r="B1048" s="2" t="inlineStr">
        <is>
          <t>не сюжет</t>
        </is>
      </c>
      <c r="C1048" s="2" t="n">
        <v>8430</v>
      </c>
      <c r="D1048" s="3" t="inlineStr">
        <is>
          <t>Тайна Эдвина Друда</t>
        </is>
      </c>
      <c r="E1048" s="2" t="n">
        <v>1980</v>
      </c>
      <c r="F1048" s="2" t="inlineStr">
        <is>
          <t>телефильм</t>
        </is>
      </c>
      <c r="G1048" s="2" t="inlineStr">
        <is>
          <t>Главная редакция литературно-драматических программ ЦТ СССР</t>
        </is>
      </c>
      <c r="H1048" s="2" t="n">
        <v>40</v>
      </c>
      <c r="I1048" s="2" t="inlineStr"/>
      <c r="J1048" s="2" t="inlineStr">
        <is>
          <t>да</t>
        </is>
      </c>
      <c r="K1048" s="3" t="inlineStr">
        <is>
          <t>По одноименному роману Чарльза Диккенса.</t>
        </is>
      </c>
      <c r="L1048" s="2" t="inlineStr">
        <is>
          <t>Кино_СССР сводный каталог.xlsx: список телефильмов</t>
        </is>
      </c>
      <c r="M1048" s="2">
        <f>HYPERLINK("https://ru.wikipedia.org/w/index.php?search=%D0%A2%D0%B0%D0%B9%D0%BD%D0%B0%20%D0%AD%D0%B4%D0%B2%D0%B8%D0%BD%D0%B0%20%D0%94%D1%80%D1%83%D0%B4%D0%B0%201980%20%D1%84%D0%B8%D0%BB%D1%8C%D0%BC","искать")</f>
        <v/>
      </c>
      <c r="N1048" s="3" t="n"/>
      <c r="O1048" s="2" t="n"/>
      <c r="P1048" s="2" t="n"/>
    </row>
    <row r="1049">
      <c r="A1049" s="2" t="n">
        <v>1048</v>
      </c>
      <c r="B1049" s="2" t="inlineStr">
        <is>
          <t>не сюжет</t>
        </is>
      </c>
      <c r="C1049" s="2" t="n">
        <v>8626</v>
      </c>
      <c r="D1049" s="3" t="inlineStr">
        <is>
          <t>Аршак</t>
        </is>
      </c>
      <c r="E1049" s="2" t="n">
        <v>1973</v>
      </c>
      <c r="F1049" s="2" t="inlineStr">
        <is>
          <t>кинофильм</t>
        </is>
      </c>
      <c r="G1049" s="2" t="n"/>
      <c r="H1049" s="2" t="n">
        <v>40</v>
      </c>
      <c r="I1049" s="2" t="inlineStr"/>
      <c r="J1049" s="2" t="inlineStr">
        <is>
          <t>да</t>
        </is>
      </c>
      <c r="K1049" s="3" t="inlineStr">
        <is>
          <t>О беспризорных детях Еревана 20-х годов.</t>
        </is>
      </c>
      <c r="L1049" s="2" t="inlineStr">
        <is>
          <t>Кино_СССР сводный каталог.xlsx: список фильмов (доп.)</t>
        </is>
      </c>
      <c r="M1049" s="2">
        <f>HYPERLINK("https://ru.wikipedia.org/w/index.php?search=%D0%90%D1%80%D1%88%D0%B0%D0%BA%201973%20%D1%84%D0%B8%D0%BB%D1%8C%D0%BC","искать")</f>
        <v/>
      </c>
      <c r="N1049" s="3" t="n"/>
      <c r="O1049" s="2" t="n"/>
      <c r="P1049" s="2" t="n"/>
    </row>
    <row r="1050">
      <c r="A1050" s="2" t="n">
        <v>1049</v>
      </c>
      <c r="B1050" s="2" t="inlineStr">
        <is>
          <t>не сюжет</t>
        </is>
      </c>
      <c r="C1050" s="2" t="n">
        <v>10058</v>
      </c>
      <c r="D1050" s="3" t="inlineStr">
        <is>
          <t>Шинель</t>
        </is>
      </c>
      <c r="E1050" s="2" t="n">
        <v>1991</v>
      </c>
      <c r="F1050" s="2" t="inlineStr">
        <is>
          <t>телефильм</t>
        </is>
      </c>
      <c r="G1050" s="2" t="n"/>
      <c r="H1050" s="2" t="n">
        <v>40</v>
      </c>
      <c r="I1050" s="2" t="inlineStr"/>
      <c r="J1050" s="2" t="inlineStr">
        <is>
          <t>да</t>
        </is>
      </c>
      <c r="K1050" s="3" t="inlineStr">
        <is>
          <t>Фильм поставлен по новелле Дино Буццати.</t>
        </is>
      </c>
      <c r="L1050" s="2" t="inlineStr">
        <is>
          <t>https://www.kino-teatr.ru/short/movie/sov/105665/annot/</t>
        </is>
      </c>
      <c r="M1050" s="2">
        <f>HYPERLINK("https://ru.wikipedia.org/w/index.php?search=%D0%A8%D0%B8%D0%BD%D0%B5%D0%BB%D1%8C%201991%20%D1%84%D0%B8%D0%BB%D1%8C%D0%BC","искать")</f>
        <v/>
      </c>
      <c r="N1050" s="3" t="n"/>
      <c r="O1050" s="2" t="n"/>
      <c r="P1050" s="2" t="n"/>
    </row>
    <row r="1051">
      <c r="A1051" s="2" t="n">
        <v>1050</v>
      </c>
      <c r="B1051" s="2" t="inlineStr">
        <is>
          <t>не сюжет</t>
        </is>
      </c>
      <c r="C1051" s="2" t="n">
        <v>10142</v>
      </c>
      <c r="D1051" s="3" t="inlineStr">
        <is>
          <t>Жизнь Галилея</t>
        </is>
      </c>
      <c r="E1051" s="2" t="n">
        <v>1965</v>
      </c>
      <c r="F1051" s="2" t="inlineStr">
        <is>
          <t>фильм-спектакль</t>
        </is>
      </c>
      <c r="G1051" s="2" t="inlineStr">
        <is>
          <t>Ленинградское ТВ</t>
        </is>
      </c>
      <c r="H1051" s="2" t="n">
        <v>40</v>
      </c>
      <c r="I1051" s="2" t="inlineStr"/>
      <c r="J1051" s="2" t="inlineStr">
        <is>
          <t>да</t>
        </is>
      </c>
      <c r="K1051" s="3" t="inlineStr">
        <is>
          <t>Телеспектакль по пьесе Бертольта Брехта.</t>
        </is>
      </c>
      <c r="L1051" s="2" t="inlineStr">
        <is>
          <t>https://www.kino-teatr.ru/teatr/movie/17106/annot/</t>
        </is>
      </c>
      <c r="M1051" s="2">
        <f>HYPERLINK("https://ru.wikipedia.org/w/index.php?search=%D0%96%D0%B8%D0%B7%D0%BD%D1%8C%20%D0%93%D0%B0%D0%BB%D0%B8%D0%BB%D0%B5%D1%8F%201965%20%D1%84%D0%B8%D0%BB%D1%8C%D0%BC","искать")</f>
        <v/>
      </c>
      <c r="N1051" s="3" t="n"/>
      <c r="O1051" s="2" t="n"/>
      <c r="P1051" s="2" t="n"/>
    </row>
    <row r="1052">
      <c r="A1052" s="2" t="n">
        <v>1051</v>
      </c>
      <c r="B1052" s="2" t="inlineStr">
        <is>
          <t>не сюжет</t>
        </is>
      </c>
      <c r="C1052" s="2" t="n">
        <v>11266</v>
      </c>
      <c r="D1052" s="3" t="inlineStr">
        <is>
          <t>Мёртвые души</t>
        </is>
      </c>
      <c r="E1052" s="2" t="n">
        <v>1989</v>
      </c>
      <c r="F1052" s="2" t="inlineStr">
        <is>
          <t>фильм-спектакль</t>
        </is>
      </c>
      <c r="G1052" s="2" t="inlineStr">
        <is>
          <t>Челябинский театр кукол "Лабиринт", Челябинское телевидение</t>
        </is>
      </c>
      <c r="H1052" s="2" t="n">
        <v>40</v>
      </c>
      <c r="I1052" s="2" t="inlineStr"/>
      <c r="J1052" s="2" t="inlineStr">
        <is>
          <t>да</t>
        </is>
      </c>
      <c r="K1052" s="3" t="inlineStr">
        <is>
          <t>По мотивам одноимённой поэмы Н.В.Гоголя.</t>
        </is>
      </c>
      <c r="L1052" s="2" t="inlineStr">
        <is>
          <t>https://www.kino-teatr.ru/teatr/movie/110039/annot/</t>
        </is>
      </c>
      <c r="M1052" s="2">
        <f>HYPERLINK("https://ru.wikipedia.org/w/index.php?search=%D0%9C%D1%91%D1%80%D1%82%D0%B2%D1%8B%D0%B5%20%D0%B4%D1%83%D1%88%D0%B8%201989%20%D1%84%D0%B8%D0%BB%D1%8C%D0%BC","искать")</f>
        <v/>
      </c>
      <c r="N1052" s="3" t="n"/>
      <c r="O1052" s="2" t="n"/>
      <c r="P1052" s="2" t="n"/>
    </row>
    <row r="1053">
      <c r="A1053" s="2" t="n">
        <v>1052</v>
      </c>
      <c r="B1053" s="2" t="inlineStr">
        <is>
          <t>не сюжет</t>
        </is>
      </c>
      <c r="C1053" s="2" t="n">
        <v>11406</v>
      </c>
      <c r="D1053" s="3" t="inlineStr">
        <is>
          <t>Мук (Мультипликационный крокодил) n5</t>
        </is>
      </c>
      <c r="E1053" s="2" t="n">
        <v>1961</v>
      </c>
      <c r="F1053" s="2" t="inlineStr">
        <is>
          <t>мультфильм</t>
        </is>
      </c>
      <c r="G1053" s="2" t="inlineStr">
        <is>
          <t>Союзмультфильм</t>
        </is>
      </c>
      <c r="H1053" s="2" t="n">
        <v>40</v>
      </c>
      <c r="I1053" s="2" t="inlineStr"/>
      <c r="J1053" s="2" t="inlineStr">
        <is>
          <t>да</t>
        </is>
      </c>
      <c r="K1053" s="3" t="inlineStr">
        <is>
          <t>Сатирический мультжурнал из двух сюжетов</t>
        </is>
      </c>
      <c r="L1053" s="2" t="inlineStr">
        <is>
          <t>https://animator.ru/db/?p=show_film&amp;fid=2084</t>
        </is>
      </c>
      <c r="M1053" s="2">
        <f>HYPERLINK("https://ru.wikipedia.org/w/index.php?search=%D0%9C%D1%83%D0%BA%20%28%D0%9C%D1%83%D0%BB%D1%8C%D1%82%D0%B8%D0%BF%D0%BB%D0%B8%D0%BA%D0%B0%D1%86%D0%B8%D0%BE%D0%BD%D0%BD%D1%8B%D0%B9%20%D0%BA%D1%80%D0%BE%D0%BA%D0%BE%D0%B4%D0%B8%D0%BB%29%20n5%201961%20%D1%84%D0%B8%D0%BB%D1%8C%D0%BC","искать")</f>
        <v/>
      </c>
      <c r="N1053" s="3" t="n"/>
      <c r="O1053" s="2" t="n"/>
      <c r="P1053" s="2" t="n"/>
    </row>
    <row r="1054">
      <c r="A1054" s="2" t="n">
        <v>1053</v>
      </c>
      <c r="B1054" s="2" t="inlineStr">
        <is>
          <t>не сюжет</t>
        </is>
      </c>
      <c r="C1054" s="2" t="n">
        <v>11407</v>
      </c>
      <c r="D1054" s="3" t="inlineStr">
        <is>
          <t>Мук (Мультипликационный крокодил) n6</t>
        </is>
      </c>
      <c r="E1054" s="2" t="n">
        <v>1961</v>
      </c>
      <c r="F1054" s="2" t="inlineStr">
        <is>
          <t>мультфильм</t>
        </is>
      </c>
      <c r="G1054" s="2" t="inlineStr">
        <is>
          <t>Союзмультфильм</t>
        </is>
      </c>
      <c r="H1054" s="2" t="n">
        <v>40</v>
      </c>
      <c r="I1054" s="2" t="inlineStr"/>
      <c r="J1054" s="2" t="inlineStr">
        <is>
          <t>да</t>
        </is>
      </c>
      <c r="K1054" s="3" t="inlineStr">
        <is>
          <t>Сатирический мультжурнал из трех сюжетов</t>
        </is>
      </c>
      <c r="L1054" s="2" t="inlineStr">
        <is>
          <t>https://animator.ru/db/?p=show_film&amp;fid=2085</t>
        </is>
      </c>
      <c r="M1054" s="2">
        <f>HYPERLINK("https://ru.wikipedia.org/w/index.php?search=%D0%9C%D1%83%D0%BA%20%28%D0%9C%D1%83%D0%BB%D1%8C%D1%82%D0%B8%D0%BF%D0%BB%D0%B8%D0%BA%D0%B0%D1%86%D0%B8%D0%BE%D0%BD%D0%BD%D1%8B%D0%B9%20%D0%BA%D1%80%D0%BE%D0%BA%D0%BE%D0%B4%D0%B8%D0%BB%29%20n6%201961%20%D1%84%D0%B8%D0%BB%D1%8C%D0%BC","искать")</f>
        <v/>
      </c>
      <c r="N1054" s="3" t="n"/>
      <c r="O1054" s="2" t="n"/>
      <c r="P1054" s="2" t="n"/>
    </row>
    <row r="1055">
      <c r="A1055" s="2" t="n">
        <v>1054</v>
      </c>
      <c r="B1055" s="2" t="inlineStr">
        <is>
          <t>не сюжет</t>
        </is>
      </c>
      <c r="C1055" s="2" t="n">
        <v>11776</v>
      </c>
      <c r="D1055" s="3" t="inlineStr">
        <is>
          <t>Мимолетности</t>
        </is>
      </c>
      <c r="E1055" s="2" t="n">
        <v>1975</v>
      </c>
      <c r="F1055" s="2" t="inlineStr">
        <is>
          <t>мультфильм</t>
        </is>
      </c>
      <c r="G1055" s="2" t="inlineStr">
        <is>
          <t>Союзмультфильм</t>
        </is>
      </c>
      <c r="H1055" s="2" t="n">
        <v>40</v>
      </c>
      <c r="I1055" s="2" t="inlineStr"/>
      <c r="J1055" s="2" t="inlineStr">
        <is>
          <t>да</t>
        </is>
      </c>
      <c r="K1055" s="3" t="inlineStr">
        <is>
          <t>Фантазия на музыкальные темы Прокофьева.</t>
        </is>
      </c>
      <c r="L1055" s="2" t="inlineStr">
        <is>
          <t>2026-10_мультфильмы_список_владельца.xlsx; https://animator.ru/db/?p=show_film&amp;fid=2690</t>
        </is>
      </c>
      <c r="M1055" s="2">
        <f>HYPERLINK("https://ru.wikipedia.org/w/index.php?search=%D0%9C%D0%B8%D0%BC%D0%BE%D0%BB%D0%B5%D1%82%D0%BD%D0%BE%D1%81%D1%82%D0%B8%201975%20%D1%84%D0%B8%D0%BB%D1%8C%D0%BC","искать")</f>
        <v/>
      </c>
      <c r="N1055" s="3" t="n"/>
      <c r="O1055" s="2" t="n"/>
      <c r="P1055" s="2" t="n"/>
    </row>
    <row r="1056">
      <c r="A1056" s="2" t="n">
        <v>1055</v>
      </c>
      <c r="B1056" s="2" t="inlineStr">
        <is>
          <t>не сюжет</t>
        </is>
      </c>
      <c r="C1056" s="2" t="n">
        <v>11850</v>
      </c>
      <c r="D1056" s="3" t="inlineStr">
        <is>
          <t>Последний лепесток</t>
        </is>
      </c>
      <c r="E1056" s="2" t="n">
        <v>1977</v>
      </c>
      <c r="F1056" s="2" t="inlineStr">
        <is>
          <t>мультфильм</t>
        </is>
      </c>
      <c r="G1056" s="2" t="inlineStr">
        <is>
          <t>Союзмультфильм</t>
        </is>
      </c>
      <c r="H1056" s="2" t="n">
        <v>40</v>
      </c>
      <c r="I1056" s="2" t="inlineStr"/>
      <c r="J1056" s="2" t="inlineStr">
        <is>
          <t>да</t>
        </is>
      </c>
      <c r="K1056" s="3" t="inlineStr">
        <is>
          <t>По сказке В.Катаева "Цветик-семицветик".</t>
        </is>
      </c>
      <c r="L1056" s="2" t="inlineStr">
        <is>
          <t>2026-10_мультфильмы_список_владельца.xlsx; https://animator.ru/db/?p=show_film&amp;fid=2765</t>
        </is>
      </c>
      <c r="M1056" s="2">
        <f>HYPERLINK("https://ru.wikipedia.org/w/index.php?search=%D0%9F%D0%BE%D1%81%D0%BB%D0%B5%D0%B4%D0%BD%D0%B8%D0%B9%20%D0%BB%D0%B5%D0%BF%D0%B5%D1%81%D1%82%D0%BE%D0%BA%201977%20%D1%84%D0%B8%D0%BB%D1%8C%D0%BC","искать")</f>
        <v/>
      </c>
      <c r="N1056" s="3" t="n"/>
      <c r="O1056" s="2" t="n"/>
      <c r="P1056" s="2" t="n"/>
    </row>
    <row r="1057">
      <c r="A1057" s="2" t="n">
        <v>1056</v>
      </c>
      <c r="B1057" s="2" t="inlineStr">
        <is>
          <t>не сюжет</t>
        </is>
      </c>
      <c r="C1057" s="2" t="n">
        <v>12009</v>
      </c>
      <c r="D1057" s="3" t="inlineStr">
        <is>
          <t>Как аукнется</t>
        </is>
      </c>
      <c r="E1057" s="2" t="n">
        <v>1982</v>
      </c>
      <c r="F1057" s="2" t="inlineStr">
        <is>
          <t>мультфильм</t>
        </is>
      </c>
      <c r="G1057" s="2" t="inlineStr">
        <is>
          <t>Союзмультфильм</t>
        </is>
      </c>
      <c r="H1057" s="2" t="n">
        <v>40</v>
      </c>
      <c r="I1057" s="2" t="inlineStr"/>
      <c r="J1057" s="2" t="inlineStr">
        <is>
          <t>да</t>
        </is>
      </c>
      <c r="K1057" s="3" t="inlineStr">
        <is>
          <t>Комедия для взрослых, осуждающая хамство</t>
        </is>
      </c>
      <c r="L1057" s="2" t="inlineStr">
        <is>
          <t>https://animator.ru/db/?p=show_film&amp;fid=3123</t>
        </is>
      </c>
      <c r="M1057" s="2">
        <f>HYPERLINK("https://ru.wikipedia.org/w/index.php?search=%D0%9A%D0%B0%D0%BA%20%D0%B0%D1%83%D0%BA%D0%BD%D0%B5%D1%82%D1%81%D1%8F%201982%20%D1%84%D0%B8%D0%BB%D1%8C%D0%BC","искать")</f>
        <v/>
      </c>
      <c r="N1057" s="3" t="n"/>
      <c r="O1057" s="2" t="n"/>
      <c r="P1057" s="2" t="n"/>
    </row>
    <row r="1058">
      <c r="A1058" s="2" t="n">
        <v>1057</v>
      </c>
      <c r="B1058" s="2" t="inlineStr">
        <is>
          <t>не сюжет</t>
        </is>
      </c>
      <c r="C1058" s="2" t="n">
        <v>12136</v>
      </c>
      <c r="D1058" s="3" t="inlineStr">
        <is>
          <t>Брэк!</t>
        </is>
      </c>
      <c r="E1058" s="2" t="n">
        <v>1985</v>
      </c>
      <c r="F1058" s="2" t="inlineStr">
        <is>
          <t>мультфильм</t>
        </is>
      </c>
      <c r="G1058" s="2" t="inlineStr">
        <is>
          <t>Союзмультфильм</t>
        </is>
      </c>
      <c r="H1058" s="2" t="n">
        <v>40</v>
      </c>
      <c r="I1058" s="2" t="inlineStr"/>
      <c r="J1058" s="2" t="inlineStr">
        <is>
          <t>да</t>
        </is>
      </c>
      <c r="K1058" s="3" t="inlineStr">
        <is>
          <t>Современный пластилиновый мульт о боксе.</t>
        </is>
      </c>
      <c r="L1058" s="2" t="inlineStr">
        <is>
          <t>2026-10_мультфильмы_список_владельца.xlsx; https://animator.ru/db/?p=show_film&amp;fid=3252</t>
        </is>
      </c>
      <c r="M1058" s="2">
        <f>HYPERLINK("https://ru.wikipedia.org/w/index.php?search=%D0%91%D1%80%D1%8D%D0%BA%21%201985%20%D1%84%D0%B8%D0%BB%D1%8C%D0%BC","искать")</f>
        <v/>
      </c>
      <c r="N1058" s="3" t="n"/>
      <c r="O1058" s="2" t="n"/>
      <c r="P1058" s="2" t="n"/>
    </row>
    <row r="1059">
      <c r="A1059" s="2" t="n">
        <v>1058</v>
      </c>
      <c r="B1059" s="2" t="inlineStr">
        <is>
          <t>не сюжет</t>
        </is>
      </c>
      <c r="C1059" s="2" t="n">
        <v>12273</v>
      </c>
      <c r="D1059" s="3" t="inlineStr">
        <is>
          <t>Дафна</t>
        </is>
      </c>
      <c r="E1059" s="2" t="n">
        <v>1990</v>
      </c>
      <c r="F1059" s="2" t="inlineStr">
        <is>
          <t>мультфильм</t>
        </is>
      </c>
      <c r="G1059" s="2" t="inlineStr">
        <is>
          <t>Союзмультфильм</t>
        </is>
      </c>
      <c r="H1059" s="2" t="n">
        <v>40</v>
      </c>
      <c r="I1059" s="2" t="inlineStr"/>
      <c r="J1059" s="2" t="inlineStr">
        <is>
          <t>да</t>
        </is>
      </c>
      <c r="K1059" s="3" t="inlineStr">
        <is>
          <t>По мотивам греческих мифов.Для взрослых.</t>
        </is>
      </c>
      <c r="L1059" s="2" t="inlineStr">
        <is>
          <t>2026-10_мультфильмы_список_владельца.xlsx; https://animator.ru/db/?p=show_film&amp;fid=3390</t>
        </is>
      </c>
      <c r="M1059" s="2">
        <f>HYPERLINK("https://ru.wikipedia.org/w/index.php?search=%D0%94%D0%B0%D1%84%D0%BD%D0%B0%201990%20%D1%84%D0%B8%D0%BB%D1%8C%D0%BC","искать")</f>
        <v/>
      </c>
      <c r="N1059" s="3" t="n"/>
      <c r="O1059" s="2" t="n"/>
      <c r="P1059" s="2" t="n"/>
    </row>
    <row r="1060">
      <c r="A1060" s="2" t="n">
        <v>1059</v>
      </c>
      <c r="B1060" s="2" t="inlineStr">
        <is>
          <t>не сюжет</t>
        </is>
      </c>
      <c r="C1060" s="2" t="n">
        <v>12356</v>
      </c>
      <c r="D1060" s="3" t="inlineStr">
        <is>
          <t>День восьмой или первый урок мышления</t>
        </is>
      </c>
      <c r="E1060" s="2" t="n">
        <v>1971</v>
      </c>
      <c r="F1060" s="2" t="inlineStr">
        <is>
          <t>мультфильм</t>
        </is>
      </c>
      <c r="G1060" s="2" t="inlineStr">
        <is>
          <t>КИЕВНАУЧФИЛЬМ</t>
        </is>
      </c>
      <c r="H1060" s="2" t="n">
        <v>40</v>
      </c>
      <c r="I1060" s="2" t="inlineStr"/>
      <c r="J1060" s="2" t="inlineStr">
        <is>
          <t>да</t>
        </is>
      </c>
      <c r="K1060" s="3" t="inlineStr">
        <is>
          <t>Познавательный фильм о законах мышления.</t>
        </is>
      </c>
      <c r="L1060" s="2" t="inlineStr">
        <is>
          <t>2026-10_мультфильмы_список_владельца.xlsx; https://animator.ru/db/?p=show_film&amp;fid=3523</t>
        </is>
      </c>
      <c r="M1060" s="2">
        <f>HYPERLINK("https://ru.wikipedia.org/w/index.php?search=%D0%94%D0%B5%D0%BD%D1%8C%20%D0%B2%D0%BE%D1%81%D1%8C%D0%BC%D0%BE%D0%B9%20%D0%B8%D0%BB%D0%B8%20%D0%BF%D0%B5%D1%80%D0%B2%D1%8B%D0%B9%20%D1%83%D1%80%D0%BE%D0%BA%20%D0%BC%D1%8B%D1%88%D0%BB%D0%B5%D0%BD%D0%B8%D1%8F%201971%20%D1%84%D0%B8%D0%BB%D1%8C%D0%BC","искать")</f>
        <v/>
      </c>
      <c r="N1060" s="3" t="n"/>
      <c r="O1060" s="2" t="n"/>
      <c r="P1060" s="2" t="n"/>
    </row>
    <row r="1061">
      <c r="A1061" s="2" t="n">
        <v>1060</v>
      </c>
      <c r="B1061" s="2" t="inlineStr">
        <is>
          <t>не сюжет</t>
        </is>
      </c>
      <c r="C1061" s="2" t="n">
        <v>12362</v>
      </c>
      <c r="D1061" s="3" t="inlineStr">
        <is>
          <t>Дробь</t>
        </is>
      </c>
      <c r="E1061" s="2" t="n">
        <v>1973</v>
      </c>
      <c r="F1061" s="2" t="inlineStr">
        <is>
          <t>мультфильм</t>
        </is>
      </c>
      <c r="G1061" s="2" t="inlineStr">
        <is>
          <t>КИЕВНАУЧФИЛЬМ</t>
        </is>
      </c>
      <c r="H1061" s="2" t="n">
        <v>40</v>
      </c>
      <c r="I1061" s="2" t="inlineStr"/>
      <c r="J1061" s="2" t="inlineStr">
        <is>
          <t>да</t>
        </is>
      </c>
      <c r="K1061" s="3" t="inlineStr">
        <is>
          <t>Три новеллы: "Лифт", "Призыв", "Зависть"</t>
        </is>
      </c>
      <c r="L1061" s="2" t="inlineStr">
        <is>
          <t>https://animator.ru/db/?p=show_film&amp;fid=3529</t>
        </is>
      </c>
      <c r="M1061" s="2">
        <f>HYPERLINK("https://ru.wikipedia.org/w/index.php?search=%D0%94%D1%80%D0%BE%D0%B1%D1%8C%201973%20%D1%84%D0%B8%D0%BB%D1%8C%D0%BC","искать")</f>
        <v/>
      </c>
      <c r="N1061" s="3" t="n"/>
      <c r="O1061" s="2" t="n"/>
      <c r="P1061" s="2" t="n"/>
    </row>
    <row r="1062">
      <c r="A1062" s="2" t="n">
        <v>1061</v>
      </c>
      <c r="B1062" s="2" t="inlineStr">
        <is>
          <t>не сюжет</t>
        </is>
      </c>
      <c r="C1062" s="2" t="n">
        <v>12383</v>
      </c>
      <c r="D1062" s="3" t="inlineStr">
        <is>
          <t>Золотой цыпленок</t>
        </is>
      </c>
      <c r="E1062" s="2" t="n">
        <v>1981</v>
      </c>
      <c r="F1062" s="2" t="inlineStr">
        <is>
          <t>мультфильм</t>
        </is>
      </c>
      <c r="G1062" s="2" t="inlineStr">
        <is>
          <t>КИЕВНАУЧФИЛЬМ</t>
        </is>
      </c>
      <c r="H1062" s="2" t="n">
        <v>40</v>
      </c>
      <c r="I1062" s="2" t="inlineStr"/>
      <c r="J1062" s="2" t="inlineStr">
        <is>
          <t>да</t>
        </is>
      </c>
      <c r="K1062" s="3" t="inlineStr">
        <is>
          <t>Использована музыка В.Ильина и А.Петрова</t>
        </is>
      </c>
      <c r="L1062" s="2" t="inlineStr">
        <is>
          <t>https://animator.ru/db/?p=show_film&amp;fid=3554</t>
        </is>
      </c>
      <c r="M1062" s="2">
        <f>HYPERLINK("https://ru.wikipedia.org/w/index.php?search=%D0%97%D0%BE%D0%BB%D0%BE%D1%82%D0%BE%D0%B9%20%D1%86%D1%8B%D0%BF%D0%BB%D0%B5%D0%BD%D0%BE%D0%BA%201981%20%D1%84%D0%B8%D0%BB%D1%8C%D0%BC","искать")</f>
        <v/>
      </c>
      <c r="N1062" s="3" t="n"/>
      <c r="O1062" s="2" t="n"/>
      <c r="P1062" s="2" t="n"/>
    </row>
    <row r="1063">
      <c r="A1063" s="2" t="n">
        <v>1062</v>
      </c>
      <c r="B1063" s="2" t="inlineStr">
        <is>
          <t>не сюжет</t>
        </is>
      </c>
      <c r="C1063" s="2" t="n">
        <v>12384</v>
      </c>
      <c r="D1063" s="3" t="inlineStr">
        <is>
          <t>Золоторогий олень</t>
        </is>
      </c>
      <c r="E1063" s="2" t="n">
        <v>1979</v>
      </c>
      <c r="F1063" s="2" t="inlineStr">
        <is>
          <t>мультфильм</t>
        </is>
      </c>
      <c r="G1063" s="2" t="inlineStr">
        <is>
          <t>КИЕВНАУЧФИЛЬМ</t>
        </is>
      </c>
      <c r="H1063" s="2" t="n">
        <v>40</v>
      </c>
      <c r="I1063" s="2" t="inlineStr"/>
      <c r="J1063" s="2" t="inlineStr">
        <is>
          <t>да</t>
        </is>
      </c>
      <c r="K1063" s="3" t="inlineStr">
        <is>
          <t>По потивам одноименной поэмы Д.Павлычко.</t>
        </is>
      </c>
      <c r="L1063" s="2" t="inlineStr">
        <is>
          <t>2026-10_мультфильмы_список_владельца.xlsx; https://animator.ru/db/?p=show_film&amp;fid=3555</t>
        </is>
      </c>
      <c r="M1063" s="2">
        <f>HYPERLINK("https://ru.wikipedia.org/w/index.php?search=%D0%97%D0%BE%D0%BB%D0%BE%D1%82%D0%BE%D1%80%D0%BE%D0%B3%D0%B8%D0%B9%20%D0%BE%D0%BB%D0%B5%D0%BD%D1%8C%201979%20%D1%84%D0%B8%D0%BB%D1%8C%D0%BC","искать")</f>
        <v/>
      </c>
      <c r="N1063" s="3" t="n"/>
      <c r="O1063" s="2" t="n"/>
      <c r="P1063" s="2" t="n"/>
    </row>
    <row r="1064">
      <c r="A1064" s="2" t="n">
        <v>1063</v>
      </c>
      <c r="B1064" s="2" t="inlineStr">
        <is>
          <t>не сюжет</t>
        </is>
      </c>
      <c r="C1064" s="2" t="n">
        <v>12532</v>
      </c>
      <c r="D1064" s="3" t="inlineStr">
        <is>
          <t>Путаница</t>
        </is>
      </c>
      <c r="E1064" s="2" t="n">
        <v>1982</v>
      </c>
      <c r="F1064" s="2" t="inlineStr">
        <is>
          <t>мультфильм</t>
        </is>
      </c>
      <c r="G1064" s="2" t="inlineStr">
        <is>
          <t>КИЕВНАУЧФИЛЬМ</t>
        </is>
      </c>
      <c r="H1064" s="2" t="n">
        <v>40</v>
      </c>
      <c r="I1064" s="2" t="inlineStr"/>
      <c r="J1064" s="2" t="inlineStr">
        <is>
          <t>да</t>
        </is>
      </c>
      <c r="K1064" s="3" t="inlineStr">
        <is>
          <t>По одноименному стихотворению Чуковского</t>
        </is>
      </c>
      <c r="L1064" s="2" t="inlineStr">
        <is>
          <t>https://animator.ru/db/?p=show_film&amp;fid=3708</t>
        </is>
      </c>
      <c r="M1064" s="2">
        <f>HYPERLINK("https://ru.wikipedia.org/w/index.php?search=%D0%9F%D1%83%D1%82%D0%B0%D0%BD%D0%B8%D1%86%D0%B0%201982%20%D1%84%D0%B8%D0%BB%D1%8C%D0%BC","искать")</f>
        <v/>
      </c>
      <c r="N1064" s="3" t="n"/>
      <c r="O1064" s="2" t="n"/>
      <c r="P1064" s="2" t="n"/>
    </row>
    <row r="1065">
      <c r="A1065" s="2" t="n">
        <v>1064</v>
      </c>
      <c r="B1065" s="2" t="inlineStr">
        <is>
          <t>не сюжет</t>
        </is>
      </c>
      <c r="C1065" s="2" t="n">
        <v>12553</v>
      </c>
      <c r="D1065" s="3" t="inlineStr">
        <is>
          <t>Сказка об Иване, пане и злыднях</t>
        </is>
      </c>
      <c r="E1065" s="2" t="n">
        <v>1977</v>
      </c>
      <c r="F1065" s="2" t="inlineStr">
        <is>
          <t>мультфильм</t>
        </is>
      </c>
      <c r="G1065" s="2" t="inlineStr">
        <is>
          <t>КИЕВНАУЧФИЛЬМ</t>
        </is>
      </c>
      <c r="H1065" s="2" t="n">
        <v>40</v>
      </c>
      <c r="I1065" s="2" t="inlineStr"/>
      <c r="J1065" s="2" t="inlineStr">
        <is>
          <t>да</t>
        </is>
      </c>
      <c r="K1065" s="3" t="inlineStr">
        <is>
          <t>По мотивам сатирической народной сказки.</t>
        </is>
      </c>
      <c r="L1065" s="2" t="inlineStr">
        <is>
          <t>2026-10_мультфильмы_список_владельца.xlsx; https://animator.ru/db/?p=show_film&amp;fid=3732</t>
        </is>
      </c>
      <c r="M1065" s="2">
        <f>HYPERLINK("https://ru.wikipedia.org/w/index.php?search=%D0%A1%D0%BA%D0%B0%D0%B7%D0%BA%D0%B0%20%D0%BE%D0%B1%20%D0%98%D0%B2%D0%B0%D0%BD%D0%B5%2C%20%D0%BF%D0%B0%D0%BD%D0%B5%20%D0%B8%20%D0%B7%D0%BB%D1%8B%D0%B4%D0%BD%D1%8F%D1%85%201977%20%D1%84%D0%B8%D0%BB%D1%8C%D0%BC","искать")</f>
        <v/>
      </c>
      <c r="N1065" s="3" t="n"/>
      <c r="O1065" s="2" t="n"/>
      <c r="P1065" s="2" t="n"/>
    </row>
    <row r="1066">
      <c r="A1066" s="2" t="n">
        <v>1065</v>
      </c>
      <c r="B1066" s="2" t="inlineStr">
        <is>
          <t>не сюжет</t>
        </is>
      </c>
      <c r="C1066" s="2" t="n">
        <v>12571</v>
      </c>
      <c r="D1066" s="3" t="inlineStr">
        <is>
          <t>Страна-считалия</t>
        </is>
      </c>
      <c r="E1066" s="2" t="n">
        <v>1982</v>
      </c>
      <c r="F1066" s="2" t="inlineStr">
        <is>
          <t>мультфильм</t>
        </is>
      </c>
      <c r="G1066" s="2" t="inlineStr">
        <is>
          <t>КИЕВНАУЧФИЛЬМ</t>
        </is>
      </c>
      <c r="H1066" s="2" t="n">
        <v>40</v>
      </c>
      <c r="I1066" s="2" t="inlineStr"/>
      <c r="J1066" s="2" t="inlineStr">
        <is>
          <t>да</t>
        </is>
      </c>
      <c r="K1066" s="3" t="inlineStr">
        <is>
          <t>По одноименному стихотворению Б.Заходера</t>
        </is>
      </c>
      <c r="L1066" s="2" t="inlineStr">
        <is>
          <t>https://animator.ru/db/?p=show_film&amp;fid=3751</t>
        </is>
      </c>
      <c r="M1066" s="2">
        <f>HYPERLINK("https://ru.wikipedia.org/w/index.php?search=%D0%A1%D1%82%D1%80%D0%B0%D0%BD%D0%B0-%D1%81%D1%87%D0%B8%D1%82%D0%B0%D0%BB%D0%B8%D1%8F%201982%20%D1%84%D0%B8%D0%BB%D1%8C%D0%BC","искать")</f>
        <v/>
      </c>
      <c r="N1066" s="3" t="n"/>
      <c r="O1066" s="2" t="n"/>
      <c r="P1066" s="2" t="n"/>
    </row>
    <row r="1067">
      <c r="A1067" s="2" t="n">
        <v>1066</v>
      </c>
      <c r="B1067" s="2" t="inlineStr">
        <is>
          <t>не сюжет</t>
        </is>
      </c>
      <c r="C1067" s="2" t="n">
        <v>12618</v>
      </c>
      <c r="D1067" s="3" t="inlineStr">
        <is>
          <t>СЕКРЕТ ФОКУСА ("Фитиль" N 281)</t>
        </is>
      </c>
      <c r="E1067" s="2" t="n">
        <v>1985</v>
      </c>
      <c r="F1067" s="2" t="inlineStr">
        <is>
          <t>мультфильм</t>
        </is>
      </c>
      <c r="G1067" s="2" t="inlineStr">
        <is>
          <t>КИЕВНАУЧФИЛЬМ</t>
        </is>
      </c>
      <c r="H1067" s="2" t="n">
        <v>40</v>
      </c>
      <c r="I1067" s="2" t="inlineStr"/>
      <c r="J1067" s="2" t="inlineStr">
        <is>
          <t>да</t>
        </is>
      </c>
      <c r="K1067" s="3" t="inlineStr">
        <is>
          <t>Сюжет о недостатках в сельском хозяйстве</t>
        </is>
      </c>
      <c r="L1067" s="2" t="inlineStr">
        <is>
          <t>https://animator.ru/db/?p=show_film&amp;fid=3798</t>
        </is>
      </c>
      <c r="M1067" s="2">
        <f>HYPERLINK("https://ru.wikipedia.org/w/index.php?search=%D0%A1%D0%95%D0%9A%D0%A0%D0%95%D0%A2%20%D0%A4%D0%9E%D0%9A%D0%A3%D0%A1%D0%90%20%28%22%D0%A4%D0%B8%D1%82%D0%B8%D0%BB%D1%8C%22%20N%20281%29%201985%20%D1%84%D0%B8%D0%BB%D1%8C%D0%BC","искать")</f>
        <v/>
      </c>
      <c r="N1067" s="3" t="n"/>
      <c r="O1067" s="2" t="n"/>
      <c r="P1067" s="2" t="n"/>
    </row>
    <row r="1068">
      <c r="A1068" s="2" t="n">
        <v>1067</v>
      </c>
      <c r="B1068" s="2" t="inlineStr">
        <is>
          <t>не сюжет</t>
        </is>
      </c>
      <c r="C1068" s="2" t="n">
        <v>12848</v>
      </c>
      <c r="D1068" s="3" t="inlineStr">
        <is>
          <t>Соседи</t>
        </is>
      </c>
      <c r="E1068" s="2" t="n">
        <v>1972</v>
      </c>
      <c r="F1068" s="2" t="inlineStr">
        <is>
          <t>мультфильм</t>
        </is>
      </c>
      <c r="G1068" s="2" t="inlineStr">
        <is>
          <t>ГРУЗИЯ-ФИЛЬМ - АО</t>
        </is>
      </c>
      <c r="H1068" s="2" t="n">
        <v>40</v>
      </c>
      <c r="I1068" s="2" t="inlineStr"/>
      <c r="J1068" s="2" t="inlineStr">
        <is>
          <t>да</t>
        </is>
      </c>
      <c r="K1068" s="3" t="inlineStr">
        <is>
          <t>О дружбе льва, медведя и маленькой мышки</t>
        </is>
      </c>
      <c r="L1068" s="2" t="inlineStr">
        <is>
          <t>https://animator.ru/db/?p=show_film&amp;fid=4072</t>
        </is>
      </c>
      <c r="M1068" s="2">
        <f>HYPERLINK("https://ru.wikipedia.org/w/index.php?search=%D0%A1%D0%BE%D1%81%D0%B5%D0%B4%D0%B8%201972%20%D1%84%D0%B8%D0%BB%D1%8C%D0%BC","искать")</f>
        <v/>
      </c>
      <c r="N1068" s="3" t="n"/>
      <c r="O1068" s="2" t="n"/>
      <c r="P1068" s="2" t="n"/>
    </row>
    <row r="1069">
      <c r="A1069" s="2" t="n">
        <v>1068</v>
      </c>
      <c r="B1069" s="2" t="inlineStr">
        <is>
          <t>не сюжет</t>
        </is>
      </c>
      <c r="C1069" s="2" t="n">
        <v>12884</v>
      </c>
      <c r="D1069" s="3" t="inlineStr">
        <is>
          <t>Юбилей соловья</t>
        </is>
      </c>
      <c r="E1069" s="2" t="n">
        <v>1978</v>
      </c>
      <c r="F1069" s="2" t="inlineStr">
        <is>
          <t>мультфильм</t>
        </is>
      </c>
      <c r="G1069" s="2" t="inlineStr">
        <is>
          <t>ГРУЗИЯ-ФИЛЬМ - АО</t>
        </is>
      </c>
      <c r="H1069" s="2" t="n">
        <v>40</v>
      </c>
      <c r="I1069" s="2" t="inlineStr"/>
      <c r="J1069" s="2" t="inlineStr">
        <is>
          <t>да</t>
        </is>
      </c>
      <c r="K1069" s="3" t="inlineStr">
        <is>
          <t>По рассказу Важи Пшавелы "Певцы природы"</t>
        </is>
      </c>
      <c r="L1069" s="2" t="inlineStr">
        <is>
          <t>https://animator.ru/db/?p=show_film&amp;fid=4114</t>
        </is>
      </c>
      <c r="M1069" s="2">
        <f>HYPERLINK("https://ru.wikipedia.org/w/index.php?search=%D0%AE%D0%B1%D0%B8%D0%BB%D0%B5%D0%B9%20%D1%81%D0%BE%D0%BB%D0%BE%D0%B2%D1%8C%D1%8F%201978%20%D1%84%D0%B8%D0%BB%D1%8C%D0%BC","искать")</f>
        <v/>
      </c>
      <c r="N1069" s="3" t="n"/>
      <c r="O1069" s="2" t="n"/>
      <c r="P1069" s="2" t="n"/>
    </row>
    <row r="1070">
      <c r="A1070" s="2" t="n">
        <v>1069</v>
      </c>
      <c r="B1070" s="2" t="inlineStr">
        <is>
          <t>не сюжет</t>
        </is>
      </c>
      <c r="C1070" s="2" t="n">
        <v>13005</v>
      </c>
      <c r="D1070" s="3" t="inlineStr">
        <is>
          <t>Алпамыс-батыр</t>
        </is>
      </c>
      <c r="E1070" s="2" t="n">
        <v>1986</v>
      </c>
      <c r="F1070" s="2" t="inlineStr">
        <is>
          <t>мультфильм</t>
        </is>
      </c>
      <c r="G1070" s="2" t="inlineStr">
        <is>
          <t>КАЗАХФИЛЬМ</t>
        </is>
      </c>
      <c r="H1070" s="2" t="n">
        <v>40</v>
      </c>
      <c r="I1070" s="2" t="inlineStr"/>
      <c r="J1070" s="2" t="inlineStr">
        <is>
          <t>да</t>
        </is>
      </c>
      <c r="K1070" s="3" t="inlineStr">
        <is>
          <t>По мотивам казахского героического эпоса</t>
        </is>
      </c>
      <c r="L1070" s="2" t="inlineStr">
        <is>
          <t>https://animator.ru/db/?p=show_film&amp;fid=4237</t>
        </is>
      </c>
      <c r="M1070" s="2">
        <f>HYPERLINK("https://ru.wikipedia.org/w/index.php?search=%D0%90%D0%BB%D0%BF%D0%B0%D0%BC%D1%8B%D1%81-%D0%B1%D0%B0%D1%82%D1%8B%D1%80%201986%20%D1%84%D0%B8%D0%BB%D1%8C%D0%BC","искать")</f>
        <v/>
      </c>
      <c r="N1070" s="3" t="n"/>
      <c r="O1070" s="2" t="n"/>
      <c r="P1070" s="2" t="n"/>
    </row>
    <row r="1071">
      <c r="A1071" s="2" t="n">
        <v>1070</v>
      </c>
      <c r="B1071" s="2" t="inlineStr">
        <is>
          <t>не сюжет</t>
        </is>
      </c>
      <c r="C1071" s="2" t="n">
        <v>13025</v>
      </c>
      <c r="D1071" s="3" t="inlineStr">
        <is>
          <t>Грань</t>
        </is>
      </c>
      <c r="E1071" s="2" t="n">
        <v>1990</v>
      </c>
      <c r="F1071" s="2" t="inlineStr">
        <is>
          <t>мультфильм</t>
        </is>
      </c>
      <c r="G1071" s="2" t="inlineStr">
        <is>
          <t>КАЗАХФИЛЬМ</t>
        </is>
      </c>
      <c r="H1071" s="2" t="n">
        <v>40</v>
      </c>
      <c r="I1071" s="2" t="inlineStr"/>
      <c r="J1071" s="2" t="inlineStr">
        <is>
          <t>да</t>
        </is>
      </c>
      <c r="K1071" s="3" t="inlineStr">
        <is>
          <t>Этюд на тему отношений мужчины и женщины</t>
        </is>
      </c>
      <c r="L1071" s="2" t="inlineStr">
        <is>
          <t>https://animator.ru/db/?p=show_film&amp;fid=4257</t>
        </is>
      </c>
      <c r="M1071" s="2">
        <f>HYPERLINK("https://ru.wikipedia.org/w/index.php?search=%D0%93%D1%80%D0%B0%D0%BD%D1%8C%201990%20%D1%84%D0%B8%D0%BB%D1%8C%D0%BC","искать")</f>
        <v/>
      </c>
      <c r="N1071" s="3" t="n"/>
      <c r="O1071" s="2" t="n"/>
      <c r="P1071" s="2" t="n"/>
    </row>
    <row r="1072">
      <c r="A1072" s="2" t="n">
        <v>1071</v>
      </c>
      <c r="B1072" s="2" t="inlineStr">
        <is>
          <t>не сюжет</t>
        </is>
      </c>
      <c r="C1072" s="2" t="n">
        <v>13045</v>
      </c>
      <c r="D1072" s="3" t="inlineStr">
        <is>
          <t>Тринадцать</t>
        </is>
      </c>
      <c r="E1072" s="2" t="n">
        <v>1975</v>
      </c>
      <c r="F1072" s="2" t="inlineStr">
        <is>
          <t>мультфильм</t>
        </is>
      </c>
      <c r="G1072" s="2" t="inlineStr">
        <is>
          <t>РИЖСКАЯ КИНОСТУДИЯ</t>
        </is>
      </c>
      <c r="H1072" s="2" t="n">
        <v>40</v>
      </c>
      <c r="I1072" s="2" t="inlineStr"/>
      <c r="J1072" s="2" t="inlineStr">
        <is>
          <t>да</t>
        </is>
      </c>
      <c r="K1072" s="3" t="inlineStr">
        <is>
          <t>Насмешка над суевериями и предрассудками</t>
        </is>
      </c>
      <c r="L1072" s="2" t="inlineStr">
        <is>
          <t>https://animator.ru/db/?p=show_film&amp;fid=4277</t>
        </is>
      </c>
      <c r="M1072" s="2">
        <f>HYPERLINK("https://ru.wikipedia.org/w/index.php?search=%D0%A2%D1%80%D0%B8%D0%BD%D0%B0%D0%B4%D1%86%D0%B0%D1%82%D1%8C%201975%20%D1%84%D0%B8%D0%BB%D1%8C%D0%BC","искать")</f>
        <v/>
      </c>
      <c r="N1072" s="3" t="n"/>
      <c r="O1072" s="2" t="n"/>
      <c r="P1072" s="2" t="n"/>
    </row>
    <row r="1073">
      <c r="A1073" s="2" t="n">
        <v>1072</v>
      </c>
      <c r="B1073" s="2" t="inlineStr">
        <is>
          <t>не сюжет</t>
        </is>
      </c>
      <c r="C1073" s="2" t="n">
        <v>13085</v>
      </c>
      <c r="D1073" s="3" t="inlineStr">
        <is>
          <t>Принцесса и пума</t>
        </is>
      </c>
      <c r="E1073" s="2" t="n">
        <v>1987</v>
      </c>
      <c r="F1073" s="2" t="inlineStr">
        <is>
          <t>мультфильм</t>
        </is>
      </c>
      <c r="G1073" s="2" t="inlineStr">
        <is>
          <t>РИЖСКАЯ КИНОСТУДИЯ</t>
        </is>
      </c>
      <c r="H1073" s="2" t="n">
        <v>40</v>
      </c>
      <c r="I1073" s="2" t="inlineStr"/>
      <c r="J1073" s="2" t="inlineStr">
        <is>
          <t>да</t>
        </is>
      </c>
      <c r="K1073" s="3" t="inlineStr">
        <is>
          <t>По мотивам одноименного рассказа О.Генри</t>
        </is>
      </c>
      <c r="L1073" s="2" t="inlineStr">
        <is>
          <t>https://animator.ru/db/?p=show_film&amp;fid=4317</t>
        </is>
      </c>
      <c r="M1073" s="2">
        <f>HYPERLINK("https://ru.wikipedia.org/w/index.php?search=%D0%9F%D1%80%D0%B8%D0%BD%D1%86%D0%B5%D1%81%D1%81%D0%B0%20%D0%B8%20%D0%BF%D1%83%D0%BC%D0%B0%201987%20%D1%84%D0%B8%D0%BB%D1%8C%D0%BC","искать")</f>
        <v/>
      </c>
      <c r="N1073" s="3" t="n"/>
      <c r="O1073" s="2" t="n"/>
      <c r="P1073" s="2" t="n"/>
    </row>
    <row r="1074">
      <c r="A1074" s="2" t="n">
        <v>1073</v>
      </c>
      <c r="B1074" s="2" t="inlineStr">
        <is>
          <t>не сюжет</t>
        </is>
      </c>
      <c r="C1074" s="2" t="n">
        <v>13549</v>
      </c>
      <c r="D1074" s="3" t="inlineStr">
        <is>
          <t>НЕ ПО ПУТИ ("Фитиль" N 125)</t>
        </is>
      </c>
      <c r="E1074" s="2" t="n">
        <v>1972</v>
      </c>
      <c r="F1074" s="2" t="inlineStr">
        <is>
          <t>мультфильм</t>
        </is>
      </c>
      <c r="G1074" s="2" t="inlineStr">
        <is>
          <t>УЗБЕКФИЛЬМ, Союзмультфильм</t>
        </is>
      </c>
      <c r="H1074" s="2" t="n">
        <v>40</v>
      </c>
      <c r="I1074" s="2" t="inlineStr"/>
      <c r="J1074" s="2" t="inlineStr">
        <is>
          <t>да</t>
        </is>
      </c>
      <c r="K1074" s="3" t="inlineStr">
        <is>
          <t>О недобросовестности некоторых таксистов</t>
        </is>
      </c>
      <c r="L1074" s="2" t="inlineStr">
        <is>
          <t>https://animator.ru/db/?p=show_film&amp;fid=4869</t>
        </is>
      </c>
      <c r="M1074" s="2">
        <f>HYPERLINK("https://ru.wikipedia.org/w/index.php?search=%D0%9D%D0%95%20%D0%9F%D0%9E%20%D0%9F%D0%A3%D0%A2%D0%98%20%28%22%D0%A4%D0%B8%D1%82%D0%B8%D0%BB%D1%8C%22%20N%20125%29%201972%20%D1%84%D0%B8%D0%BB%D1%8C%D0%BC","искать")</f>
        <v/>
      </c>
      <c r="N1074" s="3" t="n"/>
      <c r="O1074" s="2" t="n"/>
      <c r="P1074" s="2" t="n"/>
    </row>
    <row r="1075">
      <c r="A1075" s="2" t="n">
        <v>1074</v>
      </c>
      <c r="B1075" s="2" t="inlineStr">
        <is>
          <t>не сюжет</t>
        </is>
      </c>
      <c r="C1075" s="2" t="n">
        <v>13698</v>
      </c>
      <c r="D1075" s="3" t="inlineStr">
        <is>
          <t>Заповедник</t>
        </is>
      </c>
      <c r="E1075" s="2" t="n">
        <v>1984</v>
      </c>
      <c r="F1075" s="2" t="inlineStr">
        <is>
          <t>мультфильм</t>
        </is>
      </c>
      <c r="G1075" s="2" t="inlineStr">
        <is>
          <t>МУЛЬТТЕЛЕФИЛЬМ ("Экран")</t>
        </is>
      </c>
      <c r="H1075" s="2" t="n">
        <v>40</v>
      </c>
      <c r="I1075" s="2" t="inlineStr"/>
      <c r="J1075" s="2" t="inlineStr">
        <is>
          <t>да</t>
        </is>
      </c>
      <c r="K1075" s="3" t="inlineStr">
        <is>
          <t>Фильм-плакат о бережном отношении к лесу</t>
        </is>
      </c>
      <c r="L1075" s="2" t="inlineStr">
        <is>
          <t>https://animator.ru/db/?p=show_film&amp;fid=5091</t>
        </is>
      </c>
      <c r="M1075" s="2">
        <f>HYPERLINK("https://ru.wikipedia.org/w/index.php?search=%D0%97%D0%B0%D0%BF%D0%BE%D0%B2%D0%B5%D0%B4%D0%BD%D0%B8%D0%BA%201984%20%D1%84%D0%B8%D0%BB%D1%8C%D0%BC","искать")</f>
        <v/>
      </c>
      <c r="N1075" s="3" t="n"/>
      <c r="O1075" s="2" t="n"/>
      <c r="P1075" s="2" t="n"/>
    </row>
    <row r="1076">
      <c r="A1076" s="2" t="n">
        <v>1075</v>
      </c>
      <c r="B1076" s="2" t="inlineStr">
        <is>
          <t>не сюжет</t>
        </is>
      </c>
      <c r="C1076" s="2" t="n">
        <v>13862</v>
      </c>
      <c r="D1076" s="3" t="inlineStr">
        <is>
          <t>Пружина</t>
        </is>
      </c>
      <c r="E1076" s="2" t="n">
        <v>1986</v>
      </c>
      <c r="F1076" s="2" t="inlineStr">
        <is>
          <t>мультфильм</t>
        </is>
      </c>
      <c r="G1076" s="2" t="inlineStr">
        <is>
          <t>ЭКРАН</t>
        </is>
      </c>
      <c r="H1076" s="2" t="n">
        <v>40</v>
      </c>
      <c r="I1076" s="2" t="inlineStr"/>
      <c r="J1076" s="2" t="inlineStr">
        <is>
          <t>да</t>
        </is>
      </c>
      <c r="K1076" s="3" t="inlineStr">
        <is>
          <t>О сохранении теплав домах в зимнее время</t>
        </is>
      </c>
      <c r="L1076" s="2" t="inlineStr">
        <is>
          <t>https://animator.ru/db/?p=show_film&amp;fid=5255</t>
        </is>
      </c>
      <c r="M1076" s="2">
        <f>HYPERLINK("https://ru.wikipedia.org/w/index.php?search=%D0%9F%D1%80%D1%83%D0%B6%D0%B8%D0%BD%D0%B0%201986%20%D1%84%D0%B8%D0%BB%D1%8C%D0%BC","искать")</f>
        <v/>
      </c>
      <c r="N1076" s="3" t="n"/>
      <c r="O1076" s="2" t="n"/>
      <c r="P1076" s="2" t="n"/>
    </row>
    <row r="1077">
      <c r="A1077" s="2" t="n">
        <v>1076</v>
      </c>
      <c r="B1077" s="2" t="inlineStr">
        <is>
          <t>не сюжет</t>
        </is>
      </c>
      <c r="C1077" s="2" t="n">
        <v>13921</v>
      </c>
      <c r="D1077" s="3" t="inlineStr">
        <is>
          <t>Сэмбо</t>
        </is>
      </c>
      <c r="E1077" s="2" t="n">
        <v>1976</v>
      </c>
      <c r="F1077" s="2" t="inlineStr">
        <is>
          <t>мультфильм</t>
        </is>
      </c>
      <c r="G1077" s="2" t="inlineStr">
        <is>
          <t>ЭКРАН</t>
        </is>
      </c>
      <c r="H1077" s="2" t="n">
        <v>40</v>
      </c>
      <c r="I1077" s="2" t="inlineStr"/>
      <c r="J1077" s="2" t="inlineStr">
        <is>
          <t>да</t>
        </is>
      </c>
      <c r="K1077" s="3" t="inlineStr">
        <is>
          <t>По мотивам пьесы Ю.Елисеева. Для малышей</t>
        </is>
      </c>
      <c r="L1077" s="2" t="inlineStr">
        <is>
          <t>https://animator.ru/db/?p=show_film&amp;fid=5315</t>
        </is>
      </c>
      <c r="M1077" s="2">
        <f>HYPERLINK("https://ru.wikipedia.org/w/index.php?search=%D0%A1%D1%8D%D0%BC%D0%B1%D0%BE%201976%20%D1%84%D0%B8%D0%BB%D1%8C%D0%BC","искать")</f>
        <v/>
      </c>
      <c r="N1077" s="3" t="n"/>
      <c r="O1077" s="2" t="n"/>
      <c r="P1077" s="2" t="n"/>
    </row>
    <row r="1078">
      <c r="A1078" s="2" t="n">
        <v>1077</v>
      </c>
      <c r="B1078" s="2" t="inlineStr">
        <is>
          <t>не сюжет</t>
        </is>
      </c>
      <c r="C1078" s="2" t="n">
        <v>14034</v>
      </c>
      <c r="D1078" s="3" t="inlineStr">
        <is>
          <t>Малахитовая шкатулка</t>
        </is>
      </c>
      <c r="E1078" s="2" t="n">
        <v>1976</v>
      </c>
      <c r="F1078" s="2" t="inlineStr">
        <is>
          <t>мультфильм</t>
        </is>
      </c>
      <c r="G1078" s="2" t="inlineStr">
        <is>
          <t>Свердловская киностудия</t>
        </is>
      </c>
      <c r="H1078" s="2" t="n">
        <v>40</v>
      </c>
      <c r="I1078" s="2" t="inlineStr"/>
      <c r="J1078" s="2" t="inlineStr">
        <is>
          <t>да</t>
        </is>
      </c>
      <c r="K1078" s="3" t="inlineStr">
        <is>
          <t>По мотивам одноименного сказа П. Бажова.</t>
        </is>
      </c>
      <c r="L1078" s="2" t="inlineStr">
        <is>
          <t>2026-10_мультфильмы_список_владельца.xlsx; https://animator.ru/db/?p=show_film&amp;fid=5430</t>
        </is>
      </c>
      <c r="M1078" s="2">
        <f>HYPERLINK("https://ru.wikipedia.org/w/index.php?search=%D0%9C%D0%B0%D0%BB%D0%B0%D1%85%D0%B8%D1%82%D0%BE%D0%B2%D0%B0%D1%8F%20%D1%88%D0%BA%D0%B0%D1%82%D1%83%D0%BB%D0%BA%D0%B0%201976%20%D1%84%D0%B8%D0%BB%D1%8C%D0%BC","искать")</f>
        <v/>
      </c>
      <c r="N1078" s="3" t="n"/>
      <c r="O1078" s="2" t="n"/>
      <c r="P1078" s="2" t="n"/>
    </row>
    <row r="1079">
      <c r="A1079" s="2" t="n">
        <v>1078</v>
      </c>
      <c r="B1079" s="2" t="inlineStr">
        <is>
          <t>не сюжет</t>
        </is>
      </c>
      <c r="C1079" s="2" t="n">
        <v>14051</v>
      </c>
      <c r="D1079" s="3" t="inlineStr">
        <is>
          <t>Вера и Анфиса на уроке в школе</t>
        </is>
      </c>
      <c r="E1079" s="2" t="n">
        <v>1988</v>
      </c>
      <c r="F1079" s="2" t="inlineStr">
        <is>
          <t>мультфильм</t>
        </is>
      </c>
      <c r="G1079" s="2" t="inlineStr">
        <is>
          <t>Свердловская киностудия</t>
        </is>
      </c>
      <c r="H1079" s="2" t="n">
        <v>40</v>
      </c>
      <c r="I1079" s="2" t="inlineStr"/>
      <c r="J1079" s="2" t="inlineStr">
        <is>
          <t>да</t>
        </is>
      </c>
      <c r="K1079" s="3" t="inlineStr">
        <is>
          <t>Третий мультфильм о неразлучной парочке.</t>
        </is>
      </c>
      <c r="L1079" s="2" t="inlineStr">
        <is>
          <t>2026-10_мультфильмы_список_владельца.xlsx; https://animator.ru/db/?p=show_film&amp;fid=5447</t>
        </is>
      </c>
      <c r="M1079" s="2">
        <f>HYPERLINK("https://ru.wikipedia.org/w/index.php?search=%D0%92%D0%B5%D1%80%D0%B0%20%D0%B8%20%D0%90%D0%BD%D1%84%D0%B8%D1%81%D0%B0%20%D0%BD%D0%B0%20%D1%83%D1%80%D0%BE%D0%BA%D0%B5%20%D0%B2%20%D1%88%D0%BA%D0%BE%D0%BB%D0%B5%201988%20%D1%84%D0%B8%D0%BB%D1%8C%D0%BC","искать")</f>
        <v/>
      </c>
      <c r="N1079" s="3" t="n"/>
      <c r="O1079" s="2" t="n"/>
      <c r="P1079" s="2" t="n"/>
    </row>
    <row r="1080">
      <c r="A1080" s="2" t="n">
        <v>1079</v>
      </c>
      <c r="B1080" s="2" t="inlineStr">
        <is>
          <t>не сюжет</t>
        </is>
      </c>
      <c r="C1080" s="2" t="n">
        <v>14093</v>
      </c>
      <c r="D1080" s="3" t="inlineStr">
        <is>
          <t>Верь-не-верь</t>
        </is>
      </c>
      <c r="E1080" s="2" t="n">
        <v>1987</v>
      </c>
      <c r="F1080" s="2" t="inlineStr">
        <is>
          <t>мультфильм</t>
        </is>
      </c>
      <c r="G1080" s="2" t="inlineStr">
        <is>
          <t>ПЕРМЬТЕЛЕФИЛЬМ</t>
        </is>
      </c>
      <c r="H1080" s="2" t="n">
        <v>40</v>
      </c>
      <c r="I1080" s="2" t="inlineStr"/>
      <c r="J1080" s="2" t="inlineStr">
        <is>
          <t>да</t>
        </is>
      </c>
      <c r="K1080" s="3" t="inlineStr">
        <is>
          <t>По одноименной сказке Маршака. Для детей</t>
        </is>
      </c>
      <c r="L1080" s="2" t="inlineStr">
        <is>
          <t>https://animator.ru/db/?p=show_film&amp;fid=5491</t>
        </is>
      </c>
      <c r="M1080" s="2">
        <f>HYPERLINK("https://ru.wikipedia.org/w/index.php?search=%D0%92%D0%B5%D1%80%D1%8C-%D0%BD%D0%B5-%D0%B2%D0%B5%D1%80%D1%8C%201987%20%D1%84%D0%B8%D0%BB%D1%8C%D0%BC","искать")</f>
        <v/>
      </c>
      <c r="N1080" s="3" t="n"/>
      <c r="O1080" s="2" t="n"/>
      <c r="P1080" s="2" t="n"/>
    </row>
    <row r="1081">
      <c r="A1081" s="2" t="n">
        <v>1080</v>
      </c>
      <c r="B1081" s="2" t="inlineStr">
        <is>
          <t>не сюжет</t>
        </is>
      </c>
      <c r="C1081" s="2" t="n">
        <v>14178</v>
      </c>
      <c r="D1081" s="3" t="inlineStr">
        <is>
          <t>Сказка о твердом орехе</t>
        </is>
      </c>
      <c r="E1081" s="2" t="n">
        <v>1971</v>
      </c>
      <c r="F1081" s="2" t="inlineStr">
        <is>
          <t>мультфильм</t>
        </is>
      </c>
      <c r="G1081" s="2" t="inlineStr">
        <is>
          <t>СВЕРДЛОВСКТЕЛЕФИЛЬМ</t>
        </is>
      </c>
      <c r="H1081" s="2" t="n">
        <v>40</v>
      </c>
      <c r="I1081" s="2" t="inlineStr"/>
      <c r="J1081" s="2" t="inlineStr">
        <is>
          <t>да</t>
        </is>
      </c>
      <c r="K1081" s="3" t="inlineStr">
        <is>
          <t>О злой ведьме, принцессе и храбром юноше</t>
        </is>
      </c>
      <c r="L1081" s="2" t="inlineStr">
        <is>
          <t>https://animator.ru/db/?p=show_film&amp;fid=5576</t>
        </is>
      </c>
      <c r="M1081" s="2">
        <f>HYPERLINK("https://ru.wikipedia.org/w/index.php?search=%D0%A1%D0%BA%D0%B0%D0%B7%D0%BA%D0%B0%20%D0%BE%20%D1%82%D0%B2%D0%B5%D1%80%D0%B4%D0%BE%D0%BC%20%D0%BE%D1%80%D0%B5%D1%85%D0%B5%201971%20%D1%84%D0%B8%D0%BB%D1%8C%D0%BC","искать")</f>
        <v/>
      </c>
      <c r="N1081" s="3" t="n"/>
      <c r="O1081" s="2" t="n"/>
      <c r="P1081" s="2" t="n"/>
    </row>
    <row r="1082">
      <c r="A1082" s="2" t="n">
        <v>1081</v>
      </c>
      <c r="B1082" s="2" t="inlineStr">
        <is>
          <t>не сюжет</t>
        </is>
      </c>
      <c r="C1082" s="2" t="n">
        <v>14320</v>
      </c>
      <c r="D1082" s="3" t="inlineStr">
        <is>
          <t>Петля</t>
        </is>
      </c>
      <c r="E1082" s="2" t="n">
        <v>1989</v>
      </c>
      <c r="F1082" s="2" t="inlineStr">
        <is>
          <t>мультфильм</t>
        </is>
      </c>
      <c r="G1082" s="2" t="inlineStr">
        <is>
          <t>ТАЛЛИННФИЛЬМ</t>
        </is>
      </c>
      <c r="H1082" s="2" t="n">
        <v>40</v>
      </c>
      <c r="I1082" s="2" t="inlineStr"/>
      <c r="J1082" s="2" t="inlineStr">
        <is>
          <t>да</t>
        </is>
      </c>
      <c r="K1082" s="3" t="inlineStr">
        <is>
          <t>По мотивам одноименной новеллы А.Валтона</t>
        </is>
      </c>
      <c r="L1082" s="2" t="inlineStr">
        <is>
          <t>https://animator.ru/db/?p=show_film&amp;fid=5866</t>
        </is>
      </c>
      <c r="M1082" s="2">
        <f>HYPERLINK("https://ru.wikipedia.org/w/index.php?search=%D0%9F%D0%B5%D1%82%D0%BB%D1%8F%201989%20%D1%84%D0%B8%D0%BB%D1%8C%D0%BC","искать")</f>
        <v/>
      </c>
      <c r="N1082" s="3" t="n"/>
      <c r="O1082" s="2" t="n"/>
      <c r="P1082" s="2" t="n"/>
    </row>
    <row r="1083">
      <c r="A1083" s="2" t="n">
        <v>1082</v>
      </c>
      <c r="B1083" s="2" t="inlineStr">
        <is>
          <t>не сюжет</t>
        </is>
      </c>
      <c r="C1083" s="2" t="n">
        <v>10219</v>
      </c>
      <c r="D1083" s="3" t="inlineStr">
        <is>
          <t>Сказка о Мите и Маше, о Весёлом Трубочисте и Мастере Золотые Руки</t>
        </is>
      </c>
      <c r="E1083" s="2" t="n">
        <v>1967</v>
      </c>
      <c r="F1083" s="2" t="inlineStr">
        <is>
          <t>фильм-спектакль</t>
        </is>
      </c>
      <c r="G1083" s="2" t="inlineStr">
        <is>
          <t>Ленинградское ТВ</t>
        </is>
      </c>
      <c r="H1083" s="2" t="n">
        <v>41</v>
      </c>
      <c r="I1083" s="2" t="inlineStr"/>
      <c r="J1083" s="2" t="inlineStr">
        <is>
          <t>да</t>
        </is>
      </c>
      <c r="K1083" s="3" t="inlineStr">
        <is>
          <t>По одноимённой сказке Вениамина Каверина.</t>
        </is>
      </c>
      <c r="L1083" s="2" t="inlineStr">
        <is>
          <t>https://www.kino-teatr.ru/teatr/movie/92896/annot/</t>
        </is>
      </c>
      <c r="M1083" s="2">
        <f>HYPERLINK("https://ru.wikipedia.org/w/index.php?search=%D0%A1%D0%BA%D0%B0%D0%B7%D0%BA%D0%B0%20%D0%BE%20%D0%9C%D0%B8%D1%82%D0%B5%20%D0%B8%20%D0%9C%D0%B0%D1%88%D0%B5%2C%20%D0%BE%20%D0%92%D0%B5%D1%81%D1%91%D0%BB%D0%BE%D0%BC%20%D0%A2%D1%80%D1%83%D0%B1%D0%BE%D1%87%D0%B8%D1%81%D1%82%D0%B5%20%D0%B8%20%D0%9C%D0%B0%D1%81%D1%82%D0%B5%D1%80%D0%B5%20%D0%97%D0%BE%D0%BB%D0%BE%D1%82%D1%8B%D0%B5%20%D0%A0%D1%83%D0%BA%D0%B8%201967%20%D1%84%D0%B8%D0%BB%D1%8C%D0%BC","искать")</f>
        <v/>
      </c>
      <c r="N1083" s="3" t="n"/>
      <c r="O1083" s="2" t="n"/>
      <c r="P1083" s="2" t="n"/>
    </row>
    <row r="1084">
      <c r="A1084" s="2" t="n">
        <v>1083</v>
      </c>
      <c r="B1084" s="2" t="inlineStr">
        <is>
          <t>не сюжет</t>
        </is>
      </c>
      <c r="C1084" s="2" t="n">
        <v>10623</v>
      </c>
      <c r="D1084" s="3" t="inlineStr">
        <is>
          <t>Руки человеческие</t>
        </is>
      </c>
      <c r="E1084" s="2" t="n">
        <v>1975</v>
      </c>
      <c r="F1084" s="2" t="inlineStr">
        <is>
          <t>фильм-спектакль</t>
        </is>
      </c>
      <c r="G1084" s="2" t="n"/>
      <c r="H1084" s="2" t="n">
        <v>41</v>
      </c>
      <c r="I1084" s="2" t="inlineStr"/>
      <c r="J1084" s="2" t="inlineStr">
        <is>
          <t>да</t>
        </is>
      </c>
      <c r="K1084" s="3" t="inlineStr">
        <is>
          <t>По произведению Константина Паустовского.</t>
        </is>
      </c>
      <c r="L1084" s="2" t="inlineStr">
        <is>
          <t>https://www.kino-teatr.ru/teatr/movie/98108/annot/</t>
        </is>
      </c>
      <c r="M1084" s="2">
        <f>HYPERLINK("https://ru.wikipedia.org/w/index.php?search=%D0%A0%D1%83%D0%BA%D0%B8%20%D1%87%D0%B5%D0%BB%D0%BE%D0%B2%D0%B5%D1%87%D0%B5%D1%81%D0%BA%D0%B8%D0%B5%201975%20%D1%84%D0%B8%D0%BB%D1%8C%D0%BC","искать")</f>
        <v/>
      </c>
      <c r="N1084" s="3" t="n"/>
      <c r="O1084" s="2" t="n"/>
      <c r="P1084" s="2" t="n"/>
    </row>
    <row r="1085">
      <c r="A1085" s="2" t="n">
        <v>1084</v>
      </c>
      <c r="B1085" s="2" t="inlineStr">
        <is>
          <t>не сюжет</t>
        </is>
      </c>
      <c r="C1085" s="2" t="n">
        <v>11228</v>
      </c>
      <c r="D1085" s="3" t="inlineStr">
        <is>
          <t>Собачье сердце</t>
        </is>
      </c>
      <c r="E1085" s="2" t="n">
        <v>1988</v>
      </c>
      <c r="F1085" s="2" t="inlineStr">
        <is>
          <t>фильм-спектакль</t>
        </is>
      </c>
      <c r="G1085" s="2" t="inlineStr">
        <is>
          <t>Эстонское телевидение</t>
        </is>
      </c>
      <c r="H1085" s="2" t="n">
        <v>41</v>
      </c>
      <c r="I1085" s="2" t="inlineStr"/>
      <c r="J1085" s="2" t="inlineStr">
        <is>
          <t>да</t>
        </is>
      </c>
      <c r="K1085" s="3" t="inlineStr">
        <is>
          <t>По одноименной повести Михаила Булгакова.</t>
        </is>
      </c>
      <c r="L1085" s="2" t="inlineStr">
        <is>
          <t>https://www.kino-teatr.ru/teatr/movie/88960/annot/</t>
        </is>
      </c>
      <c r="M1085" s="2">
        <f>HYPERLINK("https://ru.wikipedia.org/w/index.php?search=%D0%A1%D0%BE%D0%B1%D0%B0%D1%87%D1%8C%D0%B5%20%D1%81%D0%B5%D1%80%D0%B4%D1%86%D0%B5%201988%20%D1%84%D0%B8%D0%BB%D1%8C%D0%BC","искать")</f>
        <v/>
      </c>
      <c r="N1085" s="3" t="n"/>
      <c r="O1085" s="2" t="n"/>
      <c r="P1085" s="2" t="n"/>
    </row>
    <row r="1086">
      <c r="A1086" s="2" t="n">
        <v>1085</v>
      </c>
      <c r="B1086" s="2" t="inlineStr">
        <is>
          <t>не сюжет</t>
        </is>
      </c>
      <c r="C1086" s="2" t="n">
        <v>11342</v>
      </c>
      <c r="D1086" s="3" t="inlineStr">
        <is>
          <t>Палата номер шесть</t>
        </is>
      </c>
      <c r="E1086" s="2" t="n">
        <v>1991</v>
      </c>
      <c r="F1086" s="2" t="inlineStr">
        <is>
          <t>фильм-спектакль</t>
        </is>
      </c>
      <c r="G1086" s="2" t="inlineStr">
        <is>
          <t>ТО "Телетеатр"</t>
        </is>
      </c>
      <c r="H1086" s="2" t="n">
        <v>41</v>
      </c>
      <c r="I1086" s="2" t="inlineStr"/>
      <c r="J1086" s="2" t="inlineStr">
        <is>
          <t>да</t>
        </is>
      </c>
      <c r="K1086" s="3" t="inlineStr">
        <is>
          <t>Телевизионная версия рассказа А.П.Чехова.</t>
        </is>
      </c>
      <c r="L1086" s="2" t="inlineStr">
        <is>
          <t>https://www.kino-teatr.ru/teatr/movie/90126/annot/</t>
        </is>
      </c>
      <c r="M1086" s="2">
        <f>HYPERLINK("https://ru.wikipedia.org/w/index.php?search=%D0%9F%D0%B0%D0%BB%D0%B0%D1%82%D0%B0%20%D0%BD%D0%BE%D0%BC%D0%B5%D1%80%20%D1%88%D0%B5%D1%81%D1%82%D1%8C%201991%20%D1%84%D0%B8%D0%BB%D1%8C%D0%BC","искать")</f>
        <v/>
      </c>
      <c r="N1086" s="3" t="n"/>
      <c r="O1086" s="2" t="n"/>
      <c r="P1086" s="2" t="n"/>
    </row>
    <row r="1087">
      <c r="A1087" s="2" t="n">
        <v>1086</v>
      </c>
      <c r="B1087" s="2" t="inlineStr">
        <is>
          <t>не сюжет</t>
        </is>
      </c>
      <c r="C1087" s="2" t="n">
        <v>11771</v>
      </c>
      <c r="D1087" s="3" t="inlineStr">
        <is>
          <t>И мама меня простит</t>
        </is>
      </c>
      <c r="E1087" s="2" t="n">
        <v>1975</v>
      </c>
      <c r="F1087" s="2" t="inlineStr">
        <is>
          <t>мультфильм</t>
        </is>
      </c>
      <c r="G1087" s="2" t="inlineStr">
        <is>
          <t>Союзмультфильм</t>
        </is>
      </c>
      <c r="H1087" s="2" t="n">
        <v>41</v>
      </c>
      <c r="I1087" s="2" t="inlineStr"/>
      <c r="J1087" s="2" t="inlineStr">
        <is>
          <t>да</t>
        </is>
      </c>
      <c r="K1087" s="3" t="inlineStr">
        <is>
          <t>По стихотворению Эммы Мошковской "Обида".</t>
        </is>
      </c>
      <c r="L1087" s="2" t="inlineStr">
        <is>
          <t>2026-10_мультфильмы_список_владельца.xlsx; https://animator.ru/db/?p=show_film&amp;fid=2685</t>
        </is>
      </c>
      <c r="M1087" s="2">
        <f>HYPERLINK("https://ru.wikipedia.org/w/index.php?search=%D0%98%20%D0%BC%D0%B0%D0%BC%D0%B0%20%D0%BC%D0%B5%D0%BD%D1%8F%20%D0%BF%D1%80%D0%BE%D1%81%D1%82%D0%B8%D1%82%201975%20%D1%84%D0%B8%D0%BB%D1%8C%D0%BC","искать")</f>
        <v/>
      </c>
      <c r="N1087" s="3" t="n"/>
      <c r="O1087" s="2" t="n"/>
      <c r="P1087" s="2" t="n"/>
    </row>
    <row r="1088">
      <c r="A1088" s="2" t="n">
        <v>1087</v>
      </c>
      <c r="B1088" s="2" t="inlineStr">
        <is>
          <t>не сюжет</t>
        </is>
      </c>
      <c r="C1088" s="2" t="n">
        <v>11787</v>
      </c>
      <c r="D1088" s="3" t="inlineStr">
        <is>
          <t>Уроки наших предков</t>
        </is>
      </c>
      <c r="E1088" s="2" t="n">
        <v>1975</v>
      </c>
      <c r="F1088" s="2" t="inlineStr">
        <is>
          <t>мультфильм</t>
        </is>
      </c>
      <c r="G1088" s="2" t="inlineStr">
        <is>
          <t>Союзмультфильм</t>
        </is>
      </c>
      <c r="H1088" s="2" t="n">
        <v>41</v>
      </c>
      <c r="I1088" s="2" t="inlineStr"/>
      <c r="J1088" s="2" t="inlineStr">
        <is>
          <t>да</t>
        </is>
      </c>
      <c r="K1088" s="3" t="inlineStr">
        <is>
          <t>О правилах поведения на улицах. Для детей</t>
        </is>
      </c>
      <c r="L1088" s="2" t="inlineStr">
        <is>
          <t>https://animator.ru/db/?p=show_film&amp;fid=2701</t>
        </is>
      </c>
      <c r="M1088" s="2">
        <f>HYPERLINK("https://ru.wikipedia.org/w/index.php?search=%D0%A3%D1%80%D0%BE%D0%BA%D0%B8%20%D0%BD%D0%B0%D1%88%D0%B8%D1%85%20%D0%BF%D1%80%D0%B5%D0%B4%D0%BA%D0%BE%D0%B2%201975%20%D1%84%D0%B8%D0%BB%D1%8C%D0%BC","искать")</f>
        <v/>
      </c>
      <c r="N1088" s="3" t="n"/>
      <c r="O1088" s="2" t="n"/>
      <c r="P1088" s="2" t="n"/>
    </row>
    <row r="1089">
      <c r="A1089" s="2" t="n">
        <v>1088</v>
      </c>
      <c r="B1089" s="2" t="inlineStr">
        <is>
          <t>не сюжет</t>
        </is>
      </c>
      <c r="C1089" s="2" t="n">
        <v>11829</v>
      </c>
      <c r="D1089" s="3" t="inlineStr">
        <is>
          <t>Догада</t>
        </is>
      </c>
      <c r="E1089" s="2" t="n">
        <v>1977</v>
      </c>
      <c r="F1089" s="2" t="inlineStr">
        <is>
          <t>мультфильм</t>
        </is>
      </c>
      <c r="G1089" s="2" t="inlineStr">
        <is>
          <t>Союзмультфильм</t>
        </is>
      </c>
      <c r="H1089" s="2" t="n">
        <v>41</v>
      </c>
      <c r="I1089" s="2" t="inlineStr"/>
      <c r="J1089" s="2" t="inlineStr">
        <is>
          <t>да</t>
        </is>
      </c>
      <c r="K1089" s="3" t="inlineStr">
        <is>
          <t>По русской сказке-шутке о глупых мужиках.</t>
        </is>
      </c>
      <c r="L1089" s="2" t="inlineStr">
        <is>
          <t>2026-10_мультфильмы_список_владельца.xlsx; https://animator.ru/db/?p=show_film&amp;fid=2744</t>
        </is>
      </c>
      <c r="M1089" s="2">
        <f>HYPERLINK("https://ru.wikipedia.org/w/index.php?search=%D0%94%D0%BE%D0%B3%D0%B0%D0%B4%D0%B0%201977%20%D1%84%D0%B8%D0%BB%D1%8C%D0%BC","искать")</f>
        <v/>
      </c>
      <c r="N1089" s="3" t="n"/>
      <c r="O1089" s="2" t="n"/>
      <c r="P1089" s="2" t="n"/>
    </row>
    <row r="1090">
      <c r="A1090" s="2" t="n">
        <v>1089</v>
      </c>
      <c r="B1090" s="2" t="inlineStr">
        <is>
          <t>не сюжет</t>
        </is>
      </c>
      <c r="C1090" s="2" t="n">
        <v>11926</v>
      </c>
      <c r="D1090" s="3" t="inlineStr">
        <is>
          <t>Салют, Олимпиада!</t>
        </is>
      </c>
      <c r="E1090" s="2" t="n">
        <v>1979</v>
      </c>
      <c r="F1090" s="2" t="inlineStr">
        <is>
          <t>мультфильм</t>
        </is>
      </c>
      <c r="G1090" s="2" t="inlineStr">
        <is>
          <t>Союзмультфильм</t>
        </is>
      </c>
      <c r="H1090" s="2" t="n">
        <v>41</v>
      </c>
      <c r="I1090" s="2" t="inlineStr"/>
      <c r="J1090" s="2" t="inlineStr">
        <is>
          <t>да</t>
        </is>
      </c>
      <c r="K1090" s="3" t="inlineStr">
        <is>
          <t>Фантазия на темы истории олимпийских игр.</t>
        </is>
      </c>
      <c r="L1090" s="2" t="inlineStr">
        <is>
          <t>2026-10_мультфильмы_список_владельца.xlsx; https://animator.ru/db/?p=show_film&amp;fid=2841</t>
        </is>
      </c>
      <c r="M1090" s="2">
        <f>HYPERLINK("https://ru.wikipedia.org/w/index.php?search=%D0%A1%D0%B0%D0%BB%D1%8E%D1%82%2C%20%D0%9E%D0%BB%D0%B8%D0%BC%D0%BF%D0%B8%D0%B0%D0%B4%D0%B0%21%201979%20%D1%84%D0%B8%D0%BB%D1%8C%D0%BC","искать")</f>
        <v/>
      </c>
      <c r="N1090" s="3" t="n"/>
      <c r="O1090" s="2" t="n"/>
      <c r="P1090" s="2" t="n"/>
    </row>
    <row r="1091">
      <c r="A1091" s="2" t="n">
        <v>1090</v>
      </c>
      <c r="B1091" s="2" t="inlineStr">
        <is>
          <t>не сюжет</t>
        </is>
      </c>
      <c r="C1091" s="2" t="n">
        <v>12025</v>
      </c>
      <c r="D1091" s="3" t="inlineStr">
        <is>
          <t>Сладкий родник</t>
        </is>
      </c>
      <c r="E1091" s="2" t="n">
        <v>1982</v>
      </c>
      <c r="F1091" s="2" t="inlineStr">
        <is>
          <t>мультфильм</t>
        </is>
      </c>
      <c r="G1091" s="2" t="inlineStr">
        <is>
          <t>Союзмультфильм</t>
        </is>
      </c>
      <c r="H1091" s="2" t="n">
        <v>41</v>
      </c>
      <c r="I1091" s="2" t="inlineStr"/>
      <c r="J1091" s="2" t="inlineStr">
        <is>
          <t>да</t>
        </is>
      </c>
      <c r="K1091" s="3" t="inlineStr">
        <is>
          <t>Сказка о жадности и щедрости. Для малышей</t>
        </is>
      </c>
      <c r="L1091" s="2" t="inlineStr">
        <is>
          <t>https://animator.ru/db/?p=show_film&amp;fid=3139</t>
        </is>
      </c>
      <c r="M1091" s="2">
        <f>HYPERLINK("https://ru.wikipedia.org/w/index.php?search=%D0%A1%D0%BB%D0%B0%D0%B4%D0%BA%D0%B8%D0%B9%20%D1%80%D0%BE%D0%B4%D0%BD%D0%B8%D0%BA%201982%20%D1%84%D0%B8%D0%BB%D1%8C%D0%BC","искать")</f>
        <v/>
      </c>
      <c r="N1091" s="3" t="n"/>
      <c r="O1091" s="2" t="n"/>
      <c r="P1091" s="2" t="n"/>
    </row>
    <row r="1092">
      <c r="A1092" s="2" t="n">
        <v>1091</v>
      </c>
      <c r="B1092" s="2" t="inlineStr">
        <is>
          <t>не сюжет</t>
        </is>
      </c>
      <c r="C1092" s="2" t="n">
        <v>12133</v>
      </c>
      <c r="D1092" s="3" t="inlineStr">
        <is>
          <t>Стереотипы</t>
        </is>
      </c>
      <c r="E1092" s="2" t="n">
        <v>1989</v>
      </c>
      <c r="F1092" s="2" t="inlineStr">
        <is>
          <t>мультфильм</t>
        </is>
      </c>
      <c r="G1092" s="2" t="inlineStr">
        <is>
          <t>Союзмультфильм</t>
        </is>
      </c>
      <c r="H1092" s="2" t="n">
        <v>41</v>
      </c>
      <c r="I1092" s="2" t="inlineStr"/>
      <c r="J1092" s="2" t="inlineStr">
        <is>
          <t>да</t>
        </is>
      </c>
      <c r="K1092" s="3" t="inlineStr">
        <is>
          <t>По заказу Советского комитета защиты мира</t>
        </is>
      </c>
      <c r="L1092" s="2" t="inlineStr">
        <is>
          <t>https://animator.ru/db/?p=show_film&amp;fid=3249</t>
        </is>
      </c>
      <c r="M1092" s="2">
        <f>HYPERLINK("https://ru.wikipedia.org/w/index.php?search=%D0%A1%D1%82%D0%B5%D1%80%D0%B5%D0%BE%D1%82%D0%B8%D0%BF%D1%8B%201989%20%D1%84%D0%B8%D0%BB%D1%8C%D0%BC","искать")</f>
        <v/>
      </c>
      <c r="N1092" s="3" t="n"/>
      <c r="O1092" s="2" t="n"/>
      <c r="P1092" s="2" t="n"/>
    </row>
    <row r="1093">
      <c r="A1093" s="2" t="n">
        <v>1092</v>
      </c>
      <c r="B1093" s="2" t="inlineStr">
        <is>
          <t>не сюжет</t>
        </is>
      </c>
      <c r="C1093" s="2" t="n">
        <v>12385</v>
      </c>
      <c r="D1093" s="3" t="inlineStr">
        <is>
          <t>Зубная быль</t>
        </is>
      </c>
      <c r="E1093" s="2" t="n">
        <v>1972</v>
      </c>
      <c r="F1093" s="2" t="inlineStr">
        <is>
          <t>мультфильм</t>
        </is>
      </c>
      <c r="G1093" s="2" t="inlineStr">
        <is>
          <t>КИЕВНАУЧФИЛЬМ</t>
        </is>
      </c>
      <c r="H1093" s="2" t="n">
        <v>41</v>
      </c>
      <c r="I1093" s="2" t="inlineStr"/>
      <c r="J1093" s="2" t="inlineStr">
        <is>
          <t>да</t>
        </is>
      </c>
      <c r="K1093" s="3" t="inlineStr">
        <is>
          <t>О том, что зубных врачей бояться не нужно</t>
        </is>
      </c>
      <c r="L1093" s="2" t="inlineStr">
        <is>
          <t>https://animator.ru/db/?p=show_film&amp;fid=3556</t>
        </is>
      </c>
      <c r="M1093" s="2">
        <f>HYPERLINK("https://ru.wikipedia.org/w/index.php?search=%D0%97%D1%83%D0%B1%D0%BD%D0%B0%D1%8F%20%D0%B1%D1%8B%D0%BB%D1%8C%201972%20%D1%84%D0%B8%D0%BB%D1%8C%D0%BC","искать")</f>
        <v/>
      </c>
      <c r="N1093" s="3" t="n"/>
      <c r="O1093" s="2" t="n"/>
      <c r="P1093" s="2" t="n"/>
    </row>
    <row r="1094">
      <c r="A1094" s="2" t="n">
        <v>1093</v>
      </c>
      <c r="B1094" s="2" t="inlineStr">
        <is>
          <t>не сюжет</t>
        </is>
      </c>
      <c r="C1094" s="2" t="n">
        <v>12634</v>
      </c>
      <c r="D1094" s="3" t="inlineStr">
        <is>
          <t>НЕЧИСТАЯ СИЛА ("Фитиль" N 315)</t>
        </is>
      </c>
      <c r="E1094" s="2" t="n">
        <v>1988</v>
      </c>
      <c r="F1094" s="2" t="inlineStr">
        <is>
          <t>мультфильм</t>
        </is>
      </c>
      <c r="G1094" s="2" t="inlineStr">
        <is>
          <t>Союзмультфильм</t>
        </is>
      </c>
      <c r="H1094" s="2" t="n">
        <v>41</v>
      </c>
      <c r="I1094" s="2" t="inlineStr"/>
      <c r="J1094" s="2" t="inlineStr">
        <is>
          <t>да</t>
        </is>
      </c>
      <c r="K1094" s="3" t="inlineStr">
        <is>
          <t>О ханжестве некоторых борцов за трезвость</t>
        </is>
      </c>
      <c r="L1094" s="2" t="inlineStr">
        <is>
          <t>https://animator.ru/db/?p=show_film&amp;fid=3814</t>
        </is>
      </c>
      <c r="M1094" s="2">
        <f>HYPERLINK("https://ru.wikipedia.org/w/index.php?search=%D0%9D%D0%95%D0%A7%D0%98%D0%A1%D0%A2%D0%90%D0%AF%20%D0%A1%D0%98%D0%9B%D0%90%20%28%22%D0%A4%D0%B8%D1%82%D0%B8%D0%BB%D1%8C%22%20N%20315%29%201988%20%D1%84%D0%B8%D0%BB%D1%8C%D0%BC","искать")</f>
        <v/>
      </c>
      <c r="N1094" s="3" t="n"/>
      <c r="O1094" s="2" t="n"/>
      <c r="P1094" s="2" t="n"/>
    </row>
    <row r="1095">
      <c r="A1095" s="2" t="n">
        <v>1094</v>
      </c>
      <c r="B1095" s="2" t="inlineStr">
        <is>
          <t>не сюжет</t>
        </is>
      </c>
      <c r="C1095" s="2" t="n">
        <v>12694</v>
      </c>
      <c r="D1095" s="3" t="inlineStr">
        <is>
          <t>Лабиринт-1. Крылья</t>
        </is>
      </c>
      <c r="E1095" s="2" t="n">
        <v>1990</v>
      </c>
      <c r="F1095" s="2" t="inlineStr">
        <is>
          <t>мультфильм</t>
        </is>
      </c>
      <c r="G1095" s="2" t="inlineStr">
        <is>
          <t>БЕЛАРУСЬФИЛЬМ НАЦИОНАЛЬНАЯ КИНОСТУДИЯ - ГП</t>
        </is>
      </c>
      <c r="H1095" s="2" t="n">
        <v>41</v>
      </c>
      <c r="I1095" s="2" t="inlineStr"/>
      <c r="J1095" s="2" t="inlineStr">
        <is>
          <t>да</t>
        </is>
      </c>
      <c r="K1095" s="3" t="inlineStr">
        <is>
          <t>Общий метраж выпуска 289 м (для взрослых)</t>
        </is>
      </c>
      <c r="L1095" s="2" t="inlineStr">
        <is>
          <t>https://animator.ru/db/?p=show_film&amp;fid=3889</t>
        </is>
      </c>
      <c r="M1095" s="2">
        <f>HYPERLINK("https://ru.wikipedia.org/w/index.php?search=%D0%9B%D0%B0%D0%B1%D0%B8%D1%80%D0%B8%D0%BD%D1%82-1.%20%D0%9A%D1%80%D1%8B%D0%BB%D1%8C%D1%8F%201990%20%D1%84%D0%B8%D0%BB%D1%8C%D0%BC","искать")</f>
        <v/>
      </c>
      <c r="N1095" s="3" t="n"/>
      <c r="O1095" s="2" t="n"/>
      <c r="P1095" s="2" t="n"/>
    </row>
    <row r="1096">
      <c r="A1096" s="2" t="n">
        <v>1095</v>
      </c>
      <c r="B1096" s="2" t="inlineStr">
        <is>
          <t>не сюжет</t>
        </is>
      </c>
      <c r="C1096" s="2" t="n">
        <v>12734</v>
      </c>
      <c r="D1096" s="3" t="inlineStr">
        <is>
          <t>Из дневников Йона Тихого. Путешествие на Интеропию.</t>
        </is>
      </c>
      <c r="E1096" s="2" t="n">
        <v>1986</v>
      </c>
      <c r="F1096" s="2" t="inlineStr">
        <is>
          <t>мультфильм</t>
        </is>
      </c>
      <c r="G1096" s="2" t="inlineStr">
        <is>
          <t>АЗЕРБАЙДЖАНФИЛЬМ</t>
        </is>
      </c>
      <c r="H1096" s="2" t="n">
        <v>41</v>
      </c>
      <c r="I1096" s="2" t="inlineStr"/>
      <c r="J1096" s="2" t="inlineStr">
        <is>
          <t>да</t>
        </is>
      </c>
      <c r="K1096" s="3" t="inlineStr">
        <is>
          <t>Фантазия по произведениям Станислава Лема</t>
        </is>
      </c>
      <c r="L1096" s="2" t="inlineStr">
        <is>
          <t>https://animator.ru/db/?p=show_film&amp;fid=3943</t>
        </is>
      </c>
      <c r="M1096" s="2">
        <f>HYPERLINK("https://ru.wikipedia.org/w/index.php?search=%D0%98%D0%B7%20%D0%B4%D0%BD%D0%B5%D0%B2%D0%BD%D0%B8%D0%BA%D0%BE%D0%B2%20%D0%99%D0%BE%D0%BD%D0%B0%20%D0%A2%D0%B8%D1%85%D0%BE%D0%B3%D0%BE.%20%D0%9F%D1%83%D1%82%D0%B5%D1%88%D0%B5%D1%81%D1%82%D0%B2%D0%B8%D0%B5%20%D0%BD%D0%B0%20%D0%98%D0%BD%D1%82%D0%B5%D1%80%D0%BE%D0%BF%D0%B8%D1%8E.%201986%20%D1%84%D0%B8%D0%BB%D1%8C%D0%BC","искать")</f>
        <v/>
      </c>
      <c r="N1096" s="3" t="n"/>
      <c r="O1096" s="2" t="n"/>
      <c r="P1096" s="2" t="n"/>
    </row>
    <row r="1097">
      <c r="A1097" s="2" t="n">
        <v>1096</v>
      </c>
      <c r="B1097" s="2" t="inlineStr">
        <is>
          <t>не сюжет</t>
        </is>
      </c>
      <c r="C1097" s="2" t="n">
        <v>12943</v>
      </c>
      <c r="D1097" s="3" t="inlineStr">
        <is>
          <t>Быть или... пить?</t>
        </is>
      </c>
      <c r="E1097" s="2" t="n">
        <v>1985</v>
      </c>
      <c r="F1097" s="2" t="inlineStr">
        <is>
          <t>мультфильм</t>
        </is>
      </c>
      <c r="G1097" s="2" t="inlineStr">
        <is>
          <t>ГРУЗИЯ-ФИЛЬМ - АО</t>
        </is>
      </c>
      <c r="H1097" s="2" t="n">
        <v>41</v>
      </c>
      <c r="I1097" s="2" t="inlineStr"/>
      <c r="J1097" s="2" t="inlineStr">
        <is>
          <t>да</t>
        </is>
      </c>
      <c r="K1097" s="3" t="inlineStr">
        <is>
          <t>О гибельной власти алкоголя над человеком</t>
        </is>
      </c>
      <c r="L1097" s="2" t="inlineStr">
        <is>
          <t>https://animator.ru/db/?p=show_film&amp;fid=4173</t>
        </is>
      </c>
      <c r="M1097" s="2">
        <f>HYPERLINK("https://ru.wikipedia.org/w/index.php?search=%D0%91%D1%8B%D1%82%D1%8C%20%D0%B8%D0%BB%D0%B8...%20%D0%BF%D0%B8%D1%82%D1%8C%3F%201985%20%D1%84%D0%B8%D0%BB%D1%8C%D0%BC","искать")</f>
        <v/>
      </c>
      <c r="N1097" s="3" t="n"/>
      <c r="O1097" s="2" t="n"/>
      <c r="P1097" s="2" t="n"/>
    </row>
    <row r="1098">
      <c r="A1098" s="2" t="n">
        <v>1097</v>
      </c>
      <c r="B1098" s="2" t="inlineStr">
        <is>
          <t>не сюжет</t>
        </is>
      </c>
      <c r="C1098" s="2" t="n">
        <v>12945</v>
      </c>
      <c r="D1098" s="3" t="inlineStr">
        <is>
          <t>Бо-бо</t>
        </is>
      </c>
      <c r="E1098" s="2" t="n">
        <v>1986</v>
      </c>
      <c r="F1098" s="2" t="inlineStr">
        <is>
          <t>мультфильм</t>
        </is>
      </c>
      <c r="G1098" s="2" t="inlineStr">
        <is>
          <t>ГРУЗИЯ-ФИЛЬМ - АО</t>
        </is>
      </c>
      <c r="H1098" s="2" t="n">
        <v>41</v>
      </c>
      <c r="I1098" s="2" t="inlineStr"/>
      <c r="J1098" s="2" t="inlineStr">
        <is>
          <t>да</t>
        </is>
      </c>
      <c r="K1098" s="3" t="inlineStr">
        <is>
          <t>Фильм на антивоенную тему (для взрослых).</t>
        </is>
      </c>
      <c r="L1098" s="2" t="inlineStr">
        <is>
          <t>2026-10_мультфильмы_список_владельца.xlsx; https://animator.ru/db/?p=show_film&amp;fid=4175</t>
        </is>
      </c>
      <c r="M1098" s="2">
        <f>HYPERLINK("https://ru.wikipedia.org/w/index.php?search=%D0%91%D0%BE-%D0%B1%D0%BE%201986%20%D1%84%D0%B8%D0%BB%D1%8C%D0%BC","искать")</f>
        <v/>
      </c>
      <c r="N1098" s="3" t="n"/>
      <c r="O1098" s="2" t="n"/>
      <c r="P1098" s="2" t="n"/>
    </row>
    <row r="1099">
      <c r="A1099" s="2" t="n">
        <v>1098</v>
      </c>
      <c r="B1099" s="2" t="inlineStr">
        <is>
          <t>не сюжет</t>
        </is>
      </c>
      <c r="C1099" s="2" t="n">
        <v>13203</v>
      </c>
      <c r="D1099" s="3" t="inlineStr">
        <is>
          <t>Сад хризантем</t>
        </is>
      </c>
      <c r="E1099" s="2" t="n">
        <v>1986</v>
      </c>
      <c r="F1099" s="2" t="inlineStr">
        <is>
          <t>мультфильм</t>
        </is>
      </c>
      <c r="G1099" s="2" t="inlineStr">
        <is>
          <t>УЗБЕКФИЛЬМ</t>
        </is>
      </c>
      <c r="H1099" s="2" t="n">
        <v>41</v>
      </c>
      <c r="I1099" s="2" t="inlineStr"/>
      <c r="J1099" s="2" t="inlineStr">
        <is>
          <t>да</t>
        </is>
      </c>
      <c r="K1099" s="3" t="inlineStr">
        <is>
          <t>По мотивам китайских легенд. Для взрослых</t>
        </is>
      </c>
      <c r="L1099" s="2" t="inlineStr">
        <is>
          <t>https://animator.ru/db/?p=show_film&amp;fid=4442</t>
        </is>
      </c>
      <c r="M1099" s="2">
        <f>HYPERLINK("https://ru.wikipedia.org/w/index.php?search=%D0%A1%D0%B0%D0%B4%20%D1%85%D1%80%D0%B8%D0%B7%D0%B0%D0%BD%D1%82%D0%B5%D0%BC%201986%20%D1%84%D0%B8%D0%BB%D1%8C%D0%BC","искать")</f>
        <v/>
      </c>
      <c r="N1099" s="3" t="n"/>
      <c r="O1099" s="2" t="n"/>
      <c r="P1099" s="2" t="n"/>
    </row>
    <row r="1100">
      <c r="A1100" s="2" t="n">
        <v>1099</v>
      </c>
      <c r="B1100" s="2" t="inlineStr">
        <is>
          <t>не сюжет</t>
        </is>
      </c>
      <c r="C1100" s="2" t="n">
        <v>13347</v>
      </c>
      <c r="D1100" s="3" t="inlineStr">
        <is>
          <t>Озеро в пустыне</t>
        </is>
      </c>
      <c r="E1100" s="2" t="n">
        <v>1979</v>
      </c>
      <c r="F1100" s="2" t="inlineStr">
        <is>
          <t>мультфильм</t>
        </is>
      </c>
      <c r="G1100" s="2" t="inlineStr">
        <is>
          <t>УЗБЕКФИЛЬМ</t>
        </is>
      </c>
      <c r="H1100" s="2" t="n">
        <v>41</v>
      </c>
      <c r="I1100" s="2" t="inlineStr"/>
      <c r="J1100" s="2" t="inlineStr">
        <is>
          <t>да</t>
        </is>
      </c>
      <c r="K1100" s="3" t="inlineStr">
        <is>
          <t>О бережном отношении к окружающей природе</t>
        </is>
      </c>
      <c r="L1100" s="2" t="inlineStr">
        <is>
          <t>https://animator.ru/db/?p=show_film&amp;fid=4623</t>
        </is>
      </c>
      <c r="M1100" s="2">
        <f>HYPERLINK("https://ru.wikipedia.org/w/index.php?search=%D0%9E%D0%B7%D0%B5%D1%80%D0%BE%20%D0%B2%20%D0%BF%D1%83%D1%81%D1%82%D1%8B%D0%BD%D0%B5%201979%20%D1%84%D0%B8%D0%BB%D1%8C%D0%BC","искать")</f>
        <v/>
      </c>
      <c r="N1100" s="3" t="n"/>
      <c r="O1100" s="2" t="n"/>
      <c r="P1100" s="2" t="n"/>
    </row>
    <row r="1101">
      <c r="A1101" s="2" t="n">
        <v>1100</v>
      </c>
      <c r="B1101" s="2" t="inlineStr">
        <is>
          <t>не сюжет</t>
        </is>
      </c>
      <c r="C1101" s="2" t="n">
        <v>13367</v>
      </c>
      <c r="D1101" s="3" t="inlineStr">
        <is>
          <t>Медвежонок</t>
        </is>
      </c>
      <c r="E1101" s="2" t="n">
        <v>1979</v>
      </c>
      <c r="F1101" s="2" t="inlineStr">
        <is>
          <t>мультфильм</t>
        </is>
      </c>
      <c r="G1101" s="2" t="inlineStr">
        <is>
          <t>КАЗАХФИЛЬМ</t>
        </is>
      </c>
      <c r="H1101" s="2" t="n">
        <v>41</v>
      </c>
      <c r="I1101" s="2" t="inlineStr"/>
      <c r="J1101" s="2" t="inlineStr">
        <is>
          <t>да</t>
        </is>
      </c>
      <c r="K1101" s="3" t="inlineStr">
        <is>
          <t>О дружбе девочки-фигуристки с медвежонком</t>
        </is>
      </c>
      <c r="L1101" s="2" t="inlineStr">
        <is>
          <t>https://animator.ru/db/?p=show_film&amp;fid=4645</t>
        </is>
      </c>
      <c r="M1101" s="2">
        <f>HYPERLINK("https://ru.wikipedia.org/w/index.php?search=%D0%9C%D0%B5%D0%B4%D0%B2%D0%B5%D0%B6%D0%BE%D0%BD%D0%BE%D0%BA%201979%20%D1%84%D0%B8%D0%BB%D1%8C%D0%BC","искать")</f>
        <v/>
      </c>
      <c r="N1101" s="3" t="n"/>
      <c r="O1101" s="2" t="n"/>
      <c r="P1101" s="2" t="n"/>
    </row>
    <row r="1102">
      <c r="A1102" s="2" t="n">
        <v>1101</v>
      </c>
      <c r="B1102" s="2" t="inlineStr">
        <is>
          <t>не сюжет</t>
        </is>
      </c>
      <c r="C1102" s="2" t="n">
        <v>13883</v>
      </c>
      <c r="D1102" s="3" t="inlineStr">
        <is>
          <t>Сами виноваты</t>
        </is>
      </c>
      <c r="E1102" s="2" t="n">
        <v>1974</v>
      </c>
      <c r="F1102" s="2" t="inlineStr">
        <is>
          <t>мультфильм</t>
        </is>
      </c>
      <c r="G1102" s="2" t="inlineStr">
        <is>
          <t>ЭКРАН</t>
        </is>
      </c>
      <c r="H1102" s="2" t="n">
        <v>41</v>
      </c>
      <c r="I1102" s="2" t="inlineStr"/>
      <c r="J1102" s="2" t="inlineStr">
        <is>
          <t>да</t>
        </is>
      </c>
      <c r="K1102" s="3" t="inlineStr">
        <is>
          <t>По моттивам басни С.Михалкова "Кто кого".</t>
        </is>
      </c>
      <c r="L1102" s="2" t="inlineStr">
        <is>
          <t>2026-10_мультфильмы_список_владельца.xlsx; https://animator.ru/db/?p=show_film&amp;fid=5276</t>
        </is>
      </c>
      <c r="M1102" s="2">
        <f>HYPERLINK("https://ru.wikipedia.org/w/index.php?search=%D0%A1%D0%B0%D0%BC%D0%B8%20%D0%B2%D0%B8%D0%BD%D0%BE%D0%B2%D0%B0%D1%82%D1%8B%201974%20%D1%84%D0%B8%D0%BB%D1%8C%D0%BC","искать")</f>
        <v/>
      </c>
      <c r="N1102" s="3" t="n"/>
      <c r="O1102" s="2" t="n"/>
      <c r="P1102" s="2" t="n"/>
    </row>
    <row r="1103">
      <c r="A1103" s="2" t="n">
        <v>1102</v>
      </c>
      <c r="B1103" s="2" t="inlineStr">
        <is>
          <t>не сюжет</t>
        </is>
      </c>
      <c r="C1103" s="2" t="n">
        <v>14046</v>
      </c>
      <c r="D1103" s="3" t="inlineStr">
        <is>
          <t>Подаренка</t>
        </is>
      </c>
      <c r="E1103" s="2" t="n">
        <v>1978</v>
      </c>
      <c r="F1103" s="2" t="inlineStr">
        <is>
          <t>мультфильм</t>
        </is>
      </c>
      <c r="G1103" s="2" t="inlineStr">
        <is>
          <t>Свердловская киностудия</t>
        </is>
      </c>
      <c r="H1103" s="2" t="n">
        <v>41</v>
      </c>
      <c r="I1103" s="2" t="inlineStr"/>
      <c r="J1103" s="2" t="inlineStr">
        <is>
          <t>да</t>
        </is>
      </c>
      <c r="K1103" s="3" t="inlineStr">
        <is>
          <t>По сказке "Серебряное копытце", кукольный</t>
        </is>
      </c>
      <c r="L1103" s="2" t="inlineStr">
        <is>
          <t>2026-10_мультфильмы_список_владельца.xlsx; https://animator.ru/db/?p=show_film&amp;fid=5442</t>
        </is>
      </c>
      <c r="M1103" s="2">
        <f>HYPERLINK("https://ru.wikipedia.org/w/index.php?search=%D0%9F%D0%BE%D0%B4%D0%B0%D1%80%D0%B5%D0%BD%D0%BA%D0%B0%201978%20%D1%84%D0%B8%D0%BB%D1%8C%D0%BC","искать")</f>
        <v/>
      </c>
      <c r="N1103" s="3" t="n"/>
      <c r="O1103" s="2" t="n"/>
      <c r="P1103" s="2" t="n"/>
    </row>
    <row r="1104">
      <c r="A1104" s="2" t="n">
        <v>1103</v>
      </c>
      <c r="B1104" s="2" t="inlineStr">
        <is>
          <t>не сюжет</t>
        </is>
      </c>
      <c r="C1104" s="2" t="n">
        <v>14186</v>
      </c>
      <c r="D1104" s="3" t="inlineStr">
        <is>
          <t>Странный зверь</t>
        </is>
      </c>
      <c r="E1104" s="2" t="n">
        <v>1980</v>
      </c>
      <c r="F1104" s="2" t="inlineStr">
        <is>
          <t>мультфильм</t>
        </is>
      </c>
      <c r="G1104" s="2" t="inlineStr">
        <is>
          <t>КУЙБЫШЕВТЕЛЕФИЛЬМ</t>
        </is>
      </c>
      <c r="H1104" s="2" t="n">
        <v>41</v>
      </c>
      <c r="I1104" s="2" t="inlineStr"/>
      <c r="J1104" s="2" t="inlineStr">
        <is>
          <t>да</t>
        </is>
      </c>
      <c r="K1104" s="3" t="inlineStr">
        <is>
          <t>По мотивам сказки Е.Летовой. Для малышей.</t>
        </is>
      </c>
      <c r="L1104" s="2" t="inlineStr">
        <is>
          <t>2026-10_мультфильмы_список_владельца.xlsx; https://animator.ru/db/?p=show_film&amp;fid=5584</t>
        </is>
      </c>
      <c r="M1104" s="2">
        <f>HYPERLINK("https://ru.wikipedia.org/w/index.php?search=%D0%A1%D1%82%D1%80%D0%B0%D0%BD%D0%BD%D1%8B%D0%B9%20%D0%B7%D0%B2%D0%B5%D1%80%D1%8C%201980%20%D1%84%D0%B8%D0%BB%D1%8C%D0%BC","искать")</f>
        <v/>
      </c>
      <c r="N1104" s="3" t="n"/>
      <c r="O1104" s="2" t="n"/>
      <c r="P1104" s="2" t="n"/>
    </row>
    <row r="1105">
      <c r="A1105" s="2" t="n">
        <v>1104</v>
      </c>
      <c r="B1105" s="2" t="inlineStr">
        <is>
          <t>не сюжет</t>
        </is>
      </c>
      <c r="C1105" s="2" t="n">
        <v>14300</v>
      </c>
      <c r="D1105" s="3" t="inlineStr">
        <is>
          <t>Когда-то в Литве</t>
        </is>
      </c>
      <c r="E1105" s="2" t="n">
        <v>1990</v>
      </c>
      <c r="F1105" s="2" t="inlineStr">
        <is>
          <t>мультфильм</t>
        </is>
      </c>
      <c r="G1105" s="2" t="inlineStr">
        <is>
          <t>СТУДИЯ АНИМАЦИОННЫХ ФИЛЬМОВ, ВИЛЬНЮС</t>
        </is>
      </c>
      <c r="H1105" s="2" t="n">
        <v>41</v>
      </c>
      <c r="I1105" s="2" t="inlineStr"/>
      <c r="J1105" s="2" t="inlineStr">
        <is>
          <t>да</t>
        </is>
      </c>
      <c r="K1105" s="3" t="inlineStr">
        <is>
          <t>По мотивам легенды об основании Вильнюса.</t>
        </is>
      </c>
      <c r="L1105" s="2" t="inlineStr">
        <is>
          <t>2026-10_мультфильмы_список_владельца.xlsx; https://animator.ru/db/?p=show_film&amp;fid=5843</t>
        </is>
      </c>
      <c r="M1105" s="2">
        <f>HYPERLINK("https://ru.wikipedia.org/w/index.php?search=%D0%9A%D0%BE%D0%B3%D0%B4%D0%B0-%D1%82%D0%BE%20%D0%B2%20%D0%9B%D0%B8%D1%82%D0%B2%D0%B5%201990%20%D1%84%D0%B8%D0%BB%D1%8C%D0%BC","искать")</f>
        <v/>
      </c>
      <c r="N1105" s="3" t="n"/>
      <c r="O1105" s="2" t="n"/>
      <c r="P1105" s="2" t="n"/>
    </row>
    <row r="1106">
      <c r="A1106" s="2" t="n">
        <v>1105</v>
      </c>
      <c r="B1106" s="2" t="inlineStr">
        <is>
          <t>не сюжет</t>
        </is>
      </c>
      <c r="C1106" s="2" t="n">
        <v>7820</v>
      </c>
      <c r="D1106" s="3" t="inlineStr">
        <is>
          <t>Луарсаб Таткаридзе</t>
        </is>
      </c>
      <c r="E1106" s="2" t="n">
        <v>1989</v>
      </c>
      <c r="F1106" s="2" t="inlineStr">
        <is>
          <t>телефильм</t>
        </is>
      </c>
      <c r="G1106" s="2" t="n"/>
      <c r="H1106" s="2" t="n">
        <v>42</v>
      </c>
      <c r="I1106" s="2" t="inlineStr"/>
      <c r="J1106" s="2" t="inlineStr">
        <is>
          <t>да</t>
        </is>
      </c>
      <c r="K1106" s="3" t="inlineStr">
        <is>
          <t>По роману Илья Чавчавадзе "Человек ли он".</t>
        </is>
      </c>
      <c r="L1106" s="2" t="inlineStr">
        <is>
          <t>Кино_СССР сводный каталог.xlsx: список телефильмов</t>
        </is>
      </c>
      <c r="M1106" s="2">
        <f>HYPERLINK("https://ru.wikipedia.org/w/index.php?search=%D0%9B%D1%83%D0%B0%D1%80%D1%81%D0%B0%D0%B1%20%D0%A2%D0%B0%D1%82%D0%BA%D0%B0%D1%80%D0%B8%D0%B4%D0%B7%D0%B5%201989%20%D1%84%D0%B8%D0%BB%D1%8C%D0%BC","искать")</f>
        <v/>
      </c>
      <c r="N1106" s="3" t="n"/>
      <c r="O1106" s="2" t="n"/>
      <c r="P1106" s="2" t="n"/>
    </row>
    <row r="1107">
      <c r="A1107" s="2" t="n">
        <v>1106</v>
      </c>
      <c r="B1107" s="2" t="inlineStr">
        <is>
          <t>не сюжет</t>
        </is>
      </c>
      <c r="C1107" s="2" t="n">
        <v>10708</v>
      </c>
      <c r="D1107" s="3" t="inlineStr">
        <is>
          <t>Отец и сын</t>
        </is>
      </c>
      <c r="E1107" s="2" t="n">
        <v>1977</v>
      </c>
      <c r="F1107" s="2" t="inlineStr">
        <is>
          <t>фильм-спектакль</t>
        </is>
      </c>
      <c r="G1107" s="2" t="n"/>
      <c r="H1107" s="2" t="n">
        <v>42</v>
      </c>
      <c r="I1107" s="2" t="inlineStr"/>
      <c r="J1107" s="2" t="inlineStr">
        <is>
          <t>да</t>
        </is>
      </c>
      <c r="K1107" s="3" t="inlineStr">
        <is>
          <t>По однимённой поэму Керима Курбаннепесова.</t>
        </is>
      </c>
      <c r="L1107" s="2" t="inlineStr">
        <is>
          <t>https://www.kino-teatr.ru/teatr/movie/144786/annot/</t>
        </is>
      </c>
      <c r="M1107" s="2">
        <f>HYPERLINK("https://ru.wikipedia.org/w/index.php?search=%D0%9E%D1%82%D0%B5%D1%86%20%D0%B8%20%D1%81%D1%8B%D0%BD%201977%20%D1%84%D0%B8%D0%BB%D1%8C%D0%BC","искать")</f>
        <v/>
      </c>
      <c r="N1107" s="3" t="n"/>
      <c r="O1107" s="2" t="n"/>
      <c r="P1107" s="2" t="n"/>
    </row>
    <row r="1108">
      <c r="A1108" s="2" t="n">
        <v>1107</v>
      </c>
      <c r="B1108" s="2" t="inlineStr">
        <is>
          <t>не сюжет</t>
        </is>
      </c>
      <c r="C1108" s="2" t="n">
        <v>10788</v>
      </c>
      <c r="D1108" s="3" t="inlineStr">
        <is>
          <t>Явка с повинной</t>
        </is>
      </c>
      <c r="E1108" s="2" t="n">
        <v>1978</v>
      </c>
      <c r="F1108" s="2" t="inlineStr">
        <is>
          <t>фильм-спектакль</t>
        </is>
      </c>
      <c r="G1108" s="2" t="inlineStr">
        <is>
          <t>Ленинградское телевидение</t>
        </is>
      </c>
      <c r="H1108" s="2" t="n">
        <v>42</v>
      </c>
      <c r="I1108" s="2" t="inlineStr"/>
      <c r="J1108" s="2" t="inlineStr">
        <is>
          <t>да</t>
        </is>
      </c>
      <c r="K1108" s="3" t="inlineStr">
        <is>
          <t>Детектив по одноименной повести Н.Леонова.</t>
        </is>
      </c>
      <c r="L1108" s="2" t="inlineStr">
        <is>
          <t>https://www.kino-teatr.ru/teatr/movie/16587/annot/</t>
        </is>
      </c>
      <c r="M1108" s="2">
        <f>HYPERLINK("https://ru.wikipedia.org/w/index.php?search=%D0%AF%D0%B2%D0%BA%D0%B0%20%D1%81%20%D0%BF%D0%BE%D0%B2%D0%B8%D0%BD%D0%BD%D0%BE%D0%B9%201978%20%D1%84%D0%B8%D0%BB%D1%8C%D0%BC","искать")</f>
        <v/>
      </c>
      <c r="N1108" s="3" t="n"/>
      <c r="O1108" s="2" t="n"/>
      <c r="P1108" s="2" t="n"/>
    </row>
    <row r="1109">
      <c r="A1109" s="2" t="n">
        <v>1108</v>
      </c>
      <c r="B1109" s="2" t="inlineStr">
        <is>
          <t>не сюжет</t>
        </is>
      </c>
      <c r="C1109" s="2" t="n">
        <v>11540</v>
      </c>
      <c r="D1109" s="3" t="inlineStr">
        <is>
          <t>Себе дороже</t>
        </is>
      </c>
      <c r="E1109" s="2" t="n">
        <v>1971</v>
      </c>
      <c r="F1109" s="2" t="inlineStr">
        <is>
          <t>мультфильм</t>
        </is>
      </c>
      <c r="G1109" s="2" t="inlineStr">
        <is>
          <t>Союзмультфильм</t>
        </is>
      </c>
      <c r="H1109" s="2" t="n">
        <v>42</v>
      </c>
      <c r="I1109" s="2" t="inlineStr"/>
      <c r="J1109" s="2" t="inlineStr">
        <is>
          <t>да</t>
        </is>
      </c>
      <c r="K1109" s="3" t="inlineStr">
        <is>
          <t>Фитиль №105.Сюжет о борьбе со спекуляцией.</t>
        </is>
      </c>
      <c r="L1109" s="2" t="inlineStr">
        <is>
          <t>2026-10_мультфильмы_список_владельца.xlsx; https://animator.ru/db/?p=show_film&amp;fid=2372</t>
        </is>
      </c>
      <c r="M1109" s="2">
        <f>HYPERLINK("https://ru.wikipedia.org/w/index.php?search=%D0%A1%D0%B5%D0%B1%D0%B5%20%D0%B4%D0%BE%D1%80%D0%BE%D0%B6%D0%B5%201971%20%D1%84%D0%B8%D0%BB%D1%8C%D0%BC","искать")</f>
        <v/>
      </c>
      <c r="N1109" s="3" t="n"/>
      <c r="O1109" s="2" t="n"/>
      <c r="P1109" s="2" t="n"/>
    </row>
    <row r="1110">
      <c r="A1110" s="2" t="n">
        <v>1109</v>
      </c>
      <c r="B1110" s="2" t="inlineStr">
        <is>
          <t>не сюжет</t>
        </is>
      </c>
      <c r="C1110" s="2" t="n">
        <v>11830</v>
      </c>
      <c r="D1110" s="3" t="inlineStr">
        <is>
          <t>Жила-была курочка</t>
        </is>
      </c>
      <c r="E1110" s="2" t="n">
        <v>1977</v>
      </c>
      <c r="F1110" s="2" t="inlineStr">
        <is>
          <t>мультфильм</t>
        </is>
      </c>
      <c r="G1110" s="2" t="inlineStr">
        <is>
          <t>Союзмультфильм</t>
        </is>
      </c>
      <c r="H1110" s="2" t="n">
        <v>42</v>
      </c>
      <c r="I1110" s="2" t="inlineStr"/>
      <c r="J1110" s="2" t="inlineStr">
        <is>
          <t>да</t>
        </is>
      </c>
      <c r="K1110" s="3" t="inlineStr">
        <is>
          <t>По мотивам русской сказки "Петушок в беде"</t>
        </is>
      </c>
      <c r="L1110" s="2" t="inlineStr">
        <is>
          <t>https://animator.ru/db/?p=show_film&amp;fid=2745</t>
        </is>
      </c>
      <c r="M1110" s="2">
        <f>HYPERLINK("https://ru.wikipedia.org/w/index.php?search=%D0%96%D0%B8%D0%BB%D0%B0-%D0%B1%D1%8B%D0%BB%D0%B0%20%D0%BA%D1%83%D1%80%D0%BE%D1%87%D0%BA%D0%B0%201977%20%D1%84%D0%B8%D0%BB%D1%8C%D0%BC","искать")</f>
        <v/>
      </c>
      <c r="N1110" s="3" t="n"/>
      <c r="O1110" s="2" t="n"/>
      <c r="P1110" s="2" t="n"/>
    </row>
    <row r="1111">
      <c r="A1111" s="2" t="n">
        <v>1110</v>
      </c>
      <c r="B1111" s="2" t="inlineStr">
        <is>
          <t>не сюжет</t>
        </is>
      </c>
      <c r="C1111" s="2" t="n">
        <v>11880</v>
      </c>
      <c r="D1111" s="3" t="inlineStr">
        <is>
          <t>Наш друг Пишичитай (выпуск 1)</t>
        </is>
      </c>
      <c r="E1111" s="2" t="n">
        <v>1978</v>
      </c>
      <c r="F1111" s="2" t="inlineStr">
        <is>
          <t>мультфильм</t>
        </is>
      </c>
      <c r="G1111" s="2" t="inlineStr">
        <is>
          <t>Союзмультфильм</t>
        </is>
      </c>
      <c r="H1111" s="2" t="n">
        <v>42</v>
      </c>
      <c r="I1111" s="2" t="inlineStr"/>
      <c r="J1111" s="2" t="inlineStr">
        <is>
          <t>да</t>
        </is>
      </c>
      <c r="K1111" s="3" t="inlineStr">
        <is>
          <t>Фильм знакомит малышей с азбукой и счетом.</t>
        </is>
      </c>
      <c r="L1111" s="2" t="inlineStr">
        <is>
          <t>2026-10_мультфильмы_список_владельца.xlsx; https://animator.ru/db/?p=show_film&amp;fid=2795</t>
        </is>
      </c>
      <c r="M1111" s="2">
        <f>HYPERLINK("https://ru.wikipedia.org/w/index.php?search=%D0%9D%D0%B0%D1%88%20%D0%B4%D1%80%D1%83%D0%B3%20%D0%9F%D0%B8%D1%88%D0%B8%D1%87%D0%B8%D1%82%D0%B0%D0%B9%20%28%D0%B2%D1%8B%D0%BF%D1%83%D1%81%D0%BA%201%29%201978%20%D1%84%D0%B8%D0%BB%D1%8C%D0%BC","искать")</f>
        <v/>
      </c>
      <c r="N1111" s="3" t="n"/>
      <c r="O1111" s="2" t="n"/>
      <c r="P1111" s="2" t="n"/>
    </row>
    <row r="1112">
      <c r="A1112" s="2" t="n">
        <v>1111</v>
      </c>
      <c r="B1112" s="2" t="inlineStr">
        <is>
          <t>не сюжет</t>
        </is>
      </c>
      <c r="C1112" s="2" t="n">
        <v>12021</v>
      </c>
      <c r="D1112" s="3" t="inlineStr">
        <is>
          <t>Про деда и бабу и курочку Рябу</t>
        </is>
      </c>
      <c r="E1112" s="2" t="n">
        <v>1982</v>
      </c>
      <c r="F1112" s="2" t="inlineStr">
        <is>
          <t>мультфильм</t>
        </is>
      </c>
      <c r="G1112" s="2" t="inlineStr">
        <is>
          <t>Союзмультфильм</t>
        </is>
      </c>
      <c r="H1112" s="2" t="n">
        <v>42</v>
      </c>
      <c r="I1112" s="2" t="inlineStr"/>
      <c r="J1112" s="2" t="inlineStr">
        <is>
          <t>да</t>
        </is>
      </c>
      <c r="K1112" s="3" t="inlineStr">
        <is>
          <t>Фильм по мотивам известной русской сказки.</t>
        </is>
      </c>
      <c r="L1112" s="2" t="inlineStr">
        <is>
          <t>https://animator.ru/db/?p=show_film&amp;fid=3135</t>
        </is>
      </c>
      <c r="M1112" s="2">
        <f>HYPERLINK("https://ru.wikipedia.org/w/index.php?search=%D0%9F%D1%80%D0%BE%20%D0%B4%D0%B5%D0%B4%D0%B0%20%D0%B8%20%D0%B1%D0%B0%D0%B1%D1%83%20%D0%B8%20%D0%BA%D1%83%D1%80%D0%BE%D1%87%D0%BA%D1%83%20%D0%A0%D1%8F%D0%B1%D1%83%201982%20%D1%84%D0%B8%D0%BB%D1%8C%D0%BC","искать")</f>
        <v/>
      </c>
      <c r="N1112" s="3" t="n"/>
      <c r="O1112" s="2" t="n"/>
      <c r="P1112" s="2" t="n"/>
    </row>
    <row r="1113">
      <c r="A1113" s="2" t="n">
        <v>1112</v>
      </c>
      <c r="B1113" s="2" t="inlineStr">
        <is>
          <t>не сюжет</t>
        </is>
      </c>
      <c r="C1113" s="2" t="n">
        <v>12031</v>
      </c>
      <c r="D1113" s="3" t="inlineStr">
        <is>
          <t>Веселая карусель n 14. И я бы мог</t>
        </is>
      </c>
      <c r="E1113" s="2" t="n">
        <v>1983</v>
      </c>
      <c r="F1113" s="2" t="inlineStr">
        <is>
          <t>мультфильм</t>
        </is>
      </c>
      <c r="G1113" s="2" t="inlineStr">
        <is>
          <t>Союзмультфильм</t>
        </is>
      </c>
      <c r="H1113" s="2" t="n">
        <v>42</v>
      </c>
      <c r="I1113" s="2" t="inlineStr"/>
      <c r="J1113" s="2" t="inlineStr">
        <is>
          <t>да</t>
        </is>
      </c>
      <c r="K1113" s="3" t="inlineStr">
        <is>
          <t>Сюжет из альманаха «ВЕСЕЛАЯ КАРУСЕЛЬ N 14»</t>
        </is>
      </c>
      <c r="L1113" s="2" t="inlineStr">
        <is>
          <t>https://animator.ru/db/?p=show_film&amp;fid=3146</t>
        </is>
      </c>
      <c r="M1113" s="2">
        <f>HYPERLINK("https://ru.wikipedia.org/w/index.php?search=%D0%92%D0%B5%D1%81%D0%B5%D0%BB%D0%B0%D1%8F%20%D0%BA%D0%B0%D1%80%D1%83%D1%81%D0%B5%D0%BB%D1%8C%20n%2014.%20%D0%98%20%D1%8F%20%D0%B1%D1%8B%20%D0%BC%D0%BE%D0%B3%201983%20%D1%84%D0%B8%D0%BB%D1%8C%D0%BC","искать")</f>
        <v/>
      </c>
      <c r="N1113" s="3" t="n"/>
      <c r="O1113" s="2" t="n"/>
      <c r="P1113" s="2" t="n"/>
    </row>
    <row r="1114">
      <c r="A1114" s="2" t="n">
        <v>1113</v>
      </c>
      <c r="B1114" s="2" t="inlineStr">
        <is>
          <t>не сюжет</t>
        </is>
      </c>
      <c r="C1114" s="2" t="n">
        <v>12037</v>
      </c>
      <c r="D1114" s="3" t="inlineStr">
        <is>
          <t>Веселая карусель n 15. Девочка и пираты</t>
        </is>
      </c>
      <c r="E1114" s="2" t="n">
        <v>1983</v>
      </c>
      <c r="F1114" s="2" t="inlineStr">
        <is>
          <t>мультфильм</t>
        </is>
      </c>
      <c r="G1114" s="2" t="inlineStr">
        <is>
          <t>Союзмультфильм</t>
        </is>
      </c>
      <c r="H1114" s="2" t="n">
        <v>42</v>
      </c>
      <c r="I1114" s="2" t="inlineStr"/>
      <c r="J1114" s="2" t="inlineStr">
        <is>
          <t>да</t>
        </is>
      </c>
      <c r="K1114" s="3" t="inlineStr">
        <is>
          <t>Сюжет из альманаха «ВЕСЕЛАЯ КАРУСЕЛЬ N 15»</t>
        </is>
      </c>
      <c r="L1114" s="2" t="inlineStr">
        <is>
          <t>https://animator.ru/db/?p=show_film&amp;fid=3152</t>
        </is>
      </c>
      <c r="M1114" s="2">
        <f>HYPERLINK("https://ru.wikipedia.org/w/index.php?search=%D0%92%D0%B5%D1%81%D0%B5%D0%BB%D0%B0%D1%8F%20%D0%BA%D0%B0%D1%80%D1%83%D1%81%D0%B5%D0%BB%D1%8C%20n%2015.%20%D0%94%D0%B5%D0%B2%D0%BE%D1%87%D0%BA%D0%B0%20%D0%B8%20%D0%BF%D0%B8%D1%80%D0%B0%D1%82%D1%8B%201983%20%D1%84%D0%B8%D0%BB%D1%8C%D0%BC","искать")</f>
        <v/>
      </c>
      <c r="N1114" s="3" t="n"/>
      <c r="O1114" s="2" t="n"/>
      <c r="P1114" s="2" t="n"/>
    </row>
    <row r="1115">
      <c r="A1115" s="2" t="n">
        <v>1114</v>
      </c>
      <c r="B1115" s="2" t="inlineStr">
        <is>
          <t>не сюжет</t>
        </is>
      </c>
      <c r="C1115" s="2" t="n">
        <v>12163</v>
      </c>
      <c r="D1115" s="3" t="inlineStr">
        <is>
          <t>Академик Иванов</t>
        </is>
      </c>
      <c r="E1115" s="2" t="n">
        <v>1986</v>
      </c>
      <c r="F1115" s="2" t="inlineStr">
        <is>
          <t>мультфильм</t>
        </is>
      </c>
      <c r="G1115" s="2" t="inlineStr">
        <is>
          <t>Союзмультфильм</t>
        </is>
      </c>
      <c r="H1115" s="2" t="n">
        <v>42</v>
      </c>
      <c r="I1115" s="2" t="inlineStr"/>
      <c r="J1115" s="2" t="inlineStr">
        <is>
          <t>да</t>
        </is>
      </c>
      <c r="K1115" s="3" t="inlineStr">
        <is>
          <t>По одноименному стихотворению Э.Успенского</t>
        </is>
      </c>
      <c r="L1115" s="2" t="inlineStr">
        <is>
          <t>https://animator.ru/db/?p=show_film&amp;fid=3279</t>
        </is>
      </c>
      <c r="M1115" s="2">
        <f>HYPERLINK("https://ru.wikipedia.org/w/index.php?search=%D0%90%D0%BA%D0%B0%D0%B4%D0%B5%D0%BC%D0%B8%D0%BA%20%D0%98%D0%B2%D0%B0%D0%BD%D0%BE%D0%B2%201986%20%D1%84%D0%B8%D0%BB%D1%8C%D0%BC","искать")</f>
        <v/>
      </c>
      <c r="N1115" s="3" t="n"/>
      <c r="O1115" s="2" t="n"/>
      <c r="P1115" s="2" t="inlineStr">
        <is>
          <t>ГФФ: «АКАДЕМИК ИВАНОВ» 1986 — по сверке другой фильм, не предложено</t>
        </is>
      </c>
    </row>
    <row r="1116">
      <c r="A1116" s="2" t="n">
        <v>1115</v>
      </c>
      <c r="B1116" s="2" t="inlineStr">
        <is>
          <t>не сюжет</t>
        </is>
      </c>
      <c r="C1116" s="2" t="n">
        <v>12185</v>
      </c>
      <c r="D1116" s="3" t="inlineStr">
        <is>
          <t>Веселая карусель n 18. Рыжая ворона</t>
        </is>
      </c>
      <c r="E1116" s="2" t="n">
        <v>1986</v>
      </c>
      <c r="F1116" s="2" t="inlineStr">
        <is>
          <t>мультфильм</t>
        </is>
      </c>
      <c r="G1116" s="2" t="inlineStr">
        <is>
          <t>Союзмультфильм</t>
        </is>
      </c>
      <c r="H1116" s="2" t="n">
        <v>42</v>
      </c>
      <c r="I1116" s="2" t="inlineStr"/>
      <c r="J1116" s="2" t="inlineStr">
        <is>
          <t>да</t>
        </is>
      </c>
      <c r="K1116" s="3" t="inlineStr">
        <is>
          <t>Сюжет из альманаха «ВЕСЕЛАЯ КАРУСЕЛЬ N 18»</t>
        </is>
      </c>
      <c r="L1116" s="2" t="inlineStr">
        <is>
          <t>https://animator.ru/db/?p=show_film&amp;fid=3301</t>
        </is>
      </c>
      <c r="M1116" s="2">
        <f>HYPERLINK("https://ru.wikipedia.org/w/index.php?search=%D0%92%D0%B5%D1%81%D0%B5%D0%BB%D0%B0%D1%8F%20%D0%BA%D0%B0%D1%80%D1%83%D1%81%D0%B5%D0%BB%D1%8C%20n%2018.%20%D0%A0%D1%8B%D0%B6%D0%B0%D1%8F%20%D0%B2%D0%BE%D1%80%D0%BE%D0%BD%D0%B0%201986%20%D1%84%D0%B8%D0%BB%D1%8C%D0%BC","искать")</f>
        <v/>
      </c>
      <c r="N1116" s="3" t="n"/>
      <c r="O1116" s="2" t="n"/>
      <c r="P1116" s="2" t="n"/>
    </row>
    <row r="1117">
      <c r="A1117" s="2" t="n">
        <v>1116</v>
      </c>
      <c r="B1117" s="2" t="inlineStr">
        <is>
          <t>не сюжет</t>
        </is>
      </c>
      <c r="C1117" s="2" t="n">
        <v>12270</v>
      </c>
      <c r="D1117" s="3" t="inlineStr">
        <is>
          <t>Веселая карусель n 22. Соло для луны и волка</t>
        </is>
      </c>
      <c r="E1117" s="2" t="n">
        <v>1990</v>
      </c>
      <c r="F1117" s="2" t="inlineStr">
        <is>
          <t>мультфильм</t>
        </is>
      </c>
      <c r="G1117" s="2" t="inlineStr">
        <is>
          <t>Союзмультфильм</t>
        </is>
      </c>
      <c r="H1117" s="2" t="n">
        <v>42</v>
      </c>
      <c r="I1117" s="2" t="inlineStr"/>
      <c r="J1117" s="2" t="inlineStr">
        <is>
          <t>да</t>
        </is>
      </c>
      <c r="K1117" s="3" t="inlineStr">
        <is>
          <t>Сюжет из альманаха «ВЕСЕЛАЯ КАРУСЕЛЬ N 22»</t>
        </is>
      </c>
      <c r="L1117" s="2" t="inlineStr">
        <is>
          <t>https://animator.ru/db/?p=show_film&amp;fid=3387</t>
        </is>
      </c>
      <c r="M1117" s="2">
        <f>HYPERLINK("https://ru.wikipedia.org/w/index.php?search=%D0%92%D0%B5%D1%81%D0%B5%D0%BB%D0%B0%D1%8F%20%D0%BA%D0%B0%D1%80%D1%83%D1%81%D0%B5%D0%BB%D1%8C%20n%2022.%20%D0%A1%D0%BE%D0%BB%D0%BE%20%D0%B4%D0%BB%D1%8F%20%D0%BB%D1%83%D0%BD%D1%8B%20%D0%B8%20%D0%B2%D0%BE%D0%BB%D0%BA%D0%B0%201990%20%D1%84%D0%B8%D0%BB%D1%8C%D0%BC","искать")</f>
        <v/>
      </c>
      <c r="N1117" s="3" t="n"/>
      <c r="O1117" s="2" t="n"/>
      <c r="P1117" s="2" t="n"/>
    </row>
    <row r="1118">
      <c r="A1118" s="2" t="n">
        <v>1117</v>
      </c>
      <c r="B1118" s="2" t="inlineStr">
        <is>
          <t>не сюжет</t>
        </is>
      </c>
      <c r="C1118" s="2" t="n">
        <v>12271</v>
      </c>
      <c r="D1118" s="3" t="inlineStr">
        <is>
          <t>Веселая карусель n 22. Военная тайна</t>
        </is>
      </c>
      <c r="E1118" s="2" t="n">
        <v>1990</v>
      </c>
      <c r="F1118" s="2" t="inlineStr">
        <is>
          <t>мультфильм</t>
        </is>
      </c>
      <c r="G1118" s="2" t="inlineStr">
        <is>
          <t>Союзмультфильм</t>
        </is>
      </c>
      <c r="H1118" s="2" t="n">
        <v>42</v>
      </c>
      <c r="I1118" s="2" t="inlineStr"/>
      <c r="J1118" s="2" t="inlineStr">
        <is>
          <t>да</t>
        </is>
      </c>
      <c r="K1118" s="3" t="inlineStr">
        <is>
          <t>Сюжет из альманаха «ВЕСЕЛАЯ КАРУСЕЛЬ N 22»</t>
        </is>
      </c>
      <c r="L1118" s="2" t="inlineStr">
        <is>
          <t>https://animator.ru/db/?p=show_film&amp;fid=3388</t>
        </is>
      </c>
      <c r="M1118" s="2">
        <f>HYPERLINK("https://ru.wikipedia.org/w/index.php?search=%D0%92%D0%B5%D1%81%D0%B5%D0%BB%D0%B0%D1%8F%20%D0%BA%D0%B0%D1%80%D1%83%D1%81%D0%B5%D0%BB%D1%8C%20n%2022.%20%D0%92%D0%BE%D0%B5%D0%BD%D0%BD%D0%B0%D1%8F%20%D1%82%D0%B0%D0%B9%D0%BD%D0%B0%201990%20%D1%84%D0%B8%D0%BB%D1%8C%D0%BC","искать")</f>
        <v/>
      </c>
      <c r="N1118" s="3" t="n"/>
      <c r="O1118" s="2" t="n"/>
      <c r="P1118" s="2" t="n"/>
    </row>
    <row r="1119">
      <c r="A1119" s="2" t="n">
        <v>1118</v>
      </c>
      <c r="B1119" s="2" t="inlineStr">
        <is>
          <t>не сюжет</t>
        </is>
      </c>
      <c r="C1119" s="2" t="n">
        <v>12509</v>
      </c>
      <c r="D1119" s="3" t="inlineStr">
        <is>
          <t>Поход</t>
        </is>
      </c>
      <c r="E1119" s="2" t="n">
        <v>1979</v>
      </c>
      <c r="F1119" s="2" t="inlineStr">
        <is>
          <t>мультфильм</t>
        </is>
      </c>
      <c r="G1119" s="2" t="inlineStr">
        <is>
          <t>КИЕВНАУЧФИЛЬМ</t>
        </is>
      </c>
      <c r="H1119" s="2" t="n">
        <v>42</v>
      </c>
      <c r="I1119" s="2" t="inlineStr"/>
      <c r="J1119" s="2" t="inlineStr">
        <is>
          <t>да</t>
        </is>
      </c>
      <c r="K1119" s="3" t="inlineStr">
        <is>
          <t>По мотивам одноименного рассказа А.Гайдара</t>
        </is>
      </c>
      <c r="L1119" s="2" t="inlineStr">
        <is>
          <t>https://animator.ru/db/?p=show_film&amp;fid=3684</t>
        </is>
      </c>
      <c r="M1119" s="2">
        <f>HYPERLINK("https://ru.wikipedia.org/w/index.php?search=%D0%9F%D0%BE%D1%85%D0%BE%D0%B4%201979%20%D1%84%D0%B8%D0%BB%D1%8C%D0%BC","искать")</f>
        <v/>
      </c>
      <c r="N1119" s="3" t="n"/>
      <c r="O1119" s="2" t="n"/>
      <c r="P1119" s="2" t="n"/>
    </row>
    <row r="1120">
      <c r="A1120" s="2" t="n">
        <v>1119</v>
      </c>
      <c r="B1120" s="2" t="inlineStr">
        <is>
          <t>не сюжет</t>
        </is>
      </c>
      <c r="C1120" s="2" t="n">
        <v>12593</v>
      </c>
      <c r="D1120" s="3" t="inlineStr">
        <is>
          <t>Цыпленок в клеточку</t>
        </is>
      </c>
      <c r="E1120" s="2" t="n">
        <v>1978</v>
      </c>
      <c r="F1120" s="2" t="inlineStr">
        <is>
          <t>мультфильм</t>
        </is>
      </c>
      <c r="G1120" s="2" t="inlineStr">
        <is>
          <t>КИЕВНАУЧФИЛЬМ</t>
        </is>
      </c>
      <c r="H1120" s="2" t="n">
        <v>42</v>
      </c>
      <c r="I1120" s="2" t="inlineStr"/>
      <c r="J1120" s="2" t="inlineStr">
        <is>
          <t>да</t>
        </is>
      </c>
      <c r="K1120" s="3" t="inlineStr">
        <is>
          <t>По одноименному стихотворению Э.Мошковской</t>
        </is>
      </c>
      <c r="L1120" s="2" t="inlineStr">
        <is>
          <t>https://animator.ru/db/?p=show_film&amp;fid=3773</t>
        </is>
      </c>
      <c r="M1120" s="2">
        <f>HYPERLINK("https://ru.wikipedia.org/w/index.php?search=%D0%A6%D1%8B%D0%BF%D0%BB%D0%B5%D0%BD%D0%BE%D0%BA%20%D0%B2%20%D0%BA%D0%BB%D0%B5%D1%82%D0%BE%D1%87%D0%BA%D1%83%201978%20%D1%84%D0%B8%D0%BB%D1%8C%D0%BC","искать")</f>
        <v/>
      </c>
      <c r="N1120" s="3" t="n"/>
      <c r="O1120" s="2" t="n"/>
      <c r="P1120" s="2" t="n"/>
    </row>
    <row r="1121">
      <c r="A1121" s="2" t="n">
        <v>1120</v>
      </c>
      <c r="B1121" s="2" t="inlineStr">
        <is>
          <t>не сюжет</t>
        </is>
      </c>
      <c r="C1121" s="2" t="n">
        <v>12670</v>
      </c>
      <c r="D1121" s="3" t="inlineStr">
        <is>
          <t>Квака-задавака</t>
        </is>
      </c>
      <c r="E1121" s="2" t="n">
        <v>1975</v>
      </c>
      <c r="F1121" s="2" t="inlineStr">
        <is>
          <t>мультфильм</t>
        </is>
      </c>
      <c r="G1121" s="2" t="inlineStr">
        <is>
          <t>БЕЛАРУСЬФИЛЬМ НАЦИОНАЛЬНАЯ КИНОСТУДИЯ - ГП</t>
        </is>
      </c>
      <c r="H1121" s="2" t="n">
        <v>42</v>
      </c>
      <c r="I1121" s="2" t="inlineStr"/>
      <c r="J1121" s="2" t="inlineStr">
        <is>
          <t>да</t>
        </is>
      </c>
      <c r="K1121" s="3" t="inlineStr">
        <is>
          <t>Мультфильм о лягушонке, который задавался.</t>
        </is>
      </c>
      <c r="L1121" s="2" t="inlineStr">
        <is>
          <t>https://animator.ru/db/?p=show_film&amp;fid=3865</t>
        </is>
      </c>
      <c r="M1121" s="2">
        <f>HYPERLINK("https://ru.wikipedia.org/w/index.php?search=%D0%9A%D0%B2%D0%B0%D0%BA%D0%B0-%D0%B7%D0%B0%D0%B4%D0%B0%D0%B2%D0%B0%D0%BA%D0%B0%201975%20%D1%84%D0%B8%D0%BB%D1%8C%D0%BC","искать")</f>
        <v/>
      </c>
      <c r="N1121" s="3" t="n"/>
      <c r="O1121" s="2" t="n"/>
      <c r="P1121" s="2" t="n"/>
    </row>
    <row r="1122">
      <c r="A1122" s="2" t="n">
        <v>1121</v>
      </c>
      <c r="B1122" s="2" t="inlineStr">
        <is>
          <t>не сюжет</t>
        </is>
      </c>
      <c r="C1122" s="2" t="n">
        <v>12961</v>
      </c>
      <c r="D1122" s="3" t="inlineStr">
        <is>
          <t>Зимний этюд</t>
        </is>
      </c>
      <c r="E1122" s="2" t="n">
        <v>1988</v>
      </c>
      <c r="F1122" s="2" t="inlineStr">
        <is>
          <t>мультфильм</t>
        </is>
      </c>
      <c r="G1122" s="2" t="inlineStr">
        <is>
          <t>ГРУЗИЯ-ФИЛЬМ - АО</t>
        </is>
      </c>
      <c r="H1122" s="2" t="n">
        <v>42</v>
      </c>
      <c r="I1122" s="2" t="inlineStr"/>
      <c r="J1122" s="2" t="inlineStr">
        <is>
          <t>да</t>
        </is>
      </c>
      <c r="K1122" s="3" t="inlineStr">
        <is>
          <t>О всепоглощающей силе любви (для взрослых)</t>
        </is>
      </c>
      <c r="L1122" s="2" t="inlineStr">
        <is>
          <t>https://animator.ru/db/?p=show_film&amp;fid=4191</t>
        </is>
      </c>
      <c r="M1122" s="2">
        <f>HYPERLINK("https://ru.wikipedia.org/w/index.php?search=%D0%97%D0%B8%D0%BC%D0%BD%D0%B8%D0%B9%20%D1%8D%D1%82%D1%8E%D0%B4%201988%20%D1%84%D0%B8%D0%BB%D1%8C%D0%BC","искать")</f>
        <v/>
      </c>
      <c r="N1122" s="3" t="n"/>
      <c r="O1122" s="2" t="n"/>
      <c r="P1122" s="2" t="n"/>
    </row>
    <row r="1123">
      <c r="A1123" s="2" t="n">
        <v>1122</v>
      </c>
      <c r="B1123" s="2" t="inlineStr">
        <is>
          <t>не сюжет</t>
        </is>
      </c>
      <c r="C1123" s="2" t="n">
        <v>12967</v>
      </c>
      <c r="D1123" s="3" t="inlineStr">
        <is>
          <t>Оплеуха</t>
        </is>
      </c>
      <c r="E1123" s="2" t="n">
        <v>1989</v>
      </c>
      <c r="F1123" s="2" t="inlineStr">
        <is>
          <t>мультфильм</t>
        </is>
      </c>
      <c r="G1123" s="2" t="inlineStr">
        <is>
          <t>ГРУЗИЯ-ФИЛЬМ - АО</t>
        </is>
      </c>
      <c r="H1123" s="2" t="n">
        <v>42</v>
      </c>
      <c r="I1123" s="2" t="inlineStr"/>
      <c r="J1123" s="2" t="inlineStr">
        <is>
          <t>да</t>
        </is>
      </c>
      <c r="K1123" s="3" t="inlineStr">
        <is>
          <t>Сборник сатирических новелл (для взрослых)</t>
        </is>
      </c>
      <c r="L1123" s="2" t="inlineStr">
        <is>
          <t>https://animator.ru/db/?p=show_film&amp;fid=4197</t>
        </is>
      </c>
      <c r="M1123" s="2">
        <f>HYPERLINK("https://ru.wikipedia.org/w/index.php?search=%D0%9E%D0%BF%D0%BB%D0%B5%D1%83%D1%85%D0%B0%201989%20%D1%84%D0%B8%D0%BB%D1%8C%D0%BC","искать")</f>
        <v/>
      </c>
      <c r="N1123" s="3" t="n"/>
      <c r="O1123" s="2" t="n"/>
      <c r="P1123" s="2" t="n"/>
    </row>
    <row r="1124">
      <c r="A1124" s="2" t="n">
        <v>1123</v>
      </c>
      <c r="B1124" s="2" t="inlineStr">
        <is>
          <t>не сюжет</t>
        </is>
      </c>
      <c r="C1124" s="2" t="n">
        <v>13016</v>
      </c>
      <c r="D1124" s="3" t="inlineStr">
        <is>
          <t>Охота</t>
        </is>
      </c>
      <c r="E1124" s="2" t="n">
        <v>1988</v>
      </c>
      <c r="F1124" s="2" t="inlineStr">
        <is>
          <t>мультфильм</t>
        </is>
      </c>
      <c r="G1124" s="2" t="inlineStr">
        <is>
          <t>КАЗАХФИЛЬМ</t>
        </is>
      </c>
      <c r="H1124" s="2" t="n">
        <v>42</v>
      </c>
      <c r="I1124" s="2" t="inlineStr"/>
      <c r="J1124" s="2" t="inlineStr">
        <is>
          <t>да</t>
        </is>
      </c>
      <c r="K1124" s="3" t="inlineStr">
        <is>
          <t>По мотивам повести Э.Сетон-Томпсона "Крэг"</t>
        </is>
      </c>
      <c r="L1124" s="2" t="inlineStr">
        <is>
          <t>https://animator.ru/db/?p=show_film&amp;fid=4248</t>
        </is>
      </c>
      <c r="M1124" s="2">
        <f>HYPERLINK("https://ru.wikipedia.org/w/index.php?search=%D0%9E%D1%85%D0%BE%D1%82%D0%B0%201988%20%D1%84%D0%B8%D0%BB%D1%8C%D0%BC","искать")</f>
        <v/>
      </c>
      <c r="N1124" s="3" t="n"/>
      <c r="O1124" s="2" t="n"/>
      <c r="P1124" s="2" t="n"/>
    </row>
    <row r="1125">
      <c r="A1125" s="2" t="n">
        <v>1124</v>
      </c>
      <c r="B1125" s="2" t="inlineStr">
        <is>
          <t>не сюжет</t>
        </is>
      </c>
      <c r="C1125" s="2" t="n">
        <v>13157</v>
      </c>
      <c r="D1125" s="3" t="inlineStr">
        <is>
          <t>Человек сильнее крепости</t>
        </is>
      </c>
      <c r="E1125" s="2" t="n">
        <v>1985</v>
      </c>
      <c r="F1125" s="2" t="inlineStr">
        <is>
          <t>мультфильм</t>
        </is>
      </c>
      <c r="G1125" s="2" t="inlineStr">
        <is>
          <t>КИРГИЗФИЛЬМ</t>
        </is>
      </c>
      <c r="H1125" s="2" t="n">
        <v>42</v>
      </c>
      <c r="I1125" s="2" t="inlineStr"/>
      <c r="J1125" s="2" t="inlineStr">
        <is>
          <t>да</t>
        </is>
      </c>
      <c r="K1125" s="3" t="inlineStr">
        <is>
          <t>По мотивам одноименной поэмы Дж.Боконбаева</t>
        </is>
      </c>
      <c r="L1125" s="2" t="inlineStr">
        <is>
          <t>https://animator.ru/db/?p=show_film&amp;fid=4394</t>
        </is>
      </c>
      <c r="M1125" s="2">
        <f>HYPERLINK("https://ru.wikipedia.org/w/index.php?search=%D0%A7%D0%B5%D0%BB%D0%BE%D0%B2%D0%B5%D0%BA%20%D1%81%D0%B8%D0%BB%D1%8C%D0%BD%D0%B5%D0%B5%20%D0%BA%D1%80%D0%B5%D0%BF%D0%BE%D1%81%D1%82%D0%B8%201985%20%D1%84%D0%B8%D0%BB%D1%8C%D0%BC","искать")</f>
        <v/>
      </c>
      <c r="N1125" s="3" t="n"/>
      <c r="O1125" s="2" t="n"/>
      <c r="P1125" s="2" t="n"/>
    </row>
    <row r="1126">
      <c r="A1126" s="2" t="n">
        <v>1125</v>
      </c>
      <c r="B1126" s="2" t="inlineStr">
        <is>
          <t>не сюжет</t>
        </is>
      </c>
      <c r="C1126" s="2" t="n">
        <v>13191</v>
      </c>
      <c r="D1126" s="3" t="inlineStr">
        <is>
          <t>След на земле</t>
        </is>
      </c>
      <c r="E1126" s="2" t="n">
        <v>1973</v>
      </c>
      <c r="F1126" s="2" t="inlineStr">
        <is>
          <t>мультфильм</t>
        </is>
      </c>
      <c r="G1126" s="2" t="inlineStr">
        <is>
          <t>УЗБЕКФИЛЬМ</t>
        </is>
      </c>
      <c r="H1126" s="2" t="n">
        <v>42</v>
      </c>
      <c r="I1126" s="2" t="inlineStr"/>
      <c r="J1126" s="2" t="inlineStr">
        <is>
          <t>да</t>
        </is>
      </c>
      <c r="K1126" s="3" t="inlineStr">
        <is>
          <t>По мотивам узбекской сказки "Три богатыря"</t>
        </is>
      </c>
      <c r="L1126" s="2" t="inlineStr">
        <is>
          <t>https://animator.ru/db/?p=show_film&amp;fid=4430</t>
        </is>
      </c>
      <c r="M1126" s="2">
        <f>HYPERLINK("https://ru.wikipedia.org/w/index.php?search=%D0%A1%D0%BB%D0%B5%D0%B4%20%D0%BD%D0%B0%20%D0%B7%D0%B5%D0%BC%D0%BB%D0%B5%201973%20%D1%84%D0%B8%D0%BB%D1%8C%D0%BC","искать")</f>
        <v/>
      </c>
      <c r="N1126" s="3" t="n"/>
      <c r="O1126" s="2" t="n"/>
      <c r="P1126" s="2" t="n"/>
    </row>
    <row r="1127">
      <c r="A1127" s="2" t="n">
        <v>1126</v>
      </c>
      <c r="B1127" s="2" t="inlineStr">
        <is>
          <t>не сюжет</t>
        </is>
      </c>
      <c r="C1127" s="2" t="n">
        <v>13281</v>
      </c>
      <c r="D1127" s="3" t="inlineStr">
        <is>
          <t>Река жизни</t>
        </is>
      </c>
      <c r="E1127" s="2" t="n">
        <v>1986</v>
      </c>
      <c r="F1127" s="2" t="inlineStr">
        <is>
          <t>мультфильм</t>
        </is>
      </c>
      <c r="G1127" s="2" t="inlineStr">
        <is>
          <t>ТАЛЛИННФИЛЬМ</t>
        </is>
      </c>
      <c r="H1127" s="2" t="n">
        <v>42</v>
      </c>
      <c r="I1127" s="2" t="inlineStr"/>
      <c r="J1127" s="2" t="inlineStr">
        <is>
          <t>да</t>
        </is>
      </c>
      <c r="K1127" s="3" t="inlineStr">
        <is>
          <t>Этюд на тему воникновения и развития жизни</t>
        </is>
      </c>
      <c r="L1127" s="2" t="inlineStr">
        <is>
          <t>https://animator.ru/db/?p=show_film&amp;fid=4538</t>
        </is>
      </c>
      <c r="M1127" s="2">
        <f>HYPERLINK("https://ru.wikipedia.org/w/index.php?search=%D0%A0%D0%B5%D0%BA%D0%B0%20%D0%B6%D0%B8%D0%B7%D0%BD%D0%B8%201986%20%D1%84%D0%B8%D0%BB%D1%8C%D0%BC","искать")</f>
        <v/>
      </c>
      <c r="N1127" s="3" t="n"/>
      <c r="O1127" s="2" t="n"/>
      <c r="P1127" s="2" t="n"/>
    </row>
    <row r="1128">
      <c r="A1128" s="2" t="n">
        <v>1127</v>
      </c>
      <c r="B1128" s="2" t="inlineStr">
        <is>
          <t>не сюжет</t>
        </is>
      </c>
      <c r="C1128" s="2" t="n">
        <v>13285</v>
      </c>
      <c r="D1128" s="3" t="inlineStr">
        <is>
          <t>Почему деревья не говорят</t>
        </is>
      </c>
      <c r="E1128" s="2" t="n">
        <v>1988</v>
      </c>
      <c r="F1128" s="2" t="inlineStr">
        <is>
          <t>мультфильм</t>
        </is>
      </c>
      <c r="G1128" s="2" t="inlineStr">
        <is>
          <t>ТАЛЛИННФИЛЬМ</t>
        </is>
      </c>
      <c r="H1128" s="2" t="n">
        <v>42</v>
      </c>
      <c r="I1128" s="2" t="inlineStr"/>
      <c r="J1128" s="2" t="inlineStr">
        <is>
          <t>да</t>
        </is>
      </c>
      <c r="K1128" s="3" t="inlineStr">
        <is>
          <t>О необходимости бережного отношения к лесу</t>
        </is>
      </c>
      <c r="L1128" s="2" t="inlineStr">
        <is>
          <t>https://animator.ru/db/?p=show_film&amp;fid=4542</t>
        </is>
      </c>
      <c r="M1128" s="2">
        <f>HYPERLINK("https://ru.wikipedia.org/w/index.php?search=%D0%9F%D0%BE%D1%87%D0%B5%D0%BC%D1%83%20%D0%B4%D0%B5%D1%80%D0%B5%D0%B2%D1%8C%D1%8F%20%D0%BD%D0%B5%20%D0%B3%D0%BE%D0%B2%D0%BE%D1%80%D1%8F%D1%82%201988%20%D1%84%D0%B8%D0%BB%D1%8C%D0%BC","искать")</f>
        <v/>
      </c>
      <c r="N1128" s="3" t="n"/>
      <c r="O1128" s="2" t="n"/>
      <c r="P1128" s="2" t="n"/>
    </row>
    <row r="1129">
      <c r="A1129" s="2" t="n">
        <v>1128</v>
      </c>
      <c r="B1129" s="2" t="inlineStr">
        <is>
          <t>не сюжет</t>
        </is>
      </c>
      <c r="C1129" s="2" t="n">
        <v>13508</v>
      </c>
      <c r="D1129" s="3" t="inlineStr">
        <is>
          <t>Мой приятель светофор</t>
        </is>
      </c>
      <c r="E1129" s="2" t="n">
        <v>1978</v>
      </c>
      <c r="F1129" s="2" t="inlineStr">
        <is>
          <t>мультфильм</t>
        </is>
      </c>
      <c r="G1129" s="2" t="inlineStr">
        <is>
          <t>ЭКРАН</t>
        </is>
      </c>
      <c r="H1129" s="2" t="n">
        <v>42</v>
      </c>
      <c r="I1129" s="2" t="inlineStr"/>
      <c r="J1129" s="2" t="inlineStr">
        <is>
          <t>да</t>
        </is>
      </c>
      <c r="K1129" s="3" t="inlineStr">
        <is>
          <t>О правилах уличного движения. Для малышей.</t>
        </is>
      </c>
      <c r="L1129" s="2" t="inlineStr">
        <is>
          <t>2026-10_мультфильмы_список_владельца.xlsx; https://animator.ru/db/?p=show_film&amp;fid=4798</t>
        </is>
      </c>
      <c r="M1129" s="2">
        <f>HYPERLINK("https://ru.wikipedia.org/w/index.php?search=%D0%9C%D0%BE%D0%B9%20%D0%BF%D1%80%D0%B8%D1%8F%D1%82%D0%B5%D0%BB%D1%8C%20%D1%81%D0%B2%D0%B5%D1%82%D0%BE%D1%84%D0%BE%D1%80%201978%20%D1%84%D0%B8%D0%BB%D1%8C%D0%BC","искать")</f>
        <v/>
      </c>
      <c r="N1129" s="3" t="n"/>
      <c r="O1129" s="2" t="n"/>
      <c r="P1129" s="2" t="n"/>
    </row>
    <row r="1130">
      <c r="A1130" s="2" t="n">
        <v>1129</v>
      </c>
      <c r="B1130" s="2" t="inlineStr">
        <is>
          <t>не сюжет</t>
        </is>
      </c>
      <c r="C1130" s="2" t="n">
        <v>13526</v>
      </c>
      <c r="D1130" s="3" t="inlineStr">
        <is>
          <t>Почему слоны</t>
        </is>
      </c>
      <c r="E1130" s="2" t="n">
        <v>1980</v>
      </c>
      <c r="F1130" s="2" t="inlineStr">
        <is>
          <t>мультфильм</t>
        </is>
      </c>
      <c r="G1130" s="2" t="inlineStr">
        <is>
          <t>ЭКРАН</t>
        </is>
      </c>
      <c r="H1130" s="2" t="n">
        <v>42</v>
      </c>
      <c r="I1130" s="2" t="inlineStr"/>
      <c r="J1130" s="2" t="inlineStr">
        <is>
          <t>да</t>
        </is>
      </c>
      <c r="K1130" s="3" t="inlineStr">
        <is>
          <t>По мотивам повести Б.Житкова "Что я видел"</t>
        </is>
      </c>
      <c r="L1130" s="2" t="inlineStr">
        <is>
          <t>https://animator.ru/db/?p=show_film&amp;fid=4845</t>
        </is>
      </c>
      <c r="M1130" s="2">
        <f>HYPERLINK("https://ru.wikipedia.org/w/index.php?search=%D0%9F%D0%BE%D1%87%D0%B5%D0%BC%D1%83%20%D1%81%D0%BB%D0%BE%D0%BD%D1%8B%201980%20%D1%84%D0%B8%D0%BB%D1%8C%D0%BC","искать")</f>
        <v/>
      </c>
      <c r="N1130" s="3" t="n"/>
      <c r="O1130" s="2" t="n"/>
      <c r="P1130" s="2" t="n"/>
    </row>
    <row r="1131">
      <c r="A1131" s="2" t="n">
        <v>1130</v>
      </c>
      <c r="B1131" s="2" t="inlineStr">
        <is>
          <t>не сюжет</t>
        </is>
      </c>
      <c r="C1131" s="2" t="n">
        <v>13654</v>
      </c>
      <c r="D1131" s="3" t="inlineStr">
        <is>
          <t>В набежавшую волну</t>
        </is>
      </c>
      <c r="E1131" s="2" t="n">
        <v>1986</v>
      </c>
      <c r="F1131" s="2" t="inlineStr">
        <is>
          <t>мультфильм</t>
        </is>
      </c>
      <c r="G1131" s="2" t="inlineStr">
        <is>
          <t>ЭКРАН</t>
        </is>
      </c>
      <c r="H1131" s="2" t="n">
        <v>42</v>
      </c>
      <c r="I1131" s="2" t="inlineStr"/>
      <c r="J1131" s="2" t="inlineStr">
        <is>
          <t>да</t>
        </is>
      </c>
      <c r="K1131" s="3" t="inlineStr">
        <is>
          <t>О необходимости бережного отношения к воде</t>
        </is>
      </c>
      <c r="L1131" s="2" t="inlineStr">
        <is>
          <t>https://animator.ru/db/?p=show_film&amp;fid=5046</t>
        </is>
      </c>
      <c r="M1131" s="2">
        <f>HYPERLINK("https://ru.wikipedia.org/w/index.php?search=%D0%92%20%D0%BD%D0%B0%D0%B1%D0%B5%D0%B6%D0%B0%D0%B2%D1%88%D1%83%D1%8E%20%D0%B2%D0%BE%D0%BB%D0%BD%D1%83%201986%20%D1%84%D0%B8%D0%BB%D1%8C%D0%BC","искать")</f>
        <v/>
      </c>
      <c r="N1131" s="3" t="n"/>
      <c r="O1131" s="2" t="n"/>
      <c r="P1131" s="2" t="n"/>
    </row>
    <row r="1132">
      <c r="A1132" s="2" t="n">
        <v>1131</v>
      </c>
      <c r="B1132" s="2" t="inlineStr">
        <is>
          <t>не сюжет</t>
        </is>
      </c>
      <c r="C1132" s="2" t="n">
        <v>13704</v>
      </c>
      <c r="D1132" s="3" t="inlineStr">
        <is>
          <t>Знаменитый утенок Тим</t>
        </is>
      </c>
      <c r="E1132" s="2" t="n">
        <v>1973</v>
      </c>
      <c r="F1132" s="2" t="inlineStr">
        <is>
          <t>мультфильм</t>
        </is>
      </c>
      <c r="G1132" s="2" t="inlineStr">
        <is>
          <t>ЭКРАН</t>
        </is>
      </c>
      <c r="H1132" s="2" t="n">
        <v>42</v>
      </c>
      <c r="I1132" s="2" t="inlineStr"/>
      <c r="J1132" s="2" t="inlineStr">
        <is>
          <t>да</t>
        </is>
      </c>
      <c r="K1132" s="3" t="inlineStr">
        <is>
          <t>По моттивам сказки Э.Блайтона. Для малышей</t>
        </is>
      </c>
      <c r="L1132" s="2" t="inlineStr">
        <is>
          <t>https://animator.ru/db/?p=show_film&amp;fid=5097</t>
        </is>
      </c>
      <c r="M1132" s="2">
        <f>HYPERLINK("https://ru.wikipedia.org/w/index.php?search=%D0%97%D0%BD%D0%B0%D0%BC%D0%B5%D0%BD%D0%B8%D1%82%D1%8B%D0%B9%20%D1%83%D1%82%D0%B5%D0%BD%D0%BE%D0%BA%20%D0%A2%D0%B8%D0%BC%201973%20%D1%84%D0%B8%D0%BB%D1%8C%D0%BC","искать")</f>
        <v/>
      </c>
      <c r="N1132" s="3" t="n"/>
      <c r="O1132" s="2" t="n"/>
      <c r="P1132" s="2" t="n"/>
    </row>
    <row r="1133">
      <c r="A1133" s="2" t="n">
        <v>1132</v>
      </c>
      <c r="B1133" s="2" t="inlineStr">
        <is>
          <t>не сюжет</t>
        </is>
      </c>
      <c r="C1133" s="2" t="n">
        <v>13842</v>
      </c>
      <c r="D1133" s="3" t="inlineStr">
        <is>
          <t>Правила дорожного движения</t>
        </is>
      </c>
      <c r="E1133" s="2" t="n">
        <v>1988</v>
      </c>
      <c r="F1133" s="2" t="inlineStr">
        <is>
          <t>мультфильм</t>
        </is>
      </c>
      <c r="G1133" s="2" t="inlineStr">
        <is>
          <t>ЭКРАН</t>
        </is>
      </c>
      <c r="H1133" s="2" t="n">
        <v>42</v>
      </c>
      <c r="I1133" s="2" t="inlineStr"/>
      <c r="J1133" s="2" t="inlineStr">
        <is>
          <t>да</t>
        </is>
      </c>
      <c r="K1133" s="3" t="inlineStr">
        <is>
          <t>Фильм-плакат о правилах дорожного движения</t>
        </is>
      </c>
      <c r="L1133" s="2" t="inlineStr">
        <is>
          <t>https://animator.ru/db/?p=show_film&amp;fid=5235</t>
        </is>
      </c>
      <c r="M1133" s="2">
        <f>HYPERLINK("https://ru.wikipedia.org/w/index.php?search=%D0%9F%D1%80%D0%B0%D0%B2%D0%B8%D0%BB%D0%B0%20%D0%B4%D0%BE%D1%80%D0%BE%D0%B6%D0%BD%D0%BE%D0%B3%D0%BE%20%D0%B4%D0%B2%D0%B8%D0%B6%D0%B5%D0%BD%D0%B8%D1%8F%201988%20%D1%84%D0%B8%D0%BB%D1%8C%D0%BC","искать")</f>
        <v/>
      </c>
      <c r="N1133" s="3" t="n"/>
      <c r="O1133" s="2" t="n"/>
      <c r="P1133" s="2" t="n"/>
    </row>
    <row r="1134">
      <c r="A1134" s="2" t="n">
        <v>1133</v>
      </c>
      <c r="B1134" s="2" t="inlineStr">
        <is>
          <t>не сюжет</t>
        </is>
      </c>
      <c r="C1134" s="2" t="n">
        <v>14237</v>
      </c>
      <c r="D1134" s="3" t="inlineStr">
        <is>
          <t>Дилли Далли в стране Перпендикула</t>
        </is>
      </c>
      <c r="E1134" s="2" t="n">
        <v>1974</v>
      </c>
      <c r="F1134" s="2" t="inlineStr">
        <is>
          <t>мультфильм</t>
        </is>
      </c>
      <c r="G1134" s="2" t="inlineStr">
        <is>
          <t>ГОСТЕЛЕРАДИО ЛАТВ. ССР ("ТЕЛЕФИЛЬМ-РИГА")</t>
        </is>
      </c>
      <c r="H1134" s="2" t="n">
        <v>42</v>
      </c>
      <c r="I1134" s="2" t="inlineStr"/>
      <c r="J1134" s="2" t="inlineStr">
        <is>
          <t>да</t>
        </is>
      </c>
      <c r="K1134" s="3" t="inlineStr">
        <is>
          <t>Первый фильм цикла "Дилли Дали". Для детей</t>
        </is>
      </c>
      <c r="L1134" s="2" t="inlineStr">
        <is>
          <t>https://animator.ru/db/?p=show_film&amp;fid=5660</t>
        </is>
      </c>
      <c r="M1134" s="2">
        <f>HYPERLINK("https://ru.wikipedia.org/w/index.php?search=%D0%94%D0%B8%D0%BB%D0%BB%D0%B8%20%D0%94%D0%B0%D0%BB%D0%BB%D0%B8%20%D0%B2%20%D1%81%D1%82%D1%80%D0%B0%D0%BD%D0%B5%20%D0%9F%D0%B5%D1%80%D0%BF%D0%B5%D0%BD%D0%B4%D0%B8%D0%BA%D1%83%D0%BB%D0%B0%201974%20%D1%84%D0%B8%D0%BB%D1%8C%D0%BC","искать")</f>
        <v/>
      </c>
      <c r="N1134" s="3" t="n"/>
      <c r="O1134" s="2" t="n"/>
      <c r="P1134" s="2" t="n"/>
    </row>
    <row r="1135">
      <c r="A1135" s="2" t="n">
        <v>1134</v>
      </c>
      <c r="B1135" s="2" t="inlineStr">
        <is>
          <t>не сюжет</t>
        </is>
      </c>
      <c r="C1135" s="2" t="n">
        <v>14398</v>
      </c>
      <c r="D1135" s="3" t="inlineStr">
        <is>
          <t>Жизнь в блюзе</t>
        </is>
      </c>
      <c r="E1135" s="2" t="n">
        <v>1991</v>
      </c>
      <c r="F1135" s="2" t="inlineStr">
        <is>
          <t>мультфильм</t>
        </is>
      </c>
      <c r="G1135" s="2" t="inlineStr">
        <is>
          <t>Свердловская киностудия</t>
        </is>
      </c>
      <c r="H1135" s="2" t="n">
        <v>42</v>
      </c>
      <c r="I1135" s="2" t="inlineStr"/>
      <c r="J1135" s="2" t="inlineStr">
        <is>
          <t>да</t>
        </is>
      </c>
      <c r="K1135" s="3" t="inlineStr">
        <is>
          <t>Мультипликационные зарисовки на тему блюза</t>
        </is>
      </c>
      <c r="L1135" s="2" t="inlineStr">
        <is>
          <t>https://gosfilmofond.ru/films/249441/</t>
        </is>
      </c>
      <c r="M1135" s="2">
        <f>HYPERLINK("https://ru.wikipedia.org/w/index.php?search=%D0%96%D0%B8%D0%B7%D0%BD%D1%8C%20%D0%B2%20%D0%B1%D0%BB%D1%8E%D0%B7%D0%B5%201991%20%D1%84%D0%B8%D0%BB%D1%8C%D0%BC","искать")</f>
        <v/>
      </c>
      <c r="N1135" s="3" t="n"/>
      <c r="O1135" s="2" t="n"/>
      <c r="P1135" s="2" t="n"/>
    </row>
    <row r="1136">
      <c r="A1136" s="2" t="n">
        <v>1135</v>
      </c>
      <c r="B1136" s="2" t="inlineStr">
        <is>
          <t>не сюжет</t>
        </is>
      </c>
      <c r="C1136" s="2" t="n">
        <v>10016</v>
      </c>
      <c r="D1136" s="3" t="inlineStr">
        <is>
          <t>Поездка к сыну</t>
        </is>
      </c>
      <c r="E1136" s="2" t="n">
        <v>1986</v>
      </c>
      <c r="F1136" s="2" t="inlineStr">
        <is>
          <t>кинофильм</t>
        </is>
      </c>
      <c r="G1136" s="2" t="inlineStr">
        <is>
          <t>Мосфильм</t>
        </is>
      </c>
      <c r="H1136" s="2" t="n">
        <v>43</v>
      </c>
      <c r="I1136" s="2" t="inlineStr"/>
      <c r="J1136" s="2" t="inlineStr">
        <is>
          <t>да</t>
        </is>
      </c>
      <c r="K1136" s="3" t="inlineStr">
        <is>
          <t>По рассказу Г. Николаева «По важному делу».</t>
        </is>
      </c>
      <c r="L1136" s="2" t="inlineStr">
        <is>
          <t>https://www.kino-teatr.ru/short/movie/sov/12915/annot/</t>
        </is>
      </c>
      <c r="M1136" s="2">
        <f>HYPERLINK("https://ru.wikipedia.org/w/index.php?search=%D0%9F%D0%BE%D0%B5%D0%B7%D0%B4%D0%BA%D0%B0%20%D0%BA%20%D1%81%D1%8B%D0%BD%D1%83%201986%20%D1%84%D0%B8%D0%BB%D1%8C%D0%BC","искать")</f>
        <v/>
      </c>
      <c r="N1136" s="3" t="n"/>
      <c r="O1136" s="2" t="n"/>
      <c r="P1136" s="2" t="n"/>
    </row>
    <row r="1137">
      <c r="A1137" s="2" t="n">
        <v>1136</v>
      </c>
      <c r="B1137" s="2" t="inlineStr">
        <is>
          <t>не сюжет</t>
        </is>
      </c>
      <c r="C1137" s="2" t="n">
        <v>10356</v>
      </c>
      <c r="D1137" s="3" t="inlineStr">
        <is>
          <t>Драма на охоте</t>
        </is>
      </c>
      <c r="E1137" s="2" t="n">
        <v>1970</v>
      </c>
      <c r="F1137" s="2" t="inlineStr">
        <is>
          <t>фильм-спектакль</t>
        </is>
      </c>
      <c r="G1137" s="2" t="inlineStr">
        <is>
          <t>Центральное телевидение</t>
        </is>
      </c>
      <c r="H1137" s="2" t="n">
        <v>43</v>
      </c>
      <c r="I1137" s="2" t="inlineStr"/>
      <c r="J1137" s="2" t="inlineStr">
        <is>
          <t>да</t>
        </is>
      </c>
      <c r="K1137" s="3" t="inlineStr">
        <is>
          <t>По мотивам одноименной повести А.П. Чехова.</t>
        </is>
      </c>
      <c r="L1137" s="2" t="inlineStr">
        <is>
          <t>https://www.kino-teatr.ru/teatr/movie/2024/annot/</t>
        </is>
      </c>
      <c r="M1137" s="2">
        <f>HYPERLINK("https://ru.wikipedia.org/w/index.php?search=%D0%94%D1%80%D0%B0%D0%BC%D0%B0%20%D0%BD%D0%B0%20%D0%BE%D1%85%D0%BE%D1%82%D0%B5%201970%20%D1%84%D0%B8%D0%BB%D1%8C%D0%BC","искать")</f>
        <v/>
      </c>
      <c r="N1137" s="3" t="n"/>
      <c r="O1137" s="2" t="n"/>
      <c r="P1137" s="2" t="n"/>
    </row>
    <row r="1138">
      <c r="A1138" s="2" t="n">
        <v>1137</v>
      </c>
      <c r="B1138" s="2" t="inlineStr">
        <is>
          <t>не сюжет</t>
        </is>
      </c>
      <c r="C1138" s="2" t="n">
        <v>10823</v>
      </c>
      <c r="D1138" s="3" t="inlineStr">
        <is>
          <t>Хозяин</t>
        </is>
      </c>
      <c r="E1138" s="2" t="n">
        <v>1979</v>
      </c>
      <c r="F1138" s="2" t="inlineStr">
        <is>
          <t>фильм-спектакль</t>
        </is>
      </c>
      <c r="G1138" s="2" t="n"/>
      <c r="H1138" s="2" t="n">
        <v>43</v>
      </c>
      <c r="I1138" s="2" t="inlineStr"/>
      <c r="J1138" s="2" t="inlineStr">
        <is>
          <t>да</t>
        </is>
      </c>
      <c r="K1138" s="3" t="inlineStr">
        <is>
          <t>По одноименной пьесе Ивана Карпенко-Карого.</t>
        </is>
      </c>
      <c r="L1138" s="2" t="inlineStr">
        <is>
          <t>https://www.kino-teatr.ru/teatr/movie/86338/annot/</t>
        </is>
      </c>
      <c r="M1138" s="2">
        <f>HYPERLINK("https://ru.wikipedia.org/w/index.php?search=%D0%A5%D0%BE%D0%B7%D1%8F%D0%B8%D0%BD%201979%20%D1%84%D0%B8%D0%BB%D1%8C%D0%BC","искать")</f>
        <v/>
      </c>
      <c r="N1138" s="3" t="n"/>
      <c r="O1138" s="2" t="n"/>
      <c r="P1138" s="2" t="n"/>
    </row>
    <row r="1139">
      <c r="A1139" s="2" t="n">
        <v>1138</v>
      </c>
      <c r="B1139" s="2" t="inlineStr">
        <is>
          <t>не сюжет</t>
        </is>
      </c>
      <c r="C1139" s="2" t="n">
        <v>11076</v>
      </c>
      <c r="D1139" s="3" t="inlineStr">
        <is>
          <t>Рейс 8585</t>
        </is>
      </c>
      <c r="E1139" s="2" t="n">
        <v>1985</v>
      </c>
      <c r="F1139" s="2" t="inlineStr">
        <is>
          <t>фильм-спектакль</t>
        </is>
      </c>
      <c r="G1139" s="2" t="inlineStr">
        <is>
          <t>Ленинградское ТВ</t>
        </is>
      </c>
      <c r="H1139" s="2" t="n">
        <v>43</v>
      </c>
      <c r="I1139" s="2" t="inlineStr"/>
      <c r="J1139" s="2" t="inlineStr">
        <is>
          <t>да</t>
        </is>
      </c>
      <c r="K1139" s="3" t="inlineStr">
        <is>
          <t>Телеспектакль из ТВ-серии "Следы остаются".</t>
        </is>
      </c>
      <c r="L1139" s="2" t="inlineStr">
        <is>
          <t>https://www.kino-teatr.ru/teatr/movie/79271/annot/</t>
        </is>
      </c>
      <c r="M1139" s="2">
        <f>HYPERLINK("https://ru.wikipedia.org/w/index.php?search=%D0%A0%D0%B5%D0%B9%D1%81%208585%201985%20%D1%84%D0%B8%D0%BB%D1%8C%D0%BC","искать")</f>
        <v/>
      </c>
      <c r="N1139" s="3" t="n"/>
      <c r="O1139" s="2" t="n"/>
      <c r="P1139" s="2" t="n"/>
    </row>
    <row r="1140">
      <c r="A1140" s="2" t="n">
        <v>1139</v>
      </c>
      <c r="B1140" s="2" t="inlineStr">
        <is>
          <t>не сюжет</t>
        </is>
      </c>
      <c r="C1140" s="2" t="n">
        <v>11085</v>
      </c>
      <c r="D1140" s="3" t="inlineStr">
        <is>
          <t>Суета</t>
        </is>
      </c>
      <c r="E1140" s="2" t="n">
        <v>1985</v>
      </c>
      <c r="F1140" s="2" t="inlineStr">
        <is>
          <t>фильм-спектакль</t>
        </is>
      </c>
      <c r="G1140" s="2" t="inlineStr">
        <is>
          <t>Укртелефильм, Гостелерадио СССР</t>
        </is>
      </c>
      <c r="H1140" s="2" t="n">
        <v>43</v>
      </c>
      <c r="I1140" s="2" t="inlineStr"/>
      <c r="J1140" s="2" t="inlineStr">
        <is>
          <t>да</t>
        </is>
      </c>
      <c r="K1140" s="3" t="inlineStr">
        <is>
          <t>Фильм-спектакль по пьесе И.Карпенко-Карого.</t>
        </is>
      </c>
      <c r="L1140" s="2" t="inlineStr">
        <is>
          <t>https://www.kino-teatr.ru/teatr/movie/13625/annot/</t>
        </is>
      </c>
      <c r="M1140" s="2">
        <f>HYPERLINK("https://ru.wikipedia.org/w/index.php?search=%D0%A1%D1%83%D0%B5%D1%82%D0%B0%201985%20%D1%84%D0%B8%D0%BB%D1%8C%D0%BC","искать")</f>
        <v/>
      </c>
      <c r="N1140" s="3" t="n"/>
      <c r="O1140" s="2" t="n"/>
      <c r="P1140" s="2" t="n"/>
    </row>
    <row r="1141">
      <c r="A1141" s="2" t="n">
        <v>1140</v>
      </c>
      <c r="B1141" s="2" t="inlineStr">
        <is>
          <t>не сюжет</t>
        </is>
      </c>
      <c r="C1141" s="2" t="n">
        <v>11542</v>
      </c>
      <c r="D1141" s="3" t="inlineStr">
        <is>
          <t>СЛОВА И БУКВЫ ("Фитиль" N 4)</t>
        </is>
      </c>
      <c r="E1141" s="2" t="n">
        <v>1962</v>
      </c>
      <c r="F1141" s="2" t="inlineStr">
        <is>
          <t>мультфильм</t>
        </is>
      </c>
      <c r="G1141" s="2" t="inlineStr">
        <is>
          <t>Союзмультфильм</t>
        </is>
      </c>
      <c r="H1141" s="2" t="n">
        <v>43</v>
      </c>
      <c r="I1141" s="2" t="inlineStr"/>
      <c r="J1141" s="2" t="inlineStr">
        <is>
          <t>да</t>
        </is>
      </c>
      <c r="K1141" s="3" t="inlineStr">
        <is>
          <t>Мультплакат о содержании понятий СССР и США</t>
        </is>
      </c>
      <c r="L1141" s="2" t="inlineStr">
        <is>
          <t>https://animator.ru/db/?p=show_film&amp;fid=2374</t>
        </is>
      </c>
      <c r="M1141" s="2">
        <f>HYPERLINK("https://ru.wikipedia.org/w/index.php?search=%D0%A1%D0%9B%D0%9E%D0%92%D0%90%20%D0%98%20%D0%91%D0%A3%D0%9A%D0%92%D0%AB%20%28%22%D0%A4%D0%B8%D1%82%D0%B8%D0%BB%D1%8C%22%20N%204%29%201962%20%D1%84%D0%B8%D0%BB%D1%8C%D0%BC","искать")</f>
        <v/>
      </c>
      <c r="N1141" s="3" t="n"/>
      <c r="O1141" s="2" t="n"/>
      <c r="P1141" s="2" t="n"/>
    </row>
    <row r="1142">
      <c r="A1142" s="2" t="n">
        <v>1141</v>
      </c>
      <c r="B1142" s="2" t="inlineStr">
        <is>
          <t>не сюжет</t>
        </is>
      </c>
      <c r="C1142" s="2" t="n">
        <v>11730</v>
      </c>
      <c r="D1142" s="3" t="inlineStr">
        <is>
          <t>Вершки и корешки</t>
        </is>
      </c>
      <c r="E1142" s="2" t="n">
        <v>1974</v>
      </c>
      <c r="F1142" s="2" t="inlineStr">
        <is>
          <t>мультфильм</t>
        </is>
      </c>
      <c r="G1142" s="2" t="inlineStr">
        <is>
          <t>Союзмультфильм</t>
        </is>
      </c>
      <c r="H1142" s="2" t="n">
        <v>43</v>
      </c>
      <c r="I1142" s="2" t="inlineStr"/>
      <c r="J1142" s="2" t="inlineStr">
        <is>
          <t>да</t>
        </is>
      </c>
      <c r="K1142" s="3" t="inlineStr">
        <is>
          <t>По сказке об умном мужике и ленивом медведе</t>
        </is>
      </c>
      <c r="L1142" s="2" t="inlineStr">
        <is>
          <t>https://animator.ru/db/?p=show_film&amp;fid=2644</t>
        </is>
      </c>
      <c r="M1142" s="2">
        <f>HYPERLINK("https://ru.wikipedia.org/w/index.php?search=%D0%92%D0%B5%D1%80%D1%88%D0%BA%D0%B8%20%D0%B8%20%D0%BA%D0%BE%D1%80%D0%B5%D1%88%D0%BA%D0%B8%201974%20%D1%84%D0%B8%D0%BB%D1%8C%D0%BC","искать")</f>
        <v/>
      </c>
      <c r="N1142" s="3" t="n"/>
      <c r="O1142" s="2" t="n"/>
      <c r="P1142" s="2" t="n"/>
    </row>
    <row r="1143">
      <c r="A1143" s="2" t="n">
        <v>1142</v>
      </c>
      <c r="B1143" s="2" t="inlineStr">
        <is>
          <t>не сюжет</t>
        </is>
      </c>
      <c r="C1143" s="2" t="n">
        <v>11944</v>
      </c>
      <c r="D1143" s="3" t="inlineStr">
        <is>
          <t>Наш друг Пишичитай (выпуск 3)</t>
        </is>
      </c>
      <c r="E1143" s="2" t="n">
        <v>1980</v>
      </c>
      <c r="F1143" s="2" t="inlineStr">
        <is>
          <t>мультфильм</t>
        </is>
      </c>
      <c r="G1143" s="2" t="inlineStr">
        <is>
          <t>Союзмультфильм</t>
        </is>
      </c>
      <c r="H1143" s="2" t="n">
        <v>43</v>
      </c>
      <c r="I1143" s="2" t="inlineStr"/>
      <c r="J1143" s="2" t="inlineStr">
        <is>
          <t>да</t>
        </is>
      </c>
      <c r="K1143" s="3" t="inlineStr">
        <is>
          <t>Продолжение истории про веселую грамматику.</t>
        </is>
      </c>
      <c r="L1143" s="2" t="inlineStr">
        <is>
          <t>2026-10_мультфильмы_список_владельца.xlsx; https://animator.ru/db/?p=show_film&amp;fid=2860</t>
        </is>
      </c>
      <c r="M1143" s="2">
        <f>HYPERLINK("https://ru.wikipedia.org/w/index.php?search=%D0%9D%D0%B0%D1%88%20%D0%B4%D1%80%D1%83%D0%B3%20%D0%9F%D0%B8%D1%88%D0%B8%D1%87%D0%B8%D1%82%D0%B0%D0%B9%20%28%D0%B2%D1%8B%D0%BF%D1%83%D1%81%D0%BA%203%29%201980%20%D1%84%D0%B8%D0%BB%D1%8C%D0%BC","искать")</f>
        <v/>
      </c>
      <c r="N1143" s="3" t="n"/>
      <c r="O1143" s="2" t="n"/>
      <c r="P1143" s="2" t="n"/>
    </row>
    <row r="1144">
      <c r="A1144" s="2" t="n">
        <v>1143</v>
      </c>
      <c r="B1144" s="2" t="inlineStr">
        <is>
          <t>не сюжет</t>
        </is>
      </c>
      <c r="C1144" s="2" t="n">
        <v>12541</v>
      </c>
      <c r="D1144" s="3" t="inlineStr">
        <is>
          <t>Свадьба Свички</t>
        </is>
      </c>
      <c r="E1144" s="2" t="n">
        <v>1982</v>
      </c>
      <c r="F1144" s="2" t="inlineStr">
        <is>
          <t>мультфильм</t>
        </is>
      </c>
      <c r="G1144" s="2" t="inlineStr">
        <is>
          <t>КИЕВНАУЧФИЛЬМ</t>
        </is>
      </c>
      <c r="H1144" s="2" t="n">
        <v>43</v>
      </c>
      <c r="I1144" s="2" t="inlineStr"/>
      <c r="J1144" s="2" t="inlineStr">
        <is>
          <t>да</t>
        </is>
      </c>
      <c r="K1144" s="3" t="inlineStr">
        <is>
          <t>По мотивам одноименной пьесы Ивана Кочерги.</t>
        </is>
      </c>
      <c r="L1144" s="2" t="inlineStr">
        <is>
          <t>2026-10_мультфильмы_список_владельца.xlsx; https://animator.ru/db/?p=show_film&amp;fid=3719</t>
        </is>
      </c>
      <c r="M1144" s="2">
        <f>HYPERLINK("https://ru.wikipedia.org/w/index.php?search=%D0%A1%D0%B2%D0%B0%D0%B4%D1%8C%D0%B1%D0%B0%20%D0%A1%D0%B2%D0%B8%D1%87%D0%BA%D0%B8%201982%20%D1%84%D0%B8%D0%BB%D1%8C%D0%BC","искать")</f>
        <v/>
      </c>
      <c r="N1144" s="3" t="n"/>
      <c r="O1144" s="2" t="n"/>
      <c r="P1144" s="2" t="n"/>
    </row>
    <row r="1145">
      <c r="A1145" s="2" t="n">
        <v>1144</v>
      </c>
      <c r="B1145" s="2" t="inlineStr">
        <is>
          <t>не сюжет</t>
        </is>
      </c>
      <c r="C1145" s="2" t="n">
        <v>13012</v>
      </c>
      <c r="D1145" s="3" t="inlineStr">
        <is>
          <t>Прощай, мой друг!</t>
        </is>
      </c>
      <c r="E1145" s="2" t="n">
        <v>1988</v>
      </c>
      <c r="F1145" s="2" t="inlineStr">
        <is>
          <t>мультфильм</t>
        </is>
      </c>
      <c r="G1145" s="2" t="inlineStr">
        <is>
          <t>КАЗАХФИЛЬМ</t>
        </is>
      </c>
      <c r="H1145" s="2" t="n">
        <v>43</v>
      </c>
      <c r="I1145" s="2" t="inlineStr"/>
      <c r="J1145" s="2" t="inlineStr">
        <is>
          <t>да</t>
        </is>
      </c>
      <c r="K1145" s="3" t="inlineStr">
        <is>
          <t>На основе рисунков и стихов Тараса Шевченко</t>
        </is>
      </c>
      <c r="L1145" s="2" t="inlineStr">
        <is>
          <t>https://animator.ru/db/?p=show_film&amp;fid=4244</t>
        </is>
      </c>
      <c r="M1145" s="2">
        <f>HYPERLINK("https://ru.wikipedia.org/w/index.php?search=%D0%9F%D1%80%D0%BE%D1%89%D0%B0%D0%B9%2C%20%D0%BC%D0%BE%D0%B9%20%D0%B4%D1%80%D1%83%D0%B3%21%201988%20%D1%84%D0%B8%D0%BB%D1%8C%D0%BC","искать")</f>
        <v/>
      </c>
      <c r="N1145" s="3" t="n"/>
      <c r="O1145" s="2" t="n"/>
      <c r="P1145" s="2" t="n"/>
    </row>
    <row r="1146">
      <c r="A1146" s="2" t="n">
        <v>1145</v>
      </c>
      <c r="B1146" s="2" t="inlineStr">
        <is>
          <t>не сюжет</t>
        </is>
      </c>
      <c r="C1146" s="2" t="n">
        <v>13022</v>
      </c>
      <c r="D1146" s="3" t="inlineStr">
        <is>
          <t>Шел по дорожке воробей</t>
        </is>
      </c>
      <c r="E1146" s="2" t="n">
        <v>1989</v>
      </c>
      <c r="F1146" s="2" t="inlineStr">
        <is>
          <t>мультфильм</t>
        </is>
      </c>
      <c r="G1146" s="2" t="inlineStr">
        <is>
          <t>КАЗАХФИЛЬМ</t>
        </is>
      </c>
      <c r="H1146" s="2" t="n">
        <v>43</v>
      </c>
      <c r="I1146" s="2" t="inlineStr"/>
      <c r="J1146" s="2" t="inlineStr">
        <is>
          <t>да</t>
        </is>
      </c>
      <c r="K1146" s="3" t="inlineStr">
        <is>
          <t>По мотивам казахской сказки "Котыр Торгай".</t>
        </is>
      </c>
      <c r="L1146" s="2" t="inlineStr">
        <is>
          <t>2026-10_мультфильмы_список_владельца.xlsx; https://animator.ru/db/?p=show_film&amp;fid=4254</t>
        </is>
      </c>
      <c r="M1146" s="2">
        <f>HYPERLINK("https://ru.wikipedia.org/w/index.php?search=%D0%A8%D0%B5%D0%BB%20%D0%BF%D0%BE%20%D0%B4%D0%BE%D1%80%D0%BE%D0%B6%D0%BA%D0%B5%20%D0%B2%D0%BE%D1%80%D0%BE%D0%B1%D0%B5%D0%B9%201989%20%D1%84%D0%B8%D0%BB%D1%8C%D0%BC","искать")</f>
        <v/>
      </c>
      <c r="N1146" s="3" t="n"/>
      <c r="O1146" s="2" t="n"/>
      <c r="P1146" s="2" t="n"/>
    </row>
    <row r="1147">
      <c r="A1147" s="2" t="n">
        <v>1146</v>
      </c>
      <c r="B1147" s="2" t="inlineStr">
        <is>
          <t>не сюжет</t>
        </is>
      </c>
      <c r="C1147" s="2" t="n">
        <v>13090</v>
      </c>
      <c r="D1147" s="3" t="inlineStr">
        <is>
          <t>Буду ждать тебя</t>
        </is>
      </c>
      <c r="E1147" s="2" t="n">
        <v>1988</v>
      </c>
      <c r="F1147" s="2" t="inlineStr">
        <is>
          <t>мультфильм</t>
        </is>
      </c>
      <c r="G1147" s="2" t="inlineStr">
        <is>
          <t>РИЖСКАЯ КИНОСТУДИЯ</t>
        </is>
      </c>
      <c r="H1147" s="2" t="n">
        <v>43</v>
      </c>
      <c r="I1147" s="2" t="inlineStr"/>
      <c r="J1147" s="2" t="inlineStr">
        <is>
          <t>да</t>
        </is>
      </c>
      <c r="K1147" s="3" t="inlineStr">
        <is>
          <t>По мотивам рассказа Я.Эзериня. Для взрослых</t>
        </is>
      </c>
      <c r="L1147" s="2" t="inlineStr">
        <is>
          <t>https://animator.ru/db/?p=show_film&amp;fid=4322</t>
        </is>
      </c>
      <c r="M1147" s="2">
        <f>HYPERLINK("https://ru.wikipedia.org/w/index.php?search=%D0%91%D1%83%D0%B4%D1%83%20%D0%B6%D0%B4%D0%B0%D1%82%D1%8C%20%D1%82%D0%B5%D0%B1%D1%8F%201988%20%D1%84%D0%B8%D0%BB%D1%8C%D0%BC","искать")</f>
        <v/>
      </c>
      <c r="N1147" s="3" t="n"/>
      <c r="O1147" s="2" t="n"/>
      <c r="P1147" s="2" t="n"/>
    </row>
    <row r="1148">
      <c r="A1148" s="2" t="n">
        <v>1147</v>
      </c>
      <c r="B1148" s="2" t="inlineStr">
        <is>
          <t>не сюжет</t>
        </is>
      </c>
      <c r="C1148" s="2" t="n">
        <v>13096</v>
      </c>
      <c r="D1148" s="3" t="inlineStr">
        <is>
          <t>Два родника</t>
        </is>
      </c>
      <c r="E1148" s="2" t="n">
        <v>1983</v>
      </c>
      <c r="F1148" s="2" t="inlineStr">
        <is>
          <t>мультфильм</t>
        </is>
      </c>
      <c r="G1148" s="2" t="inlineStr">
        <is>
          <t>МОЛДОВА-ФИЛЬМ</t>
        </is>
      </c>
      <c r="H1148" s="2" t="n">
        <v>43</v>
      </c>
      <c r="I1148" s="2" t="inlineStr"/>
      <c r="J1148" s="2" t="inlineStr">
        <is>
          <t>да</t>
        </is>
      </c>
      <c r="K1148" s="3" t="inlineStr">
        <is>
          <t>По мотивам поэмы-сказки Ем.Букова "Андриеш"</t>
        </is>
      </c>
      <c r="L1148" s="2" t="inlineStr">
        <is>
          <t>https://animator.ru/db/?p=show_film&amp;fid=4328</t>
        </is>
      </c>
      <c r="M1148" s="2">
        <f>HYPERLINK("https://ru.wikipedia.org/w/index.php?search=%D0%94%D0%B2%D0%B0%20%D1%80%D0%BE%D0%B4%D0%BD%D0%B8%D0%BA%D0%B0%201983%20%D1%84%D0%B8%D0%BB%D1%8C%D0%BC","искать")</f>
        <v/>
      </c>
      <c r="N1148" s="3" t="n"/>
      <c r="O1148" s="2" t="n"/>
      <c r="P1148" s="2" t="n"/>
    </row>
    <row r="1149">
      <c r="A1149" s="2" t="n">
        <v>1148</v>
      </c>
      <c r="B1149" s="2" t="inlineStr">
        <is>
          <t>не сюжет</t>
        </is>
      </c>
      <c r="C1149" s="2" t="n">
        <v>13120</v>
      </c>
      <c r="D1149" s="3" t="inlineStr">
        <is>
          <t>Ружья, которые не стреляют</t>
        </is>
      </c>
      <c r="E1149" s="2" t="n">
        <v>1986</v>
      </c>
      <c r="F1149" s="2" t="inlineStr">
        <is>
          <t>мультфильм</t>
        </is>
      </c>
      <c r="G1149" s="2" t="inlineStr">
        <is>
          <t>МОЛДОВА-ФИЛЬМ</t>
        </is>
      </c>
      <c r="H1149" s="2" t="n">
        <v>43</v>
      </c>
      <c r="I1149" s="2" t="inlineStr"/>
      <c r="J1149" s="2" t="inlineStr">
        <is>
          <t>да</t>
        </is>
      </c>
      <c r="K1149" s="3" t="inlineStr">
        <is>
          <t>О лучших в мире ружьях, которые не стреляют</t>
        </is>
      </c>
      <c r="L1149" s="2" t="inlineStr">
        <is>
          <t>https://animator.ru/db/?p=show_film&amp;fid=4352</t>
        </is>
      </c>
      <c r="M1149" s="2">
        <f>HYPERLINK("https://ru.wikipedia.org/w/index.php?search=%D0%A0%D1%83%D0%B6%D1%8C%D1%8F%2C%20%D0%BA%D0%BE%D1%82%D0%BE%D1%80%D1%8B%D0%B5%20%D0%BD%D0%B5%20%D1%81%D1%82%D1%80%D0%B5%D0%BB%D1%8F%D1%8E%D1%82%201986%20%D1%84%D0%B8%D0%BB%D1%8C%D0%BC","искать")</f>
        <v/>
      </c>
      <c r="N1149" s="3" t="n"/>
      <c r="O1149" s="2" t="n"/>
      <c r="P1149" s="2" t="n"/>
    </row>
    <row r="1150">
      <c r="A1150" s="2" t="n">
        <v>1149</v>
      </c>
      <c r="B1150" s="2" t="inlineStr">
        <is>
          <t>не сюжет</t>
        </is>
      </c>
      <c r="C1150" s="2" t="n">
        <v>13173</v>
      </c>
      <c r="D1150" s="3" t="inlineStr">
        <is>
          <t>Волшебный смычок</t>
        </is>
      </c>
      <c r="E1150" s="2" t="n">
        <v>1975</v>
      </c>
      <c r="F1150" s="2" t="inlineStr">
        <is>
          <t>мультфильм</t>
        </is>
      </c>
      <c r="G1150" s="2" t="inlineStr">
        <is>
          <t>УЗБЕКФИЛЬМ</t>
        </is>
      </c>
      <c r="H1150" s="2" t="n">
        <v>43</v>
      </c>
      <c r="I1150" s="2" t="inlineStr"/>
      <c r="J1150" s="2" t="inlineStr">
        <is>
          <t>да</t>
        </is>
      </c>
      <c r="K1150" s="3" t="inlineStr">
        <is>
          <t>О мальчике, который мечтает стать скрипачем</t>
        </is>
      </c>
      <c r="L1150" s="2" t="inlineStr">
        <is>
          <t>https://animator.ru/db/?p=show_film&amp;fid=4411</t>
        </is>
      </c>
      <c r="M1150" s="2">
        <f>HYPERLINK("https://ru.wikipedia.org/w/index.php?search=%D0%92%D0%BE%D0%BB%D1%88%D0%B5%D0%B1%D0%BD%D1%8B%D0%B9%20%D1%81%D0%BC%D1%8B%D1%87%D0%BE%D0%BA%201975%20%D1%84%D0%B8%D0%BB%D1%8C%D0%BC","искать")</f>
        <v/>
      </c>
      <c r="N1150" s="3" t="n"/>
      <c r="O1150" s="2" t="n"/>
      <c r="P1150" s="2" t="n"/>
    </row>
    <row r="1151">
      <c r="A1151" s="2" t="n">
        <v>1150</v>
      </c>
      <c r="B1151" s="2" t="inlineStr">
        <is>
          <t>не сюжет</t>
        </is>
      </c>
      <c r="C1151" s="2" t="n">
        <v>13343</v>
      </c>
      <c r="D1151" s="3" t="inlineStr">
        <is>
          <t>Большой Тылл</t>
        </is>
      </c>
      <c r="E1151" s="2" t="n">
        <v>1980</v>
      </c>
      <c r="F1151" s="2" t="inlineStr">
        <is>
          <t>мультфильм</t>
        </is>
      </c>
      <c r="G1151" s="2" t="inlineStr">
        <is>
          <t>ТАЛЛИННФИЛЬМ</t>
        </is>
      </c>
      <c r="H1151" s="2" t="n">
        <v>43</v>
      </c>
      <c r="I1151" s="2" t="inlineStr"/>
      <c r="J1151" s="2" t="inlineStr">
        <is>
          <t>да</t>
        </is>
      </c>
      <c r="K1151" s="3" t="inlineStr">
        <is>
          <t>По мотивам легенд о богатыре Большом Тылле.</t>
        </is>
      </c>
      <c r="L1151" s="2" t="inlineStr">
        <is>
          <t>2026-10_мультфильмы_список_владельца.xlsx; https://animator.ru/db/?p=show_film&amp;fid=4617</t>
        </is>
      </c>
      <c r="M1151" s="2">
        <f>HYPERLINK("https://ru.wikipedia.org/w/index.php?search=%D0%91%D0%BE%D0%BB%D1%8C%D1%88%D0%BE%D0%B9%20%D0%A2%D1%8B%D0%BB%D0%BB%201980%20%D1%84%D0%B8%D0%BB%D1%8C%D0%BC","искать")</f>
        <v/>
      </c>
      <c r="N1151" s="3" t="n"/>
      <c r="O1151" s="2" t="n"/>
      <c r="P1151" s="2" t="n"/>
    </row>
    <row r="1152">
      <c r="A1152" s="2" t="n">
        <v>1151</v>
      </c>
      <c r="B1152" s="2" t="inlineStr">
        <is>
          <t>не сюжет</t>
        </is>
      </c>
      <c r="C1152" s="2" t="n">
        <v>13423</v>
      </c>
      <c r="D1152" s="3" t="inlineStr">
        <is>
          <t>Шиворот-навыворот</t>
        </is>
      </c>
      <c r="E1152" s="2" t="n">
        <v>1981</v>
      </c>
      <c r="F1152" s="2" t="inlineStr">
        <is>
          <t>мультфильм</t>
        </is>
      </c>
      <c r="G1152" s="2" t="inlineStr">
        <is>
          <t>ЭКРАН</t>
        </is>
      </c>
      <c r="H1152" s="2" t="n">
        <v>43</v>
      </c>
      <c r="I1152" s="2" t="inlineStr"/>
      <c r="J1152" s="2" t="inlineStr">
        <is>
          <t>да</t>
        </is>
      </c>
      <c r="K1152" s="3" t="inlineStr">
        <is>
          <t>О чертенке, который не умел делать пакости.</t>
        </is>
      </c>
      <c r="L1152" s="2" t="inlineStr">
        <is>
          <t>2026-10_мультфильмы_список_владельца.xlsx; https://animator.ru/db/?p=show_film&amp;fid=4704</t>
        </is>
      </c>
      <c r="M1152" s="2">
        <f>HYPERLINK("https://ru.wikipedia.org/w/index.php?search=%D0%A8%D0%B8%D0%B2%D0%BE%D1%80%D0%BE%D1%82-%D0%BD%D0%B0%D0%B2%D1%8B%D0%B2%D0%BE%D1%80%D0%BE%D1%82%201981%20%D1%84%D0%B8%D0%BB%D1%8C%D0%BC","искать")</f>
        <v/>
      </c>
      <c r="N1152" s="3" t="n"/>
      <c r="O1152" s="2" t="n"/>
      <c r="P1152" s="2" t="n"/>
    </row>
    <row r="1153">
      <c r="A1153" s="2" t="n">
        <v>1152</v>
      </c>
      <c r="B1153" s="2" t="inlineStr">
        <is>
          <t>не сюжет</t>
        </is>
      </c>
      <c r="C1153" s="2" t="n">
        <v>13541</v>
      </c>
      <c r="D1153" s="3" t="inlineStr">
        <is>
          <t>БОЛТУН-"АКТИВИСТ" ("Фитиль N 112)</t>
        </is>
      </c>
      <c r="E1153" s="2" t="n">
        <v>1971</v>
      </c>
      <c r="F1153" s="2" t="inlineStr">
        <is>
          <t>мультфильм</t>
        </is>
      </c>
      <c r="G1153" s="2" t="inlineStr">
        <is>
          <t>АЗАНФИЛЬМ, Союзмультфильм</t>
        </is>
      </c>
      <c r="H1153" s="2" t="n">
        <v>43</v>
      </c>
      <c r="I1153" s="2" t="inlineStr"/>
      <c r="J1153" s="2" t="inlineStr">
        <is>
          <t>да</t>
        </is>
      </c>
      <c r="K1153" s="3" t="inlineStr">
        <is>
          <t>О людях, уклоняющихся от борьбы с пьянством</t>
        </is>
      </c>
      <c r="L1153" s="2" t="inlineStr">
        <is>
          <t>https://animator.ru/db/?p=show_film&amp;fid=4861</t>
        </is>
      </c>
      <c r="M1153" s="2">
        <f>HYPERLINK("https://ru.wikipedia.org/w/index.php?search=%D0%91%D0%9E%D0%9B%D0%A2%D0%A3%D0%9D-%22%D0%90%D0%9A%D0%A2%D0%98%D0%92%D0%98%D0%A1%D0%A2%22%20%28%22%D0%A4%D0%B8%D1%82%D0%B8%D0%BB%D1%8C%20N%20112%29%201971%20%D1%84%D0%B8%D0%BB%D1%8C%D0%BC","искать")</f>
        <v/>
      </c>
      <c r="N1153" s="3" t="n"/>
      <c r="O1153" s="2" t="n"/>
      <c r="P1153" s="2" t="n"/>
    </row>
    <row r="1154">
      <c r="A1154" s="2" t="n">
        <v>1153</v>
      </c>
      <c r="B1154" s="2" t="inlineStr">
        <is>
          <t>не сюжет</t>
        </is>
      </c>
      <c r="C1154" s="2" t="n">
        <v>13639</v>
      </c>
      <c r="D1154" s="3" t="inlineStr">
        <is>
          <t>Бумеранг</t>
        </is>
      </c>
      <c r="E1154" s="2" t="n">
        <v>1976</v>
      </c>
      <c r="F1154" s="2" t="inlineStr">
        <is>
          <t>мультфильм</t>
        </is>
      </c>
      <c r="G1154" s="2" t="inlineStr">
        <is>
          <t>ЭКРАН</t>
        </is>
      </c>
      <c r="H1154" s="2" t="n">
        <v>43</v>
      </c>
      <c r="I1154" s="2" t="inlineStr"/>
      <c r="J1154" s="2" t="inlineStr">
        <is>
          <t>да</t>
        </is>
      </c>
      <c r="K1154" s="3" t="inlineStr">
        <is>
          <t>О некоторых пороках западного образа жизни.</t>
        </is>
      </c>
      <c r="L1154" s="2" t="inlineStr">
        <is>
          <t>2026-10_мультфильмы_список_владельца.xlsx; https://animator.ru/db/?p=show_film&amp;fid=5031</t>
        </is>
      </c>
      <c r="M1154" s="2">
        <f>HYPERLINK("https://ru.wikipedia.org/w/index.php?search=%D0%91%D1%83%D0%BC%D0%B5%D1%80%D0%B0%D0%BD%D0%B3%201976%20%D1%84%D0%B8%D0%BB%D1%8C%D0%BC","искать")</f>
        <v/>
      </c>
      <c r="N1154" s="3" t="n"/>
      <c r="O1154" s="2" t="n"/>
      <c r="P1154" s="2" t="n"/>
    </row>
    <row r="1155">
      <c r="A1155" s="2" t="n">
        <v>1154</v>
      </c>
      <c r="B1155" s="2" t="inlineStr">
        <is>
          <t>не сюжет</t>
        </is>
      </c>
      <c r="C1155" s="2" t="n">
        <v>13686</v>
      </c>
      <c r="D1155" s="3" t="inlineStr">
        <is>
          <t>Домовой и хозяйка</t>
        </is>
      </c>
      <c r="E1155" s="2" t="n">
        <v>1988</v>
      </c>
      <c r="F1155" s="2" t="inlineStr">
        <is>
          <t>мультфильм</t>
        </is>
      </c>
      <c r="G1155" s="2" t="inlineStr">
        <is>
          <t>ЭКРАН</t>
        </is>
      </c>
      <c r="H1155" s="2" t="n">
        <v>43</v>
      </c>
      <c r="I1155" s="2" t="inlineStr"/>
      <c r="J1155" s="2" t="inlineStr">
        <is>
          <t>да</t>
        </is>
      </c>
      <c r="K1155" s="3" t="inlineStr">
        <is>
          <t>По одноименной сказке Андерсена.
Кукольный</t>
        </is>
      </c>
      <c r="L1155" s="2" t="inlineStr">
        <is>
          <t>2026-10_мультфильмы_список_владельца.xlsx; https://animator.ru/db/?p=show_film&amp;fid=5078</t>
        </is>
      </c>
      <c r="M1155" s="2">
        <f>HYPERLINK("https://ru.wikipedia.org/w/index.php?search=%D0%94%D0%BE%D0%BC%D0%BE%D0%B2%D0%BE%D0%B9%20%D0%B8%20%D1%85%D0%BE%D0%B7%D1%8F%D0%B9%D0%BA%D0%B0%201988%20%D1%84%D0%B8%D0%BB%D1%8C%D0%BC","искать")</f>
        <v/>
      </c>
      <c r="N1155" s="3" t="n"/>
      <c r="O1155" s="2" t="n"/>
      <c r="P1155" s="2" t="n"/>
    </row>
    <row r="1156">
      <c r="A1156" s="2" t="n">
        <v>1155</v>
      </c>
      <c r="B1156" s="2" t="inlineStr">
        <is>
          <t>не сюжет</t>
        </is>
      </c>
      <c r="C1156" s="2" t="n">
        <v>13780</v>
      </c>
      <c r="D1156" s="3" t="inlineStr">
        <is>
          <t>На суше и на море</t>
        </is>
      </c>
      <c r="E1156" s="2" t="n">
        <v>1988</v>
      </c>
      <c r="F1156" s="2" t="inlineStr">
        <is>
          <t>мультфильм</t>
        </is>
      </c>
      <c r="G1156" s="2" t="inlineStr">
        <is>
          <t>ЭКРАН</t>
        </is>
      </c>
      <c r="H1156" s="2" t="n">
        <v>43</v>
      </c>
      <c r="I1156" s="2" t="inlineStr"/>
      <c r="J1156" s="2" t="inlineStr">
        <is>
          <t>да</t>
        </is>
      </c>
      <c r="K1156" s="3" t="inlineStr">
        <is>
          <t>О неверном муже и верной жене. Для взрослых</t>
        </is>
      </c>
      <c r="L1156" s="2" t="inlineStr">
        <is>
          <t>https://animator.ru/db/?p=show_film&amp;fid=5173</t>
        </is>
      </c>
      <c r="M1156" s="2">
        <f>HYPERLINK("https://ru.wikipedia.org/w/index.php?search=%D0%9D%D0%B0%20%D1%81%D1%83%D1%88%D0%B5%20%D0%B8%20%D0%BD%D0%B0%20%D0%BC%D0%BE%D1%80%D0%B5%201988%20%D1%84%D0%B8%D0%BB%D1%8C%D0%BC","искать")</f>
        <v/>
      </c>
      <c r="N1156" s="3" t="n"/>
      <c r="O1156" s="2" t="n"/>
      <c r="P1156" s="2" t="n"/>
    </row>
    <row r="1157">
      <c r="A1157" s="2" t="n">
        <v>1156</v>
      </c>
      <c r="B1157" s="2" t="inlineStr">
        <is>
          <t>не сюжет</t>
        </is>
      </c>
      <c r="C1157" s="2" t="n">
        <v>13809</v>
      </c>
      <c r="D1157" s="3" t="inlineStr">
        <is>
          <t>Остров капитанов 2</t>
        </is>
      </c>
      <c r="E1157" s="2" t="n">
        <v>1985</v>
      </c>
      <c r="F1157" s="2" t="inlineStr">
        <is>
          <t>мультфильм</t>
        </is>
      </c>
      <c r="G1157" s="2" t="inlineStr">
        <is>
          <t>ЭКРАН</t>
        </is>
      </c>
      <c r="H1157" s="2" t="n">
        <v>43</v>
      </c>
      <c r="I1157" s="2" t="inlineStr"/>
      <c r="J1157" s="2" t="inlineStr">
        <is>
          <t>да</t>
        </is>
      </c>
      <c r="K1157" s="3" t="inlineStr">
        <is>
          <t>Продолжение приключений маленьких капитанов</t>
        </is>
      </c>
      <c r="L1157" s="2" t="inlineStr">
        <is>
          <t>https://animator.ru/db/?p=show_film&amp;fid=5202</t>
        </is>
      </c>
      <c r="M1157" s="2">
        <f>HYPERLINK("https://ru.wikipedia.org/w/index.php?search=%D0%9E%D1%81%D1%82%D1%80%D0%BE%D0%B2%20%D0%BA%D0%B0%D0%BF%D0%B8%D1%82%D0%B0%D0%BD%D0%BE%D0%B2%202%201985%20%D1%84%D0%B8%D0%BB%D1%8C%D0%BC","искать")</f>
        <v/>
      </c>
      <c r="N1157" s="3" t="n"/>
      <c r="O1157" s="2" t="n"/>
      <c r="P1157" s="2" t="n"/>
    </row>
    <row r="1158">
      <c r="A1158" s="2" t="n">
        <v>1157</v>
      </c>
      <c r="B1158" s="2" t="inlineStr">
        <is>
          <t>не сюжет</t>
        </is>
      </c>
      <c r="C1158" s="2" t="n">
        <v>14102</v>
      </c>
      <c r="D1158" s="3" t="inlineStr">
        <is>
          <t>Криминал</t>
        </is>
      </c>
      <c r="E1158" s="2" t="n">
        <v>1989</v>
      </c>
      <c r="F1158" s="2" t="inlineStr">
        <is>
          <t>мультфильм</t>
        </is>
      </c>
      <c r="G1158" s="2" t="inlineStr">
        <is>
          <t>ЭКРАН</t>
        </is>
      </c>
      <c r="H1158" s="2" t="n">
        <v>43</v>
      </c>
      <c r="I1158" s="2" t="inlineStr"/>
      <c r="J1158" s="2" t="inlineStr">
        <is>
          <t>да</t>
        </is>
      </c>
      <c r="K1158" s="3" t="inlineStr">
        <is>
          <t>Сатира на несовершенство некоторых законов.</t>
        </is>
      </c>
      <c r="L1158" s="2" t="inlineStr">
        <is>
          <t>2026-10_мультфильмы_список_владельца.xlsx; https://animator.ru/db/?p=show_film&amp;fid=5500</t>
        </is>
      </c>
      <c r="M1158" s="2">
        <f>HYPERLINK("https://ru.wikipedia.org/w/index.php?search=%D0%9A%D1%80%D0%B8%D0%BC%D0%B8%D0%BD%D0%B0%D0%BB%201989%20%D1%84%D0%B8%D0%BB%D1%8C%D0%BC","искать")</f>
        <v/>
      </c>
      <c r="N1158" s="3" t="n"/>
      <c r="O1158" s="2" t="n"/>
      <c r="P1158" s="2" t="n"/>
    </row>
    <row r="1159">
      <c r="A1159" s="2" t="n">
        <v>1158</v>
      </c>
      <c r="B1159" s="2" t="inlineStr">
        <is>
          <t>не сюжет</t>
        </is>
      </c>
      <c r="C1159" s="2" t="n">
        <v>14130</v>
      </c>
      <c r="D1159" s="3" t="inlineStr">
        <is>
          <t>Май-мастеровой, необыкновенная машина и король-вояка</t>
        </is>
      </c>
      <c r="E1159" s="2" t="n">
        <v>1971</v>
      </c>
      <c r="F1159" s="2" t="inlineStr">
        <is>
          <t>мультфильм</t>
        </is>
      </c>
      <c r="G1159" s="2" t="inlineStr">
        <is>
          <t>ПЕРМЬТЕЛЕФИЛЬМ</t>
        </is>
      </c>
      <c r="H1159" s="2" t="n">
        <v>43</v>
      </c>
      <c r="I1159" s="2" t="inlineStr"/>
      <c r="J1159" s="2" t="inlineStr">
        <is>
          <t>да</t>
        </is>
      </c>
      <c r="K1159" s="3" t="inlineStr">
        <is>
          <t>По одноименной сказке Л.Кузьмина. Для детей</t>
        </is>
      </c>
      <c r="L1159" s="2" t="inlineStr">
        <is>
          <t>https://animator.ru/db/?p=show_film&amp;fid=5528</t>
        </is>
      </c>
      <c r="M1159" s="2">
        <f>HYPERLINK("https://ru.wikipedia.org/w/index.php?search=%D0%9C%D0%B0%D0%B9-%D0%BC%D0%B0%D1%81%D1%82%D0%B5%D1%80%D0%BE%D0%B2%D0%BE%D0%B9%2C%20%D0%BD%D0%B5%D0%BE%D0%B1%D1%8B%D0%BA%D0%BD%D0%BE%D0%B2%D0%B5%D0%BD%D0%BD%D0%B0%D1%8F%20%D0%BC%D0%B0%D1%88%D0%B8%D0%BD%D0%B0%20%D0%B8%20%D0%BA%D0%BE%D1%80%D0%BE%D0%BB%D1%8C-%D0%B2%D0%BE%D1%8F%D0%BA%D0%B0%201971%20%D1%84%D0%B8%D0%BB%D1%8C%D0%BC","искать")</f>
        <v/>
      </c>
      <c r="N1159" s="3" t="n"/>
      <c r="O1159" s="2" t="n"/>
      <c r="P1159" s="2" t="n"/>
    </row>
    <row r="1160">
      <c r="A1160" s="2" t="n">
        <v>1159</v>
      </c>
      <c r="B1160" s="2" t="inlineStr">
        <is>
          <t>не сюжет</t>
        </is>
      </c>
      <c r="C1160" s="2" t="n">
        <v>14161</v>
      </c>
      <c r="D1160" s="3" t="inlineStr">
        <is>
          <t>Приключения Чипа</t>
        </is>
      </c>
      <c r="E1160" s="2" t="n">
        <v>1979</v>
      </c>
      <c r="F1160" s="2" t="inlineStr">
        <is>
          <t>мультфильм</t>
        </is>
      </c>
      <c r="G1160" s="2" t="inlineStr">
        <is>
          <t>ПЕРМЬТЕЛЕФИЛЬМ</t>
        </is>
      </c>
      <c r="H1160" s="2" t="n">
        <v>43</v>
      </c>
      <c r="I1160" s="2" t="inlineStr"/>
      <c r="J1160" s="2" t="inlineStr">
        <is>
          <t>да</t>
        </is>
      </c>
      <c r="K1160" s="3" t="inlineStr">
        <is>
          <t>По мотивам одноименной повести Л.Давыдычева</t>
        </is>
      </c>
      <c r="L1160" s="2" t="inlineStr">
        <is>
          <t>https://animator.ru/db/?p=show_film&amp;fid=5559</t>
        </is>
      </c>
      <c r="M1160" s="2">
        <f>HYPERLINK("https://ru.wikipedia.org/w/index.php?search=%D0%9F%D1%80%D0%B8%D0%BA%D0%BB%D1%8E%D1%87%D0%B5%D0%BD%D0%B8%D1%8F%20%D0%A7%D0%B8%D0%BF%D0%B0%201979%20%D1%84%D0%B8%D0%BB%D1%8C%D0%BC","искать")</f>
        <v/>
      </c>
      <c r="N1160" s="3" t="n"/>
      <c r="O1160" s="2" t="n"/>
      <c r="P1160" s="2" t="n"/>
    </row>
    <row r="1161">
      <c r="A1161" s="2" t="n">
        <v>1160</v>
      </c>
      <c r="B1161" s="2" t="inlineStr">
        <is>
          <t>не сюжет</t>
        </is>
      </c>
      <c r="C1161" s="2" t="n">
        <v>14224</v>
      </c>
      <c r="D1161" s="3" t="inlineStr">
        <is>
          <t>Последний лист</t>
        </is>
      </c>
      <c r="E1161" s="2" t="n">
        <v>1984</v>
      </c>
      <c r="F1161" s="2" t="inlineStr">
        <is>
          <t>мультфильм</t>
        </is>
      </c>
      <c r="G1161" s="2" t="inlineStr">
        <is>
          <t>РИЖСКАЯ КИНОСТУДИЯ</t>
        </is>
      </c>
      <c r="H1161" s="2" t="n">
        <v>43</v>
      </c>
      <c r="I1161" s="2" t="inlineStr"/>
      <c r="J1161" s="2" t="inlineStr">
        <is>
          <t>да</t>
        </is>
      </c>
      <c r="K1161" s="3" t="inlineStr">
        <is>
          <t>По одноименной новелле ОГенри. Для взрослых</t>
        </is>
      </c>
      <c r="L1161" s="2" t="inlineStr">
        <is>
          <t>https://animator.ru/db/?p=show_film&amp;fid=5646</t>
        </is>
      </c>
      <c r="M1161" s="2">
        <f>HYPERLINK("https://ru.wikipedia.org/w/index.php?search=%D0%9F%D0%BE%D1%81%D0%BB%D0%B5%D0%B4%D0%BD%D0%B8%D0%B9%20%D0%BB%D0%B8%D1%81%D1%82%201984%20%D1%84%D0%B8%D0%BB%D1%8C%D0%BC","искать")</f>
        <v/>
      </c>
      <c r="N1161" s="3" t="n"/>
      <c r="O1161" s="2" t="n"/>
      <c r="P1161" s="2" t="n"/>
    </row>
    <row r="1162">
      <c r="A1162" s="2" t="n">
        <v>1161</v>
      </c>
      <c r="B1162" s="2" t="inlineStr">
        <is>
          <t>не сюжет</t>
        </is>
      </c>
      <c r="C1162" s="2" t="n">
        <v>7472</v>
      </c>
      <c r="D1162" s="3" t="inlineStr">
        <is>
          <t>Два брата</t>
        </is>
      </c>
      <c r="E1162" s="2" t="n">
        <v>1965</v>
      </c>
      <c r="F1162" s="2" t="inlineStr">
        <is>
          <t>телефильм</t>
        </is>
      </c>
      <c r="G1162" s="2" t="n"/>
      <c r="H1162" s="2" t="n">
        <v>44</v>
      </c>
      <c r="I1162" s="2" t="inlineStr"/>
      <c r="J1162" s="2" t="inlineStr">
        <is>
          <t>да</t>
        </is>
      </c>
      <c r="K1162" s="3" t="inlineStr">
        <is>
          <t>Телевизионный фильм по драме М.Ю.Лермонтова.</t>
        </is>
      </c>
      <c r="L1162" s="2" t="inlineStr">
        <is>
          <t>Кино_СССР сводный каталог.xlsx: список телефильмов</t>
        </is>
      </c>
      <c r="M1162" s="2">
        <f>HYPERLINK("https://ru.wikipedia.org/w/index.php?search=%D0%94%D0%B2%D0%B0%20%D0%B1%D1%80%D0%B0%D1%82%D0%B0%201965%20%D1%84%D0%B8%D0%BB%D1%8C%D0%BC","искать")</f>
        <v/>
      </c>
      <c r="N1162" s="3" t="n"/>
      <c r="O1162" s="2" t="n"/>
      <c r="P1162" s="2" t="n"/>
    </row>
    <row r="1163">
      <c r="A1163" s="2" t="n">
        <v>1162</v>
      </c>
      <c r="B1163" s="2" t="inlineStr">
        <is>
          <t>не сюжет</t>
        </is>
      </c>
      <c r="C1163" s="2" t="n">
        <v>9874</v>
      </c>
      <c r="D1163" s="3" t="inlineStr">
        <is>
          <t>Драма в цирюльне</t>
        </is>
      </c>
      <c r="E1163" s="2" t="n">
        <v>1970</v>
      </c>
      <c r="F1163" s="2" t="inlineStr">
        <is>
          <t>телефильм</t>
        </is>
      </c>
      <c r="G1163" s="2" t="inlineStr">
        <is>
          <t>Свердловское ТВ</t>
        </is>
      </c>
      <c r="H1163" s="2" t="n">
        <v>44</v>
      </c>
      <c r="I1163" s="2" t="inlineStr"/>
      <c r="J1163" s="2" t="inlineStr">
        <is>
          <t>да</t>
        </is>
      </c>
      <c r="K1163" s="3" t="inlineStr">
        <is>
          <t>Телефильм по рассказу А.Чехова "В цирюльне".</t>
        </is>
      </c>
      <c r="L1163" s="2" t="inlineStr">
        <is>
          <t>https://www.kino-teatr.ru/short/movie/sov/12311/annot/</t>
        </is>
      </c>
      <c r="M1163" s="2">
        <f>HYPERLINK("https://ru.wikipedia.org/w/index.php?search=%D0%94%D1%80%D0%B0%D0%BC%D0%B0%20%D0%B2%20%D1%86%D0%B8%D1%80%D1%8E%D0%BB%D1%8C%D0%BD%D0%B5%201970%20%D1%84%D0%B8%D0%BB%D1%8C%D0%BC","искать")</f>
        <v/>
      </c>
      <c r="N1163" s="3" t="n"/>
      <c r="O1163" s="2" t="n"/>
      <c r="P1163" s="2" t="n"/>
    </row>
    <row r="1164">
      <c r="A1164" s="2" t="n">
        <v>1163</v>
      </c>
      <c r="B1164" s="2" t="inlineStr">
        <is>
          <t>не сюжет</t>
        </is>
      </c>
      <c r="C1164" s="2" t="n">
        <v>9903</v>
      </c>
      <c r="D1164" s="3" t="inlineStr">
        <is>
          <t>Егерь</t>
        </is>
      </c>
      <c r="E1164" s="2" t="n">
        <v>1973</v>
      </c>
      <c r="F1164" s="2" t="inlineStr">
        <is>
          <t>кинофильм</t>
        </is>
      </c>
      <c r="G1164" s="2" t="inlineStr">
        <is>
          <t>ВГИК, Подборки фильмов, экранизации Чехова</t>
        </is>
      </c>
      <c r="H1164" s="2" t="n">
        <v>44</v>
      </c>
      <c r="I1164" s="2" t="inlineStr"/>
      <c r="J1164" s="2" t="inlineStr">
        <is>
          <t>да</t>
        </is>
      </c>
      <c r="K1164" s="3" t="inlineStr">
        <is>
          <t>Экранизация одноименного рассказа А.П.Чехова</t>
        </is>
      </c>
      <c r="L1164" s="2" t="inlineStr">
        <is>
          <t>https://www.kino-teatr.ru/short/movie/sov/16292/annot/</t>
        </is>
      </c>
      <c r="M1164" s="2">
        <f>HYPERLINK("https://ru.wikipedia.org/w/index.php?search=%D0%95%D0%B3%D0%B5%D1%80%D1%8C%201973%20%D1%84%D0%B8%D0%BB%D1%8C%D0%BC","искать")</f>
        <v/>
      </c>
      <c r="N1164" s="3" t="n"/>
      <c r="O1164" s="2" t="n"/>
      <c r="P1164" s="2" t="n"/>
    </row>
    <row r="1165">
      <c r="A1165" s="2" t="n">
        <v>1164</v>
      </c>
      <c r="B1165" s="2" t="inlineStr">
        <is>
          <t>не сюжет</t>
        </is>
      </c>
      <c r="C1165" s="2" t="n">
        <v>9908</v>
      </c>
      <c r="D1165" s="3" t="inlineStr">
        <is>
          <t>Белые дома</t>
        </is>
      </c>
      <c r="E1165" s="2" t="n">
        <v>1974</v>
      </c>
      <c r="F1165" s="2" t="inlineStr">
        <is>
          <t>телефильм</t>
        </is>
      </c>
      <c r="G1165" s="2" t="inlineStr">
        <is>
          <t>Грузинская студия телефильмов</t>
        </is>
      </c>
      <c r="H1165" s="2" t="n">
        <v>44</v>
      </c>
      <c r="I1165" s="2" t="inlineStr"/>
      <c r="J1165" s="2" t="inlineStr">
        <is>
          <t>да</t>
        </is>
      </c>
      <c r="K1165" s="3" t="inlineStr">
        <is>
          <t>Лирическая история о строителях и пианистке.</t>
        </is>
      </c>
      <c r="L1165" s="2" t="inlineStr">
        <is>
          <t>https://www.kino-teatr.ru/short/movie/sov/11786/annot/</t>
        </is>
      </c>
      <c r="M1165" s="2">
        <f>HYPERLINK("https://ru.wikipedia.org/w/index.php?search=%D0%91%D0%B5%D0%BB%D1%8B%D0%B5%20%D0%B4%D0%BE%D0%BC%D0%B0%201974%20%D1%84%D0%B8%D0%BB%D1%8C%D0%BC","искать")</f>
        <v/>
      </c>
      <c r="N1165" s="3" t="n"/>
      <c r="O1165" s="2" t="n"/>
      <c r="P1165" s="2" t="n"/>
    </row>
    <row r="1166">
      <c r="A1166" s="2" t="n">
        <v>1165</v>
      </c>
      <c r="B1166" s="2" t="inlineStr">
        <is>
          <t>не сюжет</t>
        </is>
      </c>
      <c r="C1166" s="2" t="n">
        <v>10594</v>
      </c>
      <c r="D1166" s="3" t="inlineStr">
        <is>
          <t>Факел</t>
        </is>
      </c>
      <c r="E1166" s="2" t="n">
        <v>1974</v>
      </c>
      <c r="F1166" s="2" t="inlineStr">
        <is>
          <t>фильм-спектакль</t>
        </is>
      </c>
      <c r="G1166" s="2" t="inlineStr">
        <is>
          <t>Украинское телевидение</t>
        </is>
      </c>
      <c r="H1166" s="2" t="n">
        <v>44</v>
      </c>
      <c r="I1166" s="2" t="inlineStr"/>
      <c r="J1166" s="2" t="inlineStr">
        <is>
          <t>да</t>
        </is>
      </c>
      <c r="K1166" s="3" t="inlineStr">
        <is>
          <t>Фильм-спектакль о строительстве газопровода.</t>
        </is>
      </c>
      <c r="L1166" s="2" t="inlineStr">
        <is>
          <t>https://www.kino-teatr.ru/teatr/movie/14199/annot/</t>
        </is>
      </c>
      <c r="M1166" s="2">
        <f>HYPERLINK("https://ru.wikipedia.org/w/index.php?search=%D0%A4%D0%B0%D0%BA%D0%B5%D0%BB%201974%20%D1%84%D0%B8%D0%BB%D1%8C%D0%BC","искать")</f>
        <v/>
      </c>
      <c r="N1166" s="3" t="n"/>
      <c r="O1166" s="2" t="n"/>
      <c r="P1166" s="2" t="n"/>
    </row>
    <row r="1167">
      <c r="A1167" s="2" t="n">
        <v>1166</v>
      </c>
      <c r="B1167" s="2" t="inlineStr">
        <is>
          <t>не сюжет</t>
        </is>
      </c>
      <c r="C1167" s="2" t="n">
        <v>11663</v>
      </c>
      <c r="D1167" s="3" t="inlineStr">
        <is>
          <t>Ветерок</t>
        </is>
      </c>
      <c r="E1167" s="2" t="n">
        <v>1972</v>
      </c>
      <c r="F1167" s="2" t="inlineStr">
        <is>
          <t>мультфильм</t>
        </is>
      </c>
      <c r="G1167" s="2" t="inlineStr">
        <is>
          <t>Союзмультфильм</t>
        </is>
      </c>
      <c r="H1167" s="2" t="n">
        <v>44</v>
      </c>
      <c r="I1167" s="2" t="inlineStr"/>
      <c r="J1167" s="2" t="inlineStr">
        <is>
          <t>да</t>
        </is>
      </c>
      <c r="K1167" s="3" t="inlineStr">
        <is>
          <t>По сказке О.Дриза о дружбе Ветерка и Пекаря.</t>
        </is>
      </c>
      <c r="L1167" s="2" t="inlineStr">
        <is>
          <t>2026-10_мультфильмы_список_владельца.xlsx; https://animator.ru/db/?p=show_film&amp;fid=2577</t>
        </is>
      </c>
      <c r="M1167" s="2">
        <f>HYPERLINK("https://ru.wikipedia.org/w/index.php?search=%D0%92%D0%B5%D1%82%D0%B5%D1%80%D0%BE%D0%BA%201972%20%D1%84%D0%B8%D0%BB%D1%8C%D0%BC","искать")</f>
        <v/>
      </c>
      <c r="N1167" s="3" t="n"/>
      <c r="O1167" s="2" t="n"/>
      <c r="P1167" s="2" t="n"/>
    </row>
    <row r="1168">
      <c r="A1168" s="2" t="n">
        <v>1167</v>
      </c>
      <c r="B1168" s="2" t="inlineStr">
        <is>
          <t>не сюжет</t>
        </is>
      </c>
      <c r="C1168" s="2" t="n">
        <v>11831</v>
      </c>
      <c r="D1168" s="3" t="inlineStr">
        <is>
          <t>Жихарка</t>
        </is>
      </c>
      <c r="E1168" s="2" t="n">
        <v>1977</v>
      </c>
      <c r="F1168" s="2" t="inlineStr">
        <is>
          <t>мультфильм</t>
        </is>
      </c>
      <c r="G1168" s="2" t="inlineStr">
        <is>
          <t>Союзмультфильм</t>
        </is>
      </c>
      <c r="H1168" s="2" t="n">
        <v>44</v>
      </c>
      <c r="I1168" s="2" t="inlineStr"/>
      <c r="J1168" s="2" t="inlineStr">
        <is>
          <t>да</t>
        </is>
      </c>
      <c r="K1168" s="3" t="inlineStr">
        <is>
          <t>По мотивам русской сказки о мальчике-удальце</t>
        </is>
      </c>
      <c r="L1168" s="2" t="inlineStr">
        <is>
          <t>https://animator.ru/db/?p=show_film&amp;fid=2746</t>
        </is>
      </c>
      <c r="M1168" s="2">
        <f>HYPERLINK("https://ru.wikipedia.org/w/index.php?search=%D0%96%D0%B8%D1%85%D0%B0%D1%80%D0%BA%D0%B0%201977%20%D1%84%D0%B8%D0%BB%D1%8C%D0%BC","искать")</f>
        <v/>
      </c>
      <c r="N1168" s="3" t="n"/>
      <c r="O1168" s="2" t="n"/>
      <c r="P1168" s="2" t="n"/>
    </row>
    <row r="1169">
      <c r="A1169" s="2" t="n">
        <v>1168</v>
      </c>
      <c r="B1169" s="2" t="inlineStr">
        <is>
          <t>не сюжет</t>
        </is>
      </c>
      <c r="C1169" s="2" t="n">
        <v>11947</v>
      </c>
      <c r="D1169" s="3" t="inlineStr">
        <is>
          <t>Пустомеля</t>
        </is>
      </c>
      <c r="E1169" s="2" t="n">
        <v>1980</v>
      </c>
      <c r="F1169" s="2" t="inlineStr">
        <is>
          <t>мультфильм</t>
        </is>
      </c>
      <c r="G1169" s="2" t="inlineStr">
        <is>
          <t>Союзмультфильм</t>
        </is>
      </c>
      <c r="H1169" s="2" t="n">
        <v>44</v>
      </c>
      <c r="I1169" s="2" t="inlineStr"/>
      <c r="J1169" s="2" t="inlineStr">
        <is>
          <t>да</t>
        </is>
      </c>
      <c r="K1169" s="3" t="inlineStr">
        <is>
          <t>Современная сказка, осуждающая фантазерство.</t>
        </is>
      </c>
      <c r="L1169" s="2" t="inlineStr">
        <is>
          <t>2026-10_мультфильмы_список_владельца.xlsx; https://animator.ru/db/?p=show_film&amp;fid=2863</t>
        </is>
      </c>
      <c r="M1169" s="2">
        <f>HYPERLINK("https://ru.wikipedia.org/w/index.php?search=%D0%9F%D1%83%D1%81%D1%82%D0%BE%D0%BC%D0%B5%D0%BB%D1%8F%201980%20%D1%84%D0%B8%D0%BB%D1%8C%D0%BC","искать")</f>
        <v/>
      </c>
      <c r="N1169" s="3" t="n"/>
      <c r="O1169" s="2" t="n"/>
      <c r="P1169" s="2" t="n"/>
    </row>
    <row r="1170">
      <c r="A1170" s="2" t="n">
        <v>1169</v>
      </c>
      <c r="B1170" s="2" t="inlineStr">
        <is>
          <t>не сюжет</t>
        </is>
      </c>
      <c r="C1170" s="2" t="n">
        <v>11951</v>
      </c>
      <c r="D1170" s="3" t="inlineStr">
        <is>
          <t>Шарик-фонарик</t>
        </is>
      </c>
      <c r="E1170" s="2" t="n">
        <v>1980</v>
      </c>
      <c r="F1170" s="2" t="inlineStr">
        <is>
          <t>мультфильм</t>
        </is>
      </c>
      <c r="G1170" s="2" t="inlineStr">
        <is>
          <t>Союзмультфильм</t>
        </is>
      </c>
      <c r="H1170" s="2" t="n">
        <v>44</v>
      </c>
      <c r="I1170" s="2" t="inlineStr"/>
      <c r="J1170" s="2" t="inlineStr">
        <is>
          <t>да</t>
        </is>
      </c>
      <c r="K1170" s="3" t="inlineStr">
        <is>
          <t>По мотивам стихотворения Л.Квитко. Для детей</t>
        </is>
      </c>
      <c r="L1170" s="2" t="inlineStr">
        <is>
          <t>https://animator.ru/db/?p=show_film&amp;fid=2867</t>
        </is>
      </c>
      <c r="M1170" s="2">
        <f>HYPERLINK("https://ru.wikipedia.org/w/index.php?search=%D0%A8%D0%B0%D1%80%D0%B8%D0%BA-%D1%84%D0%BE%D0%BD%D0%B0%D1%80%D0%B8%D0%BA%201980%20%D1%84%D0%B8%D0%BB%D1%8C%D0%BC","искать")</f>
        <v/>
      </c>
      <c r="N1170" s="3" t="n"/>
      <c r="O1170" s="2" t="n"/>
      <c r="P1170" s="2" t="n"/>
    </row>
    <row r="1171">
      <c r="A1171" s="2" t="n">
        <v>1170</v>
      </c>
      <c r="B1171" s="2" t="inlineStr">
        <is>
          <t>не сюжет</t>
        </is>
      </c>
      <c r="C1171" s="2" t="n">
        <v>12178</v>
      </c>
      <c r="D1171" s="3" t="inlineStr">
        <is>
          <t>КОНТАКТЫ... КОНФЛИКТЫ (Выпуск 3)</t>
        </is>
      </c>
      <c r="E1171" s="2" t="n">
        <v>1986</v>
      </c>
      <c r="F1171" s="2" t="inlineStr">
        <is>
          <t>мультфильм</t>
        </is>
      </c>
      <c r="G1171" s="2" t="inlineStr">
        <is>
          <t>Союзмультфильм</t>
        </is>
      </c>
      <c r="H1171" s="2" t="n">
        <v>44</v>
      </c>
      <c r="I1171" s="2" t="inlineStr"/>
      <c r="J1171" s="2" t="inlineStr">
        <is>
          <t>да</t>
        </is>
      </c>
      <c r="K1171" s="3" t="inlineStr">
        <is>
          <t>По рассказу М.Жванецкого "Обнимемся, братья"</t>
        </is>
      </c>
      <c r="L1171" s="2" t="inlineStr">
        <is>
          <t>https://animator.ru/db/?p=show_film&amp;fid=3294</t>
        </is>
      </c>
      <c r="M1171" s="2">
        <f>HYPERLINK("https://ru.wikipedia.org/w/index.php?search=%D0%9A%D0%9E%D0%9D%D0%A2%D0%90%D0%9A%D0%A2%D0%AB...%20%D0%9A%D0%9E%D0%9D%D0%A4%D0%9B%D0%98%D0%9A%D0%A2%D0%AB%20%28%D0%92%D1%8B%D0%BF%D1%83%D1%81%D0%BA%203%29%201986%20%D1%84%D0%B8%D0%BB%D1%8C%D0%BC","искать")</f>
        <v/>
      </c>
      <c r="N1171" s="3" t="n"/>
      <c r="O1171" s="2" t="n"/>
      <c r="P1171" s="2" t="n"/>
    </row>
    <row r="1172">
      <c r="A1172" s="2" t="n">
        <v>1171</v>
      </c>
      <c r="B1172" s="2" t="inlineStr">
        <is>
          <t>не сюжет</t>
        </is>
      </c>
      <c r="C1172" s="2" t="n">
        <v>12452</v>
      </c>
      <c r="D1172" s="3" t="inlineStr">
        <is>
          <t>Марс xx</t>
        </is>
      </c>
      <c r="E1172" s="2" t="n">
        <v>1969</v>
      </c>
      <c r="F1172" s="2" t="inlineStr">
        <is>
          <t>мультфильм</t>
        </is>
      </c>
      <c r="G1172" s="2" t="inlineStr">
        <is>
          <t>КИЕВНАУЧФИЛЬМ</t>
        </is>
      </c>
      <c r="H1172" s="2" t="n">
        <v>44</v>
      </c>
      <c r="I1172" s="2" t="inlineStr"/>
      <c r="J1172" s="2" t="inlineStr">
        <is>
          <t>да</t>
        </is>
      </c>
      <c r="K1172" s="3" t="inlineStr">
        <is>
          <t>Фильм-плакат против бактериологической войны</t>
        </is>
      </c>
      <c r="L1172" s="2" t="inlineStr">
        <is>
          <t>https://animator.ru/db/?p=show_film&amp;fid=3623</t>
        </is>
      </c>
      <c r="M1172" s="2">
        <f>HYPERLINK("https://ru.wikipedia.org/w/index.php?search=%D0%9C%D0%B0%D1%80%D1%81%20xx%201969%20%D1%84%D0%B8%D0%BB%D1%8C%D0%BC","искать")</f>
        <v/>
      </c>
      <c r="N1172" s="3" t="n"/>
      <c r="O1172" s="2" t="n"/>
      <c r="P1172" s="2" t="n"/>
    </row>
    <row r="1173">
      <c r="A1173" s="2" t="n">
        <v>1172</v>
      </c>
      <c r="B1173" s="2" t="inlineStr">
        <is>
          <t>не сюжет</t>
        </is>
      </c>
      <c r="C1173" s="2" t="n">
        <v>12675</v>
      </c>
      <c r="D1173" s="3" t="inlineStr">
        <is>
          <t>Тимка и Димка</t>
        </is>
      </c>
      <c r="E1173" s="2" t="n">
        <v>1976</v>
      </c>
      <c r="F1173" s="2" t="inlineStr">
        <is>
          <t>мультфильм</t>
        </is>
      </c>
      <c r="G1173" s="2" t="inlineStr">
        <is>
          <t>БЕЛАРУСЬФИЛЬМ НАЦИОНАЛЬНАЯ КИНОСТУДИЯ - ГП</t>
        </is>
      </c>
      <c r="H1173" s="2" t="n">
        <v>44</v>
      </c>
      <c r="I1173" s="2" t="inlineStr"/>
      <c r="J1173" s="2" t="inlineStr">
        <is>
          <t>да</t>
        </is>
      </c>
      <c r="K1173" s="3" t="inlineStr">
        <is>
          <t>Музыка из мультфильма:Настоящий друг(2.7 Мб)</t>
        </is>
      </c>
      <c r="L1173" s="2" t="inlineStr">
        <is>
          <t>2026-10_мультфильмы_список_владельца.xlsx; https://animator.ru/db/?p=show_film&amp;fid=3870</t>
        </is>
      </c>
      <c r="M1173" s="2">
        <f>HYPERLINK("https://ru.wikipedia.org/w/index.php?search=%D0%A2%D0%B8%D0%BC%D0%BA%D0%B0%20%D0%B8%20%D0%94%D0%B8%D0%BC%D0%BA%D0%B0%201976%20%D1%84%D0%B8%D0%BB%D1%8C%D0%BC","искать")</f>
        <v/>
      </c>
      <c r="N1173" s="3" t="n"/>
      <c r="O1173" s="2" t="n"/>
      <c r="P1173" s="2" t="n"/>
    </row>
    <row r="1174">
      <c r="A1174" s="2" t="n">
        <v>1173</v>
      </c>
      <c r="B1174" s="2" t="inlineStr">
        <is>
          <t>не сюжет</t>
        </is>
      </c>
      <c r="C1174" s="2" t="n">
        <v>12966</v>
      </c>
      <c r="D1174" s="3" t="inlineStr">
        <is>
          <t>Идет</t>
        </is>
      </c>
      <c r="E1174" s="2" t="n">
        <v>1988</v>
      </c>
      <c r="F1174" s="2" t="inlineStr">
        <is>
          <t>мультфильм</t>
        </is>
      </c>
      <c r="G1174" s="2" t="inlineStr">
        <is>
          <t>ГРУЗИЯ-ФИЛЬМ - АО</t>
        </is>
      </c>
      <c r="H1174" s="2" t="n">
        <v>44</v>
      </c>
      <c r="I1174" s="2" t="inlineStr"/>
      <c r="J1174" s="2" t="inlineStr">
        <is>
          <t>да</t>
        </is>
      </c>
      <c r="K1174" s="3" t="inlineStr">
        <is>
          <t>О предательстве и подхалимстве. Для взрослых</t>
        </is>
      </c>
      <c r="L1174" s="2" t="inlineStr">
        <is>
          <t>https://animator.ru/db/?p=show_film&amp;fid=4196</t>
        </is>
      </c>
      <c r="M1174" s="2">
        <f>HYPERLINK("https://ru.wikipedia.org/w/index.php?search=%D0%98%D0%B4%D0%B5%D1%82%201988%20%D1%84%D0%B8%D0%BB%D1%8C%D0%BC","искать")</f>
        <v/>
      </c>
      <c r="N1174" s="3" t="n"/>
      <c r="O1174" s="2" t="n"/>
      <c r="P1174" s="2" t="n"/>
    </row>
    <row r="1175">
      <c r="A1175" s="2" t="n">
        <v>1174</v>
      </c>
      <c r="B1175" s="2" t="inlineStr">
        <is>
          <t>не сюжет</t>
        </is>
      </c>
      <c r="C1175" s="2" t="n">
        <v>13047</v>
      </c>
      <c r="D1175" s="3" t="inlineStr">
        <is>
          <t>Хочу! Хочу! Хочу!</t>
        </is>
      </c>
      <c r="E1175" s="2" t="n">
        <v>1973</v>
      </c>
      <c r="F1175" s="2" t="inlineStr">
        <is>
          <t>мультфильм</t>
        </is>
      </c>
      <c r="G1175" s="2" t="inlineStr">
        <is>
          <t>РИЖСКАЯ КИНОСТУДИЯ</t>
        </is>
      </c>
      <c r="H1175" s="2" t="n">
        <v>44</v>
      </c>
      <c r="I1175" s="2" t="inlineStr"/>
      <c r="J1175" s="2" t="inlineStr">
        <is>
          <t>да</t>
        </is>
      </c>
      <c r="K1175" s="3" t="inlineStr">
        <is>
          <t>О неправильном воспитании и детских капризах</t>
        </is>
      </c>
      <c r="L1175" s="2" t="inlineStr">
        <is>
          <t>https://animator.ru/db/?p=show_film&amp;fid=4279</t>
        </is>
      </c>
      <c r="M1175" s="2">
        <f>HYPERLINK("https://ru.wikipedia.org/w/index.php?search=%D0%A5%D0%BE%D1%87%D1%83%21%20%D0%A5%D0%BE%D1%87%D1%83%21%20%D0%A5%D0%BE%D1%87%D1%83%21%201973%20%D1%84%D0%B8%D0%BB%D1%8C%D0%BC","искать")</f>
        <v/>
      </c>
      <c r="N1175" s="3" t="n"/>
      <c r="O1175" s="2" t="n"/>
      <c r="P1175" s="2" t="n"/>
    </row>
    <row r="1176">
      <c r="A1176" s="2" t="n">
        <v>1175</v>
      </c>
      <c r="B1176" s="2" t="inlineStr">
        <is>
          <t>не сюжет</t>
        </is>
      </c>
      <c r="C1176" s="2" t="n">
        <v>13372</v>
      </c>
      <c r="D1176" s="3" t="inlineStr">
        <is>
          <t>Поморская быль</t>
        </is>
      </c>
      <c r="E1176" s="2" t="n">
        <v>1987</v>
      </c>
      <c r="F1176" s="2" t="inlineStr">
        <is>
          <t>мультфильм</t>
        </is>
      </c>
      <c r="G1176" s="2" t="inlineStr">
        <is>
          <t>Союзмультфильм</t>
        </is>
      </c>
      <c r="H1176" s="2" t="n">
        <v>44</v>
      </c>
      <c r="I1176" s="2" t="inlineStr"/>
      <c r="J1176" s="2" t="inlineStr">
        <is>
          <t>да</t>
        </is>
      </c>
      <c r="K1176" s="3" t="inlineStr">
        <is>
          <t>По рассказу Бориса Шергина "Для увеселения".</t>
        </is>
      </c>
      <c r="L1176" s="2" t="inlineStr">
        <is>
          <t>2026-10_мультфильмы_список_владельца.xlsx; https://animator.ru/db/?p=show_film&amp;fid=4650</t>
        </is>
      </c>
      <c r="M1176" s="2">
        <f>HYPERLINK("https://ru.wikipedia.org/w/index.php?search=%D0%9F%D0%BE%D0%BC%D0%BE%D1%80%D1%81%D0%BA%D0%B0%D1%8F%20%D0%B1%D1%8B%D0%BB%D1%8C%201987%20%D1%84%D0%B8%D0%BB%D1%8C%D0%BC","искать")</f>
        <v/>
      </c>
      <c r="N1176" s="3" t="n"/>
      <c r="O1176" s="2" t="n"/>
      <c r="P1176" s="2" t="n"/>
    </row>
    <row r="1177">
      <c r="A1177" s="2" t="n">
        <v>1176</v>
      </c>
      <c r="B1177" s="2" t="inlineStr">
        <is>
          <t>не сюжет</t>
        </is>
      </c>
      <c r="C1177" s="2" t="n">
        <v>13533</v>
      </c>
      <c r="D1177" s="3" t="inlineStr">
        <is>
          <t>Три синих-синих озера малинового цвета</t>
        </is>
      </c>
      <c r="E1177" s="2" t="n">
        <v>1981</v>
      </c>
      <c r="F1177" s="2" t="inlineStr">
        <is>
          <t>мультфильм</t>
        </is>
      </c>
      <c r="G1177" s="2" t="inlineStr">
        <is>
          <t>АРМЕНФИЛЬМ</t>
        </is>
      </c>
      <c r="H1177" s="2" t="n">
        <v>44</v>
      </c>
      <c r="I1177" s="2" t="inlineStr"/>
      <c r="J1177" s="2" t="inlineStr">
        <is>
          <t>да</t>
        </is>
      </c>
      <c r="K1177" s="3" t="inlineStr">
        <is>
          <t>По мотивам сказки О.Туманяна "Охотник-враль"</t>
        </is>
      </c>
      <c r="L1177" s="2" t="inlineStr">
        <is>
          <t>https://animator.ru/db/?p=show_film&amp;fid=4853</t>
        </is>
      </c>
      <c r="M1177" s="2">
        <f>HYPERLINK("https://ru.wikipedia.org/w/index.php?search=%D0%A2%D1%80%D0%B8%20%D1%81%D0%B8%D0%BD%D0%B8%D1%85-%D1%81%D0%B8%D0%BD%D0%B8%D1%85%20%D0%BE%D0%B7%D0%B5%D1%80%D0%B0%20%D0%BC%D0%B0%D0%BB%D0%B8%D0%BD%D0%BE%D0%B2%D0%BE%D0%B3%D0%BE%20%D1%86%D0%B2%D0%B5%D1%82%D0%B0%201981%20%D1%84%D0%B8%D0%BB%D1%8C%D0%BC","искать")</f>
        <v/>
      </c>
      <c r="N1177" s="3" t="n"/>
      <c r="O1177" s="2" t="n"/>
      <c r="P1177" s="2" t="n"/>
    </row>
    <row r="1178">
      <c r="A1178" s="2" t="n">
        <v>1177</v>
      </c>
      <c r="B1178" s="2" t="inlineStr">
        <is>
          <t>не сюжет</t>
        </is>
      </c>
      <c r="C1178" s="2" t="n">
        <v>13676</v>
      </c>
      <c r="D1178" s="3" t="inlineStr">
        <is>
          <t>Девочка и дельфин</t>
        </is>
      </c>
      <c r="E1178" s="2" t="n">
        <v>1979</v>
      </c>
      <c r="F1178" s="2" t="inlineStr">
        <is>
          <t>мультфильм</t>
        </is>
      </c>
      <c r="G1178" s="2" t="inlineStr">
        <is>
          <t>ЭКРАН</t>
        </is>
      </c>
      <c r="H1178" s="2" t="n">
        <v>44</v>
      </c>
      <c r="I1178" s="2" t="inlineStr"/>
      <c r="J1178" s="2" t="inlineStr">
        <is>
          <t>да</t>
        </is>
      </c>
      <c r="K1178" s="3" t="inlineStr">
        <is>
          <t>Поэтический этюд о дружбе девочки и дельфина</t>
        </is>
      </c>
      <c r="L1178" s="2" t="inlineStr">
        <is>
          <t>https://animator.ru/db/?p=show_film&amp;fid=5068</t>
        </is>
      </c>
      <c r="M1178" s="2">
        <f>HYPERLINK("https://ru.wikipedia.org/w/index.php?search=%D0%94%D0%B5%D0%B2%D0%BE%D1%87%D0%BA%D0%B0%20%D0%B8%20%D0%B4%D0%B5%D0%BB%D1%8C%D1%84%D0%B8%D0%BD%201979%20%D1%84%D0%B8%D0%BB%D1%8C%D0%BC","искать")</f>
        <v/>
      </c>
      <c r="N1178" s="3" t="n"/>
      <c r="O1178" s="2" t="n"/>
      <c r="P1178" s="2" t="n"/>
    </row>
    <row r="1179">
      <c r="A1179" s="2" t="n">
        <v>1178</v>
      </c>
      <c r="B1179" s="2" t="inlineStr">
        <is>
          <t>не сюжет</t>
        </is>
      </c>
      <c r="C1179" s="2" t="n">
        <v>13817</v>
      </c>
      <c r="D1179" s="3" t="inlineStr">
        <is>
          <t>Парк культуры</t>
        </is>
      </c>
      <c r="E1179" s="2" t="n">
        <v>1988</v>
      </c>
      <c r="F1179" s="2" t="inlineStr">
        <is>
          <t>мультфильм</t>
        </is>
      </c>
      <c r="G1179" s="2" t="inlineStr">
        <is>
          <t>ЭКРАН</t>
        </is>
      </c>
      <c r="H1179" s="2" t="n">
        <v>44</v>
      </c>
      <c r="I1179" s="2" t="inlineStr"/>
      <c r="J1179" s="2" t="inlineStr">
        <is>
          <t>да</t>
        </is>
      </c>
      <c r="K1179" s="3" t="inlineStr">
        <is>
          <t>Как некрасивы и скучны наши городские парки.</t>
        </is>
      </c>
      <c r="L1179" s="2" t="inlineStr">
        <is>
          <t>2026-10_мультфильмы_список_владельца.xlsx; https://animator.ru/db/?p=show_film&amp;fid=5210</t>
        </is>
      </c>
      <c r="M1179" s="2">
        <f>HYPERLINK("https://ru.wikipedia.org/w/index.php?search=%D0%9F%D0%B0%D1%80%D0%BA%20%D0%BA%D1%83%D0%BB%D1%8C%D1%82%D1%83%D1%80%D1%8B%201988%20%D1%84%D0%B8%D0%BB%D1%8C%D0%BC","искать")</f>
        <v/>
      </c>
      <c r="N1179" s="3" t="n"/>
      <c r="O1179" s="2" t="n"/>
      <c r="P1179" s="2" t="n"/>
    </row>
    <row r="1180">
      <c r="A1180" s="2" t="n">
        <v>1179</v>
      </c>
      <c r="B1180" s="2" t="inlineStr">
        <is>
          <t>не сюжет</t>
        </is>
      </c>
      <c r="C1180" s="2" t="n">
        <v>13893</v>
      </c>
      <c r="D1180" s="3" t="inlineStr">
        <is>
          <t>Сказка о потерянном времени</t>
        </is>
      </c>
      <c r="E1180" s="2" t="n">
        <v>1978</v>
      </c>
      <c r="F1180" s="2" t="inlineStr">
        <is>
          <t>мультфильм</t>
        </is>
      </c>
      <c r="G1180" s="2" t="inlineStr">
        <is>
          <t>ЭКРАН</t>
        </is>
      </c>
      <c r="H1180" s="2" t="n">
        <v>44</v>
      </c>
      <c r="I1180" s="2" t="inlineStr"/>
      <c r="J1180" s="2" t="inlineStr">
        <is>
          <t>да</t>
        </is>
      </c>
      <c r="K1180" s="3" t="inlineStr">
        <is>
          <t>По мотивам одноименной сказки Евгения Шварца</t>
        </is>
      </c>
      <c r="L1180" s="2" t="inlineStr">
        <is>
          <t>https://animator.ru/db/?p=show_film&amp;fid=5287</t>
        </is>
      </c>
      <c r="M1180" s="2">
        <f>HYPERLINK("https://ru.wikipedia.org/w/index.php?search=%D0%A1%D0%BA%D0%B0%D0%B7%D0%BA%D0%B0%20%D0%BE%20%D0%BF%D0%BE%D1%82%D0%B5%D1%80%D1%8F%D0%BD%D0%BD%D0%BE%D0%BC%20%D0%B2%D1%80%D0%B5%D0%BC%D0%B5%D0%BD%D0%B8%201978%20%D1%84%D0%B8%D0%BB%D1%8C%D0%BC","искать")</f>
        <v/>
      </c>
      <c r="N1180" s="3" t="n"/>
      <c r="O1180" s="2" t="n"/>
      <c r="P1180" s="2" t="n"/>
    </row>
    <row r="1181">
      <c r="A1181" s="2" t="n">
        <v>1180</v>
      </c>
      <c r="B1181" s="2" t="inlineStr">
        <is>
          <t>не сюжет</t>
        </is>
      </c>
      <c r="C1181" s="2" t="n">
        <v>13904</v>
      </c>
      <c r="D1181" s="3" t="inlineStr">
        <is>
          <t>Сова</t>
        </is>
      </c>
      <c r="E1181" s="2" t="n">
        <v>1987</v>
      </c>
      <c r="F1181" s="2" t="inlineStr">
        <is>
          <t>мультфильм</t>
        </is>
      </c>
      <c r="G1181" s="2" t="inlineStr">
        <is>
          <t>ЭКРАН</t>
        </is>
      </c>
      <c r="H1181" s="2" t="n">
        <v>44</v>
      </c>
      <c r="I1181" s="2" t="inlineStr"/>
      <c r="J1181" s="2" t="inlineStr">
        <is>
          <t>да</t>
        </is>
      </c>
      <c r="K1181" s="3" t="inlineStr">
        <is>
          <t>По мотивам одноименной сказки Виталия Бианки</t>
        </is>
      </c>
      <c r="L1181" s="2" t="inlineStr">
        <is>
          <t>https://animator.ru/db/?p=show_film&amp;fid=5298</t>
        </is>
      </c>
      <c r="M1181" s="2">
        <f>HYPERLINK("https://ru.wikipedia.org/w/index.php?search=%D0%A1%D0%BE%D0%B2%D0%B0%201987%20%D1%84%D0%B8%D0%BB%D1%8C%D0%BC","искать")</f>
        <v/>
      </c>
      <c r="N1181" s="3" t="n"/>
      <c r="O1181" s="2" t="n"/>
      <c r="P1181" s="2" t="n"/>
    </row>
    <row r="1182">
      <c r="A1182" s="2" t="n">
        <v>1181</v>
      </c>
      <c r="B1182" s="2" t="inlineStr">
        <is>
          <t>не сюжет</t>
        </is>
      </c>
      <c r="C1182" s="2" t="n">
        <v>13940</v>
      </c>
      <c r="D1182" s="3" t="inlineStr">
        <is>
          <t>Уходя гасите свет (ч.2)</t>
        </is>
      </c>
      <c r="E1182" s="2" t="n">
        <v>1988</v>
      </c>
      <c r="F1182" s="2" t="inlineStr">
        <is>
          <t>мультфильм</t>
        </is>
      </c>
      <c r="G1182" s="2" t="inlineStr">
        <is>
          <t>ЭКРАН</t>
        </is>
      </c>
      <c r="H1182" s="2" t="n">
        <v>44</v>
      </c>
      <c r="I1182" s="2" t="inlineStr"/>
      <c r="J1182" s="2" t="inlineStr">
        <is>
          <t>да</t>
        </is>
      </c>
      <c r="K1182" s="3" t="inlineStr">
        <is>
          <t>Второй фильм серии об экономии электричества</t>
        </is>
      </c>
      <c r="L1182" s="2" t="inlineStr">
        <is>
          <t>https://animator.ru/db/?p=show_film&amp;fid=5334</t>
        </is>
      </c>
      <c r="M1182" s="2">
        <f>HYPERLINK("https://ru.wikipedia.org/w/index.php?search=%D0%A3%D1%85%D0%BE%D0%B4%D1%8F%20%D0%B3%D0%B0%D1%81%D0%B8%D1%82%D0%B5%20%D1%81%D0%B2%D0%B5%D1%82%20%28%D1%87.2%29%201988%20%D1%84%D0%B8%D0%BB%D1%8C%D0%BC","искать")</f>
        <v/>
      </c>
      <c r="N1182" s="3" t="n"/>
      <c r="O1182" s="2" t="n"/>
      <c r="P1182" s="2" t="n"/>
    </row>
    <row r="1183">
      <c r="A1183" s="2" t="n">
        <v>1182</v>
      </c>
      <c r="B1183" s="2" t="inlineStr">
        <is>
          <t>не сюжет</t>
        </is>
      </c>
      <c r="C1183" s="2" t="n">
        <v>13974</v>
      </c>
      <c r="D1183" s="3" t="inlineStr">
        <is>
          <t>В субботу вечером</t>
        </is>
      </c>
      <c r="E1183" s="2" t="n">
        <v>1986</v>
      </c>
      <c r="F1183" s="2" t="inlineStr">
        <is>
          <t>мультфильм</t>
        </is>
      </c>
      <c r="G1183" s="2" t="inlineStr">
        <is>
          <t>ЭКРАН</t>
        </is>
      </c>
      <c r="H1183" s="2" t="n">
        <v>44</v>
      </c>
      <c r="I1183" s="2" t="inlineStr"/>
      <c r="J1183" s="2" t="inlineStr">
        <is>
          <t>да</t>
        </is>
      </c>
      <c r="K1183" s="3" t="inlineStr">
        <is>
          <t>Заставка к программе ТВ "В субботу вечером".</t>
        </is>
      </c>
      <c r="L1183" s="2" t="inlineStr">
        <is>
          <t>2026-10_мультфильмы_список_владельца.xlsx; https://animator.ru/db/?p=show_film&amp;fid=5368</t>
        </is>
      </c>
      <c r="M1183" s="2">
        <f>HYPERLINK("https://ru.wikipedia.org/w/index.php?search=%D0%92%20%D1%81%D1%83%D0%B1%D0%B1%D0%BE%D1%82%D1%83%20%D0%B2%D0%B5%D1%87%D0%B5%D1%80%D0%BE%D0%BC%201986%20%D1%84%D0%B8%D0%BB%D1%8C%D0%BC","искать")</f>
        <v/>
      </c>
      <c r="N1183" s="3" t="n"/>
      <c r="O1183" s="2" t="n"/>
      <c r="P1183" s="2" t="n"/>
    </row>
    <row r="1184">
      <c r="A1184" s="2" t="n">
        <v>1183</v>
      </c>
      <c r="B1184" s="2" t="inlineStr">
        <is>
          <t>не сюжет</t>
        </is>
      </c>
      <c r="C1184" s="2" t="n">
        <v>14041</v>
      </c>
      <c r="D1184" s="3" t="inlineStr">
        <is>
          <t>Однажды в пустыне</t>
        </is>
      </c>
      <c r="E1184" s="2" t="n">
        <v>1986</v>
      </c>
      <c r="F1184" s="2" t="inlineStr">
        <is>
          <t>мультфильм</t>
        </is>
      </c>
      <c r="G1184" s="2" t="inlineStr">
        <is>
          <t>УЗБЕКФИЛЬМ</t>
        </is>
      </c>
      <c r="H1184" s="2" t="n">
        <v>44</v>
      </c>
      <c r="I1184" s="2" t="inlineStr"/>
      <c r="J1184" s="2" t="inlineStr">
        <is>
          <t>да</t>
        </is>
      </c>
      <c r="K1184" s="3" t="inlineStr">
        <is>
          <t>О верном ослике и его неблагодарном хозяине.</t>
        </is>
      </c>
      <c r="L1184" s="2" t="inlineStr">
        <is>
          <t>2026-10_мультфильмы_список_владельца.xlsx; https://animator.ru/db/?p=show_film&amp;fid=5437</t>
        </is>
      </c>
      <c r="M1184" s="2">
        <f>HYPERLINK("https://ru.wikipedia.org/w/index.php?search=%D0%9E%D0%B4%D0%BD%D0%B0%D0%B6%D0%B4%D1%8B%20%D0%B2%20%D0%BF%D1%83%D1%81%D1%82%D1%8B%D0%BD%D0%B5%201986%20%D1%84%D0%B8%D0%BB%D1%8C%D0%BC","искать")</f>
        <v/>
      </c>
      <c r="N1184" s="3" t="n"/>
      <c r="O1184" s="2" t="n"/>
      <c r="P1184" s="2" t="n"/>
    </row>
    <row r="1185">
      <c r="A1185" s="2" t="n">
        <v>1184</v>
      </c>
      <c r="B1185" s="2" t="inlineStr">
        <is>
          <t>не сюжет</t>
        </is>
      </c>
      <c r="C1185" s="2" t="n">
        <v>14074</v>
      </c>
      <c r="D1185" s="3" t="inlineStr">
        <is>
          <t>Сказочка про козявочку</t>
        </is>
      </c>
      <c r="E1185" s="2" t="n">
        <v>1985</v>
      </c>
      <c r="F1185" s="2" t="inlineStr">
        <is>
          <t>мультфильм</t>
        </is>
      </c>
      <c r="G1185" s="2" t="inlineStr">
        <is>
          <t>Свердловская киностудия</t>
        </is>
      </c>
      <c r="H1185" s="2" t="n">
        <v>44</v>
      </c>
      <c r="I1185" s="2" t="inlineStr"/>
      <c r="J1185" s="2" t="inlineStr">
        <is>
          <t>да</t>
        </is>
      </c>
      <c r="K1185" s="3" t="inlineStr">
        <is>
          <t>По одноименной сказке Д. Н. Мамина-Сибиряка.</t>
        </is>
      </c>
      <c r="L1185" s="2" t="inlineStr">
        <is>
          <t>2026-10_мультфильмы_список_владельца.xlsx; https://animator.ru/db/?p=show_film&amp;fid=5470</t>
        </is>
      </c>
      <c r="M1185" s="2">
        <f>HYPERLINK("https://ru.wikipedia.org/w/index.php?search=%D0%A1%D0%BA%D0%B0%D0%B7%D0%BE%D1%87%D0%BA%D0%B0%20%D0%BF%D1%80%D0%BE%20%D0%BA%D0%BE%D0%B7%D1%8F%D0%B2%D0%BE%D1%87%D0%BA%D1%83%201985%20%D1%84%D0%B8%D0%BB%D1%8C%D0%BC","искать")</f>
        <v/>
      </c>
      <c r="N1185" s="3" t="n"/>
      <c r="O1185" s="2" t="n"/>
      <c r="P1185" s="2" t="n"/>
    </row>
    <row r="1186">
      <c r="A1186" s="2" t="n">
        <v>1185</v>
      </c>
      <c r="B1186" s="2" t="inlineStr">
        <is>
          <t>не сюжет</t>
        </is>
      </c>
      <c r="C1186" s="2" t="n">
        <v>14094</v>
      </c>
      <c r="D1186" s="3" t="inlineStr">
        <is>
          <t>Веселый обманщик</t>
        </is>
      </c>
      <c r="E1186" s="2" t="n">
        <v>1976</v>
      </c>
      <c r="F1186" s="2" t="inlineStr">
        <is>
          <t>мультфильм</t>
        </is>
      </c>
      <c r="G1186" s="2" t="inlineStr">
        <is>
          <t>КАЗАХТЕЛЕФИЛЬМ</t>
        </is>
      </c>
      <c r="H1186" s="2" t="n">
        <v>44</v>
      </c>
      <c r="I1186" s="2" t="inlineStr"/>
      <c r="J1186" s="2" t="inlineStr">
        <is>
          <t>да</t>
        </is>
      </c>
      <c r="K1186" s="3" t="inlineStr">
        <is>
          <t>По мотивам казахских сказок об Аладаре- Косе</t>
        </is>
      </c>
      <c r="L1186" s="2" t="inlineStr">
        <is>
          <t>https://animator.ru/db/?p=show_film&amp;fid=5492</t>
        </is>
      </c>
      <c r="M1186" s="2">
        <f>HYPERLINK("https://ru.wikipedia.org/w/index.php?search=%D0%92%D0%B5%D1%81%D0%B5%D0%BB%D1%8B%D0%B9%20%D0%BE%D0%B1%D0%BC%D0%B0%D0%BD%D1%89%D0%B8%D0%BA%201976%20%D1%84%D0%B8%D0%BB%D1%8C%D0%BC","искать")</f>
        <v/>
      </c>
      <c r="N1186" s="3" t="n"/>
      <c r="O1186" s="2" t="n"/>
      <c r="P1186" s="2" t="n"/>
    </row>
    <row r="1187">
      <c r="A1187" s="2" t="n">
        <v>1186</v>
      </c>
      <c r="B1187" s="2" t="inlineStr">
        <is>
          <t>не сюжет</t>
        </is>
      </c>
      <c r="C1187" s="2" t="n">
        <v>14173</v>
      </c>
      <c r="D1187" s="3" t="inlineStr">
        <is>
          <t>Сверчок</t>
        </is>
      </c>
      <c r="E1187" s="2" t="n">
        <v>1982</v>
      </c>
      <c r="F1187" s="2" t="inlineStr">
        <is>
          <t>мультфильм</t>
        </is>
      </c>
      <c r="G1187" s="2" t="inlineStr">
        <is>
          <t>КУЙБЫШЕВТЕЛЕФИЛЬМ</t>
        </is>
      </c>
      <c r="H1187" s="2" t="n">
        <v>44</v>
      </c>
      <c r="I1187" s="2" t="inlineStr"/>
      <c r="J1187" s="2" t="inlineStr">
        <is>
          <t>да</t>
        </is>
      </c>
      <c r="K1187" s="3" t="inlineStr">
        <is>
          <t>Про сверчка и медвежонке Ивашке. Для малышей</t>
        </is>
      </c>
      <c r="L1187" s="2" t="inlineStr">
        <is>
          <t>https://animator.ru/db/?p=show_film&amp;fid=5571</t>
        </is>
      </c>
      <c r="M1187" s="2">
        <f>HYPERLINK("https://ru.wikipedia.org/w/index.php?search=%D0%A1%D0%B2%D0%B5%D1%80%D1%87%D0%BE%D0%BA%201982%20%D1%84%D0%B8%D0%BB%D1%8C%D0%BC","искать")</f>
        <v/>
      </c>
      <c r="N1187" s="3" t="n"/>
      <c r="O1187" s="2" t="n"/>
      <c r="P1187" s="2" t="n"/>
    </row>
    <row r="1188">
      <c r="A1188" s="2" t="n">
        <v>1187</v>
      </c>
      <c r="B1188" s="2" t="inlineStr">
        <is>
          <t>не сюжет</t>
        </is>
      </c>
      <c r="C1188" s="2" t="n">
        <v>14455</v>
      </c>
      <c r="D1188" s="3" t="inlineStr">
        <is>
          <t>Соловей</t>
        </is>
      </c>
      <c r="E1188" s="2" t="n">
        <v>1991</v>
      </c>
      <c r="F1188" s="2" t="inlineStr">
        <is>
          <t>мультфильм</t>
        </is>
      </c>
      <c r="G1188" s="2" t="n"/>
      <c r="H1188" s="2" t="n">
        <v>44</v>
      </c>
      <c r="I1188" s="2" t="inlineStr"/>
      <c r="J1188" s="2" t="inlineStr">
        <is>
          <t>да</t>
        </is>
      </c>
      <c r="K1188" s="3" t="inlineStr">
        <is>
          <t>По мотивам одноименной сказки Х.К.Андерсена.</t>
        </is>
      </c>
      <c r="L1188" s="2" t="inlineStr">
        <is>
          <t>https://animator.ru/db/?p=show_film&amp;fid=6706</t>
        </is>
      </c>
      <c r="M1188" s="2">
        <f>HYPERLINK("https://ru.wikipedia.org/w/index.php?search=%D0%A1%D0%BE%D0%BB%D0%BE%D0%B2%D0%B5%D0%B9%201991%20%D1%84%D0%B8%D0%BB%D1%8C%D0%BC","искать")</f>
        <v/>
      </c>
      <c r="N1188" s="3" t="n"/>
      <c r="O1188" s="2" t="n"/>
      <c r="P1188" s="2" t="n"/>
    </row>
    <row r="1189">
      <c r="A1189" s="2" t="n">
        <v>1188</v>
      </c>
      <c r="B1189" s="2" t="inlineStr">
        <is>
          <t>не сюжет</t>
        </is>
      </c>
      <c r="C1189" s="2" t="n">
        <v>9004</v>
      </c>
      <c r="D1189" s="3" t="inlineStr">
        <is>
          <t>Разгон</t>
        </is>
      </c>
      <c r="E1189" s="2" t="n">
        <v>1967</v>
      </c>
      <c r="F1189" s="2" t="inlineStr">
        <is>
          <t>кинофильм</t>
        </is>
      </c>
      <c r="G1189" s="2" t="n"/>
      <c r="H1189" s="2" t="n">
        <v>45</v>
      </c>
      <c r="I1189" s="2" t="inlineStr"/>
      <c r="J1189" s="2" t="inlineStr">
        <is>
          <t>да</t>
        </is>
      </c>
      <c r="K1189" s="3" t="inlineStr">
        <is>
          <t>По пьесе Захара Аграненко "Шестьдесят часов".</t>
        </is>
      </c>
      <c r="L1189" s="2" t="inlineStr">
        <is>
          <t>Кино_СССР сводный каталог.xlsx: список фильмов (доп.)</t>
        </is>
      </c>
      <c r="M1189" s="2">
        <f>HYPERLINK("https://ru.wikipedia.org/w/index.php?search=%D0%A0%D0%B0%D0%B7%D0%B3%D0%BE%D0%BD%201967%20%D1%84%D0%B8%D0%BB%D1%8C%D0%BC","искать")</f>
        <v/>
      </c>
      <c r="N1189" s="3" t="n"/>
      <c r="O1189" s="2" t="n"/>
      <c r="P1189" s="2" t="n"/>
    </row>
    <row r="1190">
      <c r="A1190" s="2" t="n">
        <v>1189</v>
      </c>
      <c r="B1190" s="2" t="inlineStr">
        <is>
          <t>не сюжет</t>
        </is>
      </c>
      <c r="C1190" s="2" t="n">
        <v>9040</v>
      </c>
      <c r="D1190" s="3" t="inlineStr">
        <is>
          <t>Сердце</t>
        </is>
      </c>
      <c r="E1190" s="2" t="n">
        <v>1968</v>
      </c>
      <c r="F1190" s="2" t="inlineStr">
        <is>
          <t>кинофильм</t>
        </is>
      </c>
      <c r="G1190" s="2" t="n"/>
      <c r="H1190" s="2" t="n">
        <v>45</v>
      </c>
      <c r="I1190" s="2" t="inlineStr"/>
      <c r="J1190" s="2" t="inlineStr">
        <is>
          <t>да</t>
        </is>
      </c>
      <c r="K1190" s="3" t="inlineStr">
        <is>
          <t>По мотивам одноимённой повести Ивана Катаева.</t>
        </is>
      </c>
      <c r="L1190" s="2" t="inlineStr">
        <is>
          <t>Кино_СССР сводный каталог.xlsx: список фильмов (доп.)</t>
        </is>
      </c>
      <c r="M1190" s="2">
        <f>HYPERLINK("https://ru.wikipedia.org/w/index.php?search=%D0%A1%D0%B5%D1%80%D0%B4%D1%86%D0%B5%201968%20%D1%84%D0%B8%D0%BB%D1%8C%D0%BC","искать")</f>
        <v/>
      </c>
      <c r="N1190" s="3" t="n"/>
      <c r="O1190" s="2" t="n"/>
      <c r="P1190" s="2" t="n"/>
    </row>
    <row r="1191">
      <c r="A1191" s="2" t="n">
        <v>1190</v>
      </c>
      <c r="B1191" s="2" t="inlineStr">
        <is>
          <t>не сюжет</t>
        </is>
      </c>
      <c r="C1191" s="2" t="n">
        <v>9814</v>
      </c>
      <c r="D1191" s="3" t="inlineStr">
        <is>
          <t>Егерь</t>
        </is>
      </c>
      <c r="E1191" s="2" t="n">
        <v>1959</v>
      </c>
      <c r="F1191" s="2" t="inlineStr">
        <is>
          <t>телефильм</t>
        </is>
      </c>
      <c r="G1191" s="2" t="inlineStr">
        <is>
          <t>ЦТ</t>
        </is>
      </c>
      <c r="H1191" s="2" t="n">
        <v>45</v>
      </c>
      <c r="I1191" s="2" t="inlineStr"/>
      <c r="J1191" s="2" t="inlineStr">
        <is>
          <t>да</t>
        </is>
      </c>
      <c r="K1191" s="3" t="inlineStr">
        <is>
          <t>Новелла.
По одноименному рассказу А.П.Чехова.</t>
        </is>
      </c>
      <c r="L1191" s="2" t="inlineStr">
        <is>
          <t>https://www.kino-teatr.ru/short/movie/sov/11387/annot/</t>
        </is>
      </c>
      <c r="M1191" s="2">
        <f>HYPERLINK("https://ru.wikipedia.org/w/index.php?search=%D0%95%D0%B3%D0%B5%D1%80%D1%8C%201959%20%D1%84%D0%B8%D0%BB%D1%8C%D0%BC","искать")</f>
        <v/>
      </c>
      <c r="N1191" s="3" t="n"/>
      <c r="O1191" s="2" t="n"/>
      <c r="P1191" s="2" t="n"/>
    </row>
    <row r="1192">
      <c r="A1192" s="2" t="n">
        <v>1191</v>
      </c>
      <c r="B1192" s="2" t="inlineStr">
        <is>
          <t>не сюжет</t>
        </is>
      </c>
      <c r="C1192" s="2" t="n">
        <v>9881</v>
      </c>
      <c r="D1192" s="3" t="inlineStr">
        <is>
          <t>Соло</t>
        </is>
      </c>
      <c r="E1192" s="2" t="n">
        <v>1970</v>
      </c>
      <c r="F1192" s="2" t="inlineStr">
        <is>
          <t>кинофильм</t>
        </is>
      </c>
      <c r="G1192" s="2" t="inlineStr">
        <is>
          <t>Мосфильм</t>
        </is>
      </c>
      <c r="H1192" s="2" t="n">
        <v>45</v>
      </c>
      <c r="I1192" s="2" t="inlineStr"/>
      <c r="J1192" s="2" t="inlineStr">
        <is>
          <t>да</t>
        </is>
      </c>
      <c r="K1192" s="3" t="inlineStr">
        <is>
          <t>По мотивам одноименного рассказа М. Горького.</t>
        </is>
      </c>
      <c r="L1192" s="2" t="inlineStr">
        <is>
          <t>https://www.kino-teatr.ru/short/movie/sov/6651/annot/</t>
        </is>
      </c>
      <c r="M1192" s="2">
        <f>HYPERLINK("https://ru.wikipedia.org/w/index.php?search=%D0%A1%D0%BE%D0%BB%D0%BE%201970%20%D1%84%D0%B8%D0%BB%D1%8C%D0%BC","искать")</f>
        <v/>
      </c>
      <c r="N1192" s="3" t="n"/>
      <c r="O1192" s="2" t="n"/>
      <c r="P1192" s="2" t="n"/>
    </row>
    <row r="1193">
      <c r="A1193" s="2" t="n">
        <v>1192</v>
      </c>
      <c r="B1193" s="2" t="inlineStr">
        <is>
          <t>не сюжет</t>
        </is>
      </c>
      <c r="C1193" s="2" t="n">
        <v>10054</v>
      </c>
      <c r="D1193" s="3" t="inlineStr">
        <is>
          <t>Месть</t>
        </is>
      </c>
      <c r="E1193" s="2" t="n">
        <v>1991</v>
      </c>
      <c r="F1193" s="2" t="inlineStr">
        <is>
          <t>кинофильм</t>
        </is>
      </c>
      <c r="G1193" s="2" t="inlineStr">
        <is>
          <t>Азербайджанфильм (студия "Дебют")</t>
        </is>
      </c>
      <c r="H1193" s="2" t="n">
        <v>45</v>
      </c>
      <c r="I1193" s="2" t="inlineStr"/>
      <c r="J1193" s="2" t="inlineStr">
        <is>
          <t>да</t>
        </is>
      </c>
      <c r="K1193" s="3" t="inlineStr">
        <is>
          <t>По мотивам одноименного рассказа Б.Вахабзаде.</t>
        </is>
      </c>
      <c r="L1193" s="2" t="inlineStr">
        <is>
          <t>https://www.kino-teatr.ru/short/movie/sov/85423/annot/</t>
        </is>
      </c>
      <c r="M1193" s="2">
        <f>HYPERLINK("https://ru.wikipedia.org/w/index.php?search=%D0%9C%D0%B5%D1%81%D1%82%D1%8C%201991%20%D1%84%D0%B8%D0%BB%D1%8C%D0%BC","искать")</f>
        <v/>
      </c>
      <c r="N1193" s="3" t="n"/>
      <c r="O1193" s="2" t="n"/>
      <c r="P1193" s="2" t="n"/>
    </row>
    <row r="1194">
      <c r="A1194" s="2" t="n">
        <v>1193</v>
      </c>
      <c r="B1194" s="2" t="inlineStr">
        <is>
          <t>не сюжет</t>
        </is>
      </c>
      <c r="C1194" s="2" t="n">
        <v>10302</v>
      </c>
      <c r="D1194" s="3" t="inlineStr">
        <is>
          <t>Господа Головлевы</t>
        </is>
      </c>
      <c r="E1194" s="2" t="n">
        <v>1969</v>
      </c>
      <c r="F1194" s="2" t="inlineStr">
        <is>
          <t>фильм-спектакль</t>
        </is>
      </c>
      <c r="G1194" s="2" t="inlineStr">
        <is>
          <t>Ленинградское телевидение</t>
        </is>
      </c>
      <c r="H1194" s="2" t="n">
        <v>45</v>
      </c>
      <c r="I1194" s="2" t="inlineStr"/>
      <c r="J1194" s="2" t="inlineStr">
        <is>
          <t>да</t>
        </is>
      </c>
      <c r="K1194" s="3" t="inlineStr">
        <is>
          <t>По одноименному роману М.Е.Салтыкова-Щедрина.</t>
        </is>
      </c>
      <c r="L1194" s="2" t="inlineStr">
        <is>
          <t>https://www.kino-teatr.ru/teatr/movie/92969/annot/</t>
        </is>
      </c>
      <c r="M1194" s="2">
        <f>HYPERLINK("https://ru.wikipedia.org/w/index.php?search=%D0%93%D0%BE%D1%81%D0%BF%D0%BE%D0%B4%D0%B0%20%D0%93%D0%BE%D0%BB%D0%BE%D0%B2%D0%BB%D0%B5%D0%B2%D1%8B%201969%20%D1%84%D0%B8%D0%BB%D1%8C%D0%BC","искать")</f>
        <v/>
      </c>
      <c r="N1194" s="3" t="n"/>
      <c r="O1194" s="2" t="n"/>
      <c r="P1194" s="2" t="n"/>
    </row>
    <row r="1195">
      <c r="A1195" s="2" t="n">
        <v>1194</v>
      </c>
      <c r="B1195" s="2" t="inlineStr">
        <is>
          <t>не сюжет</t>
        </is>
      </c>
      <c r="C1195" s="2" t="n">
        <v>11645</v>
      </c>
      <c r="D1195" s="3" t="inlineStr">
        <is>
          <t>Слово о хлебе</t>
        </is>
      </c>
      <c r="E1195" s="2" t="n">
        <v>1971</v>
      </c>
      <c r="F1195" s="2" t="inlineStr">
        <is>
          <t>мультфильм</t>
        </is>
      </c>
      <c r="G1195" s="2" t="inlineStr">
        <is>
          <t>Союзмультфильм</t>
        </is>
      </c>
      <c r="H1195" s="2" t="n">
        <v>45</v>
      </c>
      <c r="I1195" s="2" t="inlineStr"/>
      <c r="J1195" s="2" t="inlineStr">
        <is>
          <t>да</t>
        </is>
      </c>
      <c r="K1195" s="3" t="inlineStr">
        <is>
          <t>По мотивам стихотворений Эдуарда Межелайтиса.</t>
        </is>
      </c>
      <c r="L1195" s="2" t="inlineStr">
        <is>
          <t>2026-10_мультфильмы_список_владельца.xlsx; https://animator.ru/db/?p=show_film&amp;fid=2559</t>
        </is>
      </c>
      <c r="M1195" s="2">
        <f>HYPERLINK("https://ru.wikipedia.org/w/index.php?search=%D0%A1%D0%BB%D0%BE%D0%B2%D0%BE%20%D0%BE%20%D1%85%D0%BB%D0%B5%D0%B1%D0%B5%201971%20%D1%84%D0%B8%D0%BB%D1%8C%D0%BC","искать")</f>
        <v/>
      </c>
      <c r="N1195" s="3" t="n"/>
      <c r="O1195" s="2" t="n"/>
      <c r="P1195" s="2" t="n"/>
    </row>
    <row r="1196">
      <c r="A1196" s="2" t="n">
        <v>1195</v>
      </c>
      <c r="B1196" s="2" t="inlineStr">
        <is>
          <t>не сюжет</t>
        </is>
      </c>
      <c r="C1196" s="2" t="n">
        <v>11878</v>
      </c>
      <c r="D1196" s="3" t="inlineStr">
        <is>
          <t>Мышонок Пик</t>
        </is>
      </c>
      <c r="E1196" s="2" t="n">
        <v>1978</v>
      </c>
      <c r="F1196" s="2" t="inlineStr">
        <is>
          <t>мультфильм</t>
        </is>
      </c>
      <c r="G1196" s="2" t="inlineStr">
        <is>
          <t>Союзмультфильм</t>
        </is>
      </c>
      <c r="H1196" s="2" t="n">
        <v>45</v>
      </c>
      <c r="I1196" s="2" t="inlineStr"/>
      <c r="J1196" s="2" t="inlineStr">
        <is>
          <t>да</t>
        </is>
      </c>
      <c r="K1196" s="3" t="inlineStr">
        <is>
          <t>По повести В. Бианки о зимовке полевых мышей.</t>
        </is>
      </c>
      <c r="L1196" s="2" t="inlineStr">
        <is>
          <t>2026-10_мультфильмы_список_владельца.xlsx; https://animator.ru/db/?p=show_film&amp;fid=2793</t>
        </is>
      </c>
      <c r="M1196" s="2">
        <f>HYPERLINK("https://ru.wikipedia.org/w/index.php?search=%D0%9C%D1%8B%D1%88%D0%BE%D0%BD%D0%BE%D0%BA%20%D0%9F%D0%B8%D0%BA%201978%20%D1%84%D0%B8%D0%BB%D1%8C%D0%BC","искать")</f>
        <v/>
      </c>
      <c r="N1196" s="3" t="n"/>
      <c r="O1196" s="2" t="n"/>
      <c r="P1196" s="2" t="n"/>
    </row>
    <row r="1197">
      <c r="A1197" s="2" t="n">
        <v>1196</v>
      </c>
      <c r="B1197" s="2" t="inlineStr">
        <is>
          <t>не сюжет</t>
        </is>
      </c>
      <c r="C1197" s="2" t="n">
        <v>12053</v>
      </c>
      <c r="D1197" s="3" t="inlineStr">
        <is>
          <t>Попался, который кусался!</t>
        </is>
      </c>
      <c r="E1197" s="2" t="n">
        <v>1983</v>
      </c>
      <c r="F1197" s="2" t="inlineStr">
        <is>
          <t>мультфильм</t>
        </is>
      </c>
      <c r="G1197" s="2" t="inlineStr">
        <is>
          <t>Союзмультфильм</t>
        </is>
      </c>
      <c r="H1197" s="2" t="n">
        <v>45</v>
      </c>
      <c r="I1197" s="2" t="inlineStr"/>
      <c r="J1197" s="2" t="inlineStr">
        <is>
          <t>да</t>
        </is>
      </c>
      <c r="K1197" s="3" t="inlineStr">
        <is>
          <t>О приключениях лесных обитателей. Для малышей</t>
        </is>
      </c>
      <c r="L1197" s="2" t="inlineStr">
        <is>
          <t>https://animator.ru/db/?p=show_film&amp;fid=3168</t>
        </is>
      </c>
      <c r="M1197" s="2">
        <f>HYPERLINK("https://ru.wikipedia.org/w/index.php?search=%D0%9F%D0%BE%D0%BF%D0%B0%D0%BB%D1%81%D1%8F%2C%20%D0%BA%D0%BE%D1%82%D0%BE%D1%80%D1%8B%D0%B9%20%D0%BA%D1%83%D1%81%D0%B0%D0%BB%D1%81%D1%8F%21%201983%20%D1%84%D0%B8%D0%BB%D1%8C%D0%BC","искать")</f>
        <v/>
      </c>
      <c r="N1197" s="3" t="n"/>
      <c r="O1197" s="2" t="n"/>
      <c r="P1197" s="2" t="n"/>
    </row>
    <row r="1198">
      <c r="A1198" s="2" t="n">
        <v>1197</v>
      </c>
      <c r="B1198" s="2" t="inlineStr">
        <is>
          <t>не сюжет</t>
        </is>
      </c>
      <c r="C1198" s="2" t="n">
        <v>12216</v>
      </c>
      <c r="D1198" s="3" t="inlineStr">
        <is>
          <t>Освобожденный Дон Кихот</t>
        </is>
      </c>
      <c r="E1198" s="2" t="n">
        <v>1987</v>
      </c>
      <c r="F1198" s="2" t="inlineStr">
        <is>
          <t>мультфильм</t>
        </is>
      </c>
      <c r="G1198" s="2" t="inlineStr">
        <is>
          <t>Союзмультфильм</t>
        </is>
      </c>
      <c r="H1198" s="2" t="n">
        <v>45</v>
      </c>
      <c r="I1198" s="2" t="inlineStr"/>
      <c r="J1198" s="2" t="inlineStr">
        <is>
          <t>да</t>
        </is>
      </c>
      <c r="K1198" s="3" t="inlineStr">
        <is>
          <t>По мотивам одноименной пьесы А.В.Луначарского</t>
        </is>
      </c>
      <c r="L1198" s="2" t="inlineStr">
        <is>
          <t>https://animator.ru/db/?p=show_film&amp;fid=3333</t>
        </is>
      </c>
      <c r="M1198" s="2">
        <f>HYPERLINK("https://ru.wikipedia.org/w/index.php?search=%D0%9E%D1%81%D0%B2%D0%BE%D0%B1%D0%BE%D0%B6%D0%B4%D0%B5%D0%BD%D0%BD%D1%8B%D0%B9%20%D0%94%D0%BE%D0%BD%20%D0%9A%D0%B8%D1%85%D0%BE%D1%82%201987%20%D1%84%D0%B8%D0%BB%D1%8C%D0%BC","искать")</f>
        <v/>
      </c>
      <c r="N1198" s="3" t="n"/>
      <c r="O1198" s="2" t="n"/>
      <c r="P1198" s="2" t="n"/>
    </row>
    <row r="1199">
      <c r="A1199" s="2" t="n">
        <v>1198</v>
      </c>
      <c r="B1199" s="2" t="inlineStr">
        <is>
          <t>не сюжет</t>
        </is>
      </c>
      <c r="C1199" s="2" t="n">
        <v>12263</v>
      </c>
      <c r="D1199" s="3" t="inlineStr">
        <is>
          <t>Эксперимент</t>
        </is>
      </c>
      <c r="E1199" s="2" t="n">
        <v>1988</v>
      </c>
      <c r="F1199" s="2" t="inlineStr">
        <is>
          <t>мультфильм</t>
        </is>
      </c>
      <c r="G1199" s="2" t="inlineStr">
        <is>
          <t>Союзмультфильм</t>
        </is>
      </c>
      <c r="H1199" s="2" t="n">
        <v>45</v>
      </c>
      <c r="I1199" s="2" t="inlineStr"/>
      <c r="J1199" s="2" t="inlineStr">
        <is>
          <t>да</t>
        </is>
      </c>
      <c r="K1199" s="3" t="inlineStr">
        <is>
          <t>Сатирический фильм о бюрократах. Для взрослых</t>
        </is>
      </c>
      <c r="L1199" s="2" t="inlineStr">
        <is>
          <t>https://animator.ru/db/?p=show_film&amp;fid=3380</t>
        </is>
      </c>
      <c r="M1199" s="2">
        <f>HYPERLINK("https://ru.wikipedia.org/w/index.php?search=%D0%AD%D0%BA%D1%81%D0%BF%D0%B5%D1%80%D0%B8%D0%BC%D0%B5%D0%BD%D1%82%201988%20%D1%84%D0%B8%D0%BB%D1%8C%D0%BC","искать")</f>
        <v/>
      </c>
      <c r="N1199" s="3" t="n"/>
      <c r="O1199" s="2" t="n"/>
      <c r="P1199" s="2" t="n"/>
    </row>
    <row r="1200">
      <c r="A1200" s="2" t="n">
        <v>1199</v>
      </c>
      <c r="B1200" s="2" t="inlineStr">
        <is>
          <t>не сюжет</t>
        </is>
      </c>
      <c r="C1200" s="2" t="n">
        <v>12349</v>
      </c>
      <c r="D1200" s="3" t="inlineStr">
        <is>
          <t>Гришкины книжки</t>
        </is>
      </c>
      <c r="E1200" s="2" t="n">
        <v>1979</v>
      </c>
      <c r="F1200" s="2" t="inlineStr">
        <is>
          <t>мультфильм</t>
        </is>
      </c>
      <c r="G1200" s="2" t="inlineStr">
        <is>
          <t>КИЕВНАУЧФИЛЬМ</t>
        </is>
      </c>
      <c r="H1200" s="2" t="n">
        <v>45</v>
      </c>
      <c r="I1200" s="2" t="inlineStr"/>
      <c r="J1200" s="2" t="inlineStr">
        <is>
          <t>да</t>
        </is>
      </c>
      <c r="K1200" s="3" t="inlineStr">
        <is>
          <t>По стихотворению Маршака "Книжка про книжку".</t>
        </is>
      </c>
      <c r="L1200" s="2" t="inlineStr">
        <is>
          <t>2026-10_мультфильмы_список_владельца.xlsx; https://animator.ru/db/?p=show_film&amp;fid=3516</t>
        </is>
      </c>
      <c r="M1200" s="2">
        <f>HYPERLINK("https://ru.wikipedia.org/w/index.php?search=%D0%93%D1%80%D0%B8%D1%88%D0%BA%D0%B8%D0%BD%D1%8B%20%D0%BA%D0%BD%D0%B8%D0%B6%D0%BA%D0%B8%201979%20%D1%84%D0%B8%D0%BB%D1%8C%D0%BC","искать")</f>
        <v/>
      </c>
      <c r="N1200" s="3" t="n"/>
      <c r="O1200" s="2" t="n"/>
      <c r="P1200" s="2" t="n"/>
    </row>
    <row r="1201">
      <c r="A1201" s="2" t="n">
        <v>1200</v>
      </c>
      <c r="B1201" s="2" t="inlineStr">
        <is>
          <t>не сюжет</t>
        </is>
      </c>
      <c r="C1201" s="2" t="n">
        <v>12397</v>
      </c>
      <c r="D1201" s="3" t="inlineStr">
        <is>
          <t>Как воробей ум искал (Несмышленый воробей)</t>
        </is>
      </c>
      <c r="E1201" s="2" t="n">
        <v>1970</v>
      </c>
      <c r="F1201" s="2" t="inlineStr">
        <is>
          <t>мультфильм</t>
        </is>
      </c>
      <c r="G1201" s="2" t="inlineStr">
        <is>
          <t>КИЕВНАУЧФИЛЬМ</t>
        </is>
      </c>
      <c r="H1201" s="2" t="n">
        <v>45</v>
      </c>
      <c r="I1201" s="2" t="inlineStr"/>
      <c r="J1201" s="2" t="inlineStr">
        <is>
          <t>да</t>
        </is>
      </c>
      <c r="K1201" s="3" t="inlineStr">
        <is>
          <t>По мотивам сказки Леси Украинки "Беда научит"</t>
        </is>
      </c>
      <c r="L1201" s="2" t="inlineStr">
        <is>
          <t>https://animator.ru/db/?p=show_film&amp;fid=3568</t>
        </is>
      </c>
      <c r="M1201" s="2">
        <f>HYPERLINK("https://ru.wikipedia.org/w/index.php?search=%D0%9A%D0%B0%D0%BA%20%D0%B2%D0%BE%D1%80%D0%BE%D0%B1%D0%B5%D0%B9%20%D1%83%D0%BC%20%D0%B8%D1%81%D0%BA%D0%B0%D0%BB%20%28%D0%9D%D0%B5%D1%81%D0%BC%D1%8B%D1%88%D0%BB%D0%B5%D0%BD%D1%8B%D0%B9%20%D0%B2%D0%BE%D1%80%D0%BE%D0%B1%D0%B5%D0%B9%29%201970%20%D1%84%D0%B8%D0%BB%D1%8C%D0%BC","искать")</f>
        <v/>
      </c>
      <c r="N1201" s="3" t="n"/>
      <c r="O1201" s="2" t="n"/>
      <c r="P1201" s="2" t="n"/>
    </row>
    <row r="1202">
      <c r="A1202" s="2" t="n">
        <v>1201</v>
      </c>
      <c r="B1202" s="2" t="inlineStr">
        <is>
          <t>не сюжет</t>
        </is>
      </c>
      <c r="C1202" s="2" t="n">
        <v>12582</v>
      </c>
      <c r="D1202" s="3" t="inlineStr">
        <is>
          <t>Тигренок в чайнике</t>
        </is>
      </c>
      <c r="E1202" s="2" t="n">
        <v>1972</v>
      </c>
      <c r="F1202" s="2" t="inlineStr">
        <is>
          <t>мультфильм</t>
        </is>
      </c>
      <c r="G1202" s="2" t="inlineStr">
        <is>
          <t>КИЕВНАУЧФИЛЬМ</t>
        </is>
      </c>
      <c r="H1202" s="2" t="n">
        <v>45</v>
      </c>
      <c r="I1202" s="2" t="inlineStr"/>
      <c r="J1202" s="2" t="inlineStr">
        <is>
          <t>да</t>
        </is>
      </c>
      <c r="K1202" s="3" t="inlineStr">
        <is>
          <t>По сказке английской писательницы Бетти Ярдиш</t>
        </is>
      </c>
      <c r="L1202" s="2" t="inlineStr">
        <is>
          <t>https://animator.ru/db/?p=show_film&amp;fid=3762</t>
        </is>
      </c>
      <c r="M1202" s="2">
        <f>HYPERLINK("https://ru.wikipedia.org/w/index.php?search=%D0%A2%D0%B8%D0%B3%D1%80%D0%B5%D0%BD%D0%BE%D0%BA%20%D0%B2%20%D1%87%D0%B0%D0%B9%D0%BD%D0%B8%D0%BA%D0%B5%201972%20%D1%84%D0%B8%D0%BB%D1%8C%D0%BC","искать")</f>
        <v/>
      </c>
      <c r="N1202" s="3" t="n"/>
      <c r="O1202" s="2" t="n"/>
      <c r="P1202" s="2" t="n"/>
    </row>
    <row r="1203">
      <c r="A1203" s="2" t="n">
        <v>1202</v>
      </c>
      <c r="B1203" s="2" t="inlineStr">
        <is>
          <t>не сюжет</t>
        </is>
      </c>
      <c r="C1203" s="2" t="n">
        <v>12584</v>
      </c>
      <c r="D1203" s="3" t="inlineStr">
        <is>
          <t>Трубка мира</t>
        </is>
      </c>
      <c r="E1203" s="2" t="n">
        <v>1979</v>
      </c>
      <c r="F1203" s="2" t="inlineStr">
        <is>
          <t>мультфильм</t>
        </is>
      </c>
      <c r="G1203" s="2" t="inlineStr">
        <is>
          <t>КИЕВНАУЧФИЛЬМ</t>
        </is>
      </c>
      <c r="H1203" s="2" t="n">
        <v>45</v>
      </c>
      <c r="I1203" s="2" t="inlineStr"/>
      <c r="J1203" s="2" t="inlineStr">
        <is>
          <t>да</t>
        </is>
      </c>
      <c r="K1203" s="3" t="inlineStr">
        <is>
          <t>По мотивам поэмы Лонгфелло "Песня о Гайавате"</t>
        </is>
      </c>
      <c r="L1203" s="2" t="inlineStr">
        <is>
          <t>https://animator.ru/db/?p=show_film&amp;fid=3764</t>
        </is>
      </c>
      <c r="M1203" s="2">
        <f>HYPERLINK("https://ru.wikipedia.org/w/index.php?search=%D0%A2%D1%80%D1%83%D0%B1%D0%BA%D0%B0%20%D0%BC%D0%B8%D1%80%D0%B0%201979%20%D1%84%D0%B8%D0%BB%D1%8C%D0%BC","искать")</f>
        <v/>
      </c>
      <c r="N1203" s="3" t="n"/>
      <c r="O1203" s="2" t="n"/>
      <c r="P1203" s="2" t="n"/>
    </row>
    <row r="1204">
      <c r="A1204" s="2" t="n">
        <v>1203</v>
      </c>
      <c r="B1204" s="2" t="inlineStr">
        <is>
          <t>не сюжет</t>
        </is>
      </c>
      <c r="C1204" s="2" t="n">
        <v>12604</v>
      </c>
      <c r="D1204" s="3" t="inlineStr">
        <is>
          <t>Чудосея</t>
        </is>
      </c>
      <c r="E1204" s="2" t="n">
        <v>1987</v>
      </c>
      <c r="F1204" s="2" t="inlineStr">
        <is>
          <t>мультфильм</t>
        </is>
      </c>
      <c r="G1204" s="2" t="inlineStr">
        <is>
          <t>КИЕВНАУЧФИЛЬМ</t>
        </is>
      </c>
      <c r="H1204" s="2" t="n">
        <v>45</v>
      </c>
      <c r="I1204" s="2" t="inlineStr"/>
      <c r="J1204" s="2" t="inlineStr">
        <is>
          <t>да</t>
        </is>
      </c>
      <c r="K1204" s="3" t="inlineStr">
        <is>
          <t>По мотивам шуточных стихов Степана Руданского</t>
        </is>
      </c>
      <c r="L1204" s="2" t="inlineStr">
        <is>
          <t>https://animator.ru/db/?p=show_film&amp;fid=3784</t>
        </is>
      </c>
      <c r="M1204" s="2">
        <f>HYPERLINK("https://ru.wikipedia.org/w/index.php?search=%D0%A7%D1%83%D0%B4%D0%BE%D1%81%D0%B5%D1%8F%201987%20%D1%84%D0%B8%D0%BB%D1%8C%D0%BC","искать")</f>
        <v/>
      </c>
      <c r="N1204" s="3" t="n"/>
      <c r="O1204" s="2" t="n"/>
      <c r="P1204" s="2" t="n"/>
    </row>
    <row r="1205">
      <c r="A1205" s="2" t="n">
        <v>1204</v>
      </c>
      <c r="B1205" s="2" t="inlineStr">
        <is>
          <t>не сюжет</t>
        </is>
      </c>
      <c r="C1205" s="2" t="n">
        <v>12818</v>
      </c>
      <c r="D1205" s="3" t="inlineStr">
        <is>
          <t>Кувшин масла (Разбитые мечты)</t>
        </is>
      </c>
      <c r="E1205" s="2" t="n">
        <v>1972</v>
      </c>
      <c r="F1205" s="2" t="inlineStr">
        <is>
          <t>мультфильм</t>
        </is>
      </c>
      <c r="G1205" s="2" t="inlineStr">
        <is>
          <t>ГРУЗИЯ-ФИЛЬМ - АО</t>
        </is>
      </c>
      <c r="H1205" s="2" t="n">
        <v>45</v>
      </c>
      <c r="I1205" s="2" t="inlineStr"/>
      <c r="J1205" s="2" t="inlineStr">
        <is>
          <t>да</t>
        </is>
      </c>
      <c r="K1205" s="3" t="inlineStr">
        <is>
          <t>По мотивам произведений Сулхан-Саба Орбелиани</t>
        </is>
      </c>
      <c r="L1205" s="2" t="inlineStr">
        <is>
          <t>https://animator.ru/db/?p=show_film&amp;fid=4030</t>
        </is>
      </c>
      <c r="M1205" s="2">
        <f>HYPERLINK("https://ru.wikipedia.org/w/index.php?search=%D0%9A%D1%83%D0%B2%D1%88%D0%B8%D0%BD%20%D0%BC%D0%B0%D1%81%D0%BB%D0%B0%20%28%D0%A0%D0%B0%D0%B7%D0%B1%D0%B8%D1%82%D1%8B%D0%B5%20%D0%BC%D0%B5%D1%87%D1%82%D1%8B%29%201972%20%D1%84%D0%B8%D0%BB%D1%8C%D0%BC","искать")</f>
        <v/>
      </c>
      <c r="N1205" s="3" t="n"/>
      <c r="O1205" s="2" t="n"/>
      <c r="P1205" s="2" t="n"/>
    </row>
    <row r="1206">
      <c r="A1206" s="2" t="n">
        <v>1205</v>
      </c>
      <c r="B1206" s="2" t="inlineStr">
        <is>
          <t>не сюжет</t>
        </is>
      </c>
      <c r="C1206" s="2" t="n">
        <v>13156</v>
      </c>
      <c r="D1206" s="3" t="inlineStr">
        <is>
          <t>Как кот с мышами воевал</t>
        </is>
      </c>
      <c r="E1206" s="2" t="n">
        <v>1986</v>
      </c>
      <c r="F1206" s="2" t="inlineStr">
        <is>
          <t>мультфильм</t>
        </is>
      </c>
      <c r="G1206" s="2" t="inlineStr">
        <is>
          <t>ТАДЖИКФИЛЬМ</t>
        </is>
      </c>
      <c r="H1206" s="2" t="n">
        <v>45</v>
      </c>
      <c r="I1206" s="2" t="inlineStr"/>
      <c r="J1206" s="2" t="inlineStr">
        <is>
          <t>да</t>
        </is>
      </c>
      <c r="K1206" s="3" t="inlineStr">
        <is>
          <t>По мотивам поэмы-сказки У.Закони "Кот и мыши"</t>
        </is>
      </c>
      <c r="L1206" s="2" t="inlineStr">
        <is>
          <t>https://animator.ru/db/?p=show_film&amp;fid=4393</t>
        </is>
      </c>
      <c r="M1206" s="2">
        <f>HYPERLINK("https://ru.wikipedia.org/w/index.php?search=%D0%9A%D0%B0%D0%BA%20%D0%BA%D0%BE%D1%82%20%D1%81%20%D0%BC%D1%8B%D1%88%D0%B0%D0%BC%D0%B8%20%D0%B2%D0%BE%D0%B5%D0%B2%D0%B0%D0%BB%201986%20%D1%84%D0%B8%D0%BB%D1%8C%D0%BC","искать")</f>
        <v/>
      </c>
      <c r="N1206" s="3" t="n"/>
      <c r="O1206" s="2" t="n"/>
      <c r="P1206" s="2" t="n"/>
    </row>
    <row r="1207">
      <c r="A1207" s="2" t="n">
        <v>1206</v>
      </c>
      <c r="B1207" s="2" t="inlineStr">
        <is>
          <t>не сюжет</t>
        </is>
      </c>
      <c r="C1207" s="2" t="n">
        <v>13217</v>
      </c>
      <c r="D1207" s="3" t="inlineStr">
        <is>
          <t>Концерт</t>
        </is>
      </c>
      <c r="E1207" s="2" t="n">
        <v>1990</v>
      </c>
      <c r="F1207" s="2" t="inlineStr">
        <is>
          <t>мультфильм</t>
        </is>
      </c>
      <c r="G1207" s="2" t="inlineStr">
        <is>
          <t>УЗБЕКФИЛЬМ</t>
        </is>
      </c>
      <c r="H1207" s="2" t="n">
        <v>45</v>
      </c>
      <c r="I1207" s="2" t="inlineStr"/>
      <c r="J1207" s="2" t="inlineStr">
        <is>
          <t>да</t>
        </is>
      </c>
      <c r="K1207" s="3" t="inlineStr">
        <is>
          <t>Фантазия на тему "люди и звери". Для взрослых</t>
        </is>
      </c>
      <c r="L1207" s="2" t="inlineStr">
        <is>
          <t>https://animator.ru/db/?p=show_film&amp;fid=4456</t>
        </is>
      </c>
      <c r="M1207" s="2">
        <f>HYPERLINK("https://ru.wikipedia.org/w/index.php?search=%D0%9A%D0%BE%D0%BD%D1%86%D0%B5%D1%80%D1%82%201990%20%D1%84%D0%B8%D0%BB%D1%8C%D0%BC","искать")</f>
        <v/>
      </c>
      <c r="N1207" s="3" t="n"/>
      <c r="O1207" s="2" t="n"/>
      <c r="P1207" s="2" t="n"/>
    </row>
    <row r="1208">
      <c r="A1208" s="2" t="n">
        <v>1207</v>
      </c>
      <c r="B1208" s="2" t="inlineStr">
        <is>
          <t>не сюжет</t>
        </is>
      </c>
      <c r="C1208" s="2" t="n">
        <v>13437</v>
      </c>
      <c r="D1208" s="3" t="inlineStr">
        <is>
          <t>Гори, гори ясно</t>
        </is>
      </c>
      <c r="E1208" s="2" t="n">
        <v>1983</v>
      </c>
      <c r="F1208" s="2" t="inlineStr">
        <is>
          <t>мультфильм</t>
        </is>
      </c>
      <c r="G1208" s="2" t="inlineStr">
        <is>
          <t>ЭКРАН</t>
        </is>
      </c>
      <c r="H1208" s="2" t="n">
        <v>45</v>
      </c>
      <c r="I1208" s="2" t="inlineStr"/>
      <c r="J1208" s="2" t="inlineStr">
        <is>
          <t>да</t>
        </is>
      </c>
      <c r="K1208" s="3" t="inlineStr">
        <is>
          <t>Использованы потешки и считалочки В.Берестова</t>
        </is>
      </c>
      <c r="L1208" s="2" t="inlineStr">
        <is>
          <t>https://animator.ru/db/?p=show_film&amp;fid=4718</t>
        </is>
      </c>
      <c r="M1208" s="2">
        <f>HYPERLINK("https://ru.wikipedia.org/w/index.php?search=%D0%93%D0%BE%D1%80%D0%B8%2C%20%D0%B3%D0%BE%D1%80%D0%B8%20%D1%8F%D1%81%D0%BD%D0%BE%201983%20%D1%84%D0%B8%D0%BB%D1%8C%D0%BC","искать")</f>
        <v/>
      </c>
      <c r="N1208" s="3" t="n"/>
      <c r="O1208" s="2" t="n"/>
      <c r="P1208" s="2" t="n"/>
    </row>
    <row r="1209">
      <c r="A1209" s="2" t="n">
        <v>1208</v>
      </c>
      <c r="B1209" s="2" t="inlineStr">
        <is>
          <t>не сюжет</t>
        </is>
      </c>
      <c r="C1209" s="2" t="n">
        <v>13501</v>
      </c>
      <c r="D1209" s="3" t="inlineStr">
        <is>
          <t>Проделки Рамзеса ч.1</t>
        </is>
      </c>
      <c r="E1209" s="2" t="n">
        <v>1986</v>
      </c>
      <c r="F1209" s="2" t="inlineStr">
        <is>
          <t>мультфильм</t>
        </is>
      </c>
      <c r="G1209" s="2" t="inlineStr">
        <is>
          <t>ТАЛЛИННФИЛЬМ, Свердловская киностудия</t>
        </is>
      </c>
      <c r="H1209" s="2" t="n">
        <v>45</v>
      </c>
      <c r="I1209" s="2" t="inlineStr"/>
      <c r="J1209" s="2" t="inlineStr">
        <is>
          <t>да</t>
        </is>
      </c>
      <c r="K1209" s="3" t="inlineStr">
        <is>
          <t>Про жизнь охотничьего пса. Мультфильм первый.</t>
        </is>
      </c>
      <c r="L1209" s="2" t="inlineStr">
        <is>
          <t>2026-10_мультфильмы_список_владельца.xlsx; https://animator.ru/db/?p=show_film&amp;fid=4791</t>
        </is>
      </c>
      <c r="M1209" s="2">
        <f>HYPERLINK("https://ru.wikipedia.org/w/index.php?search=%D0%9F%D1%80%D0%BE%D0%B4%D0%B5%D0%BB%D0%BA%D0%B8%20%D0%A0%D0%B0%D0%BC%D0%B7%D0%B5%D1%81%D0%B0%20%D1%87.1%201986%20%D1%84%D0%B8%D0%BB%D1%8C%D0%BC","искать")</f>
        <v/>
      </c>
      <c r="N1209" s="3" t="n"/>
      <c r="O1209" s="2" t="n"/>
      <c r="P1209" s="2" t="n"/>
    </row>
    <row r="1210">
      <c r="A1210" s="2" t="n">
        <v>1209</v>
      </c>
      <c r="B1210" s="2" t="inlineStr">
        <is>
          <t>не сюжет</t>
        </is>
      </c>
      <c r="C1210" s="2" t="n">
        <v>13585</v>
      </c>
      <c r="D1210" s="3" t="inlineStr">
        <is>
          <t>Два медвежонка</t>
        </is>
      </c>
      <c r="E1210" s="2" t="n">
        <v>1977</v>
      </c>
      <c r="F1210" s="2" t="inlineStr">
        <is>
          <t>мультфильм</t>
        </is>
      </c>
      <c r="G1210" s="2" t="inlineStr">
        <is>
          <t>ПЕРМЬТЕЛЕФИЛЬМ</t>
        </is>
      </c>
      <c r="H1210" s="2" t="n">
        <v>45</v>
      </c>
      <c r="I1210" s="2" t="inlineStr"/>
      <c r="J1210" s="2" t="inlineStr">
        <is>
          <t>да</t>
        </is>
      </c>
      <c r="K1210" s="3" t="inlineStr">
        <is>
          <t>О бережном обращении с игрушками. Для малышей</t>
        </is>
      </c>
      <c r="L1210" s="2" t="inlineStr">
        <is>
          <t>https://animator.ru/db/?p=show_film&amp;fid=4931</t>
        </is>
      </c>
      <c r="M1210" s="2">
        <f>HYPERLINK("https://ru.wikipedia.org/w/index.php?search=%D0%94%D0%B2%D0%B0%20%D0%BC%D0%B5%D0%B4%D0%B2%D0%B5%D0%B6%D0%BE%D0%BD%D0%BA%D0%B0%201977%20%D1%84%D0%B8%D0%BB%D1%8C%D0%BC","искать")</f>
        <v/>
      </c>
      <c r="N1210" s="3" t="n"/>
      <c r="O1210" s="2" t="n"/>
      <c r="P1210" s="2" t="n"/>
    </row>
    <row r="1211">
      <c r="A1211" s="2" t="n">
        <v>1210</v>
      </c>
      <c r="B1211" s="2" t="inlineStr">
        <is>
          <t>не сюжет</t>
        </is>
      </c>
      <c r="C1211" s="2" t="n">
        <v>13671</v>
      </c>
      <c r="D1211" s="3" t="inlineStr">
        <is>
          <t>Гром не грянет</t>
        </is>
      </c>
      <c r="E1211" s="2" t="n">
        <v>1988</v>
      </c>
      <c r="F1211" s="2" t="inlineStr">
        <is>
          <t>мультфильм</t>
        </is>
      </c>
      <c r="G1211" s="2" t="inlineStr">
        <is>
          <t>ЭКРАН</t>
        </is>
      </c>
      <c r="H1211" s="2" t="n">
        <v>45</v>
      </c>
      <c r="I1211" s="2" t="inlineStr"/>
      <c r="J1211" s="2" t="inlineStr">
        <is>
          <t>да</t>
        </is>
      </c>
      <c r="K1211" s="3" t="inlineStr">
        <is>
          <t>Плакат на производственную тему. Для взрослых</t>
        </is>
      </c>
      <c r="L1211" s="2" t="inlineStr">
        <is>
          <t>https://animator.ru/db/?p=show_film&amp;fid=5063</t>
        </is>
      </c>
      <c r="M1211" s="2">
        <f>HYPERLINK("https://ru.wikipedia.org/w/index.php?search=%D0%93%D1%80%D0%BE%D0%BC%20%D0%BD%D0%B5%20%D0%B3%D1%80%D1%8F%D0%BD%D0%B5%D1%82%201988%20%D1%84%D0%B8%D0%BB%D1%8C%D0%BC","искать")</f>
        <v/>
      </c>
      <c r="N1211" s="3" t="n"/>
      <c r="O1211" s="2" t="n"/>
      <c r="P1211" s="2" t="n"/>
    </row>
    <row r="1212">
      <c r="A1212" s="2" t="n">
        <v>1211</v>
      </c>
      <c r="B1212" s="2" t="inlineStr">
        <is>
          <t>не сюжет</t>
        </is>
      </c>
      <c r="C1212" s="2" t="n">
        <v>13699</v>
      </c>
      <c r="D1212" s="3" t="inlineStr">
        <is>
          <t>Здесь могут водиться тигры</t>
        </is>
      </c>
      <c r="E1212" s="2" t="n">
        <v>1989</v>
      </c>
      <c r="F1212" s="2" t="inlineStr">
        <is>
          <t>мультфильм</t>
        </is>
      </c>
      <c r="G1212" s="2" t="inlineStr">
        <is>
          <t>ЭКРАН</t>
        </is>
      </c>
      <c r="H1212" s="2" t="n">
        <v>45</v>
      </c>
      <c r="I1212" s="2" t="inlineStr"/>
      <c r="J1212" s="2" t="inlineStr">
        <is>
          <t>да</t>
        </is>
      </c>
      <c r="K1212" s="3" t="inlineStr">
        <is>
          <t>По мотивам одноименного рассказа Рэя Брэдбери</t>
        </is>
      </c>
      <c r="L1212" s="2" t="inlineStr">
        <is>
          <t>https://animator.ru/db/?p=show_film&amp;fid=5092</t>
        </is>
      </c>
      <c r="M1212" s="2">
        <f>HYPERLINK("https://ru.wikipedia.org/w/index.php?search=%D0%97%D0%B4%D0%B5%D1%81%D1%8C%20%D0%BC%D0%BE%D0%B3%D1%83%D1%82%20%D0%B2%D0%BE%D0%B4%D0%B8%D1%82%D1%8C%D1%81%D1%8F%20%D1%82%D0%B8%D0%B3%D1%80%D1%8B%201989%20%D1%84%D0%B8%D0%BB%D1%8C%D0%BC","искать")</f>
        <v/>
      </c>
      <c r="N1212" s="3" t="n"/>
      <c r="O1212" s="2" t="n"/>
      <c r="P1212" s="2" t="n"/>
    </row>
    <row r="1213">
      <c r="A1213" s="2" t="n">
        <v>1212</v>
      </c>
      <c r="B1213" s="2" t="inlineStr">
        <is>
          <t>не сюжет</t>
        </is>
      </c>
      <c r="C1213" s="2" t="n">
        <v>14000</v>
      </c>
      <c r="D1213" s="3" t="inlineStr">
        <is>
          <t>Шмель</t>
        </is>
      </c>
      <c r="E1213" s="2" t="n">
        <v>1981</v>
      </c>
      <c r="F1213" s="2" t="inlineStr">
        <is>
          <t>мультфильм</t>
        </is>
      </c>
      <c r="G1213" s="2" t="inlineStr">
        <is>
          <t>ЭКРАН</t>
        </is>
      </c>
      <c r="H1213" s="2" t="n">
        <v>45</v>
      </c>
      <c r="I1213" s="2" t="inlineStr"/>
      <c r="J1213" s="2" t="inlineStr">
        <is>
          <t>да</t>
        </is>
      </c>
      <c r="K1213" s="3" t="inlineStr">
        <is>
          <t>Живописный этюд о цветах на музыку Скарлатти.</t>
        </is>
      </c>
      <c r="L1213" s="2" t="inlineStr">
        <is>
          <t>2026-10_мультфильмы_список_владельца.xlsx; https://animator.ru/db/?p=show_film&amp;fid=5394</t>
        </is>
      </c>
      <c r="M1213" s="2">
        <f>HYPERLINK("https://ru.wikipedia.org/w/index.php?search=%D0%A8%D0%BC%D0%B5%D0%BB%D1%8C%201981%20%D1%84%D0%B8%D0%BB%D1%8C%D0%BC","искать")</f>
        <v/>
      </c>
      <c r="N1213" s="3" t="n"/>
      <c r="O1213" s="2" t="n"/>
      <c r="P1213" s="2" t="n"/>
    </row>
    <row r="1214">
      <c r="A1214" s="2" t="n">
        <v>1213</v>
      </c>
      <c r="B1214" s="2" t="inlineStr">
        <is>
          <t>не сюжет</t>
        </is>
      </c>
      <c r="C1214" s="2" t="n">
        <v>14007</v>
      </c>
      <c r="D1214" s="3" t="inlineStr">
        <is>
          <t>Белая бабочка</t>
        </is>
      </c>
      <c r="E1214" s="2" t="n">
        <v>1981</v>
      </c>
      <c r="F1214" s="2" t="inlineStr">
        <is>
          <t>мультфильм</t>
        </is>
      </c>
      <c r="G1214" s="2" t="inlineStr">
        <is>
          <t>Свердловская киностудия</t>
        </is>
      </c>
      <c r="H1214" s="2" t="n">
        <v>45</v>
      </c>
      <c r="I1214" s="2" t="inlineStr"/>
      <c r="J1214" s="2" t="inlineStr">
        <is>
          <t>да</t>
        </is>
      </c>
      <c r="K1214" s="3" t="inlineStr">
        <is>
          <t>По мотивам одноименной сказки Евгения Пермяка</t>
        </is>
      </c>
      <c r="L1214" s="2" t="inlineStr">
        <is>
          <t>https://animator.ru/db/?p=show_film&amp;fid=5401</t>
        </is>
      </c>
      <c r="M1214" s="2">
        <f>HYPERLINK("https://ru.wikipedia.org/w/index.php?search=%D0%91%D0%B5%D0%BB%D0%B0%D1%8F%20%D0%B1%D0%B0%D0%B1%D0%BE%D1%87%D0%BA%D0%B0%201981%20%D1%84%D0%B8%D0%BB%D1%8C%D0%BC","искать")</f>
        <v/>
      </c>
      <c r="N1214" s="3" t="n"/>
      <c r="O1214" s="2" t="n"/>
      <c r="P1214" s="2" t="n"/>
    </row>
    <row r="1215">
      <c r="A1215" s="2" t="n">
        <v>1214</v>
      </c>
      <c r="B1215" s="2" t="inlineStr">
        <is>
          <t>не сюжет</t>
        </is>
      </c>
      <c r="C1215" s="2" t="n">
        <v>14035</v>
      </c>
      <c r="D1215" s="3" t="inlineStr">
        <is>
          <t>Мамины загадки</t>
        </is>
      </c>
      <c r="E1215" s="2" t="n">
        <v>1986</v>
      </c>
      <c r="F1215" s="2" t="inlineStr">
        <is>
          <t>мультфильм</t>
        </is>
      </c>
      <c r="G1215" s="2" t="inlineStr">
        <is>
          <t>УЗБЕКФИЛЬМ</t>
        </is>
      </c>
      <c r="H1215" s="2" t="n">
        <v>45</v>
      </c>
      <c r="I1215" s="2" t="inlineStr"/>
      <c r="J1215" s="2" t="inlineStr">
        <is>
          <t>да</t>
        </is>
      </c>
      <c r="K1215" s="3" t="inlineStr">
        <is>
          <t>По мотивам стихотворений Р.Фархади. Для детей</t>
        </is>
      </c>
      <c r="L1215" s="2" t="inlineStr">
        <is>
          <t>https://animator.ru/db/?p=show_film&amp;fid=5431</t>
        </is>
      </c>
      <c r="M1215" s="2">
        <f>HYPERLINK("https://ru.wikipedia.org/w/index.php?search=%D0%9C%D0%B0%D0%BC%D0%B8%D0%BD%D1%8B%20%D0%B7%D0%B0%D0%B3%D0%B0%D0%B4%D0%BA%D0%B8%201986%20%D1%84%D0%B8%D0%BB%D1%8C%D0%BC","искать")</f>
        <v/>
      </c>
      <c r="N1215" s="3" t="n"/>
      <c r="O1215" s="2" t="n"/>
      <c r="P1215" s="2" t="n"/>
    </row>
    <row r="1216">
      <c r="A1216" s="2" t="n">
        <v>1215</v>
      </c>
      <c r="B1216" s="2" t="inlineStr">
        <is>
          <t>не сюжет</t>
        </is>
      </c>
      <c r="C1216" s="2" t="n">
        <v>14099</v>
      </c>
      <c r="D1216" s="3" t="inlineStr">
        <is>
          <t>Воробушек</t>
        </is>
      </c>
      <c r="E1216" s="2" t="n">
        <v>1983</v>
      </c>
      <c r="F1216" s="2" t="inlineStr">
        <is>
          <t>мультфильм</t>
        </is>
      </c>
      <c r="G1216" s="2" t="inlineStr">
        <is>
          <t>ГОСТЕЛЕРАДИО ЛАТВ. ССР ("ТЕЛЕФИЛЬМ-РИГА")</t>
        </is>
      </c>
      <c r="H1216" s="2" t="n">
        <v>45</v>
      </c>
      <c r="I1216" s="2" t="inlineStr"/>
      <c r="J1216" s="2" t="inlineStr">
        <is>
          <t>да</t>
        </is>
      </c>
      <c r="K1216" s="3" t="inlineStr">
        <is>
          <t>По мотивам сказки Р.Вика "Сложный воробушек".</t>
        </is>
      </c>
      <c r="L1216" s="2" t="inlineStr">
        <is>
          <t>2026-10_мультфильмы_список_владельца.xlsx; https://animator.ru/db/?p=show_film&amp;fid=5497</t>
        </is>
      </c>
      <c r="M1216" s="2">
        <f>HYPERLINK("https://ru.wikipedia.org/w/index.php?search=%D0%92%D0%BE%D1%80%D0%BE%D0%B1%D1%83%D1%88%D0%B5%D0%BA%201983%20%D1%84%D0%B8%D0%BB%D1%8C%D0%BC","искать")</f>
        <v/>
      </c>
      <c r="N1216" s="3" t="n"/>
      <c r="O1216" s="2" t="n"/>
      <c r="P1216" s="2" t="n"/>
    </row>
    <row r="1217">
      <c r="A1217" s="2" t="n">
        <v>1216</v>
      </c>
      <c r="B1217" s="2" t="inlineStr">
        <is>
          <t>не сюжет</t>
        </is>
      </c>
      <c r="C1217" s="2" t="n">
        <v>14105</v>
      </c>
      <c r="D1217" s="3" t="inlineStr">
        <is>
          <t>Девичья башня</t>
        </is>
      </c>
      <c r="E1217" s="2" t="n">
        <v>1983</v>
      </c>
      <c r="F1217" s="2" t="inlineStr">
        <is>
          <t>мультфильм</t>
        </is>
      </c>
      <c r="G1217" s="2" t="inlineStr">
        <is>
          <t>АЗЕРБАЙДЖАНТЕЛЕФИЛЬМ</t>
        </is>
      </c>
      <c r="H1217" s="2" t="n">
        <v>45</v>
      </c>
      <c r="I1217" s="2" t="inlineStr"/>
      <c r="J1217" s="2" t="inlineStr">
        <is>
          <t>да</t>
        </is>
      </c>
      <c r="K1217" s="3" t="inlineStr">
        <is>
          <t>По одноименной поэме Расула Рзы о силе любви.</t>
        </is>
      </c>
      <c r="L1217" s="2" t="inlineStr">
        <is>
          <t>https://animator.ru/db/?p=show_film&amp;fid=5503</t>
        </is>
      </c>
      <c r="M1217" s="2">
        <f>HYPERLINK("https://ru.wikipedia.org/w/index.php?search=%D0%94%D0%B5%D0%B2%D0%B8%D1%87%D1%8C%D1%8F%20%D0%B1%D0%B0%D1%88%D0%BD%D1%8F%201983%20%D1%84%D0%B8%D0%BB%D1%8C%D0%BC","искать")</f>
        <v/>
      </c>
      <c r="N1217" s="3" t="n"/>
      <c r="O1217" s="2" t="n"/>
      <c r="P1217" s="2" t="n"/>
    </row>
    <row r="1218">
      <c r="A1218" s="2" t="n">
        <v>1217</v>
      </c>
      <c r="B1218" s="2" t="inlineStr">
        <is>
          <t>не сюжет</t>
        </is>
      </c>
      <c r="C1218" s="2" t="n">
        <v>9970</v>
      </c>
      <c r="D1218" s="3" t="inlineStr">
        <is>
          <t>Механик</t>
        </is>
      </c>
      <c r="E1218" s="2" t="n">
        <v>1981</v>
      </c>
      <c r="F1218" s="2" t="inlineStr">
        <is>
          <t>кинофильм</t>
        </is>
      </c>
      <c r="G1218" s="2" t="inlineStr">
        <is>
          <t>ВГИК</t>
        </is>
      </c>
      <c r="H1218" s="2" t="n">
        <v>46</v>
      </c>
      <c r="I1218" s="2" t="inlineStr"/>
      <c r="J1218" s="2" t="inlineStr">
        <is>
          <t>да</t>
        </is>
      </c>
      <c r="K1218" s="3" t="inlineStr">
        <is>
          <t>По рассказу Андрея Платонова «Старый механик».</t>
        </is>
      </c>
      <c r="L1218" s="2" t="inlineStr">
        <is>
          <t>https://www.kino-teatr.ru/short/movie/sov/8235/annot/</t>
        </is>
      </c>
      <c r="M1218" s="2">
        <f>HYPERLINK("https://ru.wikipedia.org/w/index.php?search=%D0%9C%D0%B5%D1%85%D0%B0%D0%BD%D0%B8%D0%BA%201981%20%D1%84%D0%B8%D0%BB%D1%8C%D0%BC","искать")</f>
        <v/>
      </c>
      <c r="N1218" s="3" t="n"/>
      <c r="O1218" s="2" t="n"/>
      <c r="P1218" s="2" t="n"/>
    </row>
    <row r="1219">
      <c r="A1219" s="2" t="n">
        <v>1218</v>
      </c>
      <c r="B1219" s="2" t="inlineStr">
        <is>
          <t>не сюжет</t>
        </is>
      </c>
      <c r="C1219" s="2" t="n">
        <v>10134</v>
      </c>
      <c r="D1219" s="3" t="inlineStr">
        <is>
          <t>Чайка</t>
        </is>
      </c>
      <c r="E1219" s="2" t="n">
        <v>1964</v>
      </c>
      <c r="F1219" s="2" t="inlineStr">
        <is>
          <t>фильм-спектакль</t>
        </is>
      </c>
      <c r="G1219" s="2" t="inlineStr">
        <is>
          <t>Ленинградское ТВ, Подборки фильмов, экранизации Чехова</t>
        </is>
      </c>
      <c r="H1219" s="2" t="n">
        <v>46</v>
      </c>
      <c r="I1219" s="2" t="inlineStr"/>
      <c r="J1219" s="2" t="inlineStr">
        <is>
          <t>да</t>
        </is>
      </c>
      <c r="K1219" s="3" t="inlineStr">
        <is>
          <t>Телеспектакль по одноименной пьесе А.П.Чехова.</t>
        </is>
      </c>
      <c r="L1219" s="2" t="inlineStr">
        <is>
          <t>https://www.kino-teatr.ru/teatr/movie/37776/annot/</t>
        </is>
      </c>
      <c r="M1219" s="2">
        <f>HYPERLINK("https://ru.wikipedia.org/w/index.php?search=%D0%A7%D0%B0%D0%B9%D0%BA%D0%B0%201964%20%D1%84%D0%B8%D0%BB%D1%8C%D0%BC","искать")</f>
        <v/>
      </c>
      <c r="N1219" s="3" t="n"/>
      <c r="O1219" s="2" t="n"/>
      <c r="P1219" s="2" t="n"/>
    </row>
    <row r="1220">
      <c r="A1220" s="2" t="n">
        <v>1219</v>
      </c>
      <c r="B1220" s="2" t="inlineStr">
        <is>
          <t>не сюжет</t>
        </is>
      </c>
      <c r="C1220" s="2" t="n">
        <v>10305</v>
      </c>
      <c r="D1220" s="3" t="inlineStr">
        <is>
          <t>Дети подземелья</t>
        </is>
      </c>
      <c r="E1220" s="2" t="n">
        <v>1969</v>
      </c>
      <c r="F1220" s="2" t="inlineStr">
        <is>
          <t>фильм-спектакль</t>
        </is>
      </c>
      <c r="G1220" s="2" t="inlineStr">
        <is>
          <t>Центральное телевидение</t>
        </is>
      </c>
      <c r="H1220" s="2" t="n">
        <v>46</v>
      </c>
      <c r="I1220" s="2" t="inlineStr"/>
      <c r="J1220" s="2" t="inlineStr">
        <is>
          <t>да</t>
        </is>
      </c>
      <c r="K1220" s="3" t="inlineStr">
        <is>
          <t>По рассказу В.Г.Короленко "В дурном обществе".</t>
        </is>
      </c>
      <c r="L1220" s="2" t="inlineStr">
        <is>
          <t>https://www.kino-teatr.ru/teatr/movie/136703/annot/</t>
        </is>
      </c>
      <c r="M1220" s="2">
        <f>HYPERLINK("https://ru.wikipedia.org/w/index.php?search=%D0%94%D0%B5%D1%82%D0%B8%20%D0%BF%D0%BE%D0%B4%D0%B7%D0%B5%D0%BC%D0%B5%D0%BB%D1%8C%D1%8F%201969%20%D1%84%D0%B8%D0%BB%D1%8C%D0%BC","искать")</f>
        <v/>
      </c>
      <c r="N1220" s="3" t="n"/>
      <c r="O1220" s="2" t="n"/>
      <c r="P1220" s="2" t="n"/>
    </row>
    <row r="1221">
      <c r="A1221" s="2" t="n">
        <v>1220</v>
      </c>
      <c r="B1221" s="2" t="inlineStr">
        <is>
          <t>не сюжет</t>
        </is>
      </c>
      <c r="C1221" s="2" t="n">
        <v>10450</v>
      </c>
      <c r="D1221" s="3" t="inlineStr">
        <is>
          <t>Метель</t>
        </is>
      </c>
      <c r="E1221" s="2" t="n">
        <v>1972</v>
      </c>
      <c r="F1221" s="2" t="inlineStr">
        <is>
          <t>фильм-спектакль</t>
        </is>
      </c>
      <c r="G1221" s="2" t="inlineStr">
        <is>
          <t>Ленинградское ТВ</t>
        </is>
      </c>
      <c r="H1221" s="2" t="n">
        <v>46</v>
      </c>
      <c r="I1221" s="2" t="inlineStr"/>
      <c r="J1221" s="2" t="inlineStr">
        <is>
          <t>да</t>
        </is>
      </c>
      <c r="K1221" s="3" t="inlineStr">
        <is>
          <t>Телеспектакль по повести А.С.Пушкина "Метель".</t>
        </is>
      </c>
      <c r="L1221" s="2" t="inlineStr">
        <is>
          <t>https://www.kino-teatr.ru/teatr/movie/121573/annot/</t>
        </is>
      </c>
      <c r="M1221" s="2">
        <f>HYPERLINK("https://ru.wikipedia.org/w/index.php?search=%D0%9C%D0%B5%D1%82%D0%B5%D0%BB%D1%8C%201972%20%D1%84%D0%B8%D0%BB%D1%8C%D0%BC","искать")</f>
        <v/>
      </c>
      <c r="N1221" s="3" t="n"/>
      <c r="O1221" s="2" t="n"/>
      <c r="P1221" s="2" t="n"/>
    </row>
    <row r="1222">
      <c r="A1222" s="2" t="n">
        <v>1221</v>
      </c>
      <c r="B1222" s="2" t="inlineStr">
        <is>
          <t>не сюжет</t>
        </is>
      </c>
      <c r="C1222" s="2" t="n">
        <v>10516</v>
      </c>
      <c r="D1222" s="3" t="inlineStr">
        <is>
          <t>Ребята с нашего двора</t>
        </is>
      </c>
      <c r="E1222" s="2" t="n">
        <v>1973</v>
      </c>
      <c r="F1222" s="2" t="inlineStr">
        <is>
          <t>фильм-спектакль</t>
        </is>
      </c>
      <c r="G1222" s="2" t="inlineStr">
        <is>
          <t>Центральное телевидение (Телестудия "Орлёнок")</t>
        </is>
      </c>
      <c r="H1222" s="2" t="n">
        <v>46</v>
      </c>
      <c r="I1222" s="2" t="inlineStr"/>
      <c r="J1222" s="2" t="inlineStr">
        <is>
          <t>да</t>
        </is>
      </c>
      <c r="K1222" s="3" t="inlineStr">
        <is>
          <t>Несколько историй из жизни ребят одного двора.</t>
        </is>
      </c>
      <c r="L1222" s="2" t="inlineStr">
        <is>
          <t>https://www.kino-teatr.ru/teatr/movie/104945/annot/</t>
        </is>
      </c>
      <c r="M1222" s="2">
        <f>HYPERLINK("https://ru.wikipedia.org/w/index.php?search=%D0%A0%D0%B5%D0%B1%D1%8F%D1%82%D0%B0%20%D1%81%20%D0%BD%D0%B0%D1%88%D0%B5%D0%B3%D0%BE%20%D0%B4%D0%B2%D0%BE%D1%80%D0%B0%201973%20%D1%84%D0%B8%D0%BB%D1%8C%D0%BC","искать")</f>
        <v/>
      </c>
      <c r="N1222" s="3" t="n"/>
      <c r="O1222" s="2" t="n"/>
      <c r="P1222" s="2" t="n"/>
    </row>
    <row r="1223">
      <c r="A1223" s="2" t="n">
        <v>1222</v>
      </c>
      <c r="B1223" s="2" t="inlineStr">
        <is>
          <t>не сюжет</t>
        </is>
      </c>
      <c r="C1223" s="2" t="n">
        <v>10581</v>
      </c>
      <c r="D1223" s="3" t="inlineStr">
        <is>
          <t>Пора жёлтых листьев</t>
        </is>
      </c>
      <c r="E1223" s="2" t="n">
        <v>1974</v>
      </c>
      <c r="F1223" s="2" t="inlineStr">
        <is>
          <t>фильм-спектакль</t>
        </is>
      </c>
      <c r="G1223" s="2" t="inlineStr">
        <is>
          <t>Киевская к-ст. им. Довженко</t>
        </is>
      </c>
      <c r="H1223" s="2" t="n">
        <v>46</v>
      </c>
      <c r="I1223" s="2" t="inlineStr"/>
      <c r="J1223" s="2" t="inlineStr">
        <is>
          <t>да</t>
        </is>
      </c>
      <c r="K1223" s="3" t="inlineStr">
        <is>
          <t>Фильм-спектакль Киевского театра им. И.Франко.</t>
        </is>
      </c>
      <c r="L1223" s="2" t="inlineStr">
        <is>
          <t>https://www.kino-teatr.ru/teatr/movie/84993/annot/</t>
        </is>
      </c>
      <c r="M1223" s="2">
        <f>HYPERLINK("https://ru.wikipedia.org/w/index.php?search=%D0%9F%D0%BE%D1%80%D0%B0%20%D0%B6%D1%91%D0%BB%D1%82%D1%8B%D1%85%20%D0%BB%D0%B8%D1%81%D1%82%D1%8C%D0%B5%D0%B2%201974%20%D1%84%D0%B8%D0%BB%D1%8C%D0%BC","искать")</f>
        <v/>
      </c>
      <c r="N1223" s="3" t="n"/>
      <c r="O1223" s="2" t="n"/>
      <c r="P1223" s="2" t="n"/>
    </row>
    <row r="1224">
      <c r="A1224" s="2" t="n">
        <v>1223</v>
      </c>
      <c r="B1224" s="2" t="inlineStr">
        <is>
          <t>не сюжет</t>
        </is>
      </c>
      <c r="C1224" s="2" t="n">
        <v>11537</v>
      </c>
      <c r="D1224" s="3" t="inlineStr">
        <is>
          <t>Что должен знать рабочий и крестьянин об ссср</t>
        </is>
      </c>
      <c r="E1224" s="2" t="n">
        <v>1928</v>
      </c>
      <c r="F1224" s="2" t="inlineStr">
        <is>
          <t>мультфильм</t>
        </is>
      </c>
      <c r="G1224" s="2" t="inlineStr">
        <is>
          <t>Московская ф-ка СОВКИНО</t>
        </is>
      </c>
      <c r="H1224" s="2" t="n">
        <v>46</v>
      </c>
      <c r="I1224" s="2" t="inlineStr"/>
      <c r="J1224" s="2" t="inlineStr">
        <is>
          <t>да</t>
        </is>
      </c>
      <c r="K1224" s="3" t="inlineStr">
        <is>
          <t>Содержание не установлено, фильм не сохранился</t>
        </is>
      </c>
      <c r="L1224" s="2" t="inlineStr">
        <is>
          <t>https://animator.ru/db/?p=show_film&amp;fid=2354</t>
        </is>
      </c>
      <c r="M1224" s="2">
        <f>HYPERLINK("https://ru.wikipedia.org/w/index.php?search=%D0%A7%D1%82%D0%BE%20%D0%B4%D0%BE%D0%BB%D0%B6%D0%B5%D0%BD%20%D0%B7%D0%BD%D0%B0%D1%82%D1%8C%20%D1%80%D0%B0%D0%B1%D0%BE%D1%87%D0%B8%D0%B9%20%D0%B8%20%D0%BA%D1%80%D0%B5%D1%81%D1%82%D1%8C%D1%8F%D0%BD%D0%B8%D0%BD%20%D0%BE%D0%B1%20%D1%81%D1%81%D1%81%D1%80%201928%20%D1%84%D0%B8%D0%BB%D1%8C%D0%BC","искать")</f>
        <v/>
      </c>
      <c r="N1224" s="3" t="n"/>
      <c r="O1224" s="2" t="n"/>
      <c r="P1224" s="2" t="n"/>
    </row>
    <row r="1225">
      <c r="A1225" s="2" t="n">
        <v>1224</v>
      </c>
      <c r="B1225" s="2" t="inlineStr">
        <is>
          <t>не сюжет</t>
        </is>
      </c>
      <c r="C1225" s="2" t="n">
        <v>11549</v>
      </c>
      <c r="D1225" s="3" t="inlineStr">
        <is>
          <t>Куриная принципиальность</t>
        </is>
      </c>
      <c r="E1225" s="2" t="n">
        <v>1963</v>
      </c>
      <c r="F1225" s="2" t="inlineStr">
        <is>
          <t>мультфильм</t>
        </is>
      </c>
      <c r="G1225" s="2" t="inlineStr">
        <is>
          <t>Союзмультфильм</t>
        </is>
      </c>
      <c r="H1225" s="2" t="n">
        <v>46</v>
      </c>
      <c r="I1225" s="2" t="inlineStr"/>
      <c r="J1225" s="2" t="inlineStr">
        <is>
          <t>да</t>
        </is>
      </c>
      <c r="K1225" s="3" t="inlineStr">
        <is>
          <t>Об отсутствии приципиальности в научных кругах</t>
        </is>
      </c>
      <c r="L1225" s="2" t="inlineStr">
        <is>
          <t>https://animator.ru/db/?p=show_film&amp;fid=2381</t>
        </is>
      </c>
      <c r="M1225" s="2">
        <f>HYPERLINK("https://ru.wikipedia.org/w/index.php?search=%D0%9A%D1%83%D1%80%D0%B8%D0%BD%D0%B0%D1%8F%20%D0%BF%D1%80%D0%B8%D0%BD%D1%86%D0%B8%D0%BF%D0%B8%D0%B0%D0%BB%D1%8C%D0%BD%D0%BE%D1%81%D1%82%D1%8C%201963%20%D1%84%D0%B8%D0%BB%D1%8C%D0%BC","искать")</f>
        <v/>
      </c>
      <c r="N1225" s="3" t="n"/>
      <c r="O1225" s="2" t="n"/>
      <c r="P1225" s="2" t="n"/>
    </row>
    <row r="1226">
      <c r="A1226" s="2" t="n">
        <v>1225</v>
      </c>
      <c r="B1226" s="2" t="inlineStr">
        <is>
          <t>не сюжет</t>
        </is>
      </c>
      <c r="C1226" s="2" t="n">
        <v>11894</v>
      </c>
      <c r="D1226" s="3" t="inlineStr">
        <is>
          <t>Большая эстафета</t>
        </is>
      </c>
      <c r="E1226" s="2" t="n">
        <v>1979</v>
      </c>
      <c r="F1226" s="2" t="inlineStr">
        <is>
          <t>мультфильм</t>
        </is>
      </c>
      <c r="G1226" s="2" t="inlineStr">
        <is>
          <t>Союзмультфильм</t>
        </is>
      </c>
      <c r="H1226" s="2" t="n">
        <v>46</v>
      </c>
      <c r="I1226" s="2" t="inlineStr"/>
      <c r="J1226" s="2" t="inlineStr">
        <is>
          <t>да</t>
        </is>
      </c>
      <c r="K1226" s="3" t="inlineStr">
        <is>
          <t>Фильм рассказывает иб истории Олимпийских игр.</t>
        </is>
      </c>
      <c r="L1226" s="2" t="inlineStr">
        <is>
          <t>https://animator.ru/db/?p=show_film&amp;fid=2809</t>
        </is>
      </c>
      <c r="M1226" s="2">
        <f>HYPERLINK("https://ru.wikipedia.org/w/index.php?search=%D0%91%D0%BE%D0%BB%D1%8C%D1%88%D0%B0%D1%8F%20%D1%8D%D1%81%D1%82%D0%B0%D1%84%D0%B5%D1%82%D0%B0%201979%20%D1%84%D0%B8%D0%BB%D1%8C%D0%BC","искать")</f>
        <v/>
      </c>
      <c r="N1226" s="3" t="n"/>
      <c r="O1226" s="2" t="n"/>
      <c r="P1226" s="2" t="n"/>
    </row>
    <row r="1227">
      <c r="A1227" s="2" t="n">
        <v>1226</v>
      </c>
      <c r="B1227" s="2" t="inlineStr">
        <is>
          <t>не сюжет</t>
        </is>
      </c>
      <c r="C1227" s="2" t="n">
        <v>12026</v>
      </c>
      <c r="D1227" s="3" t="inlineStr">
        <is>
          <t>Старая пластинка</t>
        </is>
      </c>
      <c r="E1227" s="2" t="n">
        <v>1982</v>
      </c>
      <c r="F1227" s="2" t="inlineStr">
        <is>
          <t>мультфильм</t>
        </is>
      </c>
      <c r="G1227" s="2" t="inlineStr">
        <is>
          <t>Союзмультфильм</t>
        </is>
      </c>
      <c r="H1227" s="2" t="n">
        <v>46</v>
      </c>
      <c r="I1227" s="2" t="inlineStr"/>
      <c r="J1227" s="2" t="inlineStr">
        <is>
          <t>да</t>
        </is>
      </c>
      <c r="K1227" s="3" t="inlineStr">
        <is>
          <t>На темы популярных песен в исполнении Утесова.</t>
        </is>
      </c>
      <c r="L1227" s="2" t="inlineStr">
        <is>
          <t>2026-10_мультфильмы_список_владельца.xlsx; https://animator.ru/db/?p=show_film&amp;fid=3140</t>
        </is>
      </c>
      <c r="M1227" s="2">
        <f>HYPERLINK("https://ru.wikipedia.org/w/index.php?search=%D0%A1%D1%82%D0%B0%D1%80%D0%B0%D1%8F%20%D0%BF%D0%BB%D0%B0%D1%81%D1%82%D0%B8%D0%BD%D0%BA%D0%B0%201982%20%D1%84%D0%B8%D0%BB%D1%8C%D0%BC","искать")</f>
        <v/>
      </c>
      <c r="N1227" s="3" t="n"/>
      <c r="O1227" s="2" t="n"/>
      <c r="P1227" s="2" t="n"/>
    </row>
    <row r="1228">
      <c r="A1228" s="2" t="n">
        <v>1227</v>
      </c>
      <c r="B1228" s="2" t="inlineStr">
        <is>
          <t>не сюжет</t>
        </is>
      </c>
      <c r="C1228" s="2" t="n">
        <v>12044</v>
      </c>
      <c r="D1228" s="3" t="inlineStr">
        <is>
          <t>Как старик наседкой был</t>
        </is>
      </c>
      <c r="E1228" s="2" t="n">
        <v>1983</v>
      </c>
      <c r="F1228" s="2" t="inlineStr">
        <is>
          <t>мультфильм</t>
        </is>
      </c>
      <c r="G1228" s="2" t="inlineStr">
        <is>
          <t>Союзмультфильм</t>
        </is>
      </c>
      <c r="H1228" s="2" t="n">
        <v>46</v>
      </c>
      <c r="I1228" s="2" t="inlineStr"/>
      <c r="J1228" s="2" t="inlineStr">
        <is>
          <t>да</t>
        </is>
      </c>
      <c r="K1228" s="3" t="inlineStr">
        <is>
          <t>По мотивам русских сказок о находчивом солдате</t>
        </is>
      </c>
      <c r="L1228" s="2" t="inlineStr">
        <is>
          <t>https://animator.ru/db/?p=show_film&amp;fid=3159</t>
        </is>
      </c>
      <c r="M1228" s="2">
        <f>HYPERLINK("https://ru.wikipedia.org/w/index.php?search=%D0%9A%D0%B0%D0%BA%20%D1%81%D1%82%D0%B0%D1%80%D0%B8%D0%BA%20%D0%BD%D0%B0%D1%81%D0%B5%D0%B4%D0%BA%D0%BE%D0%B9%20%D0%B1%D1%8B%D0%BB%201983%20%D1%84%D0%B8%D0%BB%D1%8C%D0%BC","искать")</f>
        <v/>
      </c>
      <c r="N1228" s="3" t="n"/>
      <c r="O1228" s="2" t="n"/>
      <c r="P1228" s="2" t="n"/>
    </row>
    <row r="1229">
      <c r="A1229" s="2" t="n">
        <v>1228</v>
      </c>
      <c r="B1229" s="2" t="inlineStr">
        <is>
          <t>не сюжет</t>
        </is>
      </c>
      <c r="C1229" s="2" t="n">
        <v>12048</v>
      </c>
      <c r="D1229" s="3" t="inlineStr">
        <is>
          <t>Неудачники</t>
        </is>
      </c>
      <c r="E1229" s="2" t="n">
        <v>1983</v>
      </c>
      <c r="F1229" s="2" t="inlineStr">
        <is>
          <t>мультфильм</t>
        </is>
      </c>
      <c r="G1229" s="2" t="inlineStr">
        <is>
          <t>Союзмультфильм</t>
        </is>
      </c>
      <c r="H1229" s="2" t="n">
        <v>46</v>
      </c>
      <c r="I1229" s="2" t="inlineStr"/>
      <c r="J1229" s="2" t="inlineStr">
        <is>
          <t>да</t>
        </is>
      </c>
      <c r="K1229" s="3" t="inlineStr">
        <is>
          <t>История благородного пса-спортсмена. Для детей</t>
        </is>
      </c>
      <c r="L1229" s="2" t="inlineStr">
        <is>
          <t>https://animator.ru/db/?p=show_film&amp;fid=3163</t>
        </is>
      </c>
      <c r="M1229" s="2">
        <f>HYPERLINK("https://ru.wikipedia.org/w/index.php?search=%D0%9D%D0%B5%D1%83%D0%B4%D0%B0%D1%87%D0%BD%D0%B8%D0%BA%D0%B8%201983%20%D1%84%D0%B8%D0%BB%D1%8C%D0%BC","искать")</f>
        <v/>
      </c>
      <c r="N1229" s="3" t="n"/>
      <c r="O1229" s="2" t="n"/>
      <c r="P1229" s="2" t="n"/>
    </row>
    <row r="1230">
      <c r="A1230" s="2" t="n">
        <v>1229</v>
      </c>
      <c r="B1230" s="2" t="inlineStr">
        <is>
          <t>не сюжет</t>
        </is>
      </c>
      <c r="C1230" s="2" t="n">
        <v>12747</v>
      </c>
      <c r="D1230" s="3" t="inlineStr">
        <is>
          <t>Лилит</t>
        </is>
      </c>
      <c r="E1230" s="2" t="n">
        <v>1973</v>
      </c>
      <c r="F1230" s="2" t="inlineStr">
        <is>
          <t>мультфильм</t>
        </is>
      </c>
      <c r="G1230" s="2" t="inlineStr">
        <is>
          <t>АРМЕНФИЛЬМ</t>
        </is>
      </c>
      <c r="H1230" s="2" t="n">
        <v>46</v>
      </c>
      <c r="I1230" s="2" t="inlineStr"/>
      <c r="J1230" s="2" t="inlineStr">
        <is>
          <t>да</t>
        </is>
      </c>
      <c r="K1230" s="3" t="inlineStr">
        <is>
          <t>Библейская легшенда о Лилит, первой жене Адама</t>
        </is>
      </c>
      <c r="L1230" s="2" t="inlineStr">
        <is>
          <t>https://animator.ru/db/?p=show_film&amp;fid=3956</t>
        </is>
      </c>
      <c r="M1230" s="2">
        <f>HYPERLINK("https://ru.wikipedia.org/w/index.php?search=%D0%9B%D0%B8%D0%BB%D0%B8%D1%82%201973%20%D1%84%D0%B8%D0%BB%D1%8C%D0%BC","искать")</f>
        <v/>
      </c>
      <c r="N1230" s="3" t="n"/>
      <c r="O1230" s="2" t="n"/>
      <c r="P1230" s="2" t="n"/>
    </row>
    <row r="1231">
      <c r="A1231" s="2" t="n">
        <v>1230</v>
      </c>
      <c r="B1231" s="2" t="inlineStr">
        <is>
          <t>не сюжет</t>
        </is>
      </c>
      <c r="C1231" s="2" t="n">
        <v>13469</v>
      </c>
      <c r="D1231" s="3" t="inlineStr">
        <is>
          <t>Басни С.Михалкова</t>
        </is>
      </c>
      <c r="E1231" s="2" t="n">
        <v>1975</v>
      </c>
      <c r="F1231" s="2" t="inlineStr">
        <is>
          <t>мультфильм</t>
        </is>
      </c>
      <c r="G1231" s="2" t="inlineStr">
        <is>
          <t>СОЮЗТЕЛЕФИЛЬМ</t>
        </is>
      </c>
      <c r="H1231" s="2" t="n">
        <v>46</v>
      </c>
      <c r="I1231" s="2" t="inlineStr"/>
      <c r="J1231" s="2" t="inlineStr">
        <is>
          <t>да</t>
        </is>
      </c>
      <c r="K1231" s="3" t="inlineStr">
        <is>
          <t>Два сюжета: "Петух в гостях" и "Кабан и хомут"</t>
        </is>
      </c>
      <c r="L1231" s="2" t="inlineStr">
        <is>
          <t>https://animator.ru/db/?p=show_film&amp;fid=4753</t>
        </is>
      </c>
      <c r="M1231" s="2">
        <f>HYPERLINK("https://ru.wikipedia.org/w/index.php?search=%D0%91%D0%B0%D1%81%D0%BD%D0%B8%20%D0%A1.%D0%9C%D0%B8%D1%85%D0%B0%D0%BB%D0%BA%D0%BE%D0%B2%D0%B0%201975%20%D1%84%D0%B8%D0%BB%D1%8C%D0%BC","искать")</f>
        <v/>
      </c>
      <c r="N1231" s="3" t="n"/>
      <c r="O1231" s="2" t="n"/>
      <c r="P1231" s="2" t="n"/>
    </row>
    <row r="1232">
      <c r="A1232" s="2" t="n">
        <v>1231</v>
      </c>
      <c r="B1232" s="2" t="inlineStr">
        <is>
          <t>не сюжет</t>
        </is>
      </c>
      <c r="C1232" s="2" t="n">
        <v>13987</v>
      </c>
      <c r="D1232" s="3" t="inlineStr">
        <is>
          <t>Цветомузыка</t>
        </is>
      </c>
      <c r="E1232" s="2" t="n">
        <v>1981</v>
      </c>
      <c r="F1232" s="2" t="inlineStr">
        <is>
          <t>мультфильм</t>
        </is>
      </c>
      <c r="G1232" s="2" t="inlineStr">
        <is>
          <t>ЭКРАН</t>
        </is>
      </c>
      <c r="H1232" s="2" t="n">
        <v>46</v>
      </c>
      <c r="I1232" s="2" t="inlineStr"/>
      <c r="J1232" s="2" t="inlineStr">
        <is>
          <t>да</t>
        </is>
      </c>
      <c r="K1232" s="3" t="inlineStr">
        <is>
          <t>Живописный этюд о цветах на музыку Шостаковича</t>
        </is>
      </c>
      <c r="L1232" s="2" t="inlineStr">
        <is>
          <t>https://animator.ru/db/?p=show_film&amp;fid=5381</t>
        </is>
      </c>
      <c r="M1232" s="2">
        <f>HYPERLINK("https://ru.wikipedia.org/w/index.php?search=%D0%A6%D0%B2%D0%B5%D1%82%D0%BE%D0%BC%D1%83%D0%B7%D1%8B%D0%BA%D0%B0%201981%20%D1%84%D0%B8%D0%BB%D1%8C%D0%BC","искать")</f>
        <v/>
      </c>
      <c r="N1232" s="3" t="n"/>
      <c r="O1232" s="2" t="n"/>
      <c r="P1232" s="2" t="n"/>
    </row>
    <row r="1233">
      <c r="A1233" s="2" t="n">
        <v>1232</v>
      </c>
      <c r="B1233" s="2" t="inlineStr">
        <is>
          <t>не сюжет</t>
        </is>
      </c>
      <c r="C1233" s="2" t="n">
        <v>14032</v>
      </c>
      <c r="D1233" s="3" t="inlineStr">
        <is>
          <t>Легенда о старой арбе</t>
        </is>
      </c>
      <c r="E1233" s="2" t="n">
        <v>1981</v>
      </c>
      <c r="F1233" s="2" t="inlineStr">
        <is>
          <t>мультфильм</t>
        </is>
      </c>
      <c r="G1233" s="2" t="inlineStr">
        <is>
          <t>УЗБЕКФИЛЬМ</t>
        </is>
      </c>
      <c r="H1233" s="2" t="n">
        <v>46</v>
      </c>
      <c r="I1233" s="2" t="inlineStr"/>
      <c r="J1233" s="2" t="inlineStr">
        <is>
          <t>да</t>
        </is>
      </c>
      <c r="K1233" s="3" t="inlineStr">
        <is>
          <t>О революционной борьбе трудящихся Узбекистана.</t>
        </is>
      </c>
      <c r="L1233" s="2" t="inlineStr">
        <is>
          <t>2026-10_мультфильмы_список_владельца.xlsx; https://animator.ru/db/?p=show_film&amp;fid=5428</t>
        </is>
      </c>
      <c r="M1233" s="2">
        <f>HYPERLINK("https://ru.wikipedia.org/w/index.php?search=%D0%9B%D0%B5%D0%B3%D0%B5%D0%BD%D0%B4%D0%B0%20%D0%BE%20%D1%81%D1%82%D0%B0%D1%80%D0%BE%D0%B9%20%D0%B0%D1%80%D0%B1%D0%B5%201981%20%D1%84%D0%B8%D0%BB%D1%8C%D0%BC","искать")</f>
        <v/>
      </c>
      <c r="N1233" s="3" t="n"/>
      <c r="O1233" s="2" t="n"/>
      <c r="P1233" s="2" t="n"/>
    </row>
    <row r="1234">
      <c r="A1234" s="2" t="n">
        <v>1233</v>
      </c>
      <c r="B1234" s="2" t="inlineStr">
        <is>
          <t>не сюжет</t>
        </is>
      </c>
      <c r="C1234" s="2" t="n">
        <v>7292</v>
      </c>
      <c r="D1234" s="3" t="inlineStr">
        <is>
          <t>В защите не нуждаюсь</t>
        </is>
      </c>
      <c r="E1234" s="2" t="n">
        <v>1987</v>
      </c>
      <c r="F1234" s="2" t="inlineStr">
        <is>
          <t>телефильм</t>
        </is>
      </c>
      <c r="G1234" s="2" t="inlineStr">
        <is>
          <t>Укртелефильм</t>
        </is>
      </c>
      <c r="H1234" s="2" t="n">
        <v>47</v>
      </c>
      <c r="I1234" s="2" t="inlineStr"/>
      <c r="J1234" s="2" t="inlineStr">
        <is>
          <t>да</t>
        </is>
      </c>
      <c r="K1234" s="3" t="inlineStr">
        <is>
          <t>По книге Ю.Бедзика о людях села и их проблемах.</t>
        </is>
      </c>
      <c r="L1234" s="2" t="inlineStr">
        <is>
          <t>Кино_СССР сводный каталог.xlsx: список телефильмов</t>
        </is>
      </c>
      <c r="M1234" s="2">
        <f>HYPERLINK("https://ru.wikipedia.org/w/index.php?search=%D0%92%20%D0%B7%D0%B0%D1%89%D0%B8%D1%82%D0%B5%20%D0%BD%D0%B5%20%D0%BD%D1%83%D0%B6%D0%B4%D0%B0%D1%8E%D1%81%D1%8C%201987%20%D1%84%D0%B8%D0%BB%D1%8C%D0%BC","искать")</f>
        <v/>
      </c>
      <c r="N1234" s="3" t="n"/>
      <c r="O1234" s="2" t="n"/>
      <c r="P1234" s="2" t="n"/>
    </row>
    <row r="1235">
      <c r="A1235" s="2" t="n">
        <v>1234</v>
      </c>
      <c r="B1235" s="2" t="inlineStr">
        <is>
          <t>не сюжет</t>
        </is>
      </c>
      <c r="C1235" s="2" t="n">
        <v>7834</v>
      </c>
      <c r="D1235" s="3" t="inlineStr">
        <is>
          <t>Люди моего аула</t>
        </is>
      </c>
      <c r="E1235" s="2" t="n">
        <v>1983</v>
      </c>
      <c r="F1235" s="2" t="inlineStr">
        <is>
          <t>телефильм</t>
        </is>
      </c>
      <c r="G1235" s="2" t="n"/>
      <c r="H1235" s="2" t="n">
        <v>47</v>
      </c>
      <c r="I1235" s="2" t="inlineStr"/>
      <c r="J1235" s="2" t="inlineStr">
        <is>
          <t>да</t>
        </is>
      </c>
      <c r="K1235" s="3" t="inlineStr">
        <is>
          <t>Телефильм по роману Я. Мамадиева "Родная земля"</t>
        </is>
      </c>
      <c r="L1235" s="2" t="inlineStr">
        <is>
          <t>Кино_СССР сводный каталог.xlsx: список телефильмов</t>
        </is>
      </c>
      <c r="M1235" s="2">
        <f>HYPERLINK("https://ru.wikipedia.org/w/index.php?search=%D0%9B%D1%8E%D0%B4%D0%B8%20%D0%BC%D0%BE%D0%B5%D0%B3%D0%BE%20%D0%B0%D1%83%D0%BB%D0%B0%201983%20%D1%84%D0%B8%D0%BB%D1%8C%D0%BC","искать")</f>
        <v/>
      </c>
      <c r="N1235" s="3" t="n"/>
      <c r="O1235" s="2" t="n"/>
      <c r="P1235" s="2" t="n"/>
    </row>
    <row r="1236">
      <c r="A1236" s="2" t="n">
        <v>1235</v>
      </c>
      <c r="B1236" s="2" t="inlineStr">
        <is>
          <t>не сюжет</t>
        </is>
      </c>
      <c r="C1236" s="2" t="n">
        <v>8631</v>
      </c>
      <c r="D1236" s="3" t="inlineStr">
        <is>
          <t>Белая ночь для слепого гонца</t>
        </is>
      </c>
      <c r="E1236" s="2" t="n">
        <v>1989</v>
      </c>
      <c r="F1236" s="2" t="inlineStr">
        <is>
          <t>кинофильм</t>
        </is>
      </c>
      <c r="G1236" s="2" t="n"/>
      <c r="H1236" s="2" t="n">
        <v>47</v>
      </c>
      <c r="I1236" s="2" t="inlineStr"/>
      <c r="J1236" s="2" t="inlineStr">
        <is>
          <t>да</t>
        </is>
      </c>
      <c r="K1236" s="3" t="inlineStr">
        <is>
          <t>О вере и безверии, о непостижимости сути бытия.</t>
        </is>
      </c>
      <c r="L1236" s="2" t="inlineStr">
        <is>
          <t>Кино_СССР сводный каталог.xlsx: список фильмов (доп.)</t>
        </is>
      </c>
      <c r="M1236" s="2">
        <f>HYPERLINK("https://ru.wikipedia.org/w/index.php?search=%D0%91%D0%B5%D0%BB%D0%B0%D1%8F%20%D0%BD%D0%BE%D1%87%D1%8C%20%D0%B4%D0%BB%D1%8F%20%D1%81%D0%BB%D0%B5%D0%BF%D0%BE%D0%B3%D0%BE%20%D0%B3%D0%BE%D0%BD%D1%86%D0%B0%201989%20%D1%84%D0%B8%D0%BB%D1%8C%D0%BC","искать")</f>
        <v/>
      </c>
      <c r="N1236" s="3" t="n"/>
      <c r="O1236" s="2" t="n"/>
      <c r="P1236" s="2" t="n"/>
    </row>
    <row r="1237">
      <c r="A1237" s="2" t="n">
        <v>1236</v>
      </c>
      <c r="B1237" s="2" t="inlineStr">
        <is>
          <t>не сюжет</t>
        </is>
      </c>
      <c r="C1237" s="2" t="n">
        <v>9997</v>
      </c>
      <c r="D1237" s="3" t="inlineStr">
        <is>
          <t>Мальва</t>
        </is>
      </c>
      <c r="E1237" s="2" t="n">
        <v>1984</v>
      </c>
      <c r="F1237" s="2" t="inlineStr">
        <is>
          <t>кинофильм</t>
        </is>
      </c>
      <c r="G1237" s="2" t="inlineStr">
        <is>
          <t>ВКСР, Подборки фильмов, экранизации Горького</t>
        </is>
      </c>
      <c r="H1237" s="2" t="n">
        <v>47</v>
      </c>
      <c r="I1237" s="2" t="inlineStr"/>
      <c r="J1237" s="2" t="inlineStr">
        <is>
          <t>да</t>
        </is>
      </c>
      <c r="K1237" s="3" t="inlineStr">
        <is>
          <t>Экранизация одноименного рассказа А.М.Горького.</t>
        </is>
      </c>
      <c r="L1237" s="2" t="inlineStr">
        <is>
          <t>https://www.kino-teatr.ru/short/movie/sov/88855/annot/</t>
        </is>
      </c>
      <c r="M1237" s="2">
        <f>HYPERLINK("https://ru.wikipedia.org/w/index.php?search=%D0%9C%D0%B0%D0%BB%D1%8C%D0%B2%D0%B0%201984%20%D1%84%D0%B8%D0%BB%D1%8C%D0%BC","искать")</f>
        <v/>
      </c>
      <c r="N1237" s="3" t="n"/>
      <c r="O1237" s="2" t="n"/>
      <c r="P1237" s="2" t="n"/>
    </row>
    <row r="1238">
      <c r="A1238" s="2" t="n">
        <v>1237</v>
      </c>
      <c r="B1238" s="2" t="inlineStr">
        <is>
          <t>не сюжет</t>
        </is>
      </c>
      <c r="C1238" s="2" t="n">
        <v>10200</v>
      </c>
      <c r="D1238" s="3" t="inlineStr">
        <is>
          <t>Кремлёвские куранты</t>
        </is>
      </c>
      <c r="E1238" s="2" t="n">
        <v>1967</v>
      </c>
      <c r="F1238" s="2" t="inlineStr">
        <is>
          <t>фильм-спектакль</t>
        </is>
      </c>
      <c r="G1238" s="2" t="n"/>
      <c r="H1238" s="2" t="n">
        <v>47</v>
      </c>
      <c r="I1238" s="2" t="inlineStr"/>
      <c r="J1238" s="2" t="inlineStr">
        <is>
          <t>да</t>
        </is>
      </c>
      <c r="K1238" s="3" t="inlineStr">
        <is>
          <t>Спектакль МХАТ им.Горького по пьесе Н.Погодина.</t>
        </is>
      </c>
      <c r="L1238" s="2" t="inlineStr">
        <is>
          <t>https://www.kino-teatr.ru/teatr/movie/83133/annot/</t>
        </is>
      </c>
      <c r="M1238" s="2">
        <f>HYPERLINK("https://ru.wikipedia.org/w/index.php?search=%D0%9A%D1%80%D0%B5%D0%BC%D0%BB%D1%91%D0%B2%D1%81%D0%BA%D0%B8%D0%B5%20%D0%BA%D1%83%D1%80%D0%B0%D0%BD%D1%82%D1%8B%201967%20%D1%84%D0%B8%D0%BB%D1%8C%D0%BC","искать")</f>
        <v/>
      </c>
      <c r="N1238" s="3" t="n"/>
      <c r="O1238" s="2" t="n"/>
      <c r="P1238" s="2" t="n"/>
    </row>
    <row r="1239">
      <c r="A1239" s="2" t="n">
        <v>1238</v>
      </c>
      <c r="B1239" s="2" t="inlineStr">
        <is>
          <t>не сюжет</t>
        </is>
      </c>
      <c r="C1239" s="2" t="n">
        <v>10386</v>
      </c>
      <c r="D1239" s="3" t="inlineStr">
        <is>
          <t>Два веронца</t>
        </is>
      </c>
      <c r="E1239" s="2" t="n">
        <v>1971</v>
      </c>
      <c r="F1239" s="2" t="inlineStr">
        <is>
          <t>фильм-спектакль</t>
        </is>
      </c>
      <c r="G1239" s="2" t="inlineStr">
        <is>
          <t>Ленинградское ТВ</t>
        </is>
      </c>
      <c r="H1239" s="2" t="n">
        <v>47</v>
      </c>
      <c r="I1239" s="2" t="inlineStr"/>
      <c r="J1239" s="2" t="inlineStr">
        <is>
          <t>да</t>
        </is>
      </c>
      <c r="K1239" s="3" t="inlineStr">
        <is>
          <t>Фильм-спектакль по одноименной пьесе В.Шекспира</t>
        </is>
      </c>
      <c r="L1239" s="2" t="inlineStr">
        <is>
          <t>https://www.kino-teatr.ru/teatr/movie/15334/annot/</t>
        </is>
      </c>
      <c r="M1239" s="2">
        <f>HYPERLINK("https://ru.wikipedia.org/w/index.php?search=%D0%94%D0%B2%D0%B0%20%D0%B2%D0%B5%D1%80%D0%BE%D0%BD%D1%86%D0%B0%201971%20%D1%84%D0%B8%D0%BB%D1%8C%D0%BC","искать")</f>
        <v/>
      </c>
      <c r="N1239" s="3" t="n"/>
      <c r="O1239" s="2" t="n"/>
      <c r="P1239" s="2" t="n"/>
    </row>
    <row r="1240">
      <c r="A1240" s="2" t="n">
        <v>1239</v>
      </c>
      <c r="B1240" s="2" t="inlineStr">
        <is>
          <t>не сюжет</t>
        </is>
      </c>
      <c r="C1240" s="2" t="n">
        <v>11914</v>
      </c>
      <c r="D1240" s="3" t="inlineStr">
        <is>
          <t>Огневушка-поскакушка</t>
        </is>
      </c>
      <c r="E1240" s="2" t="n">
        <v>1979</v>
      </c>
      <c r="F1240" s="2" t="inlineStr">
        <is>
          <t>мультфильм</t>
        </is>
      </c>
      <c r="G1240" s="2" t="inlineStr">
        <is>
          <t>Союзмультфильм</t>
        </is>
      </c>
      <c r="H1240" s="2" t="n">
        <v>47</v>
      </c>
      <c r="I1240" s="2" t="inlineStr"/>
      <c r="J1240" s="2" t="inlineStr">
        <is>
          <t>да</t>
        </is>
      </c>
      <c r="K1240" s="3" t="inlineStr">
        <is>
          <t>По мотивам уральских сказов П.Бажова. Для детей</t>
        </is>
      </c>
      <c r="L1240" s="2" t="inlineStr">
        <is>
          <t>https://animator.ru/db/?p=show_film&amp;fid=2829</t>
        </is>
      </c>
      <c r="M1240" s="2">
        <f>HYPERLINK("https://ru.wikipedia.org/w/index.php?search=%D0%9E%D0%B3%D0%BD%D0%B5%D0%B2%D1%83%D1%88%D0%BA%D0%B0-%D0%BF%D0%BE%D1%81%D0%BA%D0%B0%D0%BA%D1%83%D1%88%D0%BA%D0%B0%201979%20%D1%84%D0%B8%D0%BB%D1%8C%D0%BC","искать")</f>
        <v/>
      </c>
      <c r="N1240" s="3" t="n"/>
      <c r="O1240" s="2" t="n"/>
      <c r="P1240" s="2" t="n"/>
    </row>
    <row r="1241">
      <c r="A1241" s="2" t="n">
        <v>1240</v>
      </c>
      <c r="B1241" s="2" t="inlineStr">
        <is>
          <t>не сюжет</t>
        </is>
      </c>
      <c r="C1241" s="2" t="n">
        <v>12128</v>
      </c>
      <c r="D1241" s="3" t="inlineStr">
        <is>
          <t>Фру-89. Слева направо</t>
        </is>
      </c>
      <c r="E1241" s="2" t="n">
        <v>1989</v>
      </c>
      <c r="F1241" s="2" t="inlineStr">
        <is>
          <t>мультфильм</t>
        </is>
      </c>
      <c r="G1241" s="2" t="inlineStr">
        <is>
          <t>Союзмультфильм</t>
        </is>
      </c>
      <c r="H1241" s="2" t="n">
        <v>47</v>
      </c>
      <c r="I1241" s="2" t="inlineStr"/>
      <c r="J1241" s="2" t="inlineStr">
        <is>
          <t>да</t>
        </is>
      </c>
      <c r="K1241" s="3" t="inlineStr">
        <is>
          <t>Для взрослых. Кошмарные видения голодного щенка</t>
        </is>
      </c>
      <c r="L1241" s="2" t="inlineStr">
        <is>
          <t>https://animator.ru/db/?p=show_film&amp;fid=3244</t>
        </is>
      </c>
      <c r="M1241" s="2">
        <f>HYPERLINK("https://ru.wikipedia.org/w/index.php?search=%D0%A4%D1%80%D1%83-89.%20%D0%A1%D0%BB%D0%B5%D0%B2%D0%B0%20%D0%BD%D0%B0%D0%BF%D1%80%D0%B0%D0%B2%D0%BE%201989%20%D1%84%D0%B8%D0%BB%D1%8C%D0%BC","искать")</f>
        <v/>
      </c>
      <c r="N1241" s="3" t="n"/>
      <c r="O1241" s="2" t="n"/>
      <c r="P1241" s="2" t="n"/>
    </row>
    <row r="1242">
      <c r="A1242" s="2" t="n">
        <v>1241</v>
      </c>
      <c r="B1242" s="2" t="inlineStr">
        <is>
          <t>не сюжет</t>
        </is>
      </c>
      <c r="C1242" s="2" t="n">
        <v>12213</v>
      </c>
      <c r="D1242" s="3" t="inlineStr">
        <is>
          <t>Му-Му</t>
        </is>
      </c>
      <c r="E1242" s="2" t="n">
        <v>1987</v>
      </c>
      <c r="F1242" s="2" t="inlineStr">
        <is>
          <t>мультфильм</t>
        </is>
      </c>
      <c r="G1242" s="2" t="inlineStr">
        <is>
          <t>Союзмультфильм</t>
        </is>
      </c>
      <c r="H1242" s="2" t="n">
        <v>47</v>
      </c>
      <c r="I1242" s="2" t="inlineStr"/>
      <c r="J1242" s="2" t="inlineStr">
        <is>
          <t>да</t>
        </is>
      </c>
      <c r="K1242" s="3" t="inlineStr">
        <is>
          <t>Поэтическая экранизация рассказа И.С.Тургенева.</t>
        </is>
      </c>
      <c r="L1242" s="2" t="inlineStr">
        <is>
          <t>2026-10_мультфильмы_список_владельца.xlsx; https://animator.ru/db/?p=show_film&amp;fid=3330</t>
        </is>
      </c>
      <c r="M1242" s="2">
        <f>HYPERLINK("https://ru.wikipedia.org/w/index.php?search=%D0%9C%D1%83-%D0%9C%D1%83%201987%20%D1%84%D0%B8%D0%BB%D1%8C%D0%BC","искать")</f>
        <v/>
      </c>
      <c r="N1242" s="3" t="n"/>
      <c r="O1242" s="2" t="n"/>
      <c r="P1242" s="2" t="n"/>
    </row>
    <row r="1243">
      <c r="A1243" s="2" t="n">
        <v>1242</v>
      </c>
      <c r="B1243" s="2" t="inlineStr">
        <is>
          <t>не сюжет</t>
        </is>
      </c>
      <c r="C1243" s="2" t="n">
        <v>12245</v>
      </c>
      <c r="D1243" s="3" t="inlineStr">
        <is>
          <t>Кому повем печаль мою</t>
        </is>
      </c>
      <c r="E1243" s="2" t="n">
        <v>1988</v>
      </c>
      <c r="F1243" s="2" t="inlineStr">
        <is>
          <t>мультфильм</t>
        </is>
      </c>
      <c r="G1243" s="2" t="inlineStr">
        <is>
          <t>Союзмультфильм</t>
        </is>
      </c>
      <c r="H1243" s="2" t="n">
        <v>47</v>
      </c>
      <c r="I1243" s="2" t="inlineStr"/>
      <c r="J1243" s="2" t="inlineStr">
        <is>
          <t>да</t>
        </is>
      </c>
      <c r="K1243" s="3" t="inlineStr">
        <is>
          <t>По мотивам рассказов Чехова "Ванька" и "Тоска".</t>
        </is>
      </c>
      <c r="L1243" s="2" t="inlineStr">
        <is>
          <t>2026-10_мультфильмы_список_владельца.xlsx; https://animator.ru/db/?p=show_film&amp;fid=3362</t>
        </is>
      </c>
      <c r="M1243" s="2">
        <f>HYPERLINK("https://ru.wikipedia.org/w/index.php?search=%D0%9A%D0%BE%D0%BC%D1%83%20%D0%BF%D0%BE%D0%B2%D0%B5%D0%BC%20%D0%BF%D0%B5%D1%87%D0%B0%D0%BB%D1%8C%20%D0%BC%D0%BE%D1%8E%201988%20%D1%84%D0%B8%D0%BB%D1%8C%D0%BC","искать")</f>
        <v/>
      </c>
      <c r="N1243" s="3" t="n"/>
      <c r="O1243" s="2" t="n"/>
      <c r="P1243" s="2" t="n"/>
    </row>
    <row r="1244">
      <c r="A1244" s="2" t="n">
        <v>1243</v>
      </c>
      <c r="B1244" s="2" t="inlineStr">
        <is>
          <t>не сюжет</t>
        </is>
      </c>
      <c r="C1244" s="2" t="n">
        <v>12376</v>
      </c>
      <c r="D1244" s="3" t="inlineStr">
        <is>
          <t>Запрещенный попугай</t>
        </is>
      </c>
      <c r="E1244" s="2" t="n">
        <v>1938</v>
      </c>
      <c r="F1244" s="2" t="inlineStr">
        <is>
          <t>мультфильм</t>
        </is>
      </c>
      <c r="G1244" s="2" t="inlineStr">
        <is>
          <t>КИЕВНАУЧФИЛЬМ</t>
        </is>
      </c>
      <c r="H1244" s="2" t="n">
        <v>47</v>
      </c>
      <c r="I1244" s="2" t="inlineStr"/>
      <c r="J1244" s="2" t="inlineStr">
        <is>
          <t>да</t>
        </is>
      </c>
      <c r="K1244" s="3" t="inlineStr">
        <is>
          <t>Антифашистский фиольм-плакат. На экран не вышед</t>
        </is>
      </c>
      <c r="L1244" s="2" t="inlineStr">
        <is>
          <t>https://animator.ru/db/?p=show_film&amp;fid=3544</t>
        </is>
      </c>
      <c r="M1244" s="2">
        <f>HYPERLINK("https://ru.wikipedia.org/w/index.php?search=%D0%97%D0%B0%D0%BF%D1%80%D0%B5%D1%89%D0%B5%D0%BD%D0%BD%D1%8B%D0%B9%20%D0%BF%D0%BE%D0%BF%D1%83%D0%B3%D0%B0%D0%B9%201938%20%D1%84%D0%B8%D0%BB%D1%8C%D0%BC","искать")</f>
        <v/>
      </c>
      <c r="N1244" s="3" t="n"/>
      <c r="O1244" s="2" t="n"/>
      <c r="P1244" s="2" t="n"/>
    </row>
    <row r="1245">
      <c r="A1245" s="2" t="n">
        <v>1244</v>
      </c>
      <c r="B1245" s="2" t="inlineStr">
        <is>
          <t>не сюжет</t>
        </is>
      </c>
      <c r="C1245" s="2" t="n">
        <v>12460</v>
      </c>
      <c r="D1245" s="3" t="inlineStr">
        <is>
          <t>Моя хата с краю</t>
        </is>
      </c>
      <c r="E1245" s="2" t="n">
        <v>1971</v>
      </c>
      <c r="F1245" s="2" t="inlineStr">
        <is>
          <t>мультфильм</t>
        </is>
      </c>
      <c r="G1245" s="2" t="inlineStr">
        <is>
          <t>КИЕВНАУЧФИЛЬМ</t>
        </is>
      </c>
      <c r="H1245" s="2" t="n">
        <v>47</v>
      </c>
      <c r="I1245" s="2" t="inlineStr"/>
      <c r="J1245" s="2" t="inlineStr">
        <is>
          <t>да</t>
        </is>
      </c>
      <c r="K1245" s="3" t="inlineStr">
        <is>
          <t>По рассказу М.Захарова "Человек с кислой миной"</t>
        </is>
      </c>
      <c r="L1245" s="2" t="inlineStr">
        <is>
          <t>https://animator.ru/db/?p=show_film&amp;fid=3632</t>
        </is>
      </c>
      <c r="M1245" s="2">
        <f>HYPERLINK("https://ru.wikipedia.org/w/index.php?search=%D0%9C%D0%BE%D1%8F%20%D1%85%D0%B0%D1%82%D0%B0%20%D1%81%20%D0%BA%D1%80%D0%B0%D1%8E%201971%20%D1%84%D0%B8%D0%BB%D1%8C%D0%BC","искать")</f>
        <v/>
      </c>
      <c r="N1245" s="3" t="n"/>
      <c r="O1245" s="2" t="n"/>
      <c r="P1245" s="2" t="n"/>
    </row>
    <row r="1246">
      <c r="A1246" s="2" t="n">
        <v>1245</v>
      </c>
      <c r="B1246" s="2" t="inlineStr">
        <is>
          <t>не сюжет</t>
        </is>
      </c>
      <c r="C1246" s="2" t="n">
        <v>12498</v>
      </c>
      <c r="D1246" s="3" t="inlineStr">
        <is>
          <t>Парасолька на охоте</t>
        </is>
      </c>
      <c r="E1246" s="2" t="n">
        <v>1973</v>
      </c>
      <c r="F1246" s="2" t="inlineStr">
        <is>
          <t>мультфильм</t>
        </is>
      </c>
      <c r="G1246" s="2" t="inlineStr">
        <is>
          <t>КИЕВНАУЧФИЛЬМ</t>
        </is>
      </c>
      <c r="H1246" s="2" t="n">
        <v>47</v>
      </c>
      <c r="I1246" s="2" t="inlineStr"/>
      <c r="J1246" s="2" t="inlineStr">
        <is>
          <t>да</t>
        </is>
      </c>
      <c r="K1246" s="3" t="inlineStr">
        <is>
          <t>По мотивам рассказа О.Вишни "Охотничьи усмешки"</t>
        </is>
      </c>
      <c r="L1246" s="2" t="inlineStr">
        <is>
          <t>https://animator.ru/db/?p=show_film&amp;fid=3673</t>
        </is>
      </c>
      <c r="M1246" s="2">
        <f>HYPERLINK("https://ru.wikipedia.org/w/index.php?search=%D0%9F%D0%B0%D1%80%D0%B0%D1%81%D0%BE%D0%BB%D1%8C%D0%BA%D0%B0%20%D0%BD%D0%B0%20%D0%BE%D1%85%D0%BE%D1%82%D0%B5%201973%20%D1%84%D0%B8%D0%BB%D1%8C%D0%BC","искать")</f>
        <v/>
      </c>
      <c r="N1246" s="3" t="n"/>
      <c r="O1246" s="2" t="n"/>
      <c r="P1246" s="2" t="n"/>
    </row>
    <row r="1247">
      <c r="A1247" s="2" t="n">
        <v>1246</v>
      </c>
      <c r="B1247" s="2" t="inlineStr">
        <is>
          <t>не сюжет</t>
        </is>
      </c>
      <c r="C1247" s="2" t="n">
        <v>12596</v>
      </c>
      <c r="D1247" s="3" t="inlineStr">
        <is>
          <t>Цветок папоротника</t>
        </is>
      </c>
      <c r="E1247" s="2" t="n">
        <v>1979</v>
      </c>
      <c r="F1247" s="2" t="inlineStr">
        <is>
          <t>мультфильм</t>
        </is>
      </c>
      <c r="G1247" s="2" t="inlineStr">
        <is>
          <t>КИЕВНАУЧФИЛЬМ</t>
        </is>
      </c>
      <c r="H1247" s="2" t="n">
        <v>47</v>
      </c>
      <c r="I1247" s="2" t="inlineStr"/>
      <c r="J1247" s="2" t="inlineStr">
        <is>
          <t>да</t>
        </is>
      </c>
      <c r="K1247" s="3" t="inlineStr">
        <is>
          <t>По повести Гоголя "Вечер накануне Ивана Купала"</t>
        </is>
      </c>
      <c r="L1247" s="2" t="inlineStr">
        <is>
          <t>https://animator.ru/db/?p=show_film&amp;fid=3776</t>
        </is>
      </c>
      <c r="M1247" s="2">
        <f>HYPERLINK("https://ru.wikipedia.org/w/index.php?search=%D0%A6%D0%B2%D0%B5%D1%82%D0%BE%D0%BA%20%D0%BF%D0%B0%D0%BF%D0%BE%D1%80%D0%BE%D1%82%D0%BD%D0%B8%D0%BA%D0%B0%201979%20%D1%84%D0%B8%D0%BB%D1%8C%D0%BC","искать")</f>
        <v/>
      </c>
      <c r="N1247" s="3" t="n"/>
      <c r="O1247" s="2" t="n"/>
      <c r="P1247" s="2" t="n"/>
    </row>
    <row r="1248">
      <c r="A1248" s="2" t="n">
        <v>1247</v>
      </c>
      <c r="B1248" s="2" t="inlineStr">
        <is>
          <t>не сюжет</t>
        </is>
      </c>
      <c r="C1248" s="2" t="n">
        <v>12602</v>
      </c>
      <c r="D1248" s="3" t="inlineStr">
        <is>
          <t>Человек с детским акцентом</t>
        </is>
      </c>
      <c r="E1248" s="2" t="n">
        <v>1987</v>
      </c>
      <c r="F1248" s="2" t="inlineStr">
        <is>
          <t>мультфильм</t>
        </is>
      </c>
      <c r="G1248" s="2" t="inlineStr">
        <is>
          <t>КИЕВНАУЧФИЛЬМ</t>
        </is>
      </c>
      <c r="H1248" s="2" t="n">
        <v>47</v>
      </c>
      <c r="I1248" s="2" t="inlineStr"/>
      <c r="J1248" s="2" t="inlineStr">
        <is>
          <t>да</t>
        </is>
      </c>
      <c r="K1248" s="3" t="inlineStr">
        <is>
          <t>Приз "За лучший детский фильм", Варна, Болгария</t>
        </is>
      </c>
      <c r="L1248" s="2" t="inlineStr">
        <is>
          <t>https://animator.ru/db/?p=show_film&amp;fid=3782</t>
        </is>
      </c>
      <c r="M1248" s="2">
        <f>HYPERLINK("https://ru.wikipedia.org/w/index.php?search=%D0%A7%D0%B5%D0%BB%D0%BE%D0%B2%D0%B5%D0%BA%20%D1%81%20%D0%B4%D0%B5%D1%82%D1%81%D0%BA%D0%B8%D0%BC%20%D0%B0%D0%BA%D1%86%D0%B5%D0%BD%D1%82%D0%BE%D0%BC%201987%20%D1%84%D0%B8%D0%BB%D1%8C%D0%BC","искать")</f>
        <v/>
      </c>
      <c r="N1248" s="3" t="n"/>
      <c r="O1248" s="2" t="n"/>
      <c r="P1248" s="2" t="n"/>
    </row>
    <row r="1249">
      <c r="A1249" s="2" t="n">
        <v>1248</v>
      </c>
      <c r="B1249" s="2" t="inlineStr">
        <is>
          <t>не сюжет</t>
        </is>
      </c>
      <c r="C1249" s="2" t="n">
        <v>12627</v>
      </c>
      <c r="D1249" s="3" t="inlineStr">
        <is>
          <t>ЧЕРЕЗ ТЕРНИИ К ЗВЕЗДАМ ("Фитиль" N 295)</t>
        </is>
      </c>
      <c r="E1249" s="2" t="n">
        <v>1987</v>
      </c>
      <c r="F1249" s="2" t="inlineStr">
        <is>
          <t>мультфильм</t>
        </is>
      </c>
      <c r="G1249" s="2" t="inlineStr">
        <is>
          <t>Союзмультфильм</t>
        </is>
      </c>
      <c r="H1249" s="2" t="n">
        <v>47</v>
      </c>
      <c r="I1249" s="2" t="inlineStr"/>
      <c r="J1249" s="2" t="inlineStr">
        <is>
          <t>да</t>
        </is>
      </c>
      <c r="K1249" s="3" t="inlineStr">
        <is>
          <t>Производственная тема в сатирическом осввещении</t>
        </is>
      </c>
      <c r="L1249" s="2" t="inlineStr">
        <is>
          <t>https://animator.ru/db/?p=show_film&amp;fid=3807</t>
        </is>
      </c>
      <c r="M1249" s="2">
        <f>HYPERLINK("https://ru.wikipedia.org/w/index.php?search=%D0%A7%D0%95%D0%A0%D0%95%D0%97%20%D0%A2%D0%95%D0%A0%D0%9D%D0%98%D0%98%20%D0%9A%20%D0%97%D0%92%D0%95%D0%97%D0%94%D0%90%D0%9C%20%28%22%D0%A4%D0%B8%D1%82%D0%B8%D0%BB%D1%8C%22%20N%20295%29%201987%20%D1%84%D0%B8%D0%BB%D1%8C%D0%BC","искать")</f>
        <v/>
      </c>
      <c r="N1249" s="3" t="n"/>
      <c r="O1249" s="2" t="n"/>
      <c r="P1249" s="2" t="n"/>
    </row>
    <row r="1250">
      <c r="A1250" s="2" t="n">
        <v>1249</v>
      </c>
      <c r="B1250" s="2" t="inlineStr">
        <is>
          <t>не сюжет</t>
        </is>
      </c>
      <c r="C1250" s="2" t="n">
        <v>12696</v>
      </c>
      <c r="D1250" s="3" t="inlineStr">
        <is>
          <t>Песнь о зубре</t>
        </is>
      </c>
      <c r="E1250" s="2" t="n">
        <v>1982</v>
      </c>
      <c r="F1250" s="2" t="inlineStr">
        <is>
          <t>мультфильм</t>
        </is>
      </c>
      <c r="G1250" s="2" t="inlineStr">
        <is>
          <t>БЕЛАРУСЬФИЛЬМ НАЦИОНАЛЬНАЯ КИНОСТУДИЯ - ГП</t>
        </is>
      </c>
      <c r="H1250" s="2" t="n">
        <v>47</v>
      </c>
      <c r="I1250" s="2" t="inlineStr"/>
      <c r="J1250" s="2" t="inlineStr">
        <is>
          <t>да</t>
        </is>
      </c>
      <c r="K1250" s="3" t="inlineStr">
        <is>
          <t>О борьбе против татарского нашествия в XV веке.</t>
        </is>
      </c>
      <c r="L1250" s="2" t="inlineStr">
        <is>
          <t>2026-10_мультфильмы_список_владельца.xlsx; https://animator.ru/db/?p=show_film&amp;fid=3891</t>
        </is>
      </c>
      <c r="M1250" s="2">
        <f>HYPERLINK("https://ru.wikipedia.org/w/index.php?search=%D0%9F%D0%B5%D1%81%D0%BD%D1%8C%20%D0%BE%20%D0%B7%D1%83%D0%B1%D1%80%D0%B5%201982%20%D1%84%D0%B8%D0%BB%D1%8C%D0%BC","искать")</f>
        <v/>
      </c>
      <c r="N1250" s="3" t="n"/>
      <c r="O1250" s="2" t="n"/>
      <c r="P1250" s="2" t="n"/>
    </row>
    <row r="1251">
      <c r="A1251" s="2" t="n">
        <v>1250</v>
      </c>
      <c r="B1251" s="2" t="inlineStr">
        <is>
          <t>не сюжет</t>
        </is>
      </c>
      <c r="C1251" s="2" t="n">
        <v>12700</v>
      </c>
      <c r="D1251" s="3" t="inlineStr">
        <is>
          <t>Труба</t>
        </is>
      </c>
      <c r="E1251" s="2" t="n">
        <v>1982</v>
      </c>
      <c r="F1251" s="2" t="inlineStr">
        <is>
          <t>мультфильм</t>
        </is>
      </c>
      <c r="G1251" s="2" t="inlineStr">
        <is>
          <t>БЕЛАРУСЬФИЛЬМ НАЦИОНАЛЬНАЯ КИНОСТУДИЯ - ГП</t>
        </is>
      </c>
      <c r="H1251" s="2" t="n">
        <v>47</v>
      </c>
      <c r="I1251" s="2" t="inlineStr"/>
      <c r="J1251" s="2" t="inlineStr">
        <is>
          <t>да</t>
        </is>
      </c>
      <c r="K1251" s="3" t="inlineStr">
        <is>
          <t>О разгильдяйстве в строительстве (для взрослых)</t>
        </is>
      </c>
      <c r="L1251" s="2" t="inlineStr">
        <is>
          <t>https://animator.ru/db/?p=show_film&amp;fid=3895</t>
        </is>
      </c>
      <c r="M1251" s="2">
        <f>HYPERLINK("https://ru.wikipedia.org/w/index.php?search=%D0%A2%D1%80%D1%83%D0%B1%D0%B0%201982%20%D1%84%D0%B8%D0%BB%D1%8C%D0%BC","искать")</f>
        <v/>
      </c>
      <c r="N1251" s="3" t="n"/>
      <c r="O1251" s="2" t="n"/>
      <c r="P1251" s="2" t="n"/>
    </row>
    <row r="1252">
      <c r="A1252" s="2" t="n">
        <v>1251</v>
      </c>
      <c r="B1252" s="2" t="inlineStr">
        <is>
          <t>не сюжет</t>
        </is>
      </c>
      <c r="C1252" s="2" t="n">
        <v>13037</v>
      </c>
      <c r="D1252" s="3" t="inlineStr">
        <is>
          <t>Пигмалион</t>
        </is>
      </c>
      <c r="E1252" s="2" t="n">
        <v>1970</v>
      </c>
      <c r="F1252" s="2" t="inlineStr">
        <is>
          <t>мультфильм</t>
        </is>
      </c>
      <c r="G1252" s="2" t="inlineStr">
        <is>
          <t>РИЖСКАЯ КИНОСТУДИЯ</t>
        </is>
      </c>
      <c r="H1252" s="2" t="n">
        <v>47</v>
      </c>
      <c r="I1252" s="2" t="inlineStr"/>
      <c r="J1252" s="2" t="inlineStr">
        <is>
          <t>да</t>
        </is>
      </c>
      <c r="K1252" s="3" t="inlineStr">
        <is>
          <t>Сатира на "непонятность" абстрактного искусства</t>
        </is>
      </c>
      <c r="L1252" s="2" t="inlineStr">
        <is>
          <t>https://animator.ru/db/?p=show_film&amp;fid=4269</t>
        </is>
      </c>
      <c r="M1252" s="2">
        <f>HYPERLINK("https://ru.wikipedia.org/w/index.php?search=%D0%9F%D0%B8%D0%B3%D0%BC%D0%B0%D0%BB%D0%B8%D0%BE%D0%BD%201970%20%D1%84%D0%B8%D0%BB%D1%8C%D0%BC","искать")</f>
        <v/>
      </c>
      <c r="N1252" s="3" t="n"/>
      <c r="O1252" s="2" t="n"/>
      <c r="P1252" s="2" t="n"/>
    </row>
    <row r="1253">
      <c r="A1253" s="2" t="n">
        <v>1252</v>
      </c>
      <c r="B1253" s="2" t="inlineStr">
        <is>
          <t>не сюжет</t>
        </is>
      </c>
      <c r="C1253" s="2" t="n">
        <v>13239</v>
      </c>
      <c r="D1253" s="3" t="inlineStr">
        <is>
          <t>Кто? Что? Где?</t>
        </is>
      </c>
      <c r="E1253" s="2" t="n">
        <v>1970</v>
      </c>
      <c r="F1253" s="2" t="inlineStr">
        <is>
          <t>мультфильм</t>
        </is>
      </c>
      <c r="G1253" s="2" t="inlineStr">
        <is>
          <t>ТАЛЛИННФИЛЬМ</t>
        </is>
      </c>
      <c r="H1253" s="2" t="n">
        <v>47</v>
      </c>
      <c r="I1253" s="2" t="inlineStr"/>
      <c r="J1253" s="2" t="inlineStr">
        <is>
          <t>да</t>
        </is>
      </c>
      <c r="K1253" s="3" t="inlineStr">
        <is>
          <t>Два сюжета: "Слава весне!" и "Эти синие глаза!"</t>
        </is>
      </c>
      <c r="L1253" s="2" t="inlineStr">
        <is>
          <t>https://animator.ru/db/?p=show_film&amp;fid=4482</t>
        </is>
      </c>
      <c r="M1253" s="2">
        <f>HYPERLINK("https://ru.wikipedia.org/w/index.php?search=%D0%9A%D1%82%D0%BE%3F%20%D0%A7%D1%82%D0%BE%3F%20%D0%93%D0%B4%D0%B5%3F%201970%20%D1%84%D0%B8%D0%BB%D1%8C%D0%BC","искать")</f>
        <v/>
      </c>
      <c r="N1253" s="3" t="n"/>
      <c r="O1253" s="2" t="n"/>
      <c r="P1253" s="2" t="n"/>
    </row>
    <row r="1254">
      <c r="A1254" s="2" t="n">
        <v>1253</v>
      </c>
      <c r="B1254" s="2" t="inlineStr">
        <is>
          <t>не сюжет</t>
        </is>
      </c>
      <c r="C1254" s="2" t="n">
        <v>13296</v>
      </c>
      <c r="D1254" s="3" t="inlineStr">
        <is>
          <t>Путевые заметки</t>
        </is>
      </c>
      <c r="E1254" s="2" t="n">
        <v>1989</v>
      </c>
      <c r="F1254" s="2" t="inlineStr">
        <is>
          <t>мультфильм</t>
        </is>
      </c>
      <c r="G1254" s="2" t="inlineStr">
        <is>
          <t>ТАЛЛИННФИЛЬМ</t>
        </is>
      </c>
      <c r="H1254" s="2" t="n">
        <v>47</v>
      </c>
      <c r="I1254" s="2" t="inlineStr"/>
      <c r="J1254" s="2" t="inlineStr">
        <is>
          <t>да</t>
        </is>
      </c>
      <c r="K1254" s="3" t="inlineStr">
        <is>
          <t>Этюд на тему воспоминаний детства. Для взрослых</t>
        </is>
      </c>
      <c r="L1254" s="2" t="inlineStr">
        <is>
          <t>https://animator.ru/db/?p=show_film&amp;fid=4553</t>
        </is>
      </c>
      <c r="M1254" s="2">
        <f>HYPERLINK("https://ru.wikipedia.org/w/index.php?search=%D0%9F%D1%83%D1%82%D0%B5%D0%B2%D1%8B%D0%B5%20%D0%B7%D0%B0%D0%BC%D0%B5%D1%82%D0%BA%D0%B8%201989%20%D1%84%D0%B8%D0%BB%D1%8C%D0%BC","искать")</f>
        <v/>
      </c>
      <c r="N1254" s="3" t="n"/>
      <c r="O1254" s="2" t="n"/>
      <c r="P1254" s="2" t="n"/>
    </row>
    <row r="1255">
      <c r="A1255" s="2" t="n">
        <v>1254</v>
      </c>
      <c r="B1255" s="2" t="inlineStr">
        <is>
          <t>не сюжет</t>
        </is>
      </c>
      <c r="C1255" s="2" t="n">
        <v>13419</v>
      </c>
      <c r="D1255" s="3" t="inlineStr">
        <is>
          <t>Кнопочки и человечки</t>
        </is>
      </c>
      <c r="E1255" s="2" t="n">
        <v>1980</v>
      </c>
      <c r="F1255" s="2" t="inlineStr">
        <is>
          <t>мультфильм</t>
        </is>
      </c>
      <c r="G1255" s="2" t="inlineStr">
        <is>
          <t>ЭКРАН</t>
        </is>
      </c>
      <c r="H1255" s="2" t="n">
        <v>47</v>
      </c>
      <c r="I1255" s="2" t="inlineStr"/>
      <c r="J1255" s="2" t="inlineStr">
        <is>
          <t>да</t>
        </is>
      </c>
      <c r="K1255" s="3" t="inlineStr">
        <is>
          <t>Эпизод из повести Бориса Житкова "Что я видел?"</t>
        </is>
      </c>
      <c r="L1255" s="2" t="inlineStr">
        <is>
          <t>https://animator.ru/db/?p=show_film&amp;fid=4700</t>
        </is>
      </c>
      <c r="M1255" s="2">
        <f>HYPERLINK("https://ru.wikipedia.org/w/index.php?search=%D0%9A%D0%BD%D0%BE%D0%BF%D0%BE%D1%87%D0%BA%D0%B8%20%D0%B8%20%D1%87%D0%B5%D0%BB%D0%BE%D0%B2%D0%B5%D1%87%D0%BA%D0%B8%201980%20%D1%84%D0%B8%D0%BB%D1%8C%D0%BC","искать")</f>
        <v/>
      </c>
      <c r="N1255" s="3" t="n"/>
      <c r="O1255" s="2" t="n"/>
      <c r="P1255" s="2" t="n"/>
    </row>
    <row r="1256">
      <c r="A1256" s="2" t="n">
        <v>1255</v>
      </c>
      <c r="B1256" s="2" t="inlineStr">
        <is>
          <t>не сюжет</t>
        </is>
      </c>
      <c r="C1256" s="2" t="n">
        <v>13448</v>
      </c>
      <c r="D1256" s="3" t="inlineStr">
        <is>
          <t>Фантазер</t>
        </is>
      </c>
      <c r="E1256" s="2" t="n">
        <v>1983</v>
      </c>
      <c r="F1256" s="2" t="inlineStr">
        <is>
          <t>мультфильм</t>
        </is>
      </c>
      <c r="G1256" s="2" t="inlineStr">
        <is>
          <t>ЭКРАН</t>
        </is>
      </c>
      <c r="H1256" s="2" t="n">
        <v>47</v>
      </c>
      <c r="I1256" s="2" t="inlineStr"/>
      <c r="J1256" s="2" t="inlineStr">
        <is>
          <t>да</t>
        </is>
      </c>
      <c r="K1256" s="3" t="inlineStr">
        <is>
          <t>Мечты мальчика о любви и приключениях.Для детей</t>
        </is>
      </c>
      <c r="L1256" s="2" t="inlineStr">
        <is>
          <t>https://animator.ru/db/?p=show_film&amp;fid=4729</t>
        </is>
      </c>
      <c r="M1256" s="2">
        <f>HYPERLINK("https://ru.wikipedia.org/w/index.php?search=%D0%A4%D0%B0%D0%BD%D1%82%D0%B0%D0%B7%D0%B5%D1%80%201983%20%D1%84%D0%B8%D0%BB%D1%8C%D0%BC","искать")</f>
        <v/>
      </c>
      <c r="N1256" s="3" t="n"/>
      <c r="O1256" s="2" t="n"/>
      <c r="P1256" s="2" t="n"/>
    </row>
    <row r="1257">
      <c r="A1257" s="2" t="n">
        <v>1256</v>
      </c>
      <c r="B1257" s="2" t="inlineStr">
        <is>
          <t>не сюжет</t>
        </is>
      </c>
      <c r="C1257" s="2" t="n">
        <v>13805</v>
      </c>
      <c r="D1257" s="3" t="inlineStr">
        <is>
          <t>Ослик</t>
        </is>
      </c>
      <c r="E1257" s="2" t="n">
        <v>1990</v>
      </c>
      <c r="F1257" s="2" t="inlineStr">
        <is>
          <t>мультфильм</t>
        </is>
      </c>
      <c r="G1257" s="2" t="inlineStr">
        <is>
          <t>ЭКРАН</t>
        </is>
      </c>
      <c r="H1257" s="2" t="n">
        <v>47</v>
      </c>
      <c r="I1257" s="2" t="inlineStr"/>
      <c r="J1257" s="2" t="inlineStr">
        <is>
          <t>да</t>
        </is>
      </c>
      <c r="K1257" s="3" t="inlineStr">
        <is>
          <t>Об ослике, который не умел считать. Для малышей</t>
        </is>
      </c>
      <c r="L1257" s="2" t="inlineStr">
        <is>
          <t>https://animator.ru/db/?p=show_film&amp;fid=5198</t>
        </is>
      </c>
      <c r="M1257" s="2">
        <f>HYPERLINK("https://ru.wikipedia.org/w/index.php?search=%D0%9E%D1%81%D0%BB%D0%B8%D0%BA%201990%20%D1%84%D0%B8%D0%BB%D1%8C%D0%BC","искать")</f>
        <v/>
      </c>
      <c r="N1257" s="3" t="n"/>
      <c r="O1257" s="2" t="n"/>
      <c r="P1257" s="2" t="n"/>
    </row>
    <row r="1258">
      <c r="A1258" s="2" t="n">
        <v>1257</v>
      </c>
      <c r="B1258" s="2" t="inlineStr">
        <is>
          <t>не сюжет</t>
        </is>
      </c>
      <c r="C1258" s="2" t="n">
        <v>14092</v>
      </c>
      <c r="D1258" s="3" t="inlineStr">
        <is>
          <t>Верешок</t>
        </is>
      </c>
      <c r="E1258" s="2" t="n">
        <v>1984</v>
      </c>
      <c r="F1258" s="2" t="inlineStr">
        <is>
          <t>мультфильм</t>
        </is>
      </c>
      <c r="G1258" s="2" t="inlineStr">
        <is>
          <t>ПЕРМЬТЕЛЕФИЛЬМ</t>
        </is>
      </c>
      <c r="H1258" s="2" t="n">
        <v>47</v>
      </c>
      <c r="I1258" s="2" t="inlineStr"/>
      <c r="J1258" s="2" t="inlineStr">
        <is>
          <t>да</t>
        </is>
      </c>
      <c r="K1258" s="3" t="inlineStr">
        <is>
          <t>По мотивам Коми-Пермяцкого фольклора. Для детей</t>
        </is>
      </c>
      <c r="L1258" s="2" t="inlineStr">
        <is>
          <t>https://animator.ru/db/?p=show_film&amp;fid=5490</t>
        </is>
      </c>
      <c r="M1258" s="2">
        <f>HYPERLINK("https://ru.wikipedia.org/w/index.php?search=%D0%92%D0%B5%D1%80%D0%B5%D1%88%D0%BE%D0%BA%201984%20%D1%84%D0%B8%D0%BB%D1%8C%D0%BC","искать")</f>
        <v/>
      </c>
      <c r="N1258" s="3" t="n"/>
      <c r="O1258" s="2" t="n"/>
      <c r="P1258" s="2" t="n"/>
    </row>
    <row r="1259">
      <c r="A1259" s="2" t="n">
        <v>1258</v>
      </c>
      <c r="B1259" s="2" t="inlineStr">
        <is>
          <t>не сюжет</t>
        </is>
      </c>
      <c r="C1259" s="2" t="n">
        <v>14143</v>
      </c>
      <c r="D1259" s="3" t="inlineStr">
        <is>
          <t>Однажды летом</t>
        </is>
      </c>
      <c r="E1259" s="2" t="n">
        <v>1979</v>
      </c>
      <c r="F1259" s="2" t="inlineStr">
        <is>
          <t>мультфильм</t>
        </is>
      </c>
      <c r="G1259" s="2" t="inlineStr">
        <is>
          <t>АЗЕРБАЙДЖАНТЕЛЕФИЛЬМ</t>
        </is>
      </c>
      <c r="H1259" s="2" t="n">
        <v>47</v>
      </c>
      <c r="I1259" s="2" t="inlineStr"/>
      <c r="J1259" s="2" t="inlineStr">
        <is>
          <t>да</t>
        </is>
      </c>
      <c r="K1259" s="3" t="inlineStr">
        <is>
          <t>О доброй девочке и грубом мальчике. Для малышей</t>
        </is>
      </c>
      <c r="L1259" s="2" t="inlineStr">
        <is>
          <t>https://animator.ru/db/?p=show_film&amp;fid=5541</t>
        </is>
      </c>
      <c r="M1259" s="2">
        <f>HYPERLINK("https://ru.wikipedia.org/w/index.php?search=%D0%9E%D0%B4%D0%BD%D0%B0%D0%B6%D0%B4%D1%8B%20%D0%BB%D0%B5%D1%82%D0%BE%D0%BC%201979%20%D1%84%D0%B8%D0%BB%D1%8C%D0%BC","искать")</f>
        <v/>
      </c>
      <c r="N1259" s="3" t="n"/>
      <c r="O1259" s="2" t="n"/>
      <c r="P1259" s="2" t="n"/>
    </row>
    <row r="1260">
      <c r="A1260" s="2" t="n">
        <v>1259</v>
      </c>
      <c r="B1260" s="2" t="inlineStr">
        <is>
          <t>не сюжет</t>
        </is>
      </c>
      <c r="C1260" s="2" t="n">
        <v>14208</v>
      </c>
      <c r="D1260" s="3" t="inlineStr">
        <is>
          <t>Синичкин календарь. 3. Лето</t>
        </is>
      </c>
      <c r="E1260" s="2" t="n">
        <v>1984</v>
      </c>
      <c r="F1260" s="2" t="inlineStr">
        <is>
          <t>мультфильм</t>
        </is>
      </c>
      <c r="G1260" s="2" t="inlineStr">
        <is>
          <t>ЭКРАН</t>
        </is>
      </c>
      <c r="H1260" s="2" t="n">
        <v>47</v>
      </c>
      <c r="I1260" s="2" t="inlineStr"/>
      <c r="J1260" s="2" t="inlineStr">
        <is>
          <t>да</t>
        </is>
      </c>
      <c r="K1260" s="3" t="inlineStr">
        <is>
          <t>По могтивам рассказов Виталия Бианки. Для детей</t>
        </is>
      </c>
      <c r="L1260" s="2" t="inlineStr">
        <is>
          <t>https://animator.ru/db/?p=show_film&amp;fid=5607</t>
        </is>
      </c>
      <c r="M1260" s="2">
        <f>HYPERLINK("https://ru.wikipedia.org/w/index.php?search=%D0%A1%D0%B8%D0%BD%D0%B8%D1%87%D0%BA%D0%B8%D0%BD%20%D0%BA%D0%B0%D0%BB%D0%B5%D0%BD%D0%B4%D0%B0%D1%80%D1%8C.%203.%20%D0%9B%D0%B5%D1%82%D0%BE%201984%20%D1%84%D0%B8%D0%BB%D1%8C%D0%BC","искать")</f>
        <v/>
      </c>
      <c r="N1260" s="3" t="n"/>
      <c r="O1260" s="2" t="n"/>
      <c r="P1260" s="2" t="n"/>
    </row>
    <row r="1261">
      <c r="A1261" s="2" t="n">
        <v>1260</v>
      </c>
      <c r="B1261" s="2" t="inlineStr">
        <is>
          <t>не сюжет</t>
        </is>
      </c>
      <c r="C1261" s="2" t="n">
        <v>14375</v>
      </c>
      <c r="D1261" s="3" t="inlineStr">
        <is>
          <t>Правда</t>
        </is>
      </c>
      <c r="E1261" s="2" t="n">
        <v>1988</v>
      </c>
      <c r="F1261" s="2" t="inlineStr">
        <is>
          <t>мультфильм</t>
        </is>
      </c>
      <c r="G1261" s="2" t="n"/>
      <c r="H1261" s="2" t="n">
        <v>47</v>
      </c>
      <c r="I1261" s="2" t="inlineStr"/>
      <c r="J1261" s="2" t="inlineStr">
        <is>
          <t>да</t>
        </is>
      </c>
      <c r="K1261" s="3" t="inlineStr">
        <is>
          <t>О кошмарах урбанизированного мира. Для взрослых</t>
        </is>
      </c>
      <c r="L1261" s="2" t="inlineStr">
        <is>
          <t>https://animator.ru/db/?p=show_film&amp;fid=6307</t>
        </is>
      </c>
      <c r="M1261" s="2">
        <f>HYPERLINK("https://ru.wikipedia.org/w/index.php?search=%D0%9F%D1%80%D0%B0%D0%B2%D0%B4%D0%B0%201988%20%D1%84%D0%B8%D0%BB%D1%8C%D0%BC","искать")</f>
        <v/>
      </c>
      <c r="N1261" s="3" t="n"/>
      <c r="O1261" s="2" t="n"/>
      <c r="P1261" s="2" t="n"/>
    </row>
    <row r="1262">
      <c r="A1262" s="2" t="n">
        <v>1261</v>
      </c>
      <c r="B1262" s="2" t="inlineStr">
        <is>
          <t>не сюжет</t>
        </is>
      </c>
      <c r="C1262" s="2" t="n">
        <v>9838</v>
      </c>
      <c r="D1262" s="3" t="inlineStr">
        <is>
          <t>Гроза</t>
        </is>
      </c>
      <c r="E1262" s="2" t="n">
        <v>1967</v>
      </c>
      <c r="F1262" s="2" t="inlineStr">
        <is>
          <t>телефильм</t>
        </is>
      </c>
      <c r="G1262" s="2" t="inlineStr">
        <is>
          <t>Рижское телевидение</t>
        </is>
      </c>
      <c r="H1262" s="2" t="n">
        <v>48</v>
      </c>
      <c r="I1262" s="2" t="inlineStr"/>
      <c r="J1262" s="2" t="inlineStr">
        <is>
          <t>да</t>
        </is>
      </c>
      <c r="K1262" s="3" t="inlineStr">
        <is>
          <t>Экранизация рассказа Рудолфа Блауманиса "Гроза".</t>
        </is>
      </c>
      <c r="L1262" s="2" t="inlineStr">
        <is>
          <t>https://www.kino-teatr.ru/short/movie/sov/116901/annot/</t>
        </is>
      </c>
      <c r="M1262" s="2">
        <f>HYPERLINK("https://ru.wikipedia.org/w/index.php?search=%D0%93%D1%80%D0%BE%D0%B7%D0%B0%201967%20%D1%84%D0%B8%D0%BB%D1%8C%D0%BC","искать")</f>
        <v/>
      </c>
      <c r="N1262" s="3" t="n"/>
      <c r="O1262" s="2" t="n"/>
      <c r="P1262" s="2" t="n"/>
    </row>
    <row r="1263">
      <c r="A1263" s="2" t="n">
        <v>1262</v>
      </c>
      <c r="B1263" s="2" t="inlineStr">
        <is>
          <t>не сюжет</t>
        </is>
      </c>
      <c r="C1263" s="2" t="n">
        <v>9899</v>
      </c>
      <c r="D1263" s="3" t="inlineStr">
        <is>
          <t>Фонтан</t>
        </is>
      </c>
      <c r="E1263" s="2" t="n">
        <v>1972</v>
      </c>
      <c r="F1263" s="2" t="inlineStr">
        <is>
          <t>кинофильм</t>
        </is>
      </c>
      <c r="G1263" s="2" t="inlineStr">
        <is>
          <t>Грузия-фильм</t>
        </is>
      </c>
      <c r="H1263" s="2" t="n">
        <v>48</v>
      </c>
      <c r="I1263" s="2" t="inlineStr"/>
      <c r="J1263" s="2" t="inlineStr">
        <is>
          <t>да</t>
        </is>
      </c>
      <c r="K1263" s="3" t="inlineStr">
        <is>
          <t>Лирическая киноновелла о первой юношеской любви.</t>
        </is>
      </c>
      <c r="L1263" s="2" t="inlineStr">
        <is>
          <t>https://www.kino-teatr.ru/short/movie/sov/84580/annot/</t>
        </is>
      </c>
      <c r="M1263" s="2">
        <f>HYPERLINK("https://ru.wikipedia.org/w/index.php?search=%D0%A4%D0%BE%D0%BD%D1%82%D0%B0%D0%BD%201972%20%D1%84%D0%B8%D0%BB%D1%8C%D0%BC","искать")</f>
        <v/>
      </c>
      <c r="N1263" s="3" t="n"/>
      <c r="O1263" s="2" t="n"/>
      <c r="P1263" s="2" t="n"/>
    </row>
    <row r="1264">
      <c r="A1264" s="2" t="n">
        <v>1263</v>
      </c>
      <c r="B1264" s="2" t="inlineStr">
        <is>
          <t>не сюжет</t>
        </is>
      </c>
      <c r="C1264" s="2" t="n">
        <v>10052</v>
      </c>
      <c r="D1264" s="3" t="inlineStr">
        <is>
          <t>Автобус</t>
        </is>
      </c>
      <c r="E1264" s="2" t="n">
        <v>1991</v>
      </c>
      <c r="F1264" s="2" t="inlineStr">
        <is>
          <t>телефильм</t>
        </is>
      </c>
      <c r="G1264" s="2" t="n"/>
      <c r="H1264" s="2" t="n">
        <v>48</v>
      </c>
      <c r="I1264" s="2" t="inlineStr"/>
      <c r="J1264" s="2" t="inlineStr">
        <is>
          <t>да</t>
        </is>
      </c>
      <c r="K1264" s="3" t="inlineStr">
        <is>
          <t>По мотивам одноименного рассказа Хулио Кортасара</t>
        </is>
      </c>
      <c r="L1264" s="2" t="inlineStr">
        <is>
          <t>https://gosfilmofond.ru/films/256453/</t>
        </is>
      </c>
      <c r="M1264" s="2">
        <f>HYPERLINK("https://ru.wikipedia.org/w/index.php?search=%D0%90%D0%B2%D1%82%D0%BE%D0%B1%D1%83%D1%81%201991%20%D1%84%D0%B8%D0%BB%D1%8C%D0%BC","искать")</f>
        <v/>
      </c>
      <c r="N1264" s="3" t="n"/>
      <c r="O1264" s="2" t="n"/>
      <c r="P1264" s="2" t="n"/>
    </row>
    <row r="1265">
      <c r="A1265" s="2" t="n">
        <v>1264</v>
      </c>
      <c r="B1265" s="2" t="inlineStr">
        <is>
          <t>не сюжет</t>
        </is>
      </c>
      <c r="C1265" s="2" t="n">
        <v>10104</v>
      </c>
      <c r="D1265" s="3" t="inlineStr">
        <is>
          <t>Шумят пороги Уэйкенго</t>
        </is>
      </c>
      <c r="E1265" s="2" t="n">
        <v>1962</v>
      </c>
      <c r="F1265" s="2" t="inlineStr">
        <is>
          <t>фильм-спектакль</t>
        </is>
      </c>
      <c r="G1265" s="2" t="inlineStr">
        <is>
          <t>Ленинградская телестудия</t>
        </is>
      </c>
      <c r="H1265" s="2" t="n">
        <v>48</v>
      </c>
      <c r="I1265" s="2" t="inlineStr"/>
      <c r="J1265" s="2" t="inlineStr">
        <is>
          <t>да</t>
        </is>
      </c>
      <c r="K1265" s="3" t="inlineStr">
        <is>
          <t>Телефильм по роману Б.Дэвидсона "Речные пороги".</t>
        </is>
      </c>
      <c r="L1265" s="2" t="inlineStr">
        <is>
          <t>https://www.kino-teatr.ru/teatr/movie/87236/annot/</t>
        </is>
      </c>
      <c r="M1265" s="2">
        <f>HYPERLINK("https://ru.wikipedia.org/w/index.php?search=%D0%A8%D1%83%D0%BC%D1%8F%D1%82%20%D0%BF%D0%BE%D1%80%D0%BE%D0%B3%D0%B8%20%D0%A3%D1%8D%D0%B9%D0%BA%D0%B5%D0%BD%D0%B3%D0%BE%201962%20%D1%84%D0%B8%D0%BB%D1%8C%D0%BC","искать")</f>
        <v/>
      </c>
      <c r="N1265" s="3" t="n"/>
      <c r="O1265" s="2" t="n"/>
      <c r="P1265" s="2" t="n"/>
    </row>
    <row r="1266">
      <c r="A1266" s="2" t="n">
        <v>1265</v>
      </c>
      <c r="B1266" s="2" t="inlineStr">
        <is>
          <t>не сюжет</t>
        </is>
      </c>
      <c r="C1266" s="2" t="n">
        <v>10764</v>
      </c>
      <c r="D1266" s="3" t="inlineStr">
        <is>
          <t>Ой, не ходи, Грыць, да на вечерницы</t>
        </is>
      </c>
      <c r="E1266" s="2" t="n">
        <v>1978</v>
      </c>
      <c r="F1266" s="2" t="inlineStr">
        <is>
          <t>фильм-спектакль</t>
        </is>
      </c>
      <c r="G1266" s="2" t="inlineStr">
        <is>
          <t>Укртелефильм</t>
        </is>
      </c>
      <c r="H1266" s="2" t="n">
        <v>48</v>
      </c>
      <c r="I1266" s="2" t="inlineStr"/>
      <c r="J1266" s="2" t="inlineStr">
        <is>
          <t>да</t>
        </is>
      </c>
      <c r="K1266" s="3" t="inlineStr">
        <is>
          <t>По мотивам одноименной пьесы Михайла Старицкого.</t>
        </is>
      </c>
      <c r="L1266" s="2" t="inlineStr">
        <is>
          <t>https://www.kino-teatr.ru/teatr/movie/119429/annot/</t>
        </is>
      </c>
      <c r="M1266" s="2">
        <f>HYPERLINK("https://ru.wikipedia.org/w/index.php?search=%D0%9E%D0%B9%2C%20%D0%BD%D0%B5%20%D1%85%D0%BE%D0%B4%D0%B8%2C%20%D0%93%D1%80%D1%8B%D1%86%D1%8C%2C%20%D0%B4%D0%B0%20%D0%BD%D0%B0%20%D0%B2%D0%B5%D1%87%D0%B5%D1%80%D0%BD%D0%B8%D1%86%D1%8B%201978%20%D1%84%D0%B8%D0%BB%D1%8C%D0%BC","искать")</f>
        <v/>
      </c>
      <c r="N1266" s="3" t="n"/>
      <c r="O1266" s="2" t="n"/>
      <c r="P1266" s="2" t="n"/>
    </row>
    <row r="1267">
      <c r="A1267" s="2" t="n">
        <v>1266</v>
      </c>
      <c r="B1267" s="2" t="inlineStr">
        <is>
          <t>не сюжет</t>
        </is>
      </c>
      <c r="C1267" s="2" t="n">
        <v>10879</v>
      </c>
      <c r="D1267" s="3" t="inlineStr">
        <is>
          <t>Дело Артамоновых</t>
        </is>
      </c>
      <c r="E1267" s="2" t="n">
        <v>1981</v>
      </c>
      <c r="F1267" s="2" t="inlineStr">
        <is>
          <t>фильм-спектакль</t>
        </is>
      </c>
      <c r="G1267" s="2" t="inlineStr">
        <is>
          <t>Ленинградское телевидение</t>
        </is>
      </c>
      <c r="H1267" s="2" t="n">
        <v>48</v>
      </c>
      <c r="I1267" s="2" t="inlineStr"/>
      <c r="J1267" s="2" t="inlineStr">
        <is>
          <t>да</t>
        </is>
      </c>
      <c r="K1267" s="3" t="inlineStr">
        <is>
          <t>Телеспектакль по одноименной повести М.Горького.</t>
        </is>
      </c>
      <c r="L1267" s="2" t="inlineStr">
        <is>
          <t>https://www.kino-teatr.ru/teatr/movie/96499/annot/</t>
        </is>
      </c>
      <c r="M1267" s="2">
        <f>HYPERLINK("https://ru.wikipedia.org/w/index.php?search=%D0%94%D0%B5%D0%BB%D0%BE%20%D0%90%D1%80%D1%82%D0%B0%D0%BC%D0%BE%D0%BD%D0%BE%D0%B2%D1%8B%D1%85%201981%20%D1%84%D0%B8%D0%BB%D1%8C%D0%BC","искать")</f>
        <v/>
      </c>
      <c r="N1267" s="3" t="n"/>
      <c r="O1267" s="2" t="n"/>
      <c r="P1267" s="2" t="n"/>
    </row>
    <row r="1268">
      <c r="A1268" s="2" t="n">
        <v>1267</v>
      </c>
      <c r="B1268" s="2" t="inlineStr">
        <is>
          <t>не сюжет</t>
        </is>
      </c>
      <c r="C1268" s="2" t="n">
        <v>11082</v>
      </c>
      <c r="D1268" s="3" t="inlineStr">
        <is>
          <t>Сорочинская ярмарка</t>
        </is>
      </c>
      <c r="E1268" s="2" t="n">
        <v>1985</v>
      </c>
      <c r="F1268" s="2" t="inlineStr">
        <is>
          <t>фильм-спектакль</t>
        </is>
      </c>
      <c r="G1268" s="2" t="inlineStr">
        <is>
          <t>Главная редакция литературно-драматических программ</t>
        </is>
      </c>
      <c r="H1268" s="2" t="n">
        <v>48</v>
      </c>
      <c r="I1268" s="2" t="inlineStr"/>
      <c r="J1268" s="2" t="inlineStr">
        <is>
          <t>да</t>
        </is>
      </c>
      <c r="K1268" s="3" t="inlineStr">
        <is>
          <t>По "Вечерам на хуторе близ Диканьки" Н.В.Гоголя.</t>
        </is>
      </c>
      <c r="L1268" s="2" t="inlineStr">
        <is>
          <t>https://www.kino-teatr.ru/teatr/movie/97468/annot/</t>
        </is>
      </c>
      <c r="M1268" s="2">
        <f>HYPERLINK("https://ru.wikipedia.org/w/index.php?search=%D0%A1%D0%BE%D1%80%D0%BE%D1%87%D0%B8%D0%BD%D1%81%D0%BA%D0%B0%D1%8F%20%D1%8F%D1%80%D0%BC%D0%B0%D1%80%D0%BA%D0%B0%201985%20%D1%84%D0%B8%D0%BB%D1%8C%D0%BC","искать")</f>
        <v/>
      </c>
      <c r="N1268" s="3" t="n"/>
      <c r="O1268" s="2" t="n"/>
      <c r="P1268" s="2" t="n"/>
    </row>
    <row r="1269">
      <c r="A1269" s="2" t="n">
        <v>1268</v>
      </c>
      <c r="B1269" s="2" t="inlineStr">
        <is>
          <t>не сюжет</t>
        </is>
      </c>
      <c r="C1269" s="2" t="n">
        <v>11814</v>
      </c>
      <c r="D1269" s="3" t="inlineStr">
        <is>
          <t>Сказка про лень</t>
        </is>
      </c>
      <c r="E1269" s="2" t="n">
        <v>1976</v>
      </c>
      <c r="F1269" s="2" t="inlineStr">
        <is>
          <t>мультфильм</t>
        </is>
      </c>
      <c r="G1269" s="2" t="inlineStr">
        <is>
          <t>Союзмультфильм</t>
        </is>
      </c>
      <c r="H1269" s="2" t="n">
        <v>48</v>
      </c>
      <c r="I1269" s="2" t="inlineStr"/>
      <c r="J1269" s="2" t="inlineStr">
        <is>
          <t>да</t>
        </is>
      </c>
      <c r="K1269" s="3" t="inlineStr">
        <is>
          <t>Сказка для малышей о том, как плохо быть ленивым</t>
        </is>
      </c>
      <c r="L1269" s="2" t="inlineStr">
        <is>
          <t>https://animator.ru/db/?p=show_film&amp;fid=2728</t>
        </is>
      </c>
      <c r="M1269" s="2">
        <f>HYPERLINK("https://ru.wikipedia.org/w/index.php?search=%D0%A1%D0%BA%D0%B0%D0%B7%D0%BA%D0%B0%20%D0%BF%D1%80%D0%BE%20%D0%BB%D0%B5%D0%BD%D1%8C%201976%20%D1%84%D0%B8%D0%BB%D1%8C%D0%BC","искать")</f>
        <v/>
      </c>
      <c r="N1269" s="3" t="n"/>
      <c r="O1269" s="2" t="n"/>
      <c r="P1269" s="2" t="n"/>
    </row>
    <row r="1270">
      <c r="A1270" s="2" t="n">
        <v>1269</v>
      </c>
      <c r="B1270" s="2" t="inlineStr">
        <is>
          <t>не сюжет</t>
        </is>
      </c>
      <c r="C1270" s="2" t="n">
        <v>11815</v>
      </c>
      <c r="D1270" s="3" t="inlineStr">
        <is>
          <t>Слушается дело о... Не очень комическая опера</t>
        </is>
      </c>
      <c r="E1270" s="2" t="n">
        <v>1976</v>
      </c>
      <c r="F1270" s="2" t="inlineStr">
        <is>
          <t>мультфильм</t>
        </is>
      </c>
      <c r="G1270" s="2" t="inlineStr">
        <is>
          <t>Союзмультфильм</t>
        </is>
      </c>
      <c r="H1270" s="2" t="n">
        <v>48</v>
      </c>
      <c r="I1270" s="2" t="inlineStr"/>
      <c r="J1270" s="2" t="inlineStr">
        <is>
          <t>да</t>
        </is>
      </c>
      <c r="K1270" s="3" t="inlineStr">
        <is>
          <t>Сатирический фильм про алкоголиков и алкоголизм.</t>
        </is>
      </c>
      <c r="L1270" s="2" t="inlineStr">
        <is>
          <t>2026-10_мультфильмы_список_владельца.xlsx; https://animator.ru/db/?p=show_film&amp;fid=2729</t>
        </is>
      </c>
      <c r="M1270" s="2">
        <f>HYPERLINK("https://ru.wikipedia.org/w/index.php?search=%D0%A1%D0%BB%D1%83%D1%88%D0%B0%D0%B5%D1%82%D1%81%D1%8F%20%D0%B4%D0%B5%D0%BB%D0%BE%20%D0%BE...%20%D0%9D%D0%B5%20%D0%BE%D1%87%D0%B5%D0%BD%D1%8C%20%D0%BA%D0%BE%D0%BC%D0%B8%D1%87%D0%B5%D1%81%D0%BA%D0%B0%D1%8F%20%D0%BE%D0%BF%D0%B5%D1%80%D0%B0%201976%20%D1%84%D0%B8%D0%BB%D1%8C%D0%BC","искать")</f>
        <v/>
      </c>
      <c r="N1270" s="3" t="n"/>
      <c r="O1270" s="2" t="n"/>
      <c r="P1270" s="2" t="n"/>
    </row>
    <row r="1271">
      <c r="A1271" s="2" t="n">
        <v>1270</v>
      </c>
      <c r="B1271" s="2" t="inlineStr">
        <is>
          <t>не сюжет</t>
        </is>
      </c>
      <c r="C1271" s="2" t="n">
        <v>11851</v>
      </c>
      <c r="D1271" s="3" t="inlineStr">
        <is>
          <t>Про дудочку и птичку</t>
        </is>
      </c>
      <c r="E1271" s="2" t="n">
        <v>1977</v>
      </c>
      <c r="F1271" s="2" t="inlineStr">
        <is>
          <t>мультфильм</t>
        </is>
      </c>
      <c r="G1271" s="2" t="inlineStr">
        <is>
          <t>Союзмультфильм</t>
        </is>
      </c>
      <c r="H1271" s="2" t="n">
        <v>48</v>
      </c>
      <c r="I1271" s="2" t="inlineStr"/>
      <c r="J1271" s="2" t="inlineStr">
        <is>
          <t>да</t>
        </is>
      </c>
      <c r="K1271" s="3" t="inlineStr">
        <is>
          <t>Две веселые истории о маленьких и для маленьких.</t>
        </is>
      </c>
      <c r="L1271" s="2" t="inlineStr">
        <is>
          <t>https://animator.ru/db/?p=show_film&amp;fid=2766</t>
        </is>
      </c>
      <c r="M1271" s="2">
        <f>HYPERLINK("https://ru.wikipedia.org/w/index.php?search=%D0%9F%D1%80%D0%BE%20%D0%B4%D1%83%D0%B4%D0%BE%D1%87%D0%BA%D1%83%20%D0%B8%20%D0%BF%D1%82%D0%B8%D1%87%D0%BA%D1%83%201977%20%D1%84%D0%B8%D0%BB%D1%8C%D0%BC","искать")</f>
        <v/>
      </c>
      <c r="N1271" s="3" t="n"/>
      <c r="O1271" s="2" t="n"/>
      <c r="P1271" s="2" t="n"/>
    </row>
    <row r="1272">
      <c r="A1272" s="2" t="n">
        <v>1271</v>
      </c>
      <c r="B1272" s="2" t="inlineStr">
        <is>
          <t>не сюжет</t>
        </is>
      </c>
      <c r="C1272" s="2" t="n">
        <v>12201</v>
      </c>
      <c r="D1272" s="3" t="inlineStr">
        <is>
          <t>Большой подземный бал</t>
        </is>
      </c>
      <c r="E1272" s="2" t="n">
        <v>1987</v>
      </c>
      <c r="F1272" s="2" t="inlineStr">
        <is>
          <t>мультфильм</t>
        </is>
      </c>
      <c r="G1272" s="2" t="inlineStr">
        <is>
          <t>Союзмультфильм</t>
        </is>
      </c>
      <c r="H1272" s="2" t="n">
        <v>48</v>
      </c>
      <c r="I1272" s="2" t="inlineStr"/>
      <c r="J1272" s="2" t="inlineStr">
        <is>
          <t>да</t>
        </is>
      </c>
      <c r="K1272" s="3" t="inlineStr">
        <is>
          <t>По мотивам сказки Андерсена "Холм лесных духов".</t>
        </is>
      </c>
      <c r="L1272" s="2" t="inlineStr">
        <is>
          <t>2026-10_мультфильмы_список_владельца.xlsx; https://animator.ru/db/?p=show_film&amp;fid=3318</t>
        </is>
      </c>
      <c r="M1272" s="2">
        <f>HYPERLINK("https://ru.wikipedia.org/w/index.php?search=%D0%91%D0%BE%D0%BB%D1%8C%D1%88%D0%BE%D0%B9%20%D0%BF%D0%BE%D0%B4%D0%B7%D0%B5%D0%BC%D0%BD%D1%8B%D0%B9%20%D0%B1%D0%B0%D0%BB%201987%20%D1%84%D0%B8%D0%BB%D1%8C%D0%BC","искать")</f>
        <v/>
      </c>
      <c r="N1272" s="3" t="n"/>
      <c r="O1272" s="2" t="n"/>
      <c r="P1272" s="2" t="n"/>
    </row>
    <row r="1273">
      <c r="A1273" s="2" t="n">
        <v>1272</v>
      </c>
      <c r="B1273" s="2" t="inlineStr">
        <is>
          <t>не сюжет</t>
        </is>
      </c>
      <c r="C1273" s="2" t="n">
        <v>12363</v>
      </c>
      <c r="D1273" s="3" t="inlineStr">
        <is>
          <t>Друзья мои, где вы?</t>
        </is>
      </c>
      <c r="E1273" s="2" t="n">
        <v>1987</v>
      </c>
      <c r="F1273" s="2" t="inlineStr">
        <is>
          <t>мультфильм</t>
        </is>
      </c>
      <c r="G1273" s="2" t="inlineStr">
        <is>
          <t>КИЕВНАУЧФИЛЬМ</t>
        </is>
      </c>
      <c r="H1273" s="2" t="n">
        <v>48</v>
      </c>
      <c r="I1273" s="2" t="inlineStr"/>
      <c r="J1273" s="2" t="inlineStr">
        <is>
          <t>да</t>
        </is>
      </c>
      <c r="K1273" s="3" t="inlineStr">
        <is>
          <t>По мотивам сказки доктора Сьюза "Слон и пушинка"</t>
        </is>
      </c>
      <c r="L1273" s="2" t="inlineStr">
        <is>
          <t>https://animator.ru/db/?p=show_film&amp;fid=3530</t>
        </is>
      </c>
      <c r="M1273" s="2">
        <f>HYPERLINK("https://ru.wikipedia.org/w/index.php?search=%D0%94%D1%80%D1%83%D0%B7%D1%8C%D1%8F%20%D0%BC%D0%BE%D0%B8%2C%20%D0%B3%D0%B4%D0%B5%20%D0%B2%D1%8B%3F%201987%20%D1%84%D0%B8%D0%BB%D1%8C%D0%BC","искать")</f>
        <v/>
      </c>
      <c r="N1273" s="3" t="n"/>
      <c r="O1273" s="2" t="n"/>
      <c r="P1273" s="2" t="n"/>
    </row>
    <row r="1274">
      <c r="A1274" s="2" t="n">
        <v>1273</v>
      </c>
      <c r="B1274" s="2" t="inlineStr">
        <is>
          <t>не сюжет</t>
        </is>
      </c>
      <c r="C1274" s="2" t="n">
        <v>12445</v>
      </c>
      <c r="D1274" s="3" t="inlineStr">
        <is>
          <t>Лесная песнь</t>
        </is>
      </c>
      <c r="E1274" s="2" t="n">
        <v>1976</v>
      </c>
      <c r="F1274" s="2" t="inlineStr">
        <is>
          <t>мультфильм</t>
        </is>
      </c>
      <c r="G1274" s="2" t="inlineStr">
        <is>
          <t>КИЕВНАУЧФИЛЬМ</t>
        </is>
      </c>
      <c r="H1274" s="2" t="n">
        <v>48</v>
      </c>
      <c r="I1274" s="2" t="inlineStr"/>
      <c r="J1274" s="2" t="inlineStr">
        <is>
          <t>да</t>
        </is>
      </c>
      <c r="K1274" s="3" t="inlineStr">
        <is>
          <t>По поэме Леси Украинки "Лесная песня" ("Мавка").</t>
        </is>
      </c>
      <c r="L1274" s="2" t="inlineStr">
        <is>
          <t>2026-10_мультфильмы_список_владельца.xlsx; https://animator.ru/db/?p=show_film&amp;fid=3616</t>
        </is>
      </c>
      <c r="M1274" s="2">
        <f>HYPERLINK("https://ru.wikipedia.org/w/index.php?search=%D0%9B%D0%B5%D1%81%D0%BD%D0%B0%D1%8F%20%D0%BF%D0%B5%D1%81%D0%BD%D1%8C%201976%20%D1%84%D0%B8%D0%BB%D1%8C%D0%BC","искать")</f>
        <v/>
      </c>
      <c r="N1274" s="3" t="n"/>
      <c r="O1274" s="2" t="n"/>
      <c r="P1274" s="2" t="n"/>
    </row>
    <row r="1275">
      <c r="A1275" s="2" t="n">
        <v>1274</v>
      </c>
      <c r="B1275" s="2" t="inlineStr">
        <is>
          <t>не сюжет</t>
        </is>
      </c>
      <c r="C1275" s="2" t="n">
        <v>12495</v>
      </c>
      <c r="D1275" s="3" t="inlineStr">
        <is>
          <t>Парасолька в цирке</t>
        </is>
      </c>
      <c r="E1275" s="2" t="n">
        <v>1980</v>
      </c>
      <c r="F1275" s="2" t="inlineStr">
        <is>
          <t>мультфильм</t>
        </is>
      </c>
      <c r="G1275" s="2" t="inlineStr">
        <is>
          <t>КИЕВНАУЧФИЛЬМ</t>
        </is>
      </c>
      <c r="H1275" s="2" t="n">
        <v>48</v>
      </c>
      <c r="I1275" s="2" t="inlineStr"/>
      <c r="J1275" s="2" t="inlineStr">
        <is>
          <t>да</t>
        </is>
      </c>
      <c r="K1275" s="3" t="inlineStr">
        <is>
          <t>Один из фильмов о приключениях чудака-Парасольки</t>
        </is>
      </c>
      <c r="L1275" s="2" t="inlineStr">
        <is>
          <t>https://animator.ru/db/?p=show_film&amp;fid=3670</t>
        </is>
      </c>
      <c r="M1275" s="2">
        <f>HYPERLINK("https://ru.wikipedia.org/w/index.php?search=%D0%9F%D0%B0%D1%80%D0%B0%D1%81%D0%BE%D0%BB%D1%8C%D0%BA%D0%B0%20%D0%B2%20%D1%86%D0%B8%D1%80%D0%BA%D0%B5%201980%20%D1%84%D0%B8%D0%BB%D1%8C%D0%BC","искать")</f>
        <v/>
      </c>
      <c r="N1275" s="3" t="n"/>
      <c r="O1275" s="2" t="n"/>
      <c r="P1275" s="2" t="n"/>
    </row>
    <row r="1276">
      <c r="A1276" s="2" t="n">
        <v>1275</v>
      </c>
      <c r="B1276" s="2" t="inlineStr">
        <is>
          <t>не сюжет</t>
        </is>
      </c>
      <c r="C1276" s="2" t="n">
        <v>13199</v>
      </c>
      <c r="D1276" s="3" t="inlineStr">
        <is>
          <t>Черепашка</t>
        </is>
      </c>
      <c r="E1276" s="2" t="n">
        <v>1978</v>
      </c>
      <c r="F1276" s="2" t="inlineStr">
        <is>
          <t>мультфильм</t>
        </is>
      </c>
      <c r="G1276" s="2" t="inlineStr">
        <is>
          <t>УЗБЕКФИЛЬМ</t>
        </is>
      </c>
      <c r="H1276" s="2" t="n">
        <v>48</v>
      </c>
      <c r="I1276" s="2" t="inlineStr"/>
      <c r="J1276" s="2" t="inlineStr">
        <is>
          <t>да</t>
        </is>
      </c>
      <c r="K1276" s="3" t="inlineStr">
        <is>
          <t>По мотивам басни Гульхания "Черепаха и скорпион"</t>
        </is>
      </c>
      <c r="L1276" s="2" t="inlineStr">
        <is>
          <t>https://animator.ru/db/?p=show_film&amp;fid=4438</t>
        </is>
      </c>
      <c r="M1276" s="2">
        <f>HYPERLINK("https://ru.wikipedia.org/w/index.php?search=%D0%A7%D0%B5%D1%80%D0%B5%D0%BF%D0%B0%D1%88%D0%BA%D0%B0%201978%20%D1%84%D0%B8%D0%BB%D1%8C%D0%BC","искать")</f>
        <v/>
      </c>
      <c r="N1276" s="3" t="n"/>
      <c r="O1276" s="2" t="n"/>
      <c r="P1276" s="2" t="n"/>
    </row>
    <row r="1277">
      <c r="A1277" s="2" t="n">
        <v>1276</v>
      </c>
      <c r="B1277" s="2" t="inlineStr">
        <is>
          <t>не сюжет</t>
        </is>
      </c>
      <c r="C1277" s="2" t="n">
        <v>13560</v>
      </c>
      <c r="D1277" s="3" t="inlineStr">
        <is>
          <t>Братец кролик, братец лис и все остальные</t>
        </is>
      </c>
      <c r="E1277" s="2" t="n">
        <v>1980</v>
      </c>
      <c r="F1277" s="2" t="inlineStr">
        <is>
          <t>мультфильм</t>
        </is>
      </c>
      <c r="G1277" s="2" t="inlineStr">
        <is>
          <t>МОЛДОВА-ФИЛЬМ</t>
        </is>
      </c>
      <c r="H1277" s="2" t="n">
        <v>48</v>
      </c>
      <c r="I1277" s="2" t="inlineStr"/>
      <c r="J1277" s="2" t="inlineStr">
        <is>
          <t>да</t>
        </is>
      </c>
      <c r="K1277" s="3" t="inlineStr">
        <is>
          <t>По мотивам сказок американских негров. Для детей</t>
        </is>
      </c>
      <c r="L1277" s="2" t="inlineStr">
        <is>
          <t>https://animator.ru/db/?p=show_film&amp;fid=4895</t>
        </is>
      </c>
      <c r="M1277" s="2">
        <f>HYPERLINK("https://ru.wikipedia.org/w/index.php?search=%D0%91%D1%80%D0%B0%D1%82%D0%B5%D1%86%20%D0%BA%D1%80%D0%BE%D0%BB%D0%B8%D0%BA%2C%20%D0%B1%D1%80%D0%B0%D1%82%D0%B5%D1%86%20%D0%BB%D0%B8%D1%81%20%D0%B8%20%D0%B2%D1%81%D0%B5%20%D0%BE%D1%81%D1%82%D0%B0%D0%BB%D1%8C%D0%BD%D1%8B%D0%B5%201980%20%D1%84%D0%B8%D0%BB%D1%8C%D0%BC","искать")</f>
        <v/>
      </c>
      <c r="N1277" s="3" t="n"/>
      <c r="O1277" s="2" t="n"/>
      <c r="P1277" s="2" t="n"/>
    </row>
    <row r="1278">
      <c r="A1278" s="2" t="n">
        <v>1277</v>
      </c>
      <c r="B1278" s="2" t="inlineStr">
        <is>
          <t>не сюжет</t>
        </is>
      </c>
      <c r="C1278" s="2" t="n">
        <v>13593</v>
      </c>
      <c r="D1278" s="3" t="inlineStr">
        <is>
          <t>Северная сказка</t>
        </is>
      </c>
      <c r="E1278" s="2" t="n">
        <v>1979</v>
      </c>
      <c r="F1278" s="2" t="inlineStr">
        <is>
          <t>мультфильм</t>
        </is>
      </c>
      <c r="G1278" s="2" t="inlineStr">
        <is>
          <t>ЭКРАН</t>
        </is>
      </c>
      <c r="H1278" s="2" t="n">
        <v>48</v>
      </c>
      <c r="I1278" s="2" t="inlineStr"/>
      <c r="J1278" s="2" t="inlineStr">
        <is>
          <t>да</t>
        </is>
      </c>
      <c r="K1278" s="3" t="inlineStr">
        <is>
          <t>По мотивам фольклора народов Севера. Для малышей</t>
        </is>
      </c>
      <c r="L1278" s="2" t="inlineStr">
        <is>
          <t>https://animator.ru/db/?p=show_film&amp;fid=4943</t>
        </is>
      </c>
      <c r="M1278" s="2">
        <f>HYPERLINK("https://ru.wikipedia.org/w/index.php?search=%D0%A1%D0%B5%D0%B2%D0%B5%D1%80%D0%BD%D0%B0%D1%8F%20%D1%81%D0%BA%D0%B0%D0%B7%D0%BA%D0%B0%201979%20%D1%84%D0%B8%D0%BB%D1%8C%D0%BC","искать")</f>
        <v/>
      </c>
      <c r="N1278" s="3" t="n"/>
      <c r="O1278" s="2" t="n"/>
      <c r="P1278" s="2" t="n"/>
    </row>
    <row r="1279">
      <c r="A1279" s="2" t="n">
        <v>1278</v>
      </c>
      <c r="B1279" s="2" t="inlineStr">
        <is>
          <t>не сюжет</t>
        </is>
      </c>
      <c r="C1279" s="2" t="n">
        <v>13786</v>
      </c>
      <c r="D1279" s="3" t="inlineStr">
        <is>
          <t>Встреча с волшебником</t>
        </is>
      </c>
      <c r="E1279" s="2" t="n">
        <v>1976</v>
      </c>
      <c r="F1279" s="2" t="inlineStr">
        <is>
          <t>мультфильм</t>
        </is>
      </c>
      <c r="G1279" s="2" t="inlineStr">
        <is>
          <t>ЭКРАН</t>
        </is>
      </c>
      <c r="H1279" s="2" t="n">
        <v>48</v>
      </c>
      <c r="I1279" s="2" t="inlineStr"/>
      <c r="J1279" s="2" t="inlineStr">
        <is>
          <t>да</t>
        </is>
      </c>
      <c r="K1279" s="3" t="inlineStr">
        <is>
          <t>Второй фильм серии "Незнайка в Солнечном городе"</t>
        </is>
      </c>
      <c r="L1279" s="2" t="inlineStr">
        <is>
          <t>2026-10_мультфильмы_список_владельца.xlsx; https://animator.ru/db/?p=show_film&amp;fid=5179</t>
        </is>
      </c>
      <c r="M1279" s="2">
        <f>HYPERLINK("https://ru.wikipedia.org/w/index.php?search=%D0%92%D1%81%D1%82%D1%80%D0%B5%D1%87%D0%B0%20%D1%81%20%D0%B2%D0%BE%D0%BB%D1%88%D0%B5%D0%B1%D0%BD%D0%B8%D0%BA%D0%BE%D0%BC%201976%20%D1%84%D0%B8%D0%BB%D1%8C%D0%BC","искать")</f>
        <v/>
      </c>
      <c r="N1279" s="3" t="n"/>
      <c r="O1279" s="2" t="n"/>
      <c r="P1279" s="2" t="n"/>
    </row>
    <row r="1280">
      <c r="A1280" s="2" t="n">
        <v>1279</v>
      </c>
      <c r="B1280" s="2" t="inlineStr">
        <is>
          <t>не сюжет</t>
        </is>
      </c>
      <c r="C1280" s="2" t="n">
        <v>14056</v>
      </c>
      <c r="D1280" s="3" t="inlineStr">
        <is>
          <t>Прыжок</t>
        </is>
      </c>
      <c r="E1280" s="2" t="n">
        <v>1980</v>
      </c>
      <c r="F1280" s="2" t="inlineStr">
        <is>
          <t>мультфильм</t>
        </is>
      </c>
      <c r="G1280" s="2" t="inlineStr">
        <is>
          <t>Свердловская киностудия</t>
        </is>
      </c>
      <c r="H1280" s="2" t="n">
        <v>48</v>
      </c>
      <c r="I1280" s="2" t="inlineStr"/>
      <c r="J1280" s="2" t="inlineStr">
        <is>
          <t>да</t>
        </is>
      </c>
      <c r="K1280" s="3" t="inlineStr">
        <is>
          <t>По мотивам одноименного рассказа Л. Н. Толстого.</t>
        </is>
      </c>
      <c r="L1280" s="2" t="inlineStr">
        <is>
          <t>2026-10_мультфильмы_список_владельца.xlsx; https://animator.ru/db/?p=show_film&amp;fid=5452</t>
        </is>
      </c>
      <c r="M1280" s="2">
        <f>HYPERLINK("https://ru.wikipedia.org/w/index.php?search=%D0%9F%D1%80%D1%8B%D0%B6%D0%BE%D0%BA%201980%20%D1%84%D0%B8%D0%BB%D1%8C%D0%BC","искать")</f>
        <v/>
      </c>
      <c r="N1280" s="3" t="n"/>
      <c r="O1280" s="2" t="n"/>
      <c r="P1280" s="2" t="n"/>
    </row>
    <row r="1281">
      <c r="A1281" s="2" t="n">
        <v>1280</v>
      </c>
      <c r="B1281" s="2" t="inlineStr">
        <is>
          <t>не сюжет</t>
        </is>
      </c>
      <c r="C1281" s="2" t="n">
        <v>14265</v>
      </c>
      <c r="D1281" s="3" t="inlineStr">
        <is>
          <t>Старуха, дверь закрой!</t>
        </is>
      </c>
      <c r="E1281" s="2" t="n">
        <v>1982</v>
      </c>
      <c r="F1281" s="2" t="inlineStr">
        <is>
          <t>мультфильм</t>
        </is>
      </c>
      <c r="G1281" s="2" t="inlineStr">
        <is>
          <t>Союзмультфильм</t>
        </is>
      </c>
      <c r="H1281" s="2" t="n">
        <v>48</v>
      </c>
      <c r="I1281" s="2" t="inlineStr"/>
      <c r="J1281" s="2" t="inlineStr">
        <is>
          <t>да</t>
        </is>
      </c>
      <c r="K1281" s="3" t="inlineStr">
        <is>
          <t>По мотивам английской сказке об упрямых супругах</t>
        </is>
      </c>
      <c r="L1281" s="2" t="inlineStr">
        <is>
          <t>https://animator.ru/db/?p=show_film&amp;fid=5718</t>
        </is>
      </c>
      <c r="M1281" s="2">
        <f>HYPERLINK("https://ru.wikipedia.org/w/index.php?search=%D0%A1%D1%82%D0%B0%D1%80%D1%83%D1%85%D0%B0%2C%20%D0%B4%D0%B2%D0%B5%D1%80%D1%8C%20%D0%B7%D0%B0%D0%BA%D1%80%D0%BE%D0%B9%21%201982%20%D1%84%D0%B8%D0%BB%D1%8C%D0%BC","искать")</f>
        <v/>
      </c>
      <c r="N1281" s="3" t="n"/>
      <c r="O1281" s="2" t="n"/>
      <c r="P1281" s="2" t="n"/>
    </row>
    <row r="1282">
      <c r="A1282" s="2" t="n">
        <v>1281</v>
      </c>
      <c r="B1282" s="2" t="inlineStr">
        <is>
          <t>не сюжет</t>
        </is>
      </c>
      <c r="C1282" s="2" t="n">
        <v>7841</v>
      </c>
      <c r="D1282" s="3" t="inlineStr">
        <is>
          <t>Маленькие трагедии</t>
        </is>
      </c>
      <c r="E1282" s="2" t="n">
        <v>1979</v>
      </c>
      <c r="F1282" s="2" t="inlineStr">
        <is>
          <t>телефильм</t>
        </is>
      </c>
      <c r="G1282" s="2" t="n"/>
      <c r="H1282" s="2" t="n">
        <v>49</v>
      </c>
      <c r="I1282" s="2" t="inlineStr"/>
      <c r="J1282" s="2" t="inlineStr">
        <is>
          <t>да</t>
        </is>
      </c>
      <c r="K1282" s="3" t="inlineStr">
        <is>
          <t>Телесериал. Экранизация произведений А.С.Пушкина.</t>
        </is>
      </c>
      <c r="L1282" s="2" t="inlineStr">
        <is>
          <t>Кино_СССР сводный каталог.xlsx: список телефильмов</t>
        </is>
      </c>
      <c r="M1282" s="2">
        <f>HYPERLINK("https://ru.wikipedia.org/w/index.php?search=%D0%9C%D0%B0%D0%BB%D0%B5%D0%BD%D1%8C%D0%BA%D0%B8%D0%B5%20%D1%82%D1%80%D0%B0%D0%B3%D0%B5%D0%B4%D0%B8%D0%B8%201979%20%D1%84%D0%B8%D0%BB%D1%8C%D0%BC","искать")</f>
        <v/>
      </c>
      <c r="N1282" s="3" t="n"/>
      <c r="O1282" s="2" t="n"/>
      <c r="P1282" s="2" t="n"/>
    </row>
    <row r="1283">
      <c r="A1283" s="2" t="n">
        <v>1282</v>
      </c>
      <c r="B1283" s="2" t="inlineStr">
        <is>
          <t>не сюжет</t>
        </is>
      </c>
      <c r="C1283" s="2" t="n">
        <v>9832</v>
      </c>
      <c r="D1283" s="3" t="inlineStr">
        <is>
          <t>День без числа</t>
        </is>
      </c>
      <c r="E1283" s="2" t="n">
        <v>1966</v>
      </c>
      <c r="F1283" s="2" t="inlineStr">
        <is>
          <t>телефильм</t>
        </is>
      </c>
      <c r="G1283" s="2" t="inlineStr">
        <is>
          <t>Рижская киностудия по заказу Центрального телевидения</t>
        </is>
      </c>
      <c r="H1283" s="2" t="n">
        <v>49</v>
      </c>
      <c r="I1283" s="2" t="inlineStr"/>
      <c r="J1283" s="2" t="inlineStr">
        <is>
          <t>да</t>
        </is>
      </c>
      <c r="K1283" s="3" t="inlineStr">
        <is>
          <t>Телефильм. Лирическая киноновелла о первой любви.</t>
        </is>
      </c>
      <c r="L1283" s="2" t="inlineStr">
        <is>
          <t>https://www.kino-teatr.ru/short/movie/sov/83907/annot/</t>
        </is>
      </c>
      <c r="M1283" s="2">
        <f>HYPERLINK("https://ru.wikipedia.org/w/index.php?search=%D0%94%D0%B5%D0%BD%D1%8C%20%D0%B1%D0%B5%D0%B7%20%D1%87%D0%B8%D1%81%D0%BB%D0%B0%201966%20%D1%84%D0%B8%D0%BB%D1%8C%D0%BC","искать")</f>
        <v/>
      </c>
      <c r="N1283" s="3" t="n"/>
      <c r="O1283" s="2" t="n"/>
      <c r="P1283" s="2" t="n"/>
    </row>
    <row r="1284">
      <c r="A1284" s="2" t="n">
        <v>1283</v>
      </c>
      <c r="B1284" s="2" t="inlineStr">
        <is>
          <t>не сюжет</t>
        </is>
      </c>
      <c r="C1284" s="2" t="n">
        <v>10031</v>
      </c>
      <c r="D1284" s="3" t="inlineStr">
        <is>
          <t>Неизвестная</t>
        </is>
      </c>
      <c r="E1284" s="2" t="n">
        <v>1988</v>
      </c>
      <c r="F1284" s="2" t="inlineStr">
        <is>
          <t>кинофильм</t>
        </is>
      </c>
      <c r="G1284" s="2" t="inlineStr">
        <is>
          <t>Дебют</t>
        </is>
      </c>
      <c r="H1284" s="2" t="n">
        <v>49</v>
      </c>
      <c r="I1284" s="2" t="inlineStr"/>
      <c r="J1284" s="2" t="inlineStr">
        <is>
          <t>да</t>
        </is>
      </c>
      <c r="K1284" s="3" t="inlineStr">
        <is>
          <t>По мотивам рассказа Валентины Сидоренко «Марька».</t>
        </is>
      </c>
      <c r="L1284" s="2" t="inlineStr">
        <is>
          <t>https://www.kino-teatr.ru/short/movie/sov/4390/annot/</t>
        </is>
      </c>
      <c r="M1284" s="2">
        <f>HYPERLINK("https://ru.wikipedia.org/w/index.php?search=%D0%9D%D0%B5%D0%B8%D0%B7%D0%B2%D0%B5%D1%81%D1%82%D0%BD%D0%B0%D1%8F%201988%20%D1%84%D0%B8%D0%BB%D1%8C%D0%BC","искать")</f>
        <v/>
      </c>
      <c r="N1284" s="3" t="n"/>
      <c r="O1284" s="2" t="n"/>
      <c r="P1284" s="2" t="n"/>
    </row>
    <row r="1285">
      <c r="A1285" s="2" t="n">
        <v>1284</v>
      </c>
      <c r="B1285" s="2" t="inlineStr">
        <is>
          <t>не сюжет</t>
        </is>
      </c>
      <c r="C1285" s="2" t="n">
        <v>10067</v>
      </c>
      <c r="D1285" s="3" t="inlineStr">
        <is>
          <t>Моцарт и Сальери</t>
        </is>
      </c>
      <c r="E1285" s="2" t="n">
        <v>1958</v>
      </c>
      <c r="F1285" s="2" t="inlineStr">
        <is>
          <t>фильм-спектакль</t>
        </is>
      </c>
      <c r="G1285" s="2" t="inlineStr">
        <is>
          <t>Центральная студия телевидения</t>
        </is>
      </c>
      <c r="H1285" s="2" t="n">
        <v>49</v>
      </c>
      <c r="I1285" s="2" t="inlineStr"/>
      <c r="J1285" s="2" t="inlineStr">
        <is>
          <t>да</t>
        </is>
      </c>
      <c r="K1285" s="3" t="inlineStr">
        <is>
          <t>Экранизация одноименного произведения А.С.Пушкина</t>
        </is>
      </c>
      <c r="L1285" s="2" t="inlineStr">
        <is>
          <t>https://www.kino-teatr.ru/teatr/movie/82163/annot/</t>
        </is>
      </c>
      <c r="M1285" s="2">
        <f>HYPERLINK("https://ru.wikipedia.org/w/index.php?search=%D0%9C%D0%BE%D1%86%D0%B0%D1%80%D1%82%20%D0%B8%20%D0%A1%D0%B0%D0%BB%D1%8C%D0%B5%D1%80%D0%B8%201958%20%D1%84%D0%B8%D0%BB%D1%8C%D0%BC","искать")</f>
        <v/>
      </c>
      <c r="N1285" s="3" t="n"/>
      <c r="O1285" s="2" t="n"/>
      <c r="P1285" s="2" t="n"/>
    </row>
    <row r="1286">
      <c r="A1286" s="2" t="n">
        <v>1285</v>
      </c>
      <c r="B1286" s="2" t="inlineStr">
        <is>
          <t>не сюжет</t>
        </is>
      </c>
      <c r="C1286" s="2" t="n">
        <v>10171</v>
      </c>
      <c r="D1286" s="3" t="inlineStr">
        <is>
          <t>Первая любовь</t>
        </is>
      </c>
      <c r="E1286" s="2" t="n">
        <v>1966</v>
      </c>
      <c r="F1286" s="2" t="inlineStr">
        <is>
          <t>фильм-спектакль</t>
        </is>
      </c>
      <c r="G1286" s="2" t="inlineStr">
        <is>
          <t>Ленинградское телевидение</t>
        </is>
      </c>
      <c r="H1286" s="2" t="n">
        <v>49</v>
      </c>
      <c r="I1286" s="2" t="inlineStr"/>
      <c r="J1286" s="2" t="inlineStr">
        <is>
          <t>да</t>
        </is>
      </c>
      <c r="K1286" s="3" t="inlineStr">
        <is>
          <t>Телеспектакль по одноименной повести И.Тургенева.</t>
        </is>
      </c>
      <c r="L1286" s="2" t="inlineStr">
        <is>
          <t>https://www.kino-teatr.ru/teatr/movie/100119/annot/</t>
        </is>
      </c>
      <c r="M1286" s="2">
        <f>HYPERLINK("https://ru.wikipedia.org/w/index.php?search=%D0%9F%D0%B5%D1%80%D0%B2%D0%B0%D1%8F%20%D0%BB%D1%8E%D0%B1%D0%BE%D0%B2%D1%8C%201966%20%D1%84%D0%B8%D0%BB%D1%8C%D0%BC","искать")</f>
        <v/>
      </c>
      <c r="N1286" s="3" t="n"/>
      <c r="O1286" s="2" t="n"/>
      <c r="P1286" s="2" t="n"/>
    </row>
    <row r="1287">
      <c r="A1287" s="2" t="n">
        <v>1286</v>
      </c>
      <c r="B1287" s="2" t="inlineStr">
        <is>
          <t>не сюжет</t>
        </is>
      </c>
      <c r="C1287" s="2" t="n">
        <v>10213</v>
      </c>
      <c r="D1287" s="3" t="inlineStr">
        <is>
          <t>Приключения Тома Сойера</t>
        </is>
      </c>
      <c r="E1287" s="2" t="n">
        <v>1967</v>
      </c>
      <c r="F1287" s="2" t="inlineStr">
        <is>
          <t>фильм-спектакль</t>
        </is>
      </c>
      <c r="G1287" s="2" t="inlineStr">
        <is>
          <t>Československá televize</t>
        </is>
      </c>
      <c r="H1287" s="2" t="n">
        <v>49</v>
      </c>
      <c r="I1287" s="2" t="inlineStr"/>
      <c r="J1287" s="2" t="inlineStr">
        <is>
          <t>да</t>
        </is>
      </c>
      <c r="K1287" s="3" t="inlineStr">
        <is>
          <t>Телеспектакль по одноименному роману Марка Твена.</t>
        </is>
      </c>
      <c r="L1287" s="2" t="inlineStr">
        <is>
          <t>https://www.kino-teatr.ru/teatr/movie/136973/annot/</t>
        </is>
      </c>
      <c r="M1287" s="2">
        <f>HYPERLINK("https://ru.wikipedia.org/w/index.php?search=%D0%9F%D1%80%D0%B8%D0%BA%D0%BB%D1%8E%D1%87%D0%B5%D0%BD%D0%B8%D1%8F%20%D0%A2%D0%BE%D0%BC%D0%B0%20%D0%A1%D0%BE%D0%B9%D0%B5%D1%80%D0%B0%201967%20%D1%84%D0%B8%D0%BB%D1%8C%D0%BC","искать")</f>
        <v/>
      </c>
      <c r="N1287" s="3" t="n"/>
      <c r="O1287" s="2" t="n"/>
      <c r="P1287" s="2" t="n"/>
    </row>
    <row r="1288">
      <c r="A1288" s="2" t="n">
        <v>1287</v>
      </c>
      <c r="B1288" s="2" t="inlineStr">
        <is>
          <t>не сюжет</t>
        </is>
      </c>
      <c r="C1288" s="2" t="n">
        <v>10291</v>
      </c>
      <c r="D1288" s="3" t="inlineStr">
        <is>
          <t>Барышня-крестьянка</t>
        </is>
      </c>
      <c r="E1288" s="2" t="n">
        <v>1969</v>
      </c>
      <c r="F1288" s="2" t="inlineStr">
        <is>
          <t>фильм-спектакль</t>
        </is>
      </c>
      <c r="G1288" s="2" t="inlineStr">
        <is>
          <t>Ленинградское ТВ</t>
        </is>
      </c>
      <c r="H1288" s="2" t="n">
        <v>49</v>
      </c>
      <c r="I1288" s="2" t="inlineStr"/>
      <c r="J1288" s="2" t="inlineStr">
        <is>
          <t>да</t>
        </is>
      </c>
      <c r="K1288" s="3" t="inlineStr">
        <is>
          <t>Телеспектакль по одноименной повести А.С.Пушкина.</t>
        </is>
      </c>
      <c r="L1288" s="2" t="inlineStr">
        <is>
          <t>https://www.kino-teatr.ru/teatr/movie/391/annot/</t>
        </is>
      </c>
      <c r="M1288" s="2">
        <f>HYPERLINK("https://ru.wikipedia.org/w/index.php?search=%D0%91%D0%B0%D1%80%D1%8B%D1%88%D0%BD%D1%8F-%D0%BA%D1%80%D0%B5%D1%81%D1%82%D1%8C%D1%8F%D0%BD%D0%BA%D0%B0%201969%20%D1%84%D0%B8%D0%BB%D1%8C%D0%BC","искать")</f>
        <v/>
      </c>
      <c r="N1288" s="3" t="n"/>
      <c r="O1288" s="2" t="n"/>
      <c r="P1288" s="2" t="n"/>
    </row>
    <row r="1289">
      <c r="A1289" s="2" t="n">
        <v>1288</v>
      </c>
      <c r="B1289" s="2" t="inlineStr">
        <is>
          <t>не сюжет</t>
        </is>
      </c>
      <c r="C1289" s="2" t="n">
        <v>10877</v>
      </c>
      <c r="D1289" s="3" t="inlineStr">
        <is>
          <t>Волк и семеро козлят</t>
        </is>
      </c>
      <c r="E1289" s="2" t="n">
        <v>1981</v>
      </c>
      <c r="F1289" s="2" t="inlineStr">
        <is>
          <t>фильм-спектакль</t>
        </is>
      </c>
      <c r="G1289" s="2" t="n"/>
      <c r="H1289" s="2" t="n">
        <v>49</v>
      </c>
      <c r="I1289" s="2" t="inlineStr"/>
      <c r="J1289" s="2" t="inlineStr">
        <is>
          <t>да</t>
        </is>
      </c>
      <c r="K1289" s="3" t="inlineStr">
        <is>
          <t>По сказке болгарского писателя Недялко Иорданова.</t>
        </is>
      </c>
      <c r="L1289" s="2" t="inlineStr">
        <is>
          <t>https://www.kino-teatr.ru/teatr/movie/104624/annot/</t>
        </is>
      </c>
      <c r="M1289" s="2">
        <f>HYPERLINK("https://ru.wikipedia.org/w/index.php?search=%D0%92%D0%BE%D0%BB%D0%BA%20%D0%B8%20%D1%81%D0%B5%D0%BC%D0%B5%D1%80%D0%BE%20%D0%BA%D0%BE%D0%B7%D0%BB%D1%8F%D1%82%201981%20%D1%84%D0%B8%D0%BB%D1%8C%D0%BC","искать")</f>
        <v/>
      </c>
      <c r="N1289" s="3" t="n"/>
      <c r="O1289" s="2" t="n"/>
      <c r="P1289" s="2" t="n"/>
    </row>
    <row r="1290">
      <c r="A1290" s="2" t="n">
        <v>1289</v>
      </c>
      <c r="B1290" s="2" t="inlineStr">
        <is>
          <t>не сюжет</t>
        </is>
      </c>
      <c r="C1290" s="2" t="n">
        <v>11202</v>
      </c>
      <c r="D1290" s="3" t="inlineStr">
        <is>
          <t>Зойкина квартира</t>
        </is>
      </c>
      <c r="E1290" s="2" t="n">
        <v>1988</v>
      </c>
      <c r="F1290" s="2" t="inlineStr">
        <is>
          <t>фильм-спектакль</t>
        </is>
      </c>
      <c r="G1290" s="2" t="inlineStr">
        <is>
          <t>ВПТО Видеофильм</t>
        </is>
      </c>
      <c r="H1290" s="2" t="n">
        <v>49</v>
      </c>
      <c r="I1290" s="2" t="inlineStr"/>
      <c r="J1290" s="2" t="inlineStr">
        <is>
          <t>да</t>
        </is>
      </c>
      <c r="K1290" s="3" t="inlineStr">
        <is>
          <t>Спектакль по одноимённой пьесе Михаила Булгакова.</t>
        </is>
      </c>
      <c r="L1290" s="2" t="inlineStr">
        <is>
          <t>https://www.kino-teatr.ru/teatr/movie/111225/annot/</t>
        </is>
      </c>
      <c r="M1290" s="2">
        <f>HYPERLINK("https://ru.wikipedia.org/w/index.php?search=%D0%97%D0%BE%D0%B9%D0%BA%D0%B8%D0%BD%D0%B0%20%D0%BA%D0%B2%D0%B0%D1%80%D1%82%D0%B8%D1%80%D0%B0%201988%20%D1%84%D0%B8%D0%BB%D1%8C%D0%BC","искать")</f>
        <v/>
      </c>
      <c r="N1290" s="3" t="n"/>
      <c r="O1290" s="2" t="n"/>
      <c r="P1290" s="2" t="n"/>
    </row>
    <row r="1291">
      <c r="A1291" s="2" t="n">
        <v>1290</v>
      </c>
      <c r="B1291" s="2" t="inlineStr">
        <is>
          <t>не сюжет</t>
        </is>
      </c>
      <c r="C1291" s="2" t="n">
        <v>11521</v>
      </c>
      <c r="D1291" s="3" t="inlineStr">
        <is>
          <t>Ну, Погоди! ч.1</t>
        </is>
      </c>
      <c r="E1291" s="2" t="n">
        <v>1969</v>
      </c>
      <c r="F1291" s="2" t="inlineStr">
        <is>
          <t>мультфильм</t>
        </is>
      </c>
      <c r="G1291" s="2" t="inlineStr">
        <is>
          <t>Союзмультфильм</t>
        </is>
      </c>
      <c r="H1291" s="2" t="n">
        <v>49</v>
      </c>
      <c r="I1291" s="2" t="inlineStr"/>
      <c r="J1291" s="2" t="inlineStr">
        <is>
          <t>да</t>
        </is>
      </c>
      <c r="K1291" s="3" t="inlineStr">
        <is>
          <t>Дело происходит сначала в городе, потом на пляже.</t>
        </is>
      </c>
      <c r="L1291" s="2" t="inlineStr">
        <is>
          <t>2026-10_мультфильмы_список_владельца.xlsx; https://animator.ru/db/?p=show_film&amp;fid=2292</t>
        </is>
      </c>
      <c r="M1291" s="2">
        <f>HYPERLINK("https://ru.wikipedia.org/w/index.php?search=%D0%9D%D1%83%2C%20%D0%9F%D0%BE%D0%B3%D0%BE%D0%B4%D0%B8%21%20%D1%87.1%201969%20%D1%84%D0%B8%D0%BB%D1%8C%D0%BC","искать")</f>
        <v/>
      </c>
      <c r="N1291" s="3" t="n"/>
      <c r="O1291" s="2" t="n"/>
      <c r="P1291" s="2" t="n"/>
    </row>
    <row r="1292">
      <c r="A1292" s="2" t="n">
        <v>1291</v>
      </c>
      <c r="B1292" s="2" t="inlineStr">
        <is>
          <t>не сюжет</t>
        </is>
      </c>
      <c r="C1292" s="2" t="n">
        <v>12177</v>
      </c>
      <c r="D1292" s="3" t="inlineStr">
        <is>
          <t>Когда песок взойдет</t>
        </is>
      </c>
      <c r="E1292" s="2" t="n">
        <v>1986</v>
      </c>
      <c r="F1292" s="2" t="inlineStr">
        <is>
          <t>мультфильм</t>
        </is>
      </c>
      <c r="G1292" s="2" t="inlineStr">
        <is>
          <t>Союзмультфильм</t>
        </is>
      </c>
      <c r="H1292" s="2" t="n">
        <v>49</v>
      </c>
      <c r="I1292" s="2" t="inlineStr"/>
      <c r="J1292" s="2" t="inlineStr">
        <is>
          <t>да</t>
        </is>
      </c>
      <c r="K1292" s="3" t="inlineStr">
        <is>
          <t>По мотивам старинной руской баллады. Для взрослых</t>
        </is>
      </c>
      <c r="L1292" s="2" t="inlineStr">
        <is>
          <t>https://animator.ru/db/?p=show_film&amp;fid=3293</t>
        </is>
      </c>
      <c r="M1292" s="2">
        <f>HYPERLINK("https://ru.wikipedia.org/w/index.php?search=%D0%9A%D0%BE%D0%B3%D0%B4%D0%B0%20%D0%BF%D0%B5%D1%81%D0%BE%D0%BA%20%D0%B2%D0%B7%D0%BE%D0%B9%D0%B4%D0%B5%D1%82%201986%20%D1%84%D0%B8%D0%BB%D1%8C%D0%BC","искать")</f>
        <v/>
      </c>
      <c r="N1292" s="3" t="n"/>
      <c r="O1292" s="2" t="n"/>
      <c r="P1292" s="2" t="n"/>
    </row>
    <row r="1293">
      <c r="A1293" s="2" t="n">
        <v>1292</v>
      </c>
      <c r="B1293" s="2" t="inlineStr">
        <is>
          <t>не сюжет</t>
        </is>
      </c>
      <c r="C1293" s="2" t="n">
        <v>12521</v>
      </c>
      <c r="D1293" s="3" t="inlineStr">
        <is>
          <t>Приключения кузнеца Вакулы</t>
        </is>
      </c>
      <c r="E1293" s="2" t="n">
        <v>1977</v>
      </c>
      <c r="F1293" s="2" t="inlineStr">
        <is>
          <t>мультфильм</t>
        </is>
      </c>
      <c r="G1293" s="2" t="inlineStr">
        <is>
          <t>КИЕВНАУЧФИЛЬМ</t>
        </is>
      </c>
      <c r="H1293" s="2" t="n">
        <v>49</v>
      </c>
      <c r="I1293" s="2" t="inlineStr"/>
      <c r="J1293" s="2" t="inlineStr">
        <is>
          <t>да</t>
        </is>
      </c>
      <c r="K1293" s="3" t="inlineStr">
        <is>
          <t>По мотивам повести Гоголя "Ночь перед Рождеством"</t>
        </is>
      </c>
      <c r="L1293" s="2" t="inlineStr">
        <is>
          <t>https://animator.ru/db/?p=show_film&amp;fid=3696</t>
        </is>
      </c>
      <c r="M1293" s="2">
        <f>HYPERLINK("https://ru.wikipedia.org/w/index.php?search=%D0%9F%D1%80%D0%B8%D0%BA%D0%BB%D1%8E%D1%87%D0%B5%D0%BD%D0%B8%D1%8F%20%D0%BA%D1%83%D0%B7%D0%BD%D0%B5%D1%86%D0%B0%20%D0%92%D0%B0%D0%BA%D1%83%D0%BB%D1%8B%201977%20%D1%84%D0%B8%D0%BB%D1%8C%D0%BC","искать")</f>
        <v/>
      </c>
      <c r="N1293" s="3" t="n"/>
      <c r="O1293" s="2" t="n"/>
      <c r="P1293" s="2" t="n"/>
    </row>
    <row r="1294">
      <c r="A1294" s="2" t="n">
        <v>1293</v>
      </c>
      <c r="B1294" s="2" t="inlineStr">
        <is>
          <t>не сюжет</t>
        </is>
      </c>
      <c r="C1294" s="2" t="n">
        <v>12569</v>
      </c>
      <c r="D1294" s="3" t="inlineStr">
        <is>
          <t>Старинная баллада</t>
        </is>
      </c>
      <c r="E1294" s="2" t="n">
        <v>1989</v>
      </c>
      <c r="F1294" s="2" t="inlineStr">
        <is>
          <t>мультфильм</t>
        </is>
      </c>
      <c r="G1294" s="2" t="inlineStr">
        <is>
          <t>КИЕВНАУЧФИЛЬМ</t>
        </is>
      </c>
      <c r="H1294" s="2" t="n">
        <v>49</v>
      </c>
      <c r="I1294" s="2" t="inlineStr"/>
      <c r="J1294" s="2" t="inlineStr">
        <is>
          <t>да</t>
        </is>
      </c>
      <c r="K1294" s="3" t="inlineStr">
        <is>
          <t>По мотивам английской народной баллады "Том Лин".</t>
        </is>
      </c>
      <c r="L1294" s="2" t="inlineStr">
        <is>
          <t>2026-10_мультфильмы_список_владельца.xlsx; https://animator.ru/db/?p=show_film&amp;fid=3749</t>
        </is>
      </c>
      <c r="M1294" s="2">
        <f>HYPERLINK("https://ru.wikipedia.org/w/index.php?search=%D0%A1%D1%82%D0%B0%D1%80%D0%B8%D0%BD%D0%BD%D0%B0%D1%8F%20%D0%B1%D0%B0%D0%BB%D0%BB%D0%B0%D0%B4%D0%B0%201989%20%D1%84%D0%B8%D0%BB%D1%8C%D0%BC","искать")</f>
        <v/>
      </c>
      <c r="N1294" s="3" t="n"/>
      <c r="O1294" s="2" t="n"/>
      <c r="P1294" s="2" t="n"/>
    </row>
    <row r="1295">
      <c r="A1295" s="2" t="n">
        <v>1294</v>
      </c>
      <c r="B1295" s="2" t="inlineStr">
        <is>
          <t>не сюжет</t>
        </is>
      </c>
      <c r="C1295" s="2" t="n">
        <v>12963</v>
      </c>
      <c r="D1295" s="3" t="inlineStr">
        <is>
          <t>А, Б и так далее</t>
        </is>
      </c>
      <c r="E1295" s="2" t="n">
        <v>1989</v>
      </c>
      <c r="F1295" s="2" t="inlineStr">
        <is>
          <t>мультфильм</t>
        </is>
      </c>
      <c r="G1295" s="2" t="inlineStr">
        <is>
          <t>ГРУЗИЯ-ФИЛЬМ - АО</t>
        </is>
      </c>
      <c r="H1295" s="2" t="n">
        <v>49</v>
      </c>
      <c r="I1295" s="2" t="inlineStr"/>
      <c r="J1295" s="2" t="inlineStr">
        <is>
          <t>да</t>
        </is>
      </c>
      <c r="K1295" s="3" t="inlineStr">
        <is>
          <t>О взаимоотношении личности и толпы (для взрослых)</t>
        </is>
      </c>
      <c r="L1295" s="2" t="inlineStr">
        <is>
          <t>https://animator.ru/db/?p=show_film&amp;fid=4193</t>
        </is>
      </c>
      <c r="M1295" s="2">
        <f>HYPERLINK("https://ru.wikipedia.org/w/index.php?search=%D0%90%2C%20%D0%91%20%D0%B8%20%D1%82%D0%B0%D0%BA%20%D0%B4%D0%B0%D0%BB%D0%B5%D0%B5%201989%20%D1%84%D0%B8%D0%BB%D1%8C%D0%BC","искать")</f>
        <v/>
      </c>
      <c r="N1295" s="3" t="n"/>
      <c r="O1295" s="2" t="n"/>
      <c r="P1295" s="2" t="n"/>
    </row>
    <row r="1296">
      <c r="A1296" s="2" t="n">
        <v>1295</v>
      </c>
      <c r="B1296" s="2" t="inlineStr">
        <is>
          <t>не сюжет</t>
        </is>
      </c>
      <c r="C1296" s="2" t="n">
        <v>13093</v>
      </c>
      <c r="D1296" s="3" t="inlineStr">
        <is>
          <t>Гугуцэ</t>
        </is>
      </c>
      <c r="E1296" s="2" t="n">
        <v>1975</v>
      </c>
      <c r="F1296" s="2" t="inlineStr">
        <is>
          <t>мультфильм</t>
        </is>
      </c>
      <c r="G1296" s="2" t="inlineStr">
        <is>
          <t>МОЛДОВА-ФИЛЬМ</t>
        </is>
      </c>
      <c r="H1296" s="2" t="n">
        <v>49</v>
      </c>
      <c r="I1296" s="2" t="inlineStr"/>
      <c r="J1296" s="2" t="inlineStr">
        <is>
          <t>да</t>
        </is>
      </c>
      <c r="K1296" s="3" t="inlineStr">
        <is>
          <t>По мотивам повести С.Вангели "Приключения Гугуцы"</t>
        </is>
      </c>
      <c r="L1296" s="2" t="inlineStr">
        <is>
          <t>https://animator.ru/db/?p=show_film&amp;fid=4325</t>
        </is>
      </c>
      <c r="M1296" s="2">
        <f>HYPERLINK("https://ru.wikipedia.org/w/index.php?search=%D0%93%D1%83%D0%B3%D1%83%D1%86%D1%8D%201975%20%D1%84%D0%B8%D0%BB%D1%8C%D0%BC","искать")</f>
        <v/>
      </c>
      <c r="N1296" s="3" t="n"/>
      <c r="O1296" s="2" t="n"/>
      <c r="P1296" s="2" t="n"/>
    </row>
    <row r="1297">
      <c r="A1297" s="2" t="n">
        <v>1296</v>
      </c>
      <c r="B1297" s="2" t="inlineStr">
        <is>
          <t>не сюжет</t>
        </is>
      </c>
      <c r="C1297" s="2" t="n">
        <v>13375</v>
      </c>
      <c r="D1297" s="3" t="inlineStr">
        <is>
          <t>Мальчик и девочка</t>
        </is>
      </c>
      <c r="E1297" s="2" t="n">
        <v>1978</v>
      </c>
      <c r="F1297" s="2" t="inlineStr">
        <is>
          <t>мультфильм</t>
        </is>
      </c>
      <c r="G1297" s="2" t="inlineStr">
        <is>
          <t>ЭКРАН</t>
        </is>
      </c>
      <c r="H1297" s="2" t="n">
        <v>49</v>
      </c>
      <c r="I1297" s="2" t="inlineStr"/>
      <c r="J1297" s="2" t="inlineStr">
        <is>
          <t>да</t>
        </is>
      </c>
      <c r="K1297" s="3" t="inlineStr">
        <is>
          <t>Поэтический этюд об отношениях мальчика и девочки</t>
        </is>
      </c>
      <c r="L1297" s="2" t="inlineStr">
        <is>
          <t>https://animator.ru/db/?p=show_film&amp;fid=4655</t>
        </is>
      </c>
      <c r="M1297" s="2">
        <f>HYPERLINK("https://ru.wikipedia.org/w/index.php?search=%D0%9C%D0%B0%D0%BB%D1%8C%D1%87%D0%B8%D0%BA%20%D0%B8%20%D0%B4%D0%B5%D0%B2%D0%BE%D1%87%D0%BA%D0%B0%201978%20%D1%84%D0%B8%D0%BB%D1%8C%D0%BC","искать")</f>
        <v/>
      </c>
      <c r="N1297" s="3" t="n"/>
      <c r="O1297" s="2" t="n"/>
      <c r="P1297" s="2" t="n"/>
    </row>
    <row r="1298">
      <c r="A1298" s="2" t="n">
        <v>1297</v>
      </c>
      <c r="B1298" s="2" t="inlineStr">
        <is>
          <t>не сюжет</t>
        </is>
      </c>
      <c r="C1298" s="2" t="n">
        <v>13385</v>
      </c>
      <c r="D1298" s="3" t="inlineStr">
        <is>
          <t>Комета</t>
        </is>
      </c>
      <c r="E1298" s="2" t="n">
        <v>1978</v>
      </c>
      <c r="F1298" s="2" t="inlineStr">
        <is>
          <t>мультфильм</t>
        </is>
      </c>
      <c r="G1298" s="2" t="inlineStr">
        <is>
          <t>СОЮЗТЕЛЕФИЛЬМ</t>
        </is>
      </c>
      <c r="H1298" s="2" t="n">
        <v>49</v>
      </c>
      <c r="I1298" s="2" t="inlineStr"/>
      <c r="J1298" s="2" t="inlineStr">
        <is>
          <t>да</t>
        </is>
      </c>
      <c r="K1298" s="3" t="inlineStr">
        <is>
          <t>Второй фильм о муми-троллях по сказке Туве Янссон</t>
        </is>
      </c>
      <c r="L1298" s="2" t="inlineStr">
        <is>
          <t>https://animator.ru/db/?p=show_film&amp;fid=4665</t>
        </is>
      </c>
      <c r="M1298" s="2">
        <f>HYPERLINK("https://ru.wikipedia.org/w/index.php?search=%D0%9A%D0%BE%D0%BC%D0%B5%D1%82%D0%B0%201978%20%D1%84%D0%B8%D0%BB%D1%8C%D0%BC","искать")</f>
        <v/>
      </c>
      <c r="N1298" s="3" t="n"/>
      <c r="O1298" s="2" t="n"/>
      <c r="P1298" s="2" t="n"/>
    </row>
    <row r="1299">
      <c r="A1299" s="2" t="n">
        <v>1298</v>
      </c>
      <c r="B1299" s="2" t="inlineStr">
        <is>
          <t>не сюжет</t>
        </is>
      </c>
      <c r="C1299" s="2" t="n">
        <v>13386</v>
      </c>
      <c r="D1299" s="3" t="inlineStr">
        <is>
          <t>Путь домой</t>
        </is>
      </c>
      <c r="E1299" s="2" t="n">
        <v>1978</v>
      </c>
      <c r="F1299" s="2" t="inlineStr">
        <is>
          <t>мультфильм</t>
        </is>
      </c>
      <c r="G1299" s="2" t="inlineStr">
        <is>
          <t>СОЮЗТЕЛЕФИЛЬМ</t>
        </is>
      </c>
      <c r="H1299" s="2" t="n">
        <v>49</v>
      </c>
      <c r="I1299" s="2" t="inlineStr"/>
      <c r="J1299" s="2" t="inlineStr">
        <is>
          <t>да</t>
        </is>
      </c>
      <c r="K1299" s="3" t="inlineStr">
        <is>
          <t>Третий фильм о муми-троллях по сказке Туве Янссон</t>
        </is>
      </c>
      <c r="L1299" s="2" t="inlineStr">
        <is>
          <t>https://animator.ru/db/?p=show_film&amp;fid=4666</t>
        </is>
      </c>
      <c r="M1299" s="2">
        <f>HYPERLINK("https://ru.wikipedia.org/w/index.php?search=%D0%9F%D1%83%D1%82%D1%8C%20%D0%B4%D0%BE%D0%BC%D0%BE%D0%B9%201978%20%D1%84%D0%B8%D0%BB%D1%8C%D0%BC","искать")</f>
        <v/>
      </c>
      <c r="N1299" s="3" t="n"/>
      <c r="O1299" s="2" t="n"/>
      <c r="P1299" s="2" t="n"/>
    </row>
    <row r="1300">
      <c r="A1300" s="2" t="n">
        <v>1299</v>
      </c>
      <c r="B1300" s="2" t="inlineStr">
        <is>
          <t>не сюжет</t>
        </is>
      </c>
      <c r="C1300" s="2" t="n">
        <v>13486</v>
      </c>
      <c r="D1300" s="3" t="inlineStr">
        <is>
          <t>Хранитель</t>
        </is>
      </c>
      <c r="E1300" s="2" t="n">
        <v>1989</v>
      </c>
      <c r="F1300" s="2" t="inlineStr">
        <is>
          <t>мультфильм</t>
        </is>
      </c>
      <c r="G1300" s="2" t="inlineStr">
        <is>
          <t>Свердловская киностудия</t>
        </is>
      </c>
      <c r="H1300" s="2" t="n">
        <v>49</v>
      </c>
      <c r="I1300" s="2" t="inlineStr"/>
      <c r="J1300" s="2" t="inlineStr">
        <is>
          <t>да</t>
        </is>
      </c>
      <c r="K1300" s="3" t="inlineStr">
        <is>
          <t>Об ангеле-хранителе, который помогает всем людям.</t>
        </is>
      </c>
      <c r="L1300" s="2" t="inlineStr">
        <is>
          <t>2026-10_мультфильмы_список_владельца.xlsx; https://animator.ru/db/?p=show_film&amp;fid=4776</t>
        </is>
      </c>
      <c r="M1300" s="2">
        <f>HYPERLINK("https://ru.wikipedia.org/w/index.php?search=%D0%A5%D1%80%D0%B0%D0%BD%D0%B8%D1%82%D0%B5%D0%BB%D1%8C%201989%20%D1%84%D0%B8%D0%BB%D1%8C%D0%BC","искать")</f>
        <v/>
      </c>
      <c r="N1300" s="3" t="n"/>
      <c r="O1300" s="2" t="n"/>
      <c r="P1300" s="2" t="n"/>
    </row>
    <row r="1301">
      <c r="A1301" s="2" t="n">
        <v>1300</v>
      </c>
      <c r="B1301" s="2" t="inlineStr">
        <is>
          <t>не сюжет</t>
        </is>
      </c>
      <c r="C1301" s="2" t="n">
        <v>13609</v>
      </c>
      <c r="D1301" s="3" t="inlineStr">
        <is>
          <t>Проделки Рамзеса ч.2</t>
        </is>
      </c>
      <c r="E1301" s="2" t="n">
        <v>1986</v>
      </c>
      <c r="F1301" s="2" t="inlineStr">
        <is>
          <t>мультфильм</t>
        </is>
      </c>
      <c r="G1301" s="2" t="inlineStr">
        <is>
          <t>ТАЛЛИННФИЛЬМ, Свердловская киностудия</t>
        </is>
      </c>
      <c r="H1301" s="2" t="n">
        <v>49</v>
      </c>
      <c r="I1301" s="2" t="inlineStr"/>
      <c r="J1301" s="2" t="inlineStr">
        <is>
          <t>да</t>
        </is>
      </c>
      <c r="K1301" s="3" t="inlineStr">
        <is>
          <t>По рисункам эстонского карикатуриста Э. Вальтера.</t>
        </is>
      </c>
      <c r="L1301" s="2" t="inlineStr">
        <is>
          <t>2026-10_мультфильмы_список_владельца.xlsx; https://animator.ru/db/?p=show_film&amp;fid=4959</t>
        </is>
      </c>
      <c r="M1301" s="2">
        <f>HYPERLINK("https://ru.wikipedia.org/w/index.php?search=%D0%9F%D1%80%D0%BE%D0%B4%D0%B5%D0%BB%D0%BA%D0%B8%20%D0%A0%D0%B0%D0%BC%D0%B7%D0%B5%D1%81%D0%B0%20%D1%87.2%201986%20%D1%84%D0%B8%D0%BB%D1%8C%D0%BC","искать")</f>
        <v/>
      </c>
      <c r="N1301" s="3" t="n"/>
      <c r="O1301" s="2" t="n"/>
      <c r="P1301" s="2" t="n"/>
    </row>
    <row r="1302">
      <c r="A1302" s="2" t="n">
        <v>1301</v>
      </c>
      <c r="B1302" s="2" t="inlineStr">
        <is>
          <t>не сюжет</t>
        </is>
      </c>
      <c r="C1302" s="2" t="n">
        <v>13610</v>
      </c>
      <c r="D1302" s="3" t="inlineStr">
        <is>
          <t>Загадочная планета</t>
        </is>
      </c>
      <c r="E1302" s="2" t="n">
        <v>1974</v>
      </c>
      <c r="F1302" s="2" t="inlineStr">
        <is>
          <t>мультфильм</t>
        </is>
      </c>
      <c r="G1302" s="2" t="inlineStr">
        <is>
          <t>ЭКРАН</t>
        </is>
      </c>
      <c r="H1302" s="2" t="n">
        <v>49</v>
      </c>
      <c r="I1302" s="2" t="inlineStr"/>
      <c r="J1302" s="2" t="inlineStr">
        <is>
          <t>да</t>
        </is>
      </c>
      <c r="K1302" s="3" t="inlineStr">
        <is>
          <t>О борьбе добра и зла на неведомой далекой планете</t>
        </is>
      </c>
      <c r="L1302" s="2" t="inlineStr">
        <is>
          <t>https://animator.ru/db/?p=show_film&amp;fid=4961</t>
        </is>
      </c>
      <c r="M1302" s="2">
        <f>HYPERLINK("https://ru.wikipedia.org/w/index.php?search=%D0%97%D0%B0%D0%B3%D0%B0%D0%B4%D0%BE%D1%87%D0%BD%D0%B0%D1%8F%20%D0%BF%D0%BB%D0%B0%D0%BD%D0%B5%D1%82%D0%B0%201974%20%D1%84%D0%B8%D0%BB%D1%8C%D0%BC","искать")</f>
        <v/>
      </c>
      <c r="N1302" s="3" t="n"/>
      <c r="O1302" s="2" t="n"/>
      <c r="P1302" s="2" t="n"/>
    </row>
    <row r="1303">
      <c r="A1303" s="2" t="n">
        <v>1302</v>
      </c>
      <c r="B1303" s="2" t="inlineStr">
        <is>
          <t>не сюжет</t>
        </is>
      </c>
      <c r="C1303" s="2" t="n">
        <v>13681</v>
      </c>
      <c r="D1303" s="3" t="inlineStr">
        <is>
          <t>Доктор Бартек и смерть (ч.2)</t>
        </is>
      </c>
      <c r="E1303" s="2" t="n">
        <v>1989</v>
      </c>
      <c r="F1303" s="2" t="inlineStr">
        <is>
          <t>мультфильм</t>
        </is>
      </c>
      <c r="G1303" s="2" t="inlineStr">
        <is>
          <t>ЭКРАН</t>
        </is>
      </c>
      <c r="H1303" s="2" t="n">
        <v>49</v>
      </c>
      <c r="I1303" s="2" t="inlineStr"/>
      <c r="J1303" s="2" t="inlineStr">
        <is>
          <t>да</t>
        </is>
      </c>
      <c r="K1303" s="3" t="inlineStr">
        <is>
          <t>По мотивам польской народной сказки. Фильм второй</t>
        </is>
      </c>
      <c r="L1303" s="2" t="inlineStr">
        <is>
          <t>https://animator.ru/db/?p=show_film&amp;fid=5073</t>
        </is>
      </c>
      <c r="M1303" s="2">
        <f>HYPERLINK("https://ru.wikipedia.org/w/index.php?search=%D0%94%D0%BE%D0%BA%D1%82%D0%BE%D1%80%20%D0%91%D0%B0%D1%80%D1%82%D0%B5%D0%BA%20%D0%B8%20%D1%81%D0%BC%D0%B5%D1%80%D1%82%D1%8C%20%28%D1%87.2%29%201989%20%D1%84%D0%B8%D0%BB%D1%8C%D0%BC","искать")</f>
        <v/>
      </c>
      <c r="N1303" s="3" t="n"/>
      <c r="O1303" s="2" t="n"/>
      <c r="P1303" s="2" t="n"/>
    </row>
    <row r="1304">
      <c r="A1304" s="2" t="n">
        <v>1303</v>
      </c>
      <c r="B1304" s="2" t="inlineStr">
        <is>
          <t>не сюжет</t>
        </is>
      </c>
      <c r="C1304" s="2" t="n">
        <v>13822</v>
      </c>
      <c r="D1304" s="3" t="inlineStr">
        <is>
          <t>Пекка</t>
        </is>
      </c>
      <c r="E1304" s="2" t="n">
        <v>1985</v>
      </c>
      <c r="F1304" s="2" t="inlineStr">
        <is>
          <t>мультфильм</t>
        </is>
      </c>
      <c r="G1304" s="2" t="inlineStr">
        <is>
          <t>МУЛЬТТЕЛЕФИЛЬМ ("Экран")</t>
        </is>
      </c>
      <c r="H1304" s="2" t="n">
        <v>49</v>
      </c>
      <c r="I1304" s="2" t="inlineStr"/>
      <c r="J1304" s="2" t="inlineStr">
        <is>
          <t>да</t>
        </is>
      </c>
      <c r="K1304" s="3" t="inlineStr">
        <is>
          <t>По мотивам карельских сказок о крестьянине Пекке.</t>
        </is>
      </c>
      <c r="L1304" s="2" t="inlineStr">
        <is>
          <t>2026-10_мультфильмы_список_владельца.xlsx; https://animator.ru/db/?p=show_film&amp;fid=5215</t>
        </is>
      </c>
      <c r="M1304" s="2">
        <f>HYPERLINK("https://ru.wikipedia.org/w/index.php?search=%D0%9F%D0%B5%D0%BA%D0%BA%D0%B0%201985%20%D1%84%D0%B8%D0%BB%D1%8C%D0%BC","искать")</f>
        <v/>
      </c>
      <c r="N1304" s="3" t="n"/>
      <c r="O1304" s="2" t="n"/>
      <c r="P1304" s="2" t="n"/>
    </row>
    <row r="1305">
      <c r="A1305" s="2" t="n">
        <v>1304</v>
      </c>
      <c r="B1305" s="2" t="inlineStr">
        <is>
          <t>не сюжет</t>
        </is>
      </c>
      <c r="C1305" s="2" t="n">
        <v>13933</v>
      </c>
      <c r="D1305" s="3" t="inlineStr">
        <is>
          <t>Олимпиада-80. Тяжёлая атлетика</t>
        </is>
      </c>
      <c r="E1305" s="2" t="n">
        <v>1980</v>
      </c>
      <c r="F1305" s="2" t="inlineStr">
        <is>
          <t>мультфильм</t>
        </is>
      </c>
      <c r="G1305" s="2" t="inlineStr">
        <is>
          <t>ЭКРАН</t>
        </is>
      </c>
      <c r="H1305" s="2" t="n">
        <v>49</v>
      </c>
      <c r="I1305" s="2" t="inlineStr"/>
      <c r="J1305" s="2" t="inlineStr">
        <is>
          <t>да</t>
        </is>
      </c>
      <c r="K1305" s="3" t="inlineStr">
        <is>
          <t>Из цикла мирофильмов о видах спорта к Олимпиаде80</t>
        </is>
      </c>
      <c r="L1305" s="2" t="inlineStr">
        <is>
          <t>https://animator.ru/db/?p=show_film&amp;fid=5327</t>
        </is>
      </c>
      <c r="M1305" s="2">
        <f>HYPERLINK("https://ru.wikipedia.org/w/index.php?search=%D0%9E%D0%BB%D0%B8%D0%BC%D0%BF%D0%B8%D0%B0%D0%B4%D0%B0-80.%20%D0%A2%D1%8F%D0%B6%D1%91%D0%BB%D0%B0%D1%8F%20%D0%B0%D1%82%D0%BB%D0%B5%D1%82%D0%B8%D0%BA%D0%B0%201980%20%D1%84%D0%B8%D0%BB%D1%8C%D0%BC","искать")</f>
        <v/>
      </c>
      <c r="N1305" s="3" t="n"/>
      <c r="O1305" s="2" t="n"/>
      <c r="P1305" s="2" t="n"/>
    </row>
    <row r="1306">
      <c r="A1306" s="2" t="n">
        <v>1305</v>
      </c>
      <c r="B1306" s="2" t="inlineStr">
        <is>
          <t>не сюжет</t>
        </is>
      </c>
      <c r="C1306" s="2" t="n">
        <v>13953</v>
      </c>
      <c r="D1306" s="3" t="inlineStr">
        <is>
          <t>Олимпиада-80. Хоккей на траве</t>
        </is>
      </c>
      <c r="E1306" s="2" t="n">
        <v>1980</v>
      </c>
      <c r="F1306" s="2" t="inlineStr">
        <is>
          <t>мультфильм</t>
        </is>
      </c>
      <c r="G1306" s="2" t="inlineStr">
        <is>
          <t>ЭКРАН</t>
        </is>
      </c>
      <c r="H1306" s="2" t="n">
        <v>49</v>
      </c>
      <c r="I1306" s="2" t="inlineStr"/>
      <c r="J1306" s="2" t="inlineStr">
        <is>
          <t>да</t>
        </is>
      </c>
      <c r="K1306" s="3" t="inlineStr">
        <is>
          <t>Из цикла микрофильмо о видах впорта к Олимпиаде80</t>
        </is>
      </c>
      <c r="L1306" s="2" t="inlineStr">
        <is>
          <t>https://animator.ru/db/?p=show_film&amp;fid=5347</t>
        </is>
      </c>
      <c r="M1306" s="2">
        <f>HYPERLINK("https://ru.wikipedia.org/w/index.php?search=%D0%9E%D0%BB%D0%B8%D0%BC%D0%BF%D0%B8%D0%B0%D0%B4%D0%B0-80.%20%D0%A5%D0%BE%D0%BA%D0%BA%D0%B5%D0%B9%20%D0%BD%D0%B0%20%D1%82%D1%80%D0%B0%D0%B2%D0%B5%201980%20%D1%84%D0%B8%D0%BB%D1%8C%D0%BC","искать")</f>
        <v/>
      </c>
      <c r="N1306" s="3" t="n"/>
      <c r="O1306" s="2" t="n"/>
      <c r="P1306" s="2" t="n"/>
    </row>
    <row r="1307">
      <c r="A1307" s="2" t="n">
        <v>1306</v>
      </c>
      <c r="B1307" s="2" t="inlineStr">
        <is>
          <t>не сюжет</t>
        </is>
      </c>
      <c r="C1307" s="2" t="n">
        <v>14052</v>
      </c>
      <c r="D1307" s="3" t="inlineStr">
        <is>
          <t>Проделки Рамзеса ч.3</t>
        </is>
      </c>
      <c r="E1307" s="2" t="n">
        <v>1987</v>
      </c>
      <c r="F1307" s="2" t="inlineStr">
        <is>
          <t>мультфильм</t>
        </is>
      </c>
      <c r="G1307" s="2" t="inlineStr">
        <is>
          <t>ТАЛЛИННФИЛЬМ</t>
        </is>
      </c>
      <c r="H1307" s="2" t="n">
        <v>49</v>
      </c>
      <c r="I1307" s="2" t="inlineStr"/>
      <c r="J1307" s="2" t="inlineStr">
        <is>
          <t>да</t>
        </is>
      </c>
      <c r="K1307" s="3" t="inlineStr">
        <is>
          <t>По рисункам эстонского карикатуриста Э. Вальтера.</t>
        </is>
      </c>
      <c r="L1307" s="2" t="inlineStr">
        <is>
          <t>2026-10_мультфильмы_список_владельца.xlsx; https://animator.ru/db/?p=show_film&amp;fid=5448</t>
        </is>
      </c>
      <c r="M1307" s="2">
        <f>HYPERLINK("https://ru.wikipedia.org/w/index.php?search=%D0%9F%D1%80%D0%BE%D0%B4%D0%B5%D0%BB%D0%BA%D0%B8%20%D0%A0%D0%B0%D0%BC%D0%B7%D0%B5%D1%81%D0%B0%20%D1%87.3%201987%20%D1%84%D0%B8%D0%BB%D1%8C%D0%BC","искать")</f>
        <v/>
      </c>
      <c r="N1307" s="3" t="n"/>
      <c r="O1307" s="2" t="n"/>
      <c r="P1307" s="2" t="n"/>
    </row>
    <row r="1308">
      <c r="A1308" s="2" t="n">
        <v>1307</v>
      </c>
      <c r="B1308" s="2" t="inlineStr">
        <is>
          <t>не сюжет</t>
        </is>
      </c>
      <c r="C1308" s="2" t="n">
        <v>14165</v>
      </c>
      <c r="D1308" s="3" t="inlineStr">
        <is>
          <t>Про Ксюшу и Компьюшу</t>
        </is>
      </c>
      <c r="E1308" s="2" t="n">
        <v>1989</v>
      </c>
      <c r="F1308" s="2" t="inlineStr">
        <is>
          <t>мультфильм</t>
        </is>
      </c>
      <c r="G1308" s="2" t="inlineStr">
        <is>
          <t>ПЕРМЬТЕЛЕФИЛЬМ</t>
        </is>
      </c>
      <c r="H1308" s="2" t="n">
        <v>49</v>
      </c>
      <c r="I1308" s="2" t="inlineStr"/>
      <c r="J1308" s="2" t="inlineStr">
        <is>
          <t>да</t>
        </is>
      </c>
      <c r="K1308" s="3" t="inlineStr">
        <is>
          <t>Современная сказка о компьютерной няне. Для детей</t>
        </is>
      </c>
      <c r="L1308" s="2" t="inlineStr">
        <is>
          <t>https://animator.ru/db/?p=show_film&amp;fid=5563</t>
        </is>
      </c>
      <c r="M1308" s="2">
        <f>HYPERLINK("https://ru.wikipedia.org/w/index.php?search=%D0%9F%D1%80%D0%BE%20%D0%9A%D1%81%D1%8E%D1%88%D1%83%20%D0%B8%20%D0%9A%D0%BE%D0%BC%D0%BF%D1%8C%D1%8E%D1%88%D1%83%201989%20%D1%84%D0%B8%D0%BB%D1%8C%D0%BC","искать")</f>
        <v/>
      </c>
      <c r="N1308" s="3" t="n"/>
      <c r="O1308" s="2" t="n"/>
      <c r="P1308" s="2" t="n"/>
    </row>
    <row r="1309">
      <c r="A1309" s="2" t="n">
        <v>1308</v>
      </c>
      <c r="B1309" s="2" t="inlineStr">
        <is>
          <t>не сюжет</t>
        </is>
      </c>
      <c r="C1309" s="2" t="n">
        <v>14167</v>
      </c>
      <c r="D1309" s="3" t="inlineStr">
        <is>
          <t>Пугали зайцы зайчонка</t>
        </is>
      </c>
      <c r="E1309" s="2" t="n">
        <v>1983</v>
      </c>
      <c r="F1309" s="2" t="inlineStr">
        <is>
          <t>мультфильм</t>
        </is>
      </c>
      <c r="G1309" s="2" t="inlineStr">
        <is>
          <t>КУЙБЫШЕВТЕЛЕФИЛЬМ</t>
        </is>
      </c>
      <c r="H1309" s="2" t="n">
        <v>49</v>
      </c>
      <c r="I1309" s="2" t="inlineStr"/>
      <c r="J1309" s="2" t="inlineStr">
        <is>
          <t>да</t>
        </is>
      </c>
      <c r="K1309" s="3" t="inlineStr">
        <is>
          <t>По мотивам сказок Братьев Бондаренко. Для малышей</t>
        </is>
      </c>
      <c r="L1309" s="2" t="inlineStr">
        <is>
          <t>https://animator.ru/db/?p=show_film&amp;fid=5565</t>
        </is>
      </c>
      <c r="M1309" s="2">
        <f>HYPERLINK("https://ru.wikipedia.org/w/index.php?search=%D0%9F%D1%83%D0%B3%D0%B0%D0%BB%D0%B8%20%D0%B7%D0%B0%D0%B9%D1%86%D1%8B%20%D0%B7%D0%B0%D0%B9%D1%87%D0%BE%D0%BD%D0%BA%D0%B0%201983%20%D1%84%D0%B8%D0%BB%D1%8C%D0%BC","искать")</f>
        <v/>
      </c>
      <c r="N1309" s="3" t="n"/>
      <c r="O1309" s="2" t="n"/>
      <c r="P1309" s="2" t="n"/>
    </row>
    <row r="1310">
      <c r="A1310" s="2" t="n">
        <v>1309</v>
      </c>
      <c r="B1310" s="2" t="inlineStr">
        <is>
          <t>не сюжет</t>
        </is>
      </c>
      <c r="C1310" s="2" t="n">
        <v>14181</v>
      </c>
      <c r="D1310" s="3" t="inlineStr">
        <is>
          <t>Снегурята</t>
        </is>
      </c>
      <c r="E1310" s="2" t="n">
        <v>1986</v>
      </c>
      <c r="F1310" s="2" t="inlineStr">
        <is>
          <t>мультфильм</t>
        </is>
      </c>
      <c r="G1310" s="2" t="inlineStr">
        <is>
          <t>КУЙБЫШЕВТЕЛЕФИЛЬМ</t>
        </is>
      </c>
      <c r="H1310" s="2" t="n">
        <v>49</v>
      </c>
      <c r="I1310" s="2" t="inlineStr"/>
      <c r="J1310" s="2" t="inlineStr">
        <is>
          <t>да</t>
        </is>
      </c>
      <c r="K1310" s="3" t="inlineStr">
        <is>
          <t>О чудесах, которые происходя накануне Нового года</t>
        </is>
      </c>
      <c r="L1310" s="2" t="inlineStr">
        <is>
          <t>https://animator.ru/db/?p=show_film&amp;fid=5579</t>
        </is>
      </c>
      <c r="M1310" s="2">
        <f>HYPERLINK("https://ru.wikipedia.org/w/index.php?search=%D0%A1%D0%BD%D0%B5%D0%B3%D1%83%D1%80%D1%8F%D1%82%D0%B0%201986%20%D1%84%D0%B8%D0%BB%D1%8C%D0%BC","искать")</f>
        <v/>
      </c>
      <c r="N1310" s="3" t="n"/>
      <c r="O1310" s="2" t="n"/>
      <c r="P1310" s="2" t="n"/>
    </row>
    <row r="1311">
      <c r="A1311" s="2" t="n">
        <v>1310</v>
      </c>
      <c r="B1311" s="2" t="inlineStr">
        <is>
          <t>не сюжет</t>
        </is>
      </c>
      <c r="C1311" s="2" t="n">
        <v>9773</v>
      </c>
      <c r="D1311" s="3" t="inlineStr">
        <is>
          <t>Штурмовые ночи</t>
        </is>
      </c>
      <c r="E1311" s="2" t="n">
        <v>1931</v>
      </c>
      <c r="F1311" s="2" t="inlineStr">
        <is>
          <t>кинофильм</t>
        </is>
      </c>
      <c r="G1311" s="2" t="inlineStr">
        <is>
          <t>Одесская кинофабрика «Украинфильм»</t>
        </is>
      </c>
      <c r="H1311" s="2" t="n">
        <v>50</v>
      </c>
      <c r="I1311" s="2" t="inlineStr"/>
      <c r="J1311" s="2" t="inlineStr">
        <is>
          <t>да</t>
        </is>
      </c>
      <c r="K1311" s="3" t="inlineStr">
        <is>
          <t>О приходе крестьянина на строительство Днепрогэса.</t>
        </is>
      </c>
      <c r="L1311" s="2" t="inlineStr">
        <is>
          <t>Кино_СССР сводный каталог.xlsx: список фильмов (доп.)</t>
        </is>
      </c>
      <c r="M1311" s="2">
        <f>HYPERLINK("https://ru.wikipedia.org/w/index.php?search=%D0%A8%D1%82%D1%83%D1%80%D0%BC%D0%BE%D0%B2%D1%8B%D0%B5%20%D0%BD%D0%BE%D1%87%D0%B8%201931%20%D1%84%D0%B8%D0%BB%D1%8C%D0%BC","искать")</f>
        <v/>
      </c>
      <c r="N1311" s="3" t="n"/>
      <c r="O1311" s="2" t="n"/>
      <c r="P1311" s="2" t="n"/>
    </row>
    <row r="1312">
      <c r="A1312" s="2" t="n">
        <v>1311</v>
      </c>
      <c r="B1312" s="2" t="inlineStr">
        <is>
          <t>не сюжет</t>
        </is>
      </c>
      <c r="C1312" s="2" t="n">
        <v>9873</v>
      </c>
      <c r="D1312" s="3" t="inlineStr">
        <is>
          <t>Дети</t>
        </is>
      </c>
      <c r="E1312" s="2" t="n">
        <v>1970</v>
      </c>
      <c r="F1312" s="2" t="inlineStr">
        <is>
          <t>кинофильм</t>
        </is>
      </c>
      <c r="G1312" s="2" t="inlineStr">
        <is>
          <t>Мосфильм, Подборки фильмов, экранизации Горького</t>
        </is>
      </c>
      <c r="H1312" s="2" t="n">
        <v>50</v>
      </c>
      <c r="I1312" s="2" t="inlineStr"/>
      <c r="J1312" s="2" t="inlineStr">
        <is>
          <t>да</t>
        </is>
      </c>
      <c r="K1312" s="3" t="inlineStr">
        <is>
          <t>Новелла.
По мотивам одноименной пьесы М. Горького.</t>
        </is>
      </c>
      <c r="L1312" s="2" t="inlineStr">
        <is>
          <t>https://www.kino-teatr.ru/short/movie/sov/1787/annot/</t>
        </is>
      </c>
      <c r="M1312" s="2">
        <f>HYPERLINK("https://ru.wikipedia.org/w/index.php?search=%D0%94%D0%B5%D1%82%D0%B8%201970%20%D1%84%D0%B8%D0%BB%D1%8C%D0%BC","искать")</f>
        <v/>
      </c>
      <c r="N1312" s="3" t="n"/>
      <c r="O1312" s="2" t="n"/>
      <c r="P1312" s="2" t="n"/>
    </row>
    <row r="1313">
      <c r="A1313" s="2" t="n">
        <v>1312</v>
      </c>
      <c r="B1313" s="2" t="inlineStr">
        <is>
          <t>не сюжет</t>
        </is>
      </c>
      <c r="C1313" s="2" t="n">
        <v>10321</v>
      </c>
      <c r="D1313" s="3" t="inlineStr">
        <is>
          <t>Оправдание Паганини</t>
        </is>
      </c>
      <c r="E1313" s="2" t="n">
        <v>1969</v>
      </c>
      <c r="F1313" s="2" t="inlineStr">
        <is>
          <t>фильм-спектакль</t>
        </is>
      </c>
      <c r="G1313" s="2" t="inlineStr">
        <is>
          <t>Центральное телевидение</t>
        </is>
      </c>
      <c r="H1313" s="2" t="n">
        <v>50</v>
      </c>
      <c r="I1313" s="2" t="inlineStr"/>
      <c r="J1313" s="2" t="inlineStr">
        <is>
          <t>да</t>
        </is>
      </c>
      <c r="K1313" s="3" t="inlineStr">
        <is>
          <t>О великом скрипаче и композиторе Никколо Паганини.</t>
        </is>
      </c>
      <c r="L1313" s="2" t="inlineStr">
        <is>
          <t>https://www.kino-teatr.ru/teatr/movie/92970/annot/</t>
        </is>
      </c>
      <c r="M1313" s="2">
        <f>HYPERLINK("https://ru.wikipedia.org/w/index.php?search=%D0%9E%D0%BF%D1%80%D0%B0%D0%B2%D0%B4%D0%B0%D0%BD%D0%B8%D0%B5%20%D0%9F%D0%B0%D0%B3%D0%B0%D0%BD%D0%B8%D0%BD%D0%B8%201969%20%D1%84%D0%B8%D0%BB%D1%8C%D0%BC","искать")</f>
        <v/>
      </c>
      <c r="N1313" s="3" t="n"/>
      <c r="O1313" s="2" t="n"/>
      <c r="P1313" s="2" t="n"/>
    </row>
    <row r="1314">
      <c r="A1314" s="2" t="n">
        <v>1313</v>
      </c>
      <c r="B1314" s="2" t="inlineStr">
        <is>
          <t>не сюжет</t>
        </is>
      </c>
      <c r="C1314" s="2" t="n">
        <v>10432</v>
      </c>
      <c r="D1314" s="3" t="inlineStr">
        <is>
          <t>Бунташный июль</t>
        </is>
      </c>
      <c r="E1314" s="2" t="n">
        <v>1972</v>
      </c>
      <c r="F1314" s="2" t="inlineStr">
        <is>
          <t>фильм-спектакль</t>
        </is>
      </c>
      <c r="G1314" s="2" t="inlineStr">
        <is>
          <t>Центральное телевидение</t>
        </is>
      </c>
      <c r="H1314" s="2" t="n">
        <v>50</v>
      </c>
      <c r="I1314" s="2" t="inlineStr"/>
      <c r="J1314" s="2" t="inlineStr">
        <is>
          <t>да</t>
        </is>
      </c>
      <c r="K1314" s="3" t="inlineStr">
        <is>
          <t>Телеспектакль о Медном бунте в России в 1662 году.</t>
        </is>
      </c>
      <c r="L1314" s="2" t="inlineStr">
        <is>
          <t>https://www.kino-teatr.ru/teatr/movie/103924/annot/</t>
        </is>
      </c>
      <c r="M1314" s="2">
        <f>HYPERLINK("https://ru.wikipedia.org/w/index.php?search=%D0%91%D1%83%D0%BD%D1%82%D0%B0%D1%88%D0%BD%D1%8B%D0%B9%20%D0%B8%D1%8E%D0%BB%D1%8C%201972%20%D1%84%D0%B8%D0%BB%D1%8C%D0%BC","искать")</f>
        <v/>
      </c>
      <c r="N1314" s="3" t="n"/>
      <c r="O1314" s="2" t="n"/>
      <c r="P1314" s="2" t="n"/>
    </row>
    <row r="1315">
      <c r="A1315" s="2" t="n">
        <v>1314</v>
      </c>
      <c r="B1315" s="2" t="inlineStr">
        <is>
          <t>не сюжет</t>
        </is>
      </c>
      <c r="C1315" s="2" t="n">
        <v>10508</v>
      </c>
      <c r="D1315" s="3" t="inlineStr">
        <is>
          <t>Обрыв</t>
        </is>
      </c>
      <c r="E1315" s="2" t="n">
        <v>1973</v>
      </c>
      <c r="F1315" s="2" t="inlineStr">
        <is>
          <t>фильм-спектакль</t>
        </is>
      </c>
      <c r="G1315" s="2" t="inlineStr">
        <is>
          <t>Главная редакция литературно-драматических программ Гостелерадио СССР</t>
        </is>
      </c>
      <c r="H1315" s="2" t="n">
        <v>50</v>
      </c>
      <c r="I1315" s="2" t="inlineStr"/>
      <c r="J1315" s="2" t="inlineStr">
        <is>
          <t>да</t>
        </is>
      </c>
      <c r="K1315" s="3" t="inlineStr">
        <is>
          <t>Телевизионный спектакль по роману Ивана Гончарова.</t>
        </is>
      </c>
      <c r="L1315" s="2" t="inlineStr">
        <is>
          <t>https://www.kino-teatr.ru/teatr/movie/10727/annot/</t>
        </is>
      </c>
      <c r="M1315" s="2">
        <f>HYPERLINK("https://ru.wikipedia.org/w/index.php?search=%D0%9E%D0%B1%D1%80%D1%8B%D0%B2%201973%20%D1%84%D0%B8%D0%BB%D1%8C%D0%BC","искать")</f>
        <v/>
      </c>
      <c r="N1315" s="3" t="n"/>
      <c r="O1315" s="2" t="n"/>
      <c r="P1315" s="2" t="n"/>
    </row>
    <row r="1316">
      <c r="A1316" s="2" t="n">
        <v>1315</v>
      </c>
      <c r="B1316" s="2" t="inlineStr">
        <is>
          <t>не сюжет</t>
        </is>
      </c>
      <c r="C1316" s="2" t="n">
        <v>10781</v>
      </c>
      <c r="D1316" s="3" t="inlineStr">
        <is>
          <t>Три рубина</t>
        </is>
      </c>
      <c r="E1316" s="2" t="n">
        <v>1978</v>
      </c>
      <c r="F1316" s="2" t="inlineStr">
        <is>
          <t>фильм-спектакль</t>
        </is>
      </c>
      <c r="G1316" s="2" t="inlineStr">
        <is>
          <t>Eesti Televisioon</t>
        </is>
      </c>
      <c r="H1316" s="2" t="n">
        <v>50</v>
      </c>
      <c r="I1316" s="2" t="inlineStr"/>
      <c r="J1316" s="2" t="inlineStr">
        <is>
          <t>да</t>
        </is>
      </c>
      <c r="K1316" s="3" t="inlineStr">
        <is>
          <t>Поставлен по повести Юлиана Семенова "Огарёва, 6".</t>
        </is>
      </c>
      <c r="L1316" s="2" t="inlineStr">
        <is>
          <t>https://www.kino-teatr.ru/teatr/movie/89113/annot/</t>
        </is>
      </c>
      <c r="M1316" s="2">
        <f>HYPERLINK("https://ru.wikipedia.org/w/index.php?search=%D0%A2%D1%80%D0%B8%20%D1%80%D1%83%D0%B1%D0%B8%D0%BD%D0%B0%201978%20%D1%84%D0%B8%D0%BB%D1%8C%D0%BC","искать")</f>
        <v/>
      </c>
      <c r="N1316" s="3" t="n"/>
      <c r="O1316" s="2" t="n"/>
      <c r="P1316" s="2" t="n"/>
    </row>
    <row r="1317">
      <c r="A1317" s="2" t="n">
        <v>1316</v>
      </c>
      <c r="B1317" s="2" t="inlineStr">
        <is>
          <t>не сюжет</t>
        </is>
      </c>
      <c r="C1317" s="2" t="n">
        <v>11798</v>
      </c>
      <c r="D1317" s="3" t="inlineStr">
        <is>
          <t>Зеркало времени</t>
        </is>
      </c>
      <c r="E1317" s="2" t="n">
        <v>1976</v>
      </c>
      <c r="F1317" s="2" t="inlineStr">
        <is>
          <t>мультфильм</t>
        </is>
      </c>
      <c r="G1317" s="2" t="inlineStr">
        <is>
          <t>Союзмультфильм</t>
        </is>
      </c>
      <c r="H1317" s="2" t="n">
        <v>50</v>
      </c>
      <c r="I1317" s="2" t="inlineStr"/>
      <c r="J1317" s="2" t="inlineStr">
        <is>
          <t>да</t>
        </is>
      </c>
      <c r="K1317" s="3" t="inlineStr">
        <is>
          <t>Фантазия о том, что Космос хранит образы прошлого.</t>
        </is>
      </c>
      <c r="L1317" s="2" t="inlineStr">
        <is>
          <t>2026-10_мультфильмы_список_владельца.xlsx; https://animator.ru/db/?p=show_film&amp;fid=2712</t>
        </is>
      </c>
      <c r="M1317" s="2">
        <f>HYPERLINK("https://ru.wikipedia.org/w/index.php?search=%D0%97%D0%B5%D1%80%D0%BA%D0%B0%D0%BB%D0%BE%20%D0%B2%D1%80%D0%B5%D0%BC%D0%B5%D0%BD%D0%B8%201976%20%D1%84%D0%B8%D0%BB%D1%8C%D0%BC","искать")</f>
        <v/>
      </c>
      <c r="N1317" s="3" t="n"/>
      <c r="O1317" s="2" t="n"/>
      <c r="P1317" s="2" t="n"/>
    </row>
    <row r="1318">
      <c r="A1318" s="2" t="n">
        <v>1317</v>
      </c>
      <c r="B1318" s="2" t="inlineStr">
        <is>
          <t>не сюжет</t>
        </is>
      </c>
      <c r="C1318" s="2" t="n">
        <v>11958</v>
      </c>
      <c r="D1318" s="3" t="inlineStr">
        <is>
          <t>Говорящие руки траванкора</t>
        </is>
      </c>
      <c r="E1318" s="2" t="n">
        <v>1981</v>
      </c>
      <c r="F1318" s="2" t="inlineStr">
        <is>
          <t>мультфильм</t>
        </is>
      </c>
      <c r="G1318" s="2" t="inlineStr">
        <is>
          <t>Союзмультфильм</t>
        </is>
      </c>
      <c r="H1318" s="2" t="n">
        <v>50</v>
      </c>
      <c r="I1318" s="2" t="inlineStr"/>
      <c r="J1318" s="2" t="inlineStr">
        <is>
          <t>да</t>
        </is>
      </c>
      <c r="K1318" s="3" t="inlineStr">
        <is>
          <t>О древнеиндийских танцах - искусстве говорящих рук</t>
        </is>
      </c>
      <c r="L1318" s="2" t="inlineStr">
        <is>
          <t>https://animator.ru/db/?p=show_film&amp;fid=2874</t>
        </is>
      </c>
      <c r="M1318" s="2">
        <f>HYPERLINK("https://ru.wikipedia.org/w/index.php?search=%D0%93%D0%BE%D0%B2%D0%BE%D1%80%D1%8F%D1%89%D0%B8%D0%B5%20%D1%80%D1%83%D0%BA%D0%B8%20%D1%82%D1%80%D0%B0%D0%B2%D0%B0%D0%BD%D0%BA%D0%BE%D1%80%D0%B0%201981%20%D1%84%D0%B8%D0%BB%D1%8C%D0%BC","искать")</f>
        <v/>
      </c>
      <c r="N1318" s="3" t="n"/>
      <c r="O1318" s="2" t="n"/>
      <c r="P1318" s="2" t="n"/>
    </row>
    <row r="1319">
      <c r="A1319" s="2" t="n">
        <v>1318</v>
      </c>
      <c r="B1319" s="2" t="inlineStr">
        <is>
          <t>не сюжет</t>
        </is>
      </c>
      <c r="C1319" s="2" t="n">
        <v>12063</v>
      </c>
      <c r="D1319" s="3" t="inlineStr">
        <is>
          <t>Хвастливый мышонок</t>
        </is>
      </c>
      <c r="E1319" s="2" t="n">
        <v>1983</v>
      </c>
      <c r="F1319" s="2" t="inlineStr">
        <is>
          <t>мультфильм</t>
        </is>
      </c>
      <c r="G1319" s="2" t="inlineStr">
        <is>
          <t>Союзмультфильм</t>
        </is>
      </c>
      <c r="H1319" s="2" t="n">
        <v>50</v>
      </c>
      <c r="I1319" s="2" t="inlineStr"/>
      <c r="J1319" s="2" t="inlineStr">
        <is>
          <t>да</t>
        </is>
      </c>
      <c r="K1319" s="3" t="inlineStr">
        <is>
          <t>Кукольный мультфильм по мотивам хантыйской сказки.</t>
        </is>
      </c>
      <c r="L1319" s="2" t="inlineStr">
        <is>
          <t>2026-10_мультфильмы_список_владельца.xlsx; https://animator.ru/db/?p=show_film&amp;fid=3178</t>
        </is>
      </c>
      <c r="M1319" s="2">
        <f>HYPERLINK("https://ru.wikipedia.org/w/index.php?search=%D0%A5%D0%B2%D0%B0%D1%81%D1%82%D0%BB%D0%B8%D0%B2%D1%8B%D0%B9%20%D0%BC%D1%8B%D1%88%D0%BE%D0%BD%D0%BE%D0%BA%201983%20%D1%84%D0%B8%D0%BB%D1%8C%D0%BC","искать")</f>
        <v/>
      </c>
      <c r="N1319" s="3" t="n"/>
      <c r="O1319" s="2" t="n"/>
      <c r="P1319" s="2" t="n"/>
    </row>
    <row r="1320">
      <c r="A1320" s="2" t="n">
        <v>1319</v>
      </c>
      <c r="B1320" s="2" t="inlineStr">
        <is>
          <t>не сюжет</t>
        </is>
      </c>
      <c r="C1320" s="2" t="n">
        <v>12413</v>
      </c>
      <c r="D1320" s="3" t="inlineStr">
        <is>
          <t>Как несли стол</t>
        </is>
      </c>
      <c r="E1320" s="2" t="n">
        <v>1979</v>
      </c>
      <c r="F1320" s="2" t="inlineStr">
        <is>
          <t>мультфильм</t>
        </is>
      </c>
      <c r="G1320" s="2" t="inlineStr">
        <is>
          <t>КИЕВНАУЧФИЛЬМ</t>
        </is>
      </c>
      <c r="H1320" s="2" t="n">
        <v>50</v>
      </c>
      <c r="I1320" s="2" t="inlineStr"/>
      <c r="J1320" s="2" t="inlineStr">
        <is>
          <t>да</t>
        </is>
      </c>
      <c r="K1320" s="3" t="inlineStr">
        <is>
          <t>По мотивам стихотворения Бориса Заходера "Муравей"</t>
        </is>
      </c>
      <c r="L1320" s="2" t="inlineStr">
        <is>
          <t>https://animator.ru/db/?p=show_film&amp;fid=3584</t>
        </is>
      </c>
      <c r="M1320" s="2">
        <f>HYPERLINK("https://ru.wikipedia.org/w/index.php?search=%D0%9A%D0%B0%D0%BA%20%D0%BD%D0%B5%D1%81%D0%BB%D0%B8%20%D1%81%D1%82%D0%BE%D0%BB%201979%20%D1%84%D0%B8%D0%BB%D1%8C%D0%BC","искать")</f>
        <v/>
      </c>
      <c r="N1320" s="3" t="n"/>
      <c r="O1320" s="2" t="n"/>
      <c r="P1320" s="2" t="n"/>
    </row>
    <row r="1321">
      <c r="A1321" s="2" t="n">
        <v>1320</v>
      </c>
      <c r="B1321" s="2" t="inlineStr">
        <is>
          <t>не сюжет</t>
        </is>
      </c>
      <c r="C1321" s="2" t="n">
        <v>13087</v>
      </c>
      <c r="D1321" s="3" t="inlineStr">
        <is>
          <t>Считалки в картинках</t>
        </is>
      </c>
      <c r="E1321" s="2" t="n">
        <v>1988</v>
      </c>
      <c r="F1321" s="2" t="inlineStr">
        <is>
          <t>мультфильм</t>
        </is>
      </c>
      <c r="G1321" s="2" t="inlineStr">
        <is>
          <t>ГОСТЕЛЕРАДИО ЛАТВ. ССР ("ТЕЛЕФИЛЬМ-РИГА")</t>
        </is>
      </c>
      <c r="H1321" s="2" t="n">
        <v>50</v>
      </c>
      <c r="I1321" s="2" t="inlineStr"/>
      <c r="J1321" s="2" t="inlineStr">
        <is>
          <t>да</t>
        </is>
      </c>
      <c r="K1321" s="3" t="inlineStr">
        <is>
          <t>МКФ "Крок-1990" - спецприз журнала "Фильм - детям"</t>
        </is>
      </c>
      <c r="L1321" s="2" t="inlineStr">
        <is>
          <t>https://animator.ru/db/?p=show_film&amp;fid=4319</t>
        </is>
      </c>
      <c r="M1321" s="2">
        <f>HYPERLINK("https://ru.wikipedia.org/w/index.php?search=%D0%A1%D1%87%D0%B8%D1%82%D0%B0%D0%BB%D0%BA%D0%B8%20%D0%B2%20%D0%BA%D0%B0%D1%80%D1%82%D0%B8%D0%BD%D0%BA%D0%B0%D1%85%201988%20%D1%84%D0%B8%D0%BB%D1%8C%D0%BC","искать")</f>
        <v/>
      </c>
      <c r="N1321" s="3" t="n"/>
      <c r="O1321" s="2" t="n"/>
      <c r="P1321" s="2" t="n"/>
    </row>
    <row r="1322">
      <c r="A1322" s="2" t="n">
        <v>1321</v>
      </c>
      <c r="B1322" s="2" t="inlineStr">
        <is>
          <t>не сюжет</t>
        </is>
      </c>
      <c r="C1322" s="2" t="n">
        <v>13128</v>
      </c>
      <c r="D1322" s="3" t="inlineStr">
        <is>
          <t>Дождь</t>
        </is>
      </c>
      <c r="E1322" s="2" t="n">
        <v>1989</v>
      </c>
      <c r="F1322" s="2" t="inlineStr">
        <is>
          <t>мультфильм</t>
        </is>
      </c>
      <c r="G1322" s="2" t="inlineStr">
        <is>
          <t>МОЛДОВА-ФИЛЬМ</t>
        </is>
      </c>
      <c r="H1322" s="2" t="n">
        <v>50</v>
      </c>
      <c r="I1322" s="2" t="inlineStr"/>
      <c r="J1322" s="2" t="inlineStr">
        <is>
          <t>да</t>
        </is>
      </c>
      <c r="K1322" s="3" t="inlineStr">
        <is>
          <t>О людской неблагодарности и о людском благородстве</t>
        </is>
      </c>
      <c r="L1322" s="2" t="inlineStr">
        <is>
          <t>https://animator.ru/db/?p=show_film&amp;fid=4360</t>
        </is>
      </c>
      <c r="M1322" s="2">
        <f>HYPERLINK("https://ru.wikipedia.org/w/index.php?search=%D0%94%D0%BE%D0%B6%D0%B4%D1%8C%201989%20%D1%84%D0%B8%D0%BB%D1%8C%D0%BC","искать")</f>
        <v/>
      </c>
      <c r="N1322" s="3" t="n"/>
      <c r="O1322" s="2" t="n"/>
      <c r="P1322" s="2" t="n"/>
    </row>
    <row r="1323">
      <c r="A1323" s="2" t="n">
        <v>1322</v>
      </c>
      <c r="B1323" s="2" t="inlineStr">
        <is>
          <t>не сюжет</t>
        </is>
      </c>
      <c r="C1323" s="2" t="n">
        <v>13622</v>
      </c>
      <c r="D1323" s="3" t="inlineStr">
        <is>
          <t>Баскетбол</t>
        </is>
      </c>
      <c r="E1323" s="2" t="n">
        <v>1980</v>
      </c>
      <c r="F1323" s="2" t="inlineStr">
        <is>
          <t>мультфильм</t>
        </is>
      </c>
      <c r="G1323" s="2" t="inlineStr">
        <is>
          <t>ЭКРАН</t>
        </is>
      </c>
      <c r="H1323" s="2" t="n">
        <v>50</v>
      </c>
      <c r="I1323" s="2" t="inlineStr"/>
      <c r="J1323" s="2" t="inlineStr">
        <is>
          <t>да</t>
        </is>
      </c>
      <c r="K1323" s="3" t="inlineStr">
        <is>
          <t>Из серии микрофильмов о видах спорта к Олимпиаде80</t>
        </is>
      </c>
      <c r="L1323" s="2" t="inlineStr">
        <is>
          <t>https://animator.ru/db/?p=show_film&amp;fid=5014</t>
        </is>
      </c>
      <c r="M1323" s="2">
        <f>HYPERLINK("https://ru.wikipedia.org/w/index.php?search=%D0%91%D0%B0%D1%81%D0%BA%D0%B5%D1%82%D0%B1%D0%BE%D0%BB%201980%20%D1%84%D0%B8%D0%BB%D1%8C%D0%BC","искать")</f>
        <v/>
      </c>
      <c r="N1323" s="3" t="n"/>
      <c r="O1323" s="2" t="n"/>
      <c r="P1323" s="2" t="n"/>
    </row>
    <row r="1324">
      <c r="A1324" s="2" t="n">
        <v>1323</v>
      </c>
      <c r="B1324" s="2" t="inlineStr">
        <is>
          <t>не сюжет</t>
        </is>
      </c>
      <c r="C1324" s="2" t="n">
        <v>13632</v>
      </c>
      <c r="D1324" s="3" t="inlineStr">
        <is>
          <t>Бокс</t>
        </is>
      </c>
      <c r="E1324" s="2" t="n">
        <v>1980</v>
      </c>
      <c r="F1324" s="2" t="inlineStr">
        <is>
          <t>мультфильм</t>
        </is>
      </c>
      <c r="G1324" s="2" t="inlineStr">
        <is>
          <t>ЭКРАН</t>
        </is>
      </c>
      <c r="H1324" s="2" t="n">
        <v>50</v>
      </c>
      <c r="I1324" s="2" t="inlineStr"/>
      <c r="J1324" s="2" t="inlineStr">
        <is>
          <t>да</t>
        </is>
      </c>
      <c r="K1324" s="3" t="inlineStr">
        <is>
          <t>Из серии микрофильмов о видах спорта к Олимпиаде80</t>
        </is>
      </c>
      <c r="L1324" s="2" t="inlineStr">
        <is>
          <t>https://animator.ru/db/?p=show_film&amp;fid=5024</t>
        </is>
      </c>
      <c r="M1324" s="2">
        <f>HYPERLINK("https://ru.wikipedia.org/w/index.php?search=%D0%91%D0%BE%D0%BA%D1%81%201980%20%D1%84%D0%B8%D0%BB%D1%8C%D0%BC","искать")</f>
        <v/>
      </c>
      <c r="N1324" s="3" t="n"/>
      <c r="O1324" s="2" t="n"/>
      <c r="P1324" s="2" t="n"/>
    </row>
    <row r="1325">
      <c r="A1325" s="2" t="n">
        <v>1324</v>
      </c>
      <c r="B1325" s="2" t="inlineStr">
        <is>
          <t>не сюжет</t>
        </is>
      </c>
      <c r="C1325" s="2" t="n">
        <v>13650</v>
      </c>
      <c r="D1325" s="3" t="inlineStr">
        <is>
          <t>Велоспорт</t>
        </is>
      </c>
      <c r="E1325" s="2" t="n">
        <v>1980</v>
      </c>
      <c r="F1325" s="2" t="inlineStr">
        <is>
          <t>мультфильм</t>
        </is>
      </c>
      <c r="G1325" s="2" t="inlineStr">
        <is>
          <t>ЭКРАН</t>
        </is>
      </c>
      <c r="H1325" s="2" t="n">
        <v>50</v>
      </c>
      <c r="I1325" s="2" t="inlineStr"/>
      <c r="J1325" s="2" t="inlineStr">
        <is>
          <t>да</t>
        </is>
      </c>
      <c r="K1325" s="3" t="inlineStr">
        <is>
          <t>Из серии микрофильмов о видах спорта к Олимпиаде80</t>
        </is>
      </c>
      <c r="L1325" s="2" t="inlineStr">
        <is>
          <t>https://animator.ru/db/?p=show_film&amp;fid=5042</t>
        </is>
      </c>
      <c r="M1325" s="2">
        <f>HYPERLINK("https://ru.wikipedia.org/w/index.php?search=%D0%92%D0%B5%D0%BB%D0%BE%D1%81%D0%BF%D0%BE%D1%80%D1%82%201980%20%D1%84%D0%B8%D0%BB%D1%8C%D0%BC","искать")</f>
        <v/>
      </c>
      <c r="N1325" s="3" t="n"/>
      <c r="O1325" s="2" t="n"/>
      <c r="P1325" s="2" t="n"/>
    </row>
    <row r="1326">
      <c r="A1326" s="2" t="n">
        <v>1325</v>
      </c>
      <c r="B1326" s="2" t="inlineStr">
        <is>
          <t>не сюжет</t>
        </is>
      </c>
      <c r="C1326" s="2" t="n">
        <v>13656</v>
      </c>
      <c r="D1326" s="3" t="inlineStr">
        <is>
          <t>Водное поло</t>
        </is>
      </c>
      <c r="E1326" s="2" t="n">
        <v>1980</v>
      </c>
      <c r="F1326" s="2" t="inlineStr">
        <is>
          <t>мультфильм</t>
        </is>
      </c>
      <c r="G1326" s="2" t="inlineStr">
        <is>
          <t>ЭКРАН</t>
        </is>
      </c>
      <c r="H1326" s="2" t="n">
        <v>50</v>
      </c>
      <c r="I1326" s="2" t="inlineStr"/>
      <c r="J1326" s="2" t="inlineStr">
        <is>
          <t>да</t>
        </is>
      </c>
      <c r="K1326" s="3" t="inlineStr">
        <is>
          <t>Из серии микрофильмов о видах спорта к Олимпиаде80</t>
        </is>
      </c>
      <c r="L1326" s="2" t="inlineStr">
        <is>
          <t>https://animator.ru/db/?p=show_film&amp;fid=5048</t>
        </is>
      </c>
      <c r="M1326" s="2">
        <f>HYPERLINK("https://ru.wikipedia.org/w/index.php?search=%D0%92%D0%BE%D0%B4%D0%BD%D0%BE%D0%B5%20%D0%BF%D0%BE%D0%BB%D0%BE%201980%20%D1%84%D0%B8%D0%BB%D1%8C%D0%BC","искать")</f>
        <v/>
      </c>
      <c r="N1326" s="3" t="n"/>
      <c r="O1326" s="2" t="n"/>
      <c r="P1326" s="2" t="n"/>
    </row>
    <row r="1327">
      <c r="A1327" s="2" t="n">
        <v>1326</v>
      </c>
      <c r="B1327" s="2" t="inlineStr">
        <is>
          <t>не сюжет</t>
        </is>
      </c>
      <c r="C1327" s="2" t="n">
        <v>13706</v>
      </c>
      <c r="D1327" s="3" t="inlineStr">
        <is>
          <t>Игра</t>
        </is>
      </c>
      <c r="E1327" s="2" t="n">
        <v>1988</v>
      </c>
      <c r="F1327" s="2" t="inlineStr">
        <is>
          <t>мультфильм</t>
        </is>
      </c>
      <c r="G1327" s="2" t="inlineStr">
        <is>
          <t>ЭКРАН</t>
        </is>
      </c>
      <c r="H1327" s="2" t="n">
        <v>50</v>
      </c>
      <c r="I1327" s="2" t="inlineStr"/>
      <c r="J1327" s="2" t="inlineStr">
        <is>
          <t>да</t>
        </is>
      </c>
      <c r="K1327" s="3" t="inlineStr">
        <is>
          <t>Плакат о борьбе против браконьерства. Для взрослых</t>
        </is>
      </c>
      <c r="L1327" s="2" t="inlineStr">
        <is>
          <t>https://animator.ru/db/?p=show_film&amp;fid=5099</t>
        </is>
      </c>
      <c r="M1327" s="2">
        <f>HYPERLINK("https://ru.wikipedia.org/w/index.php?search=%D0%98%D0%B3%D1%80%D0%B0%201988%20%D1%84%D0%B8%D0%BB%D1%8C%D0%BC","искать")</f>
        <v/>
      </c>
      <c r="N1327" s="3" t="n"/>
      <c r="O1327" s="2" t="n"/>
      <c r="P1327" s="2" t="n"/>
    </row>
    <row r="1328">
      <c r="A1328" s="2" t="n">
        <v>1327</v>
      </c>
      <c r="B1328" s="2" t="inlineStr">
        <is>
          <t>не сюжет</t>
        </is>
      </c>
      <c r="C1328" s="2" t="n">
        <v>13719</v>
      </c>
      <c r="D1328" s="3" t="inlineStr">
        <is>
          <t>Классическая борьба</t>
        </is>
      </c>
      <c r="E1328" s="2" t="n">
        <v>1980</v>
      </c>
      <c r="F1328" s="2" t="inlineStr">
        <is>
          <t>мультфильм</t>
        </is>
      </c>
      <c r="G1328" s="2" t="inlineStr">
        <is>
          <t>ЭКРАН</t>
        </is>
      </c>
      <c r="H1328" s="2" t="n">
        <v>50</v>
      </c>
      <c r="I1328" s="2" t="inlineStr"/>
      <c r="J1328" s="2" t="inlineStr">
        <is>
          <t>да</t>
        </is>
      </c>
      <c r="K1328" s="3" t="inlineStr">
        <is>
          <t>Из серии микрофильмов о видах спорта к Олимпиаде80</t>
        </is>
      </c>
      <c r="L1328" s="2" t="inlineStr">
        <is>
          <t>https://animator.ru/db/?p=show_film&amp;fid=5112</t>
        </is>
      </c>
      <c r="M1328" s="2">
        <f>HYPERLINK("https://ru.wikipedia.org/w/index.php?search=%D0%9A%D0%BB%D0%B0%D1%81%D1%81%D0%B8%D1%87%D0%B5%D1%81%D0%BA%D0%B0%D1%8F%20%D0%B1%D0%BE%D1%80%D1%8C%D0%B1%D0%B0%201980%20%D1%84%D0%B8%D0%BB%D1%8C%D0%BC","искать")</f>
        <v/>
      </c>
      <c r="N1328" s="3" t="n"/>
      <c r="O1328" s="2" t="n"/>
      <c r="P1328" s="2" t="n"/>
    </row>
    <row r="1329">
      <c r="A1329" s="2" t="n">
        <v>1328</v>
      </c>
      <c r="B1329" s="2" t="inlineStr">
        <is>
          <t>не сюжет</t>
        </is>
      </c>
      <c r="C1329" s="2" t="n">
        <v>13733</v>
      </c>
      <c r="D1329" s="3" t="inlineStr">
        <is>
          <t>День рождения кота Леопольда</t>
        </is>
      </c>
      <c r="E1329" s="2" t="n">
        <v>1982</v>
      </c>
      <c r="F1329" s="2" t="inlineStr">
        <is>
          <t>мультфильм</t>
        </is>
      </c>
      <c r="G1329" s="2" t="inlineStr">
        <is>
          <t>ЭКРАН</t>
        </is>
      </c>
      <c r="H1329" s="2" t="n">
        <v>50</v>
      </c>
      <c r="I1329" s="2" t="inlineStr"/>
      <c r="J1329" s="2" t="inlineStr">
        <is>
          <t>да</t>
        </is>
      </c>
      <c r="K1329" s="3" t="inlineStr">
        <is>
          <t>Про кота Леопольда. "Ребята, давайте жить дружно!"</t>
        </is>
      </c>
      <c r="L1329" s="2" t="inlineStr">
        <is>
          <t>2026-10_мультфильмы_список_владельца.xlsx; https://animator.ru/db/?p=show_film&amp;fid=5126</t>
        </is>
      </c>
      <c r="M1329" s="2">
        <f>HYPERLINK("https://ru.wikipedia.org/w/index.php?search=%D0%94%D0%B5%D0%BD%D1%8C%20%D1%80%D0%BE%D0%B6%D0%B4%D0%B5%D0%BD%D0%B8%D1%8F%20%D0%BA%D0%BE%D1%82%D0%B0%20%D0%9B%D0%B5%D0%BE%D0%BF%D0%BE%D0%BB%D1%8C%D0%B4%D0%B0%201982%20%D1%84%D0%B8%D0%BB%D1%8C%D0%BC","искать")</f>
        <v/>
      </c>
      <c r="N1329" s="3" t="n"/>
      <c r="O1329" s="2" t="n"/>
      <c r="P1329" s="2" t="n"/>
    </row>
    <row r="1330">
      <c r="A1330" s="2" t="n">
        <v>1329</v>
      </c>
      <c r="B1330" s="2" t="inlineStr">
        <is>
          <t>не сюжет</t>
        </is>
      </c>
      <c r="C1330" s="2" t="n">
        <v>13735</v>
      </c>
      <c r="D1330" s="3" t="inlineStr">
        <is>
          <t>Кот Леопольд во сне и наяву</t>
        </is>
      </c>
      <c r="E1330" s="2" t="n">
        <v>1984</v>
      </c>
      <c r="F1330" s="2" t="inlineStr">
        <is>
          <t>мультфильм</t>
        </is>
      </c>
      <c r="G1330" s="2" t="inlineStr">
        <is>
          <t>ЭКРАН</t>
        </is>
      </c>
      <c r="H1330" s="2" t="n">
        <v>50</v>
      </c>
      <c r="I1330" s="2" t="inlineStr"/>
      <c r="J1330" s="2" t="inlineStr">
        <is>
          <t>да</t>
        </is>
      </c>
      <c r="K1330" s="3" t="inlineStr">
        <is>
          <t>Про кота Леопольда. "Ребята, давайте жить дружно!"</t>
        </is>
      </c>
      <c r="L1330" s="2" t="inlineStr">
        <is>
          <t>2026-10_мультфильмы_список_владельца.xlsx; https://animator.ru/db/?p=show_film&amp;fid=5128</t>
        </is>
      </c>
      <c r="M1330" s="2">
        <f>HYPERLINK("https://ru.wikipedia.org/w/index.php?search=%D0%9A%D0%BE%D1%82%20%D0%9B%D0%B5%D0%BE%D0%BF%D0%BE%D0%BB%D1%8C%D0%B4%20%D0%B2%D0%BE%20%D1%81%D0%BD%D0%B5%20%D0%B8%20%D0%BD%D0%B0%D1%8F%D0%B2%D1%83%201984%20%D1%84%D0%B8%D0%BB%D1%8C%D0%BC","искать")</f>
        <v/>
      </c>
      <c r="N1330" s="3" t="n"/>
      <c r="O1330" s="2" t="n"/>
      <c r="P1330" s="2" t="n"/>
    </row>
    <row r="1331">
      <c r="A1331" s="2" t="n">
        <v>1330</v>
      </c>
      <c r="B1331" s="2" t="inlineStr">
        <is>
          <t>не сюжет</t>
        </is>
      </c>
      <c r="C1331" s="2" t="n">
        <v>13736</v>
      </c>
      <c r="D1331" s="3" t="inlineStr">
        <is>
          <t>Леопольд и золотая рыбка</t>
        </is>
      </c>
      <c r="E1331" s="2" t="n">
        <v>1975</v>
      </c>
      <c r="F1331" s="2" t="inlineStr">
        <is>
          <t>мультфильм</t>
        </is>
      </c>
      <c r="G1331" s="2" t="inlineStr">
        <is>
          <t>ЭКРАН</t>
        </is>
      </c>
      <c r="H1331" s="2" t="n">
        <v>50</v>
      </c>
      <c r="I1331" s="2" t="inlineStr"/>
      <c r="J1331" s="2" t="inlineStr">
        <is>
          <t>да</t>
        </is>
      </c>
      <c r="K1331" s="3" t="inlineStr">
        <is>
          <t>Про кота Леопольда. "Ребята, давайте жить дружно!"</t>
        </is>
      </c>
      <c r="L1331" s="2" t="inlineStr">
        <is>
          <t>2026-10_мультфильмы_список_владельца.xlsx; https://animator.ru/db/?p=show_film&amp;fid=5129</t>
        </is>
      </c>
      <c r="M1331" s="2">
        <f>HYPERLINK("https://ru.wikipedia.org/w/index.php?search=%D0%9B%D0%B5%D0%BE%D0%BF%D0%BE%D0%BB%D1%8C%D0%B4%20%D0%B8%20%D0%B7%D0%BE%D0%BB%D0%BE%D1%82%D0%B0%D1%8F%20%D1%80%D1%8B%D0%B1%D0%BA%D0%B0%201975%20%D1%84%D0%B8%D0%BB%D1%8C%D0%BC","искать")</f>
        <v/>
      </c>
      <c r="N1331" s="3" t="n"/>
      <c r="O1331" s="2" t="n"/>
      <c r="P1331" s="2" t="n"/>
    </row>
    <row r="1332">
      <c r="A1332" s="2" t="n">
        <v>1331</v>
      </c>
      <c r="B1332" s="2" t="inlineStr">
        <is>
          <t>не сюжет</t>
        </is>
      </c>
      <c r="C1332" s="2" t="n">
        <v>13738</v>
      </c>
      <c r="D1332" s="3" t="inlineStr">
        <is>
          <t>Поликлиника кота Леопольда</t>
        </is>
      </c>
      <c r="E1332" s="2" t="n">
        <v>1986</v>
      </c>
      <c r="F1332" s="2" t="inlineStr">
        <is>
          <t>мультфильм</t>
        </is>
      </c>
      <c r="G1332" s="2" t="inlineStr">
        <is>
          <t>ЭКРАН</t>
        </is>
      </c>
      <c r="H1332" s="2" t="n">
        <v>50</v>
      </c>
      <c r="I1332" s="2" t="inlineStr"/>
      <c r="J1332" s="2" t="inlineStr">
        <is>
          <t>да</t>
        </is>
      </c>
      <c r="K1332" s="3" t="inlineStr">
        <is>
          <t>Про кота Леопольда. "Ребята, давайте жить дружно!"</t>
        </is>
      </c>
      <c r="L1332" s="2" t="inlineStr">
        <is>
          <t>2026-10_мультфильмы_список_владельца.xlsx; https://animator.ru/db/?p=show_film&amp;fid=5131</t>
        </is>
      </c>
      <c r="M1332" s="2">
        <f>HYPERLINK("https://ru.wikipedia.org/w/index.php?search=%D0%9F%D0%BE%D0%BB%D0%B8%D0%BA%D0%BB%D0%B8%D0%BD%D0%B8%D0%BA%D0%B0%20%D0%BA%D0%BE%D1%82%D0%B0%20%D0%9B%D0%B5%D0%BE%D0%BF%D0%BE%D0%BB%D1%8C%D0%B4%D0%B0%201986%20%D1%84%D0%B8%D0%BB%D1%8C%D0%BC","искать")</f>
        <v/>
      </c>
      <c r="N1332" s="3" t="n"/>
      <c r="O1332" s="2" t="n"/>
      <c r="P1332" s="2" t="n"/>
    </row>
    <row r="1333">
      <c r="A1333" s="2" t="n">
        <v>1332</v>
      </c>
      <c r="B1333" s="2" t="inlineStr">
        <is>
          <t>не сюжет</t>
        </is>
      </c>
      <c r="C1333" s="2" t="n">
        <v>13818</v>
      </c>
      <c r="D1333" s="3" t="inlineStr">
        <is>
          <t>Парусный спорт</t>
        </is>
      </c>
      <c r="E1333" s="2" t="n">
        <v>1980</v>
      </c>
      <c r="F1333" s="2" t="inlineStr">
        <is>
          <t>мультфильм</t>
        </is>
      </c>
      <c r="G1333" s="2" t="inlineStr">
        <is>
          <t>ЭКРАН</t>
        </is>
      </c>
      <c r="H1333" s="2" t="n">
        <v>50</v>
      </c>
      <c r="I1333" s="2" t="inlineStr"/>
      <c r="J1333" s="2" t="inlineStr">
        <is>
          <t>да</t>
        </is>
      </c>
      <c r="K1333" s="3" t="inlineStr">
        <is>
          <t>Из цикла микрофильмов о видах спорта к Олимпиаде80</t>
        </is>
      </c>
      <c r="L1333" s="2" t="inlineStr">
        <is>
          <t>https://animator.ru/db/?p=show_film&amp;fid=5211</t>
        </is>
      </c>
      <c r="M1333" s="2">
        <f>HYPERLINK("https://ru.wikipedia.org/w/index.php?search=%D0%9F%D0%B0%D1%80%D1%83%D1%81%D0%BD%D1%8B%D0%B9%20%D1%81%D0%BF%D0%BE%D1%80%D1%82%201980%20%D1%84%D0%B8%D0%BB%D1%8C%D0%BC","искать")</f>
        <v/>
      </c>
      <c r="N1333" s="3" t="n"/>
      <c r="O1333" s="2" t="n"/>
      <c r="P1333" s="2" t="n"/>
    </row>
    <row r="1334">
      <c r="A1334" s="2" t="n">
        <v>1333</v>
      </c>
      <c r="B1334" s="2" t="inlineStr">
        <is>
          <t>не сюжет</t>
        </is>
      </c>
      <c r="C1334" s="2" t="n">
        <v>13825</v>
      </c>
      <c r="D1334" s="3" t="inlineStr">
        <is>
          <t>Олимпиада-80. Плавание</t>
        </is>
      </c>
      <c r="E1334" s="2" t="n">
        <v>1980</v>
      </c>
      <c r="F1334" s="2" t="inlineStr">
        <is>
          <t>мультфильм</t>
        </is>
      </c>
      <c r="G1334" s="2" t="inlineStr">
        <is>
          <t>ЭКРАН</t>
        </is>
      </c>
      <c r="H1334" s="2" t="n">
        <v>50</v>
      </c>
      <c r="I1334" s="2" t="inlineStr"/>
      <c r="J1334" s="2" t="inlineStr">
        <is>
          <t>да</t>
        </is>
      </c>
      <c r="K1334" s="3" t="inlineStr">
        <is>
          <t>Из цикла микрофильмов о видах спорта к Олимпиаде80</t>
        </is>
      </c>
      <c r="L1334" s="2" t="inlineStr">
        <is>
          <t>https://animator.ru/db/?p=show_film&amp;fid=5218</t>
        </is>
      </c>
      <c r="M1334" s="2">
        <f>HYPERLINK("https://ru.wikipedia.org/w/index.php?search=%D0%9E%D0%BB%D0%B8%D0%BC%D0%BF%D0%B8%D0%B0%D0%B4%D0%B0-80.%20%D0%9F%D0%BB%D0%B0%D0%B2%D0%B0%D0%BD%D0%B8%D0%B5%201980%20%D1%84%D0%B8%D0%BB%D1%8C%D0%BC","искать")</f>
        <v/>
      </c>
      <c r="N1334" s="3" t="n"/>
      <c r="O1334" s="2" t="n"/>
      <c r="P1334" s="2" t="n"/>
    </row>
    <row r="1335">
      <c r="A1335" s="2" t="n">
        <v>1334</v>
      </c>
      <c r="B1335" s="2" t="inlineStr">
        <is>
          <t>не сюжет</t>
        </is>
      </c>
      <c r="C1335" s="2" t="n">
        <v>13835</v>
      </c>
      <c r="D1335" s="3" t="inlineStr">
        <is>
          <t>Помощники Гефеста</t>
        </is>
      </c>
      <c r="E1335" s="2" t="n">
        <v>1987</v>
      </c>
      <c r="F1335" s="2" t="inlineStr">
        <is>
          <t>мультфильм</t>
        </is>
      </c>
      <c r="G1335" s="2" t="inlineStr">
        <is>
          <t>ЭКРАН</t>
        </is>
      </c>
      <c r="H1335" s="2" t="n">
        <v>50</v>
      </c>
      <c r="I1335" s="2" t="inlineStr"/>
      <c r="J1335" s="2" t="inlineStr">
        <is>
          <t>да</t>
        </is>
      </c>
      <c r="K1335" s="3" t="inlineStr">
        <is>
          <t>Познавательный фильм о свойствах железа. Для детей</t>
        </is>
      </c>
      <c r="L1335" s="2" t="inlineStr">
        <is>
          <t>https://animator.ru/db/?p=show_film&amp;fid=5228</t>
        </is>
      </c>
      <c r="M1335" s="2">
        <f>HYPERLINK("https://ru.wikipedia.org/w/index.php?search=%D0%9F%D0%BE%D0%BC%D0%BE%D1%89%D0%BD%D0%B8%D0%BA%D0%B8%20%D0%93%D0%B5%D1%84%D0%B5%D1%81%D1%82%D0%B0%201987%20%D1%84%D0%B8%D0%BB%D1%8C%D0%BC","искать")</f>
        <v/>
      </c>
      <c r="N1335" s="3" t="n"/>
      <c r="O1335" s="2" t="n"/>
      <c r="P1335" s="2" t="n"/>
    </row>
    <row r="1336">
      <c r="A1336" s="2" t="n">
        <v>1335</v>
      </c>
      <c r="B1336" s="2" t="inlineStr">
        <is>
          <t>не сюжет</t>
        </is>
      </c>
      <c r="C1336" s="2" t="n">
        <v>13863</v>
      </c>
      <c r="D1336" s="3" t="inlineStr">
        <is>
          <t>Прыжки в воду</t>
        </is>
      </c>
      <c r="E1336" s="2" t="n">
        <v>1980</v>
      </c>
      <c r="F1336" s="2" t="inlineStr">
        <is>
          <t>мультфильм</t>
        </is>
      </c>
      <c r="G1336" s="2" t="inlineStr">
        <is>
          <t>ЭКРАН</t>
        </is>
      </c>
      <c r="H1336" s="2" t="n">
        <v>50</v>
      </c>
      <c r="I1336" s="2" t="inlineStr"/>
      <c r="J1336" s="2" t="inlineStr">
        <is>
          <t>да</t>
        </is>
      </c>
      <c r="K1336" s="3" t="inlineStr">
        <is>
          <t>Из серии микрофильмов о видах спорта к Олимпиаде80</t>
        </is>
      </c>
      <c r="L1336" s="2" t="inlineStr">
        <is>
          <t>https://animator.ru/db/?p=show_film&amp;fid=5256</t>
        </is>
      </c>
      <c r="M1336" s="2">
        <f>HYPERLINK("https://ru.wikipedia.org/w/index.php?search=%D0%9F%D1%80%D1%8B%D0%B6%D0%BA%D0%B8%20%D0%B2%20%D0%B2%D0%BE%D0%B4%D1%83%201980%20%D1%84%D0%B8%D0%BB%D1%8C%D0%BC","искать")</f>
        <v/>
      </c>
      <c r="N1336" s="3" t="n"/>
      <c r="O1336" s="2" t="n"/>
      <c r="P1336" s="2" t="n"/>
    </row>
    <row r="1337">
      <c r="A1337" s="2" t="n">
        <v>1336</v>
      </c>
      <c r="B1337" s="2" t="inlineStr">
        <is>
          <t>не сюжет</t>
        </is>
      </c>
      <c r="C1337" s="2" t="n">
        <v>13905</v>
      </c>
      <c r="D1337" s="3" t="inlineStr">
        <is>
          <t>Олимпиада-80. Современное пятиборье</t>
        </is>
      </c>
      <c r="E1337" s="2" t="n">
        <v>1980</v>
      </c>
      <c r="F1337" s="2" t="inlineStr">
        <is>
          <t>мультфильм</t>
        </is>
      </c>
      <c r="G1337" s="2" t="inlineStr">
        <is>
          <t>ЭКРАН</t>
        </is>
      </c>
      <c r="H1337" s="2" t="n">
        <v>50</v>
      </c>
      <c r="I1337" s="2" t="inlineStr"/>
      <c r="J1337" s="2" t="inlineStr">
        <is>
          <t>да</t>
        </is>
      </c>
      <c r="K1337" s="3" t="inlineStr">
        <is>
          <t>Из цикла микрофильмов о видах спорта к Олимпиаде80</t>
        </is>
      </c>
      <c r="L1337" s="2" t="inlineStr">
        <is>
          <t>https://animator.ru/db/?p=show_film&amp;fid=5299</t>
        </is>
      </c>
      <c r="M1337" s="2">
        <f>HYPERLINK("https://ru.wikipedia.org/w/index.php?search=%D0%9E%D0%BB%D0%B8%D0%BC%D0%BF%D0%B8%D0%B0%D0%B4%D0%B0-80.%20%D0%A1%D0%BE%D0%B2%D1%80%D0%B5%D0%BC%D0%B5%D0%BD%D0%BD%D0%BE%D0%B5%20%D0%BF%D1%8F%D1%82%D0%B8%D0%B1%D0%BE%D1%80%D1%8C%D0%B5%201980%20%D1%84%D0%B8%D0%BB%D1%8C%D0%BC","искать")</f>
        <v/>
      </c>
      <c r="N1337" s="3" t="n"/>
      <c r="O1337" s="2" t="n"/>
      <c r="P1337" s="2" t="n"/>
    </row>
    <row r="1338">
      <c r="A1338" s="2" t="n">
        <v>1337</v>
      </c>
      <c r="B1338" s="2" t="inlineStr">
        <is>
          <t>не сюжет</t>
        </is>
      </c>
      <c r="C1338" s="2" t="n">
        <v>13916</v>
      </c>
      <c r="D1338" s="3" t="inlineStr">
        <is>
          <t>Олимпиада-80. Спортивная гимнастика</t>
        </is>
      </c>
      <c r="E1338" s="2" t="n">
        <v>1980</v>
      </c>
      <c r="F1338" s="2" t="inlineStr">
        <is>
          <t>мультфильм</t>
        </is>
      </c>
      <c r="G1338" s="2" t="inlineStr">
        <is>
          <t>ЭКРАН</t>
        </is>
      </c>
      <c r="H1338" s="2" t="n">
        <v>50</v>
      </c>
      <c r="I1338" s="2" t="inlineStr"/>
      <c r="J1338" s="2" t="inlineStr">
        <is>
          <t>да</t>
        </is>
      </c>
      <c r="K1338" s="3" t="inlineStr">
        <is>
          <t>Из цикла микрофильмов о видах спорта к Олимпиаде80</t>
        </is>
      </c>
      <c r="L1338" s="2" t="inlineStr">
        <is>
          <t>https://animator.ru/db/?p=show_film&amp;fid=5310</t>
        </is>
      </c>
      <c r="M1338" s="2">
        <f>HYPERLINK("https://ru.wikipedia.org/w/index.php?search=%D0%9E%D0%BB%D0%B8%D0%BC%D0%BF%D0%B8%D0%B0%D0%B4%D0%B0-80.%20%D0%A1%D0%BF%D0%BE%D1%80%D1%82%D0%B8%D0%B2%D0%BD%D0%B0%D1%8F%20%D0%B3%D0%B8%D0%BC%D0%BD%D0%B0%D1%81%D1%82%D0%B8%D0%BA%D0%B0%201980%20%D1%84%D0%B8%D0%BB%D1%8C%D0%BC","искать")</f>
        <v/>
      </c>
      <c r="N1338" s="3" t="n"/>
      <c r="O1338" s="2" t="n"/>
      <c r="P1338" s="2" t="n"/>
    </row>
    <row r="1339">
      <c r="A1339" s="2" t="n">
        <v>1338</v>
      </c>
      <c r="B1339" s="2" t="inlineStr">
        <is>
          <t>не сюжет</t>
        </is>
      </c>
      <c r="C1339" s="2" t="n">
        <v>13917</v>
      </c>
      <c r="D1339" s="3" t="inlineStr">
        <is>
          <t>Олимпиада-80. Спортивная ходьба</t>
        </is>
      </c>
      <c r="E1339" s="2" t="n">
        <v>1980</v>
      </c>
      <c r="F1339" s="2" t="inlineStr">
        <is>
          <t>мультфильм</t>
        </is>
      </c>
      <c r="G1339" s="2" t="inlineStr">
        <is>
          <t>ЭКРАН</t>
        </is>
      </c>
      <c r="H1339" s="2" t="n">
        <v>50</v>
      </c>
      <c r="I1339" s="2" t="inlineStr"/>
      <c r="J1339" s="2" t="inlineStr">
        <is>
          <t>да</t>
        </is>
      </c>
      <c r="K1339" s="3" t="inlineStr">
        <is>
          <t>Из цикла микрофильмов о видах спорта к Олимпиаде80</t>
        </is>
      </c>
      <c r="L1339" s="2" t="inlineStr">
        <is>
          <t>https://animator.ru/db/?p=show_film&amp;fid=5311</t>
        </is>
      </c>
      <c r="M1339" s="2">
        <f>HYPERLINK("https://ru.wikipedia.org/w/index.php?search=%D0%9E%D0%BB%D0%B8%D0%BC%D0%BF%D0%B8%D0%B0%D0%B4%D0%B0-80.%20%D0%A1%D0%BF%D0%BE%D1%80%D1%82%D0%B8%D0%B2%D0%BD%D0%B0%D1%8F%20%D1%85%D0%BE%D0%B4%D1%8C%D0%B1%D0%B0%201980%20%D1%84%D0%B8%D0%BB%D1%8C%D0%BC","искать")</f>
        <v/>
      </c>
      <c r="N1339" s="3" t="n"/>
      <c r="O1339" s="2" t="n"/>
      <c r="P1339" s="2" t="n"/>
    </row>
    <row r="1340">
      <c r="A1340" s="2" t="n">
        <v>1339</v>
      </c>
      <c r="B1340" s="2" t="inlineStr">
        <is>
          <t>не сюжет</t>
        </is>
      </c>
      <c r="C1340" s="2" t="n">
        <v>13918</v>
      </c>
      <c r="D1340" s="3" t="inlineStr">
        <is>
          <t>Стендовая стрельба</t>
        </is>
      </c>
      <c r="E1340" s="2" t="n">
        <v>1980</v>
      </c>
      <c r="F1340" s="2" t="inlineStr">
        <is>
          <t>мультфильм</t>
        </is>
      </c>
      <c r="G1340" s="2" t="inlineStr">
        <is>
          <t>ЭКРАН</t>
        </is>
      </c>
      <c r="H1340" s="2" t="n">
        <v>50</v>
      </c>
      <c r="I1340" s="2" t="inlineStr"/>
      <c r="J1340" s="2" t="inlineStr">
        <is>
          <t>да</t>
        </is>
      </c>
      <c r="K1340" s="3" t="inlineStr">
        <is>
          <t>Из цикла микрофильмов о видах спорта к Олимпиаде80</t>
        </is>
      </c>
      <c r="L1340" s="2" t="inlineStr">
        <is>
          <t>https://animator.ru/db/?p=show_film&amp;fid=5312</t>
        </is>
      </c>
      <c r="M1340" s="2">
        <f>HYPERLINK("https://ru.wikipedia.org/w/index.php?search=%D0%A1%D1%82%D0%B5%D0%BD%D0%B4%D0%BE%D0%B2%D0%B0%D1%8F%20%D1%81%D1%82%D1%80%D0%B5%D0%BB%D1%8C%D0%B1%D0%B0%201980%20%D1%84%D0%B8%D0%BB%D1%8C%D0%BC","искать")</f>
        <v/>
      </c>
      <c r="N1340" s="3" t="n"/>
      <c r="O1340" s="2" t="n"/>
      <c r="P1340" s="2" t="n"/>
    </row>
    <row r="1341">
      <c r="A1341" s="2" t="n">
        <v>1340</v>
      </c>
      <c r="B1341" s="2" t="inlineStr">
        <is>
          <t>не сюжет</t>
        </is>
      </c>
      <c r="C1341" s="2" t="n">
        <v>13928</v>
      </c>
      <c r="D1341" s="3" t="inlineStr">
        <is>
          <t>Тройной прыжок</t>
        </is>
      </c>
      <c r="E1341" s="2" t="n">
        <v>1980</v>
      </c>
      <c r="F1341" s="2" t="inlineStr">
        <is>
          <t>мультфильм</t>
        </is>
      </c>
      <c r="G1341" s="2" t="inlineStr">
        <is>
          <t>ЭКРАН</t>
        </is>
      </c>
      <c r="H1341" s="2" t="n">
        <v>50</v>
      </c>
      <c r="I1341" s="2" t="inlineStr"/>
      <c r="J1341" s="2" t="inlineStr">
        <is>
          <t>да</t>
        </is>
      </c>
      <c r="K1341" s="3" t="inlineStr">
        <is>
          <t>Из цикла микрофильмов о видах спорта к Олимпиаде80</t>
        </is>
      </c>
      <c r="L1341" s="2" t="inlineStr">
        <is>
          <t>https://animator.ru/db/?p=show_film&amp;fid=5322</t>
        </is>
      </c>
      <c r="M1341" s="2">
        <f>HYPERLINK("https://ru.wikipedia.org/w/index.php?search=%D0%A2%D1%80%D0%BE%D0%B9%D0%BD%D0%BE%D0%B9%20%D0%BF%D1%80%D1%8B%D0%B6%D0%BE%D0%BA%201980%20%D1%84%D0%B8%D0%BB%D1%8C%D0%BC","искать")</f>
        <v/>
      </c>
      <c r="N1341" s="3" t="n"/>
      <c r="O1341" s="2" t="n"/>
      <c r="P1341" s="2" t="n"/>
    </row>
    <row r="1342">
      <c r="A1342" s="2" t="n">
        <v>1341</v>
      </c>
      <c r="B1342" s="2" t="inlineStr">
        <is>
          <t>не сюжет</t>
        </is>
      </c>
      <c r="C1342" s="2" t="n">
        <v>13944</v>
      </c>
      <c r="D1342" s="3" t="inlineStr">
        <is>
          <t>Фехтование</t>
        </is>
      </c>
      <c r="E1342" s="2" t="n">
        <v>1980</v>
      </c>
      <c r="F1342" s="2" t="inlineStr">
        <is>
          <t>мультфильм</t>
        </is>
      </c>
      <c r="G1342" s="2" t="inlineStr">
        <is>
          <t>ЭКРАН</t>
        </is>
      </c>
      <c r="H1342" s="2" t="n">
        <v>50</v>
      </c>
      <c r="I1342" s="2" t="inlineStr"/>
      <c r="J1342" s="2" t="inlineStr">
        <is>
          <t>да</t>
        </is>
      </c>
      <c r="K1342" s="3" t="inlineStr">
        <is>
          <t>Из цикла микрофильмов о видах спорта к Олимпиаде80</t>
        </is>
      </c>
      <c r="L1342" s="2" t="inlineStr">
        <is>
          <t>https://animator.ru/db/?p=show_film&amp;fid=5338</t>
        </is>
      </c>
      <c r="M1342" s="2">
        <f>HYPERLINK("https://ru.wikipedia.org/w/index.php?search=%D0%A4%D0%B5%D1%85%D1%82%D0%BE%D0%B2%D0%B0%D0%BD%D0%B8%D0%B5%201980%20%D1%84%D0%B8%D0%BB%D1%8C%D0%BC","искать")</f>
        <v/>
      </c>
      <c r="N1342" s="3" t="n"/>
      <c r="O1342" s="2" t="n"/>
      <c r="P1342" s="2" t="n"/>
    </row>
    <row r="1343">
      <c r="A1343" s="2" t="n">
        <v>1342</v>
      </c>
      <c r="B1343" s="2" t="inlineStr">
        <is>
          <t>не сюжет</t>
        </is>
      </c>
      <c r="C1343" s="2" t="n">
        <v>13952</v>
      </c>
      <c r="D1343" s="3" t="inlineStr">
        <is>
          <t>Футбол</t>
        </is>
      </c>
      <c r="E1343" s="2" t="n">
        <v>1980</v>
      </c>
      <c r="F1343" s="2" t="inlineStr">
        <is>
          <t>мультфильм</t>
        </is>
      </c>
      <c r="G1343" s="2" t="inlineStr">
        <is>
          <t>ЭКРАН</t>
        </is>
      </c>
      <c r="H1343" s="2" t="n">
        <v>50</v>
      </c>
      <c r="I1343" s="2" t="inlineStr"/>
      <c r="J1343" s="2" t="inlineStr">
        <is>
          <t>да</t>
        </is>
      </c>
      <c r="K1343" s="3" t="inlineStr">
        <is>
          <t>Из цикла микрофильмов о видах спорта к Олимпиаде80</t>
        </is>
      </c>
      <c r="L1343" s="2" t="inlineStr">
        <is>
          <t>https://animator.ru/db/?p=show_film&amp;fid=5346</t>
        </is>
      </c>
      <c r="M1343" s="2">
        <f>HYPERLINK("https://ru.wikipedia.org/w/index.php?search=%D0%A4%D1%83%D1%82%D0%B1%D0%BE%D0%BB%201980%20%D1%84%D0%B8%D0%BB%D1%8C%D0%BC","искать")</f>
        <v/>
      </c>
      <c r="N1343" s="3" t="n"/>
      <c r="O1343" s="2" t="n"/>
      <c r="P1343" s="2" t="n"/>
    </row>
    <row r="1344">
      <c r="A1344" s="2" t="n">
        <v>1343</v>
      </c>
      <c r="B1344" s="2" t="inlineStr">
        <is>
          <t>не сюжет</t>
        </is>
      </c>
      <c r="C1344" s="2" t="n">
        <v>13976</v>
      </c>
      <c r="D1344" s="3" t="inlineStr">
        <is>
          <t>Гандбол</t>
        </is>
      </c>
      <c r="E1344" s="2" t="n">
        <v>1980</v>
      </c>
      <c r="F1344" s="2" t="inlineStr">
        <is>
          <t>мультфильм</t>
        </is>
      </c>
      <c r="G1344" s="2" t="inlineStr">
        <is>
          <t>ЭКРАН</t>
        </is>
      </c>
      <c r="H1344" s="2" t="n">
        <v>50</v>
      </c>
      <c r="I1344" s="2" t="inlineStr"/>
      <c r="J1344" s="2" t="inlineStr">
        <is>
          <t>да</t>
        </is>
      </c>
      <c r="K1344" s="3" t="inlineStr">
        <is>
          <t>Из серии микрофильмов о видах спорта к Олимпиаде80</t>
        </is>
      </c>
      <c r="L1344" s="2" t="inlineStr">
        <is>
          <t>https://animator.ru/db/?p=show_film&amp;fid=5370</t>
        </is>
      </c>
      <c r="M1344" s="2">
        <f>HYPERLINK("https://ru.wikipedia.org/w/index.php?search=%D0%93%D0%B0%D0%BD%D0%B4%D0%B1%D0%BE%D0%BB%201980%20%D1%84%D0%B8%D0%BB%D1%8C%D0%BC","искать")</f>
        <v/>
      </c>
      <c r="N1344" s="3" t="n"/>
      <c r="O1344" s="2" t="n"/>
      <c r="P1344" s="2" t="n"/>
    </row>
    <row r="1345">
      <c r="A1345" s="2" t="n">
        <v>1344</v>
      </c>
      <c r="B1345" s="2" t="inlineStr">
        <is>
          <t>не сюжет</t>
        </is>
      </c>
      <c r="C1345" s="2" t="n">
        <v>13986</v>
      </c>
      <c r="D1345" s="3" t="inlineStr">
        <is>
          <t>Царевна-лягушка (1971)</t>
        </is>
      </c>
      <c r="E1345" s="2" t="n">
        <v>1971</v>
      </c>
      <c r="F1345" s="2" t="inlineStr">
        <is>
          <t>мультфильм</t>
        </is>
      </c>
      <c r="G1345" s="2" t="inlineStr">
        <is>
          <t>ЭКРАН</t>
        </is>
      </c>
      <c r="H1345" s="2" t="n">
        <v>50</v>
      </c>
      <c r="I1345" s="2" t="inlineStr"/>
      <c r="J1345" s="2" t="inlineStr">
        <is>
          <t>да</t>
        </is>
      </c>
      <c r="K1345" s="3" t="inlineStr">
        <is>
          <t>По мотивам пьесы Н.Гернет на основе русских сказок</t>
        </is>
      </c>
      <c r="L1345" s="2" t="inlineStr">
        <is>
          <t>https://animator.ru/db/?p=show_film&amp;fid=5380</t>
        </is>
      </c>
      <c r="M1345" s="2">
        <f>HYPERLINK("https://ru.wikipedia.org/w/index.php?search=%D0%A6%D0%B0%D1%80%D0%B5%D0%B2%D0%BD%D0%B0-%D0%BB%D1%8F%D0%B3%D1%83%D1%88%D0%BA%D0%B0%20%281971%29%201971%20%D1%84%D0%B8%D0%BB%D1%8C%D0%BC","искать")</f>
        <v/>
      </c>
      <c r="N1345" s="3" t="n"/>
      <c r="O1345" s="2" t="n"/>
      <c r="P1345" s="2" t="n"/>
    </row>
    <row r="1346">
      <c r="A1346" s="2" t="n">
        <v>1345</v>
      </c>
      <c r="B1346" s="2" t="inlineStr">
        <is>
          <t>не сюжет</t>
        </is>
      </c>
      <c r="C1346" s="2" t="n">
        <v>14009</v>
      </c>
      <c r="D1346" s="3" t="inlineStr">
        <is>
          <t>Бескрылый гусенок</t>
        </is>
      </c>
      <c r="E1346" s="2" t="n">
        <v>1987</v>
      </c>
      <c r="F1346" s="2" t="inlineStr">
        <is>
          <t>мультфильм</t>
        </is>
      </c>
      <c r="G1346" s="2" t="inlineStr">
        <is>
          <t>Свердловская киностудия</t>
        </is>
      </c>
      <c r="H1346" s="2" t="n">
        <v>50</v>
      </c>
      <c r="I1346" s="2" t="inlineStr"/>
      <c r="J1346" s="2" t="inlineStr">
        <is>
          <t>да</t>
        </is>
      </c>
      <c r="K1346" s="3" t="inlineStr">
        <is>
          <t>По мотивам чукотской народной сказки о духе Кутхе.</t>
        </is>
      </c>
      <c r="L1346" s="2" t="inlineStr">
        <is>
          <t>2026-10_мультфильмы_список_владельца.xlsx; https://animator.ru/db/?p=show_film&amp;fid=5403</t>
        </is>
      </c>
      <c r="M1346" s="2">
        <f>HYPERLINK("https://ru.wikipedia.org/w/index.php?search=%D0%91%D0%B5%D1%81%D0%BA%D1%80%D1%8B%D0%BB%D1%8B%D0%B9%20%D0%B3%D1%83%D1%81%D0%B5%D0%BD%D0%BE%D0%BA%201987%20%D1%84%D0%B8%D0%BB%D1%8C%D0%BC","искать")</f>
        <v/>
      </c>
      <c r="N1346" s="3" t="n"/>
      <c r="O1346" s="2" t="n"/>
      <c r="P1346" s="2" t="n"/>
    </row>
    <row r="1347">
      <c r="A1347" s="2" t="n">
        <v>1346</v>
      </c>
      <c r="B1347" s="2" t="inlineStr">
        <is>
          <t>не сюжет</t>
        </is>
      </c>
      <c r="C1347" s="2" t="n">
        <v>14078</v>
      </c>
      <c r="D1347" s="3" t="inlineStr">
        <is>
          <t>Фарух и Зумрад</t>
        </is>
      </c>
      <c r="E1347" s="2" t="n">
        <v>1984</v>
      </c>
      <c r="F1347" s="2" t="inlineStr">
        <is>
          <t>мультфильм</t>
        </is>
      </c>
      <c r="G1347" s="2" t="inlineStr">
        <is>
          <t>УЗБЕКФИЛЬМ</t>
        </is>
      </c>
      <c r="H1347" s="2" t="n">
        <v>50</v>
      </c>
      <c r="I1347" s="2" t="inlineStr"/>
      <c r="J1347" s="2" t="inlineStr">
        <is>
          <t>да</t>
        </is>
      </c>
      <c r="K1347" s="3" t="inlineStr">
        <is>
          <t>По мотивам восточной легенды о молодых влюбленных.</t>
        </is>
      </c>
      <c r="L1347" s="2" t="inlineStr">
        <is>
          <t>2026-10_мультфильмы_список_владельца.xlsx; https://animator.ru/db/?p=show_film&amp;fid=5475</t>
        </is>
      </c>
      <c r="M1347" s="2">
        <f>HYPERLINK("https://ru.wikipedia.org/w/index.php?search=%D0%A4%D0%B0%D1%80%D1%83%D1%85%20%D0%B8%20%D0%97%D1%83%D0%BC%D1%80%D0%B0%D0%B4%201984%20%D1%84%D0%B8%D0%BB%D1%8C%D0%BC","искать")</f>
        <v/>
      </c>
      <c r="N1347" s="3" t="n"/>
      <c r="O1347" s="2" t="n"/>
      <c r="P1347" s="2" t="n"/>
    </row>
    <row r="1348">
      <c r="A1348" s="2" t="n">
        <v>1347</v>
      </c>
      <c r="B1348" s="2" t="inlineStr">
        <is>
          <t>не сюжет</t>
        </is>
      </c>
      <c r="C1348" s="2" t="n">
        <v>14279</v>
      </c>
      <c r="D1348" s="3" t="inlineStr">
        <is>
          <t>КАЛЕЙДОСКОП-71 (вып.1)</t>
        </is>
      </c>
      <c r="E1348" s="2" t="n">
        <v>1971</v>
      </c>
      <c r="F1348" s="2" t="inlineStr">
        <is>
          <t>мультфильм</t>
        </is>
      </c>
      <c r="G1348" s="2" t="inlineStr">
        <is>
          <t>Союзмультфильм</t>
        </is>
      </c>
      <c r="H1348" s="2" t="n">
        <v>50</v>
      </c>
      <c r="I1348" s="2" t="inlineStr"/>
      <c r="J1348" s="2" t="inlineStr">
        <is>
          <t>да</t>
        </is>
      </c>
      <c r="K1348" s="3" t="inlineStr">
        <is>
          <t>Сюжеты - "Лев и два быка", "Крик моды", "По грибы"</t>
        </is>
      </c>
      <c r="L1348" s="2" t="inlineStr">
        <is>
          <t>https://animator.ru/db/?p=show_film&amp;fid=5753</t>
        </is>
      </c>
      <c r="M1348" s="2">
        <f>HYPERLINK("https://ru.wikipedia.org/w/index.php?search=%D0%9A%D0%90%D0%9B%D0%95%D0%99%D0%94%D0%9E%D0%A1%D0%9A%D0%9E%D0%9F-71%20%28%D0%B2%D1%8B%D0%BF.1%29%201971%20%D1%84%D0%B8%D0%BB%D1%8C%D0%BC","искать")</f>
        <v/>
      </c>
      <c r="N1348" s="3" t="n"/>
      <c r="O1348" s="2" t="n"/>
      <c r="P1348" s="2" t="n"/>
    </row>
    <row r="1349">
      <c r="A1349" s="2" t="n">
        <v>1348</v>
      </c>
      <c r="B1349" s="2" t="inlineStr">
        <is>
          <t>не сюжет</t>
        </is>
      </c>
      <c r="C1349" s="2" t="n">
        <v>9133</v>
      </c>
      <c r="D1349" s="3" t="inlineStr">
        <is>
          <t>Уходят осенью мужчины</t>
        </is>
      </c>
      <c r="E1349" s="2" t="n">
        <v>1982</v>
      </c>
      <c r="F1349" s="2" t="inlineStr">
        <is>
          <t>кинофильм</t>
        </is>
      </c>
      <c r="G1349" s="2" t="n"/>
      <c r="H1349" s="2" t="n">
        <v>51</v>
      </c>
      <c r="I1349" s="2" t="inlineStr"/>
      <c r="J1349" s="2" t="inlineStr">
        <is>
          <t>да</t>
        </is>
      </c>
      <c r="K1349" s="3" t="inlineStr">
        <is>
          <t>О службе в Советской армии и о солдатах 80-х годов.</t>
        </is>
      </c>
      <c r="L1349" s="2" t="inlineStr">
        <is>
          <t>Кино_СССР сводный каталог.xlsx: список фильмов (доп.)</t>
        </is>
      </c>
      <c r="M1349" s="2">
        <f>HYPERLINK("https://ru.wikipedia.org/w/index.php?search=%D0%A3%D1%85%D0%BE%D0%B4%D1%8F%D1%82%20%D0%BE%D1%81%D0%B5%D0%BD%D1%8C%D1%8E%20%D0%BC%D1%83%D0%B6%D1%87%D0%B8%D0%BD%D1%8B%201982%20%D1%84%D0%B8%D0%BB%D1%8C%D0%BC","искать")</f>
        <v/>
      </c>
      <c r="N1349" s="3" t="n"/>
      <c r="O1349" s="2" t="n"/>
      <c r="P1349" s="2" t="n"/>
    </row>
    <row r="1350">
      <c r="A1350" s="2" t="n">
        <v>1349</v>
      </c>
      <c r="B1350" s="2" t="inlineStr">
        <is>
          <t>не сюжет</t>
        </is>
      </c>
      <c r="C1350" s="2" t="n">
        <v>9807</v>
      </c>
      <c r="D1350" s="3" t="inlineStr">
        <is>
          <t>Маскарад</t>
        </is>
      </c>
      <c r="E1350" s="2" t="n">
        <v>1990</v>
      </c>
      <c r="F1350" s="2" t="inlineStr">
        <is>
          <t>фильм-спектакль</t>
        </is>
      </c>
      <c r="G1350" s="2" t="inlineStr">
        <is>
          <t>Лентелефильм</t>
        </is>
      </c>
      <c r="H1350" s="2" t="n">
        <v>51</v>
      </c>
      <c r="I1350" s="2" t="inlineStr"/>
      <c r="J1350" s="2" t="inlineStr">
        <is>
          <t>да</t>
        </is>
      </c>
      <c r="K1350" s="3" t="inlineStr">
        <is>
          <t>Телеспектакль по одноименной драме М.Ю. Лермонтова.</t>
        </is>
      </c>
      <c r="L1350" s="2" t="inlineStr">
        <is>
          <t>https://www.kino-teatr.ru/kino/movie/sov/3748/annot/</t>
        </is>
      </c>
      <c r="M1350" s="2">
        <f>HYPERLINK("https://ru.wikipedia.org/w/index.php?search=%D0%9C%D0%B0%D1%81%D0%BA%D0%B0%D1%80%D0%B0%D0%B4%201990%20%D1%84%D0%B8%D0%BB%D1%8C%D0%BC","искать")</f>
        <v/>
      </c>
      <c r="N1350" s="3" t="n"/>
      <c r="O1350" s="2" t="n"/>
      <c r="P1350" s="2" t="n"/>
    </row>
    <row r="1351">
      <c r="A1351" s="2" t="n">
        <v>1350</v>
      </c>
      <c r="B1351" s="2" t="inlineStr">
        <is>
          <t>не сюжет</t>
        </is>
      </c>
      <c r="C1351" s="2" t="n">
        <v>10098</v>
      </c>
      <c r="D1351" s="3" t="inlineStr">
        <is>
          <t>Кто виноват?</t>
        </is>
      </c>
      <c r="E1351" s="2" t="n">
        <v>1962</v>
      </c>
      <c r="F1351" s="2" t="inlineStr">
        <is>
          <t>фильм-спектакль</t>
        </is>
      </c>
      <c r="G1351" s="2" t="inlineStr">
        <is>
          <t>Главная редакция литературно-драматических программ ЦТ</t>
        </is>
      </c>
      <c r="H1351" s="2" t="n">
        <v>51</v>
      </c>
      <c r="I1351" s="2" t="inlineStr"/>
      <c r="J1351" s="2" t="inlineStr">
        <is>
          <t>да</t>
        </is>
      </c>
      <c r="K1351" s="3" t="inlineStr">
        <is>
          <t>Фильм-спектакль по одноименному роману А.И.Герцена.</t>
        </is>
      </c>
      <c r="L1351" s="2" t="inlineStr">
        <is>
          <t>https://www.kino-teatr.ru/teatr/movie/79232/annot/</t>
        </is>
      </c>
      <c r="M1351" s="2">
        <f>HYPERLINK("https://ru.wikipedia.org/w/index.php?search=%D0%9A%D1%82%D0%BE%20%D0%B2%D0%B8%D0%BD%D0%BE%D0%B2%D0%B0%D1%82%3F%201962%20%D1%84%D0%B8%D0%BB%D1%8C%D0%BC","искать")</f>
        <v/>
      </c>
      <c r="N1351" s="3" t="n"/>
      <c r="O1351" s="2" t="n"/>
      <c r="P1351" s="2" t="n"/>
    </row>
    <row r="1352">
      <c r="A1352" s="2" t="n">
        <v>1351</v>
      </c>
      <c r="B1352" s="2" t="inlineStr">
        <is>
          <t>не сюжет</t>
        </is>
      </c>
      <c r="C1352" s="2" t="n">
        <v>10633</v>
      </c>
      <c r="D1352" s="3" t="inlineStr">
        <is>
          <t>Александр Бениаминов</t>
        </is>
      </c>
      <c r="E1352" s="2" t="n">
        <v>1976</v>
      </c>
      <c r="F1352" s="2" t="inlineStr">
        <is>
          <t>фильм-спектакль</t>
        </is>
      </c>
      <c r="G1352" s="2" t="inlineStr">
        <is>
          <t>Ленинградское телевидение</t>
        </is>
      </c>
      <c r="H1352" s="2" t="n">
        <v>51</v>
      </c>
      <c r="I1352" s="2" t="inlineStr"/>
      <c r="J1352" s="2" t="inlineStr">
        <is>
          <t>да</t>
        </is>
      </c>
      <c r="K1352" s="3" t="inlineStr">
        <is>
          <t>Фильм-портрет актера ленинградского театра Комедии.</t>
        </is>
      </c>
      <c r="L1352" s="2" t="inlineStr">
        <is>
          <t>https://www.kino-teatr.ru/teatr/movie/137289/annot/</t>
        </is>
      </c>
      <c r="M1352" s="2">
        <f>HYPERLINK("https://ru.wikipedia.org/w/index.php?search=%D0%90%D0%BB%D0%B5%D0%BA%D1%81%D0%B0%D0%BD%D0%B4%D1%80%20%D0%91%D0%B5%D0%BD%D0%B8%D0%B0%D0%BC%D0%B8%D0%BD%D0%BE%D0%B2%201976%20%D1%84%D0%B8%D0%BB%D1%8C%D0%BC","искать")</f>
        <v/>
      </c>
      <c r="N1352" s="3" t="n"/>
      <c r="O1352" s="2" t="n"/>
      <c r="P1352" s="2" t="n"/>
    </row>
    <row r="1353">
      <c r="A1353" s="2" t="n">
        <v>1352</v>
      </c>
      <c r="B1353" s="2" t="inlineStr">
        <is>
          <t>не сюжет</t>
        </is>
      </c>
      <c r="C1353" s="2" t="n">
        <v>10711</v>
      </c>
      <c r="D1353" s="3" t="inlineStr">
        <is>
          <t>По страницам "Голубой книги"</t>
        </is>
      </c>
      <c r="E1353" s="2" t="n">
        <v>1977</v>
      </c>
      <c r="F1353" s="2" t="inlineStr">
        <is>
          <t>фильм-спектакль</t>
        </is>
      </c>
      <c r="G1353" s="2" t="inlineStr">
        <is>
          <t>Экран</t>
        </is>
      </c>
      <c r="H1353" s="2" t="n">
        <v>51</v>
      </c>
      <c r="I1353" s="2" t="inlineStr"/>
      <c r="J1353" s="2" t="inlineStr">
        <is>
          <t>да</t>
        </is>
      </c>
      <c r="K1353" s="3" t="inlineStr">
        <is>
          <t>Звучат рассказы из "Голубой книги" Михаила Зощенко.</t>
        </is>
      </c>
      <c r="L1353" s="2" t="inlineStr">
        <is>
          <t>https://www.kino-teatr.ru/teatr/movie/93326/annot/</t>
        </is>
      </c>
      <c r="M1353" s="2">
        <f>HYPERLINK("https://ru.wikipedia.org/w/index.php?search=%D0%9F%D0%BE%20%D1%81%D1%82%D1%80%D0%B0%D0%BD%D0%B8%D1%86%D0%B0%D0%BC%20%22%D0%93%D0%BE%D0%BB%D1%83%D0%B1%D0%BE%D0%B9%20%D0%BA%D0%BD%D0%B8%D0%B3%D0%B8%22%201977%20%D1%84%D0%B8%D0%BB%D1%8C%D0%BC","искать")</f>
        <v/>
      </c>
      <c r="N1353" s="3" t="n"/>
      <c r="O1353" s="2" t="n"/>
      <c r="P1353" s="2" t="n"/>
    </row>
    <row r="1354">
      <c r="A1354" s="2" t="n">
        <v>1353</v>
      </c>
      <c r="B1354" s="2" t="inlineStr">
        <is>
          <t>не сюжет</t>
        </is>
      </c>
      <c r="C1354" s="2" t="n">
        <v>10987</v>
      </c>
      <c r="D1354" s="3" t="inlineStr">
        <is>
          <t>Два гусара</t>
        </is>
      </c>
      <c r="E1354" s="2" t="n">
        <v>1983</v>
      </c>
      <c r="F1354" s="2" t="inlineStr">
        <is>
          <t>фильм-спектакль</t>
        </is>
      </c>
      <c r="G1354" s="2" t="inlineStr">
        <is>
          <t>Ленинградское телевидение</t>
        </is>
      </c>
      <c r="H1354" s="2" t="n">
        <v>51</v>
      </c>
      <c r="I1354" s="2" t="inlineStr"/>
      <c r="J1354" s="2" t="inlineStr">
        <is>
          <t>да</t>
        </is>
      </c>
      <c r="K1354" s="3" t="inlineStr">
        <is>
          <t>Телеспектакль по одноименной повести Льва Толстого.</t>
        </is>
      </c>
      <c r="L1354" s="2" t="inlineStr">
        <is>
          <t>https://www.kino-teatr.ru/teatr/movie/119904/annot/</t>
        </is>
      </c>
      <c r="M1354" s="2">
        <f>HYPERLINK("https://ru.wikipedia.org/w/index.php?search=%D0%94%D0%B2%D0%B0%20%D0%B3%D1%83%D1%81%D0%B0%D1%80%D0%B0%201983%20%D1%84%D0%B8%D0%BB%D1%8C%D0%BC","искать")</f>
        <v/>
      </c>
      <c r="N1354" s="3" t="n"/>
      <c r="O1354" s="2" t="n"/>
      <c r="P1354" s="2" t="inlineStr">
        <is>
          <t>Википедия: «Два гусара (фильм)» — по сверке другой фильм, не предложено</t>
        </is>
      </c>
    </row>
    <row r="1355">
      <c r="A1355" s="2" t="n">
        <v>1354</v>
      </c>
      <c r="B1355" s="2" t="inlineStr">
        <is>
          <t>не сюжет</t>
        </is>
      </c>
      <c r="C1355" s="2" t="n">
        <v>12158</v>
      </c>
      <c r="D1355" s="3" t="inlineStr">
        <is>
          <t>Сказ о Евпатии Коловрате</t>
        </is>
      </c>
      <c r="E1355" s="2" t="n">
        <v>1985</v>
      </c>
      <c r="F1355" s="2" t="inlineStr">
        <is>
          <t>мультфильм</t>
        </is>
      </c>
      <c r="G1355" s="2" t="inlineStr">
        <is>
          <t>Союзмультфильм</t>
        </is>
      </c>
      <c r="H1355" s="2" t="n">
        <v>51</v>
      </c>
      <c r="I1355" s="2" t="inlineStr"/>
      <c r="J1355" s="2" t="inlineStr">
        <is>
          <t>да</t>
        </is>
      </c>
      <c r="K1355" s="3" t="inlineStr">
        <is>
          <t>По мотивам сюжетов исторических летописей ХIII века</t>
        </is>
      </c>
      <c r="L1355" s="2" t="inlineStr">
        <is>
          <t>https://animator.ru/db/?p=show_film&amp;fid=3274</t>
        </is>
      </c>
      <c r="M1355" s="2">
        <f>HYPERLINK("https://ru.wikipedia.org/w/index.php?search=%D0%A1%D0%BA%D0%B0%D0%B7%20%D0%BE%20%D0%95%D0%B2%D0%BF%D0%B0%D1%82%D0%B8%D0%B8%20%D0%9A%D0%BE%D0%BB%D0%BE%D0%B2%D1%80%D0%B0%D1%82%D0%B5%201985%20%D1%84%D0%B8%D0%BB%D1%8C%D0%BC","искать")</f>
        <v/>
      </c>
      <c r="N1355" s="3" t="n"/>
      <c r="O1355" s="2" t="n"/>
      <c r="P1355" s="2" t="n"/>
    </row>
    <row r="1356">
      <c r="A1356" s="2" t="n">
        <v>1355</v>
      </c>
      <c r="B1356" s="2" t="inlineStr">
        <is>
          <t>не сюжет</t>
        </is>
      </c>
      <c r="C1356" s="2" t="n">
        <v>12176</v>
      </c>
      <c r="D1356" s="3" t="inlineStr">
        <is>
          <t>Как потерять вес</t>
        </is>
      </c>
      <c r="E1356" s="2" t="n">
        <v>1986</v>
      </c>
      <c r="F1356" s="2" t="inlineStr">
        <is>
          <t>мультфильм</t>
        </is>
      </c>
      <c r="G1356" s="2" t="inlineStr">
        <is>
          <t>Союзмультфильм</t>
        </is>
      </c>
      <c r="H1356" s="2" t="n">
        <v>51</v>
      </c>
      <c r="I1356" s="2" t="inlineStr"/>
      <c r="J1356" s="2" t="inlineStr">
        <is>
          <t>да</t>
        </is>
      </c>
      <c r="K1356" s="3" t="inlineStr">
        <is>
          <t>По мотивами рассказа Г.Уэллса "Правда о Пайкрафте".</t>
        </is>
      </c>
      <c r="L1356" s="2" t="inlineStr">
        <is>
          <t>2026-10_мультфильмы_список_владельца.xlsx; https://animator.ru/db/?p=show_film&amp;fid=3292</t>
        </is>
      </c>
      <c r="M1356" s="2">
        <f>HYPERLINK("https://ru.wikipedia.org/w/index.php?search=%D0%9A%D0%B0%D0%BA%20%D0%BF%D0%BE%D1%82%D0%B5%D1%80%D1%8F%D1%82%D1%8C%20%D0%B2%D0%B5%D1%81%201986%20%D1%84%D0%B8%D0%BB%D1%8C%D0%BC","искать")</f>
        <v/>
      </c>
      <c r="N1356" s="3" t="n"/>
      <c r="O1356" s="2" t="n"/>
      <c r="P1356" s="2" t="n"/>
    </row>
    <row r="1357">
      <c r="A1357" s="2" t="n">
        <v>1356</v>
      </c>
      <c r="B1357" s="2" t="inlineStr">
        <is>
          <t>не сюжет</t>
        </is>
      </c>
      <c r="C1357" s="2" t="n">
        <v>12488</v>
      </c>
      <c r="D1357" s="3" t="inlineStr">
        <is>
          <t>От звонка до звонка</t>
        </is>
      </c>
      <c r="E1357" s="2" t="n">
        <v>1971</v>
      </c>
      <c r="F1357" s="2" t="inlineStr">
        <is>
          <t>мультфильм</t>
        </is>
      </c>
      <c r="G1357" s="2" t="inlineStr">
        <is>
          <t>КИЕВНАУЧФИЛЬМ</t>
        </is>
      </c>
      <c r="H1357" s="2" t="n">
        <v>51</v>
      </c>
      <c r="I1357" s="2" t="inlineStr"/>
      <c r="J1357" s="2" t="inlineStr">
        <is>
          <t>да</t>
        </is>
      </c>
      <c r="K1357" s="3" t="inlineStr">
        <is>
          <t>Сатирический фильм о сокращении штатов в учреждении</t>
        </is>
      </c>
      <c r="L1357" s="2" t="inlineStr">
        <is>
          <t>https://animator.ru/db/?p=show_film&amp;fid=3663</t>
        </is>
      </c>
      <c r="M1357" s="2">
        <f>HYPERLINK("https://ru.wikipedia.org/w/index.php?search=%D0%9E%D1%82%20%D0%B7%D0%B2%D0%BE%D0%BD%D0%BA%D0%B0%20%D0%B4%D0%BE%20%D0%B7%D0%B2%D0%BE%D0%BD%D0%BA%D0%B0%201971%20%D1%84%D0%B8%D0%BB%D1%8C%D0%BC","искать")</f>
        <v/>
      </c>
      <c r="N1357" s="3" t="n"/>
      <c r="O1357" s="2" t="n"/>
      <c r="P1357" s="2" t="n"/>
    </row>
    <row r="1358">
      <c r="A1358" s="2" t="n">
        <v>1357</v>
      </c>
      <c r="B1358" s="2" t="inlineStr">
        <is>
          <t>не сюжет</t>
        </is>
      </c>
      <c r="C1358" s="2" t="n">
        <v>12605</v>
      </c>
      <c r="D1358" s="3" t="inlineStr">
        <is>
          <t>Чудо-мороз</t>
        </is>
      </c>
      <c r="E1358" s="2" t="n">
        <v>1976</v>
      </c>
      <c r="F1358" s="2" t="inlineStr">
        <is>
          <t>мультфильм</t>
        </is>
      </c>
      <c r="G1358" s="2" t="inlineStr">
        <is>
          <t>КИЕВНАУЧФИЛЬМ</t>
        </is>
      </c>
      <c r="H1358" s="2" t="n">
        <v>51</v>
      </c>
      <c r="I1358" s="2" t="inlineStr"/>
      <c r="J1358" s="2" t="inlineStr">
        <is>
          <t>да</t>
        </is>
      </c>
      <c r="K1358" s="3" t="inlineStr">
        <is>
          <t>По мотивам северных сказов Б.Шергина. По заказу СОД</t>
        </is>
      </c>
      <c r="L1358" s="2" t="inlineStr">
        <is>
          <t>https://animator.ru/db/?p=show_film&amp;fid=3785</t>
        </is>
      </c>
      <c r="M1358" s="2">
        <f>HYPERLINK("https://ru.wikipedia.org/w/index.php?search=%D0%A7%D1%83%D0%B4%D0%BE-%D0%BC%D0%BE%D1%80%D0%BE%D0%B7%201976%20%D1%84%D0%B8%D0%BB%D1%8C%D0%BC","искать")</f>
        <v/>
      </c>
      <c r="N1358" s="3" t="n"/>
      <c r="O1358" s="2" t="n"/>
      <c r="P1358" s="2" t="n"/>
    </row>
    <row r="1359">
      <c r="A1359" s="2" t="n">
        <v>1358</v>
      </c>
      <c r="B1359" s="2" t="inlineStr">
        <is>
          <t>не сюжет</t>
        </is>
      </c>
      <c r="C1359" s="2" t="n">
        <v>12677</v>
      </c>
      <c r="D1359" s="3" t="inlineStr">
        <is>
          <t>Кто?</t>
        </is>
      </c>
      <c r="E1359" s="2" t="n">
        <v>1986</v>
      </c>
      <c r="F1359" s="2" t="inlineStr">
        <is>
          <t>мультфильм</t>
        </is>
      </c>
      <c r="G1359" s="2" t="inlineStr">
        <is>
          <t>БЕЛАРУСЬФИЛЬМ НАЦИОНАЛЬНАЯ КИНОСТУДИЯ - ГП</t>
        </is>
      </c>
      <c r="H1359" s="2" t="n">
        <v>51</v>
      </c>
      <c r="I1359" s="2" t="inlineStr"/>
      <c r="J1359" s="2" t="inlineStr">
        <is>
          <t>да</t>
        </is>
      </c>
      <c r="K1359" s="3" t="inlineStr">
        <is>
          <t>По мотивам одноименного стихотворения А.Введенского</t>
        </is>
      </c>
      <c r="L1359" s="2" t="inlineStr">
        <is>
          <t>https://animator.ru/db/?p=show_film&amp;fid=3872</t>
        </is>
      </c>
      <c r="M1359" s="2">
        <f>HYPERLINK("https://ru.wikipedia.org/w/index.php?search=%D0%9A%D1%82%D0%BE%3F%201986%20%D1%84%D0%B8%D0%BB%D1%8C%D0%BC","искать")</f>
        <v/>
      </c>
      <c r="N1359" s="3" t="n"/>
      <c r="O1359" s="2" t="n"/>
      <c r="P1359" s="2" t="n"/>
    </row>
    <row r="1360">
      <c r="A1360" s="2" t="n">
        <v>1359</v>
      </c>
      <c r="B1360" s="2" t="inlineStr">
        <is>
          <t>не сюжет</t>
        </is>
      </c>
      <c r="C1360" s="2" t="n">
        <v>13286</v>
      </c>
      <c r="D1360" s="3" t="inlineStr">
        <is>
          <t>Взлет</t>
        </is>
      </c>
      <c r="E1360" s="2" t="n">
        <v>1988</v>
      </c>
      <c r="F1360" s="2" t="inlineStr">
        <is>
          <t>мультфильм</t>
        </is>
      </c>
      <c r="G1360" s="2" t="inlineStr">
        <is>
          <t>ТАЛЛИННФИЛЬМ</t>
        </is>
      </c>
      <c r="H1360" s="2" t="n">
        <v>51</v>
      </c>
      <c r="I1360" s="2" t="inlineStr"/>
      <c r="J1360" s="2" t="inlineStr">
        <is>
          <t>да</t>
        </is>
      </c>
      <c r="K1360" s="3" t="inlineStr">
        <is>
          <t>Всех сил и всей жизни нехватает для достижения цели</t>
        </is>
      </c>
      <c r="L1360" s="2" t="inlineStr">
        <is>
          <t>https://animator.ru/db/?p=show_film&amp;fid=4543</t>
        </is>
      </c>
      <c r="M1360" s="2">
        <f>HYPERLINK("https://ru.wikipedia.org/w/index.php?search=%D0%92%D0%B7%D0%BB%D0%B5%D1%82%201988%20%D1%84%D0%B8%D0%BB%D1%8C%D0%BC","искать")</f>
        <v/>
      </c>
      <c r="N1360" s="3" t="n"/>
      <c r="O1360" s="2" t="n"/>
      <c r="P1360" s="2" t="n"/>
    </row>
    <row r="1361">
      <c r="A1361" s="2" t="n">
        <v>1360</v>
      </c>
      <c r="B1361" s="2" t="inlineStr">
        <is>
          <t>не сюжет</t>
        </is>
      </c>
      <c r="C1361" s="2" t="n">
        <v>13299</v>
      </c>
      <c r="D1361" s="3" t="inlineStr">
        <is>
          <t>Джекпот</t>
        </is>
      </c>
      <c r="E1361" s="2" t="n">
        <v>1990</v>
      </c>
      <c r="F1361" s="2" t="inlineStr">
        <is>
          <t>мультфильм</t>
        </is>
      </c>
      <c r="G1361" s="2" t="inlineStr">
        <is>
          <t>ТАЛЛИННФИЛЬМ</t>
        </is>
      </c>
      <c r="H1361" s="2" t="n">
        <v>51</v>
      </c>
      <c r="I1361" s="2" t="inlineStr"/>
      <c r="J1361" s="2" t="inlineStr">
        <is>
          <t>да</t>
        </is>
      </c>
      <c r="K1361" s="3" t="inlineStr">
        <is>
          <t>Протест против тоталитарзма и насилия. Для взрослых</t>
        </is>
      </c>
      <c r="L1361" s="2" t="inlineStr">
        <is>
          <t>https://animator.ru/db/?p=show_film&amp;fid=4556</t>
        </is>
      </c>
      <c r="M1361" s="2">
        <f>HYPERLINK("https://ru.wikipedia.org/w/index.php?search=%D0%94%D0%B6%D0%B5%D0%BA%D0%BF%D0%BE%D1%82%201990%20%D1%84%D0%B8%D0%BB%D1%8C%D0%BC","искать")</f>
        <v/>
      </c>
      <c r="N1361" s="3" t="n"/>
      <c r="O1361" s="2" t="n"/>
      <c r="P1361" s="2" t="n"/>
    </row>
    <row r="1362">
      <c r="A1362" s="2" t="n">
        <v>1361</v>
      </c>
      <c r="B1362" s="2" t="inlineStr">
        <is>
          <t>не сюжет</t>
        </is>
      </c>
      <c r="C1362" s="2" t="n">
        <v>13458</v>
      </c>
      <c r="D1362" s="3" t="inlineStr">
        <is>
          <t>Три медведя (1984)</t>
        </is>
      </c>
      <c r="E1362" s="2" t="n">
        <v>1984</v>
      </c>
      <c r="F1362" s="2" t="inlineStr">
        <is>
          <t>мультфильм</t>
        </is>
      </c>
      <c r="G1362" s="2" t="inlineStr">
        <is>
          <t>ЭКРАН</t>
        </is>
      </c>
      <c r="H1362" s="2" t="n">
        <v>51</v>
      </c>
      <c r="I1362" s="2" t="inlineStr"/>
      <c r="J1362" s="2" t="inlineStr">
        <is>
          <t>да</t>
        </is>
      </c>
      <c r="K1362" s="3" t="inlineStr">
        <is>
          <t>Мультопера по мотивам сказки Л.Толстого.Для малышей</t>
        </is>
      </c>
      <c r="L1362" s="2" t="inlineStr">
        <is>
          <t>https://animator.ru/db/?p=show_film&amp;fid=4739</t>
        </is>
      </c>
      <c r="M1362" s="2">
        <f>HYPERLINK("https://ru.wikipedia.org/w/index.php?search=%D0%A2%D1%80%D0%B8%20%D0%BC%D0%B5%D0%B4%D0%B2%D0%B5%D0%B4%D1%8F%20%281984%29%201984%20%D1%84%D0%B8%D0%BB%D1%8C%D0%BC","искать")</f>
        <v/>
      </c>
      <c r="N1362" s="3" t="n"/>
      <c r="O1362" s="2" t="n"/>
      <c r="P1362" s="2" t="n"/>
    </row>
    <row r="1363">
      <c r="A1363" s="2" t="n">
        <v>1362</v>
      </c>
      <c r="B1363" s="2" t="inlineStr">
        <is>
          <t>не сюжет</t>
        </is>
      </c>
      <c r="C1363" s="2" t="n">
        <v>13543</v>
      </c>
      <c r="D1363" s="3" t="inlineStr">
        <is>
          <t>Грабеж среди белого дня</t>
        </is>
      </c>
      <c r="E1363" s="2" t="n">
        <v>1972</v>
      </c>
      <c r="F1363" s="2" t="inlineStr">
        <is>
          <t>мультфильм</t>
        </is>
      </c>
      <c r="G1363" s="2" t="inlineStr">
        <is>
          <t>Союзмультфильм</t>
        </is>
      </c>
      <c r="H1363" s="2" t="n">
        <v>51</v>
      </c>
      <c r="I1363" s="2" t="inlineStr"/>
      <c r="J1363" s="2" t="inlineStr">
        <is>
          <t>да</t>
        </is>
      </c>
      <c r="K1363" s="3" t="inlineStr">
        <is>
          <t>Критика расхитителей социалистической собственности</t>
        </is>
      </c>
      <c r="L1363" s="2" t="inlineStr">
        <is>
          <t>https://animator.ru/db/?p=show_film&amp;fid=4863</t>
        </is>
      </c>
      <c r="M1363" s="2">
        <f>HYPERLINK("https://ru.wikipedia.org/w/index.php?search=%D0%93%D1%80%D0%B0%D0%B1%D0%B5%D0%B6%20%D1%81%D1%80%D0%B5%D0%B4%D0%B8%20%D0%B1%D0%B5%D0%BB%D0%BE%D0%B3%D0%BE%20%D0%B4%D0%BD%D1%8F%201972%20%D1%84%D0%B8%D0%BB%D1%8C%D0%BC","искать")</f>
        <v/>
      </c>
      <c r="N1363" s="3" t="n"/>
      <c r="O1363" s="2" t="n"/>
      <c r="P1363" s="2" t="n"/>
    </row>
    <row r="1364">
      <c r="A1364" s="2" t="n">
        <v>1363</v>
      </c>
      <c r="B1364" s="2" t="inlineStr">
        <is>
          <t>не сюжет</t>
        </is>
      </c>
      <c r="C1364" s="2" t="n">
        <v>13551</v>
      </c>
      <c r="D1364" s="3" t="inlineStr">
        <is>
          <t>Успела!</t>
        </is>
      </c>
      <c r="E1364" s="2" t="n">
        <v>1972</v>
      </c>
      <c r="F1364" s="2" t="inlineStr">
        <is>
          <t>мультфильм</t>
        </is>
      </c>
      <c r="G1364" s="2" t="n"/>
      <c r="H1364" s="2" t="n">
        <v>51</v>
      </c>
      <c r="I1364" s="2" t="inlineStr"/>
      <c r="J1364" s="2" t="inlineStr">
        <is>
          <t>да</t>
        </is>
      </c>
      <c r="K1364" s="3" t="inlineStr">
        <is>
          <t>О пешеходах - нарушителях правил поведения на улице</t>
        </is>
      </c>
      <c r="L1364" s="2" t="inlineStr">
        <is>
          <t>https://animator.ru/db/?p=show_film&amp;fid=4871</t>
        </is>
      </c>
      <c r="M1364" s="2">
        <f>HYPERLINK("https://ru.wikipedia.org/w/index.php?search=%D0%A3%D1%81%D0%BF%D0%B5%D0%BB%D0%B0%21%201972%20%D1%84%D0%B8%D0%BB%D1%8C%D0%BC","искать")</f>
        <v/>
      </c>
      <c r="N1364" s="3" t="n"/>
      <c r="O1364" s="2" t="n"/>
      <c r="P1364" s="2" t="n"/>
    </row>
    <row r="1365">
      <c r="A1365" s="2" t="n">
        <v>1364</v>
      </c>
      <c r="B1365" s="2" t="inlineStr">
        <is>
          <t>не сюжет</t>
        </is>
      </c>
      <c r="C1365" s="2" t="n">
        <v>13673</v>
      </c>
      <c r="D1365" s="3" t="inlineStr">
        <is>
          <t>Данило и ненила 1</t>
        </is>
      </c>
      <c r="E1365" s="2" t="n">
        <v>1989</v>
      </c>
      <c r="F1365" s="2" t="inlineStr">
        <is>
          <t>мультфильм</t>
        </is>
      </c>
      <c r="G1365" s="2" t="inlineStr">
        <is>
          <t>ЭКРАН</t>
        </is>
      </c>
      <c r="H1365" s="2" t="n">
        <v>51</v>
      </c>
      <c r="I1365" s="2" t="inlineStr"/>
      <c r="J1365" s="2" t="inlineStr">
        <is>
          <t>да</t>
        </is>
      </c>
      <c r="K1365" s="3" t="inlineStr">
        <is>
          <t>По одноименной сказке Бориса Шергина (часть первая)</t>
        </is>
      </c>
      <c r="L1365" s="2" t="inlineStr">
        <is>
          <t>https://animator.ru/db/?p=show_film&amp;fid=5065</t>
        </is>
      </c>
      <c r="M1365" s="2">
        <f>HYPERLINK("https://ru.wikipedia.org/w/index.php?search=%D0%94%D0%B0%D0%BD%D0%B8%D0%BB%D0%BE%20%D0%B8%20%D0%BD%D0%B5%D0%BD%D0%B8%D0%BB%D0%B0%201%201989%20%D1%84%D0%B8%D0%BB%D1%8C%D0%BC","искать")</f>
        <v/>
      </c>
      <c r="N1365" s="3" t="n"/>
      <c r="O1365" s="2" t="n"/>
      <c r="P1365" s="2" t="n"/>
    </row>
    <row r="1366">
      <c r="A1366" s="2" t="n">
        <v>1365</v>
      </c>
      <c r="B1366" s="2" t="inlineStr">
        <is>
          <t>не сюжет</t>
        </is>
      </c>
      <c r="C1366" s="2" t="n">
        <v>13732</v>
      </c>
      <c r="D1366" s="3" t="inlineStr">
        <is>
          <t>Автомобиль кота Леопольда</t>
        </is>
      </c>
      <c r="E1366" s="2" t="n">
        <v>1987</v>
      </c>
      <c r="F1366" s="2" t="inlineStr">
        <is>
          <t>мультфильм</t>
        </is>
      </c>
      <c r="G1366" s="2" t="inlineStr">
        <is>
          <t>ЭКРАН</t>
        </is>
      </c>
      <c r="H1366" s="2" t="n">
        <v>51</v>
      </c>
      <c r="I1366" s="2" t="inlineStr"/>
      <c r="J1366" s="2" t="inlineStr">
        <is>
          <t>да</t>
        </is>
      </c>
      <c r="K1366" s="3" t="inlineStr">
        <is>
          <t>Про кота Леопольда. "Ребята, давайте жить дружно!".</t>
        </is>
      </c>
      <c r="L1366" s="2" t="inlineStr">
        <is>
          <t>2026-10_мультфильмы_список_владельца.xlsx; https://animator.ru/db/?p=show_film&amp;fid=5125</t>
        </is>
      </c>
      <c r="M1366" s="2">
        <f>HYPERLINK("https://ru.wikipedia.org/w/index.php?search=%D0%90%D0%B2%D1%82%D0%BE%D0%BC%D0%BE%D0%B1%D0%B8%D0%BB%D1%8C%20%D0%BA%D0%BE%D1%82%D0%B0%20%D0%9B%D0%B5%D0%BE%D0%BF%D0%BE%D0%BB%D1%8C%D0%B4%D0%B0%201987%20%D1%84%D0%B8%D0%BB%D1%8C%D0%BC","искать")</f>
        <v/>
      </c>
      <c r="N1366" s="3" t="n"/>
      <c r="O1366" s="2" t="n"/>
      <c r="P1366" s="2" t="n"/>
    </row>
    <row r="1367">
      <c r="A1367" s="2" t="n">
        <v>1366</v>
      </c>
      <c r="B1367" s="2" t="inlineStr">
        <is>
          <t>не сюжет</t>
        </is>
      </c>
      <c r="C1367" s="2" t="n">
        <v>13945</v>
      </c>
      <c r="D1367" s="3" t="inlineStr">
        <is>
          <t>Фиаско</t>
        </is>
      </c>
      <c r="E1367" s="2" t="n">
        <v>1987</v>
      </c>
      <c r="F1367" s="2" t="inlineStr">
        <is>
          <t>мультфильм</t>
        </is>
      </c>
      <c r="G1367" s="2" t="inlineStr">
        <is>
          <t>ЭКРАН</t>
        </is>
      </c>
      <c r="H1367" s="2" t="n">
        <v>51</v>
      </c>
      <c r="I1367" s="2" t="inlineStr"/>
      <c r="J1367" s="2" t="inlineStr">
        <is>
          <t>да</t>
        </is>
      </c>
      <c r="K1367" s="3" t="inlineStr">
        <is>
          <t>Как каляуза может довести до болезни. Для взрослыъх</t>
        </is>
      </c>
      <c r="L1367" s="2" t="inlineStr">
        <is>
          <t>https://animator.ru/db/?p=show_film&amp;fid=5339</t>
        </is>
      </c>
      <c r="M1367" s="2">
        <f>HYPERLINK("https://ru.wikipedia.org/w/index.php?search=%D0%A4%D0%B8%D0%B0%D1%81%D0%BA%D0%BE%201987%20%D1%84%D0%B8%D0%BB%D1%8C%D0%BC","искать")</f>
        <v/>
      </c>
      <c r="N1367" s="3" t="n"/>
      <c r="O1367" s="2" t="n"/>
      <c r="P1367" s="2" t="n"/>
    </row>
    <row r="1368">
      <c r="A1368" s="2" t="n">
        <v>1367</v>
      </c>
      <c r="B1368" s="2" t="inlineStr">
        <is>
          <t>не сюжет</t>
        </is>
      </c>
      <c r="C1368" s="2" t="n">
        <v>13995</v>
      </c>
      <c r="D1368" s="3" t="inlineStr">
        <is>
          <t>Чужие окна</t>
        </is>
      </c>
      <c r="E1368" s="2" t="n">
        <v>1985</v>
      </c>
      <c r="F1368" s="2" t="inlineStr">
        <is>
          <t>мультфильм</t>
        </is>
      </c>
      <c r="G1368" s="2" t="inlineStr">
        <is>
          <t>ЭКРАН</t>
        </is>
      </c>
      <c r="H1368" s="2" t="n">
        <v>51</v>
      </c>
      <c r="I1368" s="2" t="inlineStr"/>
      <c r="J1368" s="2" t="inlineStr">
        <is>
          <t>да</t>
        </is>
      </c>
      <c r="K1368" s="3" t="inlineStr">
        <is>
          <t>О том, что безнравственно заглядывать в чужие окна.</t>
        </is>
      </c>
      <c r="L1368" s="2" t="inlineStr">
        <is>
          <t>2026-10_мультфильмы_список_владельца.xlsx; https://animator.ru/db/?p=show_film&amp;fid=5389</t>
        </is>
      </c>
      <c r="M1368" s="2">
        <f>HYPERLINK("https://ru.wikipedia.org/w/index.php?search=%D0%A7%D1%83%D0%B6%D0%B8%D0%B5%20%D0%BE%D0%BA%D0%BD%D0%B0%201985%20%D1%84%D0%B8%D0%BB%D1%8C%D0%BC","искать")</f>
        <v/>
      </c>
      <c r="N1368" s="3" t="n"/>
      <c r="O1368" s="2" t="n"/>
      <c r="P1368" s="2" t="n"/>
    </row>
    <row r="1369">
      <c r="A1369" s="2" t="n">
        <v>1368</v>
      </c>
      <c r="B1369" s="2" t="inlineStr">
        <is>
          <t>не сюжет</t>
        </is>
      </c>
      <c r="C1369" s="2" t="n">
        <v>14026</v>
      </c>
      <c r="D1369" s="3" t="inlineStr">
        <is>
          <t>Каменный цветок</t>
        </is>
      </c>
      <c r="E1369" s="2" t="n">
        <v>1977</v>
      </c>
      <c r="F1369" s="2" t="inlineStr">
        <is>
          <t>мультфильм</t>
        </is>
      </c>
      <c r="G1369" s="2" t="inlineStr">
        <is>
          <t>Свердловская киностудия</t>
        </is>
      </c>
      <c r="H1369" s="2" t="n">
        <v>51</v>
      </c>
      <c r="I1369" s="2" t="inlineStr"/>
      <c r="J1369" s="2" t="inlineStr">
        <is>
          <t>да</t>
        </is>
      </c>
      <c r="K1369" s="3" t="inlineStr">
        <is>
          <t>Кукольный, по мотивам одноименного сказа П. Бажова.</t>
        </is>
      </c>
      <c r="L1369" s="2" t="inlineStr">
        <is>
          <t>2026-10_мультфильмы_список_владельца.xlsx; https://animator.ru/db/?p=show_film&amp;fid=5421</t>
        </is>
      </c>
      <c r="M1369" s="2">
        <f>HYPERLINK("https://ru.wikipedia.org/w/index.php?search=%D0%9A%D0%B0%D0%BC%D0%B5%D0%BD%D0%BD%D1%8B%D0%B9%20%D1%86%D0%B2%D0%B5%D1%82%D0%BE%D0%BA%201977%20%D1%84%D0%B8%D0%BB%D1%8C%D0%BC","искать")</f>
        <v/>
      </c>
      <c r="N1369" s="3" t="n"/>
      <c r="O1369" s="2" t="n"/>
      <c r="P1369" s="2" t="n"/>
    </row>
    <row r="1370">
      <c r="A1370" s="2" t="n">
        <v>1369</v>
      </c>
      <c r="B1370" s="2" t="inlineStr">
        <is>
          <t>не сюжет</t>
        </is>
      </c>
      <c r="C1370" s="2" t="n">
        <v>14044</v>
      </c>
      <c r="D1370" s="3" t="inlineStr">
        <is>
          <t>Песня волшебного камня</t>
        </is>
      </c>
      <c r="E1370" s="2" t="n">
        <v>1974</v>
      </c>
      <c r="F1370" s="2" t="inlineStr">
        <is>
          <t>мультфильм</t>
        </is>
      </c>
      <c r="G1370" s="2" t="inlineStr">
        <is>
          <t>УЗБЕКФИЛЬМ</t>
        </is>
      </c>
      <c r="H1370" s="2" t="n">
        <v>51</v>
      </c>
      <c r="I1370" s="2" t="inlineStr"/>
      <c r="J1370" s="2" t="inlineStr">
        <is>
          <t>да</t>
        </is>
      </c>
      <c r="K1370" s="3" t="inlineStr">
        <is>
          <t>По мотивам сказки Аркадия Гайдара "Горячий камень".</t>
        </is>
      </c>
      <c r="L1370" s="2" t="inlineStr">
        <is>
          <t>2026-10_мультфильмы_список_владельца.xlsx; https://animator.ru/db/?p=show_film&amp;fid=5440</t>
        </is>
      </c>
      <c r="M1370" s="2">
        <f>HYPERLINK("https://ru.wikipedia.org/w/index.php?search=%D0%9F%D0%B5%D1%81%D0%BD%D1%8F%20%D0%B2%D0%BE%D0%BB%D1%88%D0%B5%D0%B1%D0%BD%D0%BE%D0%B3%D0%BE%20%D0%BA%D0%B0%D0%BC%D0%BD%D1%8F%201974%20%D1%84%D0%B8%D0%BB%D1%8C%D0%BC","искать")</f>
        <v/>
      </c>
      <c r="N1370" s="3" t="n"/>
      <c r="O1370" s="2" t="n"/>
      <c r="P1370" s="2" t="n"/>
    </row>
    <row r="1371">
      <c r="A1371" s="2" t="n">
        <v>1370</v>
      </c>
      <c r="B1371" s="2" t="inlineStr">
        <is>
          <t>не сюжет</t>
        </is>
      </c>
      <c r="C1371" s="2" t="n">
        <v>14174</v>
      </c>
      <c r="D1371" s="3" t="inlineStr">
        <is>
          <t>Семь братьев</t>
        </is>
      </c>
      <c r="E1371" s="2" t="n">
        <v>1980</v>
      </c>
      <c r="F1371" s="2" t="inlineStr">
        <is>
          <t>мультфильм</t>
        </is>
      </c>
      <c r="G1371" s="2" t="inlineStr">
        <is>
          <t>КУЙБЫШЕВТЕЛЕФИЛЬМ</t>
        </is>
      </c>
      <c r="H1371" s="2" t="n">
        <v>51</v>
      </c>
      <c r="I1371" s="2" t="inlineStr"/>
      <c r="J1371" s="2" t="inlineStr">
        <is>
          <t>да</t>
        </is>
      </c>
      <c r="K1371" s="3" t="inlineStr">
        <is>
          <t>По мотивам сказки В.Важдаева "Семь дружных братьев"</t>
        </is>
      </c>
      <c r="L1371" s="2" t="inlineStr">
        <is>
          <t>https://animator.ru/db/?p=show_film&amp;fid=5572</t>
        </is>
      </c>
      <c r="M1371" s="2">
        <f>HYPERLINK("https://ru.wikipedia.org/w/index.php?search=%D0%A1%D0%B5%D0%BC%D1%8C%20%D0%B1%D1%80%D0%B0%D1%82%D1%8C%D0%B5%D0%B2%201980%20%D1%84%D0%B8%D0%BB%D1%8C%D0%BC","искать")</f>
        <v/>
      </c>
      <c r="N1371" s="3" t="n"/>
      <c r="O1371" s="2" t="n"/>
      <c r="P1371" s="2" t="n"/>
    </row>
    <row r="1372">
      <c r="A1372" s="2" t="n">
        <v>1371</v>
      </c>
      <c r="B1372" s="2" t="inlineStr">
        <is>
          <t>не сюжет</t>
        </is>
      </c>
      <c r="C1372" s="2" t="n">
        <v>14175</v>
      </c>
      <c r="D1372" s="3" t="inlineStr">
        <is>
          <t>Серебристый колокольчик</t>
        </is>
      </c>
      <c r="E1372" s="2" t="n">
        <v>1986</v>
      </c>
      <c r="F1372" s="2" t="inlineStr">
        <is>
          <t>мультфильм</t>
        </is>
      </c>
      <c r="G1372" s="2" t="inlineStr">
        <is>
          <t>САРАТОВТЕЛЕФИЛЬМ</t>
        </is>
      </c>
      <c r="H1372" s="2" t="n">
        <v>51</v>
      </c>
      <c r="I1372" s="2" t="inlineStr"/>
      <c r="J1372" s="2" t="inlineStr">
        <is>
          <t>да</t>
        </is>
      </c>
      <c r="K1372" s="3" t="inlineStr">
        <is>
          <t>По мотивам одноименной сказки С.Муреевой. Для детей</t>
        </is>
      </c>
      <c r="L1372" s="2" t="inlineStr">
        <is>
          <t>https://animator.ru/db/?p=show_film&amp;fid=5573</t>
        </is>
      </c>
      <c r="M1372" s="2">
        <f>HYPERLINK("https://ru.wikipedia.org/w/index.php?search=%D0%A1%D0%B5%D1%80%D0%B5%D0%B1%D1%80%D0%B8%D1%81%D1%82%D1%8B%D0%B9%20%D0%BA%D0%BE%D0%BB%D0%BE%D0%BA%D0%BE%D0%BB%D1%8C%D1%87%D0%B8%D0%BA%201986%20%D1%84%D0%B8%D0%BB%D1%8C%D0%BC","искать")</f>
        <v/>
      </c>
      <c r="N1372" s="3" t="n"/>
      <c r="O1372" s="2" t="n"/>
      <c r="P1372" s="2" t="n"/>
    </row>
    <row r="1373">
      <c r="A1373" s="2" t="n">
        <v>1372</v>
      </c>
      <c r="B1373" s="2" t="inlineStr">
        <is>
          <t>не сюжет</t>
        </is>
      </c>
      <c r="C1373" s="2" t="n">
        <v>14177</v>
      </c>
      <c r="D1373" s="3" t="inlineStr">
        <is>
          <t>Сказка начинается</t>
        </is>
      </c>
      <c r="E1373" s="2" t="n">
        <v>1974</v>
      </c>
      <c r="F1373" s="2" t="inlineStr">
        <is>
          <t>мультфильм</t>
        </is>
      </c>
      <c r="G1373" s="2" t="inlineStr">
        <is>
          <t>ЛЕНТЕЛЕФИЛЬМ - ГП</t>
        </is>
      </c>
      <c r="H1373" s="2" t="n">
        <v>51</v>
      </c>
      <c r="I1373" s="2" t="inlineStr"/>
      <c r="J1373" s="2" t="inlineStr">
        <is>
          <t>да</t>
        </is>
      </c>
      <c r="K1373" s="3" t="inlineStr">
        <is>
          <t>По мотивам русских сказок "Три медведя" и "Колосок"</t>
        </is>
      </c>
      <c r="L1373" s="2" t="inlineStr">
        <is>
          <t>https://animator.ru/db/?p=show_film&amp;fid=5575</t>
        </is>
      </c>
      <c r="M1373" s="2">
        <f>HYPERLINK("https://ru.wikipedia.org/w/index.php?search=%D0%A1%D0%BA%D0%B0%D0%B7%D0%BA%D0%B0%20%D0%BD%D0%B0%D1%87%D0%B8%D0%BD%D0%B0%D0%B5%D1%82%D1%81%D1%8F%201974%20%D1%84%D0%B8%D0%BB%D1%8C%D0%BC","искать")</f>
        <v/>
      </c>
      <c r="N1373" s="3" t="n"/>
      <c r="O1373" s="2" t="n"/>
      <c r="P1373" s="2" t="n"/>
    </row>
    <row r="1374">
      <c r="A1374" s="2" t="n">
        <v>1373</v>
      </c>
      <c r="B1374" s="2" t="inlineStr">
        <is>
          <t>не сюжет</t>
        </is>
      </c>
      <c r="C1374" s="2" t="n">
        <v>14429</v>
      </c>
      <c r="D1374" s="3" t="inlineStr">
        <is>
          <t>Правила игры</t>
        </is>
      </c>
      <c r="E1374" s="2" t="n">
        <v>1990</v>
      </c>
      <c r="F1374" s="2" t="inlineStr">
        <is>
          <t>мультфильм</t>
        </is>
      </c>
      <c r="G1374" s="2" t="n"/>
      <c r="H1374" s="2" t="n">
        <v>51</v>
      </c>
      <c r="I1374" s="2" t="inlineStr"/>
      <c r="J1374" s="2" t="inlineStr">
        <is>
          <t>да</t>
        </is>
      </c>
      <c r="K1374" s="3" t="inlineStr">
        <is>
          <t>Фильм-плакат, предостерегающий от заражения СПИДом.</t>
        </is>
      </c>
      <c r="L1374" s="2" t="inlineStr">
        <is>
          <t>https://animator.ru/db/?p=show_film&amp;fid=6671</t>
        </is>
      </c>
      <c r="M1374" s="2">
        <f>HYPERLINK("https://ru.wikipedia.org/w/index.php?search=%D0%9F%D1%80%D0%B0%D0%B2%D0%B8%D0%BB%D0%B0%20%D0%B8%D0%B3%D1%80%D1%8B%201990%20%D1%84%D0%B8%D0%BB%D1%8C%D0%BC","искать")</f>
        <v/>
      </c>
      <c r="N1374" s="3" t="n"/>
      <c r="O1374" s="2" t="n"/>
      <c r="P1374" s="2" t="n"/>
    </row>
    <row r="1375">
      <c r="A1375" s="2" t="n">
        <v>1374</v>
      </c>
      <c r="B1375" s="2" t="inlineStr">
        <is>
          <t>не сюжет</t>
        </is>
      </c>
      <c r="C1375" s="2" t="n">
        <v>10635</v>
      </c>
      <c r="D1375" s="3" t="inlineStr">
        <is>
          <t>Бабье царство</t>
        </is>
      </c>
      <c r="E1375" s="2" t="n">
        <v>1976</v>
      </c>
      <c r="F1375" s="2" t="inlineStr">
        <is>
          <t>фильм-спектакль</t>
        </is>
      </c>
      <c r="G1375" s="2" t="inlineStr">
        <is>
          <t>Ленинградское телевидение</t>
        </is>
      </c>
      <c r="H1375" s="2" t="n">
        <v>52</v>
      </c>
      <c r="I1375" s="2" t="inlineStr"/>
      <c r="J1375" s="2" t="inlineStr">
        <is>
          <t>да</t>
        </is>
      </c>
      <c r="K1375" s="3" t="inlineStr">
        <is>
          <t>Телеспектакль по одноименному рассказу А. П. Чехова.</t>
        </is>
      </c>
      <c r="L1375" s="2" t="inlineStr">
        <is>
          <t>https://www.kino-teatr.ru/teatr/movie/123872/annot/</t>
        </is>
      </c>
      <c r="M1375" s="2">
        <f>HYPERLINK("https://ru.wikipedia.org/w/index.php?search=%D0%91%D0%B0%D0%B1%D1%8C%D0%B5%20%D1%86%D0%B0%D1%80%D1%81%D1%82%D0%B2%D0%BE%201976%20%D1%84%D0%B8%D0%BB%D1%8C%D0%BC","искать")</f>
        <v/>
      </c>
      <c r="N1375" s="3" t="n"/>
      <c r="O1375" s="2" t="n"/>
      <c r="P1375" s="2" t="n"/>
    </row>
    <row r="1376">
      <c r="A1376" s="2" t="n">
        <v>1375</v>
      </c>
      <c r="B1376" s="2" t="inlineStr">
        <is>
          <t>не сюжет</t>
        </is>
      </c>
      <c r="C1376" s="2" t="n">
        <v>10920</v>
      </c>
      <c r="D1376" s="3" t="inlineStr">
        <is>
          <t>Трудная роль</t>
        </is>
      </c>
      <c r="E1376" s="2" t="n">
        <v>1981</v>
      </c>
      <c r="F1376" s="2" t="inlineStr">
        <is>
          <t>фильм-спектакль</t>
        </is>
      </c>
      <c r="G1376" s="2" t="inlineStr">
        <is>
          <t>Литовское телевидение</t>
        </is>
      </c>
      <c r="H1376" s="2" t="n">
        <v>52</v>
      </c>
      <c r="I1376" s="2" t="inlineStr"/>
      <c r="J1376" s="2" t="inlineStr">
        <is>
          <t>да</t>
        </is>
      </c>
      <c r="K1376" s="3" t="inlineStr">
        <is>
          <t>Спектакль по пьесе немецкого писателя Генриха Бёлля.</t>
        </is>
      </c>
      <c r="L1376" s="2" t="inlineStr">
        <is>
          <t>https://www.kino-teatr.ru/teatr/movie/107807/annot/</t>
        </is>
      </c>
      <c r="M1376" s="2">
        <f>HYPERLINK("https://ru.wikipedia.org/w/index.php?search=%D0%A2%D1%80%D1%83%D0%B4%D0%BD%D0%B0%D1%8F%20%D1%80%D0%BE%D0%BB%D1%8C%201981%20%D1%84%D0%B8%D0%BB%D1%8C%D0%BC","искать")</f>
        <v/>
      </c>
      <c r="N1376" s="3" t="n"/>
      <c r="O1376" s="2" t="n"/>
      <c r="P1376" s="2" t="n"/>
    </row>
    <row r="1377">
      <c r="A1377" s="2" t="n">
        <v>1376</v>
      </c>
      <c r="B1377" s="2" t="inlineStr">
        <is>
          <t>не сюжет</t>
        </is>
      </c>
      <c r="C1377" s="2" t="n">
        <v>11086</v>
      </c>
      <c r="D1377" s="3" t="inlineStr">
        <is>
          <t>Сцены из трагедии М.Лермонтова "Маскарад"</t>
        </is>
      </c>
      <c r="E1377" s="2" t="n">
        <v>1985</v>
      </c>
      <c r="F1377" s="2" t="inlineStr">
        <is>
          <t>фильм-спектакль</t>
        </is>
      </c>
      <c r="G1377" s="2" t="inlineStr">
        <is>
          <t>Главная редакция литературно-драматических программ ЦТ</t>
        </is>
      </c>
      <c r="H1377" s="2" t="n">
        <v>52</v>
      </c>
      <c r="I1377" s="2" t="inlineStr"/>
      <c r="J1377" s="2" t="inlineStr">
        <is>
          <t>да</t>
        </is>
      </c>
      <c r="K1377" s="3" t="inlineStr">
        <is>
          <t>Телеспектакль. По трагедии М. Лермонтова «Маскарад».</t>
        </is>
      </c>
      <c r="L1377" s="2" t="inlineStr">
        <is>
          <t>https://www.kino-teatr.ru/teatr/movie/6905/annot/</t>
        </is>
      </c>
      <c r="M1377" s="2">
        <f>HYPERLINK("https://ru.wikipedia.org/w/index.php?search=%D0%A1%D1%86%D0%B5%D0%BD%D1%8B%20%D0%B8%D0%B7%20%D1%82%D1%80%D0%B0%D0%B3%D0%B5%D0%B4%D0%B8%D0%B8%20%D0%9C.%D0%9B%D0%B5%D1%80%D0%BC%D0%BE%D0%BD%D1%82%D0%BE%D0%B2%D0%B0%20%22%D0%9C%D0%B0%D1%81%D0%BA%D0%B0%D1%80%D0%B0%D0%B4%22%201985%20%D1%84%D0%B8%D0%BB%D1%8C%D0%BC","искать")</f>
        <v/>
      </c>
      <c r="N1377" s="3" t="n"/>
      <c r="O1377" s="2" t="n"/>
      <c r="P1377" s="2" t="n"/>
    </row>
    <row r="1378">
      <c r="A1378" s="2" t="n">
        <v>1377</v>
      </c>
      <c r="B1378" s="2" t="inlineStr">
        <is>
          <t>не сюжет</t>
        </is>
      </c>
      <c r="C1378" s="2" t="n">
        <v>11113</v>
      </c>
      <c r="D1378" s="3" t="inlineStr">
        <is>
          <t>Карнавал (фильм-балет)</t>
        </is>
      </c>
      <c r="E1378" s="2" t="n">
        <v>1986</v>
      </c>
      <c r="F1378" s="2" t="inlineStr">
        <is>
          <t>фильм-спектакль</t>
        </is>
      </c>
      <c r="G1378" s="2" t="inlineStr">
        <is>
          <t>Лентелефильм</t>
        </is>
      </c>
      <c r="H1378" s="2" t="n">
        <v>52</v>
      </c>
      <c r="I1378" s="2" t="inlineStr"/>
      <c r="J1378" s="2" t="inlineStr">
        <is>
          <t>да</t>
        </is>
      </c>
      <c r="K1378" s="3" t="inlineStr">
        <is>
          <t>По мотивам балета Михаила Фокина на музыку Р.Шумана.</t>
        </is>
      </c>
      <c r="L1378" s="2" t="inlineStr">
        <is>
          <t>https://www.kino-teatr.ru/teatr/movie/16569/annot/</t>
        </is>
      </c>
      <c r="M1378" s="2">
        <f>HYPERLINK("https://ru.wikipedia.org/w/index.php?search=%D0%9A%D0%B0%D1%80%D0%BD%D0%B0%D0%B2%D0%B0%D0%BB%20%28%D1%84%D0%B8%D0%BB%D1%8C%D0%BC-%D0%B1%D0%B0%D0%BB%D0%B5%D1%82%29%201986%20%D1%84%D0%B8%D0%BB%D1%8C%D0%BC","искать")</f>
        <v/>
      </c>
      <c r="N1378" s="3" t="n"/>
      <c r="O1378" s="2" t="n"/>
      <c r="P1378" s="2" t="n"/>
    </row>
    <row r="1379">
      <c r="A1379" s="2" t="n">
        <v>1378</v>
      </c>
      <c r="B1379" s="2" t="inlineStr">
        <is>
          <t>не сюжет</t>
        </is>
      </c>
      <c r="C1379" s="2" t="n">
        <v>11578</v>
      </c>
      <c r="D1379" s="3" t="inlineStr">
        <is>
          <t>Разоружение ("Крокодил" В женеве)</t>
        </is>
      </c>
      <c r="E1379" s="2" t="n">
        <v>1932</v>
      </c>
      <c r="F1379" s="2" t="inlineStr">
        <is>
          <t>мультфильм</t>
        </is>
      </c>
      <c r="G1379" s="2" t="inlineStr">
        <is>
          <t>Московская ф-ка СОЮЗКИНО</t>
        </is>
      </c>
      <c r="H1379" s="2" t="n">
        <v>52</v>
      </c>
      <c r="I1379" s="2" t="inlineStr"/>
      <c r="J1379" s="2" t="inlineStr">
        <is>
          <t>да</t>
        </is>
      </c>
      <c r="K1379" s="3" t="inlineStr">
        <is>
          <t>Политический плакат против Лиги Наций. Не сохранился</t>
        </is>
      </c>
      <c r="L1379" s="2" t="inlineStr">
        <is>
          <t>https://animator.ru/db/?p=show_film&amp;fid=2432</t>
        </is>
      </c>
      <c r="M1379" s="2">
        <f>HYPERLINK("https://ru.wikipedia.org/w/index.php?search=%D0%A0%D0%B0%D0%B7%D0%BE%D1%80%D1%83%D0%B6%D0%B5%D0%BD%D0%B8%D0%B5%20%28%22%D0%9A%D1%80%D0%BE%D0%BA%D0%BE%D0%B4%D0%B8%D0%BB%22%20%D0%92%20%D0%B6%D0%B5%D0%BD%D0%B5%D0%B2%D0%B5%29%201932%20%D1%84%D0%B8%D0%BB%D1%8C%D0%BC","искать")</f>
        <v/>
      </c>
      <c r="N1379" s="3" t="n"/>
      <c r="O1379" s="2" t="n"/>
      <c r="P1379" s="2" t="n"/>
    </row>
    <row r="1380">
      <c r="A1380" s="2" t="n">
        <v>1379</v>
      </c>
      <c r="B1380" s="2" t="inlineStr">
        <is>
          <t>не сюжет</t>
        </is>
      </c>
      <c r="C1380" s="2" t="n">
        <v>11632</v>
      </c>
      <c r="D1380" s="3" t="inlineStr">
        <is>
          <t>Лабиринт</t>
        </is>
      </c>
      <c r="E1380" s="2" t="n">
        <v>1971</v>
      </c>
      <c r="F1380" s="2" t="inlineStr">
        <is>
          <t>мультфильм</t>
        </is>
      </c>
      <c r="G1380" s="2" t="inlineStr">
        <is>
          <t>Союзмультфильм</t>
        </is>
      </c>
      <c r="H1380" s="2" t="n">
        <v>52</v>
      </c>
      <c r="I1380" s="2" t="inlineStr"/>
      <c r="J1380" s="2" t="inlineStr">
        <is>
          <t>да</t>
        </is>
      </c>
      <c r="K1380" s="3" t="inlineStr">
        <is>
          <t>По мотивам античного мифа о Минотавре и герое Тесее.</t>
        </is>
      </c>
      <c r="L1380" s="2" t="inlineStr">
        <is>
          <t>https://animator.ru/db/?p=show_film&amp;fid=2546</t>
        </is>
      </c>
      <c r="M1380" s="2">
        <f>HYPERLINK("https://ru.wikipedia.org/w/index.php?search=%D0%9B%D0%B0%D0%B1%D0%B8%D1%80%D0%B8%D0%BD%D1%82%201971%20%D1%84%D0%B8%D0%BB%D1%8C%D0%BC","искать")</f>
        <v/>
      </c>
      <c r="N1380" s="3" t="n"/>
      <c r="O1380" s="2" t="n"/>
      <c r="P1380" s="2" t="n"/>
    </row>
    <row r="1381">
      <c r="A1381" s="2" t="n">
        <v>1380</v>
      </c>
      <c r="B1381" s="2" t="inlineStr">
        <is>
          <t>не сюжет</t>
        </is>
      </c>
      <c r="C1381" s="2" t="n">
        <v>11668</v>
      </c>
      <c r="D1381" s="3" t="inlineStr">
        <is>
          <t>Заветная мечта</t>
        </is>
      </c>
      <c r="E1381" s="2" t="n">
        <v>1972</v>
      </c>
      <c r="F1381" s="2" t="inlineStr">
        <is>
          <t>мультфильм</t>
        </is>
      </c>
      <c r="G1381" s="2" t="inlineStr">
        <is>
          <t>Союзмультфильм</t>
        </is>
      </c>
      <c r="H1381" s="2" t="n">
        <v>52</v>
      </c>
      <c r="I1381" s="2" t="inlineStr"/>
      <c r="J1381" s="2" t="inlineStr">
        <is>
          <t>да</t>
        </is>
      </c>
      <c r="K1381" s="3" t="inlineStr">
        <is>
          <t>О маленьком ослике, который мечтал приносить пользу.</t>
        </is>
      </c>
      <c r="L1381" s="2" t="inlineStr">
        <is>
          <t>2026-10_мультфильмы_список_владельца.xlsx; https://animator.ru/db/?p=show_film&amp;fid=2582</t>
        </is>
      </c>
      <c r="M1381" s="2">
        <f>HYPERLINK("https://ru.wikipedia.org/w/index.php?search=%D0%97%D0%B0%D0%B2%D0%B5%D1%82%D0%BD%D0%B0%D1%8F%20%D0%BC%D0%B5%D1%87%D1%82%D0%B0%201972%20%D1%84%D0%B8%D0%BB%D1%8C%D0%BC","искать")</f>
        <v/>
      </c>
      <c r="N1381" s="3" t="n"/>
      <c r="O1381" s="2" t="n"/>
      <c r="P1381" s="2" t="n"/>
    </row>
    <row r="1382">
      <c r="A1382" s="2" t="n">
        <v>1381</v>
      </c>
      <c r="B1382" s="2" t="inlineStr">
        <is>
          <t>не сюжет</t>
        </is>
      </c>
      <c r="C1382" s="2" t="n">
        <v>11725</v>
      </c>
      <c r="D1382" s="3" t="inlineStr">
        <is>
          <t>ПОМЕХИ В ЦЕХЕ ("Фитиль" N 132)</t>
        </is>
      </c>
      <c r="E1382" s="2" t="n">
        <v>1973</v>
      </c>
      <c r="F1382" s="2" t="inlineStr">
        <is>
          <t>мультфильм</t>
        </is>
      </c>
      <c r="G1382" s="2" t="inlineStr">
        <is>
          <t>Союзмультфильм</t>
        </is>
      </c>
      <c r="H1382" s="2" t="n">
        <v>52</v>
      </c>
      <c r="I1382" s="2" t="inlineStr"/>
      <c r="J1382" s="2" t="inlineStr">
        <is>
          <t>да</t>
        </is>
      </c>
      <c r="K1382" s="3" t="inlineStr">
        <is>
          <t>О людях, занимающихся в рабочее время другими делами</t>
        </is>
      </c>
      <c r="L1382" s="2" t="inlineStr">
        <is>
          <t>https://animator.ru/db/?p=show_film&amp;fid=2639</t>
        </is>
      </c>
      <c r="M1382" s="2">
        <f>HYPERLINK("https://ru.wikipedia.org/w/index.php?search=%D0%9F%D0%9E%D0%9C%D0%95%D0%A5%D0%98%20%D0%92%20%D0%A6%D0%95%D0%A5%D0%95%20%28%22%D0%A4%D0%B8%D1%82%D0%B8%D0%BB%D1%8C%22%20N%20132%29%201973%20%D1%84%D0%B8%D0%BB%D1%8C%D0%BC","искать")</f>
        <v/>
      </c>
      <c r="N1382" s="3" t="n"/>
      <c r="O1382" s="2" t="n"/>
      <c r="P1382" s="2" t="n"/>
    </row>
    <row r="1383">
      <c r="A1383" s="2" t="n">
        <v>1382</v>
      </c>
      <c r="B1383" s="2" t="inlineStr">
        <is>
          <t>не сюжет</t>
        </is>
      </c>
      <c r="C1383" s="2" t="n">
        <v>11750</v>
      </c>
      <c r="D1383" s="3" t="inlineStr">
        <is>
          <t>Сказка о попе и о работнике его Балде</t>
        </is>
      </c>
      <c r="E1383" s="2" t="n">
        <v>1973</v>
      </c>
      <c r="F1383" s="2" t="inlineStr">
        <is>
          <t>мультфильм</t>
        </is>
      </c>
      <c r="G1383" s="2" t="inlineStr">
        <is>
          <t>Союзмультфильм</t>
        </is>
      </c>
      <c r="H1383" s="2" t="n">
        <v>52</v>
      </c>
      <c r="I1383" s="2" t="inlineStr"/>
      <c r="J1383" s="2" t="inlineStr">
        <is>
          <t>да</t>
        </is>
      </c>
      <c r="K1383" s="3" t="inlineStr">
        <is>
          <t>Музыкальное представление по мотивам сказки Пушкина.</t>
        </is>
      </c>
      <c r="L1383" s="2" t="inlineStr">
        <is>
          <t>2026-10_мультфильмы_список_владельца.xlsx; https://animator.ru/db/?p=show_film&amp;fid=2664</t>
        </is>
      </c>
      <c r="M1383" s="2">
        <f>HYPERLINK("https://ru.wikipedia.org/w/index.php?search=%D0%A1%D0%BA%D0%B0%D0%B7%D0%BA%D0%B0%20%D0%BE%20%D0%BF%D0%BE%D0%BF%D0%B5%20%D0%B8%20%D0%BE%20%D1%80%D0%B0%D0%B1%D0%BE%D1%82%D0%BD%D0%B8%D0%BA%D0%B5%20%D0%B5%D0%B3%D0%BE%20%D0%91%D0%B0%D0%BB%D0%B4%D0%B5%201973%20%D1%84%D0%B8%D0%BB%D1%8C%D0%BC","искать")</f>
        <v/>
      </c>
      <c r="N1383" s="3" t="n"/>
      <c r="O1383" s="2" t="n"/>
      <c r="P1383" s="2" t="n"/>
    </row>
    <row r="1384">
      <c r="A1384" s="2" t="n">
        <v>1383</v>
      </c>
      <c r="B1384" s="2" t="inlineStr">
        <is>
          <t>не сюжет</t>
        </is>
      </c>
      <c r="C1384" s="2" t="n">
        <v>11888</v>
      </c>
      <c r="D1384" s="3" t="inlineStr">
        <is>
          <t>Приключения Хомы</t>
        </is>
      </c>
      <c r="E1384" s="2" t="n">
        <v>1978</v>
      </c>
      <c r="F1384" s="2" t="inlineStr">
        <is>
          <t>мультфильм</t>
        </is>
      </c>
      <c r="G1384" s="2" t="inlineStr">
        <is>
          <t>Союзмультфильм</t>
        </is>
      </c>
      <c r="H1384" s="2" t="n">
        <v>52</v>
      </c>
      <c r="I1384" s="2" t="inlineStr"/>
      <c r="J1384" s="2" t="inlineStr">
        <is>
          <t>да</t>
        </is>
      </c>
      <c r="K1384" s="3" t="inlineStr">
        <is>
          <t>Приключения двух закадычных друзей - Хомы и Суслика.</t>
        </is>
      </c>
      <c r="L1384" s="2" t="inlineStr">
        <is>
          <t>2026-10_мультфильмы_список_владельца.xlsx; https://animator.ru/db/?p=show_film&amp;fid=2803</t>
        </is>
      </c>
      <c r="M1384" s="2">
        <f>HYPERLINK("https://ru.wikipedia.org/w/index.php?search=%D0%9F%D1%80%D0%B8%D0%BA%D0%BB%D1%8E%D1%87%D0%B5%D0%BD%D0%B8%D1%8F%20%D0%A5%D0%BE%D0%BC%D1%8B%201978%20%D1%84%D0%B8%D0%BB%D1%8C%D0%BC","искать")</f>
        <v/>
      </c>
      <c r="N1384" s="3" t="n"/>
      <c r="O1384" s="2" t="n"/>
      <c r="P1384" s="2" t="n"/>
    </row>
    <row r="1385">
      <c r="A1385" s="2" t="n">
        <v>1384</v>
      </c>
      <c r="B1385" s="2" t="inlineStr">
        <is>
          <t>не сюжет</t>
        </is>
      </c>
      <c r="C1385" s="2" t="n">
        <v>12145</v>
      </c>
      <c r="D1385" s="3" t="inlineStr">
        <is>
          <t>Мистер Уксус и Миссис Уксус</t>
        </is>
      </c>
      <c r="E1385" s="2" t="n">
        <v>1985</v>
      </c>
      <c r="F1385" s="2" t="inlineStr">
        <is>
          <t>мультфильм</t>
        </is>
      </c>
      <c r="G1385" s="2" t="inlineStr">
        <is>
          <t>Союзмультфильм</t>
        </is>
      </c>
      <c r="H1385" s="2" t="n">
        <v>52</v>
      </c>
      <c r="I1385" s="2" t="inlineStr"/>
      <c r="J1385" s="2" t="inlineStr">
        <is>
          <t>да</t>
        </is>
      </c>
      <c r="K1385" s="3" t="inlineStr">
        <is>
          <t>По мотивам английских сказок про сварливых супругов.</t>
        </is>
      </c>
      <c r="L1385" s="2" t="inlineStr">
        <is>
          <t>2026-10_мультфильмы_список_владельца.xlsx; https://animator.ru/db/?p=show_film&amp;fid=3261</t>
        </is>
      </c>
      <c r="M1385" s="2">
        <f>HYPERLINK("https://ru.wikipedia.org/w/index.php?search=%D0%9C%D0%B8%D1%81%D1%82%D0%B5%D1%80%20%D0%A3%D0%BA%D1%81%D1%83%D1%81%20%D0%B8%20%D0%9C%D0%B8%D1%81%D1%81%D0%B8%D1%81%20%D0%A3%D0%BA%D1%81%D1%83%D1%81%201985%20%D1%84%D0%B8%D0%BB%D1%8C%D0%BC","искать")</f>
        <v/>
      </c>
      <c r="N1385" s="3" t="n"/>
      <c r="O1385" s="2" t="n"/>
      <c r="P1385" s="2" t="n"/>
    </row>
    <row r="1386">
      <c r="A1386" s="2" t="n">
        <v>1385</v>
      </c>
      <c r="B1386" s="2" t="inlineStr">
        <is>
          <t>не сюжет</t>
        </is>
      </c>
      <c r="C1386" s="2" t="n">
        <v>12146</v>
      </c>
      <c r="D1386" s="3" t="inlineStr">
        <is>
          <t>Мы с Шерлоком Холмсом</t>
        </is>
      </c>
      <c r="E1386" s="2" t="n">
        <v>1985</v>
      </c>
      <c r="F1386" s="2" t="inlineStr">
        <is>
          <t>мультфильм</t>
        </is>
      </c>
      <c r="G1386" s="2" t="inlineStr">
        <is>
          <t>Союзмультфильм</t>
        </is>
      </c>
      <c r="H1386" s="2" t="n">
        <v>52</v>
      </c>
      <c r="I1386" s="2" t="inlineStr"/>
      <c r="J1386" s="2" t="inlineStr">
        <is>
          <t>да</t>
        </is>
      </c>
      <c r="K1386" s="3" t="inlineStr">
        <is>
          <t>Шутливые пародии на темы рассказов о Шерлоке Холмсе.</t>
        </is>
      </c>
      <c r="L1386" s="2" t="inlineStr">
        <is>
          <t>2026-10_мультфильмы_список_владельца.xlsx; https://animator.ru/db/?p=show_film&amp;fid=3262</t>
        </is>
      </c>
      <c r="M1386" s="2">
        <f>HYPERLINK("https://ru.wikipedia.org/w/index.php?search=%D0%9C%D1%8B%20%D1%81%20%D0%A8%D0%B5%D1%80%D0%BB%D0%BE%D0%BA%D0%BE%D0%BC%20%D0%A5%D0%BE%D0%BB%D0%BC%D1%81%D0%BE%D0%BC%201985%20%D1%84%D0%B8%D0%BB%D1%8C%D0%BC","искать")</f>
        <v/>
      </c>
      <c r="N1386" s="3" t="n"/>
      <c r="O1386" s="2" t="n"/>
      <c r="P1386" s="2" t="n"/>
    </row>
    <row r="1387">
      <c r="A1387" s="2" t="n">
        <v>1386</v>
      </c>
      <c r="B1387" s="2" t="inlineStr">
        <is>
          <t>не сюжет</t>
        </is>
      </c>
      <c r="C1387" s="2" t="n">
        <v>12194</v>
      </c>
      <c r="D1387" s="3" t="inlineStr">
        <is>
          <t>Три новеллы</t>
        </is>
      </c>
      <c r="E1387" s="2" t="n">
        <v>1986</v>
      </c>
      <c r="F1387" s="2" t="inlineStr">
        <is>
          <t>мультфильм</t>
        </is>
      </c>
      <c r="G1387" s="2" t="inlineStr">
        <is>
          <t>Союзмультфильм</t>
        </is>
      </c>
      <c r="H1387" s="2" t="n">
        <v>52</v>
      </c>
      <c r="I1387" s="2" t="inlineStr"/>
      <c r="J1387" s="2" t="inlineStr">
        <is>
          <t>да</t>
        </is>
      </c>
      <c r="K1387" s="3" t="inlineStr">
        <is>
          <t>Три истории о том, как горожанам необходима природа.</t>
        </is>
      </c>
      <c r="L1387" s="2" t="inlineStr">
        <is>
          <t>2026-10_мультфильмы_список_владельца.xlsx; https://animator.ru/db/?p=show_film&amp;fid=3311</t>
        </is>
      </c>
      <c r="M1387" s="2">
        <f>HYPERLINK("https://ru.wikipedia.org/w/index.php?search=%D0%A2%D1%80%D0%B8%20%D0%BD%D0%BE%D0%B2%D0%B5%D0%BB%D0%BB%D1%8B%201986%20%D1%84%D0%B8%D0%BB%D1%8C%D0%BC","искать")</f>
        <v/>
      </c>
      <c r="N1387" s="3" t="n"/>
      <c r="O1387" s="2" t="n"/>
      <c r="P1387" s="2" t="n"/>
    </row>
    <row r="1388">
      <c r="A1388" s="2" t="n">
        <v>1387</v>
      </c>
      <c r="B1388" s="2" t="inlineStr">
        <is>
          <t>не сюжет</t>
        </is>
      </c>
      <c r="C1388" s="2" t="n">
        <v>12561</v>
      </c>
      <c r="D1388" s="3" t="inlineStr">
        <is>
          <t>Солнышко и снежные человечки</t>
        </is>
      </c>
      <c r="E1388" s="2" t="n">
        <v>1985</v>
      </c>
      <c r="F1388" s="2" t="inlineStr">
        <is>
          <t>мультфильм</t>
        </is>
      </c>
      <c r="G1388" s="2" t="inlineStr">
        <is>
          <t>КИЕВНАУЧФИЛЬМ</t>
        </is>
      </c>
      <c r="H1388" s="2" t="n">
        <v>52</v>
      </c>
      <c r="I1388" s="2" t="inlineStr"/>
      <c r="J1388" s="2" t="inlineStr">
        <is>
          <t>да</t>
        </is>
      </c>
      <c r="K1388" s="3" t="inlineStr">
        <is>
          <t>По мотивам румынской сказки в пересказе Н.Слепаковой</t>
        </is>
      </c>
      <c r="L1388" s="2" t="inlineStr">
        <is>
          <t>https://animator.ru/db/?p=show_film&amp;fid=3740</t>
        </is>
      </c>
      <c r="M1388" s="2">
        <f>HYPERLINK("https://ru.wikipedia.org/w/index.php?search=%D0%A1%D0%BE%D0%BB%D0%BD%D1%8B%D1%88%D0%BA%D0%BE%20%D0%B8%20%D1%81%D0%BD%D0%B5%D0%B6%D0%BD%D1%8B%D0%B5%20%D1%87%D0%B5%D0%BB%D0%BE%D0%B2%D0%B5%D1%87%D0%BA%D0%B8%201985%20%D1%84%D0%B8%D0%BB%D1%8C%D0%BC","искать")</f>
        <v/>
      </c>
      <c r="N1388" s="3" t="n"/>
      <c r="O1388" s="2" t="n"/>
      <c r="P1388" s="2" t="n"/>
    </row>
    <row r="1389">
      <c r="A1389" s="2" t="n">
        <v>1388</v>
      </c>
      <c r="B1389" s="2" t="inlineStr">
        <is>
          <t>не сюжет</t>
        </is>
      </c>
      <c r="C1389" s="2" t="n">
        <v>13063</v>
      </c>
      <c r="D1389" s="3" t="inlineStr">
        <is>
          <t>Пшик</t>
        </is>
      </c>
      <c r="E1389" s="2" t="n">
        <v>1971</v>
      </c>
      <c r="F1389" s="2" t="inlineStr">
        <is>
          <t>мультфильм</t>
        </is>
      </c>
      <c r="G1389" s="2" t="inlineStr">
        <is>
          <t>ГОСТЕЛЕРАДИО ЛАТВ. ССР ("ТЕЛЕФИЛЬМ-РИГА")</t>
        </is>
      </c>
      <c r="H1389" s="2" t="n">
        <v>52</v>
      </c>
      <c r="I1389" s="2" t="inlineStr"/>
      <c r="J1389" s="2" t="inlineStr">
        <is>
          <t>да</t>
        </is>
      </c>
      <c r="K1389" s="3" t="inlineStr">
        <is>
          <t>По мотивам латышской народной сказки о жадном барине</t>
        </is>
      </c>
      <c r="L1389" s="2" t="inlineStr">
        <is>
          <t>https://animator.ru/db/?p=show_film&amp;fid=4295</t>
        </is>
      </c>
      <c r="M1389" s="2">
        <f>HYPERLINK("https://ru.wikipedia.org/w/index.php?search=%D0%9F%D1%88%D0%B8%D0%BA%201971%20%D1%84%D0%B8%D0%BB%D1%8C%D0%BC","искать")</f>
        <v/>
      </c>
      <c r="N1389" s="3" t="n"/>
      <c r="O1389" s="2" t="n"/>
      <c r="P1389" s="2" t="n"/>
    </row>
    <row r="1390">
      <c r="A1390" s="2" t="n">
        <v>1389</v>
      </c>
      <c r="B1390" s="2" t="inlineStr">
        <is>
          <t>не сюжет</t>
        </is>
      </c>
      <c r="C1390" s="2" t="n">
        <v>13278</v>
      </c>
      <c r="D1390" s="3" t="inlineStr">
        <is>
          <t>Помощники</t>
        </is>
      </c>
      <c r="E1390" s="2" t="n">
        <v>1985</v>
      </c>
      <c r="F1390" s="2" t="inlineStr">
        <is>
          <t>мультфильм</t>
        </is>
      </c>
      <c r="G1390" s="2" t="inlineStr">
        <is>
          <t>УЗБЕКФИЛЬМ</t>
        </is>
      </c>
      <c r="H1390" s="2" t="n">
        <v>52</v>
      </c>
      <c r="I1390" s="2" t="inlineStr"/>
      <c r="J1390" s="2" t="inlineStr">
        <is>
          <t>да</t>
        </is>
      </c>
      <c r="K1390" s="3" t="inlineStr">
        <is>
          <t>Вся семья должна помогать хозяйке дома. Для взрослых</t>
        </is>
      </c>
      <c r="L1390" s="2" t="inlineStr">
        <is>
          <t>https://animator.ru/db/?p=show_film&amp;fid=4535</t>
        </is>
      </c>
      <c r="M1390" s="2">
        <f>HYPERLINK("https://ru.wikipedia.org/w/index.php?search=%D0%9F%D0%BE%D0%BC%D0%BE%D1%89%D0%BD%D0%B8%D0%BA%D0%B8%201985%20%D1%84%D0%B8%D0%BB%D1%8C%D0%BC","искать")</f>
        <v/>
      </c>
      <c r="N1390" s="3" t="n"/>
      <c r="O1390" s="2" t="n"/>
      <c r="P1390" s="2" t="n"/>
    </row>
    <row r="1391">
      <c r="A1391" s="2" t="n">
        <v>1390</v>
      </c>
      <c r="B1391" s="2" t="inlineStr">
        <is>
          <t>не сюжет</t>
        </is>
      </c>
      <c r="C1391" s="2" t="n">
        <v>13410</v>
      </c>
      <c r="D1391" s="3" t="inlineStr">
        <is>
          <t>Палле один на свете</t>
        </is>
      </c>
      <c r="E1391" s="2" t="n">
        <v>1981</v>
      </c>
      <c r="F1391" s="2" t="inlineStr">
        <is>
          <t>мультфильм</t>
        </is>
      </c>
      <c r="G1391" s="2" t="inlineStr">
        <is>
          <t>ЭКРАН</t>
        </is>
      </c>
      <c r="H1391" s="2" t="n">
        <v>52</v>
      </c>
      <c r="I1391" s="2" t="inlineStr"/>
      <c r="J1391" s="2" t="inlineStr">
        <is>
          <t>да</t>
        </is>
      </c>
      <c r="K1391" s="3" t="inlineStr">
        <is>
          <t>По одноиименной сказке датского писателя И.Сигогорда</t>
        </is>
      </c>
      <c r="L1391" s="2" t="inlineStr">
        <is>
          <t>https://animator.ru/db/?p=show_film&amp;fid=4690</t>
        </is>
      </c>
      <c r="M1391" s="2">
        <f>HYPERLINK("https://ru.wikipedia.org/w/index.php?search=%D0%9F%D0%B0%D0%BB%D0%BB%D0%B5%20%D0%BE%D0%B4%D0%B8%D0%BD%20%D0%BD%D0%B0%20%D1%81%D0%B2%D0%B5%D1%82%D0%B5%201981%20%D1%84%D0%B8%D0%BB%D1%8C%D0%BC","искать")</f>
        <v/>
      </c>
      <c r="N1391" s="3" t="n"/>
      <c r="O1391" s="2" t="n"/>
      <c r="P1391" s="2" t="n"/>
    </row>
    <row r="1392">
      <c r="A1392" s="2" t="n">
        <v>1391</v>
      </c>
      <c r="B1392" s="2" t="inlineStr">
        <is>
          <t>не сюжет</t>
        </is>
      </c>
      <c r="C1392" s="2" t="n">
        <v>13427</v>
      </c>
      <c r="D1392" s="3" t="inlineStr">
        <is>
          <t>Рождение Геракла</t>
        </is>
      </c>
      <c r="E1392" s="2" t="n">
        <v>1982</v>
      </c>
      <c r="F1392" s="2" t="inlineStr">
        <is>
          <t>мультфильм</t>
        </is>
      </c>
      <c r="G1392" s="2" t="inlineStr">
        <is>
          <t>СОЮЗТЕЛЕФИЛЬМ</t>
        </is>
      </c>
      <c r="H1392" s="2" t="n">
        <v>52</v>
      </c>
      <c r="I1392" s="2" t="inlineStr"/>
      <c r="J1392" s="2" t="inlineStr">
        <is>
          <t>да</t>
        </is>
      </c>
      <c r="K1392" s="3" t="inlineStr">
        <is>
          <t>По мотивам древнегреческих мифов о подвигах Геракла.</t>
        </is>
      </c>
      <c r="L1392" s="2" t="inlineStr">
        <is>
          <t>https://animator.ru/db/?p=show_film&amp;fid=4708</t>
        </is>
      </c>
      <c r="M1392" s="2">
        <f>HYPERLINK("https://ru.wikipedia.org/w/index.php?search=%D0%A0%D0%BE%D0%B6%D0%B4%D0%B5%D0%BD%D0%B8%D0%B5%20%D0%93%D0%B5%D1%80%D0%B0%D0%BA%D0%BB%D0%B0%201982%20%D1%84%D0%B8%D0%BB%D1%8C%D0%BC","искать")</f>
        <v/>
      </c>
      <c r="N1392" s="3" t="n"/>
      <c r="O1392" s="2" t="n"/>
      <c r="P1392" s="2" t="n"/>
    </row>
    <row r="1393">
      <c r="A1393" s="2" t="n">
        <v>1392</v>
      </c>
      <c r="B1393" s="2" t="inlineStr">
        <is>
          <t>не сюжет</t>
        </is>
      </c>
      <c r="C1393" s="2" t="n">
        <v>13477</v>
      </c>
      <c r="D1393" s="3" t="inlineStr">
        <is>
          <t>Соломенный бычок</t>
        </is>
      </c>
      <c r="E1393" s="2" t="n">
        <v>1971</v>
      </c>
      <c r="F1393" s="2" t="inlineStr">
        <is>
          <t>мультфильм</t>
        </is>
      </c>
      <c r="G1393" s="2" t="inlineStr">
        <is>
          <t>ЭКРАН</t>
        </is>
      </c>
      <c r="H1393" s="2" t="n">
        <v>52</v>
      </c>
      <c r="I1393" s="2" t="inlineStr"/>
      <c r="J1393" s="2" t="inlineStr">
        <is>
          <t>да</t>
        </is>
      </c>
      <c r="K1393" s="3" t="inlineStr">
        <is>
          <t>По мотивам русских сказок о храбром соломенном бычке</t>
        </is>
      </c>
      <c r="L1393" s="2" t="inlineStr">
        <is>
          <t>https://animator.ru/db/?p=show_film&amp;fid=4765</t>
        </is>
      </c>
      <c r="M1393" s="2">
        <f>HYPERLINK("https://ru.wikipedia.org/w/index.php?search=%D0%A1%D0%BE%D0%BB%D0%BE%D0%BC%D0%B5%D0%BD%D0%BD%D1%8B%D0%B9%20%D0%B1%D1%8B%D1%87%D0%BE%D0%BA%201971%20%D1%84%D0%B8%D0%BB%D1%8C%D0%BC","искать")</f>
        <v/>
      </c>
      <c r="N1393" s="3" t="n"/>
      <c r="O1393" s="2" t="n"/>
      <c r="P1393" s="2" t="n"/>
    </row>
    <row r="1394">
      <c r="A1394" s="2" t="n">
        <v>1393</v>
      </c>
      <c r="B1394" s="2" t="inlineStr">
        <is>
          <t>не сюжет</t>
        </is>
      </c>
      <c r="C1394" s="2" t="n">
        <v>13591</v>
      </c>
      <c r="D1394" s="3" t="inlineStr">
        <is>
          <t>Златовласка</t>
        </is>
      </c>
      <c r="E1394" s="2" t="n">
        <v>1978</v>
      </c>
      <c r="F1394" s="2" t="inlineStr">
        <is>
          <t>мультфильм</t>
        </is>
      </c>
      <c r="G1394" s="2" t="inlineStr">
        <is>
          <t>ЭКРАН</t>
        </is>
      </c>
      <c r="H1394" s="2" t="n">
        <v>52</v>
      </c>
      <c r="I1394" s="2" t="inlineStr"/>
      <c r="J1394" s="2" t="inlineStr">
        <is>
          <t>да</t>
        </is>
      </c>
      <c r="K1394" s="3" t="inlineStr">
        <is>
          <t>По мотивам чешской сказки в пересказе К.Паустовского</t>
        </is>
      </c>
      <c r="L1394" s="2" t="inlineStr">
        <is>
          <t>https://animator.ru/db/?p=show_film&amp;fid=4938</t>
        </is>
      </c>
      <c r="M1394" s="2">
        <f>HYPERLINK("https://ru.wikipedia.org/w/index.php?search=%D0%97%D0%BB%D0%B0%D1%82%D0%BE%D0%B2%D0%BB%D0%B0%D1%81%D0%BA%D0%B0%201978%20%D1%84%D0%B8%D0%BB%D1%8C%D0%BC","искать")</f>
        <v/>
      </c>
      <c r="N1394" s="3" t="n"/>
      <c r="O1394" s="2" t="n"/>
      <c r="P1394" s="2" t="n"/>
    </row>
    <row r="1395">
      <c r="A1395" s="2" t="n">
        <v>1394</v>
      </c>
      <c r="B1395" s="2" t="inlineStr">
        <is>
          <t>не сюжет</t>
        </is>
      </c>
      <c r="C1395" s="2" t="n">
        <v>13744</v>
      </c>
      <c r="D1395" s="3" t="inlineStr">
        <is>
          <t>Басат, победитель тепе-геза</t>
        </is>
      </c>
      <c r="E1395" s="2" t="n">
        <v>1988</v>
      </c>
      <c r="F1395" s="2" t="inlineStr">
        <is>
          <t>мультфильм</t>
        </is>
      </c>
      <c r="G1395" s="2" t="inlineStr">
        <is>
          <t>АЗЕРБАЙДЖАНФИЛЬМ</t>
        </is>
      </c>
      <c r="H1395" s="2" t="n">
        <v>52</v>
      </c>
      <c r="I1395" s="2" t="inlineStr"/>
      <c r="J1395" s="2" t="inlineStr">
        <is>
          <t>да</t>
        </is>
      </c>
      <c r="K1395" s="3" t="inlineStr">
        <is>
          <t>По моттивам азербайджанского эпоса о богатыре Басаке</t>
        </is>
      </c>
      <c r="L1395" s="2" t="inlineStr">
        <is>
          <t>https://animator.ru/db/?p=show_film&amp;fid=5137</t>
        </is>
      </c>
      <c r="M1395" s="2">
        <f>HYPERLINK("https://ru.wikipedia.org/w/index.php?search=%D0%91%D0%B0%D1%81%D0%B0%D1%82%2C%20%D0%BF%D0%BE%D0%B1%D0%B5%D0%B4%D0%B8%D1%82%D0%B5%D0%BB%D1%8C%20%D1%82%D0%B5%D0%BF%D0%B5-%D0%B3%D0%B5%D0%B7%D0%B0%201988%20%D1%84%D0%B8%D0%BB%D1%8C%D0%BC","искать")</f>
        <v/>
      </c>
      <c r="N1395" s="3" t="n"/>
      <c r="O1395" s="2" t="n"/>
      <c r="P1395" s="2" t="n"/>
    </row>
    <row r="1396">
      <c r="A1396" s="2" t="n">
        <v>1395</v>
      </c>
      <c r="B1396" s="2" t="inlineStr">
        <is>
          <t>не сюжет</t>
        </is>
      </c>
      <c r="C1396" s="2" t="n">
        <v>13746</v>
      </c>
      <c r="D1396" s="3" t="inlineStr">
        <is>
          <t>Крылья, ноги и хвосты</t>
        </is>
      </c>
      <c r="E1396" s="2" t="n">
        <v>1986</v>
      </c>
      <c r="F1396" s="2" t="inlineStr">
        <is>
          <t>мультфильм</t>
        </is>
      </c>
      <c r="G1396" s="2" t="inlineStr">
        <is>
          <t>МУЛЬТТЕЛЕФИЛЬМ ("Экран")</t>
        </is>
      </c>
      <c r="H1396" s="2" t="n">
        <v>52</v>
      </c>
      <c r="I1396" s="2" t="inlineStr"/>
      <c r="J1396" s="2" t="inlineStr">
        <is>
          <t>да</t>
        </is>
      </c>
      <c r="K1396" s="3" t="inlineStr">
        <is>
          <t>"Лучше день потерять, потом за пять минут долететь!"</t>
        </is>
      </c>
      <c r="L1396" s="2" t="inlineStr">
        <is>
          <t>2026-10_мультфильмы_список_владельца.xlsx; https://animator.ru/db/?p=show_film&amp;fid=5139</t>
        </is>
      </c>
      <c r="M1396" s="2">
        <f>HYPERLINK("https://ru.wikipedia.org/w/index.php?search=%D0%9A%D1%80%D1%8B%D0%BB%D1%8C%D1%8F%2C%20%D0%BD%D0%BE%D0%B3%D0%B8%20%D0%B8%20%D1%85%D0%B2%D0%BE%D1%81%D1%82%D1%8B%201986%20%D1%84%D0%B8%D0%BB%D1%8C%D0%BC","искать")</f>
        <v/>
      </c>
      <c r="N1396" s="3" t="n"/>
      <c r="O1396" s="2" t="n"/>
      <c r="P1396" s="2" t="n"/>
    </row>
    <row r="1397">
      <c r="A1397" s="2" t="n">
        <v>1396</v>
      </c>
      <c r="B1397" s="2" t="inlineStr">
        <is>
          <t>не сюжет</t>
        </is>
      </c>
      <c r="C1397" s="2" t="n">
        <v>13797</v>
      </c>
      <c r="D1397" s="3" t="inlineStr">
        <is>
          <t>Новое платье короля</t>
        </is>
      </c>
      <c r="E1397" s="2" t="n">
        <v>1990</v>
      </c>
      <c r="F1397" s="2" t="inlineStr">
        <is>
          <t>мультфильм</t>
        </is>
      </c>
      <c r="G1397" s="2" t="inlineStr">
        <is>
          <t>ЭКРАН</t>
        </is>
      </c>
      <c r="H1397" s="2" t="n">
        <v>52</v>
      </c>
      <c r="I1397" s="2" t="inlineStr"/>
      <c r="J1397" s="2" t="inlineStr">
        <is>
          <t>да</t>
        </is>
      </c>
      <c r="K1397" s="3" t="inlineStr">
        <is>
          <t>"А король-то голый!" Вы, конечно,помните эту сказку!</t>
        </is>
      </c>
      <c r="L1397" s="2" t="inlineStr">
        <is>
          <t>2026-10_мультфильмы_список_владельца.xlsx; https://animator.ru/db/?p=show_film&amp;fid=5190</t>
        </is>
      </c>
      <c r="M1397" s="2">
        <f>HYPERLINK("https://ru.wikipedia.org/w/index.php?search=%D0%9D%D0%BE%D0%B2%D0%BE%D0%B5%20%D0%BF%D0%BB%D0%B0%D1%82%D1%8C%D0%B5%20%D0%BA%D0%BE%D1%80%D0%BE%D0%BB%D1%8F%201990%20%D1%84%D0%B8%D0%BB%D1%8C%D0%BC","искать")</f>
        <v/>
      </c>
      <c r="N1397" s="3" t="n"/>
      <c r="O1397" s="2" t="n"/>
      <c r="P1397" s="2" t="n"/>
    </row>
    <row r="1398">
      <c r="A1398" s="2" t="n">
        <v>1397</v>
      </c>
      <c r="B1398" s="2" t="inlineStr">
        <is>
          <t>не сюжет</t>
        </is>
      </c>
      <c r="C1398" s="2" t="n">
        <v>13948</v>
      </c>
      <c r="D1398" s="3" t="inlineStr">
        <is>
          <t>Фокусник</t>
        </is>
      </c>
      <c r="E1398" s="2" t="n">
        <v>1986</v>
      </c>
      <c r="F1398" s="2" t="inlineStr">
        <is>
          <t>мультфильм</t>
        </is>
      </c>
      <c r="G1398" s="2" t="inlineStr">
        <is>
          <t>МУЛЬТТЕЛЕФИЛЬМ ("Экран")</t>
        </is>
      </c>
      <c r="H1398" s="2" t="n">
        <v>52</v>
      </c>
      <c r="I1398" s="2" t="inlineStr"/>
      <c r="J1398" s="2" t="inlineStr">
        <is>
          <t>да</t>
        </is>
      </c>
      <c r="K1398" s="3" t="inlineStr">
        <is>
          <t>О хищении государственной собственности.Для взрослых</t>
        </is>
      </c>
      <c r="L1398" s="2" t="inlineStr">
        <is>
          <t>https://animator.ru/db/?p=show_film&amp;fid=5342</t>
        </is>
      </c>
      <c r="M1398" s="2">
        <f>HYPERLINK("https://ru.wikipedia.org/w/index.php?search=%D0%A4%D0%BE%D0%BA%D1%83%D1%81%D0%BD%D0%B8%D0%BA%201986%20%D1%84%D0%B8%D0%BB%D1%8C%D0%BC","искать")</f>
        <v/>
      </c>
      <c r="N1398" s="3" t="n"/>
      <c r="O1398" s="2" t="n"/>
      <c r="P1398" s="2" t="n"/>
    </row>
    <row r="1399">
      <c r="A1399" s="2" t="n">
        <v>1398</v>
      </c>
      <c r="B1399" s="2" t="inlineStr">
        <is>
          <t>не сюжет</t>
        </is>
      </c>
      <c r="C1399" s="2" t="n">
        <v>14010</v>
      </c>
      <c r="D1399" s="3" t="inlineStr">
        <is>
          <t>Буренушка</t>
        </is>
      </c>
      <c r="E1399" s="2" t="n">
        <v>1974</v>
      </c>
      <c r="F1399" s="2" t="inlineStr">
        <is>
          <t>мультфильм</t>
        </is>
      </c>
      <c r="G1399" s="2" t="inlineStr">
        <is>
          <t>Свердловская киностудия</t>
        </is>
      </c>
      <c r="H1399" s="2" t="n">
        <v>52</v>
      </c>
      <c r="I1399" s="2" t="inlineStr"/>
      <c r="J1399" s="2" t="inlineStr">
        <is>
          <t>да</t>
        </is>
      </c>
      <c r="K1399" s="3" t="inlineStr">
        <is>
          <t>По мотивам русской народной сказки о девочке-сиротке</t>
        </is>
      </c>
      <c r="L1399" s="2" t="inlineStr">
        <is>
          <t>https://animator.ru/db/?p=show_film&amp;fid=5404</t>
        </is>
      </c>
      <c r="M1399" s="2">
        <f>HYPERLINK("https://ru.wikipedia.org/w/index.php?search=%D0%91%D1%83%D1%80%D0%B5%D0%BD%D1%83%D1%88%D0%BA%D0%B0%201974%20%D1%84%D0%B8%D0%BB%D1%8C%D0%BC","искать")</f>
        <v/>
      </c>
      <c r="N1399" s="3" t="n"/>
      <c r="O1399" s="2" t="n"/>
      <c r="P1399" s="2" t="n"/>
    </row>
    <row r="1400">
      <c r="A1400" s="2" t="n">
        <v>1399</v>
      </c>
      <c r="B1400" s="2" t="inlineStr">
        <is>
          <t>не сюжет</t>
        </is>
      </c>
      <c r="C1400" s="2" t="n">
        <v>14275</v>
      </c>
      <c r="D1400" s="3" t="inlineStr">
        <is>
          <t>Бегу, бегу!</t>
        </is>
      </c>
      <c r="E1400" s="2" t="n">
        <v>1972</v>
      </c>
      <c r="F1400" s="2" t="inlineStr">
        <is>
          <t>мультфильм</t>
        </is>
      </c>
      <c r="G1400" s="2" t="n"/>
      <c r="H1400" s="2" t="n">
        <v>52</v>
      </c>
      <c r="I1400" s="2" t="inlineStr"/>
      <c r="J1400" s="2" t="inlineStr">
        <is>
          <t>да</t>
        </is>
      </c>
      <c r="K1400" s="3" t="inlineStr">
        <is>
          <t>Фильм-плакат для детей о правилах поведения на улице</t>
        </is>
      </c>
      <c r="L1400" s="2" t="inlineStr">
        <is>
          <t>https://animator.ru/db/?p=show_film&amp;fid=5747</t>
        </is>
      </c>
      <c r="M1400" s="2">
        <f>HYPERLINK("https://ru.wikipedia.org/w/index.php?search=%D0%91%D0%B5%D0%B3%D1%83%2C%20%D0%B1%D0%B5%D0%B3%D1%83%21%201972%20%D1%84%D0%B8%D0%BB%D1%8C%D0%BC","искать")</f>
        <v/>
      </c>
      <c r="N1400" s="3" t="n"/>
      <c r="O1400" s="2" t="n"/>
      <c r="P1400" s="2" t="n"/>
    </row>
    <row r="1401">
      <c r="A1401" s="2" t="n">
        <v>1400</v>
      </c>
      <c r="B1401" s="2" t="inlineStr">
        <is>
          <t>не сюжет</t>
        </is>
      </c>
      <c r="C1401" s="2" t="n">
        <v>10184</v>
      </c>
      <c r="D1401" s="3" t="inlineStr">
        <is>
          <t>Белая ночь</t>
        </is>
      </c>
      <c r="E1401" s="2" t="n">
        <v>1967</v>
      </c>
      <c r="F1401" s="2" t="inlineStr">
        <is>
          <t>фильм-спектакль</t>
        </is>
      </c>
      <c r="G1401" s="2" t="n"/>
      <c r="H1401" s="2" t="n">
        <v>53</v>
      </c>
      <c r="I1401" s="2" t="inlineStr"/>
      <c r="J1401" s="2" t="inlineStr">
        <is>
          <t>да</t>
        </is>
      </c>
      <c r="K1401" s="3" t="inlineStr">
        <is>
          <t>Поставлен спектакль к 50-летию Октябрьской революции.</t>
        </is>
      </c>
      <c r="L1401" s="2" t="inlineStr">
        <is>
          <t>https://www.kino-teatr.ru/teatr/movie/10127/annot/</t>
        </is>
      </c>
      <c r="M1401" s="2">
        <f>HYPERLINK("https://ru.wikipedia.org/w/index.php?search=%D0%91%D0%B5%D0%BB%D0%B0%D1%8F%20%D0%BD%D0%BE%D1%87%D1%8C%201967%20%D1%84%D0%B8%D0%BB%D1%8C%D0%BC","искать")</f>
        <v/>
      </c>
      <c r="N1401" s="3" t="n"/>
      <c r="O1401" s="2" t="n"/>
      <c r="P1401" s="2" t="n"/>
    </row>
    <row r="1402">
      <c r="A1402" s="2" t="n">
        <v>1401</v>
      </c>
      <c r="B1402" s="2" t="inlineStr">
        <is>
          <t>не сюжет</t>
        </is>
      </c>
      <c r="C1402" s="2" t="n">
        <v>10990</v>
      </c>
      <c r="D1402" s="3" t="inlineStr">
        <is>
          <t>Затюканный апостол</t>
        </is>
      </c>
      <c r="E1402" s="2" t="n">
        <v>1983</v>
      </c>
      <c r="F1402" s="2" t="inlineStr">
        <is>
          <t>фильм-спектакль</t>
        </is>
      </c>
      <c r="G1402" s="2" t="n"/>
      <c r="H1402" s="2" t="n">
        <v>53</v>
      </c>
      <c r="I1402" s="2" t="inlineStr"/>
      <c r="J1402" s="2" t="inlineStr">
        <is>
          <t>да</t>
        </is>
      </c>
      <c r="K1402" s="3" t="inlineStr">
        <is>
          <t>Фильм-спектакль по одноименной пьесе Андрея Макаёнка.</t>
        </is>
      </c>
      <c r="L1402" s="2" t="inlineStr">
        <is>
          <t>https://www.kino-teatr.ru/teatr/movie/92744/annot/</t>
        </is>
      </c>
      <c r="M1402" s="2">
        <f>HYPERLINK("https://ru.wikipedia.org/w/index.php?search=%D0%97%D0%B0%D1%82%D1%8E%D0%BA%D0%B0%D0%BD%D0%BD%D1%8B%D0%B9%20%D0%B0%D0%BF%D0%BE%D1%81%D1%82%D0%BE%D0%BB%201983%20%D1%84%D0%B8%D0%BB%D1%8C%D0%BC","искать")</f>
        <v/>
      </c>
      <c r="N1402" s="3" t="n"/>
      <c r="O1402" s="2" t="n"/>
      <c r="P1402" s="2" t="n"/>
    </row>
    <row r="1403">
      <c r="A1403" s="2" t="n">
        <v>1402</v>
      </c>
      <c r="B1403" s="2" t="inlineStr">
        <is>
          <t>не сюжет</t>
        </is>
      </c>
      <c r="C1403" s="2" t="n">
        <v>11497</v>
      </c>
      <c r="D1403" s="3" t="inlineStr">
        <is>
          <t>Дорожное происшествие</t>
        </is>
      </c>
      <c r="E1403" s="2" t="n">
        <v>1968</v>
      </c>
      <c r="F1403" s="2" t="inlineStr">
        <is>
          <t>мультфильм</t>
        </is>
      </c>
      <c r="G1403" s="2" t="inlineStr">
        <is>
          <t>Союзмультфильм</t>
        </is>
      </c>
      <c r="H1403" s="2" t="n">
        <v>53</v>
      </c>
      <c r="I1403" s="2" t="inlineStr"/>
      <c r="J1403" s="2" t="inlineStr">
        <is>
          <t>да</t>
        </is>
      </c>
      <c r="K1403" s="3" t="inlineStr">
        <is>
          <t>Заказной фильм-плакат о правилах поведения на дороге.</t>
        </is>
      </c>
      <c r="L1403" s="2" t="inlineStr">
        <is>
          <t>https://animator.ru/db/?p=show_film&amp;fid=2268</t>
        </is>
      </c>
      <c r="M1403" s="2">
        <f>HYPERLINK("https://ru.wikipedia.org/w/index.php?search=%D0%94%D0%BE%D1%80%D0%BE%D0%B6%D0%BD%D0%BE%D0%B5%20%D0%BF%D1%80%D0%BE%D0%B8%D1%81%D1%88%D0%B5%D1%81%D1%82%D0%B2%D0%B8%D0%B5%201968%20%D1%84%D0%B8%D0%BB%D1%8C%D0%BC","искать")</f>
        <v/>
      </c>
      <c r="N1403" s="3" t="n"/>
      <c r="O1403" s="2" t="n"/>
      <c r="P1403" s="2" t="n"/>
    </row>
    <row r="1404">
      <c r="A1404" s="2" t="n">
        <v>1403</v>
      </c>
      <c r="B1404" s="2" t="inlineStr">
        <is>
          <t>не сюжет</t>
        </is>
      </c>
      <c r="C1404" s="2" t="n">
        <v>11639</v>
      </c>
      <c r="D1404" s="3" t="inlineStr">
        <is>
          <t>Приключения красных галстуков</t>
        </is>
      </c>
      <c r="E1404" s="2" t="n">
        <v>1971</v>
      </c>
      <c r="F1404" s="2" t="inlineStr">
        <is>
          <t>мультфильм</t>
        </is>
      </c>
      <c r="G1404" s="2" t="inlineStr">
        <is>
          <t>Союзмультфильм</t>
        </is>
      </c>
      <c r="H1404" s="2" t="n">
        <v>53</v>
      </c>
      <c r="I1404" s="2" t="inlineStr"/>
      <c r="J1404" s="2" t="inlineStr">
        <is>
          <t>да</t>
        </is>
      </c>
      <c r="K1404" s="3" t="inlineStr">
        <is>
          <t>О подвиге пионеров в дни Великой Отечественной войны.</t>
        </is>
      </c>
      <c r="L1404" s="2" t="inlineStr">
        <is>
          <t>2026-10_мультфильмы_список_владельца.xlsx; https://animator.ru/db/?p=show_film&amp;fid=2553</t>
        </is>
      </c>
      <c r="M1404" s="2">
        <f>HYPERLINK("https://ru.wikipedia.org/w/index.php?search=%D0%9F%D1%80%D0%B8%D0%BA%D0%BB%D1%8E%D1%87%D0%B5%D0%BD%D0%B8%D1%8F%20%D0%BA%D1%80%D0%B0%D1%81%D0%BD%D1%8B%D1%85%20%D0%B3%D0%B0%D0%BB%D1%81%D1%82%D1%83%D0%BA%D0%BE%D0%B2%201971%20%D1%84%D0%B8%D0%BB%D1%8C%D0%BC","искать")</f>
        <v/>
      </c>
      <c r="N1404" s="3" t="n"/>
      <c r="O1404" s="2" t="n"/>
      <c r="P1404" s="2" t="n"/>
    </row>
    <row r="1405">
      <c r="A1405" s="2" t="n">
        <v>1404</v>
      </c>
      <c r="B1405" s="2" t="inlineStr">
        <is>
          <t>не сюжет</t>
        </is>
      </c>
      <c r="C1405" s="2" t="n">
        <v>11820</v>
      </c>
      <c r="D1405" s="3" t="inlineStr">
        <is>
          <t>Чуридило</t>
        </is>
      </c>
      <c r="E1405" s="2" t="n">
        <v>1976</v>
      </c>
      <c r="F1405" s="2" t="inlineStr">
        <is>
          <t>мультфильм</t>
        </is>
      </c>
      <c r="G1405" s="2" t="inlineStr">
        <is>
          <t>Союзмультфильм</t>
        </is>
      </c>
      <c r="H1405" s="2" t="n">
        <v>53</v>
      </c>
      <c r="I1405" s="2" t="inlineStr"/>
      <c r="J1405" s="2" t="inlineStr">
        <is>
          <t>да</t>
        </is>
      </c>
      <c r="K1405" s="3" t="inlineStr">
        <is>
          <t>По мотивам сказки венгерского писателя Эрвина Лазара.</t>
        </is>
      </c>
      <c r="L1405" s="2" t="inlineStr">
        <is>
          <t>2026-10_мультфильмы_список_владельца.xlsx; https://animator.ru/db/?p=show_film&amp;fid=2735</t>
        </is>
      </c>
      <c r="M1405" s="2">
        <f>HYPERLINK("https://ru.wikipedia.org/w/index.php?search=%D0%A7%D1%83%D1%80%D0%B8%D0%B4%D0%B8%D0%BB%D0%BE%201976%20%D1%84%D0%B8%D0%BB%D1%8C%D0%BC","искать")</f>
        <v/>
      </c>
      <c r="N1405" s="3" t="n"/>
      <c r="O1405" s="2" t="n"/>
      <c r="P1405" s="2" t="n"/>
    </row>
    <row r="1406">
      <c r="A1406" s="2" t="n">
        <v>1405</v>
      </c>
      <c r="B1406" s="2" t="inlineStr">
        <is>
          <t>не сюжет</t>
        </is>
      </c>
      <c r="C1406" s="2" t="n">
        <v>12000</v>
      </c>
      <c r="D1406" s="3" t="inlineStr">
        <is>
          <t>Верное средство</t>
        </is>
      </c>
      <c r="E1406" s="2" t="n">
        <v>1982</v>
      </c>
      <c r="F1406" s="2" t="inlineStr">
        <is>
          <t>мультфильм</t>
        </is>
      </c>
      <c r="G1406" s="2" t="inlineStr">
        <is>
          <t>Союзмультфильм</t>
        </is>
      </c>
      <c r="H1406" s="2" t="n">
        <v>53</v>
      </c>
      <c r="I1406" s="2" t="inlineStr"/>
      <c r="J1406" s="2" t="inlineStr">
        <is>
          <t>да</t>
        </is>
      </c>
      <c r="K1406" s="3" t="inlineStr">
        <is>
          <t>Для малышей . Использована музыка Боккерини и Моцарта</t>
        </is>
      </c>
      <c r="L1406" s="2" t="inlineStr">
        <is>
          <t>https://animator.ru/db/?p=show_film&amp;fid=3114</t>
        </is>
      </c>
      <c r="M1406" s="2">
        <f>HYPERLINK("https://ru.wikipedia.org/w/index.php?search=%D0%92%D0%B5%D1%80%D0%BD%D0%BE%D0%B5%20%D1%81%D1%80%D0%B5%D0%B4%D1%81%D1%82%D0%B2%D0%BE%201982%20%D1%84%D0%B8%D0%BB%D1%8C%D0%BC","искать")</f>
        <v/>
      </c>
      <c r="N1406" s="3" t="n"/>
      <c r="O1406" s="2" t="n"/>
      <c r="P1406" s="2" t="n"/>
    </row>
    <row r="1407">
      <c r="A1407" s="2" t="n">
        <v>1406</v>
      </c>
      <c r="B1407" s="2" t="inlineStr">
        <is>
          <t>не сюжет</t>
        </is>
      </c>
      <c r="C1407" s="2" t="n">
        <v>12451</v>
      </c>
      <c r="D1407" s="3" t="inlineStr">
        <is>
          <t>Ловись, рыбка!</t>
        </is>
      </c>
      <c r="E1407" s="2" t="n">
        <v>1983</v>
      </c>
      <c r="F1407" s="2" t="inlineStr">
        <is>
          <t>мультфильм</t>
        </is>
      </c>
      <c r="G1407" s="2" t="inlineStr">
        <is>
          <t>УКРАНИМАФИЛЬМ, Свердловская киностудия</t>
        </is>
      </c>
      <c r="H1407" s="2" t="n">
        <v>53</v>
      </c>
      <c r="I1407" s="2" t="inlineStr"/>
      <c r="J1407" s="2" t="inlineStr">
        <is>
          <t>да</t>
        </is>
      </c>
      <c r="K1407" s="3" t="inlineStr">
        <is>
          <t>По сказке Л.Н.Толстого "Мерзни, мерзни, волчий хвост"</t>
        </is>
      </c>
      <c r="L1407" s="2" t="inlineStr">
        <is>
          <t>https://animator.ru/db/?p=show_film&amp;fid=3622</t>
        </is>
      </c>
      <c r="M1407" s="2">
        <f>HYPERLINK("https://ru.wikipedia.org/w/index.php?search=%D0%9B%D0%BE%D0%B2%D0%B8%D1%81%D1%8C%2C%20%D1%80%D1%8B%D0%B1%D0%BA%D0%B0%21%201983%20%D1%84%D0%B8%D0%BB%D1%8C%D0%BC","искать")</f>
        <v/>
      </c>
      <c r="N1407" s="3" t="n"/>
      <c r="O1407" s="2" t="n"/>
      <c r="P1407" s="2" t="n"/>
    </row>
    <row r="1408">
      <c r="A1408" s="2" t="n">
        <v>1407</v>
      </c>
      <c r="B1408" s="2" t="inlineStr">
        <is>
          <t>не сюжет</t>
        </is>
      </c>
      <c r="C1408" s="2" t="n">
        <v>12570</v>
      </c>
      <c r="D1408" s="3" t="inlineStr">
        <is>
          <t>Старый сапожник</t>
        </is>
      </c>
      <c r="E1408" s="2" t="n">
        <v>1987</v>
      </c>
      <c r="F1408" s="2" t="inlineStr">
        <is>
          <t>мультфильм</t>
        </is>
      </c>
      <c r="G1408" s="2" t="inlineStr">
        <is>
          <t>КИЕВНАУЧФИЛЬМ</t>
        </is>
      </c>
      <c r="H1408" s="2" t="n">
        <v>53</v>
      </c>
      <c r="I1408" s="2" t="inlineStr"/>
      <c r="J1408" s="2" t="inlineStr">
        <is>
          <t>да</t>
        </is>
      </c>
      <c r="K1408" s="3" t="inlineStr">
        <is>
          <t>По мотивам рассказа С.Мкртчан "Самый старый сапожник"</t>
        </is>
      </c>
      <c r="L1408" s="2" t="inlineStr">
        <is>
          <t>https://animator.ru/db/?p=show_film&amp;fid=3750</t>
        </is>
      </c>
      <c r="M1408" s="2">
        <f>HYPERLINK("https://ru.wikipedia.org/w/index.php?search=%D0%A1%D1%82%D0%B0%D1%80%D1%8B%D0%B9%20%D1%81%D0%B0%D0%BF%D0%BE%D0%B6%D0%BD%D0%B8%D0%BA%201987%20%D1%84%D0%B8%D0%BB%D1%8C%D0%BC","искать")</f>
        <v/>
      </c>
      <c r="N1408" s="3" t="n"/>
      <c r="O1408" s="2" t="n"/>
      <c r="P1408" s="2" t="n"/>
    </row>
    <row r="1409">
      <c r="A1409" s="2" t="n">
        <v>1408</v>
      </c>
      <c r="B1409" s="2" t="inlineStr">
        <is>
          <t>не сюжет</t>
        </is>
      </c>
      <c r="C1409" s="2" t="n">
        <v>12786</v>
      </c>
      <c r="D1409" s="3" t="inlineStr">
        <is>
          <t>Музыка</t>
        </is>
      </c>
      <c r="E1409" s="2" t="n">
        <v>1976</v>
      </c>
      <c r="F1409" s="2" t="inlineStr">
        <is>
          <t>мультфильм</t>
        </is>
      </c>
      <c r="G1409" s="2" t="inlineStr">
        <is>
          <t>АРМЕНФИЛЬМ</t>
        </is>
      </c>
      <c r="H1409" s="2" t="n">
        <v>53</v>
      </c>
      <c r="I1409" s="2" t="inlineStr"/>
      <c r="J1409" s="2" t="inlineStr">
        <is>
          <t>да</t>
        </is>
      </c>
      <c r="K1409" s="3" t="inlineStr">
        <is>
          <t>Самомнение и зазнайство способны испортить всю музыку</t>
        </is>
      </c>
      <c r="L1409" s="2" t="inlineStr">
        <is>
          <t>https://animator.ru/db/?p=show_film&amp;fid=3995</t>
        </is>
      </c>
      <c r="M1409" s="2">
        <f>HYPERLINK("https://ru.wikipedia.org/w/index.php?search=%D0%9C%D1%83%D0%B7%D1%8B%D0%BA%D0%B0%201976%20%D1%84%D0%B8%D0%BB%D1%8C%D0%BC","искать")</f>
        <v/>
      </c>
      <c r="N1409" s="3" t="n"/>
      <c r="O1409" s="2" t="n"/>
      <c r="P1409" s="2" t="n"/>
    </row>
    <row r="1410">
      <c r="A1410" s="2" t="n">
        <v>1409</v>
      </c>
      <c r="B1410" s="2" t="inlineStr">
        <is>
          <t>не сюжет</t>
        </is>
      </c>
      <c r="C1410" s="2" t="n">
        <v>13298</v>
      </c>
      <c r="D1410" s="3" t="inlineStr">
        <is>
          <t>Лабиринт</t>
        </is>
      </c>
      <c r="E1410" s="2" t="n">
        <v>1989</v>
      </c>
      <c r="F1410" s="2" t="inlineStr">
        <is>
          <t>мультфильм</t>
        </is>
      </c>
      <c r="G1410" s="2" t="inlineStr">
        <is>
          <t>ТАЛЛИННФИЛЬМ</t>
        </is>
      </c>
      <c r="H1410" s="2" t="n">
        <v>53</v>
      </c>
      <c r="I1410" s="2" t="inlineStr"/>
      <c r="J1410" s="2" t="inlineStr">
        <is>
          <t>да</t>
        </is>
      </c>
      <c r="K1410" s="3" t="inlineStr">
        <is>
          <t>Протест против тотальной бюрократизации. Для взрослых</t>
        </is>
      </c>
      <c r="L1410" s="2" t="inlineStr">
        <is>
          <t>https://animator.ru/db/?p=show_film&amp;fid=4555</t>
        </is>
      </c>
      <c r="M1410" s="2">
        <f>HYPERLINK("https://ru.wikipedia.org/w/index.php?search=%D0%9B%D0%B0%D0%B1%D0%B8%D1%80%D0%B8%D0%BD%D1%82%201989%20%D1%84%D0%B8%D0%BB%D1%8C%D0%BC","искать")</f>
        <v/>
      </c>
      <c r="N1410" s="3" t="n"/>
      <c r="O1410" s="2" t="n"/>
      <c r="P1410" s="2" t="n"/>
    </row>
    <row r="1411">
      <c r="A1411" s="2" t="n">
        <v>1410</v>
      </c>
      <c r="B1411" s="2" t="inlineStr">
        <is>
          <t>не сюжет</t>
        </is>
      </c>
      <c r="C1411" s="2" t="n">
        <v>13377</v>
      </c>
      <c r="D1411" s="3" t="inlineStr">
        <is>
          <t>Живая вода</t>
        </is>
      </c>
      <c r="E1411" s="2" t="n">
        <v>1977</v>
      </c>
      <c r="F1411" s="2" t="inlineStr">
        <is>
          <t>мультфильм</t>
        </is>
      </c>
      <c r="G1411" s="2" t="inlineStr">
        <is>
          <t>ЭКРАН</t>
        </is>
      </c>
      <c r="H1411" s="2" t="n">
        <v>53</v>
      </c>
      <c r="I1411" s="2" t="inlineStr"/>
      <c r="J1411" s="2" t="inlineStr">
        <is>
          <t>да</t>
        </is>
      </c>
      <c r="K1411" s="3" t="inlineStr">
        <is>
          <t>Поэтический рассказ об отношениях человека и природы.</t>
        </is>
      </c>
      <c r="L1411" s="2" t="inlineStr">
        <is>
          <t>2026-10_мультфильмы_список_владельца.xlsx; https://animator.ru/db/?p=show_film&amp;fid=4657</t>
        </is>
      </c>
      <c r="M1411" s="2">
        <f>HYPERLINK("https://ru.wikipedia.org/w/index.php?search=%D0%96%D0%B8%D0%B2%D0%B0%D1%8F%20%D0%B2%D0%BE%D0%B4%D0%B0%201977%20%D1%84%D0%B8%D0%BB%D1%8C%D0%BC","искать")</f>
        <v/>
      </c>
      <c r="N1411" s="3" t="n"/>
      <c r="O1411" s="2" t="n"/>
      <c r="P1411" s="2" t="n"/>
    </row>
    <row r="1412">
      <c r="A1412" s="2" t="n">
        <v>1411</v>
      </c>
      <c r="B1412" s="2" t="inlineStr">
        <is>
          <t>не сюжет</t>
        </is>
      </c>
      <c r="C1412" s="2" t="n">
        <v>13605</v>
      </c>
      <c r="D1412" s="3" t="inlineStr">
        <is>
          <t>Павлин</t>
        </is>
      </c>
      <c r="E1412" s="2" t="n">
        <v>1974</v>
      </c>
      <c r="F1412" s="2" t="inlineStr">
        <is>
          <t>мультфильм</t>
        </is>
      </c>
      <c r="G1412" s="2" t="inlineStr">
        <is>
          <t>ЭКРАН</t>
        </is>
      </c>
      <c r="H1412" s="2" t="n">
        <v>53</v>
      </c>
      <c r="I1412" s="2" t="inlineStr"/>
      <c r="J1412" s="2" t="inlineStr">
        <is>
          <t>да</t>
        </is>
      </c>
      <c r="K1412" s="3" t="inlineStr">
        <is>
          <t>"Какой- такой павлин-мавлин?! Не видишь - мы кушяем!"</t>
        </is>
      </c>
      <c r="L1412" s="2" t="inlineStr">
        <is>
          <t>2026-10_мультфильмы_список_владельца.xlsx; https://animator.ru/db/?p=show_film&amp;fid=4955</t>
        </is>
      </c>
      <c r="M1412" s="2">
        <f>HYPERLINK("https://ru.wikipedia.org/w/index.php?search=%D0%9F%D0%B0%D0%B2%D0%BB%D0%B8%D0%BD%201974%20%D1%84%D0%B8%D0%BB%D1%8C%D0%BC","искать")</f>
        <v/>
      </c>
      <c r="N1412" s="3" t="n"/>
      <c r="O1412" s="2" t="n"/>
      <c r="P1412" s="2" t="n"/>
    </row>
    <row r="1413">
      <c r="A1413" s="2" t="n">
        <v>1412</v>
      </c>
      <c r="B1413" s="2" t="inlineStr">
        <is>
          <t>не сюжет</t>
        </is>
      </c>
      <c r="C1413" s="2" t="n">
        <v>13769</v>
      </c>
      <c r="D1413" s="3" t="inlineStr">
        <is>
          <t>Мой брат - страусенок</t>
        </is>
      </c>
      <c r="E1413" s="2" t="n">
        <v>1971</v>
      </c>
      <c r="F1413" s="2" t="inlineStr">
        <is>
          <t>мультфильм</t>
        </is>
      </c>
      <c r="G1413" s="2" t="inlineStr">
        <is>
          <t>ЭКРАН</t>
        </is>
      </c>
      <c r="H1413" s="2" t="n">
        <v>53</v>
      </c>
      <c r="I1413" s="2" t="inlineStr"/>
      <c r="J1413" s="2" t="inlineStr">
        <is>
          <t>да</t>
        </is>
      </c>
      <c r="K1413" s="3" t="inlineStr">
        <is>
          <t>По мотивам сказки Е.Чаповецкого и Г.Усач. Для малышей</t>
        </is>
      </c>
      <c r="L1413" s="2" t="inlineStr">
        <is>
          <t>https://animator.ru/db/?p=show_film&amp;fid=5162</t>
        </is>
      </c>
      <c r="M1413" s="2">
        <f>HYPERLINK("https://ru.wikipedia.org/w/index.php?search=%D0%9C%D0%BE%D0%B9%20%D0%B1%D1%80%D0%B0%D1%82%20-%20%D1%81%D1%82%D1%80%D0%B0%D1%83%D1%81%D0%B5%D0%BD%D0%BE%D0%BA%201971%20%D1%84%D0%B8%D0%BB%D1%8C%D0%BC","искать")</f>
        <v/>
      </c>
      <c r="N1413" s="3" t="n"/>
      <c r="O1413" s="2" t="n"/>
      <c r="P1413" s="2" t="n"/>
    </row>
    <row r="1414">
      <c r="A1414" s="2" t="n">
        <v>1413</v>
      </c>
      <c r="B1414" s="2" t="inlineStr">
        <is>
          <t>не сюжет</t>
        </is>
      </c>
      <c r="C1414" s="2" t="n">
        <v>13838</v>
      </c>
      <c r="D1414" s="3" t="inlineStr">
        <is>
          <t>Похищение</t>
        </is>
      </c>
      <c r="E1414" s="2" t="n">
        <v>1988</v>
      </c>
      <c r="F1414" s="2" t="inlineStr">
        <is>
          <t>мультфильм</t>
        </is>
      </c>
      <c r="G1414" s="2" t="inlineStr">
        <is>
          <t>ЭКРАН</t>
        </is>
      </c>
      <c r="H1414" s="2" t="n">
        <v>53</v>
      </c>
      <c r="I1414" s="2" t="inlineStr"/>
      <c r="J1414" s="2" t="inlineStr">
        <is>
          <t>да</t>
        </is>
      </c>
      <c r="K1414" s="3" t="inlineStr">
        <is>
          <t>О трудностях с транспортом в новых районах новостроек</t>
        </is>
      </c>
      <c r="L1414" s="2" t="inlineStr">
        <is>
          <t>https://animator.ru/db/?p=show_film&amp;fid=5231</t>
        </is>
      </c>
      <c r="M1414" s="2">
        <f>HYPERLINK("https://ru.wikipedia.org/w/index.php?search=%D0%9F%D0%BE%D1%85%D0%B8%D1%89%D0%B5%D0%BD%D0%B8%D0%B5%201988%20%D1%84%D0%B8%D0%BB%D1%8C%D0%BC","искать")</f>
        <v/>
      </c>
      <c r="N1414" s="3" t="n"/>
      <c r="O1414" s="2" t="n"/>
      <c r="P1414" s="2" t="n"/>
    </row>
    <row r="1415">
      <c r="A1415" s="2" t="n">
        <v>1414</v>
      </c>
      <c r="B1415" s="2" t="inlineStr">
        <is>
          <t>не сюжет</t>
        </is>
      </c>
      <c r="C1415" s="2" t="n">
        <v>14148</v>
      </c>
      <c r="D1415" s="3" t="inlineStr">
        <is>
          <t>Петушишка</t>
        </is>
      </c>
      <c r="E1415" s="2" t="n">
        <v>1985</v>
      </c>
      <c r="F1415" s="2" t="inlineStr">
        <is>
          <t>мультфильм</t>
        </is>
      </c>
      <c r="G1415" s="2" t="inlineStr">
        <is>
          <t>КУЙБЫШЕВТЕЛЕФИЛЬМ</t>
        </is>
      </c>
      <c r="H1415" s="2" t="n">
        <v>53</v>
      </c>
      <c r="I1415" s="2" t="inlineStr"/>
      <c r="J1415" s="2" t="inlineStr">
        <is>
          <t>да</t>
        </is>
      </c>
      <c r="K1415" s="3" t="inlineStr">
        <is>
          <t>О цыпленке, который мечтал стать петухом. Для малышей</t>
        </is>
      </c>
      <c r="L1415" s="2" t="inlineStr">
        <is>
          <t>https://animator.ru/db/?p=show_film&amp;fid=5546</t>
        </is>
      </c>
      <c r="M1415" s="2">
        <f>HYPERLINK("https://ru.wikipedia.org/w/index.php?search=%D0%9F%D0%B5%D1%82%D1%83%D1%88%D0%B8%D1%88%D0%BA%D0%B0%201985%20%D1%84%D0%B8%D0%BB%D1%8C%D0%BC","искать")</f>
        <v/>
      </c>
      <c r="N1415" s="3" t="n"/>
      <c r="O1415" s="2" t="n"/>
      <c r="P1415" s="2" t="n"/>
    </row>
    <row r="1416">
      <c r="A1416" s="2" t="n">
        <v>1415</v>
      </c>
      <c r="B1416" s="2" t="inlineStr">
        <is>
          <t>не сюжет</t>
        </is>
      </c>
      <c r="C1416" s="2" t="n">
        <v>14280</v>
      </c>
      <c r="D1416" s="3" t="inlineStr">
        <is>
          <t>Разноцветная история</t>
        </is>
      </c>
      <c r="E1416" s="2" t="n">
        <v>1986</v>
      </c>
      <c r="F1416" s="2" t="inlineStr">
        <is>
          <t>мультфильм</t>
        </is>
      </c>
      <c r="G1416" s="2" t="inlineStr">
        <is>
          <t>КИЕВНАУЧФИЛЬМ</t>
        </is>
      </c>
      <c r="H1416" s="2" t="n">
        <v>53</v>
      </c>
      <c r="I1416" s="2" t="inlineStr"/>
      <c r="J1416" s="2" t="inlineStr">
        <is>
          <t>да</t>
        </is>
      </c>
      <c r="K1416" s="3" t="inlineStr">
        <is>
          <t>В фильме использована музыка Чайковского. Для малышей</t>
        </is>
      </c>
      <c r="L1416" s="2" t="inlineStr">
        <is>
          <t>https://animator.ru/db/?p=show_film&amp;fid=5756</t>
        </is>
      </c>
      <c r="M1416" s="2">
        <f>HYPERLINK("https://ru.wikipedia.org/w/index.php?search=%D0%A0%D0%B0%D0%B7%D0%BD%D0%BE%D1%86%D0%B2%D0%B5%D1%82%D0%BD%D0%B0%D1%8F%20%D0%B8%D1%81%D1%82%D0%BE%D1%80%D0%B8%D1%8F%201986%20%D1%84%D0%B8%D0%BB%D1%8C%D0%BC","искать")</f>
        <v/>
      </c>
      <c r="N1416" s="3" t="n"/>
      <c r="O1416" s="2" t="n"/>
      <c r="P1416" s="2" t="n"/>
    </row>
    <row r="1417">
      <c r="A1417" s="2" t="n">
        <v>1416</v>
      </c>
      <c r="B1417" s="2" t="inlineStr">
        <is>
          <t>не сюжет</t>
        </is>
      </c>
      <c r="C1417" s="2" t="n">
        <v>7819</v>
      </c>
      <c r="D1417" s="3" t="inlineStr">
        <is>
          <t>Лошади под луной</t>
        </is>
      </c>
      <c r="E1417" s="2" t="n">
        <v>1979</v>
      </c>
      <c r="F1417" s="2" t="inlineStr">
        <is>
          <t>телефильм</t>
        </is>
      </c>
      <c r="G1417" s="2" t="n"/>
      <c r="H1417" s="2" t="n">
        <v>54</v>
      </c>
      <c r="I1417" s="2" t="inlineStr"/>
      <c r="J1417" s="2" t="inlineStr">
        <is>
          <t>да</t>
        </is>
      </c>
      <c r="K1417" s="3" t="inlineStr">
        <is>
          <t>Телефильм по сценарию Р.Ибрагимбекова и В.Багдасарова.</t>
        </is>
      </c>
      <c r="L1417" s="2" t="inlineStr">
        <is>
          <t>Кино_СССР сводный каталог.xlsx: список телефильмов</t>
        </is>
      </c>
      <c r="M1417" s="2">
        <f>HYPERLINK("https://ru.wikipedia.org/w/index.php?search=%D0%9B%D0%BE%D1%88%D0%B0%D0%B4%D0%B8%20%D0%BF%D0%BE%D0%B4%20%D0%BB%D1%83%D0%BD%D0%BE%D0%B9%201979%20%D1%84%D0%B8%D0%BB%D1%8C%D0%BC","искать")</f>
        <v/>
      </c>
      <c r="N1417" s="3" t="n"/>
      <c r="O1417" s="2" t="n"/>
      <c r="P1417" s="2" t="n"/>
    </row>
    <row r="1418">
      <c r="A1418" s="2" t="n">
        <v>1417</v>
      </c>
      <c r="B1418" s="2" t="inlineStr">
        <is>
          <t>не сюжет</t>
        </is>
      </c>
      <c r="C1418" s="2" t="n">
        <v>8770</v>
      </c>
      <c r="D1418" s="3" t="inlineStr">
        <is>
          <t>Командировка</t>
        </is>
      </c>
      <c r="E1418" s="2" t="n">
        <v>1988</v>
      </c>
      <c r="F1418" s="2" t="inlineStr">
        <is>
          <t>кинофильм</t>
        </is>
      </c>
      <c r="G1418" s="2" t="n"/>
      <c r="H1418" s="2" t="n">
        <v>54</v>
      </c>
      <c r="I1418" s="2" t="inlineStr"/>
      <c r="J1418" s="2" t="inlineStr">
        <is>
          <t>да</t>
        </is>
      </c>
      <c r="K1418" s="3" t="inlineStr">
        <is>
          <t>Деловые и личные отношения людей крупного предприятия.</t>
        </is>
      </c>
      <c r="L1418" s="2" t="inlineStr">
        <is>
          <t>Кино_СССР сводный каталог.xlsx: список фильмов (доп.)</t>
        </is>
      </c>
      <c r="M1418" s="2">
        <f>HYPERLINK("https://ru.wikipedia.org/w/index.php?search=%D0%9A%D0%BE%D0%BC%D0%B0%D0%BD%D0%B4%D0%B8%D1%80%D0%BE%D0%B2%D0%BA%D0%B0%201988%20%D1%84%D0%B8%D0%BB%D1%8C%D0%BC","искать")</f>
        <v/>
      </c>
      <c r="N1418" s="3" t="n"/>
      <c r="O1418" s="2" t="n"/>
      <c r="P1418" s="2" t="n"/>
    </row>
    <row r="1419">
      <c r="A1419" s="2" t="n">
        <v>1418</v>
      </c>
      <c r="B1419" s="2" t="inlineStr">
        <is>
          <t>не сюжет</t>
        </is>
      </c>
      <c r="C1419" s="2" t="n">
        <v>9846</v>
      </c>
      <c r="D1419" s="3" t="inlineStr">
        <is>
          <t>Шарманка</t>
        </is>
      </c>
      <c r="E1419" s="2" t="n">
        <v>1967</v>
      </c>
      <c r="F1419" s="2" t="inlineStr">
        <is>
          <t>телефильм</t>
        </is>
      </c>
      <c r="G1419" s="2" t="inlineStr">
        <is>
          <t>Грузинская студия телефильмов</t>
        </is>
      </c>
      <c r="H1419" s="2" t="n">
        <v>54</v>
      </c>
      <c r="I1419" s="2" t="inlineStr"/>
      <c r="J1419" s="2" t="inlineStr">
        <is>
          <t>да</t>
        </is>
      </c>
      <c r="K1419" s="3" t="inlineStr">
        <is>
          <t>Зарисовка о шарманщике, живущем в современном Тбилиси.</t>
        </is>
      </c>
      <c r="L1419" s="2" t="inlineStr">
        <is>
          <t>https://www.kino-teatr.ru/short/movie/sov/87286/annot/</t>
        </is>
      </c>
      <c r="M1419" s="2">
        <f>HYPERLINK("https://ru.wikipedia.org/w/index.php?search=%D0%A8%D0%B0%D1%80%D0%BC%D0%B0%D0%BD%D0%BA%D0%B0%201967%20%D1%84%D0%B8%D0%BB%D1%8C%D0%BC","искать")</f>
        <v/>
      </c>
      <c r="N1419" s="3" t="n"/>
      <c r="O1419" s="2" t="n"/>
      <c r="P1419" s="2" t="n"/>
    </row>
    <row r="1420">
      <c r="A1420" s="2" t="n">
        <v>1419</v>
      </c>
      <c r="B1420" s="2" t="inlineStr">
        <is>
          <t>не сюжет</t>
        </is>
      </c>
      <c r="C1420" s="2" t="n">
        <v>9941</v>
      </c>
      <c r="D1420" s="3" t="inlineStr">
        <is>
          <t>Встреча</t>
        </is>
      </c>
      <c r="E1420" s="2" t="n">
        <v>1979</v>
      </c>
      <c r="F1420" s="2" t="inlineStr">
        <is>
          <t>кинофильм</t>
        </is>
      </c>
      <c r="G1420" s="2" t="inlineStr">
        <is>
          <t>Рижская к-ст.</t>
        </is>
      </c>
      <c r="H1420" s="2" t="n">
        <v>54</v>
      </c>
      <c r="I1420" s="2" t="inlineStr"/>
      <c r="J1420" s="2" t="inlineStr">
        <is>
          <t>да</t>
        </is>
      </c>
      <c r="K1420" s="3" t="inlineStr">
        <is>
          <t>По мотивам рассказа Всеволода Кочетова «Ночная охота».</t>
        </is>
      </c>
      <c r="L1420" s="2" t="inlineStr">
        <is>
          <t>https://www.kino-teatr.ru/short/movie/sov/84761/annot/</t>
        </is>
      </c>
      <c r="M1420" s="2">
        <f>HYPERLINK("https://ru.wikipedia.org/w/index.php?search=%D0%92%D1%81%D1%82%D1%80%D0%B5%D1%87%D0%B0%201979%20%D1%84%D0%B8%D0%BB%D1%8C%D0%BC","искать")</f>
        <v/>
      </c>
      <c r="N1420" s="3" t="n"/>
      <c r="O1420" s="2" t="n"/>
      <c r="P1420" s="2" t="n"/>
    </row>
    <row r="1421">
      <c r="A1421" s="2" t="n">
        <v>1420</v>
      </c>
      <c r="B1421" s="2" t="inlineStr">
        <is>
          <t>не сюжет</t>
        </is>
      </c>
      <c r="C1421" s="2" t="n">
        <v>10066</v>
      </c>
      <c r="D1421" s="3" t="inlineStr">
        <is>
          <t>Из пепла</t>
        </is>
      </c>
      <c r="E1421" s="2" t="n">
        <v>1958</v>
      </c>
      <c r="F1421" s="2" t="inlineStr">
        <is>
          <t>фильм-спектакль</t>
        </is>
      </c>
      <c r="G1421" s="2" t="inlineStr">
        <is>
          <t>ЦТ</t>
        </is>
      </c>
      <c r="H1421" s="2" t="n">
        <v>54</v>
      </c>
      <c r="I1421" s="2" t="inlineStr"/>
      <c r="J1421" s="2" t="inlineStr">
        <is>
          <t>да</t>
        </is>
      </c>
      <c r="K1421" s="3" t="inlineStr">
        <is>
          <t>По рассказу Э.-М.Ремарка "Последняя остановка" (1956).</t>
        </is>
      </c>
      <c r="L1421" s="2" t="inlineStr">
        <is>
          <t>https://www.kino-teatr.ru/teatr/movie/86759/annot/</t>
        </is>
      </c>
      <c r="M1421" s="2">
        <f>HYPERLINK("https://ru.wikipedia.org/w/index.php?search=%D0%98%D0%B7%20%D0%BF%D0%B5%D0%BF%D0%BB%D0%B0%201958%20%D1%84%D0%B8%D0%BB%D1%8C%D0%BC","искать")</f>
        <v/>
      </c>
      <c r="N1421" s="3" t="n"/>
      <c r="O1421" s="2" t="n"/>
      <c r="P1421" s="2" t="n"/>
    </row>
    <row r="1422">
      <c r="A1422" s="2" t="n">
        <v>1421</v>
      </c>
      <c r="B1422" s="2" t="inlineStr">
        <is>
          <t>не сюжет</t>
        </is>
      </c>
      <c r="C1422" s="2" t="n">
        <v>10347</v>
      </c>
      <c r="D1422" s="3" t="inlineStr">
        <is>
          <t>А зори здесь тихие</t>
        </is>
      </c>
      <c r="E1422" s="2" t="n">
        <v>1970</v>
      </c>
      <c r="F1422" s="2" t="inlineStr">
        <is>
          <t>фильм-спектакль</t>
        </is>
      </c>
      <c r="G1422" s="2" t="inlineStr">
        <is>
          <t>Ленинградское телевидение</t>
        </is>
      </c>
      <c r="H1422" s="2" t="n">
        <v>54</v>
      </c>
      <c r="I1422" s="2" t="inlineStr"/>
      <c r="J1422" s="2" t="inlineStr">
        <is>
          <t>да</t>
        </is>
      </c>
      <c r="K1422" s="3" t="inlineStr">
        <is>
          <t>Телеспектакль по одноименной повести Бориса Васильева.</t>
        </is>
      </c>
      <c r="L1422" s="2" t="inlineStr">
        <is>
          <t>https://www.kino-teatr.ru/teatr/movie/120032/annot/</t>
        </is>
      </c>
      <c r="M1422" s="2">
        <f>HYPERLINK("https://ru.wikipedia.org/w/index.php?search=%D0%90%20%D0%B7%D0%BE%D1%80%D0%B8%20%D0%B7%D0%B4%D0%B5%D1%81%D1%8C%20%D1%82%D0%B8%D1%85%D0%B8%D0%B5%201970%20%D1%84%D0%B8%D0%BB%D1%8C%D0%BC","искать")</f>
        <v/>
      </c>
      <c r="N1422" s="3" t="n"/>
      <c r="O1422" s="2" t="n"/>
      <c r="P1422" s="2" t="n"/>
    </row>
    <row r="1423">
      <c r="A1423" s="2" t="n">
        <v>1422</v>
      </c>
      <c r="B1423" s="2" t="inlineStr">
        <is>
          <t>не сюжет</t>
        </is>
      </c>
      <c r="C1423" s="2" t="n">
        <v>10866</v>
      </c>
      <c r="D1423" s="3" t="inlineStr">
        <is>
          <t>Роли, которые нас выбирают</t>
        </is>
      </c>
      <c r="E1423" s="2" t="n">
        <v>1980</v>
      </c>
      <c r="F1423" s="2" t="inlineStr">
        <is>
          <t>фильм-спектакль</t>
        </is>
      </c>
      <c r="G1423" s="2" t="inlineStr">
        <is>
          <t>Т/О Экран</t>
        </is>
      </c>
      <c r="H1423" s="2" t="n">
        <v>54</v>
      </c>
      <c r="I1423" s="2" t="inlineStr"/>
      <c r="J1423" s="2" t="inlineStr">
        <is>
          <t>да</t>
        </is>
      </c>
      <c r="K1423" s="3" t="inlineStr">
        <is>
          <t>Фильм о творчестве артиста оперетты Герарда Васильева.</t>
        </is>
      </c>
      <c r="L1423" s="2" t="inlineStr">
        <is>
          <t>https://www.kino-teatr.ru/teatr/movie/138178/annot/</t>
        </is>
      </c>
      <c r="M1423" s="2">
        <f>HYPERLINK("https://ru.wikipedia.org/w/index.php?search=%D0%A0%D0%BE%D0%BB%D0%B8%2C%20%D0%BA%D0%BE%D1%82%D0%BE%D1%80%D1%8B%D0%B5%20%D0%BD%D0%B0%D1%81%20%D0%B2%D1%8B%D0%B1%D0%B8%D1%80%D0%B0%D1%8E%D1%82%201980%20%D1%84%D0%B8%D0%BB%D1%8C%D0%BC","искать")</f>
        <v/>
      </c>
      <c r="N1423" s="3" t="n"/>
      <c r="O1423" s="2" t="n"/>
      <c r="P1423" s="2" t="n"/>
    </row>
    <row r="1424">
      <c r="A1424" s="2" t="n">
        <v>1423</v>
      </c>
      <c r="B1424" s="2" t="inlineStr">
        <is>
          <t>не сюжет</t>
        </is>
      </c>
      <c r="C1424" s="2" t="n">
        <v>11651</v>
      </c>
      <c r="D1424" s="3" t="inlineStr">
        <is>
          <t>Три банана</t>
        </is>
      </c>
      <c r="E1424" s="2" t="n">
        <v>1971</v>
      </c>
      <c r="F1424" s="2" t="inlineStr">
        <is>
          <t>мультфильм</t>
        </is>
      </c>
      <c r="G1424" s="2" t="inlineStr">
        <is>
          <t>Союзмультфильм</t>
        </is>
      </c>
      <c r="H1424" s="2" t="n">
        <v>54</v>
      </c>
      <c r="I1424" s="2" t="inlineStr"/>
      <c r="J1424" s="2" t="inlineStr">
        <is>
          <t>да</t>
        </is>
      </c>
      <c r="K1424" s="3" t="inlineStr">
        <is>
          <t>Для детей. По сказке чешского писателя Зденека Слабого</t>
        </is>
      </c>
      <c r="L1424" s="2" t="inlineStr">
        <is>
          <t>https://animator.ru/db/?p=show_film&amp;fid=2565</t>
        </is>
      </c>
      <c r="M1424" s="2">
        <f>HYPERLINK("https://ru.wikipedia.org/w/index.php?search=%D0%A2%D1%80%D0%B8%20%D0%B1%D0%B0%D0%BD%D0%B0%D0%BD%D0%B0%201971%20%D1%84%D0%B8%D0%BB%D1%8C%D0%BC","искать")</f>
        <v/>
      </c>
      <c r="N1424" s="3" t="n"/>
      <c r="O1424" s="2" t="n"/>
      <c r="P1424" s="2" t="n"/>
    </row>
    <row r="1425">
      <c r="A1425" s="2" t="n">
        <v>1424</v>
      </c>
      <c r="B1425" s="2" t="inlineStr">
        <is>
          <t>не сюжет</t>
        </is>
      </c>
      <c r="C1425" s="2" t="n">
        <v>11757</v>
      </c>
      <c r="D1425" s="3" t="inlineStr">
        <is>
          <t>Человек строит дом</t>
        </is>
      </c>
      <c r="E1425" s="2" t="n">
        <v>1974</v>
      </c>
      <c r="F1425" s="2" t="inlineStr">
        <is>
          <t>мультфильм</t>
        </is>
      </c>
      <c r="G1425" s="2" t="inlineStr">
        <is>
          <t>Союзмультфильм</t>
        </is>
      </c>
      <c r="H1425" s="2" t="n">
        <v>54</v>
      </c>
      <c r="I1425" s="2" t="inlineStr"/>
      <c r="J1425" s="2" t="inlineStr">
        <is>
          <t>да</t>
        </is>
      </c>
      <c r="K1425" s="3" t="inlineStr">
        <is>
          <t>Познавательный фильм об истории архитектуры. Для детей</t>
        </is>
      </c>
      <c r="L1425" s="2" t="inlineStr">
        <is>
          <t>https://animator.ru/db/?p=show_film&amp;fid=2671</t>
        </is>
      </c>
      <c r="M1425" s="2">
        <f>HYPERLINK("https://ru.wikipedia.org/w/index.php?search=%D0%A7%D0%B5%D0%BB%D0%BE%D0%B2%D0%B5%D0%BA%20%D1%81%D1%82%D1%80%D0%BE%D0%B8%D1%82%20%D0%B4%D0%BE%D0%BC%201974%20%D1%84%D0%B8%D0%BB%D1%8C%D0%BC","искать")</f>
        <v/>
      </c>
      <c r="N1425" s="3" t="n"/>
      <c r="O1425" s="2" t="n"/>
      <c r="P1425" s="2" t="n"/>
    </row>
    <row r="1426">
      <c r="A1426" s="2" t="n">
        <v>1425</v>
      </c>
      <c r="B1426" s="2" t="inlineStr">
        <is>
          <t>не сюжет</t>
        </is>
      </c>
      <c r="C1426" s="2" t="n">
        <v>11899</v>
      </c>
      <c r="D1426" s="3" t="inlineStr">
        <is>
          <t>Волшебное озеро</t>
        </is>
      </c>
      <c r="E1426" s="2" t="n">
        <v>1979</v>
      </c>
      <c r="F1426" s="2" t="inlineStr">
        <is>
          <t>мультфильм</t>
        </is>
      </c>
      <c r="G1426" s="2" t="inlineStr">
        <is>
          <t>Союзмультфильм</t>
        </is>
      </c>
      <c r="H1426" s="2" t="n">
        <v>54</v>
      </c>
      <c r="I1426" s="2" t="inlineStr"/>
      <c r="J1426" s="2" t="inlineStr">
        <is>
          <t>да</t>
        </is>
      </c>
      <c r="K1426" s="3" t="inlineStr">
        <is>
          <t>На музыку фантазии А.Лядова. Стереоскопический вариант</t>
        </is>
      </c>
      <c r="L1426" s="2" t="inlineStr">
        <is>
          <t>https://animator.ru/db/?p=show_film&amp;fid=2814</t>
        </is>
      </c>
      <c r="M1426" s="2">
        <f>HYPERLINK("https://ru.wikipedia.org/w/index.php?search=%D0%92%D0%BE%D0%BB%D1%88%D0%B5%D0%B1%D0%BD%D0%BE%D0%B5%20%D0%BE%D0%B7%D0%B5%D1%80%D0%BE%201979%20%D1%84%D0%B8%D0%BB%D1%8C%D0%BC","искать")</f>
        <v/>
      </c>
      <c r="N1426" s="3" t="n"/>
      <c r="O1426" s="2" t="n"/>
      <c r="P1426" s="2" t="n"/>
    </row>
    <row r="1427">
      <c r="A1427" s="2" t="n">
        <v>1426</v>
      </c>
      <c r="B1427" s="2" t="inlineStr">
        <is>
          <t>не сюжет</t>
        </is>
      </c>
      <c r="C1427" s="2" t="n">
        <v>12325</v>
      </c>
      <c r="D1427" s="3" t="inlineStr">
        <is>
          <t>Белая арена</t>
        </is>
      </c>
      <c r="E1427" s="2" t="n">
        <v>1987</v>
      </c>
      <c r="F1427" s="2" t="inlineStr">
        <is>
          <t>мультфильм</t>
        </is>
      </c>
      <c r="G1427" s="2" t="inlineStr">
        <is>
          <t>КИЕВНАУЧФИЛЬМ</t>
        </is>
      </c>
      <c r="H1427" s="2" t="n">
        <v>54</v>
      </c>
      <c r="I1427" s="2" t="inlineStr"/>
      <c r="J1427" s="2" t="inlineStr">
        <is>
          <t>да</t>
        </is>
      </c>
      <c r="K1427" s="3" t="inlineStr">
        <is>
          <t>Все персонажи и декорации изготовлены из белой бумаги.</t>
        </is>
      </c>
      <c r="L1427" s="2" t="inlineStr">
        <is>
          <t>2026-10_мультфильмы_список_владельца.xlsx; https://animator.ru/db/?p=show_film&amp;fid=3489</t>
        </is>
      </c>
      <c r="M1427" s="2">
        <f>HYPERLINK("https://ru.wikipedia.org/w/index.php?search=%D0%91%D0%B5%D0%BB%D0%B0%D1%8F%20%D0%B0%D1%80%D0%B5%D0%BD%D0%B0%201987%20%D1%84%D0%B8%D0%BB%D1%8C%D0%BC","искать")</f>
        <v/>
      </c>
      <c r="N1427" s="3" t="n"/>
      <c r="O1427" s="2" t="n"/>
      <c r="P1427" s="2" t="n"/>
    </row>
    <row r="1428">
      <c r="A1428" s="2" t="n">
        <v>1427</v>
      </c>
      <c r="B1428" s="2" t="inlineStr">
        <is>
          <t>не сюжет</t>
        </is>
      </c>
      <c r="C1428" s="2" t="n">
        <v>13383</v>
      </c>
      <c r="D1428" s="3" t="inlineStr">
        <is>
          <t>Самолетик</t>
        </is>
      </c>
      <c r="E1428" s="2" t="n">
        <v>1978</v>
      </c>
      <c r="F1428" s="2" t="inlineStr">
        <is>
          <t>мультфильм</t>
        </is>
      </c>
      <c r="G1428" s="2" t="inlineStr">
        <is>
          <t>ЭКРАН</t>
        </is>
      </c>
      <c r="H1428" s="2" t="n">
        <v>54</v>
      </c>
      <c r="I1428" s="2" t="inlineStr"/>
      <c r="J1428" s="2" t="inlineStr">
        <is>
          <t>да</t>
        </is>
      </c>
      <c r="K1428" s="3" t="inlineStr">
        <is>
          <t>О дружбе большого и маленького самолетов. Для малышей.</t>
        </is>
      </c>
      <c r="L1428" s="2" t="inlineStr">
        <is>
          <t>2026-10_мультфильмы_список_владельца.xlsx; https://animator.ru/db/?p=show_film&amp;fid=4663</t>
        </is>
      </c>
      <c r="M1428" s="2">
        <f>HYPERLINK("https://ru.wikipedia.org/w/index.php?search=%D0%A1%D0%B0%D0%BC%D0%BE%D0%BB%D0%B5%D1%82%D0%B8%D0%BA%201978%20%D1%84%D0%B8%D0%BB%D1%8C%D0%BC","искать")</f>
        <v/>
      </c>
      <c r="N1428" s="3" t="n"/>
      <c r="O1428" s="2" t="n"/>
      <c r="P1428" s="2" t="n"/>
    </row>
    <row r="1429">
      <c r="A1429" s="2" t="n">
        <v>1428</v>
      </c>
      <c r="B1429" s="2" t="inlineStr">
        <is>
          <t>не сюжет</t>
        </is>
      </c>
      <c r="C1429" s="2" t="n">
        <v>13390</v>
      </c>
      <c r="D1429" s="3" t="inlineStr">
        <is>
          <t>Лоскутик и облако</t>
        </is>
      </c>
      <c r="E1429" s="2" t="n">
        <v>1977</v>
      </c>
      <c r="F1429" s="2" t="inlineStr">
        <is>
          <t>мультфильм</t>
        </is>
      </c>
      <c r="G1429" s="2" t="inlineStr">
        <is>
          <t>ЭКРАН</t>
        </is>
      </c>
      <c r="H1429" s="2" t="n">
        <v>54</v>
      </c>
      <c r="I1429" s="2" t="inlineStr"/>
      <c r="J1429" s="2" t="inlineStr">
        <is>
          <t>да</t>
        </is>
      </c>
      <c r="K1429" s="3" t="inlineStr">
        <is>
          <t>По мотивам сказки С.Прокофьевой. Состоит из трех серий</t>
        </is>
      </c>
      <c r="L1429" s="2" t="inlineStr">
        <is>
          <t>https://animator.ru/db/?p=show_film&amp;fid=4670</t>
        </is>
      </c>
      <c r="M1429" s="2">
        <f>HYPERLINK("https://ru.wikipedia.org/w/index.php?search=%D0%9B%D0%BE%D1%81%D0%BA%D1%83%D1%82%D0%B8%D0%BA%20%D0%B8%20%D0%BE%D0%B1%D0%BB%D0%B0%D0%BA%D0%BE%201977%20%D1%84%D0%B8%D0%BB%D1%8C%D0%BC","искать")</f>
        <v/>
      </c>
      <c r="N1429" s="3" t="n"/>
      <c r="O1429" s="2" t="n"/>
      <c r="P1429" s="2" t="n"/>
    </row>
    <row r="1430">
      <c r="A1430" s="2" t="n">
        <v>1429</v>
      </c>
      <c r="B1430" s="2" t="inlineStr">
        <is>
          <t>не сюжет</t>
        </is>
      </c>
      <c r="C1430" s="2" t="n">
        <v>13479</v>
      </c>
      <c r="D1430" s="3" t="inlineStr">
        <is>
          <t>Сигнал предупреждения</t>
        </is>
      </c>
      <c r="E1430" s="2" t="n">
        <v>1986</v>
      </c>
      <c r="F1430" s="2" t="inlineStr">
        <is>
          <t>мультфильм</t>
        </is>
      </c>
      <c r="G1430" s="2" t="inlineStr">
        <is>
          <t>ЛИТОВСКАЯ КИНОСТУДИЯ</t>
        </is>
      </c>
      <c r="H1430" s="2" t="n">
        <v>54</v>
      </c>
      <c r="I1430" s="2" t="inlineStr"/>
      <c r="J1430" s="2" t="inlineStr">
        <is>
          <t>да</t>
        </is>
      </c>
      <c r="K1430" s="3" t="inlineStr">
        <is>
          <t>По мотивам повести А.Азимова "Непреднамеренная победа"</t>
        </is>
      </c>
      <c r="L1430" s="2" t="inlineStr">
        <is>
          <t>https://animator.ru/db/?p=show_film&amp;fid=4769</t>
        </is>
      </c>
      <c r="M1430" s="2">
        <f>HYPERLINK("https://ru.wikipedia.org/w/index.php?search=%D0%A1%D0%B8%D0%B3%D0%BD%D0%B0%D0%BB%20%D0%BF%D1%80%D0%B5%D0%B4%D1%83%D0%BF%D1%80%D0%B5%D0%B6%D0%B4%D0%B5%D0%BD%D0%B8%D1%8F%201986%20%D1%84%D0%B8%D0%BB%D1%8C%D0%BC","искать")</f>
        <v/>
      </c>
      <c r="N1430" s="3" t="n"/>
      <c r="O1430" s="2" t="n"/>
      <c r="P1430" s="2" t="n"/>
    </row>
    <row r="1431">
      <c r="A1431" s="2" t="n">
        <v>1430</v>
      </c>
      <c r="B1431" s="2" t="inlineStr">
        <is>
          <t>не сюжет</t>
        </is>
      </c>
      <c r="C1431" s="2" t="n">
        <v>13687</v>
      </c>
      <c r="D1431" s="3" t="inlineStr">
        <is>
          <t>ДоРеМи</t>
        </is>
      </c>
      <c r="E1431" s="2" t="n">
        <v>1986</v>
      </c>
      <c r="F1431" s="2" t="inlineStr">
        <is>
          <t>мультфильм</t>
        </is>
      </c>
      <c r="G1431" s="2" t="inlineStr">
        <is>
          <t>ЭКРАН</t>
        </is>
      </c>
      <c r="H1431" s="2" t="n">
        <v>54</v>
      </c>
      <c r="I1431" s="2" t="inlineStr"/>
      <c r="J1431" s="2" t="inlineStr">
        <is>
          <t>да</t>
        </is>
      </c>
      <c r="K1431" s="3" t="inlineStr">
        <is>
          <t>Познавательный фильм для малышей о музыкальной грамоте</t>
        </is>
      </c>
      <c r="L1431" s="2" t="inlineStr">
        <is>
          <t>https://animator.ru/db/?p=show_film&amp;fid=5079</t>
        </is>
      </c>
      <c r="M1431" s="2">
        <f>HYPERLINK("https://ru.wikipedia.org/w/index.php?search=%D0%94%D0%BE%D0%A0%D0%B5%D0%9C%D0%B8%201986%20%D1%84%D0%B8%D0%BB%D1%8C%D0%BC","искать")</f>
        <v/>
      </c>
      <c r="N1431" s="3" t="n"/>
      <c r="O1431" s="2" t="n"/>
      <c r="P1431" s="2" t="n"/>
    </row>
    <row r="1432">
      <c r="A1432" s="2" t="n">
        <v>1431</v>
      </c>
      <c r="B1432" s="2" t="inlineStr">
        <is>
          <t>не сюжет</t>
        </is>
      </c>
      <c r="C1432" s="2" t="n">
        <v>13705</v>
      </c>
      <c r="D1432" s="3" t="inlineStr">
        <is>
          <t>Золотые слова</t>
        </is>
      </c>
      <c r="E1432" s="2" t="n">
        <v>1989</v>
      </c>
      <c r="F1432" s="2" t="inlineStr">
        <is>
          <t>мультфильм</t>
        </is>
      </c>
      <c r="G1432" s="2" t="inlineStr">
        <is>
          <t>ЭКРАН</t>
        </is>
      </c>
      <c r="H1432" s="2" t="n">
        <v>54</v>
      </c>
      <c r="I1432" s="2" t="inlineStr"/>
      <c r="J1432" s="2" t="inlineStr">
        <is>
          <t>да</t>
        </is>
      </c>
      <c r="K1432" s="3" t="inlineStr">
        <is>
          <t>По потивам одноименного рассказа Зощенко. Для взрослых</t>
        </is>
      </c>
      <c r="L1432" s="2" t="inlineStr">
        <is>
          <t>https://animator.ru/db/?p=show_film&amp;fid=5098</t>
        </is>
      </c>
      <c r="M1432" s="2">
        <f>HYPERLINK("https://ru.wikipedia.org/w/index.php?search=%D0%97%D0%BE%D0%BB%D0%BE%D1%82%D1%8B%D0%B5%20%D1%81%D0%BB%D0%BE%D0%B2%D0%B0%201989%20%D1%84%D0%B8%D0%BB%D1%8C%D0%BC","искать")</f>
        <v/>
      </c>
      <c r="N1432" s="3" t="n"/>
      <c r="O1432" s="2" t="n"/>
      <c r="P1432" s="2" t="n"/>
    </row>
    <row r="1433">
      <c r="A1433" s="2" t="n">
        <v>1432</v>
      </c>
      <c r="B1433" s="2" t="inlineStr">
        <is>
          <t>не сюжет</t>
        </is>
      </c>
      <c r="C1433" s="2" t="n">
        <v>13774</v>
      </c>
      <c r="D1433" s="3" t="inlineStr">
        <is>
          <t>Наваждение</t>
        </is>
      </c>
      <c r="E1433" s="2" t="n">
        <v>1989</v>
      </c>
      <c r="F1433" s="2" t="inlineStr">
        <is>
          <t>мультфильм</t>
        </is>
      </c>
      <c r="G1433" s="2" t="inlineStr">
        <is>
          <t>ЭКРАН</t>
        </is>
      </c>
      <c r="H1433" s="2" t="n">
        <v>54</v>
      </c>
      <c r="I1433" s="2" t="inlineStr"/>
      <c r="J1433" s="2" t="inlineStr">
        <is>
          <t>да</t>
        </is>
      </c>
      <c r="K1433" s="3" t="inlineStr">
        <is>
          <t>По мотивам украинской народной сказки "Болтливая баба"</t>
        </is>
      </c>
      <c r="L1433" s="2" t="inlineStr">
        <is>
          <t>https://animator.ru/db/?p=show_film&amp;fid=5167</t>
        </is>
      </c>
      <c r="M1433" s="2">
        <f>HYPERLINK("https://ru.wikipedia.org/w/index.php?search=%D0%9D%D0%B0%D0%B2%D0%B0%D0%B6%D0%B4%D0%B5%D0%BD%D0%B8%D0%B5%201989%20%D1%84%D0%B8%D0%BB%D1%8C%D0%BC","искать")</f>
        <v/>
      </c>
      <c r="N1433" s="3" t="n"/>
      <c r="O1433" s="2" t="n"/>
      <c r="P1433" s="2" t="n"/>
    </row>
    <row r="1434">
      <c r="A1434" s="2" t="n">
        <v>1433</v>
      </c>
      <c r="B1434" s="2" t="inlineStr">
        <is>
          <t>не сюжет</t>
        </is>
      </c>
      <c r="C1434" s="2" t="n">
        <v>13811</v>
      </c>
      <c r="D1434" s="3" t="inlineStr">
        <is>
          <t>Отель</t>
        </is>
      </c>
      <c r="E1434" s="2" t="n">
        <v>1988</v>
      </c>
      <c r="F1434" s="2" t="inlineStr">
        <is>
          <t>мультфильм</t>
        </is>
      </c>
      <c r="G1434" s="2" t="inlineStr">
        <is>
          <t>ЭКРАН</t>
        </is>
      </c>
      <c r="H1434" s="2" t="n">
        <v>54</v>
      </c>
      <c r="I1434" s="2" t="inlineStr"/>
      <c r="J1434" s="2" t="inlineStr">
        <is>
          <t>да</t>
        </is>
      </c>
      <c r="K1434" s="3" t="inlineStr">
        <is>
          <t>О беспорядках в гостиничном обслуживании. Для взрослых</t>
        </is>
      </c>
      <c r="L1434" s="2" t="inlineStr">
        <is>
          <t>https://animator.ru/db/?p=show_film&amp;fid=5204</t>
        </is>
      </c>
      <c r="M1434" s="2">
        <f>HYPERLINK("https://ru.wikipedia.org/w/index.php?search=%D0%9E%D1%82%D0%B5%D0%BB%D1%8C%201988%20%D1%84%D0%B8%D0%BB%D1%8C%D0%BC","искать")</f>
        <v/>
      </c>
      <c r="N1434" s="3" t="n"/>
      <c r="O1434" s="2" t="n"/>
      <c r="P1434" s="2" t="n"/>
    </row>
    <row r="1435">
      <c r="A1435" s="2" t="n">
        <v>1434</v>
      </c>
      <c r="B1435" s="2" t="inlineStr">
        <is>
          <t>не сюжет</t>
        </is>
      </c>
      <c r="C1435" s="2" t="n">
        <v>13846</v>
      </c>
      <c r="D1435" s="3" t="inlineStr">
        <is>
          <t>Воздушное путешествие</t>
        </is>
      </c>
      <c r="E1435" s="2" t="n">
        <v>1972</v>
      </c>
      <c r="F1435" s="2" t="inlineStr">
        <is>
          <t>мультфильм</t>
        </is>
      </c>
      <c r="G1435" s="2" t="inlineStr">
        <is>
          <t>ЭКРАН</t>
        </is>
      </c>
      <c r="H1435" s="2" t="n">
        <v>54</v>
      </c>
      <c r="I1435" s="2" t="inlineStr"/>
      <c r="J1435" s="2" t="inlineStr">
        <is>
          <t>да</t>
        </is>
      </c>
      <c r="K1435" s="3" t="inlineStr">
        <is>
          <t>Второй фильм серии "Приключения Незнайки и его друзей"</t>
        </is>
      </c>
      <c r="L1435" s="2" t="inlineStr">
        <is>
          <t>2026-10_мультфильмы_список_владельца.xlsx; https://animator.ru/db/?p=show_film&amp;fid=5239</t>
        </is>
      </c>
      <c r="M1435" s="2">
        <f>HYPERLINK("https://ru.wikipedia.org/w/index.php?search=%D0%92%D0%BE%D0%B7%D0%B4%D1%83%D1%88%D0%BD%D0%BE%D0%B5%20%D0%BF%D1%83%D1%82%D0%B5%D1%88%D0%B5%D1%81%D1%82%D0%B2%D0%B8%D0%B5%201972%20%D1%84%D0%B8%D0%BB%D1%8C%D0%BC","искать")</f>
        <v/>
      </c>
      <c r="N1435" s="3" t="n"/>
      <c r="O1435" s="2" t="n"/>
      <c r="P1435" s="2" t="n"/>
    </row>
    <row r="1436">
      <c r="A1436" s="2" t="n">
        <v>1435</v>
      </c>
      <c r="B1436" s="2" t="inlineStr">
        <is>
          <t>не сюжет</t>
        </is>
      </c>
      <c r="C1436" s="2" t="n">
        <v>13847</v>
      </c>
      <c r="D1436" s="3" t="inlineStr">
        <is>
          <t>Как Знайка придумал воздушный шар</t>
        </is>
      </c>
      <c r="E1436" s="2" t="n">
        <v>1972</v>
      </c>
      <c r="F1436" s="2" t="inlineStr">
        <is>
          <t>мультфильм</t>
        </is>
      </c>
      <c r="G1436" s="2" t="inlineStr">
        <is>
          <t>ЭКРАН</t>
        </is>
      </c>
      <c r="H1436" s="2" t="n">
        <v>54</v>
      </c>
      <c r="I1436" s="2" t="inlineStr"/>
      <c r="J1436" s="2" t="inlineStr">
        <is>
          <t>да</t>
        </is>
      </c>
      <c r="K1436" s="3" t="inlineStr">
        <is>
          <t>Третий фильм серии "Приключения Незнайки и его друзей"</t>
        </is>
      </c>
      <c r="L1436" s="2" t="inlineStr">
        <is>
          <t>2026-10_мультфильмы_список_владельца.xlsx; https://animator.ru/db/?p=show_film&amp;fid=5240</t>
        </is>
      </c>
      <c r="M1436" s="2">
        <f>HYPERLINK("https://ru.wikipedia.org/w/index.php?search=%D0%9A%D0%B0%D0%BA%20%D0%97%D0%BD%D0%B0%D0%B9%D0%BA%D0%B0%20%D0%BF%D1%80%D0%B8%D0%B4%D1%83%D0%BC%D0%B0%D0%BB%20%D0%B2%D0%BE%D0%B7%D0%B4%D1%83%D1%88%D0%BD%D1%8B%D0%B9%20%D1%88%D0%B0%D1%80%201972%20%D1%84%D0%B8%D0%BB%D1%8C%D0%BC","искать")</f>
        <v/>
      </c>
      <c r="N1436" s="3" t="n"/>
      <c r="O1436" s="2" t="n"/>
      <c r="P1436" s="2" t="n"/>
    </row>
    <row r="1437">
      <c r="A1437" s="2" t="n">
        <v>1436</v>
      </c>
      <c r="B1437" s="2" t="inlineStr">
        <is>
          <t>не сюжет</t>
        </is>
      </c>
      <c r="C1437" s="2" t="n">
        <v>13922</v>
      </c>
      <c r="D1437" s="3" t="inlineStr">
        <is>
          <t>Тайна игрушек</t>
        </is>
      </c>
      <c r="E1437" s="2" t="n">
        <v>1987</v>
      </c>
      <c r="F1437" s="2" t="inlineStr">
        <is>
          <t>мультфильм</t>
        </is>
      </c>
      <c r="G1437" s="2" t="inlineStr">
        <is>
          <t>ЭКРАН</t>
        </is>
      </c>
      <c r="H1437" s="2" t="n">
        <v>54</v>
      </c>
      <c r="I1437" s="2" t="inlineStr"/>
      <c r="J1437" s="2" t="inlineStr">
        <is>
          <t>да</t>
        </is>
      </c>
      <c r="K1437" s="3" t="inlineStr">
        <is>
          <t>Нехорошо отвеорачиваться от старых друзей. Для малышей</t>
        </is>
      </c>
      <c r="L1437" s="2" t="inlineStr">
        <is>
          <t>https://animator.ru/db/?p=show_film&amp;fid=5316</t>
        </is>
      </c>
      <c r="M1437" s="2">
        <f>HYPERLINK("https://ru.wikipedia.org/w/index.php?search=%D0%A2%D0%B0%D0%B9%D0%BD%D0%B0%20%D0%B8%D0%B3%D1%80%D1%83%D1%88%D0%B5%D0%BA%201987%20%D1%84%D0%B8%D0%BB%D1%8C%D0%BC","искать")</f>
        <v/>
      </c>
      <c r="N1437" s="3" t="n"/>
      <c r="O1437" s="2" t="n"/>
      <c r="P1437" s="2" t="n"/>
    </row>
    <row r="1438">
      <c r="A1438" s="2" t="n">
        <v>1437</v>
      </c>
      <c r="B1438" s="2" t="inlineStr">
        <is>
          <t>не сюжет</t>
        </is>
      </c>
      <c r="C1438" s="2" t="n">
        <v>14018</v>
      </c>
      <c r="D1438" s="3" t="inlineStr">
        <is>
          <t>Дедушка Мазай и зайцы</t>
        </is>
      </c>
      <c r="E1438" s="2" t="n">
        <v>1980</v>
      </c>
      <c r="F1438" s="2" t="inlineStr">
        <is>
          <t>мультфильм</t>
        </is>
      </c>
      <c r="G1438" s="2" t="inlineStr">
        <is>
          <t>Свердловская киностудия</t>
        </is>
      </c>
      <c r="H1438" s="2" t="n">
        <v>54</v>
      </c>
      <c r="I1438" s="2" t="inlineStr"/>
      <c r="J1438" s="2" t="inlineStr">
        <is>
          <t>да</t>
        </is>
      </c>
      <c r="K1438" s="3" t="inlineStr">
        <is>
          <t>По мотиваим одноименного произведения Н. А. Некрасова.</t>
        </is>
      </c>
      <c r="L1438" s="2" t="inlineStr">
        <is>
          <t>2026-10_мультфильмы_список_владельца.xlsx; https://animator.ru/db/?p=show_film&amp;fid=5413</t>
        </is>
      </c>
      <c r="M1438" s="2">
        <f>HYPERLINK("https://ru.wikipedia.org/w/index.php?search=%D0%94%D0%B5%D0%B4%D1%83%D1%88%D0%BA%D0%B0%20%D0%9C%D0%B0%D0%B7%D0%B0%D0%B9%20%D0%B8%20%D0%B7%D0%B0%D0%B9%D1%86%D1%8B%201980%20%D1%84%D0%B8%D0%BB%D1%8C%D0%BC","искать")</f>
        <v/>
      </c>
      <c r="N1438" s="3" t="n"/>
      <c r="O1438" s="2" t="n"/>
      <c r="P1438" s="2" t="n"/>
    </row>
    <row r="1439">
      <c r="A1439" s="2" t="n">
        <v>1438</v>
      </c>
      <c r="B1439" s="2" t="inlineStr">
        <is>
          <t>не сюжет</t>
        </is>
      </c>
      <c r="C1439" s="2" t="n">
        <v>14120</v>
      </c>
      <c r="D1439" s="3" t="inlineStr">
        <is>
          <t>Как кот Васька в третий класс перешел</t>
        </is>
      </c>
      <c r="E1439" s="2" t="n">
        <v>1969</v>
      </c>
      <c r="F1439" s="2" t="inlineStr">
        <is>
          <t>мультфильм</t>
        </is>
      </c>
      <c r="G1439" s="2" t="inlineStr">
        <is>
          <t>ПЕРМЬТЕЛЕФИЛЬМ</t>
        </is>
      </c>
      <c r="H1439" s="2" t="n">
        <v>54</v>
      </c>
      <c r="I1439" s="2" t="inlineStr"/>
      <c r="J1439" s="2" t="inlineStr">
        <is>
          <t>да</t>
        </is>
      </c>
      <c r="K1439" s="3" t="inlineStr">
        <is>
          <t>История про ленивого школьника Отставайкина. Для детей</t>
        </is>
      </c>
      <c r="L1439" s="2" t="inlineStr">
        <is>
          <t>https://animator.ru/db/?p=show_film&amp;fid=5518</t>
        </is>
      </c>
      <c r="M1439" s="2">
        <f>HYPERLINK("https://ru.wikipedia.org/w/index.php?search=%D0%9A%D0%B0%D0%BA%20%D0%BA%D0%BE%D1%82%20%D0%92%D0%B0%D1%81%D1%8C%D0%BA%D0%B0%20%D0%B2%20%D1%82%D1%80%D0%B5%D1%82%D0%B8%D0%B9%20%D0%BA%D0%BB%D0%B0%D1%81%D1%81%20%D0%BF%D0%B5%D1%80%D0%B5%D1%88%D0%B5%D0%BB%201969%20%D1%84%D0%B8%D0%BB%D1%8C%D0%BC","искать")</f>
        <v/>
      </c>
      <c r="N1439" s="3" t="n"/>
      <c r="O1439" s="2" t="n"/>
      <c r="P1439" s="2" t="n"/>
    </row>
    <row r="1440">
      <c r="A1440" s="2" t="n">
        <v>1439</v>
      </c>
      <c r="B1440" s="2" t="inlineStr">
        <is>
          <t>не сюжет</t>
        </is>
      </c>
      <c r="C1440" s="2" t="n">
        <v>14141</v>
      </c>
      <c r="D1440" s="3" t="inlineStr">
        <is>
          <t>Новая сказка</t>
        </is>
      </c>
      <c r="E1440" s="2" t="n">
        <v>1974</v>
      </c>
      <c r="F1440" s="2" t="inlineStr">
        <is>
          <t>мультфильм</t>
        </is>
      </c>
      <c r="G1440" s="2" t="inlineStr">
        <is>
          <t>ТУРКМЕНТЕЛЕФИЛЬМ</t>
        </is>
      </c>
      <c r="H1440" s="2" t="n">
        <v>54</v>
      </c>
      <c r="I1440" s="2" t="inlineStr"/>
      <c r="J1440" s="2" t="inlineStr">
        <is>
          <t>да</t>
        </is>
      </c>
      <c r="K1440" s="3" t="inlineStr">
        <is>
          <t>О дружных и находчивых обитателях пустыни. Для малышей</t>
        </is>
      </c>
      <c r="L1440" s="2" t="inlineStr">
        <is>
          <t>https://animator.ru/db/?p=show_film&amp;fid=5539</t>
        </is>
      </c>
      <c r="M1440" s="2">
        <f>HYPERLINK("https://ru.wikipedia.org/w/index.php?search=%D0%9D%D0%BE%D0%B2%D0%B0%D1%8F%20%D1%81%D0%BA%D0%B0%D0%B7%D0%BA%D0%B0%201974%20%D1%84%D0%B8%D0%BB%D1%8C%D0%BC","искать")</f>
        <v/>
      </c>
      <c r="N1440" s="3" t="n"/>
      <c r="O1440" s="2" t="n"/>
      <c r="P1440" s="2" t="n"/>
    </row>
    <row r="1441">
      <c r="A1441" s="2" t="n">
        <v>1440</v>
      </c>
      <c r="B1441" s="2" t="inlineStr">
        <is>
          <t>не сюжет</t>
        </is>
      </c>
      <c r="C1441" s="2" t="n">
        <v>14292</v>
      </c>
      <c r="D1441" s="3" t="inlineStr">
        <is>
          <t>Бестолковый вомбат</t>
        </is>
      </c>
      <c r="E1441" s="2" t="n">
        <v>1991</v>
      </c>
      <c r="F1441" s="2" t="inlineStr">
        <is>
          <t>мультфильм</t>
        </is>
      </c>
      <c r="G1441" s="2" t="inlineStr">
        <is>
          <t>УКРАНИМАФИЛЬМ</t>
        </is>
      </c>
      <c r="H1441" s="2" t="n">
        <v>54</v>
      </c>
      <c r="I1441" s="2" t="inlineStr"/>
      <c r="J1441" s="2" t="inlineStr">
        <is>
          <t>да</t>
        </is>
      </c>
      <c r="K1441" s="3" t="inlineStr">
        <is>
          <t>По мотивам сказки австралийской писательницы Рут Парк.</t>
        </is>
      </c>
      <c r="L1441" s="2" t="inlineStr">
        <is>
          <t>2026-10_мультфильмы_список_владельца.xlsx; https://animator.ru/db/?p=show_film&amp;fid=5835</t>
        </is>
      </c>
      <c r="M1441" s="2">
        <f>HYPERLINK("https://ru.wikipedia.org/w/index.php?search=%D0%91%D0%B5%D1%81%D1%82%D0%BE%D0%BB%D0%BA%D0%BE%D0%B2%D1%8B%D0%B9%20%D0%B2%D0%BE%D0%BC%D0%B1%D0%B0%D1%82%201991%20%D1%84%D0%B8%D0%BB%D1%8C%D0%BC","искать")</f>
        <v/>
      </c>
      <c r="N1441" s="3" t="n"/>
      <c r="O1441" s="2" t="n"/>
      <c r="P1441" s="2" t="n"/>
    </row>
    <row r="1442">
      <c r="A1442" s="2" t="n">
        <v>1441</v>
      </c>
      <c r="B1442" s="2" t="inlineStr">
        <is>
          <t>не сюжет</t>
        </is>
      </c>
      <c r="C1442" s="2" t="n">
        <v>9793</v>
      </c>
      <c r="D1442" s="3" t="inlineStr">
        <is>
          <t>Юность (киноальманах)</t>
        </is>
      </c>
      <c r="E1442" s="2" t="n">
        <v>1963</v>
      </c>
      <c r="F1442" s="2" t="inlineStr">
        <is>
          <t>кинофильм</t>
        </is>
      </c>
      <c r="G1442" s="2" t="inlineStr">
        <is>
          <t>К/ст им. Горького</t>
        </is>
      </c>
      <c r="H1442" s="2" t="n">
        <v>55</v>
      </c>
      <c r="I1442" s="2" t="inlineStr"/>
      <c r="J1442" s="2" t="inlineStr">
        <is>
          <t>да</t>
        </is>
      </c>
      <c r="K1442" s="3" t="inlineStr">
        <is>
          <t>Фильм из двух новелл: "Подсолнух" и "Тетка с фиалками".</t>
        </is>
      </c>
      <c r="L1442" s="2" t="inlineStr">
        <is>
          <t>https://www.kino-teatr.ru/kino/movie/sov/9358/annot/</t>
        </is>
      </c>
      <c r="M1442" s="2">
        <f>HYPERLINK("https://ru.wikipedia.org/w/index.php?search=%D0%AE%D0%BD%D0%BE%D1%81%D1%82%D1%8C%20%28%D0%BA%D0%B8%D0%BD%D0%BE%D0%B0%D0%BB%D1%8C%D0%BC%D0%B0%D0%BD%D0%B0%D1%85%29%201963%20%D1%84%D0%B8%D0%BB%D1%8C%D0%BC","искать")</f>
        <v/>
      </c>
      <c r="N1442" s="3" t="n"/>
      <c r="O1442" s="2" t="n"/>
      <c r="P1442" s="2" t="n"/>
    </row>
    <row r="1443">
      <c r="A1443" s="2" t="n">
        <v>1442</v>
      </c>
      <c r="B1443" s="2" t="inlineStr">
        <is>
          <t>не сюжет</t>
        </is>
      </c>
      <c r="C1443" s="2" t="n">
        <v>9890</v>
      </c>
      <c r="D1443" s="3" t="inlineStr">
        <is>
          <t>Стальное колечко</t>
        </is>
      </c>
      <c r="E1443" s="2" t="n">
        <v>1971</v>
      </c>
      <c r="F1443" s="2" t="inlineStr">
        <is>
          <t>кинофильм</t>
        </is>
      </c>
      <c r="G1443" s="2" t="inlineStr">
        <is>
          <t>К/ст.им. А. Довженко</t>
        </is>
      </c>
      <c r="H1443" s="2" t="n">
        <v>55</v>
      </c>
      <c r="I1443" s="2" t="inlineStr"/>
      <c r="J1443" s="2" t="inlineStr">
        <is>
          <t>да</t>
        </is>
      </c>
      <c r="K1443" s="3" t="inlineStr">
        <is>
          <t>По мотивам одноименной сказки Константина Паустовского.</t>
        </is>
      </c>
      <c r="L1443" s="2" t="inlineStr">
        <is>
          <t>https://www.kino-teatr.ru/short/movie/sov/6745/annot/</t>
        </is>
      </c>
      <c r="M1443" s="2">
        <f>HYPERLINK("https://ru.wikipedia.org/w/index.php?search=%D0%A1%D1%82%D0%B0%D0%BB%D1%8C%D0%BD%D0%BE%D0%B5%20%D0%BA%D0%BE%D0%BB%D0%B5%D1%87%D0%BA%D0%BE%201971%20%D1%84%D0%B8%D0%BB%D1%8C%D0%BC","искать")</f>
        <v/>
      </c>
      <c r="N1443" s="3" t="n"/>
      <c r="O1443" s="2" t="n"/>
      <c r="P1443" s="2" t="n"/>
    </row>
    <row r="1444">
      <c r="A1444" s="2" t="n">
        <v>1443</v>
      </c>
      <c r="B1444" s="2" t="inlineStr">
        <is>
          <t>не сюжет</t>
        </is>
      </c>
      <c r="C1444" s="2" t="n">
        <v>9960</v>
      </c>
      <c r="D1444" s="3" t="inlineStr">
        <is>
          <t>Верное средство</t>
        </is>
      </c>
      <c r="E1444" s="2" t="n">
        <v>1981</v>
      </c>
      <c r="F1444" s="2" t="inlineStr">
        <is>
          <t>кинофильм</t>
        </is>
      </c>
      <c r="G1444" s="2" t="inlineStr">
        <is>
          <t>Киностудия имени Горького</t>
        </is>
      </c>
      <c r="H1444" s="2" t="n">
        <v>55</v>
      </c>
      <c r="I1444" s="2" t="inlineStr"/>
      <c r="J1444" s="2" t="inlineStr">
        <is>
          <t>да</t>
        </is>
      </c>
      <c r="K1444" s="3" t="inlineStr">
        <is>
          <t>Про то, как важно соблюдать правила дорожного движения.</t>
        </is>
      </c>
      <c r="L1444" s="2" t="inlineStr">
        <is>
          <t>https://www.kino-teatr.ru/short/movie/sov/167605/annot/</t>
        </is>
      </c>
      <c r="M1444" s="2">
        <f>HYPERLINK("https://ru.wikipedia.org/w/index.php?search=%D0%92%D0%B5%D1%80%D0%BD%D0%BE%D0%B5%20%D1%81%D1%80%D0%B5%D0%B4%D1%81%D1%82%D0%B2%D0%BE%201981%20%D1%84%D0%B8%D0%BB%D1%8C%D0%BC","искать")</f>
        <v/>
      </c>
      <c r="N1444" s="3" t="n"/>
      <c r="O1444" s="2" t="n"/>
      <c r="P1444" s="2" t="n"/>
    </row>
    <row r="1445">
      <c r="A1445" s="2" t="n">
        <v>1444</v>
      </c>
      <c r="B1445" s="2" t="inlineStr">
        <is>
          <t>не сюжет</t>
        </is>
      </c>
      <c r="C1445" s="2" t="n">
        <v>10501</v>
      </c>
      <c r="D1445" s="3" t="inlineStr">
        <is>
          <t>Инженер</t>
        </is>
      </c>
      <c r="E1445" s="2" t="n">
        <v>1973</v>
      </c>
      <c r="F1445" s="2" t="inlineStr">
        <is>
          <t>фильм-спектакль</t>
        </is>
      </c>
      <c r="G1445" s="2" t="inlineStr">
        <is>
          <t>Гл. ред. лит.-драм. программ</t>
        </is>
      </c>
      <c r="H1445" s="2" t="n">
        <v>55</v>
      </c>
      <c r="I1445" s="2" t="inlineStr"/>
      <c r="J1445" s="2" t="inlineStr">
        <is>
          <t>да</t>
        </is>
      </c>
      <c r="K1445" s="3" t="inlineStr">
        <is>
          <t>По пьесе Е. Каплинской в постановке Малого театра СССР.</t>
        </is>
      </c>
      <c r="L1445" s="2" t="inlineStr">
        <is>
          <t>https://www.kino-teatr.ru/teatr/movie/93008/annot/</t>
        </is>
      </c>
      <c r="M1445" s="2">
        <f>HYPERLINK("https://ru.wikipedia.org/w/index.php?search=%D0%98%D0%BD%D0%B6%D0%B5%D0%BD%D0%B5%D1%80%201973%20%D1%84%D0%B8%D0%BB%D1%8C%D0%BC","искать")</f>
        <v/>
      </c>
      <c r="N1445" s="3" t="n"/>
      <c r="O1445" s="2" t="n"/>
      <c r="P1445" s="2" t="n"/>
    </row>
    <row r="1446">
      <c r="A1446" s="2" t="n">
        <v>1445</v>
      </c>
      <c r="B1446" s="2" t="inlineStr">
        <is>
          <t>не сюжет</t>
        </is>
      </c>
      <c r="C1446" s="2" t="n">
        <v>11139</v>
      </c>
      <c r="D1446" s="3" t="inlineStr">
        <is>
          <t>Белые ночи</t>
        </is>
      </c>
      <c r="E1446" s="2" t="n">
        <v>1987</v>
      </c>
      <c r="F1446" s="2" t="inlineStr">
        <is>
          <t>фильм-спектакль</t>
        </is>
      </c>
      <c r="G1446" s="2" t="inlineStr">
        <is>
          <t>Ленинградское ТВ</t>
        </is>
      </c>
      <c r="H1446" s="2" t="n">
        <v>55</v>
      </c>
      <c r="I1446" s="2" t="inlineStr"/>
      <c r="J1446" s="2" t="inlineStr">
        <is>
          <t>да</t>
        </is>
      </c>
      <c r="K1446" s="3" t="inlineStr">
        <is>
          <t>Телеспектакль по роману Ф.М. Достоевского "Белые ночи".</t>
        </is>
      </c>
      <c r="L1446" s="2" t="inlineStr">
        <is>
          <t>https://www.kino-teatr.ru/teatr/movie/10622/annot/</t>
        </is>
      </c>
      <c r="M1446" s="2">
        <f>HYPERLINK("https://ru.wikipedia.org/w/index.php?search=%D0%91%D0%B5%D0%BB%D1%8B%D0%B5%20%D0%BD%D0%BE%D1%87%D0%B8%201987%20%D1%84%D0%B8%D0%BB%D1%8C%D0%BC","искать")</f>
        <v/>
      </c>
      <c r="N1446" s="3" t="n"/>
      <c r="O1446" s="2" t="n"/>
      <c r="P1446" s="2" t="n"/>
    </row>
    <row r="1447">
      <c r="A1447" s="2" t="n">
        <v>1446</v>
      </c>
      <c r="B1447" s="2" t="inlineStr">
        <is>
          <t>не сюжет</t>
        </is>
      </c>
      <c r="C1447" s="2" t="n">
        <v>11545</v>
      </c>
      <c r="D1447" s="3" t="inlineStr">
        <is>
          <t>ЭХ, ДОРОГИ! ("Фитиль" N 11)</t>
        </is>
      </c>
      <c r="E1447" s="2" t="n">
        <v>1963</v>
      </c>
      <c r="F1447" s="2" t="inlineStr">
        <is>
          <t>мультфильм</t>
        </is>
      </c>
      <c r="G1447" s="2" t="inlineStr">
        <is>
          <t>Союзмультфильм</t>
        </is>
      </c>
      <c r="H1447" s="2" t="n">
        <v>55</v>
      </c>
      <c r="I1447" s="2" t="inlineStr"/>
      <c r="J1447" s="2" t="inlineStr">
        <is>
          <t>да</t>
        </is>
      </c>
      <c r="K1447" s="3" t="inlineStr">
        <is>
          <t>Сюжет об опасностях, подстерегающих нетрезвых водителей</t>
        </is>
      </c>
      <c r="L1447" s="2" t="inlineStr">
        <is>
          <t>https://animator.ru/db/?p=show_film&amp;fid=2377</t>
        </is>
      </c>
      <c r="M1447" s="2">
        <f>HYPERLINK("https://ru.wikipedia.org/w/index.php?search=%D0%AD%D0%A5%2C%20%D0%94%D0%9E%D0%A0%D0%9E%D0%93%D0%98%21%20%28%22%D0%A4%D0%B8%D1%82%D0%B8%D0%BB%D1%8C%22%20N%2011%29%201963%20%D1%84%D0%B8%D0%BB%D1%8C%D0%BC","искать")</f>
        <v/>
      </c>
      <c r="N1447" s="3" t="n"/>
      <c r="O1447" s="2" t="n"/>
      <c r="P1447" s="2" t="n"/>
    </row>
    <row r="1448">
      <c r="A1448" s="2" t="n">
        <v>1447</v>
      </c>
      <c r="B1448" s="2" t="inlineStr">
        <is>
          <t>не сюжет</t>
        </is>
      </c>
      <c r="C1448" s="2" t="n">
        <v>11550</v>
      </c>
      <c r="D1448" s="3" t="inlineStr">
        <is>
          <t>ГРОМ И МОЛНИЯ ("Фитиль" N 17)</t>
        </is>
      </c>
      <c r="E1448" s="2" t="n">
        <v>1963</v>
      </c>
      <c r="F1448" s="2" t="inlineStr">
        <is>
          <t>мультфильм</t>
        </is>
      </c>
      <c r="G1448" s="2" t="inlineStr">
        <is>
          <t>Союзмультфильм</t>
        </is>
      </c>
      <c r="H1448" s="2" t="n">
        <v>55</v>
      </c>
      <c r="I1448" s="2" t="inlineStr"/>
      <c r="J1448" s="2" t="inlineStr">
        <is>
          <t>да</t>
        </is>
      </c>
      <c r="K1448" s="3" t="inlineStr">
        <is>
          <t>О несогласованности работы городских коммунальных служб</t>
        </is>
      </c>
      <c r="L1448" s="2" t="inlineStr">
        <is>
          <t>https://animator.ru/db/?p=show_film&amp;fid=2382</t>
        </is>
      </c>
      <c r="M1448" s="2">
        <f>HYPERLINK("https://ru.wikipedia.org/w/index.php?search=%D0%93%D0%A0%D0%9E%D0%9C%20%D0%98%20%D0%9C%D0%9E%D0%9B%D0%9D%D0%98%D0%AF%20%28%22%D0%A4%D0%B8%D1%82%D0%B8%D0%BB%D1%8C%22%20N%2017%29%201963%20%D1%84%D0%B8%D0%BB%D1%8C%D0%BC","искать")</f>
        <v/>
      </c>
      <c r="N1448" s="3" t="n"/>
      <c r="O1448" s="2" t="n"/>
      <c r="P1448" s="2" t="n"/>
    </row>
    <row r="1449">
      <c r="A1449" s="2" t="n">
        <v>1448</v>
      </c>
      <c r="B1449" s="2" t="inlineStr">
        <is>
          <t>не сюжет</t>
        </is>
      </c>
      <c r="C1449" s="2" t="n">
        <v>11696</v>
      </c>
      <c r="D1449" s="3" t="inlineStr">
        <is>
          <t>Дядя Фёдор, пёс и кот. 1. Матроскин и Шарик</t>
        </is>
      </c>
      <c r="E1449" s="2" t="n">
        <v>1975</v>
      </c>
      <c r="F1449" s="2" t="inlineStr">
        <is>
          <t>мультфильм</t>
        </is>
      </c>
      <c r="G1449" s="2" t="inlineStr">
        <is>
          <t>ЭКРАН</t>
        </is>
      </c>
      <c r="H1449" s="2" t="n">
        <v>55</v>
      </c>
      <c r="I1449" s="2" t="inlineStr"/>
      <c r="J1449" s="2" t="inlineStr">
        <is>
          <t>да</t>
        </is>
      </c>
      <c r="K1449" s="3" t="inlineStr">
        <is>
          <t>По мотивам повести Э.Успенского "Трое из Простоквашино"</t>
        </is>
      </c>
      <c r="L1449" s="2" t="inlineStr">
        <is>
          <t>https://animator.ru/db/?p=show_film&amp;fid=2610</t>
        </is>
      </c>
      <c r="M1449" s="2">
        <f>HYPERLINK("https://ru.wikipedia.org/w/index.php?search=%D0%94%D1%8F%D0%B4%D1%8F%20%D0%A4%D1%91%D0%B4%D0%BE%D1%80%2C%20%D0%BF%D1%91%D1%81%20%D0%B8%20%D0%BA%D0%BE%D1%82.%201.%20%D0%9C%D0%B0%D1%82%D1%80%D0%BE%D1%81%D0%BA%D0%B8%D0%BD%20%D0%B8%20%D0%A8%D0%B0%D1%80%D0%B8%D0%BA%201975%20%D1%84%D0%B8%D0%BB%D1%8C%D0%BC","искать")</f>
        <v/>
      </c>
      <c r="N1449" s="3" t="n"/>
      <c r="O1449" s="2" t="n"/>
      <c r="P1449" s="2" t="n"/>
    </row>
    <row r="1450">
      <c r="A1450" s="2" t="n">
        <v>1449</v>
      </c>
      <c r="B1450" s="2" t="inlineStr">
        <is>
          <t>не сюжет</t>
        </is>
      </c>
      <c r="C1450" s="2" t="n">
        <v>11960</v>
      </c>
      <c r="D1450" s="3" t="inlineStr">
        <is>
          <t>Дорожная сказка</t>
        </is>
      </c>
      <c r="E1450" s="2" t="n">
        <v>1981</v>
      </c>
      <c r="F1450" s="2" t="inlineStr">
        <is>
          <t>мультфильм</t>
        </is>
      </c>
      <c r="G1450" s="2" t="inlineStr">
        <is>
          <t>Союзмультфильм</t>
        </is>
      </c>
      <c r="H1450" s="2" t="n">
        <v>55</v>
      </c>
      <c r="I1450" s="2" t="inlineStr"/>
      <c r="J1450" s="2" t="inlineStr">
        <is>
          <t>да</t>
        </is>
      </c>
      <c r="K1450" s="3" t="inlineStr">
        <is>
          <t>Современная сказка о маленьких забавных автомобильчиках</t>
        </is>
      </c>
      <c r="L1450" s="2" t="inlineStr">
        <is>
          <t>https://animator.ru/db/?p=show_film&amp;fid=2876</t>
        </is>
      </c>
      <c r="M1450" s="2">
        <f>HYPERLINK("https://ru.wikipedia.org/w/index.php?search=%D0%94%D0%BE%D1%80%D0%BE%D0%B6%D0%BD%D0%B0%D1%8F%20%D1%81%D0%BA%D0%B0%D0%B7%D0%BA%D0%B0%201981%20%D1%84%D0%B8%D0%BB%D1%8C%D0%BC","искать")</f>
        <v/>
      </c>
      <c r="N1450" s="3" t="n"/>
      <c r="O1450" s="2" t="n"/>
      <c r="P1450" s="2" t="n"/>
    </row>
    <row r="1451">
      <c r="A1451" s="2" t="n">
        <v>1450</v>
      </c>
      <c r="B1451" s="2" t="inlineStr">
        <is>
          <t>не сюжет</t>
        </is>
      </c>
      <c r="C1451" s="2" t="n">
        <v>12143</v>
      </c>
      <c r="D1451" s="3" t="inlineStr">
        <is>
          <t>Контракт</t>
        </is>
      </c>
      <c r="E1451" s="2" t="n">
        <v>1985</v>
      </c>
      <c r="F1451" s="2" t="inlineStr">
        <is>
          <t>мультфильм</t>
        </is>
      </c>
      <c r="G1451" s="2" t="inlineStr">
        <is>
          <t>Союзмультфильм</t>
        </is>
      </c>
      <c r="H1451" s="2" t="n">
        <v>55</v>
      </c>
      <c r="I1451" s="2" t="inlineStr"/>
      <c r="J1451" s="2" t="inlineStr">
        <is>
          <t>да</t>
        </is>
      </c>
      <c r="K1451" s="3" t="inlineStr">
        <is>
          <t>Фантастический фильм по мотивам рассказа Р.Сильверберга</t>
        </is>
      </c>
      <c r="L1451" s="2" t="inlineStr">
        <is>
          <t>https://animator.ru/db/?p=show_film&amp;fid=3259</t>
        </is>
      </c>
      <c r="M1451" s="2">
        <f>HYPERLINK("https://ru.wikipedia.org/w/index.php?search=%D0%9A%D0%BE%D0%BD%D1%82%D1%80%D0%B0%D0%BA%D1%82%201985%20%D1%84%D0%B8%D0%BB%D1%8C%D0%BC","искать")</f>
        <v/>
      </c>
      <c r="N1451" s="3" t="n"/>
      <c r="O1451" s="2" t="n"/>
      <c r="P1451" s="2" t="n"/>
    </row>
    <row r="1452">
      <c r="A1452" s="2" t="n">
        <v>1451</v>
      </c>
      <c r="B1452" s="2" t="inlineStr">
        <is>
          <t>не сюжет</t>
        </is>
      </c>
      <c r="C1452" s="2" t="n">
        <v>12545</v>
      </c>
      <c r="D1452" s="3" t="inlineStr">
        <is>
          <t>Семейный марафон</t>
        </is>
      </c>
      <c r="E1452" s="2" t="n">
        <v>1981</v>
      </c>
      <c r="F1452" s="2" t="inlineStr">
        <is>
          <t>мультфильм</t>
        </is>
      </c>
      <c r="G1452" s="2" t="inlineStr">
        <is>
          <t>КИЕВНАУЧФИЛЬМ</t>
        </is>
      </c>
      <c r="H1452" s="2" t="n">
        <v>55</v>
      </c>
      <c r="I1452" s="2" t="inlineStr"/>
      <c r="J1452" s="2" t="inlineStr">
        <is>
          <t>да</t>
        </is>
      </c>
      <c r="K1452" s="3" t="inlineStr">
        <is>
          <t>ВФ спортивных фильмов, Каунас 1983 -- Серебряная медаль</t>
        </is>
      </c>
      <c r="L1452" s="2" t="inlineStr">
        <is>
          <t>https://animator.ru/db/?p=show_film&amp;fid=3723</t>
        </is>
      </c>
      <c r="M1452" s="2">
        <f>HYPERLINK("https://ru.wikipedia.org/w/index.php?search=%D0%A1%D0%B5%D0%BC%D0%B5%D0%B9%D0%BD%D1%8B%D0%B9%20%D0%BC%D0%B0%D1%80%D0%B0%D1%84%D0%BE%D0%BD%201981%20%D1%84%D0%B8%D0%BB%D1%8C%D0%BC","искать")</f>
        <v/>
      </c>
      <c r="N1452" s="3" t="n"/>
      <c r="O1452" s="2" t="n"/>
      <c r="P1452" s="2" t="n"/>
    </row>
    <row r="1453">
      <c r="A1453" s="2" t="n">
        <v>1452</v>
      </c>
      <c r="B1453" s="2" t="inlineStr">
        <is>
          <t>не сюжет</t>
        </is>
      </c>
      <c r="C1453" s="2" t="n">
        <v>12682</v>
      </c>
      <c r="D1453" s="3" t="inlineStr">
        <is>
          <t>Кончерто гроссо</t>
        </is>
      </c>
      <c r="E1453" s="2" t="n">
        <v>1989</v>
      </c>
      <c r="F1453" s="2" t="inlineStr">
        <is>
          <t>мультфильм</t>
        </is>
      </c>
      <c r="G1453" s="2" t="inlineStr">
        <is>
          <t>БЕЛАРУСЬФИЛЬМ НАЦИОНАЛЬНАЯ КИНОСТУДИЯ - ГП</t>
        </is>
      </c>
      <c r="H1453" s="2" t="n">
        <v>55</v>
      </c>
      <c r="I1453" s="2" t="inlineStr"/>
      <c r="J1453" s="2" t="inlineStr">
        <is>
          <t>да</t>
        </is>
      </c>
      <c r="K1453" s="3" t="inlineStr">
        <is>
          <t>По мотивам рассказа Дино Буццати "Бомба" (для взрослых)</t>
        </is>
      </c>
      <c r="L1453" s="2" t="inlineStr">
        <is>
          <t>https://animator.ru/db/?p=show_film&amp;fid=3877</t>
        </is>
      </c>
      <c r="M1453" s="2">
        <f>HYPERLINK("https://ru.wikipedia.org/w/index.php?search=%D0%9A%D0%BE%D0%BD%D1%87%D0%B5%D1%80%D1%82%D0%BE%20%D0%B3%D1%80%D0%BE%D1%81%D1%81%D0%BE%201989%20%D1%84%D0%B8%D0%BB%D1%8C%D0%BC","искать")</f>
        <v/>
      </c>
      <c r="N1453" s="3" t="n"/>
      <c r="O1453" s="2" t="n"/>
      <c r="P1453" s="2" t="n"/>
    </row>
    <row r="1454">
      <c r="A1454" s="2" t="n">
        <v>1453</v>
      </c>
      <c r="B1454" s="2" t="inlineStr">
        <is>
          <t>не сюжет</t>
        </is>
      </c>
      <c r="C1454" s="2" t="n">
        <v>13051</v>
      </c>
      <c r="D1454" s="3" t="inlineStr">
        <is>
          <t>Яблонька</t>
        </is>
      </c>
      <c r="E1454" s="2" t="n">
        <v>1973</v>
      </c>
      <c r="F1454" s="2" t="inlineStr">
        <is>
          <t>мультфильм</t>
        </is>
      </c>
      <c r="G1454" s="2" t="inlineStr">
        <is>
          <t>РИЖСКАЯ КИНОСТУДИЯ</t>
        </is>
      </c>
      <c r="H1454" s="2" t="n">
        <v>55</v>
      </c>
      <c r="I1454" s="2" t="inlineStr"/>
      <c r="J1454" s="2" t="inlineStr">
        <is>
          <t>да</t>
        </is>
      </c>
      <c r="K1454" s="3" t="inlineStr">
        <is>
          <t>О девочке и яблоньке, которая растет под окнами ее дома</t>
        </is>
      </c>
      <c r="L1454" s="2" t="inlineStr">
        <is>
          <t>https://animator.ru/db/?p=show_film&amp;fid=4283</t>
        </is>
      </c>
      <c r="M1454" s="2">
        <f>HYPERLINK("https://ru.wikipedia.org/w/index.php?search=%D0%AF%D0%B1%D0%BB%D0%BE%D0%BD%D1%8C%D0%BA%D0%B0%201973%20%D1%84%D0%B8%D0%BB%D1%8C%D0%BC","искать")</f>
        <v/>
      </c>
      <c r="N1454" s="3" t="n"/>
      <c r="O1454" s="2" t="n"/>
      <c r="P1454" s="2" t="n"/>
    </row>
    <row r="1455">
      <c r="A1455" s="2" t="n">
        <v>1454</v>
      </c>
      <c r="B1455" s="2" t="inlineStr">
        <is>
          <t>не сюжет</t>
        </is>
      </c>
      <c r="C1455" s="2" t="n">
        <v>13257</v>
      </c>
      <c r="D1455" s="3" t="inlineStr">
        <is>
          <t>Рождение жанра</t>
        </is>
      </c>
      <c r="E1455" s="2" t="n">
        <v>1967</v>
      </c>
      <c r="F1455" s="2" t="inlineStr">
        <is>
          <t>мультфильм</t>
        </is>
      </c>
      <c r="G1455" s="2" t="inlineStr">
        <is>
          <t>ТАЛЛИННФИЛЬМ</t>
        </is>
      </c>
      <c r="H1455" s="2" t="n">
        <v>55</v>
      </c>
      <c r="I1455" s="2" t="inlineStr"/>
      <c r="J1455" s="2" t="inlineStr">
        <is>
          <t>да</t>
        </is>
      </c>
      <c r="K1455" s="3" t="inlineStr">
        <is>
          <t>Познавательный фильм о возникновении анимационного кино</t>
        </is>
      </c>
      <c r="L1455" s="2" t="inlineStr">
        <is>
          <t>https://animator.ru/db/?p=show_film&amp;fid=4507</t>
        </is>
      </c>
      <c r="M1455" s="2">
        <f>HYPERLINK("https://ru.wikipedia.org/w/index.php?search=%D0%A0%D0%BE%D0%B6%D0%B4%D0%B5%D0%BD%D0%B8%D0%B5%20%D0%B6%D0%B0%D0%BD%D1%80%D0%B0%201967%20%D1%84%D0%B8%D0%BB%D1%8C%D0%BC","искать")</f>
        <v/>
      </c>
      <c r="N1455" s="3" t="n"/>
      <c r="O1455" s="2" t="n"/>
      <c r="P1455" s="2" t="n"/>
    </row>
    <row r="1456">
      <c r="A1456" s="2" t="n">
        <v>1455</v>
      </c>
      <c r="B1456" s="2" t="inlineStr">
        <is>
          <t>не сюжет</t>
        </is>
      </c>
      <c r="C1456" s="2" t="n">
        <v>13293</v>
      </c>
      <c r="D1456" s="3" t="inlineStr">
        <is>
          <t>Столп</t>
        </is>
      </c>
      <c r="E1456" s="2" t="n">
        <v>1989</v>
      </c>
      <c r="F1456" s="2" t="inlineStr">
        <is>
          <t>мультфильм</t>
        </is>
      </c>
      <c r="G1456" s="2" t="inlineStr">
        <is>
          <t>ТАЛЛИННФИЛЬМ</t>
        </is>
      </c>
      <c r="H1456" s="2" t="n">
        <v>55</v>
      </c>
      <c r="I1456" s="2" t="inlineStr"/>
      <c r="J1456" s="2" t="inlineStr">
        <is>
          <t>да</t>
        </is>
      </c>
      <c r="K1456" s="3" t="inlineStr">
        <is>
          <t>Сатирические сюжеты: "Помогите!", "Равновесие", "Столп"</t>
        </is>
      </c>
      <c r="L1456" s="2" t="inlineStr">
        <is>
          <t>https://animator.ru/db/?p=show_film&amp;fid=4550</t>
        </is>
      </c>
      <c r="M1456" s="2">
        <f>HYPERLINK("https://ru.wikipedia.org/w/index.php?search=%D0%A1%D1%82%D0%BE%D0%BB%D0%BF%201989%20%D1%84%D0%B8%D0%BB%D1%8C%D0%BC","искать")</f>
        <v/>
      </c>
      <c r="N1456" s="3" t="n"/>
      <c r="O1456" s="2" t="n"/>
      <c r="P1456" s="2" t="n"/>
    </row>
    <row r="1457">
      <c r="A1457" s="2" t="n">
        <v>1456</v>
      </c>
      <c r="B1457" s="2" t="inlineStr">
        <is>
          <t>не сюжет</t>
        </is>
      </c>
      <c r="C1457" s="2" t="n">
        <v>13519</v>
      </c>
      <c r="D1457" s="3" t="inlineStr">
        <is>
          <t>Сладкая репа</t>
        </is>
      </c>
      <c r="E1457" s="2" t="n">
        <v>1990</v>
      </c>
      <c r="F1457" s="2" t="inlineStr">
        <is>
          <t>мультфильм</t>
        </is>
      </c>
      <c r="G1457" s="2" t="inlineStr">
        <is>
          <t>СОЮЗТЕЛЕФИЛЬМ</t>
        </is>
      </c>
      <c r="H1457" s="2" t="n">
        <v>55</v>
      </c>
      <c r="I1457" s="2" t="inlineStr"/>
      <c r="J1457" s="2" t="inlineStr">
        <is>
          <t>да</t>
        </is>
      </c>
      <c r="K1457" s="3" t="inlineStr">
        <is>
          <t>На сюжет русской народной сказки, разыгранной в вертепе</t>
        </is>
      </c>
      <c r="L1457" s="2" t="inlineStr">
        <is>
          <t>https://animator.ru/db/?p=show_film&amp;fid=4831</t>
        </is>
      </c>
      <c r="M1457" s="2">
        <f>HYPERLINK("https://ru.wikipedia.org/w/index.php?search=%D0%A1%D0%BB%D0%B0%D0%B4%D0%BA%D0%B0%D1%8F%20%D1%80%D0%B5%D0%BF%D0%B0%201990%20%D1%84%D0%B8%D0%BB%D1%8C%D0%BC","искать")</f>
        <v/>
      </c>
      <c r="N1457" s="3" t="n"/>
      <c r="O1457" s="2" t="n"/>
      <c r="P1457" s="2" t="n"/>
    </row>
    <row r="1458">
      <c r="A1458" s="2" t="n">
        <v>1457</v>
      </c>
      <c r="B1458" s="2" t="inlineStr">
        <is>
          <t>не сюжет</t>
        </is>
      </c>
      <c r="C1458" s="2" t="n">
        <v>13759</v>
      </c>
      <c r="D1458" s="3" t="inlineStr">
        <is>
          <t>Маскарад</t>
        </is>
      </c>
      <c r="E1458" s="2" t="n">
        <v>1981</v>
      </c>
      <c r="F1458" s="2" t="inlineStr">
        <is>
          <t>мультфильм</t>
        </is>
      </c>
      <c r="G1458" s="2" t="inlineStr">
        <is>
          <t>ЭКРАН</t>
        </is>
      </c>
      <c r="H1458" s="2" t="n">
        <v>55</v>
      </c>
      <c r="I1458" s="2" t="inlineStr"/>
      <c r="J1458" s="2" t="inlineStr">
        <is>
          <t>да</t>
        </is>
      </c>
      <c r="K1458" s="3" t="inlineStr">
        <is>
          <t>Этюд на темы зимней природы на музыку Сергея Прокофьева</t>
        </is>
      </c>
      <c r="L1458" s="2" t="inlineStr">
        <is>
          <t>https://animator.ru/db/?p=show_film&amp;fid=5152</t>
        </is>
      </c>
      <c r="M1458" s="2">
        <f>HYPERLINK("https://ru.wikipedia.org/w/index.php?search=%D0%9C%D0%B0%D1%81%D0%BA%D0%B0%D1%80%D0%B0%D0%B4%201981%20%D1%84%D0%B8%D0%BB%D1%8C%D0%BC","искать")</f>
        <v/>
      </c>
      <c r="N1458" s="3" t="n"/>
      <c r="O1458" s="2" t="n"/>
      <c r="P1458" s="2" t="n"/>
    </row>
    <row r="1459">
      <c r="A1459" s="2" t="n">
        <v>1458</v>
      </c>
      <c r="B1459" s="2" t="inlineStr">
        <is>
          <t>не сюжет</t>
        </is>
      </c>
      <c r="C1459" s="2" t="n">
        <v>13871</v>
      </c>
      <c r="D1459" s="3" t="inlineStr">
        <is>
          <t>Расскажите сказку, доктор (ч.1)</t>
        </is>
      </c>
      <c r="E1459" s="2" t="n">
        <v>1988</v>
      </c>
      <c r="F1459" s="2" t="inlineStr">
        <is>
          <t>мультфильм</t>
        </is>
      </c>
      <c r="G1459" s="2" t="inlineStr">
        <is>
          <t>ЭКРАН</t>
        </is>
      </c>
      <c r="H1459" s="2" t="n">
        <v>55</v>
      </c>
      <c r="I1459" s="2" t="inlineStr"/>
      <c r="J1459" s="2" t="inlineStr">
        <is>
          <t>да</t>
        </is>
      </c>
      <c r="K1459" s="3" t="inlineStr">
        <is>
          <t>По мотивам повести Яноша Корчака "Король Матиуш Первый"</t>
        </is>
      </c>
      <c r="L1459" s="2" t="inlineStr">
        <is>
          <t>https://animator.ru/db/?p=show_film&amp;fid=5264</t>
        </is>
      </c>
      <c r="M1459" s="2">
        <f>HYPERLINK("https://ru.wikipedia.org/w/index.php?search=%D0%A0%D0%B0%D1%81%D1%81%D0%BA%D0%B0%D0%B6%D0%B8%D1%82%D0%B5%20%D1%81%D0%BA%D0%B0%D0%B7%D0%BA%D1%83%2C%20%D0%B4%D0%BE%D0%BA%D1%82%D0%BE%D1%80%20%28%D1%87.1%29%201988%20%D1%84%D0%B8%D0%BB%D1%8C%D0%BC","искать")</f>
        <v/>
      </c>
      <c r="N1459" s="3" t="n"/>
      <c r="O1459" s="2" t="n"/>
      <c r="P1459" s="2" t="n"/>
    </row>
    <row r="1460">
      <c r="A1460" s="2" t="n">
        <v>1459</v>
      </c>
      <c r="B1460" s="2" t="inlineStr">
        <is>
          <t>не сюжет</t>
        </is>
      </c>
      <c r="C1460" s="2" t="n">
        <v>13872</v>
      </c>
      <c r="D1460" s="3" t="inlineStr">
        <is>
          <t>Расскажите сказку, доктор (ч.2)</t>
        </is>
      </c>
      <c r="E1460" s="2" t="n">
        <v>1988</v>
      </c>
      <c r="F1460" s="2" t="inlineStr">
        <is>
          <t>мультфильм</t>
        </is>
      </c>
      <c r="G1460" s="2" t="inlineStr">
        <is>
          <t>ЭКРАН</t>
        </is>
      </c>
      <c r="H1460" s="2" t="n">
        <v>55</v>
      </c>
      <c r="I1460" s="2" t="inlineStr"/>
      <c r="J1460" s="2" t="inlineStr">
        <is>
          <t>да</t>
        </is>
      </c>
      <c r="K1460" s="3" t="inlineStr">
        <is>
          <t>По мотивам почести Яноша Корчака "Король Матиуш Первый"</t>
        </is>
      </c>
      <c r="L1460" s="2" t="inlineStr">
        <is>
          <t>https://animator.ru/db/?p=show_film&amp;fid=5265</t>
        </is>
      </c>
      <c r="M1460" s="2">
        <f>HYPERLINK("https://ru.wikipedia.org/w/index.php?search=%D0%A0%D0%B0%D1%81%D1%81%D0%BA%D0%B0%D0%B6%D0%B8%D1%82%D0%B5%20%D1%81%D0%BA%D0%B0%D0%B7%D0%BA%D1%83%2C%20%D0%B4%D0%BE%D0%BA%D1%82%D0%BE%D1%80%20%28%D1%87.2%29%201988%20%D1%84%D0%B8%D0%BB%D1%8C%D0%BC","искать")</f>
        <v/>
      </c>
      <c r="N1460" s="3" t="n"/>
      <c r="O1460" s="2" t="n"/>
      <c r="P1460" s="2" t="n"/>
    </row>
    <row r="1461">
      <c r="A1461" s="2" t="n">
        <v>1460</v>
      </c>
      <c r="B1461" s="2" t="inlineStr">
        <is>
          <t>не сюжет</t>
        </is>
      </c>
      <c r="C1461" s="2" t="n">
        <v>13873</v>
      </c>
      <c r="D1461" s="3" t="inlineStr">
        <is>
          <t>Расскажите сказку, доктор (ч.3)</t>
        </is>
      </c>
      <c r="E1461" s="2" t="n">
        <v>1988</v>
      </c>
      <c r="F1461" s="2" t="inlineStr">
        <is>
          <t>мультфильм</t>
        </is>
      </c>
      <c r="G1461" s="2" t="inlineStr">
        <is>
          <t>ЭКРАН</t>
        </is>
      </c>
      <c r="H1461" s="2" t="n">
        <v>55</v>
      </c>
      <c r="I1461" s="2" t="inlineStr"/>
      <c r="J1461" s="2" t="inlineStr">
        <is>
          <t>да</t>
        </is>
      </c>
      <c r="K1461" s="3" t="inlineStr">
        <is>
          <t>По мотивам повести Яноша Корчака "Король Матиуш Первый"</t>
        </is>
      </c>
      <c r="L1461" s="2" t="inlineStr">
        <is>
          <t>https://animator.ru/db/?p=show_film&amp;fid=5266</t>
        </is>
      </c>
      <c r="M1461" s="2">
        <f>HYPERLINK("https://ru.wikipedia.org/w/index.php?search=%D0%A0%D0%B0%D1%81%D1%81%D0%BA%D0%B0%D0%B6%D0%B8%D1%82%D0%B5%20%D1%81%D0%BA%D0%B0%D0%B7%D0%BA%D1%83%2C%20%D0%B4%D0%BE%D0%BA%D1%82%D0%BE%D1%80%20%28%D1%87.3%29%201988%20%D1%84%D0%B8%D0%BB%D1%8C%D0%BC","искать")</f>
        <v/>
      </c>
      <c r="N1461" s="3" t="n"/>
      <c r="O1461" s="2" t="n"/>
      <c r="P1461" s="2" t="n"/>
    </row>
    <row r="1462">
      <c r="A1462" s="2" t="n">
        <v>1461</v>
      </c>
      <c r="B1462" s="2" t="inlineStr">
        <is>
          <t>не сюжет</t>
        </is>
      </c>
      <c r="C1462" s="2" t="n">
        <v>13946</v>
      </c>
      <c r="D1462" s="3" t="inlineStr">
        <is>
          <t>Финиш</t>
        </is>
      </c>
      <c r="E1462" s="2" t="n">
        <v>1983</v>
      </c>
      <c r="F1462" s="2" t="inlineStr">
        <is>
          <t>мультфильм</t>
        </is>
      </c>
      <c r="G1462" s="2" t="inlineStr">
        <is>
          <t>ЭКРАН</t>
        </is>
      </c>
      <c r="H1462" s="2" t="n">
        <v>55</v>
      </c>
      <c r="I1462" s="2" t="inlineStr"/>
      <c r="J1462" s="2" t="inlineStr">
        <is>
          <t>да</t>
        </is>
      </c>
      <c r="K1462" s="3" t="inlineStr">
        <is>
          <t>Сатира на нарушителей трудовой дисциплины. Для взрослых</t>
        </is>
      </c>
      <c r="L1462" s="2" t="inlineStr">
        <is>
          <t>https://animator.ru/db/?p=show_film&amp;fid=5340</t>
        </is>
      </c>
      <c r="M1462" s="2">
        <f>HYPERLINK("https://ru.wikipedia.org/w/index.php?search=%D0%A4%D0%B8%D0%BD%D0%B8%D1%88%201983%20%D1%84%D0%B8%D0%BB%D1%8C%D0%BC","искать")</f>
        <v/>
      </c>
      <c r="N1462" s="3" t="n"/>
      <c r="O1462" s="2" t="n"/>
      <c r="P1462" s="2" t="n"/>
    </row>
    <row r="1463">
      <c r="A1463" s="2" t="n">
        <v>1462</v>
      </c>
      <c r="B1463" s="2" t="inlineStr">
        <is>
          <t>не сюжет</t>
        </is>
      </c>
      <c r="C1463" s="2" t="n">
        <v>14132</v>
      </c>
      <c r="D1463" s="3" t="inlineStr">
        <is>
          <t>Мафин и его веселые друзья</t>
        </is>
      </c>
      <c r="E1463" s="2" t="n">
        <v>1974</v>
      </c>
      <c r="F1463" s="2" t="inlineStr">
        <is>
          <t>мультфильм</t>
        </is>
      </c>
      <c r="G1463" s="2" t="inlineStr">
        <is>
          <t>ВОЛГОГРАДТЕЛЕФИЛЬМ</t>
        </is>
      </c>
      <c r="H1463" s="2" t="n">
        <v>55</v>
      </c>
      <c r="I1463" s="2" t="inlineStr"/>
      <c r="J1463" s="2" t="inlineStr">
        <is>
          <t>да</t>
        </is>
      </c>
      <c r="K1463" s="3" t="inlineStr">
        <is>
          <t>По одноименной книге английской писательницы Э. Хогарт.</t>
        </is>
      </c>
      <c r="L1463" s="2" t="inlineStr">
        <is>
          <t>2026-10_мультфильмы_список_владельца.xlsx; https://animator.ru/db/?p=show_film&amp;fid=5530</t>
        </is>
      </c>
      <c r="M1463" s="2">
        <f>HYPERLINK("https://ru.wikipedia.org/w/index.php?search=%D0%9C%D0%B0%D1%84%D0%B8%D0%BD%20%D0%B8%20%D0%B5%D0%B3%D0%BE%20%D0%B2%D0%B5%D1%81%D0%B5%D0%BB%D1%8B%D0%B5%20%D0%B4%D1%80%D1%83%D0%B7%D1%8C%D1%8F%201974%20%D1%84%D0%B8%D0%BB%D1%8C%D0%BC","искать")</f>
        <v/>
      </c>
      <c r="N1463" s="3" t="n"/>
      <c r="O1463" s="2" t="n"/>
      <c r="P1463" s="2" t="n"/>
    </row>
    <row r="1464">
      <c r="A1464" s="2" t="n">
        <v>1463</v>
      </c>
      <c r="B1464" s="2" t="inlineStr">
        <is>
          <t>не сюжет</t>
        </is>
      </c>
      <c r="C1464" s="2" t="n">
        <v>7682</v>
      </c>
      <c r="D1464" s="3" t="inlineStr">
        <is>
          <t>Имя твоё</t>
        </is>
      </c>
      <c r="E1464" s="2" t="n">
        <v>1989</v>
      </c>
      <c r="F1464" s="2" t="inlineStr">
        <is>
          <t>телефильм</t>
        </is>
      </c>
      <c r="G1464" s="2" t="n"/>
      <c r="H1464" s="2" t="n">
        <v>56</v>
      </c>
      <c r="I1464" s="2" t="inlineStr"/>
      <c r="J1464" s="2" t="inlineStr">
        <is>
          <t>да</t>
        </is>
      </c>
      <c r="K1464" s="3" t="inlineStr">
        <is>
          <t>О жизни, творчестве, сложных отношениях артистов балета.</t>
        </is>
      </c>
      <c r="L1464" s="2" t="inlineStr">
        <is>
          <t>Кино_СССР сводный каталог.xlsx: список телефильмов</t>
        </is>
      </c>
      <c r="M1464" s="2">
        <f>HYPERLINK("https://ru.wikipedia.org/w/index.php?search=%D0%98%D0%BC%D1%8F%20%D1%82%D0%B2%D0%BE%D1%91%201989%20%D1%84%D0%B8%D0%BB%D1%8C%D0%BC","искать")</f>
        <v/>
      </c>
      <c r="N1464" s="3" t="n"/>
      <c r="O1464" s="2" t="n"/>
      <c r="P1464" s="2" t="n"/>
    </row>
    <row r="1465">
      <c r="A1465" s="2" t="n">
        <v>1464</v>
      </c>
      <c r="B1465" s="2" t="inlineStr">
        <is>
          <t>не сюжет</t>
        </is>
      </c>
      <c r="C1465" s="2" t="n">
        <v>7923</v>
      </c>
      <c r="D1465" s="3" t="inlineStr">
        <is>
          <t>Мымми и азбука</t>
        </is>
      </c>
      <c r="E1465" s="2" t="n">
        <v>1977</v>
      </c>
      <c r="F1465" s="2" t="inlineStr">
        <is>
          <t>телефильм</t>
        </is>
      </c>
      <c r="G1465" s="2" t="n"/>
      <c r="H1465" s="2" t="n">
        <v>56</v>
      </c>
      <c r="I1465" s="2" t="inlineStr"/>
      <c r="J1465" s="2" t="inlineStr">
        <is>
          <t>да</t>
        </is>
      </c>
      <c r="K1465" s="3" t="inlineStr">
        <is>
          <t>Поставлен по сказке эстонской писательницы Гунты Рандлы.</t>
        </is>
      </c>
      <c r="L1465" s="2" t="inlineStr">
        <is>
          <t>Кино_СССР сводный каталог.xlsx: список телефильмов</t>
        </is>
      </c>
      <c r="M1465" s="2">
        <f>HYPERLINK("https://ru.wikipedia.org/w/index.php?search=%D0%9C%D1%8B%D0%BC%D0%BC%D0%B8%20%D0%B8%20%D0%B0%D0%B7%D0%B1%D1%83%D0%BA%D0%B0%201977%20%D1%84%D0%B8%D0%BB%D1%8C%D0%BC","искать")</f>
        <v/>
      </c>
      <c r="N1465" s="3" t="n"/>
      <c r="O1465" s="2" t="n"/>
      <c r="P1465" s="2" t="n"/>
    </row>
    <row r="1466">
      <c r="A1466" s="2" t="n">
        <v>1465</v>
      </c>
      <c r="B1466" s="2" t="inlineStr">
        <is>
          <t>не сюжет</t>
        </is>
      </c>
      <c r="C1466" s="2" t="n">
        <v>8723</v>
      </c>
      <c r="D1466" s="3" t="inlineStr">
        <is>
          <t>Живая копейка</t>
        </is>
      </c>
      <c r="E1466" s="2" t="n">
        <v>1985</v>
      </c>
      <c r="F1466" s="2" t="inlineStr">
        <is>
          <t>кинофильм</t>
        </is>
      </c>
      <c r="G1466" s="2" t="n"/>
      <c r="H1466" s="2" t="n">
        <v>56</v>
      </c>
      <c r="I1466" s="2" t="inlineStr"/>
      <c r="J1466" s="2" t="inlineStr">
        <is>
          <t>да</t>
        </is>
      </c>
      <c r="K1466" s="3" t="inlineStr">
        <is>
          <t>О пользе хранения наличных денег в сберегательной кассе.</t>
        </is>
      </c>
      <c r="L1466" s="2" t="inlineStr">
        <is>
          <t>Кино_СССР сводный каталог.xlsx: список фильмов (доп.)</t>
        </is>
      </c>
      <c r="M1466" s="2">
        <f>HYPERLINK("https://ru.wikipedia.org/w/index.php?search=%D0%96%D0%B8%D0%B2%D0%B0%D1%8F%20%D0%BA%D0%BE%D0%BF%D0%B5%D0%B9%D0%BA%D0%B0%201985%20%D1%84%D0%B8%D0%BB%D1%8C%D0%BC","искать")</f>
        <v/>
      </c>
      <c r="N1466" s="3" t="n"/>
      <c r="O1466" s="2" t="n"/>
      <c r="P1466" s="2" t="n"/>
    </row>
    <row r="1467">
      <c r="A1467" s="2" t="n">
        <v>1466</v>
      </c>
      <c r="B1467" s="2" t="inlineStr">
        <is>
          <t>не сюжет</t>
        </is>
      </c>
      <c r="C1467" s="2" t="n">
        <v>9772</v>
      </c>
      <c r="D1467" s="3" t="inlineStr">
        <is>
          <t>Шторм</t>
        </is>
      </c>
      <c r="E1467" s="2" t="n">
        <v>1931</v>
      </c>
      <c r="F1467" s="2" t="inlineStr">
        <is>
          <t>кинофильм</t>
        </is>
      </c>
      <c r="G1467" s="2" t="n"/>
      <c r="H1467" s="2" t="n">
        <v>56</v>
      </c>
      <c r="I1467" s="2" t="inlineStr"/>
      <c r="J1467" s="2" t="inlineStr">
        <is>
          <t>да</t>
        </is>
      </c>
      <c r="K1467" s="3" t="inlineStr">
        <is>
          <t>О борьбе комсомольцев за передовые методы строительства.</t>
        </is>
      </c>
      <c r="L1467" s="2" t="inlineStr">
        <is>
          <t>Кино_СССР сводный каталог.xlsx: список фильмов (доп.)</t>
        </is>
      </c>
      <c r="M1467" s="2">
        <f>HYPERLINK("https://ru.wikipedia.org/w/index.php?search=%D0%A8%D1%82%D0%BE%D1%80%D0%BC%201931%20%D1%84%D0%B8%D0%BB%D1%8C%D0%BC","искать")</f>
        <v/>
      </c>
      <c r="N1467" s="3" t="n"/>
      <c r="O1467" s="2" t="n"/>
      <c r="P1467" s="2" t="n"/>
    </row>
    <row r="1468">
      <c r="A1468" s="2" t="n">
        <v>1467</v>
      </c>
      <c r="B1468" s="2" t="inlineStr">
        <is>
          <t>не сюжет</t>
        </is>
      </c>
      <c r="C1468" s="2" t="n">
        <v>10634</v>
      </c>
      <c r="D1468" s="3" t="inlineStr">
        <is>
          <t>Александра</t>
        </is>
      </c>
      <c r="E1468" s="2" t="n">
        <v>1976</v>
      </c>
      <c r="F1468" s="2" t="inlineStr">
        <is>
          <t>фильм-спектакль</t>
        </is>
      </c>
      <c r="G1468" s="2" t="inlineStr">
        <is>
          <t>Ленинградское телевидение</t>
        </is>
      </c>
      <c r="H1468" s="2" t="n">
        <v>56</v>
      </c>
      <c r="I1468" s="2" t="inlineStr"/>
      <c r="J1468" s="2" t="inlineStr">
        <is>
          <t>да</t>
        </is>
      </c>
      <c r="K1468" s="3" t="inlineStr">
        <is>
          <t>Телеспектакль по повести Федора Кнорре "Каменный венок".</t>
        </is>
      </c>
      <c r="L1468" s="2" t="inlineStr">
        <is>
          <t>https://www.kino-teatr.ru/teatr/movie/137293/annot/</t>
        </is>
      </c>
      <c r="M1468" s="2">
        <f>HYPERLINK("https://ru.wikipedia.org/w/index.php?search=%D0%90%D0%BB%D0%B5%D0%BA%D1%81%D0%B0%D0%BD%D0%B4%D1%80%D0%B0%201976%20%D1%84%D0%B8%D0%BB%D1%8C%D0%BC","искать")</f>
        <v/>
      </c>
      <c r="N1468" s="3" t="n"/>
      <c r="O1468" s="2" t="n"/>
      <c r="P1468" s="2" t="n"/>
    </row>
    <row r="1469">
      <c r="A1469" s="2" t="n">
        <v>1468</v>
      </c>
      <c r="B1469" s="2" t="inlineStr">
        <is>
          <t>не сюжет</t>
        </is>
      </c>
      <c r="C1469" s="2" t="n">
        <v>10658</v>
      </c>
      <c r="D1469" s="3" t="inlineStr">
        <is>
          <t>На всякого мудреца довольно простоты</t>
        </is>
      </c>
      <c r="E1469" s="2" t="n">
        <v>1976</v>
      </c>
      <c r="F1469" s="2" t="inlineStr">
        <is>
          <t>фильм-спектакль</t>
        </is>
      </c>
      <c r="G1469" s="2" t="inlineStr">
        <is>
          <t>ТО "Экран"</t>
        </is>
      </c>
      <c r="H1469" s="2" t="n">
        <v>56</v>
      </c>
      <c r="I1469" s="2" t="inlineStr"/>
      <c r="J1469" s="2" t="inlineStr">
        <is>
          <t>да</t>
        </is>
      </c>
      <c r="K1469" s="3" t="inlineStr">
        <is>
          <t>По пьесе А.Н.Островского в постановке МХАТ им. Горького.</t>
        </is>
      </c>
      <c r="L1469" s="2" t="inlineStr">
        <is>
          <t>https://www.kino-teatr.ru/teatr/movie/93015/annot/</t>
        </is>
      </c>
      <c r="M1469" s="2">
        <f>HYPERLINK("https://ru.wikipedia.org/w/index.php?search=%D0%9D%D0%B0%20%D0%B2%D1%81%D1%8F%D0%BA%D0%BE%D0%B3%D0%BE%20%D0%BC%D1%83%D0%B4%D1%80%D0%B5%D1%86%D0%B0%20%D0%B4%D0%BE%D0%B2%D0%BE%D0%BB%D1%8C%D0%BD%D0%BE%20%D0%BF%D1%80%D0%BE%D1%81%D1%82%D0%BE%D1%82%D1%8B%201976%20%D1%84%D0%B8%D0%BB%D1%8C%D0%BC","искать")</f>
        <v/>
      </c>
      <c r="N1469" s="3" t="n"/>
      <c r="O1469" s="2" t="n"/>
      <c r="P1469" s="2" t="n"/>
    </row>
    <row r="1470">
      <c r="A1470" s="2" t="n">
        <v>1469</v>
      </c>
      <c r="B1470" s="2" t="inlineStr">
        <is>
          <t>не сюжет</t>
        </is>
      </c>
      <c r="C1470" s="2" t="n">
        <v>10859</v>
      </c>
      <c r="D1470" s="3" t="inlineStr">
        <is>
          <t>По страницам Сатирикона-2</t>
        </is>
      </c>
      <c r="E1470" s="2" t="n">
        <v>1980</v>
      </c>
      <c r="F1470" s="2" t="inlineStr">
        <is>
          <t>фильм-спектакль</t>
        </is>
      </c>
      <c r="G1470" s="2" t="n"/>
      <c r="H1470" s="2" t="n">
        <v>56</v>
      </c>
      <c r="I1470" s="2" t="inlineStr"/>
      <c r="J1470" s="2" t="inlineStr">
        <is>
          <t>да</t>
        </is>
      </c>
      <c r="K1470" s="3" t="inlineStr">
        <is>
          <t>Спектакль поставлен по рассказам из журнала "Сатирикон".</t>
        </is>
      </c>
      <c r="L1470" s="2" t="inlineStr">
        <is>
          <t>https://www.kino-teatr.ru/teatr/movie/99472/annot/</t>
        </is>
      </c>
      <c r="M1470" s="2">
        <f>HYPERLINK("https://ru.wikipedia.org/w/index.php?search=%D0%9F%D0%BE%20%D1%81%D1%82%D1%80%D0%B0%D0%BD%D0%B8%D1%86%D0%B0%D0%BC%20%D0%A1%D0%B0%D1%82%D0%B8%D1%80%D0%B8%D0%BA%D0%BE%D0%BD%D0%B0-2%201980%20%D1%84%D0%B8%D0%BB%D1%8C%D0%BC","искать")</f>
        <v/>
      </c>
      <c r="N1470" s="3" t="n"/>
      <c r="O1470" s="2" t="n"/>
      <c r="P1470" s="2" t="n"/>
    </row>
    <row r="1471">
      <c r="A1471" s="2" t="n">
        <v>1470</v>
      </c>
      <c r="B1471" s="2" t="inlineStr">
        <is>
          <t>не сюжет</t>
        </is>
      </c>
      <c r="C1471" s="2" t="n">
        <v>11535</v>
      </c>
      <c r="D1471" s="3" t="inlineStr">
        <is>
          <t>Старт</t>
        </is>
      </c>
      <c r="E1471" s="2" t="n">
        <v>1925</v>
      </c>
      <c r="F1471" s="2" t="inlineStr">
        <is>
          <t>мультфильм</t>
        </is>
      </c>
      <c r="G1471" s="2" t="inlineStr">
        <is>
          <t>ГТК, МЕЖРАБПОМ-РУСЬ</t>
        </is>
      </c>
      <c r="H1471" s="2" t="n">
        <v>56</v>
      </c>
      <c r="I1471" s="2" t="inlineStr"/>
      <c r="J1471" s="2" t="inlineStr">
        <is>
          <t>да</t>
        </is>
      </c>
      <c r="K1471" s="3" t="inlineStr">
        <is>
          <t>Киноплакат к 20-летию Революции 1905 года. Не сохранился</t>
        </is>
      </c>
      <c r="L1471" s="2" t="inlineStr">
        <is>
          <t>https://animator.ru/db/?p=show_film&amp;fid=2320</t>
        </is>
      </c>
      <c r="M1471" s="2">
        <f>HYPERLINK("https://ru.wikipedia.org/w/index.php?search=%D0%A1%D1%82%D0%B0%D1%80%D1%82%201925%20%D1%84%D0%B8%D0%BB%D1%8C%D0%BC","искать")</f>
        <v/>
      </c>
      <c r="N1471" s="3" t="n"/>
      <c r="O1471" s="2" t="n"/>
      <c r="P1471" s="2" t="n"/>
    </row>
    <row r="1472">
      <c r="A1472" s="2" t="n">
        <v>1471</v>
      </c>
      <c r="B1472" s="2" t="inlineStr">
        <is>
          <t>не сюжет</t>
        </is>
      </c>
      <c r="C1472" s="2" t="n">
        <v>11536</v>
      </c>
      <c r="D1472" s="3" t="inlineStr">
        <is>
          <t>Растрата</t>
        </is>
      </c>
      <c r="E1472" s="2" t="n">
        <v>1928</v>
      </c>
      <c r="F1472" s="2" t="inlineStr">
        <is>
          <t>мультфильм</t>
        </is>
      </c>
      <c r="G1472" s="2" t="inlineStr">
        <is>
          <t>МЕЖРАБПОМФИЛЬМ, ЦЕНТРОСОЮЗ</t>
        </is>
      </c>
      <c r="H1472" s="2" t="n">
        <v>56</v>
      </c>
      <c r="I1472" s="2" t="inlineStr"/>
      <c r="J1472" s="2" t="inlineStr">
        <is>
          <t>да</t>
        </is>
      </c>
      <c r="K1472" s="3" t="inlineStr">
        <is>
          <t>Призыв к борьбе с растратами в кооперации. Не сохранился</t>
        </is>
      </c>
      <c r="L1472" s="2" t="inlineStr">
        <is>
          <t>https://animator.ru/db/?p=show_film&amp;fid=2347</t>
        </is>
      </c>
      <c r="M1472" s="2">
        <f>HYPERLINK("https://ru.wikipedia.org/w/index.php?search=%D0%A0%D0%B0%D1%81%D1%82%D1%80%D0%B0%D1%82%D0%B0%201928%20%D1%84%D0%B8%D0%BB%D1%8C%D0%BC","искать")</f>
        <v/>
      </c>
      <c r="N1472" s="3" t="n"/>
      <c r="O1472" s="2" t="n"/>
      <c r="P1472" s="2" t="n"/>
    </row>
    <row r="1473">
      <c r="A1473" s="2" t="n">
        <v>1472</v>
      </c>
      <c r="B1473" s="2" t="inlineStr">
        <is>
          <t>не сюжет</t>
        </is>
      </c>
      <c r="C1473" s="2" t="n">
        <v>11901</v>
      </c>
      <c r="D1473" s="3" t="inlineStr">
        <is>
          <t>Дым коромыслом</t>
        </is>
      </c>
      <c r="E1473" s="2" t="n">
        <v>1979</v>
      </c>
      <c r="F1473" s="2" t="inlineStr">
        <is>
          <t>мультфильм</t>
        </is>
      </c>
      <c r="G1473" s="2" t="inlineStr">
        <is>
          <t>Союзмультфильм</t>
        </is>
      </c>
      <c r="H1473" s="2" t="n">
        <v>56</v>
      </c>
      <c r="I1473" s="2" t="inlineStr"/>
      <c r="J1473" s="2" t="inlineStr">
        <is>
          <t>да</t>
        </is>
      </c>
      <c r="K1473" s="3" t="inlineStr">
        <is>
          <t>Сатирическая "история" курения от Колумба до наших дней.</t>
        </is>
      </c>
      <c r="L1473" s="2" t="inlineStr">
        <is>
          <t>2026-10_мультфильмы_список_владельца.xlsx; https://animator.ru/db/?p=show_film&amp;fid=2816</t>
        </is>
      </c>
      <c r="M1473" s="2">
        <f>HYPERLINK("https://ru.wikipedia.org/w/index.php?search=%D0%94%D1%8B%D0%BC%20%D0%BA%D0%BE%D1%80%D0%BE%D0%BC%D1%8B%D1%81%D0%BB%D0%BE%D0%BC%201979%20%D1%84%D0%B8%D0%BB%D1%8C%D0%BC","искать")</f>
        <v/>
      </c>
      <c r="N1473" s="3" t="n"/>
      <c r="O1473" s="2" t="n"/>
      <c r="P1473" s="2" t="n"/>
    </row>
    <row r="1474">
      <c r="A1474" s="2" t="n">
        <v>1473</v>
      </c>
      <c r="B1474" s="2" t="inlineStr">
        <is>
          <t>не сюжет</t>
        </is>
      </c>
      <c r="C1474" s="2" t="n">
        <v>11976</v>
      </c>
      <c r="D1474" s="3" t="inlineStr">
        <is>
          <t>Мороз Иванович</t>
        </is>
      </c>
      <c r="E1474" s="2" t="n">
        <v>1981</v>
      </c>
      <c r="F1474" s="2" t="inlineStr">
        <is>
          <t>мультфильм</t>
        </is>
      </c>
      <c r="G1474" s="2" t="inlineStr">
        <is>
          <t>Союзмультфильм</t>
        </is>
      </c>
      <c r="H1474" s="2" t="n">
        <v>56</v>
      </c>
      <c r="I1474" s="2" t="inlineStr"/>
      <c r="J1474" s="2" t="inlineStr">
        <is>
          <t>да</t>
        </is>
      </c>
      <c r="K1474" s="3" t="inlineStr">
        <is>
          <t>По мотивам русской сказки о ленивой и прилежной сестрах.</t>
        </is>
      </c>
      <c r="L1474" s="2" t="inlineStr">
        <is>
          <t>2026-10_мультфильмы_список_владельца.xlsx; https://animator.ru/db/?p=show_film&amp;fid=3090</t>
        </is>
      </c>
      <c r="M1474" s="2">
        <f>HYPERLINK("https://ru.wikipedia.org/w/index.php?search=%D0%9C%D0%BE%D1%80%D0%BE%D0%B7%20%D0%98%D0%B2%D0%B0%D0%BD%D0%BE%D0%B2%D0%B8%D1%87%201981%20%D1%84%D0%B8%D0%BB%D1%8C%D0%BC","искать")</f>
        <v/>
      </c>
      <c r="N1474" s="3" t="n"/>
      <c r="O1474" s="2" t="n"/>
      <c r="P1474" s="2" t="n"/>
    </row>
    <row r="1475">
      <c r="A1475" s="2" t="n">
        <v>1474</v>
      </c>
      <c r="B1475" s="2" t="inlineStr">
        <is>
          <t>не сюжет</t>
        </is>
      </c>
      <c r="C1475" s="2" t="n">
        <v>12346</v>
      </c>
      <c r="D1475" s="3" t="inlineStr">
        <is>
          <t>Гаврош</t>
        </is>
      </c>
      <c r="E1475" s="2" t="n">
        <v>1986</v>
      </c>
      <c r="F1475" s="2" t="inlineStr">
        <is>
          <t>мультфильм</t>
        </is>
      </c>
      <c r="G1475" s="2" t="inlineStr">
        <is>
          <t>КИЕВНАУЧФИЛЬМ</t>
        </is>
      </c>
      <c r="H1475" s="2" t="n">
        <v>56</v>
      </c>
      <c r="I1475" s="2" t="inlineStr"/>
      <c r="J1475" s="2" t="inlineStr">
        <is>
          <t>да</t>
        </is>
      </c>
      <c r="K1475" s="3" t="inlineStr">
        <is>
          <t>По мотивам эпизода из романа Виктора Гюго "Отверженные".</t>
        </is>
      </c>
      <c r="L1475" s="2" t="inlineStr">
        <is>
          <t>2026-10_мультфильмы_список_владельца.xlsx; https://animator.ru/db/?p=show_film&amp;fid=3513</t>
        </is>
      </c>
      <c r="M1475" s="2">
        <f>HYPERLINK("https://ru.wikipedia.org/w/index.php?search=%D0%93%D0%B0%D0%B2%D1%80%D0%BE%D1%88%201986%20%D1%84%D0%B8%D0%BB%D1%8C%D0%BC","искать")</f>
        <v/>
      </c>
      <c r="N1475" s="3" t="n"/>
      <c r="O1475" s="2" t="n"/>
      <c r="P1475" s="2" t="n"/>
    </row>
    <row r="1476">
      <c r="A1476" s="2" t="n">
        <v>1475</v>
      </c>
      <c r="B1476" s="2" t="inlineStr">
        <is>
          <t>не сюжет</t>
        </is>
      </c>
      <c r="C1476" s="2" t="n">
        <v>12548</v>
      </c>
      <c r="D1476" s="3" t="inlineStr">
        <is>
          <t>Сказка про доброго носорога</t>
        </is>
      </c>
      <c r="E1476" s="2" t="n">
        <v>1970</v>
      </c>
      <c r="F1476" s="2" t="inlineStr">
        <is>
          <t>мультфильм</t>
        </is>
      </c>
      <c r="G1476" s="2" t="inlineStr">
        <is>
          <t>КИЕВНАУЧФИЛЬМ</t>
        </is>
      </c>
      <c r="H1476" s="2" t="n">
        <v>56</v>
      </c>
      <c r="I1476" s="2" t="inlineStr"/>
      <c r="J1476" s="2" t="inlineStr">
        <is>
          <t>да</t>
        </is>
      </c>
      <c r="K1476" s="3" t="inlineStr">
        <is>
          <t>По стихотворению Бориса Заходера о "тонкокожем" носороге</t>
        </is>
      </c>
      <c r="L1476" s="2" t="inlineStr">
        <is>
          <t>https://animator.ru/db/?p=show_film&amp;fid=3727</t>
        </is>
      </c>
      <c r="M1476" s="2">
        <f>HYPERLINK("https://ru.wikipedia.org/w/index.php?search=%D0%A1%D0%BA%D0%B0%D0%B7%D0%BA%D0%B0%20%D0%BF%D1%80%D0%BE%20%D0%B4%D0%BE%D0%B1%D1%80%D0%BE%D0%B3%D0%BE%20%D0%BD%D0%BE%D1%81%D0%BE%D1%80%D0%BE%D0%B3%D0%B0%201970%20%D1%84%D0%B8%D0%BB%D1%8C%D0%BC","искать")</f>
        <v/>
      </c>
      <c r="N1476" s="3" t="n"/>
      <c r="O1476" s="2" t="n"/>
      <c r="P1476" s="2" t="n"/>
    </row>
    <row r="1477">
      <c r="A1477" s="2" t="n">
        <v>1476</v>
      </c>
      <c r="B1477" s="2" t="inlineStr">
        <is>
          <t>не сюжет</t>
        </is>
      </c>
      <c r="C1477" s="2" t="n">
        <v>12729</v>
      </c>
      <c r="D1477" s="3" t="inlineStr">
        <is>
          <t>Вахтер</t>
        </is>
      </c>
      <c r="E1477" s="2" t="n">
        <v>1990</v>
      </c>
      <c r="F1477" s="2" t="inlineStr">
        <is>
          <t>мультфильм</t>
        </is>
      </c>
      <c r="G1477" s="2" t="inlineStr">
        <is>
          <t>БИРЛИК</t>
        </is>
      </c>
      <c r="H1477" s="2" t="n">
        <v>56</v>
      </c>
      <c r="I1477" s="2" t="inlineStr"/>
      <c r="J1477" s="2" t="inlineStr">
        <is>
          <t>да</t>
        </is>
      </c>
      <c r="K1477" s="3" t="inlineStr">
        <is>
          <t>Политическая сатира на темы "перестройки" (для взрослых)</t>
        </is>
      </c>
      <c r="L1477" s="2" t="inlineStr">
        <is>
          <t>https://animator.ru/db/?p=show_film&amp;fid=3935</t>
        </is>
      </c>
      <c r="M1477" s="2">
        <f>HYPERLINK("https://ru.wikipedia.org/w/index.php?search=%D0%92%D0%B0%D1%85%D1%82%D0%B5%D1%80%201990%20%D1%84%D0%B8%D0%BB%D1%8C%D0%BC","искать")</f>
        <v/>
      </c>
      <c r="N1477" s="3" t="n"/>
      <c r="O1477" s="2" t="n"/>
      <c r="P1477" s="2" t="n"/>
    </row>
    <row r="1478">
      <c r="A1478" s="2" t="n">
        <v>1477</v>
      </c>
      <c r="B1478" s="2" t="inlineStr">
        <is>
          <t>не сюжет</t>
        </is>
      </c>
      <c r="C1478" s="2" t="n">
        <v>12941</v>
      </c>
      <c r="D1478" s="3" t="inlineStr">
        <is>
          <t>Всадники жар-птицы</t>
        </is>
      </c>
      <c r="E1478" s="2" t="n">
        <v>1985</v>
      </c>
      <c r="F1478" s="2" t="inlineStr">
        <is>
          <t>мультфильм</t>
        </is>
      </c>
      <c r="G1478" s="2" t="inlineStr">
        <is>
          <t>ГРУЗИЯ-ФИЛЬМ - АО</t>
        </is>
      </c>
      <c r="H1478" s="2" t="n">
        <v>56</v>
      </c>
      <c r="I1478" s="2" t="inlineStr"/>
      <c r="J1478" s="2" t="inlineStr">
        <is>
          <t>да</t>
        </is>
      </c>
      <c r="K1478" s="3" t="inlineStr">
        <is>
          <t>Сатирическая трансформация популярных сказочных мотивов.</t>
        </is>
      </c>
      <c r="L1478" s="2" t="inlineStr">
        <is>
          <t>2026-10_мультфильмы_список_владельца.xlsx; https://animator.ru/db/?p=show_film&amp;fid=4171</t>
        </is>
      </c>
      <c r="M1478" s="2">
        <f>HYPERLINK("https://ru.wikipedia.org/w/index.php?search=%D0%92%D1%81%D0%B0%D0%B4%D0%BD%D0%B8%D0%BA%D0%B8%20%D0%B6%D0%B0%D1%80-%D0%BF%D1%82%D0%B8%D1%86%D1%8B%201985%20%D1%84%D0%B8%D0%BB%D1%8C%D0%BC","искать")</f>
        <v/>
      </c>
      <c r="N1478" s="3" t="n"/>
      <c r="O1478" s="2" t="n"/>
      <c r="P1478" s="2" t="n"/>
    </row>
    <row r="1479">
      <c r="A1479" s="2" t="n">
        <v>1478</v>
      </c>
      <c r="B1479" s="2" t="inlineStr">
        <is>
          <t>не сюжет</t>
        </is>
      </c>
      <c r="C1479" s="2" t="n">
        <v>12955</v>
      </c>
      <c r="D1479" s="3" t="inlineStr">
        <is>
          <t>Анфас и профиль</t>
        </is>
      </c>
      <c r="E1479" s="2" t="n">
        <v>1988</v>
      </c>
      <c r="F1479" s="2" t="inlineStr">
        <is>
          <t>мультфильм</t>
        </is>
      </c>
      <c r="G1479" s="2" t="inlineStr">
        <is>
          <t>ГРУЗИЯ-ФИЛЬМ - АО</t>
        </is>
      </c>
      <c r="H1479" s="2" t="n">
        <v>56</v>
      </c>
      <c r="I1479" s="2" t="inlineStr"/>
      <c r="J1479" s="2" t="inlineStr">
        <is>
          <t>да</t>
        </is>
      </c>
      <c r="K1479" s="3" t="inlineStr">
        <is>
          <t>О борьбе доброго и злого начал в человеке (для взрослых)</t>
        </is>
      </c>
      <c r="L1479" s="2" t="inlineStr">
        <is>
          <t>https://animator.ru/db/?p=show_film&amp;fid=4185</t>
        </is>
      </c>
      <c r="M1479" s="2">
        <f>HYPERLINK("https://ru.wikipedia.org/w/index.php?search=%D0%90%D0%BD%D1%84%D0%B0%D1%81%20%D0%B8%20%D0%BF%D1%80%D0%BE%D1%84%D0%B8%D0%BB%D1%8C%201988%20%D1%84%D0%B8%D0%BB%D1%8C%D0%BC","искать")</f>
        <v/>
      </c>
      <c r="N1479" s="3" t="n"/>
      <c r="O1479" s="2" t="n"/>
      <c r="P1479" s="2" t="n"/>
    </row>
    <row r="1480">
      <c r="A1480" s="2" t="n">
        <v>1479</v>
      </c>
      <c r="B1480" s="2" t="inlineStr">
        <is>
          <t>не сюжет</t>
        </is>
      </c>
      <c r="C1480" s="2" t="n">
        <v>13018</v>
      </c>
      <c r="D1480" s="3" t="inlineStr">
        <is>
          <t>Мозаика-2. Слепой</t>
        </is>
      </c>
      <c r="E1480" s="2" t="n">
        <v>1989</v>
      </c>
      <c r="F1480" s="2" t="inlineStr">
        <is>
          <t>мультфильм</t>
        </is>
      </c>
      <c r="G1480" s="2" t="inlineStr">
        <is>
          <t>КАЗАХФИЛЬМ</t>
        </is>
      </c>
      <c r="H1480" s="2" t="n">
        <v>56</v>
      </c>
      <c r="I1480" s="2" t="inlineStr"/>
      <c r="J1480" s="2" t="inlineStr">
        <is>
          <t>да</t>
        </is>
      </c>
      <c r="K1480" s="3" t="inlineStr">
        <is>
          <t>О человеке, который не мог вырваться из ежедневной суеты</t>
        </is>
      </c>
      <c r="L1480" s="2" t="inlineStr">
        <is>
          <t>https://animator.ru/db/?p=show_film&amp;fid=4250</t>
        </is>
      </c>
      <c r="M1480" s="2">
        <f>HYPERLINK("https://ru.wikipedia.org/w/index.php?search=%D0%9C%D0%BE%D0%B7%D0%B0%D0%B8%D0%BA%D0%B0-2.%20%D0%A1%D0%BB%D0%B5%D0%BF%D0%BE%D0%B9%201989%20%D1%84%D0%B8%D0%BB%D1%8C%D0%BC","искать")</f>
        <v/>
      </c>
      <c r="N1480" s="3" t="n"/>
      <c r="O1480" s="2" t="n"/>
      <c r="P1480" s="2" t="n"/>
    </row>
    <row r="1481">
      <c r="A1481" s="2" t="n">
        <v>1480</v>
      </c>
      <c r="B1481" s="2" t="inlineStr">
        <is>
          <t>не сюжет</t>
        </is>
      </c>
      <c r="C1481" s="2" t="n">
        <v>13273</v>
      </c>
      <c r="D1481" s="3" t="inlineStr">
        <is>
          <t>Поле</t>
        </is>
      </c>
      <c r="E1481" s="2" t="n">
        <v>1978</v>
      </c>
      <c r="F1481" s="2" t="inlineStr">
        <is>
          <t>мультфильм</t>
        </is>
      </c>
      <c r="G1481" s="2" t="inlineStr">
        <is>
          <t>ТАЛЛИННФИЛЬМ</t>
        </is>
      </c>
      <c r="H1481" s="2" t="n">
        <v>56</v>
      </c>
      <c r="I1481" s="2" t="inlineStr"/>
      <c r="J1481" s="2" t="inlineStr">
        <is>
          <t>да</t>
        </is>
      </c>
      <c r="K1481" s="3" t="inlineStr">
        <is>
          <t>О тяжелом и благородном труде земледельцев. Для взрослых</t>
        </is>
      </c>
      <c r="L1481" s="2" t="inlineStr">
        <is>
          <t>https://animator.ru/db/?p=show_film&amp;fid=4530</t>
        </is>
      </c>
      <c r="M1481" s="2">
        <f>HYPERLINK("https://ru.wikipedia.org/w/index.php?search=%D0%9F%D0%BE%D0%BB%D0%B5%201978%20%D1%84%D0%B8%D0%BB%D1%8C%D0%BC","искать")</f>
        <v/>
      </c>
      <c r="N1481" s="3" t="n"/>
      <c r="O1481" s="2" t="n"/>
      <c r="P1481" s="2" t="n"/>
    </row>
    <row r="1482">
      <c r="A1482" s="2" t="n">
        <v>1481</v>
      </c>
      <c r="B1482" s="2" t="inlineStr">
        <is>
          <t>не сюжет</t>
        </is>
      </c>
      <c r="C1482" s="2" t="n">
        <v>13300</v>
      </c>
      <c r="D1482" s="3" t="inlineStr">
        <is>
          <t>Невесты смерти</t>
        </is>
      </c>
      <c r="E1482" s="2" t="n">
        <v>1990</v>
      </c>
      <c r="F1482" s="2" t="inlineStr">
        <is>
          <t>мультфильм</t>
        </is>
      </c>
      <c r="G1482" s="2" t="inlineStr">
        <is>
          <t>ТАЛЛИННФИЛЬМ</t>
        </is>
      </c>
      <c r="H1482" s="2" t="n">
        <v>56</v>
      </c>
      <c r="I1482" s="2" t="inlineStr"/>
      <c r="J1482" s="2" t="inlineStr">
        <is>
          <t>да</t>
        </is>
      </c>
      <c r="K1482" s="3" t="inlineStr">
        <is>
          <t>По мотивам одноименной баллады Марие Ундер. Для взрослых</t>
        </is>
      </c>
      <c r="L1482" s="2" t="inlineStr">
        <is>
          <t>https://animator.ru/db/?p=show_film&amp;fid=4557</t>
        </is>
      </c>
      <c r="M1482" s="2">
        <f>HYPERLINK("https://ru.wikipedia.org/w/index.php?search=%D0%9D%D0%B5%D0%B2%D0%B5%D1%81%D1%82%D1%8B%20%D1%81%D0%BC%D0%B5%D1%80%D1%82%D0%B8%201990%20%D1%84%D0%B8%D0%BB%D1%8C%D0%BC","искать")</f>
        <v/>
      </c>
      <c r="N1482" s="3" t="n"/>
      <c r="O1482" s="2" t="n"/>
      <c r="P1482" s="2" t="n"/>
    </row>
    <row r="1483">
      <c r="A1483" s="2" t="n">
        <v>1482</v>
      </c>
      <c r="B1483" s="2" t="inlineStr">
        <is>
          <t>не сюжет</t>
        </is>
      </c>
      <c r="C1483" s="2" t="n">
        <v>13554</v>
      </c>
      <c r="D1483" s="3" t="inlineStr">
        <is>
          <t>Как это случилось</t>
        </is>
      </c>
      <c r="E1483" s="2" t="n">
        <v>1973</v>
      </c>
      <c r="F1483" s="2" t="inlineStr">
        <is>
          <t>мультфильм</t>
        </is>
      </c>
      <c r="G1483" s="2" t="inlineStr">
        <is>
          <t>Союзмультфильм</t>
        </is>
      </c>
      <c r="H1483" s="2" t="n">
        <v>56</v>
      </c>
      <c r="I1483" s="2" t="inlineStr"/>
      <c r="J1483" s="2" t="inlineStr">
        <is>
          <t>да</t>
        </is>
      </c>
      <c r="K1483" s="3" t="inlineStr">
        <is>
          <t>Заказной фильм о противопожарной безопасности. Для детей</t>
        </is>
      </c>
      <c r="L1483" s="2" t="inlineStr">
        <is>
          <t>https://animator.ru/db/?p=show_film&amp;fid=4889</t>
        </is>
      </c>
      <c r="M1483" s="2">
        <f>HYPERLINK("https://ru.wikipedia.org/w/index.php?search=%D0%9A%D0%B0%D0%BA%20%D1%8D%D1%82%D0%BE%20%D1%81%D0%BB%D1%83%D1%87%D0%B8%D0%BB%D0%BE%D1%81%D1%8C%201973%20%D1%84%D0%B8%D0%BB%D1%8C%D0%BC","искать")</f>
        <v/>
      </c>
      <c r="N1483" s="3" t="n"/>
      <c r="O1483" s="2" t="n"/>
      <c r="P1483" s="2" t="n"/>
    </row>
    <row r="1484">
      <c r="A1484" s="2" t="n">
        <v>1483</v>
      </c>
      <c r="B1484" s="2" t="inlineStr">
        <is>
          <t>не сюжет</t>
        </is>
      </c>
      <c r="C1484" s="2" t="n">
        <v>13779</v>
      </c>
      <c r="D1484" s="3" t="inlineStr">
        <is>
          <t>Настроение</t>
        </is>
      </c>
      <c r="E1484" s="2" t="n">
        <v>1982</v>
      </c>
      <c r="F1484" s="2" t="inlineStr">
        <is>
          <t>мультфильм</t>
        </is>
      </c>
      <c r="G1484" s="2" t="inlineStr">
        <is>
          <t>ЭКРАН</t>
        </is>
      </c>
      <c r="H1484" s="2" t="n">
        <v>56</v>
      </c>
      <c r="I1484" s="2" t="inlineStr"/>
      <c r="J1484" s="2" t="inlineStr">
        <is>
          <t>да</t>
        </is>
      </c>
      <c r="K1484" s="3" t="inlineStr">
        <is>
          <t>О мимолетных сменах настроений. На музыку Андрея Петрова</t>
        </is>
      </c>
      <c r="L1484" s="2" t="inlineStr">
        <is>
          <t>https://animator.ru/db/?p=show_film&amp;fid=5172</t>
        </is>
      </c>
      <c r="M1484" s="2">
        <f>HYPERLINK("https://ru.wikipedia.org/w/index.php?search=%D0%9D%D0%B0%D1%81%D1%82%D1%80%D0%BE%D0%B5%D0%BD%D0%B8%D0%B5%201982%20%D1%84%D0%B8%D0%BB%D1%8C%D0%BC","искать")</f>
        <v/>
      </c>
      <c r="N1484" s="3" t="n"/>
      <c r="O1484" s="2" t="n"/>
      <c r="P1484" s="2" t="n"/>
    </row>
    <row r="1485">
      <c r="A1485" s="2" t="n">
        <v>1484</v>
      </c>
      <c r="B1485" s="2" t="inlineStr">
        <is>
          <t>не сюжет</t>
        </is>
      </c>
      <c r="C1485" s="2" t="n">
        <v>13843</v>
      </c>
      <c r="D1485" s="3" t="inlineStr">
        <is>
          <t>Правитель Турропуто</t>
        </is>
      </c>
      <c r="E1485" s="2" t="n">
        <v>1988</v>
      </c>
      <c r="F1485" s="2" t="inlineStr">
        <is>
          <t>мультфильм</t>
        </is>
      </c>
      <c r="G1485" s="2" t="inlineStr">
        <is>
          <t>ЭКРАН</t>
        </is>
      </c>
      <c r="H1485" s="2" t="n">
        <v>56</v>
      </c>
      <c r="I1485" s="2" t="inlineStr"/>
      <c r="J1485" s="2" t="inlineStr">
        <is>
          <t>да</t>
        </is>
      </c>
      <c r="K1485" s="3" t="inlineStr">
        <is>
          <t>По мотивам сказки А.Шарова "Человек Горошина и Простак".</t>
        </is>
      </c>
      <c r="L1485" s="2" t="inlineStr">
        <is>
          <t>2026-10_мультфильмы_список_владельца.xlsx; https://animator.ru/db/?p=show_film&amp;fid=5236</t>
        </is>
      </c>
      <c r="M1485" s="2">
        <f>HYPERLINK("https://ru.wikipedia.org/w/index.php?search=%D0%9F%D1%80%D0%B0%D0%B2%D0%B8%D1%82%D0%B5%D0%BB%D1%8C%20%D0%A2%D1%83%D1%80%D1%80%D0%BE%D0%BF%D1%83%D1%82%D0%BE%201988%20%D1%84%D0%B8%D0%BB%D1%8C%D0%BC","искать")</f>
        <v/>
      </c>
      <c r="N1485" s="3" t="n"/>
      <c r="O1485" s="2" t="n"/>
      <c r="P1485" s="2" t="n"/>
    </row>
    <row r="1486">
      <c r="A1486" s="2" t="n">
        <v>1485</v>
      </c>
      <c r="B1486" s="2" t="inlineStr">
        <is>
          <t>не сюжет</t>
        </is>
      </c>
      <c r="C1486" s="2" t="n">
        <v>13849</v>
      </c>
      <c r="D1486" s="3" t="inlineStr">
        <is>
          <t>Незнайка в Зеленом городе</t>
        </is>
      </c>
      <c r="E1486" s="2" t="n">
        <v>1972</v>
      </c>
      <c r="F1486" s="2" t="inlineStr">
        <is>
          <t>мультфильм</t>
        </is>
      </c>
      <c r="G1486" s="2" t="inlineStr">
        <is>
          <t>ЭКРАН</t>
        </is>
      </c>
      <c r="H1486" s="2" t="n">
        <v>56</v>
      </c>
      <c r="I1486" s="2" t="inlineStr"/>
      <c r="J1486" s="2" t="inlineStr">
        <is>
          <t>да</t>
        </is>
      </c>
      <c r="K1486" s="3" t="inlineStr">
        <is>
          <t>Пятый фильм из серии "Приключения Незнайки и его друзей"</t>
        </is>
      </c>
      <c r="L1486" s="2" t="inlineStr">
        <is>
          <t>2026-10_мультфильмы_список_владельца.xlsx; https://animator.ru/db/?p=show_film&amp;fid=5242</t>
        </is>
      </c>
      <c r="M1486" s="2">
        <f>HYPERLINK("https://ru.wikipedia.org/w/index.php?search=%D0%9D%D0%B5%D0%B7%D0%BD%D0%B0%D0%B9%D0%BA%D0%B0%20%D0%B2%20%D0%97%D0%B5%D0%BB%D0%B5%D0%BD%D0%BE%D0%BC%20%D0%B3%D0%BE%D1%80%D0%BE%D0%B4%D0%B5%201972%20%D1%84%D0%B8%D0%BB%D1%8C%D0%BC","искать")</f>
        <v/>
      </c>
      <c r="N1486" s="3" t="n"/>
      <c r="O1486" s="2" t="n"/>
      <c r="P1486" s="2" t="n"/>
    </row>
    <row r="1487">
      <c r="A1487" s="2" t="n">
        <v>1486</v>
      </c>
      <c r="B1487" s="2" t="inlineStr">
        <is>
          <t>не сюжет</t>
        </is>
      </c>
      <c r="C1487" s="2" t="n">
        <v>13851</v>
      </c>
      <c r="D1487" s="3" t="inlineStr">
        <is>
          <t>Незнайка за рулем</t>
        </is>
      </c>
      <c r="E1487" s="2" t="n">
        <v>1972</v>
      </c>
      <c r="F1487" s="2" t="inlineStr">
        <is>
          <t>мультфильм</t>
        </is>
      </c>
      <c r="G1487" s="2" t="inlineStr">
        <is>
          <t>ЭКРАН</t>
        </is>
      </c>
      <c r="H1487" s="2" t="n">
        <v>56</v>
      </c>
      <c r="I1487" s="2" t="inlineStr"/>
      <c r="J1487" s="2" t="inlineStr">
        <is>
          <t>да</t>
        </is>
      </c>
      <c r="K1487" s="3" t="inlineStr">
        <is>
          <t>Седьмой фильм серии "Прияключения Незнайки и его друзей"</t>
        </is>
      </c>
      <c r="L1487" s="2" t="inlineStr">
        <is>
          <t>2026-10_мультфильмы_список_владельца.xlsx; https://animator.ru/db/?p=show_film&amp;fid=5244</t>
        </is>
      </c>
      <c r="M1487" s="2">
        <f>HYPERLINK("https://ru.wikipedia.org/w/index.php?search=%D0%9D%D0%B5%D0%B7%D0%BD%D0%B0%D0%B9%D0%BA%D0%B0%20%D0%B7%D0%B0%20%D1%80%D1%83%D0%BB%D0%B5%D0%BC%201972%20%D1%84%D0%B8%D0%BB%D1%8C%D0%BC","искать")</f>
        <v/>
      </c>
      <c r="N1487" s="3" t="n"/>
      <c r="O1487" s="2" t="n"/>
      <c r="P1487" s="2" t="n"/>
    </row>
    <row r="1488">
      <c r="A1488" s="2" t="n">
        <v>1487</v>
      </c>
      <c r="B1488" s="2" t="inlineStr">
        <is>
          <t>не сюжет</t>
        </is>
      </c>
      <c r="C1488" s="2" t="n">
        <v>9641</v>
      </c>
      <c r="D1488" s="3" t="inlineStr">
        <is>
          <t>Сержант Фетисов</t>
        </is>
      </c>
      <c r="E1488" s="2" t="n">
        <v>1961</v>
      </c>
      <c r="F1488" s="2" t="inlineStr">
        <is>
          <t>кинофильм</t>
        </is>
      </c>
      <c r="G1488" s="2" t="n"/>
      <c r="H1488" s="2" t="n">
        <v>57</v>
      </c>
      <c r="I1488" s="2" t="inlineStr"/>
      <c r="J1488" s="2" t="inlineStr">
        <is>
          <t>да</t>
        </is>
      </c>
      <c r="K1488" s="3" t="inlineStr">
        <is>
          <t>Научно-популярный фильм о мирных буднях воинов-танкистов.</t>
        </is>
      </c>
      <c r="L1488" s="2" t="inlineStr">
        <is>
          <t>Кино_СССР сводный каталог.xlsx: список фильмов (доп.)</t>
        </is>
      </c>
      <c r="M1488" s="2">
        <f>HYPERLINK("https://ru.wikipedia.org/w/index.php?search=%D0%A1%D0%B5%D1%80%D0%B6%D0%B0%D0%BD%D1%82%20%D0%A4%D0%B5%D1%82%D0%B8%D1%81%D0%BE%D0%B2%201961%20%D1%84%D0%B8%D0%BB%D1%8C%D0%BC","искать")</f>
        <v/>
      </c>
      <c r="N1488" s="3" t="n"/>
      <c r="O1488" s="2" t="n"/>
      <c r="P1488" s="2" t="n"/>
    </row>
    <row r="1489">
      <c r="A1489" s="2" t="n">
        <v>1488</v>
      </c>
      <c r="B1489" s="2" t="inlineStr">
        <is>
          <t>не сюжет</t>
        </is>
      </c>
      <c r="C1489" s="2" t="n">
        <v>10344</v>
      </c>
      <c r="D1489" s="3" t="inlineStr">
        <is>
          <t>Швейк во второй мировой войне</t>
        </is>
      </c>
      <c r="E1489" s="2" t="n">
        <v>1969</v>
      </c>
      <c r="F1489" s="2" t="inlineStr">
        <is>
          <t>фильм-спектакль</t>
        </is>
      </c>
      <c r="G1489" s="2" t="inlineStr">
        <is>
          <t>Главная редакция литературно-драматических программ центр. тел. СССР</t>
        </is>
      </c>
      <c r="H1489" s="2" t="n">
        <v>57</v>
      </c>
      <c r="I1489" s="2" t="inlineStr"/>
      <c r="J1489" s="2" t="inlineStr">
        <is>
          <t>да</t>
        </is>
      </c>
      <c r="K1489" s="3" t="inlineStr">
        <is>
          <t>По одноименной сатирической антивоенной комедии Б.Брехта.</t>
        </is>
      </c>
      <c r="L1489" s="2" t="inlineStr">
        <is>
          <t>https://www.kino-teatr.ru/teatr/movie/17063/annot/</t>
        </is>
      </c>
      <c r="M1489" s="2">
        <f>HYPERLINK("https://ru.wikipedia.org/w/index.php?search=%D0%A8%D0%B2%D0%B5%D0%B9%D0%BA%20%D0%B2%D0%BE%20%D0%B2%D1%82%D0%BE%D1%80%D0%BE%D0%B9%20%D0%BC%D0%B8%D1%80%D0%BE%D0%B2%D0%BE%D0%B9%20%D0%B2%D0%BE%D0%B9%D0%BD%D0%B5%201969%20%D1%84%D0%B8%D0%BB%D1%8C%D0%BC","искать")</f>
        <v/>
      </c>
      <c r="N1489" s="3" t="n"/>
      <c r="O1489" s="2" t="n"/>
      <c r="P1489" s="2" t="n"/>
    </row>
    <row r="1490">
      <c r="A1490" s="2" t="n">
        <v>1489</v>
      </c>
      <c r="B1490" s="2" t="inlineStr">
        <is>
          <t>не сюжет</t>
        </is>
      </c>
      <c r="C1490" s="2" t="n">
        <v>11405</v>
      </c>
      <c r="D1490" s="3" t="inlineStr">
        <is>
          <t>Мук (Мультипликационный крокодил) n4</t>
        </is>
      </c>
      <c r="E1490" s="2" t="n">
        <v>1961</v>
      </c>
      <c r="F1490" s="2" t="inlineStr">
        <is>
          <t>мультфильм</t>
        </is>
      </c>
      <c r="G1490" s="2" t="inlineStr">
        <is>
          <t>Союзмультфильм</t>
        </is>
      </c>
      <c r="H1490" s="2" t="n">
        <v>57</v>
      </c>
      <c r="I1490" s="2" t="inlineStr"/>
      <c r="J1490" s="2" t="inlineStr">
        <is>
          <t>да</t>
        </is>
      </c>
      <c r="K1490" s="3" t="inlineStr">
        <is>
          <t>Сатирический мультжурнал о беоежливом отношении к природе</t>
        </is>
      </c>
      <c r="L1490" s="2" t="inlineStr">
        <is>
          <t>https://animator.ru/db/?p=show_film&amp;fid=2083</t>
        </is>
      </c>
      <c r="M1490" s="2">
        <f>HYPERLINK("https://ru.wikipedia.org/w/index.php?search=%D0%9C%D1%83%D0%BA%20%28%D0%9C%D1%83%D0%BB%D1%8C%D1%82%D0%B8%D0%BF%D0%BB%D0%B8%D0%BA%D0%B0%D1%86%D0%B8%D0%BE%D0%BD%D0%BD%D1%8B%D0%B9%20%D0%BA%D1%80%D0%BE%D0%BA%D0%BE%D0%B4%D0%B8%D0%BB%29%20n4%201961%20%D1%84%D0%B8%D0%BB%D1%8C%D0%BC","искать")</f>
        <v/>
      </c>
      <c r="N1490" s="3" t="n"/>
      <c r="O1490" s="2" t="n"/>
      <c r="P1490" s="2" t="n"/>
    </row>
    <row r="1491">
      <c r="A1491" s="2" t="n">
        <v>1490</v>
      </c>
      <c r="B1491" s="2" t="inlineStr">
        <is>
          <t>не сюжет</t>
        </is>
      </c>
      <c r="C1491" s="2" t="n">
        <v>11813</v>
      </c>
      <c r="D1491" s="3" t="inlineStr">
        <is>
          <t>Сказка дедушки Ай По</t>
        </is>
      </c>
      <c r="E1491" s="2" t="n">
        <v>1976</v>
      </c>
      <c r="F1491" s="2" t="inlineStr">
        <is>
          <t>мультфильм</t>
        </is>
      </c>
      <c r="G1491" s="2" t="inlineStr">
        <is>
          <t>Союзмультфильм</t>
        </is>
      </c>
      <c r="H1491" s="2" t="n">
        <v>57</v>
      </c>
      <c r="I1491" s="2" t="inlineStr"/>
      <c r="J1491" s="2" t="inlineStr">
        <is>
          <t>да</t>
        </is>
      </c>
      <c r="K1491" s="3" t="inlineStr">
        <is>
          <t>По мотивам сказки Ю.Афанасьева по легенде народов Севера.</t>
        </is>
      </c>
      <c r="L1491" s="2" t="inlineStr">
        <is>
          <t>2026-10_мультфильмы_список_владельца.xlsx; https://animator.ru/db/?p=show_film&amp;fid=2727</t>
        </is>
      </c>
      <c r="M1491" s="2">
        <f>HYPERLINK("https://ru.wikipedia.org/w/index.php?search=%D0%A1%D0%BA%D0%B0%D0%B7%D0%BA%D0%B0%20%D0%B4%D0%B5%D0%B4%D1%83%D1%88%D0%BA%D0%B8%20%D0%90%D0%B9%20%D0%9F%D0%BE%201976%20%D1%84%D0%B8%D0%BB%D1%8C%D0%BC","искать")</f>
        <v/>
      </c>
      <c r="N1491" s="3" t="n"/>
      <c r="O1491" s="2" t="n"/>
      <c r="P1491" s="2" t="n"/>
    </row>
    <row r="1492">
      <c r="A1492" s="2" t="n">
        <v>1491</v>
      </c>
      <c r="B1492" s="2" t="inlineStr">
        <is>
          <t>не сюжет</t>
        </is>
      </c>
      <c r="C1492" s="2" t="n">
        <v>12103</v>
      </c>
      <c r="D1492" s="3" t="inlineStr">
        <is>
          <t>Античная лирика</t>
        </is>
      </c>
      <c r="E1492" s="2" t="n">
        <v>1989</v>
      </c>
      <c r="F1492" s="2" t="inlineStr">
        <is>
          <t>мультфильм</t>
        </is>
      </c>
      <c r="G1492" s="2" t="inlineStr">
        <is>
          <t>Союзмультфильм</t>
        </is>
      </c>
      <c r="H1492" s="2" t="n">
        <v>57</v>
      </c>
      <c r="I1492" s="2" t="inlineStr"/>
      <c r="J1492" s="2" t="inlineStr">
        <is>
          <t>да</t>
        </is>
      </c>
      <c r="K1492" s="3" t="inlineStr">
        <is>
          <t>Фильм о любви, снят по мотивам древнегреческой мифологии.</t>
        </is>
      </c>
      <c r="L1492" s="2" t="inlineStr">
        <is>
          <t>2026-10_мультфильмы_список_владельца.xlsx; https://animator.ru/db/?p=show_film&amp;fid=3219</t>
        </is>
      </c>
      <c r="M1492" s="2">
        <f>HYPERLINK("https://ru.wikipedia.org/w/index.php?search=%D0%90%D0%BD%D1%82%D0%B8%D1%87%D0%BD%D0%B0%D1%8F%20%D0%BB%D0%B8%D1%80%D0%B8%D0%BA%D0%B0%201989%20%D1%84%D0%B8%D0%BB%D1%8C%D0%BC","искать")</f>
        <v/>
      </c>
      <c r="N1492" s="3" t="n"/>
      <c r="O1492" s="2" t="n"/>
      <c r="P1492" s="2" t="n"/>
    </row>
    <row r="1493">
      <c r="A1493" s="2" t="n">
        <v>1492</v>
      </c>
      <c r="B1493" s="2" t="inlineStr">
        <is>
          <t>не сюжет</t>
        </is>
      </c>
      <c r="C1493" s="2" t="n">
        <v>12142</v>
      </c>
      <c r="D1493" s="3" t="inlineStr">
        <is>
          <t>КОНТАКТЫ... КОНФЛИКТЫ (Выпуск 2)</t>
        </is>
      </c>
      <c r="E1493" s="2" t="n">
        <v>1985</v>
      </c>
      <c r="F1493" s="2" t="inlineStr">
        <is>
          <t>мультфильм</t>
        </is>
      </c>
      <c r="G1493" s="2" t="inlineStr">
        <is>
          <t>Союзмультфильм</t>
        </is>
      </c>
      <c r="H1493" s="2" t="n">
        <v>57</v>
      </c>
      <c r="I1493" s="2" t="inlineStr"/>
      <c r="J1493" s="2" t="inlineStr">
        <is>
          <t>да</t>
        </is>
      </c>
      <c r="K1493" s="3" t="inlineStr">
        <is>
          <t>Комические сюжеты для взрослых о проблемах семейной жизни</t>
        </is>
      </c>
      <c r="L1493" s="2" t="inlineStr">
        <is>
          <t>https://animator.ru/db/?p=show_film&amp;fid=3258</t>
        </is>
      </c>
      <c r="M1493" s="2">
        <f>HYPERLINK("https://ru.wikipedia.org/w/index.php?search=%D0%9A%D0%9E%D0%9D%D0%A2%D0%90%D0%9A%D0%A2%D0%AB...%20%D0%9A%D0%9E%D0%9D%D0%A4%D0%9B%D0%98%D0%9A%D0%A2%D0%AB%20%28%D0%92%D1%8B%D0%BF%D1%83%D1%81%D0%BA%202%29%201985%20%D1%84%D0%B8%D0%BB%D1%8C%D0%BC","искать")</f>
        <v/>
      </c>
      <c r="N1493" s="3" t="n"/>
      <c r="O1493" s="2" t="n"/>
      <c r="P1493" s="2" t="n"/>
    </row>
    <row r="1494">
      <c r="A1494" s="2" t="n">
        <v>1493</v>
      </c>
      <c r="B1494" s="2" t="inlineStr">
        <is>
          <t>не сюжет</t>
        </is>
      </c>
      <c r="C1494" s="2" t="n">
        <v>12702</v>
      </c>
      <c r="D1494" s="3" t="inlineStr">
        <is>
          <t>Дудка-веселушка</t>
        </is>
      </c>
      <c r="E1494" s="2" t="n">
        <v>1978</v>
      </c>
      <c r="F1494" s="2" t="inlineStr">
        <is>
          <t>мультфильм</t>
        </is>
      </c>
      <c r="G1494" s="2" t="inlineStr">
        <is>
          <t>БЕЛАРУСЬФИЛЬМ НАЦИОНАЛЬНАЯ КИНОСТУДИЯ - ГП</t>
        </is>
      </c>
      <c r="H1494" s="2" t="n">
        <v>57</v>
      </c>
      <c r="I1494" s="2" t="inlineStr"/>
      <c r="J1494" s="2" t="inlineStr">
        <is>
          <t>да</t>
        </is>
      </c>
      <c r="K1494" s="3" t="inlineStr">
        <is>
          <t>По мотивам белорусских народных песен о Василе-дудочнике.</t>
        </is>
      </c>
      <c r="L1494" s="2" t="inlineStr">
        <is>
          <t>2026-10_мультфильмы_список_владельца.xlsx; https://animator.ru/db/?p=show_film&amp;fid=3897</t>
        </is>
      </c>
      <c r="M1494" s="2">
        <f>HYPERLINK("https://ru.wikipedia.org/w/index.php?search=%D0%94%D1%83%D0%B4%D0%BA%D0%B0-%D0%B2%D0%B5%D1%81%D0%B5%D0%BB%D1%83%D1%88%D0%BA%D0%B0%201978%20%D1%84%D0%B8%D0%BB%D1%8C%D0%BC","искать")</f>
        <v/>
      </c>
      <c r="N1494" s="3" t="n"/>
      <c r="O1494" s="2" t="n"/>
      <c r="P1494" s="2" t="n"/>
    </row>
    <row r="1495">
      <c r="A1495" s="2" t="n">
        <v>1494</v>
      </c>
      <c r="B1495" s="2" t="inlineStr">
        <is>
          <t>не сюжет</t>
        </is>
      </c>
      <c r="C1495" s="2" t="n">
        <v>13147</v>
      </c>
      <c r="D1495" s="3" t="inlineStr">
        <is>
          <t>Притча о Гассане</t>
        </is>
      </c>
      <c r="E1495" s="2" t="n">
        <v>1987</v>
      </c>
      <c r="F1495" s="2" t="inlineStr">
        <is>
          <t>мультфильм</t>
        </is>
      </c>
      <c r="G1495" s="2" t="inlineStr">
        <is>
          <t>МОСФИЛЬМ, БЕЛАРУСЬФИЛЬМ НАЦИОНАЛЬНАЯ КИНОСТУДИЯ - ГП</t>
        </is>
      </c>
      <c r="H1495" s="2" t="n">
        <v>57</v>
      </c>
      <c r="I1495" s="2" t="inlineStr"/>
      <c r="J1495" s="2" t="inlineStr">
        <is>
          <t>да</t>
        </is>
      </c>
      <c r="K1495" s="3" t="inlineStr">
        <is>
          <t>По мотивам сказки Власа Дорошевича "Человеческая память".</t>
        </is>
      </c>
      <c r="L1495" s="2" t="inlineStr">
        <is>
          <t>2026-10_мультфильмы_список_владельца.xlsx; https://animator.ru/db/?p=show_film&amp;fid=4379</t>
        </is>
      </c>
      <c r="M1495" s="2">
        <f>HYPERLINK("https://ru.wikipedia.org/w/index.php?search=%D0%9F%D1%80%D0%B8%D1%82%D1%87%D0%B0%20%D0%BE%20%D0%93%D0%B0%D1%81%D1%81%D0%B0%D0%BD%D0%B5%201987%20%D1%84%D0%B8%D0%BB%D1%8C%D0%BC","искать")</f>
        <v/>
      </c>
      <c r="N1495" s="3" t="n"/>
      <c r="O1495" s="2" t="n"/>
      <c r="P1495" s="2" t="n"/>
    </row>
    <row r="1496">
      <c r="A1496" s="2" t="n">
        <v>1495</v>
      </c>
      <c r="B1496" s="2" t="inlineStr">
        <is>
          <t>не сюжет</t>
        </is>
      </c>
      <c r="C1496" s="2" t="n">
        <v>13207</v>
      </c>
      <c r="D1496" s="3" t="inlineStr">
        <is>
          <t>Приданое</t>
        </is>
      </c>
      <c r="E1496" s="2" t="n">
        <v>1988</v>
      </c>
      <c r="F1496" s="2" t="inlineStr">
        <is>
          <t>мультфильм</t>
        </is>
      </c>
      <c r="G1496" s="2" t="inlineStr">
        <is>
          <t>УЗБЕКФИЛЬМ</t>
        </is>
      </c>
      <c r="H1496" s="2" t="n">
        <v>57</v>
      </c>
      <c r="I1496" s="2" t="inlineStr"/>
      <c r="J1496" s="2" t="inlineStr">
        <is>
          <t>да</t>
        </is>
      </c>
      <c r="K1496" s="3" t="inlineStr">
        <is>
          <t>По мотивам стихотворения Дмитрия Кедрина о поэте Фирдоуси</t>
        </is>
      </c>
      <c r="L1496" s="2" t="inlineStr">
        <is>
          <t>https://animator.ru/db/?p=show_film&amp;fid=4446</t>
        </is>
      </c>
      <c r="M1496" s="2">
        <f>HYPERLINK("https://ru.wikipedia.org/w/index.php?search=%D0%9F%D1%80%D0%B8%D0%B4%D0%B0%D0%BD%D0%BE%D0%B5%201988%20%D1%84%D0%B8%D0%BB%D1%8C%D0%BC","искать")</f>
        <v/>
      </c>
      <c r="N1496" s="3" t="n"/>
      <c r="O1496" s="2" t="n"/>
      <c r="P1496" s="2" t="n"/>
    </row>
    <row r="1497">
      <c r="A1497" s="2" t="n">
        <v>1496</v>
      </c>
      <c r="B1497" s="2" t="inlineStr">
        <is>
          <t>не сюжет</t>
        </is>
      </c>
      <c r="C1497" s="2" t="n">
        <v>13550</v>
      </c>
      <c r="D1497" s="3" t="inlineStr">
        <is>
          <t>Веселые ребята</t>
        </is>
      </c>
      <c r="E1497" s="2" t="n">
        <v>1972</v>
      </c>
      <c r="F1497" s="2" t="inlineStr">
        <is>
          <t>мультфильм</t>
        </is>
      </c>
      <c r="G1497" s="2" t="inlineStr">
        <is>
          <t>Союзмультфильм</t>
        </is>
      </c>
      <c r="H1497" s="2" t="n">
        <v>57</v>
      </c>
      <c r="I1497" s="2" t="inlineStr"/>
      <c r="J1497" s="2" t="inlineStr">
        <is>
          <t>да</t>
        </is>
      </c>
      <c r="K1497" s="3" t="inlineStr">
        <is>
          <t>Фитиль №126.О футболистах, которые числятся колхозниками.</t>
        </is>
      </c>
      <c r="L1497" s="2" t="inlineStr">
        <is>
          <t>2026-10_мультфильмы_список_владельца.xlsx; https://animator.ru/db/?p=show_film&amp;fid=4870</t>
        </is>
      </c>
      <c r="M1497" s="2">
        <f>HYPERLINK("https://ru.wikipedia.org/w/index.php?search=%D0%92%D0%B5%D1%81%D0%B5%D0%BB%D1%8B%D0%B5%20%D1%80%D0%B5%D0%B1%D1%8F%D1%82%D0%B0%201972%20%D1%84%D0%B8%D0%BB%D1%8C%D0%BC","искать")</f>
        <v/>
      </c>
      <c r="N1497" s="3" t="n"/>
      <c r="O1497" s="2" t="n"/>
      <c r="P1497" s="2" t="n"/>
    </row>
    <row r="1498">
      <c r="A1498" s="2" t="n">
        <v>1497</v>
      </c>
      <c r="B1498" s="2" t="inlineStr">
        <is>
          <t>не сюжет</t>
        </is>
      </c>
      <c r="C1498" s="2" t="n">
        <v>13718</v>
      </c>
      <c r="D1498" s="3" t="inlineStr">
        <is>
          <t>Квакша</t>
        </is>
      </c>
      <c r="E1498" s="2" t="n">
        <v>1979</v>
      </c>
      <c r="F1498" s="2" t="inlineStr">
        <is>
          <t>мультфильм</t>
        </is>
      </c>
      <c r="G1498" s="2" t="inlineStr">
        <is>
          <t>ЭКРАН</t>
        </is>
      </c>
      <c r="H1498" s="2" t="n">
        <v>57</v>
      </c>
      <c r="I1498" s="2" t="inlineStr"/>
      <c r="J1498" s="2" t="inlineStr">
        <is>
          <t>да</t>
        </is>
      </c>
      <c r="K1498" s="3" t="inlineStr">
        <is>
          <t>По одноименной сказке Константина Паустовского. Для детей</t>
        </is>
      </c>
      <c r="L1498" s="2" t="inlineStr">
        <is>
          <t>https://animator.ru/db/?p=show_film&amp;fid=5111</t>
        </is>
      </c>
      <c r="M1498" s="2">
        <f>HYPERLINK("https://ru.wikipedia.org/w/index.php?search=%D0%9A%D0%B2%D0%B0%D0%BA%D1%88%D0%B0%201979%20%D1%84%D0%B8%D0%BB%D1%8C%D0%BC","искать")</f>
        <v/>
      </c>
      <c r="N1498" s="3" t="n"/>
      <c r="O1498" s="2" t="n"/>
      <c r="P1498" s="2" t="n"/>
    </row>
    <row r="1499">
      <c r="A1499" s="2" t="n">
        <v>1498</v>
      </c>
      <c r="B1499" s="2" t="inlineStr">
        <is>
          <t>не сюжет</t>
        </is>
      </c>
      <c r="C1499" s="2" t="n">
        <v>13848</v>
      </c>
      <c r="D1499" s="3" t="inlineStr">
        <is>
          <t>Коротышки из Цветочного города</t>
        </is>
      </c>
      <c r="E1499" s="2" t="n">
        <v>1971</v>
      </c>
      <c r="F1499" s="2" t="inlineStr">
        <is>
          <t>мультфильм</t>
        </is>
      </c>
      <c r="G1499" s="2" t="inlineStr">
        <is>
          <t>ЭКРАН</t>
        </is>
      </c>
      <c r="H1499" s="2" t="n">
        <v>57</v>
      </c>
      <c r="I1499" s="2" t="inlineStr"/>
      <c r="J1499" s="2" t="inlineStr">
        <is>
          <t>да</t>
        </is>
      </c>
      <c r="K1499" s="3" t="inlineStr">
        <is>
          <t>Четвертый фильм серии "Приключения Незнайки и его друзей"</t>
        </is>
      </c>
      <c r="L1499" s="2" t="inlineStr">
        <is>
          <t>2026-10_мультфильмы_список_владельца.xlsx; https://animator.ru/db/?p=show_film&amp;fid=5241</t>
        </is>
      </c>
      <c r="M1499" s="2">
        <f>HYPERLINK("https://ru.wikipedia.org/w/index.php?search=%D0%9A%D0%BE%D1%80%D0%BE%D1%82%D1%8B%D1%88%D0%BA%D0%B8%20%D0%B8%D0%B7%20%D0%A6%D0%B2%D0%B5%D1%82%D0%BE%D1%87%D0%BD%D0%BE%D0%B3%D0%BE%20%D0%B3%D0%BE%D1%80%D0%BE%D0%B4%D0%B0%201971%20%D1%84%D0%B8%D0%BB%D1%8C%D0%BC","искать")</f>
        <v/>
      </c>
      <c r="N1499" s="3" t="n"/>
      <c r="O1499" s="2" t="n"/>
      <c r="P1499" s="2" t="n"/>
    </row>
    <row r="1500">
      <c r="A1500" s="2" t="n">
        <v>1499</v>
      </c>
      <c r="B1500" s="2" t="inlineStr">
        <is>
          <t>не сюжет</t>
        </is>
      </c>
      <c r="C1500" s="2" t="n">
        <v>13850</v>
      </c>
      <c r="D1500" s="3" t="inlineStr">
        <is>
          <t>Незнайка встречается с друзьями</t>
        </is>
      </c>
      <c r="E1500" s="2" t="n">
        <v>1972</v>
      </c>
      <c r="F1500" s="2" t="inlineStr">
        <is>
          <t>мультфильм</t>
        </is>
      </c>
      <c r="G1500" s="2" t="inlineStr">
        <is>
          <t>ЭКРАН</t>
        </is>
      </c>
      <c r="H1500" s="2" t="n">
        <v>57</v>
      </c>
      <c r="I1500" s="2" t="inlineStr"/>
      <c r="J1500" s="2" t="inlineStr">
        <is>
          <t>да</t>
        </is>
      </c>
      <c r="K1500" s="3" t="inlineStr">
        <is>
          <t>Шестой фильм из серии "Приключения Незнайки и его друзей"</t>
        </is>
      </c>
      <c r="L1500" s="2" t="inlineStr">
        <is>
          <t>2026-10_мультфильмы_список_владельца.xlsx; https://animator.ru/db/?p=show_film&amp;fid=5243</t>
        </is>
      </c>
      <c r="M1500" s="2">
        <f>HYPERLINK("https://ru.wikipedia.org/w/index.php?search=%D0%9D%D0%B5%D0%B7%D0%BD%D0%B0%D0%B9%D0%BA%D0%B0%20%D0%B2%D1%81%D1%82%D1%80%D0%B5%D1%87%D0%B0%D0%B5%D1%82%D1%81%D1%8F%20%D1%81%20%D0%B4%D1%80%D1%83%D0%B7%D1%8C%D1%8F%D0%BC%D0%B8%201972%20%D1%84%D0%B8%D0%BB%D1%8C%D0%BC","искать")</f>
        <v/>
      </c>
      <c r="N1500" s="3" t="n"/>
      <c r="O1500" s="2" t="n"/>
      <c r="P1500" s="2" t="n"/>
    </row>
    <row r="1501">
      <c r="A1501" s="2" t="n">
        <v>1500</v>
      </c>
      <c r="B1501" s="2" t="inlineStr">
        <is>
          <t>не сюжет</t>
        </is>
      </c>
      <c r="C1501" s="2" t="n">
        <v>14123</v>
      </c>
      <c r="D1501" s="3" t="inlineStr">
        <is>
          <t>Капризный мурад</t>
        </is>
      </c>
      <c r="E1501" s="2" t="n">
        <v>1987</v>
      </c>
      <c r="F1501" s="2" t="inlineStr">
        <is>
          <t>мультфильм</t>
        </is>
      </c>
      <c r="G1501" s="2" t="inlineStr">
        <is>
          <t>ТУРКМЕНТЕЛЕФИЛЬМ</t>
        </is>
      </c>
      <c r="H1501" s="2" t="n">
        <v>57</v>
      </c>
      <c r="I1501" s="2" t="inlineStr"/>
      <c r="J1501" s="2" t="inlineStr">
        <is>
          <t>да</t>
        </is>
      </c>
      <c r="K1501" s="3" t="inlineStr">
        <is>
          <t>Кмк Мурад понял, что нельзя обижать животных. Для малышей</t>
        </is>
      </c>
      <c r="L1501" s="2" t="inlineStr">
        <is>
          <t>https://animator.ru/db/?p=show_film&amp;fid=5521</t>
        </is>
      </c>
      <c r="M1501" s="2">
        <f>HYPERLINK("https://ru.wikipedia.org/w/index.php?search=%D0%9A%D0%B0%D0%BF%D1%80%D0%B8%D0%B7%D0%BD%D1%8B%D0%B9%20%D0%BC%D1%83%D1%80%D0%B0%D0%B4%201987%20%D1%84%D0%B8%D0%BB%D1%8C%D0%BC","искать")</f>
        <v/>
      </c>
      <c r="N1501" s="3" t="n"/>
      <c r="O1501" s="2" t="n"/>
      <c r="P1501" s="2" t="n"/>
    </row>
    <row r="1502">
      <c r="A1502" s="2" t="n">
        <v>1501</v>
      </c>
      <c r="B1502" s="2" t="inlineStr">
        <is>
          <t>не сюжет</t>
        </is>
      </c>
      <c r="C1502" s="2" t="n">
        <v>14247</v>
      </c>
      <c r="D1502" s="3" t="inlineStr">
        <is>
          <t>Техника безопасности на камбузных работах</t>
        </is>
      </c>
      <c r="E1502" s="2" t="n">
        <v>1988</v>
      </c>
      <c r="F1502" s="2" t="inlineStr">
        <is>
          <t>мультфильм</t>
        </is>
      </c>
      <c r="G1502" s="2" t="inlineStr">
        <is>
          <t>ДАУКА (DAUKA)</t>
        </is>
      </c>
      <c r="H1502" s="2" t="n">
        <v>57</v>
      </c>
      <c r="I1502" s="2" t="inlineStr"/>
      <c r="J1502" s="2" t="inlineStr">
        <is>
          <t>да</t>
        </is>
      </c>
      <c r="K1502" s="3" t="inlineStr">
        <is>
          <t>Инструктивный фильм. Золотая медаль и Гран-при ВДНХ. 1989</t>
        </is>
      </c>
      <c r="L1502" s="2" t="inlineStr">
        <is>
          <t>https://animator.ru/db/?p=show_film&amp;fid=5670</t>
        </is>
      </c>
      <c r="M1502" s="2">
        <f>HYPERLINK("https://ru.wikipedia.org/w/index.php?search=%D0%A2%D0%B5%D1%85%D0%BD%D0%B8%D0%BA%D0%B0%20%D0%B1%D0%B5%D0%B7%D0%BE%D0%BF%D0%B0%D1%81%D0%BD%D0%BE%D1%81%D1%82%D0%B8%20%D0%BD%D0%B0%20%D0%BA%D0%B0%D0%BC%D0%B1%D1%83%D0%B7%D0%BD%D1%8B%D1%85%20%D1%80%D0%B0%D0%B1%D0%BE%D1%82%D0%B0%D1%85%201988%20%D1%84%D0%B8%D0%BB%D1%8C%D0%BC","искать")</f>
        <v/>
      </c>
      <c r="N1502" s="3" t="n"/>
      <c r="O1502" s="2" t="n"/>
      <c r="P1502" s="2" t="n"/>
    </row>
    <row r="1503">
      <c r="A1503" s="2" t="n">
        <v>1502</v>
      </c>
      <c r="B1503" s="2" t="inlineStr">
        <is>
          <t>не сюжет</t>
        </is>
      </c>
      <c r="C1503" s="2" t="n">
        <v>14454</v>
      </c>
      <c r="D1503" s="3" t="inlineStr">
        <is>
          <t>Энеида</t>
        </is>
      </c>
      <c r="E1503" s="2" t="n">
        <v>1991</v>
      </c>
      <c r="F1503" s="2" t="inlineStr">
        <is>
          <t>мультфильм</t>
        </is>
      </c>
      <c r="G1503" s="2" t="inlineStr">
        <is>
          <t>УКРАНИМАФИЛЬМ</t>
        </is>
      </c>
      <c r="H1503" s="2" t="n">
        <v>57</v>
      </c>
      <c r="I1503" s="2" t="inlineStr"/>
      <c r="J1503" s="2" t="inlineStr">
        <is>
          <t>да</t>
        </is>
      </c>
      <c r="K1503" s="3" t="inlineStr">
        <is>
          <t>По мотивам одноименной поэмы И.П.Котляревского "Энеида" .</t>
        </is>
      </c>
      <c r="L1503" s="2" t="inlineStr">
        <is>
          <t>https://animator.ru/db/?p=show_film&amp;fid=6704</t>
        </is>
      </c>
      <c r="M1503" s="2">
        <f>HYPERLINK("https://ru.wikipedia.org/w/index.php?search=%D0%AD%D0%BD%D0%B5%D0%B8%D0%B4%D0%B0%201991%20%D1%84%D0%B8%D0%BB%D1%8C%D0%BC","искать")</f>
        <v/>
      </c>
      <c r="N1503" s="3" t="n"/>
      <c r="O1503" s="2" t="n"/>
      <c r="P1503" s="2" t="n"/>
    </row>
    <row r="1504">
      <c r="A1504" s="2" t="n">
        <v>1503</v>
      </c>
      <c r="B1504" s="2" t="inlineStr">
        <is>
          <t>не сюжет</t>
        </is>
      </c>
      <c r="C1504" s="2" t="n">
        <v>8441</v>
      </c>
      <c r="D1504" s="3" t="inlineStr">
        <is>
          <t>Танцы вокруг парового котла</t>
        </is>
      </c>
      <c r="E1504" s="2" t="n">
        <v>1987</v>
      </c>
      <c r="F1504" s="2" t="inlineStr">
        <is>
          <t>телефильм</t>
        </is>
      </c>
      <c r="G1504" s="2" t="n"/>
      <c r="H1504" s="2" t="n">
        <v>58</v>
      </c>
      <c r="I1504" s="2" t="inlineStr"/>
      <c r="J1504" s="2" t="inlineStr">
        <is>
          <t>да</t>
        </is>
      </c>
      <c r="K1504" s="3" t="inlineStr">
        <is>
          <t>Двухсерийная экранизация одноимённого романа Матса Траата.</t>
        </is>
      </c>
      <c r="L1504" s="2" t="inlineStr">
        <is>
          <t>Кино_СССР сводный каталог.xlsx: список телефильмов</t>
        </is>
      </c>
      <c r="M1504" s="2">
        <f>HYPERLINK("https://ru.wikipedia.org/w/index.php?search=%D0%A2%D0%B0%D0%BD%D1%86%D1%8B%20%D0%B2%D0%BE%D0%BA%D1%80%D1%83%D0%B3%20%D0%BF%D0%B0%D1%80%D0%BE%D0%B2%D0%BE%D0%B3%D0%BE%20%D0%BA%D0%BE%D1%82%D0%BB%D0%B0%201987%20%D1%84%D0%B8%D0%BB%D1%8C%D0%BC","искать")</f>
        <v/>
      </c>
      <c r="N1504" s="3" t="n"/>
      <c r="O1504" s="2" t="n"/>
      <c r="P1504" s="2" t="n"/>
    </row>
    <row r="1505">
      <c r="A1505" s="2" t="n">
        <v>1504</v>
      </c>
      <c r="B1505" s="2" t="inlineStr">
        <is>
          <t>не сюжет</t>
        </is>
      </c>
      <c r="C1505" s="2" t="n">
        <v>8917</v>
      </c>
      <c r="D1505" s="3" t="inlineStr">
        <is>
          <t>Память поколения</t>
        </is>
      </c>
      <c r="E1505" s="2" t="n">
        <v>1963</v>
      </c>
      <c r="F1505" s="2" t="inlineStr">
        <is>
          <t>кинофильм</t>
        </is>
      </c>
      <c r="G1505" s="2" t="n"/>
      <c r="H1505" s="2" t="n">
        <v>58</v>
      </c>
      <c r="I1505" s="2" t="inlineStr"/>
      <c r="J1505" s="2" t="inlineStr">
        <is>
          <t>да</t>
        </is>
      </c>
      <c r="K1505" s="3" t="inlineStr">
        <is>
          <t>О борьбе с контрреволюцией в первые годы советской власти.</t>
        </is>
      </c>
      <c r="L1505" s="2" t="inlineStr">
        <is>
          <t>Кино_СССР сводный каталог.xlsx: список фильмов (доп.)</t>
        </is>
      </c>
      <c r="M1505" s="2">
        <f>HYPERLINK("https://ru.wikipedia.org/w/index.php?search=%D0%9F%D0%B0%D0%BC%D1%8F%D1%82%D1%8C%20%D0%BF%D0%BE%D0%BA%D0%BE%D0%BB%D0%B5%D0%BD%D0%B8%D1%8F%201963%20%D1%84%D0%B8%D0%BB%D1%8C%D0%BC","искать")</f>
        <v/>
      </c>
      <c r="N1505" s="3" t="n"/>
      <c r="O1505" s="2" t="n"/>
      <c r="P1505" s="2" t="n"/>
    </row>
    <row r="1506">
      <c r="A1506" s="2" t="n">
        <v>1505</v>
      </c>
      <c r="B1506" s="2" t="inlineStr">
        <is>
          <t>не сюжет</t>
        </is>
      </c>
      <c r="C1506" s="2" t="n">
        <v>11661</v>
      </c>
      <c r="D1506" s="3" t="inlineStr">
        <is>
          <t>Веселая карусель n 4. Хомяк-молчун</t>
        </is>
      </c>
      <c r="E1506" s="2" t="n">
        <v>1972</v>
      </c>
      <c r="F1506" s="2" t="inlineStr">
        <is>
          <t>мультфильм</t>
        </is>
      </c>
      <c r="G1506" s="2" t="inlineStr">
        <is>
          <t>Союзмультфильм</t>
        </is>
      </c>
      <c r="H1506" s="2" t="n">
        <v>58</v>
      </c>
      <c r="I1506" s="2" t="inlineStr"/>
      <c r="J1506" s="2" t="inlineStr">
        <is>
          <t>да</t>
        </is>
      </c>
      <c r="K1506" s="3" t="inlineStr">
        <is>
          <t>Сюжет из альманаха «ВЕСЕЛАЯ КАРУСЕЛЬ N 4»
По сказке Э.Шима</t>
        </is>
      </c>
      <c r="L1506" s="2" t="inlineStr">
        <is>
          <t>https://animator.ru/db/?p=show_film&amp;fid=2575</t>
        </is>
      </c>
      <c r="M1506" s="2">
        <f>HYPERLINK("https://ru.wikipedia.org/w/index.php?search=%D0%92%D0%B5%D1%81%D0%B5%D0%BB%D0%B0%D1%8F%20%D0%BA%D0%B0%D1%80%D1%83%D1%81%D0%B5%D0%BB%D1%8C%20n%204.%20%D0%A5%D0%BE%D0%BC%D1%8F%D0%BA-%D0%BC%D0%BE%D0%BB%D1%87%D1%83%D0%BD%201972%20%D1%84%D0%B8%D0%BB%D1%8C%D0%BC","искать")</f>
        <v/>
      </c>
      <c r="N1506" s="3" t="n"/>
      <c r="O1506" s="2" t="n"/>
      <c r="P1506" s="2" t="n"/>
    </row>
    <row r="1507">
      <c r="A1507" s="2" t="n">
        <v>1506</v>
      </c>
      <c r="B1507" s="2" t="inlineStr">
        <is>
          <t>не сюжет</t>
        </is>
      </c>
      <c r="C1507" s="2" t="n">
        <v>11841</v>
      </c>
      <c r="D1507" s="3" t="inlineStr">
        <is>
          <t>Мелочи жизни</t>
        </is>
      </c>
      <c r="E1507" s="2" t="n">
        <v>1977</v>
      </c>
      <c r="F1507" s="2" t="inlineStr">
        <is>
          <t>мультфильм</t>
        </is>
      </c>
      <c r="G1507" s="2" t="inlineStr">
        <is>
          <t>Союзмультфильм</t>
        </is>
      </c>
      <c r="H1507" s="2" t="n">
        <v>58</v>
      </c>
      <c r="I1507" s="2" t="inlineStr"/>
      <c r="J1507" s="2" t="inlineStr">
        <is>
          <t>да</t>
        </is>
      </c>
      <c r="K1507" s="3" t="inlineStr">
        <is>
          <t>Две миниатюры, высмеивающие пьяниц и тех, кто им помогает.</t>
        </is>
      </c>
      <c r="L1507" s="2" t="inlineStr">
        <is>
          <t>https://animator.ru/db/?p=show_film&amp;fid=2756</t>
        </is>
      </c>
      <c r="M1507" s="2">
        <f>HYPERLINK("https://ru.wikipedia.org/w/index.php?search=%D0%9C%D0%B5%D0%BB%D0%BE%D1%87%D0%B8%20%D0%B6%D0%B8%D0%B7%D0%BD%D0%B8%201977%20%D1%84%D0%B8%D0%BB%D1%8C%D0%BC","искать")</f>
        <v/>
      </c>
      <c r="N1507" s="3" t="n"/>
      <c r="O1507" s="2" t="n"/>
      <c r="P1507" s="2" t="n"/>
    </row>
    <row r="1508">
      <c r="A1508" s="2" t="n">
        <v>1507</v>
      </c>
      <c r="B1508" s="2" t="inlineStr">
        <is>
          <t>не сюжет</t>
        </is>
      </c>
      <c r="C1508" s="2" t="n">
        <v>11875</v>
      </c>
      <c r="D1508" s="3" t="inlineStr">
        <is>
          <t>Легенды перуанских индейцев</t>
        </is>
      </c>
      <c r="E1508" s="2" t="n">
        <v>1978</v>
      </c>
      <c r="F1508" s="2" t="inlineStr">
        <is>
          <t>мультфильм</t>
        </is>
      </c>
      <c r="G1508" s="2" t="inlineStr">
        <is>
          <t>Союзмультфильм</t>
        </is>
      </c>
      <c r="H1508" s="2" t="n">
        <v>58</v>
      </c>
      <c r="I1508" s="2" t="inlineStr"/>
      <c r="J1508" s="2" t="inlineStr">
        <is>
          <t>да</t>
        </is>
      </c>
      <c r="K1508" s="3" t="inlineStr">
        <is>
          <t>Об искусстве и культуре древнего индейского племени Мочика</t>
        </is>
      </c>
      <c r="L1508" s="2" t="inlineStr">
        <is>
          <t>https://animator.ru/db/?p=show_film&amp;fid=2790</t>
        </is>
      </c>
      <c r="M1508" s="2">
        <f>HYPERLINK("https://ru.wikipedia.org/w/index.php?search=%D0%9B%D0%B5%D0%B3%D0%B5%D0%BD%D0%B4%D1%8B%20%D0%BF%D0%B5%D1%80%D1%83%D0%B0%D0%BD%D1%81%D0%BA%D0%B8%D1%85%20%D0%B8%D0%BD%D0%B4%D0%B5%D0%B9%D1%86%D0%B5%D0%B2%201978%20%D1%84%D0%B8%D0%BB%D1%8C%D0%BC","искать")</f>
        <v/>
      </c>
      <c r="N1508" s="3" t="n"/>
      <c r="O1508" s="2" t="n"/>
      <c r="P1508" s="2" t="n"/>
    </row>
    <row r="1509">
      <c r="A1509" s="2" t="n">
        <v>1508</v>
      </c>
      <c r="B1509" s="2" t="inlineStr">
        <is>
          <t>не сюжет</t>
        </is>
      </c>
      <c r="C1509" s="2" t="n">
        <v>12304</v>
      </c>
      <c r="D1509" s="3" t="inlineStr">
        <is>
          <t>По лунной дороге</t>
        </is>
      </c>
      <c r="E1509" s="2" t="n">
        <v>1991</v>
      </c>
      <c r="F1509" s="2" t="inlineStr">
        <is>
          <t>мультфильм</t>
        </is>
      </c>
      <c r="G1509" s="2" t="inlineStr">
        <is>
          <t>Союзмультфильм</t>
        </is>
      </c>
      <c r="H1509" s="2" t="n">
        <v>58</v>
      </c>
      <c r="I1509" s="2" t="inlineStr"/>
      <c r="J1509" s="2" t="inlineStr">
        <is>
          <t>да</t>
        </is>
      </c>
      <c r="K1509" s="3" t="inlineStr">
        <is>
          <t>В фильме использованы фрагменты Седьмой симфонии Бетховена</t>
        </is>
      </c>
      <c r="L1509" s="2" t="inlineStr">
        <is>
          <t>https://animator.ru/db/?p=show_film&amp;fid=3421</t>
        </is>
      </c>
      <c r="M1509" s="2">
        <f>HYPERLINK("https://ru.wikipedia.org/w/index.php?search=%D0%9F%D0%BE%20%D0%BB%D1%83%D0%BD%D0%BD%D0%BE%D0%B9%20%D0%B4%D0%BE%D1%80%D0%BE%D0%B3%D0%B5%201991%20%D1%84%D0%B8%D0%BB%D1%8C%D0%BC","искать")</f>
        <v/>
      </c>
      <c r="N1509" s="3" t="n"/>
      <c r="O1509" s="2" t="n"/>
      <c r="P1509" s="2" t="n"/>
    </row>
    <row r="1510">
      <c r="A1510" s="2" t="n">
        <v>1509</v>
      </c>
      <c r="B1510" s="2" t="inlineStr">
        <is>
          <t>не сюжет</t>
        </is>
      </c>
      <c r="C1510" s="2" t="n">
        <v>12387</v>
      </c>
      <c r="D1510" s="3" t="inlineStr">
        <is>
          <t>И сестра их Лыбедь</t>
        </is>
      </c>
      <c r="E1510" s="2" t="n">
        <v>1981</v>
      </c>
      <c r="F1510" s="2" t="inlineStr">
        <is>
          <t>мультфильм</t>
        </is>
      </c>
      <c r="G1510" s="2" t="inlineStr">
        <is>
          <t>КИЕВНАУЧФИЛЬМ</t>
        </is>
      </c>
      <c r="H1510" s="2" t="n">
        <v>58</v>
      </c>
      <c r="I1510" s="2" t="inlineStr"/>
      <c r="J1510" s="2" t="inlineStr">
        <is>
          <t>да</t>
        </is>
      </c>
      <c r="K1510" s="3" t="inlineStr">
        <is>
          <t>По мотивам легенды об основании Киева к 1500-летию города.</t>
        </is>
      </c>
      <c r="L1510" s="2" t="inlineStr">
        <is>
          <t>2026-10_мультфильмы_список_владельца.xlsx; https://animator.ru/db/?p=show_film&amp;fid=3558</t>
        </is>
      </c>
      <c r="M1510" s="2">
        <f>HYPERLINK("https://ru.wikipedia.org/w/index.php?search=%D0%98%20%D1%81%D0%B5%D1%81%D1%82%D1%80%D0%B0%20%D0%B8%D1%85%20%D0%9B%D1%8B%D0%B1%D0%B5%D0%B4%D1%8C%201981%20%D1%84%D0%B8%D0%BB%D1%8C%D0%BC","искать")</f>
        <v/>
      </c>
      <c r="N1510" s="3" t="n"/>
      <c r="O1510" s="2" t="n"/>
      <c r="P1510" s="2" t="n"/>
    </row>
    <row r="1511">
      <c r="A1511" s="2" t="n">
        <v>1510</v>
      </c>
      <c r="B1511" s="2" t="inlineStr">
        <is>
          <t>не сюжет</t>
        </is>
      </c>
      <c r="C1511" s="2" t="n">
        <v>12389</v>
      </c>
      <c r="D1511" s="3" t="inlineStr">
        <is>
          <t>Игра (1985)</t>
        </is>
      </c>
      <c r="E1511" s="2" t="n">
        <v>1985</v>
      </c>
      <c r="F1511" s="2" t="inlineStr">
        <is>
          <t>мультфильм</t>
        </is>
      </c>
      <c r="G1511" s="2" t="inlineStr">
        <is>
          <t>КИЕВНАУЧФИЛЬМ</t>
        </is>
      </c>
      <c r="H1511" s="2" t="n">
        <v>58</v>
      </c>
      <c r="I1511" s="2" t="inlineStr"/>
      <c r="J1511" s="2" t="inlineStr">
        <is>
          <t>да</t>
        </is>
      </c>
      <c r="K1511" s="3" t="inlineStr">
        <is>
          <t>МФ анимационных фильмов в Аннеси (Франция), 1987 -- Диплом</t>
        </is>
      </c>
      <c r="L1511" s="2" t="inlineStr">
        <is>
          <t>https://animator.ru/db/?p=show_film&amp;fid=3560</t>
        </is>
      </c>
      <c r="M1511" s="2">
        <f>HYPERLINK("https://ru.wikipedia.org/w/index.php?search=%D0%98%D0%B3%D1%80%D0%B0%20%281985%29%201985%20%D1%84%D0%B8%D0%BB%D1%8C%D0%BC","искать")</f>
        <v/>
      </c>
      <c r="N1511" s="3" t="n"/>
      <c r="O1511" s="2" t="n"/>
      <c r="P1511" s="2" t="n"/>
    </row>
    <row r="1512">
      <c r="A1512" s="2" t="n">
        <v>1511</v>
      </c>
      <c r="B1512" s="2" t="inlineStr">
        <is>
          <t>не сюжет</t>
        </is>
      </c>
      <c r="C1512" s="2" t="n">
        <v>12928</v>
      </c>
      <c r="D1512" s="3" t="inlineStr">
        <is>
          <t>Незнайка-музыкант</t>
        </is>
      </c>
      <c r="E1512" s="2" t="n">
        <v>1972</v>
      </c>
      <c r="F1512" s="2" t="inlineStr">
        <is>
          <t>мультфильм</t>
        </is>
      </c>
      <c r="G1512" s="2" t="inlineStr">
        <is>
          <t>ЭКРАН, ГРУЗИЯ-ФИЛЬМ - АО</t>
        </is>
      </c>
      <c r="H1512" s="2" t="n">
        <v>58</v>
      </c>
      <c r="I1512" s="2" t="inlineStr"/>
      <c r="J1512" s="2" t="inlineStr">
        <is>
          <t>да</t>
        </is>
      </c>
      <c r="K1512" s="3" t="inlineStr">
        <is>
          <t>Восьмой фильм из серии "Приключения Незнайки и его друзей"</t>
        </is>
      </c>
      <c r="L1512" s="2" t="inlineStr">
        <is>
          <t>2026-10_мультфильмы_список_владельца.xlsx; https://animator.ru/db/?p=show_film&amp;fid=4158</t>
        </is>
      </c>
      <c r="M1512" s="2">
        <f>HYPERLINK("https://ru.wikipedia.org/w/index.php?search=%D0%9D%D0%B5%D0%B7%D0%BD%D0%B0%D0%B9%D0%BA%D0%B0-%D0%BC%D1%83%D0%B7%D1%8B%D0%BA%D0%B0%D0%BD%D1%82%201972%20%D1%84%D0%B8%D0%BB%D1%8C%D0%BC","искать")</f>
        <v/>
      </c>
      <c r="N1512" s="3" t="n"/>
      <c r="O1512" s="2" t="n"/>
      <c r="P1512" s="2" t="n"/>
    </row>
    <row r="1513">
      <c r="A1513" s="2" t="n">
        <v>1512</v>
      </c>
      <c r="B1513" s="2" t="inlineStr">
        <is>
          <t>не сюжет</t>
        </is>
      </c>
      <c r="C1513" s="2" t="n">
        <v>13071</v>
      </c>
      <c r="D1513" s="3" t="inlineStr">
        <is>
          <t>Золотое сито</t>
        </is>
      </c>
      <c r="E1513" s="2" t="n">
        <v>1975</v>
      </c>
      <c r="F1513" s="2" t="inlineStr">
        <is>
          <t>мультфильм</t>
        </is>
      </c>
      <c r="G1513" s="2" t="inlineStr">
        <is>
          <t>ГОСТЕЛЕРАДИО ЛАТВ. ССР ("ТЕЛЕФИЛЬМ-РИГА")</t>
        </is>
      </c>
      <c r="H1513" s="2" t="n">
        <v>58</v>
      </c>
      <c r="I1513" s="2" t="inlineStr"/>
      <c r="J1513" s="2" t="inlineStr">
        <is>
          <t>да</t>
        </is>
      </c>
      <c r="K1513" s="3" t="inlineStr">
        <is>
          <t>При участии ансамбля "Менуэт" под управлением Яниса Блюмса</t>
        </is>
      </c>
      <c r="L1513" s="2" t="inlineStr">
        <is>
          <t>https://animator.ru/db/?p=show_film&amp;fid=4303</t>
        </is>
      </c>
      <c r="M1513" s="2">
        <f>HYPERLINK("https://ru.wikipedia.org/w/index.php?search=%D0%97%D0%BE%D0%BB%D0%BE%D1%82%D0%BE%D0%B5%20%D1%81%D0%B8%D1%82%D0%BE%201975%20%D1%84%D0%B8%D0%BB%D1%8C%D0%BC","искать")</f>
        <v/>
      </c>
      <c r="N1513" s="3" t="n"/>
      <c r="O1513" s="2" t="n"/>
      <c r="P1513" s="2" t="n"/>
    </row>
    <row r="1514">
      <c r="A1514" s="2" t="n">
        <v>1513</v>
      </c>
      <c r="B1514" s="2" t="inlineStr">
        <is>
          <t>не сюжет</t>
        </is>
      </c>
      <c r="C1514" s="2" t="n">
        <v>13545</v>
      </c>
      <c r="D1514" s="3" t="inlineStr">
        <is>
          <t>Сборник микромультфильмов n 2. Любитель одиночества</t>
        </is>
      </c>
      <c r="E1514" s="2" t="n">
        <v>1971</v>
      </c>
      <c r="F1514" s="2" t="inlineStr">
        <is>
          <t>мультфильм</t>
        </is>
      </c>
      <c r="G1514" s="2" t="inlineStr">
        <is>
          <t>КАЗАХФИЛЬМ</t>
        </is>
      </c>
      <c r="H1514" s="2" t="n">
        <v>58</v>
      </c>
      <c r="I1514" s="2" t="inlineStr"/>
      <c r="J1514" s="2" t="inlineStr">
        <is>
          <t>да</t>
        </is>
      </c>
      <c r="K1514" s="3" t="inlineStr">
        <is>
          <t>Сюжет, осуждающий один и человеческих пороков - зазнайство</t>
        </is>
      </c>
      <c r="L1514" s="2" t="inlineStr">
        <is>
          <t>https://animator.ru/db/?p=show_film&amp;fid=4865</t>
        </is>
      </c>
      <c r="M1514" s="2">
        <f>HYPERLINK("https://ru.wikipedia.org/w/index.php?search=%D0%A1%D0%B1%D0%BE%D1%80%D0%BD%D0%B8%D0%BA%20%D0%BC%D0%B8%D0%BA%D1%80%D0%BE%D0%BC%D1%83%D0%BB%D1%8C%D1%82%D1%84%D0%B8%D0%BB%D1%8C%D0%BC%D0%BE%D0%B2%20n%202.%20%D0%9B%D1%8E%D0%B1%D0%B8%D1%82%D0%B5%D0%BB%D1%8C%20%D0%BE%D0%B4%D0%B8%D0%BD%D0%BE%D1%87%D0%B5%D1%81%D1%82%D0%B2%D0%B0%201971%20%D1%84%D0%B8%D0%BB%D1%8C%D0%BC","искать")</f>
        <v/>
      </c>
      <c r="N1514" s="3" t="n"/>
      <c r="O1514" s="2" t="n"/>
      <c r="P1514" s="2" t="n"/>
    </row>
    <row r="1515">
      <c r="A1515" s="2" t="n">
        <v>1514</v>
      </c>
      <c r="B1515" s="2" t="inlineStr">
        <is>
          <t>не сюжет</t>
        </is>
      </c>
      <c r="C1515" s="2" t="n">
        <v>13816</v>
      </c>
      <c r="D1515" s="3" t="inlineStr">
        <is>
          <t>Очень синяя борода</t>
        </is>
      </c>
      <c r="E1515" s="2" t="n">
        <v>1979</v>
      </c>
      <c r="F1515" s="2" t="inlineStr">
        <is>
          <t>мультфильм</t>
        </is>
      </c>
      <c r="G1515" s="2" t="inlineStr">
        <is>
          <t>ЭКРАН</t>
        </is>
      </c>
      <c r="H1515" s="2" t="n">
        <v>58</v>
      </c>
      <c r="I1515" s="2" t="inlineStr"/>
      <c r="J1515" s="2" t="inlineStr">
        <is>
          <t>да</t>
        </is>
      </c>
      <c r="K1515" s="3" t="inlineStr">
        <is>
          <t>Комическая мультопера по мотивам одноименной сказки Перро.</t>
        </is>
      </c>
      <c r="L1515" s="2" t="inlineStr">
        <is>
          <t>2026-10_мультфильмы_список_владельца.xlsx; https://animator.ru/db/?p=show_film&amp;fid=5209</t>
        </is>
      </c>
      <c r="M1515" s="2">
        <f>HYPERLINK("https://ru.wikipedia.org/w/index.php?search=%D0%9E%D1%87%D0%B5%D0%BD%D1%8C%20%D1%81%D0%B8%D0%BD%D1%8F%D1%8F%20%D0%B1%D0%BE%D1%80%D0%BE%D0%B4%D0%B0%201979%20%D1%84%D0%B8%D0%BB%D1%8C%D0%BC","искать")</f>
        <v/>
      </c>
      <c r="N1515" s="3" t="n"/>
      <c r="O1515" s="2" t="n"/>
      <c r="P1515" s="2" t="n"/>
    </row>
    <row r="1516">
      <c r="A1516" s="2" t="n">
        <v>1515</v>
      </c>
      <c r="B1516" s="2" t="inlineStr">
        <is>
          <t>не сюжет</t>
        </is>
      </c>
      <c r="C1516" s="2" t="n">
        <v>13819</v>
      </c>
      <c r="D1516" s="3" t="inlineStr">
        <is>
          <t>Паучок ананси</t>
        </is>
      </c>
      <c r="E1516" s="2" t="n">
        <v>1971</v>
      </c>
      <c r="F1516" s="2" t="inlineStr">
        <is>
          <t>мультфильм</t>
        </is>
      </c>
      <c r="G1516" s="2" t="inlineStr">
        <is>
          <t>ЭКРАН</t>
        </is>
      </c>
      <c r="H1516" s="2" t="n">
        <v>58</v>
      </c>
      <c r="I1516" s="2" t="inlineStr"/>
      <c r="J1516" s="2" t="inlineStr">
        <is>
          <t>да</t>
        </is>
      </c>
      <c r="K1516" s="3" t="inlineStr">
        <is>
          <t>Об умном и добром паучке Ананси - герое африканских сказок</t>
        </is>
      </c>
      <c r="L1516" s="2" t="inlineStr">
        <is>
          <t>https://animator.ru/db/?p=show_film&amp;fid=5212</t>
        </is>
      </c>
      <c r="M1516" s="2">
        <f>HYPERLINK("https://ru.wikipedia.org/w/index.php?search=%D0%9F%D0%B0%D1%83%D1%87%D0%BE%D0%BA%20%D0%B0%D0%BD%D0%B0%D0%BD%D1%81%D0%B8%201971%20%D1%84%D0%B8%D0%BB%D1%8C%D0%BC","искать")</f>
        <v/>
      </c>
      <c r="N1516" s="3" t="n"/>
      <c r="O1516" s="2" t="n"/>
      <c r="P1516" s="2" t="n"/>
    </row>
    <row r="1517">
      <c r="A1517" s="2" t="n">
        <v>1516</v>
      </c>
      <c r="B1517" s="2" t="inlineStr">
        <is>
          <t>не сюжет</t>
        </is>
      </c>
      <c r="C1517" s="2" t="n">
        <v>13852</v>
      </c>
      <c r="D1517" s="3" t="inlineStr">
        <is>
          <t>Незнайка-поэт</t>
        </is>
      </c>
      <c r="E1517" s="2" t="n">
        <v>1971</v>
      </c>
      <c r="F1517" s="2" t="inlineStr">
        <is>
          <t>мультфильм</t>
        </is>
      </c>
      <c r="G1517" s="2" t="inlineStr">
        <is>
          <t>ЭКРАН</t>
        </is>
      </c>
      <c r="H1517" s="2" t="n">
        <v>58</v>
      </c>
      <c r="I1517" s="2" t="inlineStr"/>
      <c r="J1517" s="2" t="inlineStr">
        <is>
          <t>да</t>
        </is>
      </c>
      <c r="K1517" s="3" t="inlineStr">
        <is>
          <t>Девятый фильм из серии "Приключения Незнайки и его друзей"</t>
        </is>
      </c>
      <c r="L1517" s="2" t="inlineStr">
        <is>
          <t>2026-10_мультфильмы_список_владельца.xlsx; https://animator.ru/db/?p=show_film&amp;fid=5245</t>
        </is>
      </c>
      <c r="M1517" s="2">
        <f>HYPERLINK("https://ru.wikipedia.org/w/index.php?search=%D0%9D%D0%B5%D0%B7%D0%BD%D0%B0%D0%B9%D0%BA%D0%B0-%D0%BF%D0%BE%D1%8D%D1%82%201971%20%D1%84%D0%B8%D0%BB%D1%8C%D0%BC","искать")</f>
        <v/>
      </c>
      <c r="N1517" s="3" t="n"/>
      <c r="O1517" s="2" t="n"/>
      <c r="P1517" s="2" t="n"/>
    </row>
    <row r="1518">
      <c r="A1518" s="2" t="n">
        <v>1517</v>
      </c>
      <c r="B1518" s="2" t="inlineStr">
        <is>
          <t>не сюжет</t>
        </is>
      </c>
      <c r="C1518" s="2" t="n">
        <v>13988</v>
      </c>
      <c r="D1518" s="3" t="inlineStr">
        <is>
          <t>Человек и его птица</t>
        </is>
      </c>
      <c r="E1518" s="2" t="n">
        <v>1975</v>
      </c>
      <c r="F1518" s="2" t="inlineStr">
        <is>
          <t>мультфильм</t>
        </is>
      </c>
      <c r="G1518" s="2" t="inlineStr">
        <is>
          <t>ЭКРАН</t>
        </is>
      </c>
      <c r="H1518" s="2" t="n">
        <v>58</v>
      </c>
      <c r="I1518" s="2" t="inlineStr"/>
      <c r="J1518" s="2" t="inlineStr">
        <is>
          <t>да</t>
        </is>
      </c>
      <c r="K1518" s="3" t="inlineStr">
        <is>
          <t>Об извечно нелегкой судьбе простого человека. Для взрослых</t>
        </is>
      </c>
      <c r="L1518" s="2" t="inlineStr">
        <is>
          <t>https://animator.ru/db/?p=show_film&amp;fid=5382</t>
        </is>
      </c>
      <c r="M1518" s="2">
        <f>HYPERLINK("https://ru.wikipedia.org/w/index.php?search=%D0%A7%D0%B5%D0%BB%D0%BE%D0%B2%D0%B5%D0%BA%20%D0%B8%20%D0%B5%D0%B3%D0%BE%20%D0%BF%D1%82%D0%B8%D1%86%D0%B0%201975%20%D1%84%D0%B8%D0%BB%D1%8C%D0%BC","искать")</f>
        <v/>
      </c>
      <c r="N1518" s="3" t="n"/>
      <c r="O1518" s="2" t="n"/>
      <c r="P1518" s="2" t="n"/>
    </row>
    <row r="1519">
      <c r="A1519" s="2" t="n">
        <v>1518</v>
      </c>
      <c r="B1519" s="2" t="inlineStr">
        <is>
          <t>не сюжет</t>
        </is>
      </c>
      <c r="C1519" s="2" t="n">
        <v>14147</v>
      </c>
      <c r="D1519" s="3" t="inlineStr">
        <is>
          <t>Песенка для всех</t>
        </is>
      </c>
      <c r="E1519" s="2" t="n">
        <v>1985</v>
      </c>
      <c r="F1519" s="2" t="inlineStr">
        <is>
          <t>мультфильм</t>
        </is>
      </c>
      <c r="G1519" s="2" t="inlineStr">
        <is>
          <t>САРАТОВТЕЛЕФИЛЬМ</t>
        </is>
      </c>
      <c r="H1519" s="2" t="n">
        <v>58</v>
      </c>
      <c r="I1519" s="2" t="inlineStr"/>
      <c r="J1519" s="2" t="inlineStr">
        <is>
          <t>да</t>
        </is>
      </c>
      <c r="K1519" s="3" t="inlineStr">
        <is>
          <t>Про песенку ослика, в которой каждому нашлось доброе слово</t>
        </is>
      </c>
      <c r="L1519" s="2" t="inlineStr">
        <is>
          <t>https://animator.ru/db/?p=show_film&amp;fid=5545</t>
        </is>
      </c>
      <c r="M1519" s="2">
        <f>HYPERLINK("https://ru.wikipedia.org/w/index.php?search=%D0%9F%D0%B5%D1%81%D0%B5%D0%BD%D0%BA%D0%B0%20%D0%B4%D0%BB%D1%8F%20%D0%B2%D1%81%D0%B5%D1%85%201985%20%D1%84%D0%B8%D0%BB%D1%8C%D0%BC","искать")</f>
        <v/>
      </c>
      <c r="N1519" s="3" t="n"/>
      <c r="O1519" s="2" t="n"/>
      <c r="P1519" s="2" t="n"/>
    </row>
    <row r="1520">
      <c r="A1520" s="2" t="n">
        <v>1519</v>
      </c>
      <c r="B1520" s="2" t="inlineStr">
        <is>
          <t>не сюжет</t>
        </is>
      </c>
      <c r="C1520" s="2" t="n">
        <v>14435</v>
      </c>
      <c r="D1520" s="3" t="inlineStr">
        <is>
          <t>События в трамвае</t>
        </is>
      </c>
      <c r="E1520" s="2" t="n">
        <v>1978</v>
      </c>
      <c r="F1520" s="2" t="inlineStr">
        <is>
          <t>мультфильм</t>
        </is>
      </c>
      <c r="G1520" s="2" t="inlineStr">
        <is>
          <t>Таллиннфильм</t>
        </is>
      </c>
      <c r="H1520" s="2" t="n">
        <v>58</v>
      </c>
      <c r="I1520" s="2" t="inlineStr"/>
      <c r="J1520" s="2" t="inlineStr">
        <is>
          <t>да</t>
        </is>
      </c>
      <c r="K1520" s="3" t="inlineStr">
        <is>
          <t>О веселых приключениях куклы-невидимки по имени Засыпайка.</t>
        </is>
      </c>
      <c r="L1520" s="2" t="inlineStr">
        <is>
          <t>https://animator.ru/db/?p=show_film&amp;fid=6683</t>
        </is>
      </c>
      <c r="M1520" s="2">
        <f>HYPERLINK("https://ru.wikipedia.org/w/index.php?search=%D0%A1%D0%BE%D0%B1%D1%8B%D1%82%D0%B8%D1%8F%20%D0%B2%20%D1%82%D1%80%D0%B0%D0%BC%D0%B2%D0%B0%D0%B5%201978%20%D1%84%D0%B8%D0%BB%D1%8C%D0%BC","искать")</f>
        <v/>
      </c>
      <c r="N1520" s="3" t="n"/>
      <c r="O1520" s="2" t="n"/>
      <c r="P1520" s="2" t="n"/>
    </row>
    <row r="1521">
      <c r="A1521" s="2" t="n">
        <v>1520</v>
      </c>
      <c r="B1521" s="2" t="inlineStr">
        <is>
          <t>не сюжет</t>
        </is>
      </c>
      <c r="C1521" s="2" t="n">
        <v>14436</v>
      </c>
      <c r="D1521" s="3" t="inlineStr">
        <is>
          <t>Шапка-невидимка</t>
        </is>
      </c>
      <c r="E1521" s="2" t="n">
        <v>1978</v>
      </c>
      <c r="F1521" s="2" t="inlineStr">
        <is>
          <t>мультфильм</t>
        </is>
      </c>
      <c r="G1521" s="2" t="inlineStr">
        <is>
          <t>ТАЛЛИННФИЛЬМ</t>
        </is>
      </c>
      <c r="H1521" s="2" t="n">
        <v>58</v>
      </c>
      <c r="I1521" s="2" t="inlineStr"/>
      <c r="J1521" s="2" t="inlineStr">
        <is>
          <t>да</t>
        </is>
      </c>
      <c r="K1521" s="3" t="inlineStr">
        <is>
          <t>О веселых приключениях куклы-невидимки по имени Засыпайка.</t>
        </is>
      </c>
      <c r="L1521" s="2" t="inlineStr">
        <is>
          <t>https://animator.ru/db/?p=show_film&amp;fid=6684</t>
        </is>
      </c>
      <c r="M1521" s="2">
        <f>HYPERLINK("https://ru.wikipedia.org/w/index.php?search=%D0%A8%D0%B0%D0%BF%D0%BA%D0%B0-%D0%BD%D0%B5%D0%B2%D0%B8%D0%B4%D0%B8%D0%BC%D0%BA%D0%B0%201978%20%D1%84%D0%B8%D0%BB%D1%8C%D0%BC","искать")</f>
        <v/>
      </c>
      <c r="N1521" s="3" t="n"/>
      <c r="O1521" s="2" t="n"/>
      <c r="P1521" s="2" t="n"/>
    </row>
    <row r="1522">
      <c r="A1522" s="2" t="n">
        <v>1521</v>
      </c>
      <c r="B1522" s="2" t="inlineStr">
        <is>
          <t>не сюжет</t>
        </is>
      </c>
      <c r="C1522" s="2" t="n">
        <v>14440</v>
      </c>
      <c r="D1522" s="3" t="inlineStr">
        <is>
          <t>Сказки-засыпайки. Серия 7 "Три желания"</t>
        </is>
      </c>
      <c r="E1522" s="2" t="n">
        <v>1982</v>
      </c>
      <c r="F1522" s="2" t="inlineStr">
        <is>
          <t>мультфильм</t>
        </is>
      </c>
      <c r="G1522" s="2" t="n"/>
      <c r="H1522" s="2" t="n">
        <v>58</v>
      </c>
      <c r="I1522" s="2" t="inlineStr"/>
      <c r="J1522" s="2" t="inlineStr">
        <is>
          <t>да</t>
        </is>
      </c>
      <c r="K1522" s="3" t="inlineStr">
        <is>
          <t>О веселых приключениях куклы-невидимки по имени Засыпайка.</t>
        </is>
      </c>
      <c r="L1522" s="2" t="inlineStr">
        <is>
          <t>https://animator.ru/db/?p=show_film&amp;fid=6688</t>
        </is>
      </c>
      <c r="M1522" s="2">
        <f>HYPERLINK("https://ru.wikipedia.org/w/index.php?search=%D0%A1%D0%BA%D0%B0%D0%B7%D0%BA%D0%B8-%D0%B7%D0%B0%D1%81%D1%8B%D0%BF%D0%B0%D0%B9%D0%BA%D0%B8.%20%D0%A1%D0%B5%D1%80%D0%B8%D1%8F%207%20%22%D0%A2%D1%80%D0%B8%20%D0%B6%D0%B5%D0%BB%D0%B0%D0%BD%D0%B8%D1%8F%22%201982%20%D1%84%D0%B8%D0%BB%D1%8C%D0%BC","искать")</f>
        <v/>
      </c>
      <c r="N1522" s="3" t="n"/>
      <c r="O1522" s="2" t="n"/>
      <c r="P1522" s="2" t="n"/>
    </row>
    <row r="1523">
      <c r="A1523" s="2" t="n">
        <v>1522</v>
      </c>
      <c r="B1523" s="2" t="inlineStr">
        <is>
          <t>не сюжет</t>
        </is>
      </c>
      <c r="C1523" s="2" t="n">
        <v>7802</v>
      </c>
      <c r="D1523" s="3" t="inlineStr">
        <is>
          <t>Лето в Журавлином</t>
        </is>
      </c>
      <c r="E1523" s="2" t="n">
        <v>1974</v>
      </c>
      <c r="F1523" s="2" t="inlineStr">
        <is>
          <t>телефильм</t>
        </is>
      </c>
      <c r="G1523" s="2" t="n"/>
      <c r="H1523" s="2" t="n">
        <v>59</v>
      </c>
      <c r="I1523" s="2" t="inlineStr"/>
      <c r="J1523" s="2" t="inlineStr">
        <is>
          <t>да</t>
        </is>
      </c>
      <c r="K1523" s="3" t="inlineStr">
        <is>
          <t>По роману Д.И.Бедзика. Посвящен труженикам колхозных полей.</t>
        </is>
      </c>
      <c r="L1523" s="2" t="inlineStr">
        <is>
          <t>Кино_СССР сводный каталог.xlsx: список телефильмов</t>
        </is>
      </c>
      <c r="M1523" s="2">
        <f>HYPERLINK("https://ru.wikipedia.org/w/index.php?search=%D0%9B%D0%B5%D1%82%D0%BE%20%D0%B2%20%D0%96%D1%83%D1%80%D0%B0%D0%B2%D0%BB%D0%B8%D0%BD%D0%BE%D0%BC%201974%20%D1%84%D0%B8%D0%BB%D1%8C%D0%BC","искать")</f>
        <v/>
      </c>
      <c r="N1523" s="3" t="n"/>
      <c r="O1523" s="2" t="n"/>
      <c r="P1523" s="2" t="n"/>
    </row>
    <row r="1524">
      <c r="A1524" s="2" t="n">
        <v>1523</v>
      </c>
      <c r="B1524" s="2" t="inlineStr">
        <is>
          <t>не сюжет</t>
        </is>
      </c>
      <c r="C1524" s="2" t="n">
        <v>8929</v>
      </c>
      <c r="D1524" s="3" t="inlineStr">
        <is>
          <t>Пламя гор</t>
        </is>
      </c>
      <c r="E1524" s="2" t="n">
        <v>1931</v>
      </c>
      <c r="F1524" s="2" t="inlineStr">
        <is>
          <t>кинофильм</t>
        </is>
      </c>
      <c r="G1524" s="2" t="n"/>
      <c r="H1524" s="2" t="n">
        <v>59</v>
      </c>
      <c r="I1524" s="2" t="inlineStr"/>
      <c r="J1524" s="2" t="inlineStr">
        <is>
          <t>да</t>
        </is>
      </c>
      <c r="K1524" s="3" t="inlineStr">
        <is>
          <t>Фильм был запрещен из-за яркой антипольской направленности.</t>
        </is>
      </c>
      <c r="L1524" s="2" t="inlineStr">
        <is>
          <t>Кино_СССР сводный каталог.xlsx: список фильмов (доп.)</t>
        </is>
      </c>
      <c r="M1524" s="2">
        <f>HYPERLINK("https://ru.wikipedia.org/w/index.php?search=%D0%9F%D0%BB%D0%B0%D0%BC%D1%8F%20%D0%B3%D0%BE%D1%80%201931%20%D1%84%D0%B8%D0%BB%D1%8C%D0%BC","искать")</f>
        <v/>
      </c>
      <c r="N1524" s="3" t="n"/>
      <c r="O1524" s="2" t="n"/>
      <c r="P1524" s="2" t="n"/>
    </row>
    <row r="1525">
      <c r="A1525" s="2" t="n">
        <v>1524</v>
      </c>
      <c r="B1525" s="2" t="inlineStr">
        <is>
          <t>не сюжет</t>
        </is>
      </c>
      <c r="C1525" s="2" t="n">
        <v>9649</v>
      </c>
      <c r="D1525" s="3" t="inlineStr">
        <is>
          <t>Следствие продолжается</t>
        </is>
      </c>
      <c r="E1525" s="2" t="n">
        <v>1958</v>
      </c>
      <c r="F1525" s="2" t="inlineStr">
        <is>
          <t>кинофильм</t>
        </is>
      </c>
      <c r="G1525" s="2" t="n"/>
      <c r="H1525" s="2" t="n">
        <v>59</v>
      </c>
      <c r="I1525" s="2" t="inlineStr"/>
      <c r="J1525" s="2" t="inlineStr">
        <is>
          <t>да</t>
        </is>
      </c>
      <c r="K1525" s="3" t="inlineStr">
        <is>
          <t>О методах расследования хищений государственного имущества.</t>
        </is>
      </c>
      <c r="L1525" s="2" t="inlineStr">
        <is>
          <t>Кино_СССР сводный каталог.xlsx: список фильмов (доп.)</t>
        </is>
      </c>
      <c r="M1525" s="2">
        <f>HYPERLINK("https://ru.wikipedia.org/w/index.php?search=%D0%A1%D0%BB%D0%B5%D0%B4%D1%81%D1%82%D0%B2%D0%B8%D0%B5%20%D0%BF%D1%80%D0%BE%D0%B4%D0%BE%D0%BB%D0%B6%D0%B0%D0%B5%D1%82%D1%81%D1%8F%201958%20%D1%84%D0%B8%D0%BB%D1%8C%D0%BC","искать")</f>
        <v/>
      </c>
      <c r="N1525" s="3" t="n"/>
      <c r="O1525" s="2" t="n"/>
      <c r="P1525" s="2" t="n"/>
    </row>
    <row r="1526">
      <c r="A1526" s="2" t="n">
        <v>1525</v>
      </c>
      <c r="B1526" s="2" t="inlineStr">
        <is>
          <t>не сюжет</t>
        </is>
      </c>
      <c r="C1526" s="2" t="n">
        <v>10045</v>
      </c>
      <c r="D1526" s="3" t="inlineStr">
        <is>
          <t>Двойник</t>
        </is>
      </c>
      <c r="E1526" s="2" t="n">
        <v>1990</v>
      </c>
      <c r="F1526" s="2" t="inlineStr">
        <is>
          <t>кинофильм</t>
        </is>
      </c>
      <c r="G1526" s="2" t="inlineStr">
        <is>
          <t>Литовская киностудия</t>
        </is>
      </c>
      <c r="H1526" s="2" t="n">
        <v>59</v>
      </c>
      <c r="I1526" s="2" t="inlineStr"/>
      <c r="J1526" s="2" t="inlineStr">
        <is>
          <t>да</t>
        </is>
      </c>
      <c r="K1526" s="3" t="inlineStr">
        <is>
          <t>По мотивам произведения Римантаса Гавялиса "Лицо человека".</t>
        </is>
      </c>
      <c r="L1526" s="2" t="inlineStr">
        <is>
          <t>https://www.kino-teatr.ru/short/movie/sov/107813/annot/</t>
        </is>
      </c>
      <c r="M1526" s="2">
        <f>HYPERLINK("https://ru.wikipedia.org/w/index.php?search=%D0%94%D0%B2%D0%BE%D0%B9%D0%BD%D0%B8%D0%BA%201990%20%D1%84%D0%B8%D0%BB%D1%8C%D0%BC","искать")</f>
        <v/>
      </c>
      <c r="N1526" s="3" t="n"/>
      <c r="O1526" s="2" t="n"/>
      <c r="P1526" s="2" t="n"/>
    </row>
    <row r="1527">
      <c r="A1527" s="2" t="n">
        <v>1526</v>
      </c>
      <c r="B1527" s="2" t="inlineStr">
        <is>
          <t>не сюжет</t>
        </is>
      </c>
      <c r="C1527" s="2" t="n">
        <v>10122</v>
      </c>
      <c r="D1527" s="3" t="inlineStr">
        <is>
          <t>Марюта ищет жениха</t>
        </is>
      </c>
      <c r="E1527" s="2" t="n">
        <v>1964</v>
      </c>
      <c r="F1527" s="2" t="inlineStr">
        <is>
          <t>фильм-спектакль</t>
        </is>
      </c>
      <c r="G1527" s="2" t="inlineStr">
        <is>
          <t>Центральное телевидение</t>
        </is>
      </c>
      <c r="H1527" s="2" t="n">
        <v>59</v>
      </c>
      <c r="I1527" s="2" t="inlineStr"/>
      <c r="J1527" s="2" t="inlineStr">
        <is>
          <t>да</t>
        </is>
      </c>
      <c r="K1527" s="3" t="inlineStr">
        <is>
          <t>Водевиль Лии Гераскиной в исполнении актеров театра Сатиры.</t>
        </is>
      </c>
      <c r="L1527" s="2" t="inlineStr">
        <is>
          <t>https://www.kino-teatr.ru/teatr/movie/136291/annot/</t>
        </is>
      </c>
      <c r="M1527" s="2">
        <f>HYPERLINK("https://ru.wikipedia.org/w/index.php?search=%D0%9C%D0%B0%D1%80%D1%8E%D1%82%D0%B0%20%D0%B8%D1%89%D0%B5%D1%82%20%D0%B6%D0%B5%D0%BD%D0%B8%D1%85%D0%B0%201964%20%D1%84%D0%B8%D0%BB%D1%8C%D0%BC","искать")</f>
        <v/>
      </c>
      <c r="N1527" s="3" t="n"/>
      <c r="O1527" s="2" t="n"/>
      <c r="P1527" s="2" t="n"/>
    </row>
    <row r="1528">
      <c r="A1528" s="2" t="n">
        <v>1527</v>
      </c>
      <c r="B1528" s="2" t="inlineStr">
        <is>
          <t>не сюжет</t>
        </is>
      </c>
      <c r="C1528" s="2" t="n">
        <v>10604</v>
      </c>
      <c r="D1528" s="3" t="inlineStr">
        <is>
          <t>Граф Люксембург</t>
        </is>
      </c>
      <c r="E1528" s="2" t="n">
        <v>1975</v>
      </c>
      <c r="F1528" s="2" t="inlineStr">
        <is>
          <t>фильм-спектакль</t>
        </is>
      </c>
      <c r="G1528" s="2" t="inlineStr">
        <is>
          <t>ЦТ</t>
        </is>
      </c>
      <c r="H1528" s="2" t="n">
        <v>59</v>
      </c>
      <c r="I1528" s="2" t="inlineStr"/>
      <c r="J1528" s="2" t="inlineStr">
        <is>
          <t>да</t>
        </is>
      </c>
      <c r="K1528" s="3" t="inlineStr">
        <is>
          <t>Оперетта Ф.Легара в постановке Московского театра оперетты.</t>
        </is>
      </c>
      <c r="L1528" s="2" t="inlineStr">
        <is>
          <t>https://www.kino-teatr.ru/teatr/movie/89761/annot/</t>
        </is>
      </c>
      <c r="M1528" s="2">
        <f>HYPERLINK("https://ru.wikipedia.org/w/index.php?search=%D0%93%D1%80%D0%B0%D1%84%20%D0%9B%D1%8E%D0%BA%D1%81%D0%B5%D0%BC%D0%B1%D1%83%D1%80%D0%B3%201975%20%D1%84%D0%B8%D0%BB%D1%8C%D0%BC","искать")</f>
        <v/>
      </c>
      <c r="N1528" s="3" t="n"/>
      <c r="O1528" s="2" t="n"/>
      <c r="P1528" s="2" t="n"/>
    </row>
    <row r="1529">
      <c r="A1529" s="2" t="n">
        <v>1528</v>
      </c>
      <c r="B1529" s="2" t="inlineStr">
        <is>
          <t>не сюжет</t>
        </is>
      </c>
      <c r="C1529" s="2" t="n">
        <v>11665</v>
      </c>
      <c r="D1529" s="3" t="inlineStr">
        <is>
          <t>Волшебная палочка</t>
        </is>
      </c>
      <c r="E1529" s="2" t="n">
        <v>1972</v>
      </c>
      <c r="F1529" s="2" t="inlineStr">
        <is>
          <t>мультфильм</t>
        </is>
      </c>
      <c r="G1529" s="2" t="inlineStr">
        <is>
          <t>Союзмультфильм</t>
        </is>
      </c>
      <c r="H1529" s="2" t="n">
        <v>59</v>
      </c>
      <c r="I1529" s="2" t="inlineStr"/>
      <c r="J1529" s="2" t="inlineStr">
        <is>
          <t>да</t>
        </is>
      </c>
      <c r="K1529" s="3" t="inlineStr">
        <is>
          <t>В фильме использованы сочинения школьников младших классов.</t>
        </is>
      </c>
      <c r="L1529" s="2" t="inlineStr">
        <is>
          <t>2026-10_мультфильмы_список_владельца.xlsx; https://animator.ru/db/?p=show_film&amp;fid=2579</t>
        </is>
      </c>
      <c r="M1529" s="2">
        <f>HYPERLINK("https://ru.wikipedia.org/w/index.php?search=%D0%92%D0%BE%D0%BB%D1%88%D0%B5%D0%B1%D0%BD%D0%B0%D1%8F%20%D0%BF%D0%B0%D0%BB%D0%BE%D1%87%D0%BA%D0%B0%201972%20%D1%84%D0%B8%D0%BB%D1%8C%D0%BC","искать")</f>
        <v/>
      </c>
      <c r="N1529" s="3" t="n"/>
      <c r="O1529" s="2" t="n"/>
      <c r="P1529" s="2" t="n"/>
    </row>
    <row r="1530">
      <c r="A1530" s="2" t="n">
        <v>1529</v>
      </c>
      <c r="B1530" s="2" t="inlineStr">
        <is>
          <t>не сюжет</t>
        </is>
      </c>
      <c r="C1530" s="2" t="n">
        <v>11794</v>
      </c>
      <c r="D1530" s="3" t="inlineStr">
        <is>
          <t>Детский альбом</t>
        </is>
      </c>
      <c r="E1530" s="2" t="n">
        <v>1976</v>
      </c>
      <c r="F1530" s="2" t="inlineStr">
        <is>
          <t>мультфильм</t>
        </is>
      </c>
      <c r="G1530" s="2" t="inlineStr">
        <is>
          <t>Союзмультфильм</t>
        </is>
      </c>
      <c r="H1530" s="2" t="n">
        <v>59</v>
      </c>
      <c r="I1530" s="2" t="inlineStr"/>
      <c r="J1530" s="2" t="inlineStr">
        <is>
          <t>да</t>
        </is>
      </c>
      <c r="K1530" s="3" t="inlineStr">
        <is>
          <t>На музыку фортепьянных пьес "Детского альбома" Чайковского.</t>
        </is>
      </c>
      <c r="L1530" s="2" t="inlineStr">
        <is>
          <t>2026-10_мультфильмы_список_владельца.xlsx; https://animator.ru/db/?p=show_film&amp;fid=2708</t>
        </is>
      </c>
      <c r="M1530" s="2">
        <f>HYPERLINK("https://ru.wikipedia.org/w/index.php?search=%D0%94%D0%B5%D1%82%D1%81%D0%BA%D0%B8%D0%B9%20%D0%B0%D0%BB%D1%8C%D0%B1%D0%BE%D0%BC%201976%20%D1%84%D0%B8%D0%BB%D1%8C%D0%BC","искать")</f>
        <v/>
      </c>
      <c r="N1530" s="3" t="n"/>
      <c r="O1530" s="2" t="n"/>
      <c r="P1530" s="2" t="n"/>
    </row>
    <row r="1531">
      <c r="A1531" s="2" t="n">
        <v>1530</v>
      </c>
      <c r="B1531" s="2" t="inlineStr">
        <is>
          <t>не сюжет</t>
        </is>
      </c>
      <c r="C1531" s="2" t="n">
        <v>12132</v>
      </c>
      <c r="D1531" s="3" t="inlineStr">
        <is>
          <t>Путешествие</t>
        </is>
      </c>
      <c r="E1531" s="2" t="n">
        <v>1989</v>
      </c>
      <c r="F1531" s="2" t="inlineStr">
        <is>
          <t>мультфильм</t>
        </is>
      </c>
      <c r="G1531" s="2" t="inlineStr">
        <is>
          <t>Союзмультфильм</t>
        </is>
      </c>
      <c r="H1531" s="2" t="n">
        <v>59</v>
      </c>
      <c r="I1531" s="2" t="inlineStr"/>
      <c r="J1531" s="2" t="inlineStr">
        <is>
          <t>да</t>
        </is>
      </c>
      <c r="K1531" s="3" t="inlineStr">
        <is>
          <t>По мотивам рассказа Даниила Хармса "Во-первых и во-вторых".</t>
        </is>
      </c>
      <c r="L1531" s="2" t="inlineStr">
        <is>
          <t>2026-10_мультфильмы_список_владельца.xlsx; https://animator.ru/db/?p=show_film&amp;fid=3248</t>
        </is>
      </c>
      <c r="M1531" s="2">
        <f>HYPERLINK("https://ru.wikipedia.org/w/index.php?search=%D0%9F%D1%83%D1%82%D0%B5%D1%88%D0%B5%D1%81%D1%82%D0%B2%D0%B8%D0%B5%201989%20%D1%84%D0%B8%D0%BB%D1%8C%D0%BC","искать")</f>
        <v/>
      </c>
      <c r="N1531" s="3" t="n"/>
      <c r="O1531" s="2" t="n"/>
      <c r="P1531" s="2" t="n"/>
    </row>
    <row r="1532">
      <c r="A1532" s="2" t="n">
        <v>1531</v>
      </c>
      <c r="B1532" s="2" t="inlineStr">
        <is>
          <t>не сюжет</t>
        </is>
      </c>
      <c r="C1532" s="2" t="n">
        <v>12241</v>
      </c>
      <c r="D1532" s="3" t="inlineStr">
        <is>
          <t>Заяц, который любил давать советы</t>
        </is>
      </c>
      <c r="E1532" s="2" t="n">
        <v>1988</v>
      </c>
      <c r="F1532" s="2" t="inlineStr">
        <is>
          <t>мультфильм</t>
        </is>
      </c>
      <c r="G1532" s="2" t="inlineStr">
        <is>
          <t>Союзмультфильм</t>
        </is>
      </c>
      <c r="H1532" s="2" t="n">
        <v>59</v>
      </c>
      <c r="I1532" s="2" t="inlineStr"/>
      <c r="J1532" s="2" t="inlineStr">
        <is>
          <t>да</t>
        </is>
      </c>
      <c r="K1532" s="3" t="inlineStr">
        <is>
          <t>Эксцентрическая комедия, высмеивающая глупость и невежество</t>
        </is>
      </c>
      <c r="L1532" s="2" t="inlineStr">
        <is>
          <t>https://animator.ru/db/?p=show_film&amp;fid=3358</t>
        </is>
      </c>
      <c r="M1532" s="2">
        <f>HYPERLINK("https://ru.wikipedia.org/w/index.php?search=%D0%97%D0%B0%D1%8F%D1%86%2C%20%D0%BA%D0%BE%D1%82%D0%BE%D1%80%D1%8B%D0%B9%20%D0%BB%D1%8E%D0%B1%D0%B8%D0%BB%20%D0%B4%D0%B0%D0%B2%D0%B0%D1%82%D1%8C%20%D1%81%D0%BE%D0%B2%D0%B5%D1%82%D1%8B%201988%20%D1%84%D0%B8%D0%BB%D1%8C%D0%BC","искать")</f>
        <v/>
      </c>
      <c r="N1532" s="3" t="n"/>
      <c r="O1532" s="2" t="n"/>
      <c r="P1532" s="2" t="n"/>
    </row>
    <row r="1533">
      <c r="A1533" s="2" t="n">
        <v>1532</v>
      </c>
      <c r="B1533" s="2" t="inlineStr">
        <is>
          <t>не сюжет</t>
        </is>
      </c>
      <c r="C1533" s="2" t="n">
        <v>12476</v>
      </c>
      <c r="D1533" s="3" t="inlineStr">
        <is>
          <t>Ночные капитаны</t>
        </is>
      </c>
      <c r="E1533" s="2" t="n">
        <v>1978</v>
      </c>
      <c r="F1533" s="2" t="inlineStr">
        <is>
          <t>мультфильм</t>
        </is>
      </c>
      <c r="G1533" s="2" t="inlineStr">
        <is>
          <t>КИЕВНАУЧФИЛЬМ</t>
        </is>
      </c>
      <c r="H1533" s="2" t="n">
        <v>59</v>
      </c>
      <c r="I1533" s="2" t="inlineStr"/>
      <c r="J1533" s="2" t="inlineStr">
        <is>
          <t>да</t>
        </is>
      </c>
      <c r="K1533" s="3" t="inlineStr">
        <is>
          <t>Состоит из двух сюжетов: "Четыре коня" и "Ночные капитаны".</t>
        </is>
      </c>
      <c r="L1533" s="2" t="inlineStr">
        <is>
          <t>2026-10_мультфильмы_список_владельца.xlsx; https://animator.ru/db/?p=show_film&amp;fid=3651</t>
        </is>
      </c>
      <c r="M1533" s="2">
        <f>HYPERLINK("https://ru.wikipedia.org/w/index.php?search=%D0%9D%D0%BE%D1%87%D0%BD%D1%8B%D0%B5%20%D0%BA%D0%B0%D0%BF%D0%B8%D1%82%D0%B0%D0%BD%D1%8B%201978%20%D1%84%D0%B8%D0%BB%D1%8C%D0%BC","искать")</f>
        <v/>
      </c>
      <c r="N1533" s="3" t="n"/>
      <c r="O1533" s="2" t="n"/>
      <c r="P1533" s="2" t="n"/>
    </row>
    <row r="1534">
      <c r="A1534" s="2" t="n">
        <v>1533</v>
      </c>
      <c r="B1534" s="2" t="inlineStr">
        <is>
          <t>не сюжет</t>
        </is>
      </c>
      <c r="C1534" s="2" t="n">
        <v>12626</v>
      </c>
      <c r="D1534" s="3" t="inlineStr">
        <is>
          <t>СОБАКОДРОМ ("Фитиль" N 294)</t>
        </is>
      </c>
      <c r="E1534" s="2" t="n">
        <v>1986</v>
      </c>
      <c r="F1534" s="2" t="inlineStr">
        <is>
          <t>мультфильм</t>
        </is>
      </c>
      <c r="G1534" s="2" t="inlineStr">
        <is>
          <t>Союзмультфильм</t>
        </is>
      </c>
      <c r="H1534" s="2" t="n">
        <v>59</v>
      </c>
      <c r="I1534" s="2" t="inlineStr"/>
      <c r="J1534" s="2" t="inlineStr">
        <is>
          <t>да</t>
        </is>
      </c>
      <c r="K1534" s="3" t="inlineStr">
        <is>
          <t>О людях, использующих служебное положение в корыстных целях</t>
        </is>
      </c>
      <c r="L1534" s="2" t="inlineStr">
        <is>
          <t>https://animator.ru/db/?p=show_film&amp;fid=3806</t>
        </is>
      </c>
      <c r="M1534" s="2">
        <f>HYPERLINK("https://ru.wikipedia.org/w/index.php?search=%D0%A1%D0%9E%D0%91%D0%90%D0%9A%D0%9E%D0%94%D0%A0%D0%9E%D0%9C%20%28%22%D0%A4%D0%B8%D1%82%D0%B8%D0%BB%D1%8C%22%20N%20294%29%201986%20%D1%84%D0%B8%D0%BB%D1%8C%D0%BC","искать")</f>
        <v/>
      </c>
      <c r="N1534" s="3" t="n"/>
      <c r="O1534" s="2" t="n"/>
      <c r="P1534" s="2" t="n"/>
    </row>
    <row r="1535">
      <c r="A1535" s="2" t="n">
        <v>1534</v>
      </c>
      <c r="B1535" s="2" t="inlineStr">
        <is>
          <t>не сюжет</t>
        </is>
      </c>
      <c r="C1535" s="2" t="n">
        <v>13129</v>
      </c>
      <c r="D1535" s="3" t="inlineStr">
        <is>
          <t>Святое воскресенье</t>
        </is>
      </c>
      <c r="E1535" s="2" t="n">
        <v>1989</v>
      </c>
      <c r="F1535" s="2" t="inlineStr">
        <is>
          <t>мультфильм</t>
        </is>
      </c>
      <c r="G1535" s="2" t="inlineStr">
        <is>
          <t>МОЛДОВА-ФИЛЬМ</t>
        </is>
      </c>
      <c r="H1535" s="2" t="n">
        <v>59</v>
      </c>
      <c r="I1535" s="2" t="inlineStr"/>
      <c r="J1535" s="2" t="inlineStr">
        <is>
          <t>да</t>
        </is>
      </c>
      <c r="K1535" s="3" t="inlineStr">
        <is>
          <t>Чтобы выжить, Человек должен спасать погубленную им Природу</t>
        </is>
      </c>
      <c r="L1535" s="2" t="inlineStr">
        <is>
          <t>https://animator.ru/db/?p=show_film&amp;fid=4361</t>
        </is>
      </c>
      <c r="M1535" s="2">
        <f>HYPERLINK("https://ru.wikipedia.org/w/index.php?search=%D0%A1%D0%B2%D1%8F%D1%82%D0%BE%D0%B5%20%D0%B2%D0%BE%D1%81%D0%BA%D1%80%D0%B5%D1%81%D0%B5%D0%BD%D1%8C%D0%B5%201989%20%D1%84%D0%B8%D0%BB%D1%8C%D0%BC","искать")</f>
        <v/>
      </c>
      <c r="N1535" s="3" t="n"/>
      <c r="O1535" s="2" t="n"/>
      <c r="P1535" s="2" t="n"/>
    </row>
    <row r="1536">
      <c r="A1536" s="2" t="n">
        <v>1535</v>
      </c>
      <c r="B1536" s="2" t="inlineStr">
        <is>
          <t>не сюжет</t>
        </is>
      </c>
      <c r="C1536" s="2" t="n">
        <v>13291</v>
      </c>
      <c r="D1536" s="3" t="inlineStr">
        <is>
          <t>Дом культуры</t>
        </is>
      </c>
      <c r="E1536" s="2" t="n">
        <v>1988</v>
      </c>
      <c r="F1536" s="2" t="inlineStr">
        <is>
          <t>мультфильм</t>
        </is>
      </c>
      <c r="G1536" s="2" t="inlineStr">
        <is>
          <t>ТАЛЛИННФИЛЬМ</t>
        </is>
      </c>
      <c r="H1536" s="2" t="n">
        <v>59</v>
      </c>
      <c r="I1536" s="2" t="inlineStr"/>
      <c r="J1536" s="2" t="inlineStr">
        <is>
          <t>да</t>
        </is>
      </c>
      <c r="K1536" s="3" t="inlineStr">
        <is>
          <t>Сатира на формальные "культурные мероприятия". Для взрослых</t>
        </is>
      </c>
      <c r="L1536" s="2" t="inlineStr">
        <is>
          <t>https://animator.ru/db/?p=show_film&amp;fid=4548</t>
        </is>
      </c>
      <c r="M1536" s="2">
        <f>HYPERLINK("https://ru.wikipedia.org/w/index.php?search=%D0%94%D0%BE%D0%BC%20%D0%BA%D1%83%D0%BB%D1%8C%D1%82%D1%83%D1%80%D1%8B%201988%20%D1%84%D0%B8%D0%BB%D1%8C%D0%BC","искать")</f>
        <v/>
      </c>
      <c r="N1536" s="3" t="n"/>
      <c r="O1536" s="2" t="n"/>
      <c r="P1536" s="2" t="n"/>
    </row>
    <row r="1537">
      <c r="A1537" s="2" t="n">
        <v>1536</v>
      </c>
      <c r="B1537" s="2" t="inlineStr">
        <is>
          <t>не сюжет</t>
        </is>
      </c>
      <c r="C1537" s="2" t="n">
        <v>13371</v>
      </c>
      <c r="D1537" s="3" t="inlineStr">
        <is>
          <t>Бездомный Конгурджа</t>
        </is>
      </c>
      <c r="E1537" s="2" t="n">
        <v>1972</v>
      </c>
      <c r="F1537" s="2" t="inlineStr">
        <is>
          <t>мультфильм</t>
        </is>
      </c>
      <c r="G1537" s="2" t="inlineStr">
        <is>
          <t>ТУРКМЕНТЕЛЕФИЛЬМ</t>
        </is>
      </c>
      <c r="H1537" s="2" t="n">
        <v>59</v>
      </c>
      <c r="I1537" s="2" t="inlineStr"/>
      <c r="J1537" s="2" t="inlineStr">
        <is>
          <t>да</t>
        </is>
      </c>
      <c r="K1537" s="3" t="inlineStr">
        <is>
          <t>По мотивам сказки Кериа Курбаннепесова "Рассказ Конгурджи".</t>
        </is>
      </c>
      <c r="L1537" s="2" t="inlineStr">
        <is>
          <t>2026-10_мультфильмы_список_владельца.xlsx; https://animator.ru/db/?p=show_film&amp;fid=4649</t>
        </is>
      </c>
      <c r="M1537" s="2">
        <f>HYPERLINK("https://ru.wikipedia.org/w/index.php?search=%D0%91%D0%B5%D0%B7%D0%B4%D0%BE%D0%BC%D0%BD%D1%8B%D0%B9%20%D0%9A%D0%BE%D0%BD%D0%B3%D1%83%D1%80%D0%B4%D0%B6%D0%B0%201972%20%D1%84%D0%B8%D0%BB%D1%8C%D0%BC","искать")</f>
        <v/>
      </c>
      <c r="N1537" s="3" t="n"/>
      <c r="O1537" s="2" t="n"/>
      <c r="P1537" s="2" t="n"/>
    </row>
    <row r="1538">
      <c r="A1538" s="2" t="n">
        <v>1537</v>
      </c>
      <c r="B1538" s="2" t="inlineStr">
        <is>
          <t>не сюжет</t>
        </is>
      </c>
      <c r="C1538" s="2" t="n">
        <v>13600</v>
      </c>
      <c r="D1538" s="3" t="inlineStr">
        <is>
          <t>Боевой кузнечик</t>
        </is>
      </c>
      <c r="E1538" s="2" t="n">
        <v>1977</v>
      </c>
      <c r="F1538" s="2" t="inlineStr">
        <is>
          <t>мультфильм</t>
        </is>
      </c>
      <c r="G1538" s="2" t="inlineStr">
        <is>
          <t>САРАТОВТЕЛЕФИЛЬМ</t>
        </is>
      </c>
      <c r="H1538" s="2" t="n">
        <v>59</v>
      </c>
      <c r="I1538" s="2" t="inlineStr"/>
      <c r="J1538" s="2" t="inlineStr">
        <is>
          <t>да</t>
        </is>
      </c>
      <c r="K1538" s="3" t="inlineStr">
        <is>
          <t>По сказке С.Воронина "Тайна боевого кузнечика". Для малышей</t>
        </is>
      </c>
      <c r="L1538" s="2" t="inlineStr">
        <is>
          <t>https://animator.ru/db/?p=show_film&amp;fid=4950</t>
        </is>
      </c>
      <c r="M1538" s="2">
        <f>HYPERLINK("https://ru.wikipedia.org/w/index.php?search=%D0%91%D0%BE%D0%B5%D0%B2%D0%BE%D0%B9%20%D0%BA%D1%83%D0%B7%D0%BD%D0%B5%D1%87%D0%B8%D0%BA%201977%20%D1%84%D0%B8%D0%BB%D1%8C%D0%BC","искать")</f>
        <v/>
      </c>
      <c r="N1538" s="3" t="n"/>
      <c r="O1538" s="2" t="n"/>
      <c r="P1538" s="2" t="n"/>
    </row>
    <row r="1539">
      <c r="A1539" s="2" t="n">
        <v>1538</v>
      </c>
      <c r="B1539" s="2" t="inlineStr">
        <is>
          <t>не сюжет</t>
        </is>
      </c>
      <c r="C1539" s="2" t="n">
        <v>13721</v>
      </c>
      <c r="D1539" s="3" t="inlineStr">
        <is>
          <t>Кое-что о колесе</t>
        </is>
      </c>
      <c r="E1539" s="2" t="n">
        <v>1975</v>
      </c>
      <c r="F1539" s="2" t="inlineStr">
        <is>
          <t>мультфильм</t>
        </is>
      </c>
      <c r="G1539" s="2" t="inlineStr">
        <is>
          <t>ЭКРАН</t>
        </is>
      </c>
      <c r="H1539" s="2" t="n">
        <v>59</v>
      </c>
      <c r="I1539" s="2" t="inlineStr"/>
      <c r="J1539" s="2" t="inlineStr">
        <is>
          <t>да</t>
        </is>
      </c>
      <c r="K1539" s="3" t="inlineStr">
        <is>
          <t>Как сам человек может стать на пути прогресса. Для взрослых</t>
        </is>
      </c>
      <c r="L1539" s="2" t="inlineStr">
        <is>
          <t>https://animator.ru/db/?p=show_film&amp;fid=5114</t>
        </is>
      </c>
      <c r="M1539" s="2">
        <f>HYPERLINK("https://ru.wikipedia.org/w/index.php?search=%D0%9A%D0%BE%D0%B5-%D1%87%D1%82%D0%BE%20%D0%BE%20%D0%BA%D0%BE%D0%BB%D0%B5%D1%81%D0%B5%201975%20%D1%84%D0%B8%D0%BB%D1%8C%D0%BC","искать")</f>
        <v/>
      </c>
      <c r="N1539" s="3" t="n"/>
      <c r="O1539" s="2" t="n"/>
      <c r="P1539" s="2" t="n"/>
    </row>
    <row r="1540">
      <c r="A1540" s="2" t="n">
        <v>1539</v>
      </c>
      <c r="B1540" s="2" t="inlineStr">
        <is>
          <t>не сюжет</t>
        </is>
      </c>
      <c r="C1540" s="2" t="n">
        <v>13750</v>
      </c>
      <c r="D1540" s="3" t="inlineStr">
        <is>
          <t>Ленивое платье</t>
        </is>
      </c>
      <c r="E1540" s="2" t="n">
        <v>1987</v>
      </c>
      <c r="F1540" s="2" t="inlineStr">
        <is>
          <t>мультфильм</t>
        </is>
      </c>
      <c r="G1540" s="2" t="inlineStr">
        <is>
          <t>ЭКРАН</t>
        </is>
      </c>
      <c r="H1540" s="2" t="n">
        <v>59</v>
      </c>
      <c r="I1540" s="2" t="inlineStr"/>
      <c r="J1540" s="2" t="inlineStr">
        <is>
          <t>да</t>
        </is>
      </c>
      <c r="K1540" s="3" t="inlineStr">
        <is>
          <t>О бережном отношении к свом вещам и игрушкам. Для маленьких</t>
        </is>
      </c>
      <c r="L1540" s="2" t="inlineStr">
        <is>
          <t>https://animator.ru/db/?p=show_film&amp;fid=5143</t>
        </is>
      </c>
      <c r="M1540" s="2">
        <f>HYPERLINK("https://ru.wikipedia.org/w/index.php?search=%D0%9B%D0%B5%D0%BD%D0%B8%D0%B2%D0%BE%D0%B5%20%D0%BF%D0%BB%D0%B0%D1%82%D1%8C%D0%B5%201987%20%D1%84%D0%B8%D0%BB%D1%8C%D0%BC","искать")</f>
        <v/>
      </c>
      <c r="N1540" s="3" t="n"/>
      <c r="O1540" s="2" t="n"/>
      <c r="P1540" s="2" t="n"/>
    </row>
    <row r="1541">
      <c r="A1541" s="2" t="n">
        <v>1540</v>
      </c>
      <c r="B1541" s="2" t="inlineStr">
        <is>
          <t>не сюжет</t>
        </is>
      </c>
      <c r="C1541" s="2" t="n">
        <v>13751</v>
      </c>
      <c r="D1541" s="3" t="inlineStr">
        <is>
          <t>Лестница жизни</t>
        </is>
      </c>
      <c r="E1541" s="2" t="n">
        <v>1989</v>
      </c>
      <c r="F1541" s="2" t="inlineStr">
        <is>
          <t>мультфильм</t>
        </is>
      </c>
      <c r="G1541" s="2" t="inlineStr">
        <is>
          <t>ЭКРАН</t>
        </is>
      </c>
      <c r="H1541" s="2" t="n">
        <v>59</v>
      </c>
      <c r="I1541" s="2" t="inlineStr"/>
      <c r="J1541" s="2" t="inlineStr">
        <is>
          <t>да</t>
        </is>
      </c>
      <c r="K1541" s="3" t="inlineStr">
        <is>
          <t>О том, что каждый человек должен пройти свою лестницу жизни</t>
        </is>
      </c>
      <c r="L1541" s="2" t="inlineStr">
        <is>
          <t>https://animator.ru/db/?p=show_film&amp;fid=5144</t>
        </is>
      </c>
      <c r="M1541" s="2">
        <f>HYPERLINK("https://ru.wikipedia.org/w/index.php?search=%D0%9B%D0%B5%D1%81%D1%82%D0%BD%D0%B8%D1%86%D0%B0%20%D0%B6%D0%B8%D0%B7%D0%BD%D0%B8%201989%20%D1%84%D0%B8%D0%BB%D1%8C%D0%BC","искать")</f>
        <v/>
      </c>
      <c r="N1541" s="3" t="n"/>
      <c r="O1541" s="2" t="n"/>
      <c r="P1541" s="2" t="n"/>
    </row>
    <row r="1542">
      <c r="A1542" s="2" t="n">
        <v>1541</v>
      </c>
      <c r="B1542" s="2" t="inlineStr">
        <is>
          <t>не сюжет</t>
        </is>
      </c>
      <c r="C1542" s="2" t="n">
        <v>13788</v>
      </c>
      <c r="D1542" s="3" t="inlineStr">
        <is>
          <t>Непобежденные</t>
        </is>
      </c>
      <c r="E1542" s="2" t="n">
        <v>1987</v>
      </c>
      <c r="F1542" s="2" t="inlineStr">
        <is>
          <t>мультфильм</t>
        </is>
      </c>
      <c r="G1542" s="2" t="inlineStr">
        <is>
          <t>ЭКРАН</t>
        </is>
      </c>
      <c r="H1542" s="2" t="n">
        <v>59</v>
      </c>
      <c r="I1542" s="2" t="inlineStr"/>
      <c r="J1542" s="2" t="inlineStr">
        <is>
          <t>да</t>
        </is>
      </c>
      <c r="K1542" s="3" t="inlineStr">
        <is>
          <t>По мотивам эпизодов о Гавроше из романа Гюго "Отверженные".</t>
        </is>
      </c>
      <c r="L1542" s="2" t="inlineStr">
        <is>
          <t>2026-10_мультфильмы_список_владельца.xlsx; https://animator.ru/db/?p=show_film&amp;fid=5181</t>
        </is>
      </c>
      <c r="M1542" s="2">
        <f>HYPERLINK("https://ru.wikipedia.org/w/index.php?search=%D0%9D%D0%B5%D0%BF%D0%BE%D0%B1%D0%B5%D0%B6%D0%B4%D0%B5%D0%BD%D0%BD%D1%8B%D0%B5%201987%20%D1%84%D0%B8%D0%BB%D1%8C%D0%BC","искать")</f>
        <v/>
      </c>
      <c r="N1542" s="3" t="n"/>
      <c r="O1542" s="2" t="n"/>
      <c r="P1542" s="2" t="n"/>
    </row>
    <row r="1543">
      <c r="A1543" s="2" t="n">
        <v>1542</v>
      </c>
      <c r="B1543" s="2" t="inlineStr">
        <is>
          <t>не сюжет</t>
        </is>
      </c>
      <c r="C1543" s="2" t="n">
        <v>13833</v>
      </c>
      <c r="D1543" s="3" t="inlineStr">
        <is>
          <t>Как побелить потолок</t>
        </is>
      </c>
      <c r="E1543" s="2" t="n">
        <v>1986</v>
      </c>
      <c r="F1543" s="2" t="inlineStr">
        <is>
          <t>мультфильм</t>
        </is>
      </c>
      <c r="G1543" s="2" t="inlineStr">
        <is>
          <t>МУЛЬТТЕЛЕФИЛЬМ ("Экран")</t>
        </is>
      </c>
      <c r="H1543" s="2" t="n">
        <v>59</v>
      </c>
      <c r="I1543" s="2" t="inlineStr"/>
      <c r="J1543" s="2" t="inlineStr">
        <is>
          <t>да</t>
        </is>
      </c>
      <c r="K1543" s="3" t="inlineStr">
        <is>
          <t>Пятый фильм из цикла "Полезные советы профессора Чайникова"</t>
        </is>
      </c>
      <c r="L1543" s="2" t="inlineStr">
        <is>
          <t>https://animator.ru/db/?p=show_film&amp;fid=5226</t>
        </is>
      </c>
      <c r="M1543" s="2">
        <f>HYPERLINK("https://ru.wikipedia.org/w/index.php?search=%D0%9A%D0%B0%D0%BA%20%D0%BF%D0%BE%D0%B1%D0%B5%D0%BB%D0%B8%D1%82%D1%8C%20%D0%BF%D0%BE%D1%82%D0%BE%D0%BB%D0%BE%D0%BA%201986%20%D1%84%D0%B8%D0%BB%D1%8C%D0%BC","искать")</f>
        <v/>
      </c>
      <c r="N1543" s="3" t="n"/>
      <c r="O1543" s="2" t="n"/>
      <c r="P1543" s="2" t="n"/>
    </row>
    <row r="1544">
      <c r="A1544" s="2" t="n">
        <v>1543</v>
      </c>
      <c r="B1544" s="2" t="inlineStr">
        <is>
          <t>не сюжет</t>
        </is>
      </c>
      <c r="C1544" s="2" t="n">
        <v>13902</v>
      </c>
      <c r="D1544" s="3" t="inlineStr">
        <is>
          <t>Слоно-дило-сенок</t>
        </is>
      </c>
      <c r="E1544" s="2" t="n">
        <v>1975</v>
      </c>
      <c r="F1544" s="2" t="inlineStr">
        <is>
          <t>мультфильм</t>
        </is>
      </c>
      <c r="G1544" s="2" t="inlineStr">
        <is>
          <t>ЭКРАН</t>
        </is>
      </c>
      <c r="H1544" s="2" t="n">
        <v>59</v>
      </c>
      <c r="I1544" s="2" t="inlineStr"/>
      <c r="J1544" s="2" t="inlineStr">
        <is>
          <t>да</t>
        </is>
      </c>
      <c r="K1544" s="3" t="inlineStr">
        <is>
          <t>О том, как необхомо детям знать домашний адрес. Для малышей</t>
        </is>
      </c>
      <c r="L1544" s="2" t="inlineStr">
        <is>
          <t>https://animator.ru/db/?p=show_film&amp;fid=5296</t>
        </is>
      </c>
      <c r="M1544" s="2">
        <f>HYPERLINK("https://ru.wikipedia.org/w/index.php?search=%D0%A1%D0%BB%D0%BE%D0%BD%D0%BE-%D0%B4%D0%B8%D0%BB%D0%BE-%D1%81%D0%B5%D0%BD%D0%BE%D0%BA%201975%20%D1%84%D0%B8%D0%BB%D1%8C%D0%BC","искать")</f>
        <v/>
      </c>
      <c r="N1544" s="3" t="n"/>
      <c r="O1544" s="2" t="n"/>
      <c r="P1544" s="2" t="n"/>
    </row>
    <row r="1545">
      <c r="A1545" s="2" t="n">
        <v>1544</v>
      </c>
      <c r="B1545" s="2" t="inlineStr">
        <is>
          <t>не сюжет</t>
        </is>
      </c>
      <c r="C1545" s="2" t="n">
        <v>14158</v>
      </c>
      <c r="D1545" s="3" t="inlineStr">
        <is>
          <t>Почему у зайцев уши длинные</t>
        </is>
      </c>
      <c r="E1545" s="2" t="n">
        <v>1973</v>
      </c>
      <c r="F1545" s="2" t="inlineStr">
        <is>
          <t>мультфильм</t>
        </is>
      </c>
      <c r="G1545" s="2" t="inlineStr">
        <is>
          <t>СВЕРДЛОВСКТЕЛЕФИЛЬМ</t>
        </is>
      </c>
      <c r="H1545" s="2" t="n">
        <v>59</v>
      </c>
      <c r="I1545" s="2" t="inlineStr"/>
      <c r="J1545" s="2" t="inlineStr">
        <is>
          <t>да</t>
        </is>
      </c>
      <c r="K1545" s="3" t="inlineStr">
        <is>
          <t>По мотивам сказки С. Мальцева "Про зайку Петю". Черно-белый</t>
        </is>
      </c>
      <c r="L1545" s="2" t="inlineStr">
        <is>
          <t>https://animator.ru/db/?p=show_film&amp;fid=5556</t>
        </is>
      </c>
      <c r="M1545" s="2">
        <f>HYPERLINK("https://ru.wikipedia.org/w/index.php?search=%D0%9F%D0%BE%D1%87%D0%B5%D0%BC%D1%83%20%D1%83%20%D0%B7%D0%B0%D0%B9%D1%86%D0%B5%D0%B2%20%D1%83%D1%88%D0%B8%20%D0%B4%D0%BB%D0%B8%D0%BD%D0%BD%D1%8B%D0%B5%201973%20%D1%84%D0%B8%D0%BB%D1%8C%D0%BC","искать")</f>
        <v/>
      </c>
      <c r="N1545" s="3" t="n"/>
      <c r="O1545" s="2" t="n"/>
      <c r="P1545" s="2" t="n"/>
    </row>
    <row r="1546">
      <c r="A1546" s="2" t="n">
        <v>1545</v>
      </c>
      <c r="B1546" s="2" t="inlineStr">
        <is>
          <t>не сюжет</t>
        </is>
      </c>
      <c r="C1546" s="2" t="n">
        <v>7497</v>
      </c>
      <c r="D1546" s="3" t="inlineStr">
        <is>
          <t>Дело Сухово-Кобылина</t>
        </is>
      </c>
      <c r="E1546" s="2" t="n">
        <v>1991</v>
      </c>
      <c r="F1546" s="2" t="inlineStr">
        <is>
          <t>телефильм</t>
        </is>
      </c>
      <c r="G1546" s="2" t="n"/>
      <c r="H1546" s="2" t="n">
        <v>60</v>
      </c>
      <c r="I1546" s="2" t="inlineStr"/>
      <c r="J1546" s="2" t="inlineStr">
        <is>
          <t>да</t>
        </is>
      </c>
      <c r="K1546" s="3" t="inlineStr">
        <is>
          <t>О жизни и творчестве русского драматурга А. Сухово-Кобылина.</t>
        </is>
      </c>
      <c r="L1546" s="2" t="inlineStr">
        <is>
          <t>Кино_СССР сводный каталог.xlsx: список телефильмов</t>
        </is>
      </c>
      <c r="M1546" s="2">
        <f>HYPERLINK("https://ru.wikipedia.org/w/index.php?search=%D0%94%D0%B5%D0%BB%D0%BE%20%D0%A1%D1%83%D1%85%D0%BE%D0%B2%D0%BE-%D0%9A%D0%BE%D0%B1%D1%8B%D0%BB%D0%B8%D0%BD%D0%B0%201991%20%D1%84%D0%B8%D0%BB%D1%8C%D0%BC","искать")</f>
        <v/>
      </c>
      <c r="N1546" s="3" t="n"/>
      <c r="O1546" s="2" t="n"/>
      <c r="P1546" s="2" t="n"/>
    </row>
    <row r="1547">
      <c r="A1547" s="2" t="n">
        <v>1546</v>
      </c>
      <c r="B1547" s="2" t="inlineStr">
        <is>
          <t>не сюжет</t>
        </is>
      </c>
      <c r="C1547" s="2" t="n">
        <v>7706</v>
      </c>
      <c r="D1547" s="3" t="inlineStr">
        <is>
          <t>Канатоходец</t>
        </is>
      </c>
      <c r="E1547" s="2" t="n">
        <v>1972</v>
      </c>
      <c r="F1547" s="2" t="inlineStr">
        <is>
          <t>телефильм</t>
        </is>
      </c>
      <c r="G1547" s="2" t="n"/>
      <c r="H1547" s="2" t="n">
        <v>60</v>
      </c>
      <c r="I1547" s="2" t="inlineStr"/>
      <c r="J1547" s="2" t="inlineStr">
        <is>
          <t>да</t>
        </is>
      </c>
      <c r="K1547" s="3" t="inlineStr">
        <is>
          <t>О древнем искусстве хождения по канату в дагестанских аулах.</t>
        </is>
      </c>
      <c r="L1547" s="2" t="inlineStr">
        <is>
          <t>Кино_СССР сводный каталог.xlsx: список телефильмов</t>
        </is>
      </c>
      <c r="M1547" s="2">
        <f>HYPERLINK("https://ru.wikipedia.org/w/index.php?search=%D0%9A%D0%B0%D0%BD%D0%B0%D1%82%D0%BE%D1%85%D0%BE%D0%B4%D0%B5%D1%86%201972%20%D1%84%D0%B8%D0%BB%D1%8C%D0%BC","искать")</f>
        <v/>
      </c>
      <c r="N1547" s="3" t="n"/>
      <c r="O1547" s="2" t="n"/>
      <c r="P1547" s="2" t="n"/>
    </row>
    <row r="1548">
      <c r="A1548" s="2" t="n">
        <v>1547</v>
      </c>
      <c r="B1548" s="2" t="inlineStr">
        <is>
          <t>не сюжет</t>
        </is>
      </c>
      <c r="C1548" s="2" t="n">
        <v>9804</v>
      </c>
      <c r="D1548" s="3" t="inlineStr">
        <is>
          <t>Испытатели</t>
        </is>
      </c>
      <c r="E1548" s="2" t="n">
        <v>1987</v>
      </c>
      <c r="F1548" s="2" t="inlineStr">
        <is>
          <t>телефильм</t>
        </is>
      </c>
      <c r="G1548" s="2" t="inlineStr">
        <is>
          <t>Укртелефильм</t>
        </is>
      </c>
      <c r="H1548" s="2" t="n">
        <v>60</v>
      </c>
      <c r="I1548" s="2" t="inlineStr"/>
      <c r="J1548" s="2" t="inlineStr">
        <is>
          <t>да</t>
        </is>
      </c>
      <c r="K1548" s="3" t="inlineStr">
        <is>
          <t>Фильм о производственных конфликтах на автомобильном заводе.</t>
        </is>
      </c>
      <c r="L1548" s="2" t="inlineStr">
        <is>
          <t>https://www.kino-teatr.ru/kino/movie/sov/12946/annot/</t>
        </is>
      </c>
      <c r="M1548" s="2">
        <f>HYPERLINK("https://ru.wikipedia.org/w/index.php?search=%D0%98%D1%81%D0%BF%D1%8B%D1%82%D0%B0%D1%82%D0%B5%D0%BB%D0%B8%201987%20%D1%84%D0%B8%D0%BB%D1%8C%D0%BC","искать")</f>
        <v/>
      </c>
      <c r="N1548" s="3" t="n"/>
      <c r="O1548" s="2" t="n"/>
      <c r="P1548" s="2" t="n"/>
    </row>
    <row r="1549">
      <c r="A1549" s="2" t="n">
        <v>1548</v>
      </c>
      <c r="B1549" s="2" t="inlineStr">
        <is>
          <t>не сюжет</t>
        </is>
      </c>
      <c r="C1549" s="2" t="n">
        <v>9916</v>
      </c>
      <c r="D1549" s="3" t="inlineStr">
        <is>
          <t>Здесь мой причал</t>
        </is>
      </c>
      <c r="E1549" s="2" t="n">
        <v>1976</v>
      </c>
      <c r="F1549" s="2" t="inlineStr">
        <is>
          <t>телефильм</t>
        </is>
      </c>
      <c r="G1549" s="2" t="inlineStr">
        <is>
          <t>Волгоградская студия телевидения</t>
        </is>
      </c>
      <c r="H1549" s="2" t="n">
        <v>60</v>
      </c>
      <c r="I1549" s="2" t="inlineStr"/>
      <c r="J1549" s="2" t="inlineStr">
        <is>
          <t>да</t>
        </is>
      </c>
      <c r="K1549" s="3" t="inlineStr">
        <is>
          <t>Телефильм о семейных взаимоотношениях, дружбе и преданности.</t>
        </is>
      </c>
      <c r="L1549" s="2" t="inlineStr">
        <is>
          <t>https://www.kino-teatr.ru/short/movie/sov/14642/annot/</t>
        </is>
      </c>
      <c r="M1549" s="2">
        <f>HYPERLINK("https://ru.wikipedia.org/w/index.php?search=%D0%97%D0%B4%D0%B5%D1%81%D1%8C%20%D0%BC%D0%BE%D0%B9%20%D0%BF%D1%80%D0%B8%D1%87%D0%B0%D0%BB%201976%20%D1%84%D0%B8%D0%BB%D1%8C%D0%BC","искать")</f>
        <v/>
      </c>
      <c r="N1549" s="3" t="n"/>
      <c r="O1549" s="2" t="n"/>
      <c r="P1549" s="2" t="n"/>
    </row>
    <row r="1550">
      <c r="A1550" s="2" t="n">
        <v>1549</v>
      </c>
      <c r="B1550" s="2" t="inlineStr">
        <is>
          <t>не сюжет</t>
        </is>
      </c>
      <c r="C1550" s="2" t="n">
        <v>10059</v>
      </c>
      <c r="D1550" s="3" t="inlineStr">
        <is>
          <t>Воскресенье — Ночной театр (1950-1959)</t>
        </is>
      </c>
      <c r="E1550" s="2" t="n">
        <v>1950</v>
      </c>
      <c r="F1550" s="2" t="inlineStr">
        <is>
          <t>фильм-спектакль</t>
        </is>
      </c>
      <c r="G1550" s="2" t="inlineStr">
        <is>
          <t>BBC Television Centre</t>
        </is>
      </c>
      <c r="H1550" s="2" t="n">
        <v>60</v>
      </c>
      <c r="I1550" s="2" t="inlineStr"/>
      <c r="J1550" s="2" t="inlineStr">
        <is>
          <t>да</t>
        </is>
      </c>
      <c r="K1550" s="3" t="inlineStr">
        <is>
          <t>Антология главных театральных спектаклей 50-х годов XX века.</t>
        </is>
      </c>
      <c r="L1550" s="2" t="inlineStr">
        <is>
          <t>https://www.kino-teatr.ru/teatr/movie/16864/annot/</t>
        </is>
      </c>
      <c r="M1550" s="2">
        <f>HYPERLINK("https://ru.wikipedia.org/w/index.php?search=%D0%92%D0%BE%D1%81%D0%BA%D1%80%D0%B5%D1%81%D0%B5%D0%BD%D1%8C%D0%B5%20%E2%80%94%20%D0%9D%D0%BE%D1%87%D0%BD%D0%BE%D0%B9%20%D1%82%D0%B5%D0%B0%D1%82%D1%80%20%281950-1959%29%201950%20%D1%84%D0%B8%D0%BB%D1%8C%D0%BC","искать")</f>
        <v/>
      </c>
      <c r="N1550" s="3" t="n"/>
      <c r="O1550" s="2" t="n"/>
      <c r="P1550" s="2" t="n"/>
    </row>
    <row r="1551">
      <c r="A1551" s="2" t="n">
        <v>1550</v>
      </c>
      <c r="B1551" s="2" t="inlineStr">
        <is>
          <t>не сюжет</t>
        </is>
      </c>
      <c r="C1551" s="2" t="n">
        <v>10182</v>
      </c>
      <c r="D1551" s="3" t="inlineStr">
        <is>
          <t>Адресат неизвестен</t>
        </is>
      </c>
      <c r="E1551" s="2" t="n">
        <v>1967</v>
      </c>
      <c r="F1551" s="2" t="inlineStr">
        <is>
          <t>фильм-спектакль</t>
        </is>
      </c>
      <c r="G1551" s="2" t="inlineStr">
        <is>
          <t>Центральное телевидение</t>
        </is>
      </c>
      <c r="H1551" s="2" t="n">
        <v>60</v>
      </c>
      <c r="I1551" s="2" t="inlineStr"/>
      <c r="J1551" s="2" t="inlineStr">
        <is>
          <t>да</t>
        </is>
      </c>
      <c r="K1551" s="3" t="inlineStr">
        <is>
          <t>По детективной повести польской писательницы Барбары Гордон.</t>
        </is>
      </c>
      <c r="L1551" s="2" t="inlineStr">
        <is>
          <t>https://www.kino-teatr.ru/teatr/movie/136681/annot/</t>
        </is>
      </c>
      <c r="M1551" s="2">
        <f>HYPERLINK("https://ru.wikipedia.org/w/index.php?search=%D0%90%D0%B4%D1%80%D0%B5%D1%81%D0%B0%D1%82%20%D0%BD%D0%B5%D0%B8%D0%B7%D0%B2%D0%B5%D1%81%D1%82%D0%B5%D0%BD%201967%20%D1%84%D0%B8%D0%BB%D1%8C%D0%BC","искать")</f>
        <v/>
      </c>
      <c r="N1551" s="3" t="n"/>
      <c r="O1551" s="2" t="n"/>
      <c r="P1551" s="2" t="n"/>
    </row>
    <row r="1552">
      <c r="A1552" s="2" t="n">
        <v>1551</v>
      </c>
      <c r="B1552" s="2" t="inlineStr">
        <is>
          <t>не сюжет</t>
        </is>
      </c>
      <c r="C1552" s="2" t="n">
        <v>10560</v>
      </c>
      <c r="D1552" s="3" t="inlineStr">
        <is>
          <t>Домби и сын</t>
        </is>
      </c>
      <c r="E1552" s="2" t="n">
        <v>1974</v>
      </c>
      <c r="F1552" s="2" t="inlineStr">
        <is>
          <t>фильм-спектакль</t>
        </is>
      </c>
      <c r="G1552" s="2" t="inlineStr">
        <is>
          <t>ЦТ</t>
        </is>
      </c>
      <c r="H1552" s="2" t="n">
        <v>60</v>
      </c>
      <c r="I1552" s="2" t="inlineStr"/>
      <c r="J1552" s="2" t="inlineStr">
        <is>
          <t>да</t>
        </is>
      </c>
      <c r="K1552" s="3" t="inlineStr">
        <is>
          <t>Телеспектакль.
По страницам одноименного романа Ч. Диккенса.</t>
        </is>
      </c>
      <c r="L1552" s="2" t="inlineStr">
        <is>
          <t>https://www.kino-teatr.ru/teatr/movie/1965/annot/</t>
        </is>
      </c>
      <c r="M1552" s="2">
        <f>HYPERLINK("https://ru.wikipedia.org/w/index.php?search=%D0%94%D0%BE%D0%BC%D0%B1%D0%B8%20%D0%B8%20%D1%81%D1%8B%D0%BD%201974%20%D1%84%D0%B8%D0%BB%D1%8C%D0%BC","искать")</f>
        <v/>
      </c>
      <c r="N1552" s="3" t="n"/>
      <c r="O1552" s="2" t="n"/>
      <c r="P1552" s="2" t="n"/>
    </row>
    <row r="1553">
      <c r="A1553" s="2" t="n">
        <v>1552</v>
      </c>
      <c r="B1553" s="2" t="inlineStr">
        <is>
          <t>не сюжет</t>
        </is>
      </c>
      <c r="C1553" s="2" t="n">
        <v>10688</v>
      </c>
      <c r="D1553" s="3" t="inlineStr">
        <is>
          <t>Жена</t>
        </is>
      </c>
      <c r="E1553" s="2" t="n">
        <v>1977</v>
      </c>
      <c r="F1553" s="2" t="inlineStr">
        <is>
          <t>фильм-спектакль</t>
        </is>
      </c>
      <c r="G1553" s="2" t="inlineStr">
        <is>
          <t>Ленинградское телевидение</t>
        </is>
      </c>
      <c r="H1553" s="2" t="n">
        <v>60</v>
      </c>
      <c r="I1553" s="2" t="inlineStr"/>
      <c r="J1553" s="2" t="inlineStr">
        <is>
          <t>да</t>
        </is>
      </c>
      <c r="K1553" s="3" t="inlineStr">
        <is>
          <t>По рассказу А.П.Чехова.
О сложных взаимоотношениях супругов.</t>
        </is>
      </c>
      <c r="L1553" s="2" t="inlineStr">
        <is>
          <t>https://www.kino-teatr.ru/teatr/movie/87377/annot/</t>
        </is>
      </c>
      <c r="M1553" s="2">
        <f>HYPERLINK("https://ru.wikipedia.org/w/index.php?search=%D0%96%D0%B5%D0%BD%D0%B0%201977%20%D1%84%D0%B8%D0%BB%D1%8C%D0%BC","искать")</f>
        <v/>
      </c>
      <c r="N1553" s="3" t="n"/>
      <c r="O1553" s="2" t="n"/>
      <c r="P1553" s="2" t="n"/>
    </row>
    <row r="1554">
      <c r="A1554" s="2" t="n">
        <v>1553</v>
      </c>
      <c r="B1554" s="2" t="inlineStr">
        <is>
          <t>не сюжет</t>
        </is>
      </c>
      <c r="C1554" s="2" t="n">
        <v>11379</v>
      </c>
      <c r="D1554" s="3" t="inlineStr">
        <is>
          <t>Моя Кармен</t>
        </is>
      </c>
      <c r="E1554" s="2" t="n">
        <v>1976</v>
      </c>
      <c r="F1554" s="2" t="inlineStr">
        <is>
          <t>фильм-опера/балет</t>
        </is>
      </c>
      <c r="G1554" s="2" t="n"/>
      <c r="H1554" s="2" t="n">
        <v>60</v>
      </c>
      <c r="I1554" s="2" t="inlineStr"/>
      <c r="J1554" s="2" t="inlineStr">
        <is>
          <t>да</t>
        </is>
      </c>
      <c r="K1554" s="3" t="inlineStr">
        <is>
          <t>Фильм-опера по новелле Проспера Мериме на музыку Жоржа Бизе.</t>
        </is>
      </c>
      <c r="L1554" s="2" t="inlineStr">
        <is>
          <t>Кино_СССР телефильмы и пропуски включить в базу.xlsx</t>
        </is>
      </c>
      <c r="M1554" s="2">
        <f>HYPERLINK("https://ru.wikipedia.org/w/index.php?search=%D0%9C%D0%BE%D1%8F%20%D0%9A%D0%B0%D1%80%D0%BC%D0%B5%D0%BD%201976%20%D1%84%D0%B8%D0%BB%D1%8C%D0%BC","искать")</f>
        <v/>
      </c>
      <c r="N1554" s="3" t="n"/>
      <c r="O1554" s="2" t="n"/>
      <c r="P1554" s="2" t="n"/>
    </row>
    <row r="1555">
      <c r="A1555" s="2" t="n">
        <v>1554</v>
      </c>
      <c r="B1555" s="2" t="inlineStr">
        <is>
          <t>не сюжет</t>
        </is>
      </c>
      <c r="C1555" s="2" t="n">
        <v>11656</v>
      </c>
      <c r="D1555" s="3" t="inlineStr">
        <is>
          <t>Антарктида</t>
        </is>
      </c>
      <c r="E1555" s="2" t="n">
        <v>1972</v>
      </c>
      <c r="F1555" s="2" t="inlineStr">
        <is>
          <t>мультфильм</t>
        </is>
      </c>
      <c r="G1555" s="2" t="inlineStr">
        <is>
          <t>Союзмультфильм</t>
        </is>
      </c>
      <c r="H1555" s="2" t="n">
        <v>60</v>
      </c>
      <c r="I1555" s="2" t="inlineStr"/>
      <c r="J1555" s="2" t="inlineStr">
        <is>
          <t>да</t>
        </is>
      </c>
      <c r="K1555" s="3" t="inlineStr">
        <is>
          <t>Познавательный фильм о природе и истории открытия Антарктиды</t>
        </is>
      </c>
      <c r="L1555" s="2" t="inlineStr">
        <is>
          <t>2026-10_мультфильмы_список_владельца.xlsx; https://animator.ru/db/?p=show_film&amp;fid=2570</t>
        </is>
      </c>
      <c r="M1555" s="2">
        <f>HYPERLINK("https://ru.wikipedia.org/w/index.php?search=%D0%90%D0%BD%D1%82%D0%B0%D1%80%D0%BA%D1%82%D0%B8%D0%B4%D0%B0%201972%20%D1%84%D0%B8%D0%BB%D1%8C%D0%BC","искать")</f>
        <v/>
      </c>
      <c r="N1555" s="3" t="n"/>
      <c r="O1555" s="2" t="n"/>
      <c r="P1555" s="2" t="n"/>
    </row>
    <row r="1556">
      <c r="A1556" s="2" t="n">
        <v>1555</v>
      </c>
      <c r="B1556" s="2" t="inlineStr">
        <is>
          <t>не сюжет</t>
        </is>
      </c>
      <c r="C1556" s="2" t="n">
        <v>12016</v>
      </c>
      <c r="D1556" s="3" t="inlineStr">
        <is>
          <t>Парадоксы в стиле рок</t>
        </is>
      </c>
      <c r="E1556" s="2" t="n">
        <v>1982</v>
      </c>
      <c r="F1556" s="2" t="inlineStr">
        <is>
          <t>мультфильм</t>
        </is>
      </c>
      <c r="G1556" s="2" t="inlineStr">
        <is>
          <t>Союзмультфильм</t>
        </is>
      </c>
      <c r="H1556" s="2" t="n">
        <v>60</v>
      </c>
      <c r="I1556" s="2" t="inlineStr"/>
      <c r="J1556" s="2" t="inlineStr">
        <is>
          <t>да</t>
        </is>
      </c>
      <c r="K1556" s="3" t="inlineStr">
        <is>
          <t>Для взрослых. Музыка ансамбля "Рок-ателье" п/у Криса Кельми.</t>
        </is>
      </c>
      <c r="L1556" s="2" t="inlineStr">
        <is>
          <t>2026-10_мультфильмы_список_владельца.xlsx; https://animator.ru/db/?p=show_film&amp;fid=3130</t>
        </is>
      </c>
      <c r="M1556" s="2">
        <f>HYPERLINK("https://ru.wikipedia.org/w/index.php?search=%D0%9F%D0%B0%D1%80%D0%B0%D0%B4%D0%BE%D0%BA%D1%81%D1%8B%20%D0%B2%20%D1%81%D1%82%D0%B8%D0%BB%D0%B5%20%D1%80%D0%BE%D0%BA%201982%20%D1%84%D0%B8%D0%BB%D1%8C%D0%BC","искать")</f>
        <v/>
      </c>
      <c r="N1556" s="3" t="n"/>
      <c r="O1556" s="2" t="n"/>
      <c r="P1556" s="2" t="n"/>
    </row>
    <row r="1557">
      <c r="A1557" s="2" t="n">
        <v>1556</v>
      </c>
      <c r="B1557" s="2" t="inlineStr">
        <is>
          <t>не сюжет</t>
        </is>
      </c>
      <c r="C1557" s="2" t="n">
        <v>12122</v>
      </c>
      <c r="D1557" s="3" t="inlineStr">
        <is>
          <t>Седой медведь</t>
        </is>
      </c>
      <c r="E1557" s="2" t="n">
        <v>1988</v>
      </c>
      <c r="F1557" s="2" t="inlineStr">
        <is>
          <t>мультфильм</t>
        </is>
      </c>
      <c r="G1557" s="2" t="inlineStr">
        <is>
          <t>Союзмультфильм</t>
        </is>
      </c>
      <c r="H1557" s="2" t="n">
        <v>60</v>
      </c>
      <c r="I1557" s="2" t="inlineStr"/>
      <c r="J1557" s="2" t="inlineStr">
        <is>
          <t>да</t>
        </is>
      </c>
      <c r="K1557" s="3" t="inlineStr">
        <is>
          <t>По мотивам одноименного сказа сибирского писателя В.Галкина.</t>
        </is>
      </c>
      <c r="L1557" s="2" t="inlineStr">
        <is>
          <t>2026-10_мультфильмы_список_владельца.xlsx; https://animator.ru/db/?p=show_film&amp;fid=3238</t>
        </is>
      </c>
      <c r="M1557" s="2">
        <f>HYPERLINK("https://ru.wikipedia.org/w/index.php?search=%D0%A1%D0%B5%D0%B4%D0%BE%D0%B9%20%D0%BC%D0%B5%D0%B4%D0%B2%D0%B5%D0%B4%D1%8C%201988%20%D1%84%D0%B8%D0%BB%D1%8C%D0%BC","искать")</f>
        <v/>
      </c>
      <c r="N1557" s="3" t="n"/>
      <c r="O1557" s="2" t="n"/>
      <c r="P1557" s="2" t="n"/>
    </row>
    <row r="1558">
      <c r="A1558" s="2" t="n">
        <v>1557</v>
      </c>
      <c r="B1558" s="2" t="inlineStr">
        <is>
          <t>не сюжет</t>
        </is>
      </c>
      <c r="C1558" s="2" t="n">
        <v>12438</v>
      </c>
      <c r="D1558" s="3" t="inlineStr">
        <is>
          <t>Крылья</t>
        </is>
      </c>
      <c r="E1558" s="2" t="n">
        <v>1983</v>
      </c>
      <c r="F1558" s="2" t="inlineStr">
        <is>
          <t>мультфильм</t>
        </is>
      </c>
      <c r="G1558" s="2" t="inlineStr">
        <is>
          <t>КИЕВНАУЧФИЛЬМ</t>
        </is>
      </c>
      <c r="H1558" s="2" t="n">
        <v>60</v>
      </c>
      <c r="I1558" s="2" t="inlineStr"/>
      <c r="J1558" s="2" t="inlineStr">
        <is>
          <t>да</t>
        </is>
      </c>
      <c r="K1558" s="3" t="inlineStr">
        <is>
          <t>Для взрослых. По мотивам одноименного стихотворения Ив.Драча</t>
        </is>
      </c>
      <c r="L1558" s="2" t="inlineStr">
        <is>
          <t>https://animator.ru/db/?p=show_film&amp;fid=3609</t>
        </is>
      </c>
      <c r="M1558" s="2">
        <f>HYPERLINK("https://ru.wikipedia.org/w/index.php?search=%D0%9A%D1%80%D1%8B%D0%BB%D1%8C%D1%8F%201983%20%D1%84%D0%B8%D0%BB%D1%8C%D0%BC","искать")</f>
        <v/>
      </c>
      <c r="N1558" s="3" t="n"/>
      <c r="O1558" s="2" t="n"/>
      <c r="P1558" s="2" t="n"/>
    </row>
    <row r="1559">
      <c r="A1559" s="2" t="n">
        <v>1558</v>
      </c>
      <c r="B1559" s="2" t="inlineStr">
        <is>
          <t>не сюжет</t>
        </is>
      </c>
      <c r="C1559" s="2" t="n">
        <v>12699</v>
      </c>
      <c r="D1559" s="3" t="inlineStr">
        <is>
          <t>Тихое болото</t>
        </is>
      </c>
      <c r="E1559" s="2" t="n">
        <v>1979</v>
      </c>
      <c r="F1559" s="2" t="inlineStr">
        <is>
          <t>мультфильм</t>
        </is>
      </c>
      <c r="G1559" s="2" t="inlineStr">
        <is>
          <t>БЕЛАРУСЬФИЛЬМ НАЦИОНАЛЬНАЯ КИНОСТУДИЯ - ГП</t>
        </is>
      </c>
      <c r="H1559" s="2" t="n">
        <v>60</v>
      </c>
      <c r="I1559" s="2" t="inlineStr"/>
      <c r="J1559" s="2" t="inlineStr">
        <is>
          <t>да</t>
        </is>
      </c>
      <c r="K1559" s="3" t="inlineStr">
        <is>
          <t>О защите природы, об обитателях заповедных болот (для детей)</t>
        </is>
      </c>
      <c r="L1559" s="2" t="inlineStr">
        <is>
          <t>https://animator.ru/db/?p=show_film&amp;fid=3894</t>
        </is>
      </c>
      <c r="M1559" s="2">
        <f>HYPERLINK("https://ru.wikipedia.org/w/index.php?search=%D0%A2%D0%B8%D1%85%D0%BE%D0%B5%20%D0%B1%D0%BE%D0%BB%D0%BE%D1%82%D0%BE%201979%20%D1%84%D0%B8%D0%BB%D1%8C%D0%BC","искать")</f>
        <v/>
      </c>
      <c r="N1559" s="3" t="n"/>
      <c r="O1559" s="2" t="n"/>
      <c r="P1559" s="2" t="n"/>
    </row>
    <row r="1560">
      <c r="A1560" s="2" t="n">
        <v>1559</v>
      </c>
      <c r="B1560" s="2" t="inlineStr">
        <is>
          <t>не сюжет</t>
        </is>
      </c>
      <c r="C1560" s="2" t="n">
        <v>13242</v>
      </c>
      <c r="D1560" s="3" t="inlineStr">
        <is>
          <t>Мячики</t>
        </is>
      </c>
      <c r="E1560" s="2" t="n">
        <v>1972</v>
      </c>
      <c r="F1560" s="2" t="inlineStr">
        <is>
          <t>мультфильм</t>
        </is>
      </c>
      <c r="G1560" s="2" t="inlineStr">
        <is>
          <t>ТАЛЛИННФИЛЬМ</t>
        </is>
      </c>
      <c r="H1560" s="2" t="n">
        <v>60</v>
      </c>
      <c r="I1560" s="2" t="inlineStr"/>
      <c r="J1560" s="2" t="inlineStr">
        <is>
          <t>да</t>
        </is>
      </c>
      <c r="K1560" s="3" t="inlineStr">
        <is>
          <t>Игра пестрых мячиков, похожих поведением на людей. Для детей</t>
        </is>
      </c>
      <c r="L1560" s="2" t="inlineStr">
        <is>
          <t>https://animator.ru/db/?p=show_film&amp;fid=4487</t>
        </is>
      </c>
      <c r="M1560" s="2">
        <f>HYPERLINK("https://ru.wikipedia.org/w/index.php?search=%D0%9C%D1%8F%D1%87%D0%B8%D0%BA%D0%B8%201972%20%D1%84%D0%B8%D0%BB%D1%8C%D0%BC","искать")</f>
        <v/>
      </c>
      <c r="N1560" s="3" t="n"/>
      <c r="O1560" s="2" t="n"/>
      <c r="P1560" s="2" t="n"/>
    </row>
    <row r="1561">
      <c r="A1561" s="2" t="n">
        <v>1560</v>
      </c>
      <c r="B1561" s="2" t="inlineStr">
        <is>
          <t>не сюжет</t>
        </is>
      </c>
      <c r="C1561" s="2" t="n">
        <v>13710</v>
      </c>
      <c r="D1561" s="3" t="inlineStr">
        <is>
          <t>Испорченная погода</t>
        </is>
      </c>
      <c r="E1561" s="2" t="n">
        <v>1980</v>
      </c>
      <c r="F1561" s="2" t="inlineStr">
        <is>
          <t>мультфильм</t>
        </is>
      </c>
      <c r="G1561" s="2" t="inlineStr">
        <is>
          <t>ЭКРАН</t>
        </is>
      </c>
      <c r="H1561" s="2" t="n">
        <v>60</v>
      </c>
      <c r="I1561" s="2" t="inlineStr"/>
      <c r="J1561" s="2" t="inlineStr">
        <is>
          <t>да</t>
        </is>
      </c>
      <c r="K1561" s="3" t="inlineStr">
        <is>
          <t>Шутливо-"познавательный" фильм о "кухне погоды". Для малышей</t>
        </is>
      </c>
      <c r="L1561" s="2" t="inlineStr">
        <is>
          <t>https://animator.ru/db/?p=show_film&amp;fid=5103</t>
        </is>
      </c>
      <c r="M1561" s="2">
        <f>HYPERLINK("https://ru.wikipedia.org/w/index.php?search=%D0%98%D1%81%D0%BF%D0%BE%D1%80%D1%87%D0%B5%D0%BD%D0%BD%D0%B0%D1%8F%20%D0%BF%D0%BE%D0%B3%D0%BE%D0%B4%D0%B0%201980%20%D1%84%D0%B8%D0%BB%D1%8C%D0%BC","искать")</f>
        <v/>
      </c>
      <c r="N1561" s="3" t="n"/>
      <c r="O1561" s="2" t="n"/>
      <c r="P1561" s="2" t="n"/>
    </row>
    <row r="1562">
      <c r="A1562" s="2" t="n">
        <v>1561</v>
      </c>
      <c r="B1562" s="2" t="inlineStr">
        <is>
          <t>не сюжет</t>
        </is>
      </c>
      <c r="C1562" s="2" t="n">
        <v>13743</v>
      </c>
      <c r="D1562" s="3" t="inlineStr">
        <is>
          <t>Крик</t>
        </is>
      </c>
      <c r="E1562" s="2" t="n">
        <v>1989</v>
      </c>
      <c r="F1562" s="2" t="inlineStr">
        <is>
          <t>мультфильм</t>
        </is>
      </c>
      <c r="G1562" s="2" t="inlineStr">
        <is>
          <t>ЭКРАН</t>
        </is>
      </c>
      <c r="H1562" s="2" t="n">
        <v>60</v>
      </c>
      <c r="I1562" s="2" t="inlineStr"/>
      <c r="J1562" s="2" t="inlineStr">
        <is>
          <t>да</t>
        </is>
      </c>
      <c r="K1562" s="3" t="inlineStr">
        <is>
          <t>Притча о смысле жизни. В фильме использована музыка Вивальди</t>
        </is>
      </c>
      <c r="L1562" s="2" t="inlineStr">
        <is>
          <t>https://animator.ru/db/?p=show_film&amp;fid=5136</t>
        </is>
      </c>
      <c r="M1562" s="2">
        <f>HYPERLINK("https://ru.wikipedia.org/w/index.php?search=%D0%9A%D1%80%D0%B8%D0%BA%201989%20%D1%84%D0%B8%D0%BB%D1%8C%D0%BC","искать")</f>
        <v/>
      </c>
      <c r="N1562" s="3" t="n"/>
      <c r="O1562" s="2" t="n"/>
      <c r="P1562" s="2" t="inlineStr">
        <is>
          <t>ГФФ: «КРИК» 1989 — по сверке другой фильм, не предложено</t>
        </is>
      </c>
    </row>
    <row r="1563">
      <c r="A1563" s="2" t="n">
        <v>1562</v>
      </c>
      <c r="B1563" s="2" t="inlineStr">
        <is>
          <t>не сюжет</t>
        </is>
      </c>
      <c r="C1563" s="2" t="n">
        <v>13764</v>
      </c>
      <c r="D1563" s="3" t="inlineStr">
        <is>
          <t>Метод</t>
        </is>
      </c>
      <c r="E1563" s="2" t="n">
        <v>1987</v>
      </c>
      <c r="F1563" s="2" t="inlineStr">
        <is>
          <t>мультфильм</t>
        </is>
      </c>
      <c r="G1563" s="2" t="inlineStr">
        <is>
          <t>ЭКРАН</t>
        </is>
      </c>
      <c r="H1563" s="2" t="n">
        <v>60</v>
      </c>
      <c r="I1563" s="2" t="inlineStr"/>
      <c r="J1563" s="2" t="inlineStr">
        <is>
          <t>да</t>
        </is>
      </c>
      <c r="K1563" s="3" t="inlineStr">
        <is>
          <t>Шутливый рецепт для тех, кто хочет заставить работать лентяя</t>
        </is>
      </c>
      <c r="L1563" s="2" t="inlineStr">
        <is>
          <t>https://animator.ru/db/?p=show_film&amp;fid=5157</t>
        </is>
      </c>
      <c r="M1563" s="2">
        <f>HYPERLINK("https://ru.wikipedia.org/w/index.php?search=%D0%9C%D0%B5%D1%82%D0%BE%D0%B4%201987%20%D1%84%D0%B8%D0%BB%D1%8C%D0%BC","искать")</f>
        <v/>
      </c>
      <c r="N1563" s="3" t="n"/>
      <c r="O1563" s="2" t="n"/>
      <c r="P1563" s="2" t="n"/>
    </row>
    <row r="1564">
      <c r="A1564" s="2" t="n">
        <v>1563</v>
      </c>
      <c r="B1564" s="2" t="inlineStr">
        <is>
          <t>не сюжет</t>
        </is>
      </c>
      <c r="C1564" s="2" t="n">
        <v>13830</v>
      </c>
      <c r="D1564" s="3" t="inlineStr">
        <is>
          <t>Как не залить соседей</t>
        </is>
      </c>
      <c r="E1564" s="2" t="n">
        <v>1986</v>
      </c>
      <c r="F1564" s="2" t="inlineStr">
        <is>
          <t>мультфильм</t>
        </is>
      </c>
      <c r="G1564" s="2" t="inlineStr">
        <is>
          <t>МУЛЬТТЕЛЕФИЛЬМ ("Экран")</t>
        </is>
      </c>
      <c r="H1564" s="2" t="n">
        <v>60</v>
      </c>
      <c r="I1564" s="2" t="inlineStr"/>
      <c r="J1564" s="2" t="inlineStr">
        <is>
          <t>да</t>
        </is>
      </c>
      <c r="K1564" s="3" t="inlineStr">
        <is>
          <t>Второй фильм из цикла "Полезные советы профессора Чайникова"</t>
        </is>
      </c>
      <c r="L1564" s="2" t="inlineStr">
        <is>
          <t>https://animator.ru/db/?p=show_film&amp;fid=5223</t>
        </is>
      </c>
      <c r="M1564" s="2">
        <f>HYPERLINK("https://ru.wikipedia.org/w/index.php?search=%D0%9A%D0%B0%D0%BA%20%D0%BD%D0%B5%20%D0%B7%D0%B0%D0%BB%D0%B8%D1%82%D1%8C%20%D1%81%D0%BE%D1%81%D0%B5%D0%B4%D0%B5%D0%B9%201986%20%D1%84%D0%B8%D0%BB%D1%8C%D0%BC","искать")</f>
        <v/>
      </c>
      <c r="N1564" s="3" t="n"/>
      <c r="O1564" s="2" t="n"/>
      <c r="P1564" s="2" t="n"/>
    </row>
    <row r="1565">
      <c r="A1565" s="2" t="n">
        <v>1564</v>
      </c>
      <c r="B1565" s="2" t="inlineStr">
        <is>
          <t>не сюжет</t>
        </is>
      </c>
      <c r="C1565" s="2" t="n">
        <v>13831</v>
      </c>
      <c r="D1565" s="3" t="inlineStr">
        <is>
          <t>Как обогреть палатку</t>
        </is>
      </c>
      <c r="E1565" s="2" t="n">
        <v>1986</v>
      </c>
      <c r="F1565" s="2" t="inlineStr">
        <is>
          <t>мультфильм</t>
        </is>
      </c>
      <c r="G1565" s="2" t="inlineStr">
        <is>
          <t>МУЛЬТТЕЛЕФИЛЬМ ("Экран")</t>
        </is>
      </c>
      <c r="H1565" s="2" t="n">
        <v>60</v>
      </c>
      <c r="I1565" s="2" t="inlineStr"/>
      <c r="J1565" s="2" t="inlineStr">
        <is>
          <t>да</t>
        </is>
      </c>
      <c r="K1565" s="3" t="inlineStr">
        <is>
          <t>Третий фильм из цикла "Полезные советы профессора Чайникова"</t>
        </is>
      </c>
      <c r="L1565" s="2" t="inlineStr">
        <is>
          <t>https://animator.ru/db/?p=show_film&amp;fid=5224</t>
        </is>
      </c>
      <c r="M1565" s="2">
        <f>HYPERLINK("https://ru.wikipedia.org/w/index.php?search=%D0%9A%D0%B0%D0%BA%20%D0%BE%D0%B1%D0%BE%D0%B3%D1%80%D0%B5%D1%82%D1%8C%20%D0%BF%D0%B0%D0%BB%D0%B0%D1%82%D0%BA%D1%83%201986%20%D1%84%D0%B8%D0%BB%D1%8C%D0%BC","искать")</f>
        <v/>
      </c>
      <c r="N1565" s="3" t="n"/>
      <c r="O1565" s="2" t="n"/>
      <c r="P1565" s="2" t="n"/>
    </row>
    <row r="1566">
      <c r="A1566" s="2" t="n">
        <v>1565</v>
      </c>
      <c r="B1566" s="2" t="inlineStr">
        <is>
          <t>не сюжет</t>
        </is>
      </c>
      <c r="C1566" s="2" t="n">
        <v>14209</v>
      </c>
      <c r="D1566" s="3" t="inlineStr">
        <is>
          <t>Леди и джентльмены</t>
        </is>
      </c>
      <c r="E1566" s="2" t="n">
        <v>1986</v>
      </c>
      <c r="F1566" s="2" t="inlineStr">
        <is>
          <t>мультфильм</t>
        </is>
      </c>
      <c r="G1566" s="2" t="inlineStr">
        <is>
          <t>МОЛДОВА-ФИЛЬМ</t>
        </is>
      </c>
      <c r="H1566" s="2" t="n">
        <v>60</v>
      </c>
      <c r="I1566" s="2" t="inlineStr"/>
      <c r="J1566" s="2" t="inlineStr">
        <is>
          <t>да</t>
        </is>
      </c>
      <c r="K1566" s="3" t="inlineStr">
        <is>
          <t>Об испытаниях, выпадающих порой на долю женщин. Для взрослых</t>
        </is>
      </c>
      <c r="L1566" s="2" t="inlineStr">
        <is>
          <t>https://animator.ru/db/?p=show_film&amp;fid=5608</t>
        </is>
      </c>
      <c r="M1566" s="2">
        <f>HYPERLINK("https://ru.wikipedia.org/w/index.php?search=%D0%9B%D0%B5%D0%B4%D0%B8%20%D0%B8%20%D0%B4%D0%B6%D0%B5%D0%BD%D1%82%D0%BB%D1%8C%D0%BC%D0%B5%D0%BD%D1%8B%201986%20%D1%84%D0%B8%D0%BB%D1%8C%D0%BC","искать")</f>
        <v/>
      </c>
      <c r="N1566" s="3" t="n"/>
      <c r="O1566" s="2" t="n"/>
      <c r="P1566" s="2" t="n"/>
    </row>
    <row r="1567">
      <c r="A1567" s="2" t="n">
        <v>1566</v>
      </c>
      <c r="B1567" s="2" t="inlineStr">
        <is>
          <t>не сюжет</t>
        </is>
      </c>
      <c r="C1567" s="2" t="n">
        <v>8734</v>
      </c>
      <c r="D1567" s="3" t="inlineStr">
        <is>
          <t>Здесь начинается милиция</t>
        </is>
      </c>
      <c r="E1567" s="2" t="n">
        <v>1966</v>
      </c>
      <c r="F1567" s="2" t="inlineStr">
        <is>
          <t>кинофильм</t>
        </is>
      </c>
      <c r="G1567" s="2" t="n"/>
      <c r="H1567" s="2" t="n">
        <v>61</v>
      </c>
      <c r="I1567" s="2" t="inlineStr"/>
      <c r="J1567" s="2" t="inlineStr">
        <is>
          <t>да</t>
        </is>
      </c>
      <c r="K1567" s="3" t="inlineStr">
        <is>
          <t>О важности и сложности работы дежурного по отделению милиции.</t>
        </is>
      </c>
      <c r="L1567" s="2" t="inlineStr">
        <is>
          <t>Кино_СССР сводный каталог.xlsx: список фильмов (доп.)</t>
        </is>
      </c>
      <c r="M1567" s="2">
        <f>HYPERLINK("https://ru.wikipedia.org/w/index.php?search=%D0%97%D0%B4%D0%B5%D1%81%D1%8C%20%D0%BD%D0%B0%D1%87%D0%B8%D0%BD%D0%B0%D0%B5%D1%82%D1%81%D1%8F%20%D0%BC%D0%B8%D0%BB%D0%B8%D1%86%D0%B8%D1%8F%201966%20%D1%84%D0%B8%D0%BB%D1%8C%D0%BC","искать")</f>
        <v/>
      </c>
      <c r="N1567" s="3" t="n"/>
      <c r="O1567" s="2" t="n"/>
      <c r="P1567" s="2" t="n"/>
    </row>
    <row r="1568">
      <c r="A1568" s="2" t="n">
        <v>1567</v>
      </c>
      <c r="B1568" s="2" t="inlineStr">
        <is>
          <t>не сюжет</t>
        </is>
      </c>
      <c r="C1568" s="2" t="n">
        <v>9141</v>
      </c>
      <c r="D1568" s="3" t="inlineStr">
        <is>
          <t>Фронт</t>
        </is>
      </c>
      <c r="E1568" s="2" t="n">
        <v>1931</v>
      </c>
      <c r="F1568" s="2" t="inlineStr">
        <is>
          <t>кинофильм</t>
        </is>
      </c>
      <c r="G1568" s="2" t="n"/>
      <c r="H1568" s="2" t="n">
        <v>61</v>
      </c>
      <c r="I1568" s="2" t="inlineStr"/>
      <c r="J1568" s="2" t="inlineStr">
        <is>
          <t>да</t>
        </is>
      </c>
      <c r="K1568" s="3" t="inlineStr">
        <is>
          <t>Фильм в традициях агитпропа на тему механизации шахт Донбасса</t>
        </is>
      </c>
      <c r="L1568" s="2" t="inlineStr">
        <is>
          <t>Кино_СССР сводный каталог.xlsx: список фильмов (доп.)</t>
        </is>
      </c>
      <c r="M1568" s="2">
        <f>HYPERLINK("https://ru.wikipedia.org/w/index.php?search=%D0%A4%D1%80%D0%BE%D0%BD%D1%82%201931%20%D1%84%D0%B8%D0%BB%D1%8C%D0%BC","искать")</f>
        <v/>
      </c>
      <c r="N1568" s="3" t="n"/>
      <c r="O1568" s="2" t="n"/>
      <c r="P1568" s="2" t="n"/>
    </row>
    <row r="1569">
      <c r="A1569" s="2" t="n">
        <v>1568</v>
      </c>
      <c r="B1569" s="2" t="inlineStr">
        <is>
          <t>не сюжет</t>
        </is>
      </c>
      <c r="C1569" s="2" t="n">
        <v>9247</v>
      </c>
      <c r="D1569" s="3" t="inlineStr">
        <is>
          <t>Боевой киносборник "Юные партизаны"</t>
        </is>
      </c>
      <c r="E1569" s="2" t="n">
        <v>1942</v>
      </c>
      <c r="F1569" s="2" t="inlineStr">
        <is>
          <t>кинофильм</t>
        </is>
      </c>
      <c r="G1569" s="2" t="n"/>
      <c r="H1569" s="2" t="n">
        <v>61</v>
      </c>
      <c r="I1569" s="2" t="inlineStr"/>
      <c r="J1569" s="2" t="inlineStr">
        <is>
          <t>да</t>
        </is>
      </c>
      <c r="K1569" s="3" t="inlineStr">
        <is>
          <t>В сборник входит 2 новеллы: "Левко", "Учительница Карташова".</t>
        </is>
      </c>
      <c r="L1569" s="2" t="inlineStr">
        <is>
          <t>Кино_СССР сводный каталог.xlsx: список фильмов (доп.)</t>
        </is>
      </c>
      <c r="M1569" s="2">
        <f>HYPERLINK("https://ru.wikipedia.org/w/index.php?search=%D0%91%D0%BE%D0%B5%D0%B2%D0%BE%D0%B9%20%D0%BA%D0%B8%D0%BD%D0%BE%D1%81%D0%B1%D0%BE%D1%80%D0%BD%D0%B8%D0%BA%20%22%D0%AE%D0%BD%D1%8B%D0%B5%20%D0%BF%D0%B0%D1%80%D1%82%D0%B8%D0%B7%D0%B0%D0%BD%D1%8B%22%201942%20%D1%84%D0%B8%D0%BB%D1%8C%D0%BC","искать")</f>
        <v/>
      </c>
      <c r="N1569" s="3" t="n"/>
      <c r="O1569" s="2" t="n"/>
      <c r="P1569" s="2" t="n"/>
    </row>
    <row r="1570">
      <c r="A1570" s="2" t="n">
        <v>1569</v>
      </c>
      <c r="B1570" s="2" t="inlineStr">
        <is>
          <t>не сюжет</t>
        </is>
      </c>
      <c r="C1570" s="2" t="n">
        <v>9623</v>
      </c>
      <c r="D1570" s="3" t="inlineStr">
        <is>
          <t>Рок и фортуна</t>
        </is>
      </c>
      <c r="E1570" s="2" t="n">
        <v>1989</v>
      </c>
      <c r="F1570" s="2" t="inlineStr">
        <is>
          <t>кинофильм</t>
        </is>
      </c>
      <c r="G1570" s="2" t="n"/>
      <c r="H1570" s="2" t="n">
        <v>61</v>
      </c>
      <c r="I1570" s="2" t="inlineStr"/>
      <c r="J1570" s="2" t="inlineStr">
        <is>
          <t>да</t>
        </is>
      </c>
      <c r="K1570" s="3" t="inlineStr">
        <is>
          <t>Музыкальная киноповесть о популярной группе “Машина времени”.</t>
        </is>
      </c>
      <c r="L1570" s="2" t="inlineStr">
        <is>
          <t>Кино_СССР сводный каталог.xlsx: список фильмов (доп.)</t>
        </is>
      </c>
      <c r="M1570" s="2">
        <f>HYPERLINK("https://ru.wikipedia.org/w/index.php?search=%D0%A0%D0%BE%D0%BA%20%D0%B8%20%D1%84%D0%BE%D1%80%D1%82%D1%83%D0%BD%D0%B0%201989%20%D1%84%D0%B8%D0%BB%D1%8C%D0%BC","искать")</f>
        <v/>
      </c>
      <c r="N1570" s="3" t="n"/>
      <c r="O1570" s="2" t="n"/>
      <c r="P1570" s="2" t="n"/>
    </row>
    <row r="1571">
      <c r="A1571" s="2" t="n">
        <v>1570</v>
      </c>
      <c r="B1571" s="2" t="inlineStr">
        <is>
          <t>не сюжет</t>
        </is>
      </c>
      <c r="C1571" s="2" t="n">
        <v>10108</v>
      </c>
      <c r="D1571" s="3" t="inlineStr">
        <is>
          <t>Комендант снежной крепости</t>
        </is>
      </c>
      <c r="E1571" s="2" t="n">
        <v>1963</v>
      </c>
      <c r="F1571" s="2" t="inlineStr">
        <is>
          <t>фильм-спектакль</t>
        </is>
      </c>
      <c r="G1571" s="2" t="n"/>
      <c r="H1571" s="2" t="n">
        <v>61</v>
      </c>
      <c r="I1571" s="2" t="inlineStr"/>
      <c r="J1571" s="2" t="inlineStr">
        <is>
          <t>да</t>
        </is>
      </c>
      <c r="K1571" s="3" t="inlineStr">
        <is>
          <t>Телеспектакль по мотивам одноименной повести Аркадия Гайдара.</t>
        </is>
      </c>
      <c r="L1571" s="2" t="inlineStr">
        <is>
          <t>https://www.kino-teatr.ru/teatr/movie/103641/annot/</t>
        </is>
      </c>
      <c r="M1571" s="2">
        <f>HYPERLINK("https://ru.wikipedia.org/w/index.php?search=%D0%9A%D0%BE%D0%BC%D0%B5%D0%BD%D0%B4%D0%B0%D0%BD%D1%82%20%D1%81%D0%BD%D0%B5%D0%B6%D0%BD%D0%BE%D0%B9%20%D0%BA%D1%80%D0%B5%D0%BF%D0%BE%D1%81%D1%82%D0%B8%201963%20%D1%84%D0%B8%D0%BB%D1%8C%D0%BC","искать")</f>
        <v/>
      </c>
      <c r="N1571" s="3" t="n"/>
      <c r="O1571" s="2" t="n"/>
      <c r="P1571" s="2" t="n"/>
    </row>
    <row r="1572">
      <c r="A1572" s="2" t="n">
        <v>1571</v>
      </c>
      <c r="B1572" s="2" t="inlineStr">
        <is>
          <t>не сюжет</t>
        </is>
      </c>
      <c r="C1572" s="2" t="n">
        <v>10286</v>
      </c>
      <c r="D1572" s="3" t="inlineStr">
        <is>
          <t>Аргонавты</t>
        </is>
      </c>
      <c r="E1572" s="2" t="n">
        <v>1969</v>
      </c>
      <c r="F1572" s="2" t="inlineStr">
        <is>
          <t>фильм-спектакль</t>
        </is>
      </c>
      <c r="G1572" s="2" t="inlineStr">
        <is>
          <t>Ленинградское телевидение</t>
        </is>
      </c>
      <c r="H1572" s="2" t="n">
        <v>61</v>
      </c>
      <c r="I1572" s="2" t="inlineStr"/>
      <c r="J1572" s="2" t="inlineStr">
        <is>
          <t>да</t>
        </is>
      </c>
      <c r="K1572" s="3" t="inlineStr">
        <is>
          <t>По пьесе Юлиу Эдлиса.
О молодежи, о любви, о поисках счастья.</t>
        </is>
      </c>
      <c r="L1572" s="2" t="inlineStr">
        <is>
          <t>https://www.kino-teatr.ru/teatr/movie/136676/annot/</t>
        </is>
      </c>
      <c r="M1572" s="2">
        <f>HYPERLINK("https://ru.wikipedia.org/w/index.php?search=%D0%90%D1%80%D0%B3%D0%BE%D0%BD%D0%B0%D0%B2%D1%82%D1%8B%201969%20%D1%84%D0%B8%D0%BB%D1%8C%D0%BC","искать")</f>
        <v/>
      </c>
      <c r="N1572" s="3" t="n"/>
      <c r="O1572" s="2" t="n"/>
      <c r="P1572" s="2" t="n"/>
    </row>
    <row r="1573">
      <c r="A1573" s="2" t="n">
        <v>1572</v>
      </c>
      <c r="B1573" s="2" t="inlineStr">
        <is>
          <t>не сюжет</t>
        </is>
      </c>
      <c r="C1573" s="2" t="n">
        <v>10983</v>
      </c>
      <c r="D1573" s="3" t="inlineStr">
        <is>
          <t>Вишнёвый сад</t>
        </is>
      </c>
      <c r="E1573" s="2" t="n">
        <v>1983</v>
      </c>
      <c r="F1573" s="2" t="inlineStr">
        <is>
          <t>фильм-спектакль</t>
        </is>
      </c>
      <c r="G1573" s="2" t="inlineStr">
        <is>
          <t>Главная редакция литературно-драматических программ Гостелерадио СССР</t>
        </is>
      </c>
      <c r="H1573" s="2" t="n">
        <v>61</v>
      </c>
      <c r="I1573" s="2" t="inlineStr"/>
      <c r="J1573" s="2" t="inlineStr">
        <is>
          <t>да</t>
        </is>
      </c>
      <c r="K1573" s="3" t="inlineStr">
        <is>
          <t>Постановка Государственного академического Малого театра СССР</t>
        </is>
      </c>
      <c r="L1573" s="2" t="inlineStr">
        <is>
          <t>https://www.kino-teatr.ru/teatr/movie/10728/annot/</t>
        </is>
      </c>
      <c r="M1573" s="2">
        <f>HYPERLINK("https://ru.wikipedia.org/w/index.php?search=%D0%92%D0%B8%D1%88%D0%BD%D1%91%D0%B2%D1%8B%D0%B9%20%D1%81%D0%B0%D0%B4%201983%20%D1%84%D0%B8%D0%BB%D1%8C%D0%BC","искать")</f>
        <v/>
      </c>
      <c r="N1573" s="3" t="n"/>
      <c r="O1573" s="2" t="n"/>
      <c r="P1573" s="2" t="n"/>
    </row>
    <row r="1574">
      <c r="A1574" s="2" t="n">
        <v>1573</v>
      </c>
      <c r="B1574" s="2" t="inlineStr">
        <is>
          <t>не сюжет</t>
        </is>
      </c>
      <c r="C1574" s="2" t="n">
        <v>11489</v>
      </c>
      <c r="D1574" s="3" t="inlineStr">
        <is>
          <t>Светлячок (ч. 8)</t>
        </is>
      </c>
      <c r="E1574" s="2" t="n">
        <v>1968</v>
      </c>
      <c r="F1574" s="2" t="inlineStr">
        <is>
          <t>мультфильм</t>
        </is>
      </c>
      <c r="G1574" s="2" t="inlineStr">
        <is>
          <t>Союзмультфильм</t>
        </is>
      </c>
      <c r="H1574" s="2" t="n">
        <v>61</v>
      </c>
      <c r="I1574" s="2" t="inlineStr"/>
      <c r="J1574" s="2" t="inlineStr">
        <is>
          <t>да</t>
        </is>
      </c>
      <c r="K1574" s="3" t="inlineStr">
        <is>
          <t>Три сюжета: "Карандаш заболел", "Дай купиподария" и "Шарики".</t>
        </is>
      </c>
      <c r="L1574" s="2" t="inlineStr">
        <is>
          <t>2026-10_мультфильмы_список_владельца.xlsx; https://animator.ru/db/?p=show_film&amp;fid=2260</t>
        </is>
      </c>
      <c r="M1574" s="2">
        <f>HYPERLINK("https://ru.wikipedia.org/w/index.php?search=%D0%A1%D0%B2%D0%B5%D1%82%D0%BB%D1%8F%D1%87%D0%BE%D0%BA%20%28%D1%87.%208%29%201968%20%D1%84%D0%B8%D0%BB%D1%8C%D0%BC","искать")</f>
        <v/>
      </c>
      <c r="N1574" s="3" t="n"/>
      <c r="O1574" s="2" t="n"/>
      <c r="P1574" s="2" t="n"/>
    </row>
    <row r="1575">
      <c r="A1575" s="2" t="n">
        <v>1574</v>
      </c>
      <c r="B1575" s="2" t="inlineStr">
        <is>
          <t>не сюжет</t>
        </is>
      </c>
      <c r="C1575" s="2" t="n">
        <v>11544</v>
      </c>
      <c r="D1575" s="3" t="inlineStr">
        <is>
          <t>ЗАПОВЕДНИК ("Фитиль" N 7)</t>
        </is>
      </c>
      <c r="E1575" s="2" t="n">
        <v>1963</v>
      </c>
      <c r="F1575" s="2" t="inlineStr">
        <is>
          <t>мультфильм</t>
        </is>
      </c>
      <c r="G1575" s="2" t="inlineStr">
        <is>
          <t>Союзмультфильм</t>
        </is>
      </c>
      <c r="H1575" s="2" t="n">
        <v>61</v>
      </c>
      <c r="I1575" s="2" t="inlineStr"/>
      <c r="J1575" s="2" t="inlineStr">
        <is>
          <t>да</t>
        </is>
      </c>
      <c r="K1575" s="3" t="inlineStr">
        <is>
          <t>О лженауке, на которую расходуются огромные народные средства</t>
        </is>
      </c>
      <c r="L1575" s="2" t="inlineStr">
        <is>
          <t>https://animator.ru/db/?p=show_film&amp;fid=2376</t>
        </is>
      </c>
      <c r="M1575" s="2">
        <f>HYPERLINK("https://ru.wikipedia.org/w/index.php?search=%D0%97%D0%90%D0%9F%D0%9E%D0%92%D0%95%D0%94%D0%9D%D0%98%D0%9A%20%28%22%D0%A4%D0%B8%D1%82%D0%B8%D0%BB%D1%8C%22%20N%207%29%201963%20%D1%84%D0%B8%D0%BB%D1%8C%D0%BC","искать")</f>
        <v/>
      </c>
      <c r="N1575" s="3" t="n"/>
      <c r="O1575" s="2" t="n"/>
      <c r="P1575" s="2" t="n"/>
    </row>
    <row r="1576">
      <c r="A1576" s="2" t="n">
        <v>1575</v>
      </c>
      <c r="B1576" s="2" t="inlineStr">
        <is>
          <t>не сюжет</t>
        </is>
      </c>
      <c r="C1576" s="2" t="n">
        <v>11675</v>
      </c>
      <c r="D1576" s="3" t="inlineStr">
        <is>
          <t>Мама</t>
        </is>
      </c>
      <c r="E1576" s="2" t="n">
        <v>1972</v>
      </c>
      <c r="F1576" s="2" t="inlineStr">
        <is>
          <t>мультфильм</t>
        </is>
      </c>
      <c r="G1576" s="2" t="inlineStr">
        <is>
          <t>Союзмультфильм</t>
        </is>
      </c>
      <c r="H1576" s="2" t="n">
        <v>61</v>
      </c>
      <c r="I1576" s="2" t="inlineStr"/>
      <c r="J1576" s="2" t="inlineStr">
        <is>
          <t>да</t>
        </is>
      </c>
      <c r="K1576" s="3" t="inlineStr">
        <is>
          <t>О том, как опасно оставлять детей без присмотра. Для взрослых</t>
        </is>
      </c>
      <c r="L1576" s="2" t="inlineStr">
        <is>
          <t>https://animator.ru/db/?p=show_film&amp;fid=2589</t>
        </is>
      </c>
      <c r="M1576" s="2">
        <f>HYPERLINK("https://ru.wikipedia.org/w/index.php?search=%D0%9C%D0%B0%D0%BC%D0%B0%201972%20%D1%84%D0%B8%D0%BB%D1%8C%D0%BC","искать")</f>
        <v/>
      </c>
      <c r="N1576" s="3" t="n"/>
      <c r="O1576" s="2" t="n"/>
      <c r="P1576" s="2" t="n"/>
    </row>
    <row r="1577">
      <c r="A1577" s="2" t="n">
        <v>1576</v>
      </c>
      <c r="B1577" s="2" t="inlineStr">
        <is>
          <t>не сюжет</t>
        </is>
      </c>
      <c r="C1577" s="2" t="n">
        <v>11701</v>
      </c>
      <c r="D1577" s="3" t="inlineStr">
        <is>
          <t>Детство Ратибора</t>
        </is>
      </c>
      <c r="E1577" s="2" t="n">
        <v>1973</v>
      </c>
      <c r="F1577" s="2" t="inlineStr">
        <is>
          <t>мультфильм</t>
        </is>
      </c>
      <c r="G1577" s="2" t="inlineStr">
        <is>
          <t>Союзмультфильм</t>
        </is>
      </c>
      <c r="H1577" s="2" t="n">
        <v>61</v>
      </c>
      <c r="I1577" s="2" t="inlineStr"/>
      <c r="J1577" s="2" t="inlineStr">
        <is>
          <t>да</t>
        </is>
      </c>
      <c r="K1577" s="3" t="inlineStr">
        <is>
          <t>По мотивам исторического романа В.Иванова "Русь изначальная".</t>
        </is>
      </c>
      <c r="L1577" s="2" t="inlineStr">
        <is>
          <t>2026-10_мультфильмы_список_владельца.xlsx; https://animator.ru/db/?p=show_film&amp;fid=2615</t>
        </is>
      </c>
      <c r="M1577" s="2">
        <f>HYPERLINK("https://ru.wikipedia.org/w/index.php?search=%D0%94%D0%B5%D1%82%D1%81%D1%82%D0%B2%D0%BE%20%D0%A0%D0%B0%D1%82%D0%B8%D0%B1%D0%BE%D1%80%D0%B0%201973%20%D1%84%D0%B8%D0%BB%D1%8C%D0%BC","искать")</f>
        <v/>
      </c>
      <c r="N1577" s="3" t="n"/>
      <c r="O1577" s="2" t="n"/>
      <c r="P1577" s="2" t="n"/>
    </row>
    <row r="1578">
      <c r="A1578" s="2" t="n">
        <v>1577</v>
      </c>
      <c r="B1578" s="2" t="inlineStr">
        <is>
          <t>не сюжет</t>
        </is>
      </c>
      <c r="C1578" s="2" t="n">
        <v>11795</v>
      </c>
      <c r="D1578" s="3" t="inlineStr">
        <is>
          <t>Дом который построил Джек</t>
        </is>
      </c>
      <c r="E1578" s="2" t="n">
        <v>1976</v>
      </c>
      <c r="F1578" s="2" t="inlineStr">
        <is>
          <t>мультфильм</t>
        </is>
      </c>
      <c r="G1578" s="2" t="inlineStr">
        <is>
          <t>Союзмультфильм</t>
        </is>
      </c>
      <c r="H1578" s="2" t="n">
        <v>61</v>
      </c>
      <c r="I1578" s="2" t="inlineStr"/>
      <c r="J1578" s="2" t="inlineStr">
        <is>
          <t>да</t>
        </is>
      </c>
      <c r="K1578" s="3" t="inlineStr">
        <is>
          <t>По одноименному английскому стихотворению в переводе Маршака.</t>
        </is>
      </c>
      <c r="L1578" s="2" t="inlineStr">
        <is>
          <t>2026-10_мультфильмы_список_владельца.xlsx; https://animator.ru/db/?p=show_film&amp;fid=2709</t>
        </is>
      </c>
      <c r="M1578" s="2">
        <f>HYPERLINK("https://ru.wikipedia.org/w/index.php?search=%D0%94%D0%BE%D0%BC%20%D0%BA%D0%BE%D1%82%D0%BE%D1%80%D1%8B%D0%B9%20%D0%BF%D0%BE%D1%81%D1%82%D1%80%D0%BE%D0%B8%D0%BB%20%D0%94%D0%B6%D0%B5%D0%BA%201976%20%D1%84%D0%B8%D0%BB%D1%8C%D0%BC","искать")</f>
        <v/>
      </c>
      <c r="N1578" s="3" t="n"/>
      <c r="O1578" s="2" t="n"/>
      <c r="P1578" s="2" t="n"/>
    </row>
    <row r="1579">
      <c r="A1579" s="2" t="n">
        <v>1578</v>
      </c>
      <c r="B1579" s="2" t="inlineStr">
        <is>
          <t>не сюжет</t>
        </is>
      </c>
      <c r="C1579" s="2" t="n">
        <v>11942</v>
      </c>
      <c r="D1579" s="3" t="inlineStr">
        <is>
          <t>Мореплавание Солнышкина</t>
        </is>
      </c>
      <c r="E1579" s="2" t="n">
        <v>1980</v>
      </c>
      <c r="F1579" s="2" t="inlineStr">
        <is>
          <t>мультфильм</t>
        </is>
      </c>
      <c r="G1579" s="2" t="inlineStr">
        <is>
          <t>Союзмультфильм</t>
        </is>
      </c>
      <c r="H1579" s="2" t="n">
        <v>61</v>
      </c>
      <c r="I1579" s="2" t="inlineStr"/>
      <c r="J1579" s="2" t="inlineStr">
        <is>
          <t>да</t>
        </is>
      </c>
      <c r="K1579" s="3" t="inlineStr">
        <is>
          <t>О стремлении ребят овладеть романтической морской профессией.</t>
        </is>
      </c>
      <c r="L1579" s="2" t="inlineStr">
        <is>
          <t>https://animator.ru/db/?p=show_film&amp;fid=2858</t>
        </is>
      </c>
      <c r="M1579" s="2">
        <f>HYPERLINK("https://ru.wikipedia.org/w/index.php?search=%D0%9C%D0%BE%D1%80%D0%B5%D0%BF%D0%BB%D0%B0%D0%B2%D0%B0%D0%BD%D0%B8%D0%B5%20%D0%A1%D0%BE%D0%BB%D0%BD%D1%8B%D1%88%D0%BA%D0%B8%D0%BD%D0%B0%201980%20%D1%84%D0%B8%D0%BB%D1%8C%D0%BC","искать")</f>
        <v/>
      </c>
      <c r="N1579" s="3" t="n"/>
      <c r="O1579" s="2" t="n"/>
      <c r="P1579" s="2" t="n"/>
    </row>
    <row r="1580">
      <c r="A1580" s="2" t="n">
        <v>1579</v>
      </c>
      <c r="B1580" s="2" t="inlineStr">
        <is>
          <t>не сюжет</t>
        </is>
      </c>
      <c r="C1580" s="2" t="n">
        <v>11943</v>
      </c>
      <c r="D1580" s="3" t="inlineStr">
        <is>
          <t>На задней парте (выпуск 2)</t>
        </is>
      </c>
      <c r="E1580" s="2" t="n">
        <v>1980</v>
      </c>
      <c r="F1580" s="2" t="inlineStr">
        <is>
          <t>мультфильм</t>
        </is>
      </c>
      <c r="G1580" s="2" t="inlineStr">
        <is>
          <t>Союзмультфильм</t>
        </is>
      </c>
      <c r="H1580" s="2" t="n">
        <v>61</v>
      </c>
      <c r="I1580" s="2" t="inlineStr"/>
      <c r="J1580" s="2" t="inlineStr">
        <is>
          <t>да</t>
        </is>
      </c>
      <c r="K1580" s="3" t="inlineStr">
        <is>
          <t>Комические истории о соседях по парте - отличнице и озорнике.</t>
        </is>
      </c>
      <c r="L1580" s="2" t="inlineStr">
        <is>
          <t>2026-10_мультфильмы_список_владельца.xlsx; https://animator.ru/db/?p=show_film&amp;fid=2859</t>
        </is>
      </c>
      <c r="M1580" s="2">
        <f>HYPERLINK("https://ru.wikipedia.org/w/index.php?search=%D0%9D%D0%B0%20%D0%B7%D0%B0%D0%B4%D0%BD%D0%B5%D0%B9%20%D0%BF%D0%B0%D1%80%D1%82%D0%B5%20%28%D0%B2%D1%8B%D0%BF%D1%83%D1%81%D0%BA%202%29%201980%20%D1%84%D0%B8%D0%BB%D1%8C%D0%BC","искать")</f>
        <v/>
      </c>
      <c r="N1580" s="3" t="n"/>
      <c r="O1580" s="2" t="n"/>
      <c r="P1580" s="2" t="n"/>
    </row>
    <row r="1581">
      <c r="A1581" s="2" t="n">
        <v>1580</v>
      </c>
      <c r="B1581" s="2" t="inlineStr">
        <is>
          <t>не сюжет</t>
        </is>
      </c>
      <c r="C1581" s="2" t="n">
        <v>12046</v>
      </c>
      <c r="D1581" s="3" t="inlineStr">
        <is>
          <t>Конфликт</t>
        </is>
      </c>
      <c r="E1581" s="2" t="n">
        <v>1983</v>
      </c>
      <c r="F1581" s="2" t="inlineStr">
        <is>
          <t>мультфильм</t>
        </is>
      </c>
      <c r="G1581" s="2" t="inlineStr">
        <is>
          <t>Союзмультфильм</t>
        </is>
      </c>
      <c r="H1581" s="2" t="n">
        <v>61</v>
      </c>
      <c r="I1581" s="2" t="inlineStr"/>
      <c r="J1581" s="2" t="inlineStr">
        <is>
          <t>да</t>
        </is>
      </c>
      <c r="K1581" s="3" t="inlineStr">
        <is>
          <t>В фильме использована музыка композитора А.Марчелло. Объемный</t>
        </is>
      </c>
      <c r="L1581" s="2" t="inlineStr">
        <is>
          <t>2026-10_мультфильмы_список_владельца.xlsx; https://animator.ru/db/?p=show_film&amp;fid=3161</t>
        </is>
      </c>
      <c r="M1581" s="2">
        <f>HYPERLINK("https://ru.wikipedia.org/w/index.php?search=%D0%9A%D0%BE%D0%BD%D1%84%D0%BB%D0%B8%D0%BA%D1%82%201983%20%D1%84%D0%B8%D0%BB%D1%8C%D0%BC","искать")</f>
        <v/>
      </c>
      <c r="N1581" s="3" t="n"/>
      <c r="O1581" s="2" t="n"/>
      <c r="P1581" s="2" t="n"/>
    </row>
    <row r="1582">
      <c r="A1582" s="2" t="n">
        <v>1581</v>
      </c>
      <c r="B1582" s="2" t="inlineStr">
        <is>
          <t>не сюжет</t>
        </is>
      </c>
      <c r="C1582" s="2" t="n">
        <v>12210</v>
      </c>
      <c r="D1582" s="3" t="inlineStr">
        <is>
          <t>Коротышка - зеленые штанишки</t>
        </is>
      </c>
      <c r="E1582" s="2" t="n">
        <v>1987</v>
      </c>
      <c r="F1582" s="2" t="inlineStr">
        <is>
          <t>мультфильм</t>
        </is>
      </c>
      <c r="G1582" s="2" t="inlineStr">
        <is>
          <t>Союзмультфильм</t>
        </is>
      </c>
      <c r="H1582" s="2" t="n">
        <v>61</v>
      </c>
      <c r="I1582" s="2" t="inlineStr"/>
      <c r="J1582" s="2" t="inlineStr">
        <is>
          <t>да</t>
        </is>
      </c>
      <c r="K1582" s="3" t="inlineStr">
        <is>
          <t>По сказке латышского писателя Ж.Гривы о непоседе-черепашонке.</t>
        </is>
      </c>
      <c r="L1582" s="2" t="inlineStr">
        <is>
          <t>2026-10_мультфильмы_список_владельца.xlsx; https://animator.ru/db/?p=show_film&amp;fid=3327</t>
        </is>
      </c>
      <c r="M1582" s="2">
        <f>HYPERLINK("https://ru.wikipedia.org/w/index.php?search=%D0%9A%D0%BE%D1%80%D0%BE%D1%82%D1%8B%D1%88%D0%BA%D0%B0%20-%20%D0%B7%D0%B5%D0%BB%D0%B5%D0%BD%D1%8B%D0%B5%20%D1%88%D1%82%D0%B0%D0%BD%D0%B8%D1%88%D0%BA%D0%B8%201987%20%D1%84%D0%B8%D0%BB%D1%8C%D0%BC","искать")</f>
        <v/>
      </c>
      <c r="N1582" s="3" t="n"/>
      <c r="O1582" s="2" t="n"/>
      <c r="P1582" s="2" t="n"/>
    </row>
    <row r="1583">
      <c r="A1583" s="2" t="n">
        <v>1582</v>
      </c>
      <c r="B1583" s="2" t="inlineStr">
        <is>
          <t>не сюжет</t>
        </is>
      </c>
      <c r="C1583" s="2" t="n">
        <v>12251</v>
      </c>
      <c r="D1583" s="3" t="inlineStr">
        <is>
          <t>Лев и девять гиен</t>
        </is>
      </c>
      <c r="E1583" s="2" t="n">
        <v>1988</v>
      </c>
      <c r="F1583" s="2" t="inlineStr">
        <is>
          <t>мультфильм</t>
        </is>
      </c>
      <c r="G1583" s="2" t="inlineStr">
        <is>
          <t>Союзмультфильм</t>
        </is>
      </c>
      <c r="H1583" s="2" t="n">
        <v>61</v>
      </c>
      <c r="I1583" s="2" t="inlineStr"/>
      <c r="J1583" s="2" t="inlineStr">
        <is>
          <t>да</t>
        </is>
      </c>
      <c r="K1583" s="3" t="inlineStr">
        <is>
          <t>По мотивам африканской народной сказки в пересказе В.Важдаева</t>
        </is>
      </c>
      <c r="L1583" s="2" t="inlineStr">
        <is>
          <t>https://animator.ru/db/?p=show_film&amp;fid=3368</t>
        </is>
      </c>
      <c r="M1583" s="2">
        <f>HYPERLINK("https://ru.wikipedia.org/w/index.php?search=%D0%9B%D0%B5%D0%B2%20%D0%B8%20%D0%B4%D0%B5%D0%B2%D1%8F%D1%82%D1%8C%20%D0%B3%D0%B8%D0%B5%D0%BD%201988%20%D1%84%D0%B8%D0%BB%D1%8C%D0%BC","искать")</f>
        <v/>
      </c>
      <c r="N1583" s="3" t="n"/>
      <c r="O1583" s="2" t="n"/>
      <c r="P1583" s="2" t="n"/>
    </row>
    <row r="1584">
      <c r="A1584" s="2" t="n">
        <v>1583</v>
      </c>
      <c r="B1584" s="2" t="inlineStr">
        <is>
          <t>не сюжет</t>
        </is>
      </c>
      <c r="C1584" s="2" t="n">
        <v>12750</v>
      </c>
      <c r="D1584" s="3" t="inlineStr">
        <is>
          <t>Невеста солнца</t>
        </is>
      </c>
      <c r="E1584" s="2" t="n">
        <v>1972</v>
      </c>
      <c r="F1584" s="2" t="inlineStr">
        <is>
          <t>мультфильм</t>
        </is>
      </c>
      <c r="G1584" s="2" t="inlineStr">
        <is>
          <t>АРМЕНФИЛЬМ</t>
        </is>
      </c>
      <c r="H1584" s="2" t="n">
        <v>61</v>
      </c>
      <c r="I1584" s="2" t="inlineStr"/>
      <c r="J1584" s="2" t="inlineStr">
        <is>
          <t>да</t>
        </is>
      </c>
      <c r="K1584" s="3" t="inlineStr">
        <is>
          <t>VI ВКФ, Алма-Ата 1973 - Вторая премия по разделу мультфильмов</t>
        </is>
      </c>
      <c r="L1584" s="2" t="inlineStr">
        <is>
          <t>https://animator.ru/db/?p=show_film&amp;fid=3959</t>
        </is>
      </c>
      <c r="M1584" s="2">
        <f>HYPERLINK("https://ru.wikipedia.org/w/index.php?search=%D0%9D%D0%B5%D0%B2%D0%B5%D1%81%D1%82%D0%B0%20%D1%81%D0%BE%D0%BB%D0%BD%D1%86%D0%B0%201972%20%D1%84%D0%B8%D0%BB%D1%8C%D0%BC","искать")</f>
        <v/>
      </c>
      <c r="N1584" s="3" t="n"/>
      <c r="O1584" s="2" t="n"/>
      <c r="P1584" s="2" t="n"/>
    </row>
    <row r="1585">
      <c r="A1585" s="2" t="n">
        <v>1584</v>
      </c>
      <c r="B1585" s="2" t="inlineStr">
        <is>
          <t>не сюжет</t>
        </is>
      </c>
      <c r="C1585" s="2" t="n">
        <v>12990</v>
      </c>
      <c r="D1585" s="3" t="inlineStr">
        <is>
          <t>Ходжа-насыр - богохульник (Прозрение)</t>
        </is>
      </c>
      <c r="E1585" s="2" t="n">
        <v>1973</v>
      </c>
      <c r="F1585" s="2" t="inlineStr">
        <is>
          <t>мультфильм</t>
        </is>
      </c>
      <c r="G1585" s="2" t="inlineStr">
        <is>
          <t>КАЗАХФИЛЬМ</t>
        </is>
      </c>
      <c r="H1585" s="2" t="n">
        <v>61</v>
      </c>
      <c r="I1585" s="2" t="inlineStr"/>
      <c r="J1585" s="2" t="inlineStr">
        <is>
          <t>да</t>
        </is>
      </c>
      <c r="K1585" s="3" t="inlineStr">
        <is>
          <t>Продолжение историй о герое казахского фолклора. Для взрослых</t>
        </is>
      </c>
      <c r="L1585" s="2" t="inlineStr">
        <is>
          <t>https://animator.ru/db/?p=show_film&amp;fid=4222</t>
        </is>
      </c>
      <c r="M1585" s="2">
        <f>HYPERLINK("https://ru.wikipedia.org/w/index.php?search=%D0%A5%D0%BE%D0%B4%D0%B6%D0%B0-%D0%BD%D0%B0%D1%81%D1%8B%D1%80%20-%20%D0%B1%D0%BE%D0%B3%D0%BE%D1%85%D1%83%D0%BB%D1%8C%D0%BD%D0%B8%D0%BA%20%28%D0%9F%D1%80%D0%BE%D0%B7%D1%80%D0%B5%D0%BD%D0%B8%D0%B5%29%201973%20%D1%84%D0%B8%D0%BB%D1%8C%D0%BC","искать")</f>
        <v/>
      </c>
      <c r="N1585" s="3" t="n"/>
      <c r="O1585" s="2" t="n"/>
      <c r="P1585" s="2" t="n"/>
    </row>
    <row r="1586">
      <c r="A1586" s="2" t="n">
        <v>1585</v>
      </c>
      <c r="B1586" s="2" t="inlineStr">
        <is>
          <t>не сюжет</t>
        </is>
      </c>
      <c r="C1586" s="2" t="n">
        <v>13019</v>
      </c>
      <c r="D1586" s="3" t="inlineStr">
        <is>
          <t>Лицо</t>
        </is>
      </c>
      <c r="E1586" s="2" t="n">
        <v>1988</v>
      </c>
      <c r="F1586" s="2" t="inlineStr">
        <is>
          <t>мультфильм</t>
        </is>
      </c>
      <c r="G1586" s="2" t="inlineStr">
        <is>
          <t>КАЗАХФИЛЬМ, МОСФИЛЬМ</t>
        </is>
      </c>
      <c r="H1586" s="2" t="n">
        <v>61</v>
      </c>
      <c r="I1586" s="2" t="inlineStr"/>
      <c r="J1586" s="2" t="inlineStr">
        <is>
          <t>да</t>
        </is>
      </c>
      <c r="K1586" s="3" t="inlineStr">
        <is>
          <t>О разрушительном действии бюрократической системы на человека</t>
        </is>
      </c>
      <c r="L1586" s="2" t="inlineStr">
        <is>
          <t>https://animator.ru/db/?p=show_film&amp;fid=4251</t>
        </is>
      </c>
      <c r="M1586" s="2">
        <f>HYPERLINK("https://ru.wikipedia.org/w/index.php?search=%D0%9B%D0%B8%D1%86%D0%BE%201988%20%D1%84%D0%B8%D0%BB%D1%8C%D0%BC","искать")</f>
        <v/>
      </c>
      <c r="N1586" s="3" t="n"/>
      <c r="O1586" s="2" t="n"/>
      <c r="P1586" s="2" t="n"/>
    </row>
    <row r="1587">
      <c r="A1587" s="2" t="n">
        <v>1586</v>
      </c>
      <c r="B1587" s="2" t="inlineStr">
        <is>
          <t>не сюжет</t>
        </is>
      </c>
      <c r="C1587" s="2" t="n">
        <v>13861</v>
      </c>
      <c r="D1587" s="3" t="inlineStr">
        <is>
          <t>Пропала совесть</t>
        </is>
      </c>
      <c r="E1587" s="2" t="n">
        <v>1989</v>
      </c>
      <c r="F1587" s="2" t="inlineStr">
        <is>
          <t>мультфильм</t>
        </is>
      </c>
      <c r="G1587" s="2" t="inlineStr">
        <is>
          <t>ЭКРАН</t>
        </is>
      </c>
      <c r="H1587" s="2" t="n">
        <v>61</v>
      </c>
      <c r="I1587" s="2" t="inlineStr"/>
      <c r="J1587" s="2" t="inlineStr">
        <is>
          <t>да</t>
        </is>
      </c>
      <c r="K1587" s="3" t="inlineStr">
        <is>
          <t>По мотивам одноименной сказки Салтыкова-Щедрина. Для взрослых</t>
        </is>
      </c>
      <c r="L1587" s="2" t="inlineStr">
        <is>
          <t>https://animator.ru/db/?p=show_film&amp;fid=5254</t>
        </is>
      </c>
      <c r="M1587" s="2">
        <f>HYPERLINK("https://ru.wikipedia.org/w/index.php?search=%D0%9F%D1%80%D0%BE%D0%BF%D0%B0%D0%BB%D0%B0%20%D1%81%D0%BE%D0%B2%D0%B5%D1%81%D1%82%D1%8C%201989%20%D1%84%D0%B8%D0%BB%D1%8C%D0%BC","искать")</f>
        <v/>
      </c>
      <c r="N1587" s="3" t="n"/>
      <c r="O1587" s="2" t="n"/>
      <c r="P1587" s="2" t="n"/>
    </row>
    <row r="1588">
      <c r="A1588" s="2" t="n">
        <v>1587</v>
      </c>
      <c r="B1588" s="2" t="inlineStr">
        <is>
          <t>не сюжет</t>
        </is>
      </c>
      <c r="C1588" s="2" t="n">
        <v>13875</v>
      </c>
      <c r="D1588" s="3" t="inlineStr">
        <is>
          <t>Повелители молний</t>
        </is>
      </c>
      <c r="E1588" s="2" t="n">
        <v>1985</v>
      </c>
      <c r="F1588" s="2" t="inlineStr">
        <is>
          <t>мультфильм</t>
        </is>
      </c>
      <c r="G1588" s="2" t="inlineStr">
        <is>
          <t>МУЛЬТТЕЛЕФИЛЬМ ("Экран")</t>
        </is>
      </c>
      <c r="H1588" s="2" t="n">
        <v>61</v>
      </c>
      <c r="I1588" s="2" t="inlineStr"/>
      <c r="J1588" s="2" t="inlineStr">
        <is>
          <t>да</t>
        </is>
      </c>
      <c r="K1588" s="3" t="inlineStr">
        <is>
          <t>Из цикла "Рассказы о профессиях". Об энергетиках. Для малышей</t>
        </is>
      </c>
      <c r="L1588" s="2" t="inlineStr">
        <is>
          <t>https://animator.ru/db/?p=show_film&amp;fid=5268</t>
        </is>
      </c>
      <c r="M1588" s="2">
        <f>HYPERLINK("https://ru.wikipedia.org/w/index.php?search=%D0%9F%D0%BE%D0%B2%D0%B5%D0%BB%D0%B8%D1%82%D0%B5%D0%BB%D0%B8%20%D0%BC%D0%BE%D0%BB%D0%BD%D0%B8%D0%B9%201985%20%D1%84%D0%B8%D0%BB%D1%8C%D0%BC","искать")</f>
        <v/>
      </c>
      <c r="N1588" s="3" t="n"/>
      <c r="O1588" s="2" t="n"/>
      <c r="P1588" s="2" t="n"/>
    </row>
    <row r="1589">
      <c r="A1589" s="2" t="n">
        <v>1588</v>
      </c>
      <c r="B1589" s="2" t="inlineStr">
        <is>
          <t>не сюжет</t>
        </is>
      </c>
      <c r="C1589" s="2" t="n">
        <v>7479</v>
      </c>
      <c r="D1589" s="3" t="inlineStr">
        <is>
          <t>Две пары и одиночество</t>
        </is>
      </c>
      <c r="E1589" s="2" t="n">
        <v>1984</v>
      </c>
      <c r="F1589" s="2" t="inlineStr">
        <is>
          <t>телефильм</t>
        </is>
      </c>
      <c r="G1589" s="2" t="n"/>
      <c r="H1589" s="2" t="n">
        <v>62</v>
      </c>
      <c r="I1589" s="2" t="inlineStr"/>
      <c r="J1589" s="2" t="inlineStr">
        <is>
          <t>да</t>
        </is>
      </c>
      <c r="K1589" s="3" t="inlineStr">
        <is>
          <t>Телефильм по мотивам рассказов американского писателя О`Генри.</t>
        </is>
      </c>
      <c r="L1589" s="2" t="inlineStr">
        <is>
          <t>Кино_СССР сводный каталог.xlsx: список телефильмов</t>
        </is>
      </c>
      <c r="M1589" s="2">
        <f>HYPERLINK("https://ru.wikipedia.org/w/index.php?search=%D0%94%D0%B2%D0%B5%20%D0%BF%D0%B0%D1%80%D1%8B%20%D0%B8%20%D0%BE%D0%B4%D0%B8%D0%BD%D0%BE%D1%87%D0%B5%D1%81%D1%82%D0%B2%D0%BE%201984%20%D1%84%D0%B8%D0%BB%D1%8C%D0%BC","искать")</f>
        <v/>
      </c>
      <c r="N1589" s="3" t="n"/>
      <c r="O1589" s="2" t="n"/>
      <c r="P1589" s="2" t="n"/>
    </row>
    <row r="1590">
      <c r="A1590" s="2" t="n">
        <v>1589</v>
      </c>
      <c r="B1590" s="2" t="inlineStr">
        <is>
          <t>не сюжет</t>
        </is>
      </c>
      <c r="C1590" s="2" t="n">
        <v>8639</v>
      </c>
      <c r="D1590" s="3" t="inlineStr">
        <is>
          <t>Бывает же... (киноальманах)</t>
        </is>
      </c>
      <c r="E1590" s="2" t="n">
        <v>1988</v>
      </c>
      <c r="F1590" s="2" t="inlineStr">
        <is>
          <t>кинофильм</t>
        </is>
      </c>
      <c r="G1590" s="2" t="n"/>
      <c r="H1590" s="2" t="n">
        <v>62</v>
      </c>
      <c r="I1590" s="2" t="inlineStr"/>
      <c r="J1590" s="2" t="inlineStr">
        <is>
          <t>да</t>
        </is>
      </c>
      <c r="K1590" s="3" t="inlineStr">
        <is>
          <t>Киноальманах из трех новелл: "Брюки", "Луиза" и "Благодетель".</t>
        </is>
      </c>
      <c r="L1590" s="2" t="inlineStr">
        <is>
          <t>Кино_СССР сводный каталог.xlsx: список фильмов (доп.)</t>
        </is>
      </c>
      <c r="M1590" s="2">
        <f>HYPERLINK("https://ru.wikipedia.org/w/index.php?search=%D0%91%D1%8B%D0%B2%D0%B0%D0%B5%D1%82%20%D0%B6%D0%B5...%20%28%D0%BA%D0%B8%D0%BD%D0%BE%D0%B0%D0%BB%D1%8C%D0%BC%D0%B0%D0%BD%D0%B0%D1%85%29%201988%20%D1%84%D0%B8%D0%BB%D1%8C%D0%BC","искать")</f>
        <v/>
      </c>
      <c r="N1590" s="3" t="n"/>
      <c r="O1590" s="2" t="n"/>
      <c r="P1590" s="2" t="n"/>
    </row>
    <row r="1591">
      <c r="A1591" s="2" t="n">
        <v>1590</v>
      </c>
      <c r="B1591" s="2" t="inlineStr">
        <is>
          <t>не сюжет</t>
        </is>
      </c>
      <c r="C1591" s="2" t="n">
        <v>9895</v>
      </c>
      <c r="D1591" s="3" t="inlineStr">
        <is>
          <t>Прогулка</t>
        </is>
      </c>
      <c r="E1591" s="2" t="n">
        <v>1972</v>
      </c>
      <c r="F1591" s="2" t="inlineStr">
        <is>
          <t>кинофильм</t>
        </is>
      </c>
      <c r="G1591" s="2" t="inlineStr">
        <is>
          <t>Грузия-фильм</t>
        </is>
      </c>
      <c r="H1591" s="2" t="n">
        <v>62</v>
      </c>
      <c r="I1591" s="2" t="inlineStr"/>
      <c r="J1591" s="2" t="inlineStr">
        <is>
          <t>да</t>
        </is>
      </c>
      <c r="K1591" s="3" t="inlineStr">
        <is>
          <t>Комедийная киноновелла о соперничестве двух влюбленных юношей.</t>
        </is>
      </c>
      <c r="L1591" s="2" t="inlineStr">
        <is>
          <t>https://www.kino-teatr.ru/short/movie/sov/84581/annot/</t>
        </is>
      </c>
      <c r="M1591" s="2">
        <f>HYPERLINK("https://ru.wikipedia.org/w/index.php?search=%D0%9F%D1%80%D0%BE%D0%B3%D1%83%D0%BB%D0%BA%D0%B0%201972%20%D1%84%D0%B8%D0%BB%D1%8C%D0%BC","искать")</f>
        <v/>
      </c>
      <c r="N1591" s="3" t="n"/>
      <c r="O1591" s="2" t="n"/>
      <c r="P1591" s="2" t="n"/>
    </row>
    <row r="1592">
      <c r="A1592" s="2" t="n">
        <v>1591</v>
      </c>
      <c r="B1592" s="2" t="inlineStr">
        <is>
          <t>не сюжет</t>
        </is>
      </c>
      <c r="C1592" s="2" t="n">
        <v>10754</v>
      </c>
      <c r="D1592" s="3" t="inlineStr">
        <is>
          <t>Мелодии из оперетт советских композиторов</t>
        </is>
      </c>
      <c r="E1592" s="2" t="n">
        <v>1978</v>
      </c>
      <c r="F1592" s="2" t="inlineStr">
        <is>
          <t>фильм-спектакль</t>
        </is>
      </c>
      <c r="G1592" s="2" t="n"/>
      <c r="H1592" s="2" t="n">
        <v>62</v>
      </c>
      <c r="I1592" s="2" t="inlineStr"/>
      <c r="J1592" s="2" t="inlineStr">
        <is>
          <t>да</t>
        </is>
      </c>
      <c r="K1592" s="3" t="inlineStr">
        <is>
          <t>Арии и дуэты, сцены и танцы из оперетт советских композиторов.</t>
        </is>
      </c>
      <c r="L1592" s="2" t="inlineStr">
        <is>
          <t>https://www.kino-teatr.ru/teatr/movie/100568/annot/</t>
        </is>
      </c>
      <c r="M1592" s="2">
        <f>HYPERLINK("https://ru.wikipedia.org/w/index.php?search=%D0%9C%D0%B5%D0%BB%D0%BE%D0%B4%D0%B8%D0%B8%20%D0%B8%D0%B7%20%D0%BE%D0%BF%D0%B5%D1%80%D0%B5%D1%82%D1%82%20%D1%81%D0%BE%D0%B2%D0%B5%D1%82%D1%81%D0%BA%D0%B8%D1%85%20%D0%BA%D0%BE%D0%BC%D0%BF%D0%BE%D0%B7%D0%B8%D1%82%D0%BE%D1%80%D0%BE%D0%B2%201978%20%D1%84%D0%B8%D0%BB%D1%8C%D0%BC","искать")</f>
        <v/>
      </c>
      <c r="N1592" s="3" t="n"/>
      <c r="O1592" s="2" t="n"/>
      <c r="P1592" s="2" t="n"/>
    </row>
    <row r="1593">
      <c r="A1593" s="2" t="n">
        <v>1592</v>
      </c>
      <c r="B1593" s="2" t="inlineStr">
        <is>
          <t>не сюжет</t>
        </is>
      </c>
      <c r="C1593" s="2" t="n">
        <v>11354</v>
      </c>
      <c r="D1593" s="3" t="inlineStr">
        <is>
          <t>Алкина песня</t>
        </is>
      </c>
      <c r="E1593" s="2" t="n">
        <v>1969</v>
      </c>
      <c r="F1593" s="2" t="inlineStr">
        <is>
          <t>фильм-опера/балет</t>
        </is>
      </c>
      <c r="G1593" s="2" t="n"/>
      <c r="H1593" s="2" t="n">
        <v>62</v>
      </c>
      <c r="I1593" s="2" t="inlineStr"/>
      <c r="J1593" s="2" t="inlineStr">
        <is>
          <t>да</t>
        </is>
      </c>
      <c r="K1593" s="3" t="inlineStr">
        <is>
          <t>Фильм-опера по мотивам одноимённого рассказа Анатолия Иванова.</t>
        </is>
      </c>
      <c r="L1593" s="2" t="inlineStr">
        <is>
          <t>Кино_СССР телефильмы и пропуски включить в базу.xlsx</t>
        </is>
      </c>
      <c r="M1593" s="2">
        <f>HYPERLINK("https://ru.wikipedia.org/w/index.php?search=%D0%90%D0%BB%D0%BA%D0%B8%D0%BD%D0%B0%20%D0%BF%D0%B5%D1%81%D0%BD%D1%8F%201969%20%D1%84%D0%B8%D0%BB%D1%8C%D0%BC","искать")</f>
        <v/>
      </c>
      <c r="N1593" s="3" t="n"/>
      <c r="O1593" s="2" t="n"/>
      <c r="P1593" s="2" t="n"/>
    </row>
    <row r="1594">
      <c r="A1594" s="2" t="n">
        <v>1593</v>
      </c>
      <c r="B1594" s="2" t="inlineStr">
        <is>
          <t>не сюжет</t>
        </is>
      </c>
      <c r="C1594" s="2" t="n">
        <v>11539</v>
      </c>
      <c r="D1594" s="3" t="inlineStr">
        <is>
          <t>Капкан</t>
        </is>
      </c>
      <c r="E1594" s="2" t="n">
        <v>1929</v>
      </c>
      <c r="F1594" s="2" t="inlineStr">
        <is>
          <t>мультфильм</t>
        </is>
      </c>
      <c r="G1594" s="2" t="inlineStr">
        <is>
          <t>ГОСВОЕНКИНО</t>
        </is>
      </c>
      <c r="H1594" s="2" t="n">
        <v>62</v>
      </c>
      <c r="I1594" s="2" t="inlineStr"/>
      <c r="J1594" s="2" t="inlineStr">
        <is>
          <t>да</t>
        </is>
      </c>
      <c r="K1594" s="3" t="inlineStr">
        <is>
          <t>Входит в сборную экспериментальную программу к/м фильмов (СЭП)</t>
        </is>
      </c>
      <c r="L1594" s="2" t="inlineStr">
        <is>
          <t>https://animator.ru/db/?p=show_film&amp;fid=2369</t>
        </is>
      </c>
      <c r="M1594" s="2">
        <f>HYPERLINK("https://ru.wikipedia.org/w/index.php?search=%D0%9A%D0%B0%D0%BF%D0%BA%D0%B0%D0%BD%201929%20%D1%84%D0%B8%D0%BB%D1%8C%D0%BC","искать")</f>
        <v/>
      </c>
      <c r="N1594" s="3" t="n"/>
      <c r="O1594" s="2" t="n"/>
      <c r="P1594" s="2" t="n"/>
    </row>
    <row r="1595">
      <c r="A1595" s="2" t="n">
        <v>1594</v>
      </c>
      <c r="B1595" s="2" t="inlineStr">
        <is>
          <t>не сюжет</t>
        </is>
      </c>
      <c r="C1595" s="2" t="n">
        <v>11594</v>
      </c>
      <c r="D1595" s="3" t="inlineStr">
        <is>
          <t>Калейдоскоп-70. Жертва стандарта</t>
        </is>
      </c>
      <c r="E1595" s="2" t="n">
        <v>1970</v>
      </c>
      <c r="F1595" s="2" t="inlineStr">
        <is>
          <t>мультфильм</t>
        </is>
      </c>
      <c r="G1595" s="2" t="inlineStr">
        <is>
          <t>Союзмультфильм</t>
        </is>
      </c>
      <c r="H1595" s="2" t="n">
        <v>62</v>
      </c>
      <c r="I1595" s="2" t="inlineStr"/>
      <c r="J1595" s="2" t="inlineStr">
        <is>
          <t>да</t>
        </is>
      </c>
      <c r="K1595" s="3" t="inlineStr">
        <is>
          <t>Общий метраж "Калейдоскопа" - 280 м, продолжительность - 1012"</t>
        </is>
      </c>
      <c r="L1595" s="2" t="inlineStr">
        <is>
          <t>https://animator.ru/db/?p=show_film&amp;fid=2507</t>
        </is>
      </c>
      <c r="M1595" s="2">
        <f>HYPERLINK("https://ru.wikipedia.org/w/index.php?search=%D0%9A%D0%B0%D0%BB%D0%B5%D0%B9%D0%B4%D0%BE%D1%81%D0%BA%D0%BE%D0%BF-70.%20%D0%96%D0%B5%D1%80%D1%82%D0%B2%D0%B0%20%D1%81%D1%82%D0%B0%D0%BD%D0%B4%D0%B0%D1%80%D1%82%D0%B0%201970%20%D1%84%D0%B8%D0%BB%D1%8C%D0%BC","искать")</f>
        <v/>
      </c>
      <c r="N1595" s="3" t="n"/>
      <c r="O1595" s="2" t="n"/>
      <c r="P1595" s="2" t="n"/>
    </row>
    <row r="1596">
      <c r="A1596" s="2" t="n">
        <v>1595</v>
      </c>
      <c r="B1596" s="2" t="inlineStr">
        <is>
          <t>не сюжет</t>
        </is>
      </c>
      <c r="C1596" s="2" t="n">
        <v>11671</v>
      </c>
      <c r="D1596" s="3" t="inlineStr">
        <is>
          <t>Коля, Оля и Архимед</t>
        </is>
      </c>
      <c r="E1596" s="2" t="n">
        <v>1972</v>
      </c>
      <c r="F1596" s="2" t="inlineStr">
        <is>
          <t>мультфильм</t>
        </is>
      </c>
      <c r="G1596" s="2" t="inlineStr">
        <is>
          <t>Союзмультфильм</t>
        </is>
      </c>
      <c r="H1596" s="2" t="n">
        <v>62</v>
      </c>
      <c r="I1596" s="2" t="inlineStr"/>
      <c r="J1596" s="2" t="inlineStr">
        <is>
          <t>да</t>
        </is>
      </c>
      <c r="K1596" s="3" t="inlineStr">
        <is>
          <t>В занимательной форме дается представление о законах Архимеда.</t>
        </is>
      </c>
      <c r="L1596" s="2" t="inlineStr">
        <is>
          <t>2026-10_мультфильмы_список_владельца.xlsx; https://animator.ru/db/?p=show_film&amp;fid=2585</t>
        </is>
      </c>
      <c r="M1596" s="2">
        <f>HYPERLINK("https://ru.wikipedia.org/w/index.php?search=%D0%9A%D0%BE%D0%BB%D1%8F%2C%20%D0%9E%D0%BB%D1%8F%20%D0%B8%20%D0%90%D1%80%D1%85%D0%B8%D0%BC%D0%B5%D0%B4%201972%20%D1%84%D0%B8%D0%BB%D1%8C%D0%BC","искать")</f>
        <v/>
      </c>
      <c r="N1596" s="3" t="n"/>
      <c r="O1596" s="2" t="n"/>
      <c r="P1596" s="2" t="n"/>
    </row>
    <row r="1597">
      <c r="A1597" s="2" t="n">
        <v>1596</v>
      </c>
      <c r="B1597" s="2" t="inlineStr">
        <is>
          <t>не сюжет</t>
        </is>
      </c>
      <c r="C1597" s="2" t="n">
        <v>12231</v>
      </c>
      <c r="D1597" s="3" t="inlineStr">
        <is>
          <t>Шурале</t>
        </is>
      </c>
      <c r="E1597" s="2" t="n">
        <v>1987</v>
      </c>
      <c r="F1597" s="2" t="inlineStr">
        <is>
          <t>мультфильм</t>
        </is>
      </c>
      <c r="G1597" s="2" t="inlineStr">
        <is>
          <t>Союзмультфильм</t>
        </is>
      </c>
      <c r="H1597" s="2" t="n">
        <v>62</v>
      </c>
      <c r="I1597" s="2" t="inlineStr"/>
      <c r="J1597" s="2" t="inlineStr">
        <is>
          <t>да</t>
        </is>
      </c>
      <c r="K1597" s="3" t="inlineStr">
        <is>
          <t>По мотивам одноименной сказки татарского поэта Габдуллы Тукая.</t>
        </is>
      </c>
      <c r="L1597" s="2" t="inlineStr">
        <is>
          <t>2026-10_мультфильмы_список_владельца.xlsx; https://animator.ru/db/?p=show_film&amp;fid=3348</t>
        </is>
      </c>
      <c r="M1597" s="2">
        <f>HYPERLINK("https://ru.wikipedia.org/w/index.php?search=%D0%A8%D1%83%D1%80%D0%B0%D0%BB%D0%B5%201987%20%D1%84%D0%B8%D0%BB%D1%8C%D0%BC","искать")</f>
        <v/>
      </c>
      <c r="N1597" s="3" t="n"/>
      <c r="O1597" s="2" t="n"/>
      <c r="P1597" s="2" t="n"/>
    </row>
    <row r="1598">
      <c r="A1598" s="2" t="n">
        <v>1597</v>
      </c>
      <c r="B1598" s="2" t="inlineStr">
        <is>
          <t>не сюжет</t>
        </is>
      </c>
      <c r="C1598" s="2" t="n">
        <v>12301</v>
      </c>
      <c r="D1598" s="3" t="inlineStr">
        <is>
          <t>Ванюша и космический пират</t>
        </is>
      </c>
      <c r="E1598" s="2" t="n">
        <v>1991</v>
      </c>
      <c r="F1598" s="2" t="inlineStr">
        <is>
          <t>мультфильм</t>
        </is>
      </c>
      <c r="G1598" s="2" t="inlineStr">
        <is>
          <t>Союзмультфильм</t>
        </is>
      </c>
      <c r="H1598" s="2" t="n">
        <v>62</v>
      </c>
      <c r="I1598" s="2" t="inlineStr"/>
      <c r="J1598" s="2" t="inlineStr">
        <is>
          <t>да</t>
        </is>
      </c>
      <c r="K1598" s="3" t="inlineStr">
        <is>
          <t>Третий фильм трилогии о Старике и его сынке - найденыше Ванюше</t>
        </is>
      </c>
      <c r="L1598" s="2" t="inlineStr">
        <is>
          <t>https://animator.ru/db/?p=show_film&amp;fid=3418</t>
        </is>
      </c>
      <c r="M1598" s="2">
        <f>HYPERLINK("https://ru.wikipedia.org/w/index.php?search=%D0%92%D0%B0%D0%BD%D1%8E%D1%88%D0%B0%20%D0%B8%20%D0%BA%D0%BE%D1%81%D0%BC%D0%B8%D1%87%D0%B5%D1%81%D0%BA%D0%B8%D0%B9%20%D0%BF%D0%B8%D1%80%D0%B0%D1%82%201991%20%D1%84%D0%B8%D0%BB%D1%8C%D0%BC","искать")</f>
        <v/>
      </c>
      <c r="N1598" s="3" t="n"/>
      <c r="O1598" s="2" t="n"/>
      <c r="P1598" s="2" t="inlineStr">
        <is>
          <t>ГФФ: «ВАНЮША И КОСМИЧЕСКИЙ ПИРАТ» 1991 — по сверке другой фильм, не предложено</t>
        </is>
      </c>
    </row>
    <row r="1599">
      <c r="A1599" s="2" t="n">
        <v>1598</v>
      </c>
      <c r="B1599" s="2" t="inlineStr">
        <is>
          <t>не сюжет</t>
        </is>
      </c>
      <c r="C1599" s="2" t="n">
        <v>12462</v>
      </c>
      <c r="D1599" s="3" t="inlineStr">
        <is>
          <t>Музыкальные сказки</t>
        </is>
      </c>
      <c r="E1599" s="2" t="n">
        <v>1976</v>
      </c>
      <c r="F1599" s="2" t="inlineStr">
        <is>
          <t>мультфильм</t>
        </is>
      </c>
      <c r="G1599" s="2" t="inlineStr">
        <is>
          <t>КИЕВНАУЧФИЛЬМ</t>
        </is>
      </c>
      <c r="H1599" s="2" t="n">
        <v>62</v>
      </c>
      <c r="I1599" s="2" t="inlineStr"/>
      <c r="J1599" s="2" t="inlineStr">
        <is>
          <t>да</t>
        </is>
      </c>
      <c r="K1599" s="3" t="inlineStr">
        <is>
          <t>Три истории: "Про жирафа", "Крокодил и петух", "О разбойниках"</t>
        </is>
      </c>
      <c r="L1599" s="2" t="inlineStr">
        <is>
          <t>https://animator.ru/db/?p=show_film&amp;fid=3634</t>
        </is>
      </c>
      <c r="M1599" s="2">
        <f>HYPERLINK("https://ru.wikipedia.org/w/index.php?search=%D0%9C%D1%83%D0%B7%D1%8B%D0%BA%D0%B0%D0%BB%D1%8C%D0%BD%D1%8B%D0%B5%20%D1%81%D0%BA%D0%B0%D0%B7%D0%BA%D0%B8%201976%20%D1%84%D0%B8%D0%BB%D1%8C%D0%BC","искать")</f>
        <v/>
      </c>
      <c r="N1599" s="3" t="n"/>
      <c r="O1599" s="2" t="n"/>
      <c r="P1599" s="2" t="n"/>
    </row>
    <row r="1600">
      <c r="A1600" s="2" t="n">
        <v>1599</v>
      </c>
      <c r="B1600" s="2" t="inlineStr">
        <is>
          <t>не сюжет</t>
        </is>
      </c>
      <c r="C1600" s="2" t="n">
        <v>13064</v>
      </c>
      <c r="D1600" s="3" t="inlineStr">
        <is>
          <t>Пять котов</t>
        </is>
      </c>
      <c r="E1600" s="2" t="n">
        <v>1972</v>
      </c>
      <c r="F1600" s="2" t="inlineStr">
        <is>
          <t>мультфильм</t>
        </is>
      </c>
      <c r="G1600" s="2" t="inlineStr">
        <is>
          <t>ГОСТЕЛЕРАДИО ЛАТВ. ССР ("ТЕЛЕФИЛЬМ-РИГА")</t>
        </is>
      </c>
      <c r="H1600" s="2" t="n">
        <v>62</v>
      </c>
      <c r="I1600" s="2" t="inlineStr"/>
      <c r="J1600" s="2" t="inlineStr">
        <is>
          <t>да</t>
        </is>
      </c>
      <c r="K1600" s="3" t="inlineStr">
        <is>
          <t>ВКФ ТВ фильмов, Ташкент 1970 - Приз жюри за лучшую экранизацию</t>
        </is>
      </c>
      <c r="L1600" s="2" t="inlineStr">
        <is>
          <t>https://animator.ru/db/?p=show_film&amp;fid=4296</t>
        </is>
      </c>
      <c r="M1600" s="2">
        <f>HYPERLINK("https://ru.wikipedia.org/w/index.php?search=%D0%9F%D1%8F%D1%82%D1%8C%20%D0%BA%D0%BE%D1%82%D0%BE%D0%B2%201972%20%D1%84%D0%B8%D0%BB%D1%8C%D0%BC","искать")</f>
        <v/>
      </c>
      <c r="N1600" s="3" t="n"/>
      <c r="O1600" s="2" t="n"/>
      <c r="P1600" s="2" t="n"/>
    </row>
    <row r="1601">
      <c r="A1601" s="2" t="n">
        <v>1600</v>
      </c>
      <c r="B1601" s="2" t="inlineStr">
        <is>
          <t>не сюжет</t>
        </is>
      </c>
      <c r="C1601" s="2" t="n">
        <v>13633</v>
      </c>
      <c r="D1601" s="3" t="inlineStr">
        <is>
          <t>Болванка</t>
        </is>
      </c>
      <c r="E1601" s="2" t="n">
        <v>1983</v>
      </c>
      <c r="F1601" s="2" t="inlineStr">
        <is>
          <t>мультфильм</t>
        </is>
      </c>
      <c r="G1601" s="2" t="inlineStr">
        <is>
          <t>ЭКРАН</t>
        </is>
      </c>
      <c r="H1601" s="2" t="n">
        <v>62</v>
      </c>
      <c r="I1601" s="2" t="inlineStr"/>
      <c r="J1601" s="2" t="inlineStr">
        <is>
          <t>да</t>
        </is>
      </c>
      <c r="K1601" s="3" t="inlineStr">
        <is>
          <t>Инструктивный фильм об экономии металла. Для специспользования</t>
        </is>
      </c>
      <c r="L1601" s="2" t="inlineStr">
        <is>
          <t>https://animator.ru/db/?p=show_film&amp;fid=5025</t>
        </is>
      </c>
      <c r="M1601" s="2">
        <f>HYPERLINK("https://ru.wikipedia.org/w/index.php?search=%D0%91%D0%BE%D0%BB%D0%B2%D0%B0%D0%BD%D0%BA%D0%B0%201983%20%D1%84%D0%B8%D0%BB%D1%8C%D0%BC","искать")</f>
        <v/>
      </c>
      <c r="N1601" s="3" t="n"/>
      <c r="O1601" s="2" t="n"/>
      <c r="P1601" s="2" t="n"/>
    </row>
    <row r="1602">
      <c r="A1602" s="2" t="n">
        <v>1601</v>
      </c>
      <c r="B1602" s="2" t="inlineStr">
        <is>
          <t>не сюжет</t>
        </is>
      </c>
      <c r="C1602" s="2" t="n">
        <v>13801</v>
      </c>
      <c r="D1602" s="3" t="inlineStr">
        <is>
          <t>Однажды вечером</t>
        </is>
      </c>
      <c r="E1602" s="2" t="n">
        <v>1982</v>
      </c>
      <c r="F1602" s="2" t="inlineStr">
        <is>
          <t>мультфильм</t>
        </is>
      </c>
      <c r="G1602" s="2" t="inlineStr">
        <is>
          <t>ЭКРАН</t>
        </is>
      </c>
      <c r="H1602" s="2" t="n">
        <v>62</v>
      </c>
      <c r="I1602" s="2" t="inlineStr"/>
      <c r="J1602" s="2" t="inlineStr">
        <is>
          <t>да</t>
        </is>
      </c>
      <c r="K1602" s="3" t="inlineStr">
        <is>
          <t>Сатирически плакат о растратчиках электроэнергии. Для взрослых</t>
        </is>
      </c>
      <c r="L1602" s="2" t="inlineStr">
        <is>
          <t>https://animator.ru/db/?p=show_film&amp;fid=5194</t>
        </is>
      </c>
      <c r="M1602" s="2">
        <f>HYPERLINK("https://ru.wikipedia.org/w/index.php?search=%D0%9E%D0%B4%D0%BD%D0%B0%D0%B6%D0%B4%D1%8B%20%D0%B2%D0%B5%D1%87%D0%B5%D1%80%D0%BE%D0%BC%201982%20%D1%84%D0%B8%D0%BB%D1%8C%D0%BC","искать")</f>
        <v/>
      </c>
      <c r="N1602" s="3" t="n"/>
      <c r="O1602" s="2" t="n"/>
      <c r="P1602" s="2" t="n"/>
    </row>
    <row r="1603">
      <c r="A1603" s="2" t="n">
        <v>1602</v>
      </c>
      <c r="B1603" s="2" t="inlineStr">
        <is>
          <t>не сюжет</t>
        </is>
      </c>
      <c r="C1603" s="2" t="n">
        <v>13907</v>
      </c>
      <c r="D1603" s="3" t="inlineStr">
        <is>
          <t>Солдатский долг</t>
        </is>
      </c>
      <c r="E1603" s="2" t="n">
        <v>1988</v>
      </c>
      <c r="F1603" s="2" t="inlineStr">
        <is>
          <t>мультфильм</t>
        </is>
      </c>
      <c r="G1603" s="2" t="inlineStr">
        <is>
          <t>ЭКРАН</t>
        </is>
      </c>
      <c r="H1603" s="2" t="n">
        <v>62</v>
      </c>
      <c r="I1603" s="2" t="inlineStr"/>
      <c r="J1603" s="2" t="inlineStr">
        <is>
          <t>да</t>
        </is>
      </c>
      <c r="K1603" s="3" t="inlineStr">
        <is>
          <t>По мотивам русских сказок о Петре Первом и его верном солдате.</t>
        </is>
      </c>
      <c r="L1603" s="2" t="inlineStr">
        <is>
          <t>2026-10_мультфильмы_список_владельца.xlsx; https://animator.ru/db/?p=show_film&amp;fid=5301</t>
        </is>
      </c>
      <c r="M1603" s="2">
        <f>HYPERLINK("https://ru.wikipedia.org/w/index.php?search=%D0%A1%D0%BE%D0%BB%D0%B4%D0%B0%D1%82%D1%81%D0%BA%D0%B8%D0%B9%20%D0%B4%D0%BE%D0%BB%D0%B3%201988%20%D1%84%D0%B8%D0%BB%D1%8C%D0%BC","искать")</f>
        <v/>
      </c>
      <c r="N1603" s="3" t="n"/>
      <c r="O1603" s="2" t="n"/>
      <c r="P1603" s="2" t="n"/>
    </row>
    <row r="1604">
      <c r="A1604" s="2" t="n">
        <v>1603</v>
      </c>
      <c r="B1604" s="2" t="inlineStr">
        <is>
          <t>не сюжет</t>
        </is>
      </c>
      <c r="C1604" s="2" t="n">
        <v>13912</v>
      </c>
      <c r="D1604" s="3" t="inlineStr">
        <is>
          <t>SOS</t>
        </is>
      </c>
      <c r="E1604" s="2" t="n">
        <v>1973</v>
      </c>
      <c r="F1604" s="2" t="inlineStr">
        <is>
          <t>мультфильм</t>
        </is>
      </c>
      <c r="G1604" s="2" t="inlineStr">
        <is>
          <t>ЭКРАН</t>
        </is>
      </c>
      <c r="H1604" s="2" t="n">
        <v>62</v>
      </c>
      <c r="I1604" s="2" t="inlineStr"/>
      <c r="J1604" s="2" t="inlineStr">
        <is>
          <t>да</t>
        </is>
      </c>
      <c r="K1604" s="3" t="inlineStr">
        <is>
          <t>О пагубном влиянии алкоголя на организм человека. Для взрослых</t>
        </is>
      </c>
      <c r="L1604" s="2" t="inlineStr">
        <is>
          <t>https://animator.ru/db/?p=show_film&amp;fid=5306</t>
        </is>
      </c>
      <c r="M1604" s="2">
        <f>HYPERLINK("https://ru.wikipedia.org/w/index.php?search=SOS%201973%20%D1%84%D0%B8%D0%BB%D1%8C%D0%BC","искать")</f>
        <v/>
      </c>
      <c r="N1604" s="3" t="n"/>
      <c r="O1604" s="2" t="n"/>
      <c r="P1604" s="2" t="n"/>
    </row>
    <row r="1605">
      <c r="A1605" s="2" t="n">
        <v>1604</v>
      </c>
      <c r="B1605" s="2" t="inlineStr">
        <is>
          <t>не сюжет</t>
        </is>
      </c>
      <c r="C1605" s="2" t="n">
        <v>14065</v>
      </c>
      <c r="D1605" s="3" t="inlineStr">
        <is>
          <t>Сказка про храброго зайца</t>
        </is>
      </c>
      <c r="E1605" s="2" t="n">
        <v>1978</v>
      </c>
      <c r="F1605" s="2" t="inlineStr">
        <is>
          <t>мультфильм</t>
        </is>
      </c>
      <c r="G1605" s="2" t="inlineStr">
        <is>
          <t>Свердловская киностудия</t>
        </is>
      </c>
      <c r="H1605" s="2" t="n">
        <v>62</v>
      </c>
      <c r="I1605" s="2" t="inlineStr"/>
      <c r="J1605" s="2" t="inlineStr">
        <is>
          <t>да</t>
        </is>
      </c>
      <c r="K1605" s="3" t="inlineStr">
        <is>
          <t>По сказке Д. Н. Мамина-Сибиряка из книжки "Аленушкины сказки".</t>
        </is>
      </c>
      <c r="L1605" s="2" t="inlineStr">
        <is>
          <t>2026-10_мультфильмы_список_владельца.xlsx; https://animator.ru/db/?p=show_film&amp;fid=5461</t>
        </is>
      </c>
      <c r="M1605" s="2">
        <f>HYPERLINK("https://ru.wikipedia.org/w/index.php?search=%D0%A1%D0%BA%D0%B0%D0%B7%D0%BA%D0%B0%20%D0%BF%D1%80%D0%BE%20%D1%85%D1%80%D0%B0%D0%B1%D1%80%D0%BE%D0%B3%D0%BE%20%D0%B7%D0%B0%D0%B9%D1%86%D0%B0%201978%20%D1%84%D0%B8%D0%BB%D1%8C%D0%BC","искать")</f>
        <v/>
      </c>
      <c r="N1605" s="3" t="n"/>
      <c r="O1605" s="2" t="n"/>
      <c r="P1605" s="2" t="n"/>
    </row>
    <row r="1606">
      <c r="A1606" s="2" t="n">
        <v>1605</v>
      </c>
      <c r="B1606" s="2" t="inlineStr">
        <is>
          <t>не сюжет</t>
        </is>
      </c>
      <c r="C1606" s="2" t="n">
        <v>14081</v>
      </c>
      <c r="D1606" s="3" t="inlineStr">
        <is>
          <t>Цветочная песенка</t>
        </is>
      </c>
      <c r="E1606" s="2" t="n">
        <v>1985</v>
      </c>
      <c r="F1606" s="2" t="inlineStr">
        <is>
          <t>мультфильм</t>
        </is>
      </c>
      <c r="G1606" s="2" t="inlineStr">
        <is>
          <t>УЗБЕКФИЛЬМ</t>
        </is>
      </c>
      <c r="H1606" s="2" t="n">
        <v>62</v>
      </c>
      <c r="I1606" s="2" t="inlineStr"/>
      <c r="J1606" s="2" t="inlineStr">
        <is>
          <t>да</t>
        </is>
      </c>
      <c r="K1606" s="3" t="inlineStr">
        <is>
          <t>Два сюжета: "цветочная песенка" и "Веселый дождь". Для малышей</t>
        </is>
      </c>
      <c r="L1606" s="2" t="inlineStr">
        <is>
          <t>https://animator.ru/db/?p=show_film&amp;fid=5478</t>
        </is>
      </c>
      <c r="M1606" s="2">
        <f>HYPERLINK("https://ru.wikipedia.org/w/index.php?search=%D0%A6%D0%B2%D0%B5%D1%82%D0%BE%D1%87%D0%BD%D0%B0%D1%8F%20%D0%BF%D0%B5%D1%81%D0%B5%D0%BD%D0%BA%D0%B0%201985%20%D1%84%D0%B8%D0%BB%D1%8C%D0%BC","искать")</f>
        <v/>
      </c>
      <c r="N1606" s="3" t="n"/>
      <c r="O1606" s="2" t="n"/>
      <c r="P1606" s="2" t="n"/>
    </row>
    <row r="1607">
      <c r="A1607" s="2" t="n">
        <v>1606</v>
      </c>
      <c r="B1607" s="2" t="inlineStr">
        <is>
          <t>не сюжет</t>
        </is>
      </c>
      <c r="C1607" s="2" t="n">
        <v>7927</v>
      </c>
      <c r="D1607" s="3" t="inlineStr">
        <is>
          <t>На дальней точке</t>
        </is>
      </c>
      <c r="E1607" s="2" t="n">
        <v>1970</v>
      </c>
      <c r="F1607" s="2" t="inlineStr">
        <is>
          <t>телефильм</t>
        </is>
      </c>
      <c r="G1607" s="2" t="inlineStr">
        <is>
          <t>ТО «Экран»</t>
        </is>
      </c>
      <c r="H1607" s="2" t="n">
        <v>63</v>
      </c>
      <c r="I1607" s="2" t="inlineStr"/>
      <c r="J1607" s="2" t="inlineStr">
        <is>
          <t>да</t>
        </is>
      </c>
      <c r="K1607" s="3" t="inlineStr">
        <is>
          <t>Герой фильма - солдат последнего года службы, ефрейтор Гвоздев.</t>
        </is>
      </c>
      <c r="L1607" s="2" t="inlineStr">
        <is>
          <t>Кино_СССР сводный каталог.xlsx: список телефильмов</t>
        </is>
      </c>
      <c r="M1607" s="2">
        <f>HYPERLINK("https://ru.wikipedia.org/w/index.php?search=%D0%9D%D0%B0%20%D0%B4%D0%B0%D0%BB%D1%8C%D0%BD%D0%B5%D0%B9%20%D1%82%D0%BE%D1%87%D0%BA%D0%B5%201970%20%D1%84%D0%B8%D0%BB%D1%8C%D0%BC","искать")</f>
        <v/>
      </c>
      <c r="N1607" s="3" t="n"/>
      <c r="O1607" s="2" t="n"/>
      <c r="P1607" s="2" t="n"/>
    </row>
    <row r="1608">
      <c r="A1608" s="2" t="n">
        <v>1607</v>
      </c>
      <c r="B1608" s="2" t="inlineStr">
        <is>
          <t>не сюжет</t>
        </is>
      </c>
      <c r="C1608" s="2" t="n">
        <v>8545</v>
      </c>
      <c r="D1608" s="3" t="inlineStr">
        <is>
          <t>Частный случай</t>
        </is>
      </c>
      <c r="E1608" s="2" t="n">
        <v>1983</v>
      </c>
      <c r="F1608" s="2" t="inlineStr">
        <is>
          <t>телефильм</t>
        </is>
      </c>
      <c r="G1608" s="2" t="n"/>
      <c r="H1608" s="2" t="n">
        <v>63</v>
      </c>
      <c r="I1608" s="2" t="inlineStr"/>
      <c r="J1608" s="2" t="inlineStr">
        <is>
          <t>да</t>
        </is>
      </c>
      <c r="K1608" s="3" t="inlineStr">
        <is>
          <t>О долге, чести, необходимости правдивых отношений между людьми.</t>
        </is>
      </c>
      <c r="L1608" s="2" t="inlineStr">
        <is>
          <t>Кино_СССР сводный каталог.xlsx: список телефильмов</t>
        </is>
      </c>
      <c r="M1608" s="2">
        <f>HYPERLINK("https://ru.wikipedia.org/w/index.php?search=%D0%A7%D0%B0%D1%81%D1%82%D0%BD%D1%8B%D0%B9%20%D1%81%D0%BB%D1%83%D1%87%D0%B0%D0%B9%201983%20%D1%84%D0%B8%D0%BB%D1%8C%D0%BC","искать")</f>
        <v/>
      </c>
      <c r="N1608" s="3" t="n"/>
      <c r="O1608" s="2" t="n"/>
      <c r="P1608" s="2" t="n"/>
    </row>
    <row r="1609">
      <c r="A1609" s="2" t="n">
        <v>1608</v>
      </c>
      <c r="B1609" s="2" t="inlineStr">
        <is>
          <t>не сюжет</t>
        </is>
      </c>
      <c r="C1609" s="2" t="n">
        <v>9067</v>
      </c>
      <c r="D1609" s="3" t="inlineStr">
        <is>
          <t>Старик и солнце (киноальманах)</t>
        </is>
      </c>
      <c r="E1609" s="2" t="n">
        <v>1981</v>
      </c>
      <c r="F1609" s="2" t="inlineStr">
        <is>
          <t>телефильм</t>
        </is>
      </c>
      <c r="G1609" s="2" t="inlineStr">
        <is>
          <t>Арменфильм по заказу Гостелерадио</t>
        </is>
      </c>
      <c r="H1609" s="2" t="n">
        <v>63</v>
      </c>
      <c r="I1609" s="2" t="inlineStr"/>
      <c r="J1609" s="2" t="inlineStr">
        <is>
          <t>да</t>
        </is>
      </c>
      <c r="K1609" s="3" t="inlineStr">
        <is>
          <t>Фильмы в составе: Старик и ветер, Сон, Маленькая история любви.</t>
        </is>
      </c>
      <c r="L1609" s="2" t="inlineStr">
        <is>
          <t>https://www.kino-teatr.ru/kino/movie/sov/84402/annot/</t>
        </is>
      </c>
      <c r="M1609" s="2">
        <f>HYPERLINK("https://ru.wikipedia.org/w/index.php?search=%D0%A1%D1%82%D0%B0%D1%80%D0%B8%D0%BA%20%D0%B8%20%D1%81%D0%BE%D0%BB%D0%BD%D1%86%D0%B5%20%28%D0%BA%D0%B8%D0%BD%D0%BE%D0%B0%D0%BB%D1%8C%D0%BC%D0%B0%D0%BD%D0%B0%D1%85%29%201981%20%D1%84%D0%B8%D0%BB%D1%8C%D0%BC","искать")</f>
        <v/>
      </c>
      <c r="N1609" s="3" t="n"/>
      <c r="O1609" s="2" t="n"/>
      <c r="P1609" s="2" t="n"/>
    </row>
    <row r="1610">
      <c r="A1610" s="2" t="n">
        <v>1609</v>
      </c>
      <c r="B1610" s="2" t="inlineStr">
        <is>
          <t>не сюжет</t>
        </is>
      </c>
      <c r="C1610" s="2" t="n">
        <v>9936</v>
      </c>
      <c r="D1610" s="3" t="inlineStr">
        <is>
          <t>На дне</t>
        </is>
      </c>
      <c r="E1610" s="2" t="n">
        <v>1978</v>
      </c>
      <c r="F1610" s="2" t="inlineStr">
        <is>
          <t>кинофильм</t>
        </is>
      </c>
      <c r="G1610" s="2" t="inlineStr">
        <is>
          <t>ВГИК</t>
        </is>
      </c>
      <c r="H1610" s="2" t="n">
        <v>63</v>
      </c>
      <c r="I1610" s="2" t="inlineStr"/>
      <c r="J1610" s="2" t="inlineStr">
        <is>
          <t>да</t>
        </is>
      </c>
      <c r="K1610" s="3" t="inlineStr">
        <is>
          <t>Музыкальная фантазия по пьесе А.М.Горького (наброски к фильму).</t>
        </is>
      </c>
      <c r="L1610" s="2" t="inlineStr">
        <is>
          <t>https://www.kino-teatr.ru/short/movie/sov/108783/annot/</t>
        </is>
      </c>
      <c r="M1610" s="2">
        <f>HYPERLINK("https://ru.wikipedia.org/w/index.php?search=%D0%9D%D0%B0%20%D0%B4%D0%BD%D0%B5%201978%20%D1%84%D0%B8%D0%BB%D1%8C%D0%BC","искать")</f>
        <v/>
      </c>
      <c r="N1610" s="3" t="n"/>
      <c r="O1610" s="2" t="n"/>
      <c r="P1610" s="2" t="n"/>
    </row>
    <row r="1611">
      <c r="A1611" s="2" t="n">
        <v>1610</v>
      </c>
      <c r="B1611" s="2" t="inlineStr">
        <is>
          <t>не сюжет</t>
        </is>
      </c>
      <c r="C1611" s="2" t="n">
        <v>10197</v>
      </c>
      <c r="D1611" s="3" t="inlineStr">
        <is>
          <t>Золотая роза</t>
        </is>
      </c>
      <c r="E1611" s="2" t="n">
        <v>1967</v>
      </c>
      <c r="F1611" s="2" t="inlineStr">
        <is>
          <t>фильм-спектакль</t>
        </is>
      </c>
      <c r="G1611" s="2" t="inlineStr">
        <is>
          <t>Ленинградское ТВ</t>
        </is>
      </c>
      <c r="H1611" s="2" t="n">
        <v>63</v>
      </c>
      <c r="I1611" s="2" t="inlineStr"/>
      <c r="J1611" s="2" t="inlineStr">
        <is>
          <t>да</t>
        </is>
      </c>
      <c r="K1611" s="3" t="inlineStr">
        <is>
          <t>Литературная композиция по книге К.Паустовского "Золотая роза".</t>
        </is>
      </c>
      <c r="L1611" s="2" t="inlineStr">
        <is>
          <t>https://www.kino-teatr.ru/teatr/movie/92886/annot/</t>
        </is>
      </c>
      <c r="M1611" s="2">
        <f>HYPERLINK("https://ru.wikipedia.org/w/index.php?search=%D0%97%D0%BE%D0%BB%D0%BE%D1%82%D0%B0%D1%8F%20%D1%80%D0%BE%D0%B7%D0%B0%201967%20%D1%84%D0%B8%D0%BB%D1%8C%D0%BC","искать")</f>
        <v/>
      </c>
      <c r="N1611" s="3" t="n"/>
      <c r="O1611" s="2" t="n"/>
      <c r="P1611" s="2" t="n"/>
    </row>
    <row r="1612">
      <c r="A1612" s="2" t="n">
        <v>1611</v>
      </c>
      <c r="B1612" s="2" t="inlineStr">
        <is>
          <t>не сюжет</t>
        </is>
      </c>
      <c r="C1612" s="2" t="n">
        <v>10308</v>
      </c>
      <c r="D1612" s="3" t="inlineStr">
        <is>
          <t>Житейские воззрения кота Мурра</t>
        </is>
      </c>
      <c r="E1612" s="2" t="n">
        <v>1969</v>
      </c>
      <c r="F1612" s="2" t="inlineStr">
        <is>
          <t>фильм-спектакль</t>
        </is>
      </c>
      <c r="G1612" s="2" t="inlineStr">
        <is>
          <t>Творческое объединение "Экран"</t>
        </is>
      </c>
      <c r="H1612" s="2" t="n">
        <v>63</v>
      </c>
      <c r="I1612" s="2" t="inlineStr"/>
      <c r="J1612" s="2" t="inlineStr">
        <is>
          <t>да</t>
        </is>
      </c>
      <c r="K1612" s="3" t="inlineStr">
        <is>
          <t>По произведению Э.-Т.-А.Гофмана.
Из цикла "Энциклопедия смеха".</t>
        </is>
      </c>
      <c r="L1612" s="2" t="inlineStr">
        <is>
          <t>https://www.kino-teatr.ru/teatr/movie/161954/annot/</t>
        </is>
      </c>
      <c r="M1612" s="2">
        <f>HYPERLINK("https://ru.wikipedia.org/w/index.php?search=%D0%96%D0%B8%D1%82%D0%B5%D0%B9%D1%81%D0%BA%D0%B8%D0%B5%20%D0%B2%D0%BE%D0%B7%D0%B7%D1%80%D0%B5%D0%BD%D0%B8%D1%8F%20%D0%BA%D0%BE%D1%82%D0%B0%20%D0%9C%D1%83%D1%80%D1%80%D0%B0%201969%20%D1%84%D0%B8%D0%BB%D1%8C%D0%BC","искать")</f>
        <v/>
      </c>
      <c r="N1612" s="3" t="n"/>
      <c r="O1612" s="2" t="n"/>
      <c r="P1612" s="2" t="n"/>
    </row>
    <row r="1613">
      <c r="A1613" s="2" t="n">
        <v>1612</v>
      </c>
      <c r="B1613" s="2" t="inlineStr">
        <is>
          <t>не сюжет</t>
        </is>
      </c>
      <c r="C1613" s="2" t="n">
        <v>10503</v>
      </c>
      <c r="D1613" s="3" t="inlineStr">
        <is>
          <t>Конёк-Горбунок</t>
        </is>
      </c>
      <c r="E1613" s="2" t="n">
        <v>1973</v>
      </c>
      <c r="F1613" s="2" t="inlineStr">
        <is>
          <t>фильм-спектакль</t>
        </is>
      </c>
      <c r="G1613" s="2" t="inlineStr">
        <is>
          <t>ТО "Экран"</t>
        </is>
      </c>
      <c r="H1613" s="2" t="n">
        <v>63</v>
      </c>
      <c r="I1613" s="2" t="inlineStr"/>
      <c r="J1613" s="2" t="inlineStr">
        <is>
          <t>да</t>
        </is>
      </c>
      <c r="K1613" s="3" t="inlineStr">
        <is>
          <t>Моноспектакль по сказке П.П.Ершова в исполнении Олега Табакова.</t>
        </is>
      </c>
      <c r="L1613" s="2" t="inlineStr">
        <is>
          <t>https://www.kino-teatr.ru/teatr/movie/109046/annot/</t>
        </is>
      </c>
      <c r="M1613" s="2">
        <f>HYPERLINK("https://ru.wikipedia.org/w/index.php?search=%D0%9A%D0%BE%D0%BD%D1%91%D0%BA-%D0%93%D0%BE%D1%80%D0%B1%D1%83%D0%BD%D0%BE%D0%BA%201973%20%D1%84%D0%B8%D0%BB%D1%8C%D0%BC","искать")</f>
        <v/>
      </c>
      <c r="N1613" s="3" t="n"/>
      <c r="O1613" s="2" t="n"/>
      <c r="P1613" s="2" t="n"/>
    </row>
    <row r="1614">
      <c r="A1614" s="2" t="n">
        <v>1613</v>
      </c>
      <c r="B1614" s="2" t="inlineStr">
        <is>
          <t>не сюжет</t>
        </is>
      </c>
      <c r="C1614" s="2" t="n">
        <v>10651</v>
      </c>
      <c r="D1614" s="3" t="inlineStr">
        <is>
          <t>Когда-то в Калифорнии</t>
        </is>
      </c>
      <c r="E1614" s="2" t="n">
        <v>1976</v>
      </c>
      <c r="F1614" s="2" t="inlineStr">
        <is>
          <t>фильм-спектакль</t>
        </is>
      </c>
      <c r="G1614" s="2" t="n"/>
      <c r="H1614" s="2" t="n">
        <v>63</v>
      </c>
      <c r="I1614" s="2" t="inlineStr"/>
      <c r="J1614" s="2" t="inlineStr">
        <is>
          <t>да</t>
        </is>
      </c>
      <c r="K1614" s="3" t="inlineStr">
        <is>
          <t>Музыкальный телеспектакль 1976 года по рассказам Ф. Брет-Гарта.</t>
        </is>
      </c>
      <c r="L1614" s="2" t="inlineStr">
        <is>
          <t>https://www.kino-teatr.ru/teatr/movie/83019/annot/</t>
        </is>
      </c>
      <c r="M1614" s="2">
        <f>HYPERLINK("https://ru.wikipedia.org/w/index.php?search=%D0%9A%D0%BE%D0%B3%D0%B4%D0%B0-%D1%82%D0%BE%20%D0%B2%20%D0%9A%D0%B0%D0%BB%D0%B8%D1%84%D0%BE%D1%80%D0%BD%D0%B8%D0%B8%201976%20%D1%84%D0%B8%D0%BB%D1%8C%D0%BC","искать")</f>
        <v/>
      </c>
      <c r="N1614" s="3" t="n"/>
      <c r="O1614" s="2" t="n"/>
      <c r="P1614" s="2" t="n"/>
    </row>
    <row r="1615">
      <c r="A1615" s="2" t="n">
        <v>1614</v>
      </c>
      <c r="B1615" s="2" t="inlineStr">
        <is>
          <t>не сюжет</t>
        </is>
      </c>
      <c r="C1615" s="2" t="n">
        <v>11384</v>
      </c>
      <c r="D1615" s="3" t="inlineStr">
        <is>
          <t>Фантазия</t>
        </is>
      </c>
      <c r="E1615" s="2" t="n">
        <v>1976</v>
      </c>
      <c r="F1615" s="2" t="inlineStr">
        <is>
          <t>фильм-опера/балет</t>
        </is>
      </c>
      <c r="G1615" s="2" t="n"/>
      <c r="H1615" s="2" t="n">
        <v>63</v>
      </c>
      <c r="I1615" s="2" t="inlineStr"/>
      <c r="J1615" s="2" t="inlineStr">
        <is>
          <t>да</t>
        </is>
      </c>
      <c r="K1615" s="3" t="inlineStr">
        <is>
          <t>Телефильм-балет по мотивам повести И.С.Тургенева «Вешние воды».</t>
        </is>
      </c>
      <c r="L1615" s="2" t="inlineStr">
        <is>
          <t>Кино_СССР телефильмы и пропуски включить в базу.xlsx</t>
        </is>
      </c>
      <c r="M1615" s="2">
        <f>HYPERLINK("https://ru.wikipedia.org/w/index.php?search=%D0%A4%D0%B0%D0%BD%D1%82%D0%B0%D0%B7%D0%B8%D1%8F%201976%20%D1%84%D0%B8%D0%BB%D1%8C%D0%BC","искать")</f>
        <v/>
      </c>
      <c r="N1615" s="3" t="n"/>
      <c r="O1615" s="2" t="n"/>
      <c r="P1615" s="2" t="n"/>
    </row>
    <row r="1616">
      <c r="A1616" s="2" t="n">
        <v>1615</v>
      </c>
      <c r="B1616" s="2" t="inlineStr">
        <is>
          <t>не сюжет</t>
        </is>
      </c>
      <c r="C1616" s="2" t="n">
        <v>11683</v>
      </c>
      <c r="D1616" s="3" t="inlineStr">
        <is>
          <t>Плюс электрификация</t>
        </is>
      </c>
      <c r="E1616" s="2" t="n">
        <v>1972</v>
      </c>
      <c r="F1616" s="2" t="inlineStr">
        <is>
          <t>мультфильм</t>
        </is>
      </c>
      <c r="G1616" s="2" t="inlineStr">
        <is>
          <t>Союзмультфильм</t>
        </is>
      </c>
      <c r="H1616" s="2" t="n">
        <v>63</v>
      </c>
      <c r="I1616" s="2" t="inlineStr"/>
      <c r="J1616" s="2" t="inlineStr">
        <is>
          <t>да</t>
        </is>
      </c>
      <c r="K1616" s="3" t="inlineStr">
        <is>
          <t>Киноплакат раскрывает смысл и значение ленинского плана ГОЭЛРО.</t>
        </is>
      </c>
      <c r="L1616" s="2" t="inlineStr">
        <is>
          <t>2026-10_мультфильмы_список_владельца.xlsx; https://animator.ru/db/?p=show_film&amp;fid=2597</t>
        </is>
      </c>
      <c r="M1616" s="2">
        <f>HYPERLINK("https://ru.wikipedia.org/w/index.php?search=%D0%9F%D0%BB%D1%8E%D1%81%20%D1%8D%D0%BB%D0%B5%D0%BA%D1%82%D1%80%D0%B8%D1%84%D0%B8%D0%BA%D0%B0%D1%86%D0%B8%D1%8F%201972%20%D1%84%D0%B8%D0%BB%D1%8C%D0%BC","искать")</f>
        <v/>
      </c>
      <c r="N1616" s="3" t="n"/>
      <c r="O1616" s="2" t="n"/>
      <c r="P1616" s="2" t="n"/>
    </row>
    <row r="1617">
      <c r="A1617" s="2" t="n">
        <v>1616</v>
      </c>
      <c r="B1617" s="2" t="inlineStr">
        <is>
          <t>не сюжет</t>
        </is>
      </c>
      <c r="C1617" s="2" t="n">
        <v>11713</v>
      </c>
      <c r="D1617" s="3" t="inlineStr">
        <is>
          <t>Песня о дружбе</t>
        </is>
      </c>
      <c r="E1617" s="2" t="n">
        <v>1973</v>
      </c>
      <c r="F1617" s="2" t="inlineStr">
        <is>
          <t>мультфильм</t>
        </is>
      </c>
      <c r="G1617" s="2" t="inlineStr">
        <is>
          <t>Союзмультфильм</t>
        </is>
      </c>
      <c r="H1617" s="2" t="n">
        <v>63</v>
      </c>
      <c r="I1617" s="2" t="inlineStr"/>
      <c r="J1617" s="2" t="inlineStr">
        <is>
          <t>да</t>
        </is>
      </c>
      <c r="K1617" s="3" t="inlineStr">
        <is>
          <t>Совместная работа Союзмультфильма и студии Трикфильм (Дрезден).</t>
        </is>
      </c>
      <c r="L1617" s="2" t="inlineStr">
        <is>
          <t>2026-10_мультфильмы_список_владельца.xlsx; https://animator.ru/db/?p=show_film&amp;fid=2627</t>
        </is>
      </c>
      <c r="M1617" s="2">
        <f>HYPERLINK("https://ru.wikipedia.org/w/index.php?search=%D0%9F%D0%B5%D1%81%D0%BD%D1%8F%20%D0%BE%20%D0%B4%D1%80%D1%83%D0%B6%D0%B1%D0%B5%201973%20%D1%84%D0%B8%D0%BB%D1%8C%D0%BC","искать")</f>
        <v/>
      </c>
      <c r="N1617" s="3" t="n"/>
      <c r="O1617" s="2" t="n"/>
      <c r="P1617" s="2" t="n"/>
    </row>
    <row r="1618">
      <c r="A1618" s="2" t="n">
        <v>1617</v>
      </c>
      <c r="B1618" s="2" t="inlineStr">
        <is>
          <t>не сюжет</t>
        </is>
      </c>
      <c r="C1618" s="2" t="n">
        <v>11716</v>
      </c>
      <c r="D1618" s="3" t="inlineStr">
        <is>
          <t>Сокровища затонувших кораблей</t>
        </is>
      </c>
      <c r="E1618" s="2" t="n">
        <v>1973</v>
      </c>
      <c r="F1618" s="2" t="inlineStr">
        <is>
          <t>мультфильм</t>
        </is>
      </c>
      <c r="G1618" s="2" t="inlineStr">
        <is>
          <t>Союзмультфильм</t>
        </is>
      </c>
      <c r="H1618" s="2" t="n">
        <v>63</v>
      </c>
      <c r="I1618" s="2" t="inlineStr"/>
      <c r="J1618" s="2" t="inlineStr">
        <is>
          <t>да</t>
        </is>
      </c>
      <c r="K1618" s="3" t="inlineStr">
        <is>
          <t>Фильм о дружбе советских детей с негритенком Мвамбой. Для детей</t>
        </is>
      </c>
      <c r="L1618" s="2" t="inlineStr">
        <is>
          <t>https://animator.ru/db/?p=show_film&amp;fid=2630</t>
        </is>
      </c>
      <c r="M1618" s="2">
        <f>HYPERLINK("https://ru.wikipedia.org/w/index.php?search=%D0%A1%D0%BE%D0%BA%D1%80%D0%BE%D0%B2%D0%B8%D1%89%D0%B0%20%D0%B7%D0%B0%D1%82%D0%BE%D0%BD%D1%83%D0%B2%D1%88%D0%B8%D1%85%20%D0%BA%D0%BE%D1%80%D0%B0%D0%B1%D0%BB%D0%B5%D0%B9%201973%20%D1%84%D0%B8%D0%BB%D1%8C%D0%BC","искать")</f>
        <v/>
      </c>
      <c r="N1618" s="3" t="n"/>
      <c r="O1618" s="2" t="n"/>
      <c r="P1618" s="2" t="n"/>
    </row>
    <row r="1619">
      <c r="A1619" s="2" t="n">
        <v>1618</v>
      </c>
      <c r="B1619" s="2" t="inlineStr">
        <is>
          <t>не сюжет</t>
        </is>
      </c>
      <c r="C1619" s="2" t="n">
        <v>11843</v>
      </c>
      <c r="D1619" s="3" t="inlineStr">
        <is>
          <t>Наш добрый мастер</t>
        </is>
      </c>
      <c r="E1619" s="2" t="n">
        <v>1977</v>
      </c>
      <c r="F1619" s="2" t="inlineStr">
        <is>
          <t>мультфильм</t>
        </is>
      </c>
      <c r="G1619" s="2" t="inlineStr">
        <is>
          <t>Союзмультфильм</t>
        </is>
      </c>
      <c r="H1619" s="2" t="n">
        <v>63</v>
      </c>
      <c r="I1619" s="2" t="inlineStr"/>
      <c r="J1619" s="2" t="inlineStr">
        <is>
          <t>да</t>
        </is>
      </c>
      <c r="K1619" s="3" t="inlineStr">
        <is>
          <t>Живет в городе добрый мастер, золотые руки которого нужны всем.</t>
        </is>
      </c>
      <c r="L1619" s="2" t="inlineStr">
        <is>
          <t>https://animator.ru/db/?p=show_film&amp;fid=2758</t>
        </is>
      </c>
      <c r="M1619" s="2">
        <f>HYPERLINK("https://ru.wikipedia.org/w/index.php?search=%D0%9D%D0%B0%D1%88%20%D0%B4%D0%BE%D0%B1%D1%80%D1%8B%D0%B9%20%D0%BC%D0%B0%D1%81%D1%82%D0%B5%D1%80%201977%20%D1%84%D0%B8%D0%BB%D1%8C%D0%BC","искать")</f>
        <v/>
      </c>
      <c r="N1619" s="3" t="n"/>
      <c r="O1619" s="2" t="n"/>
      <c r="P1619" s="2" t="n"/>
    </row>
    <row r="1620">
      <c r="A1620" s="2" t="n">
        <v>1619</v>
      </c>
      <c r="B1620" s="2" t="inlineStr">
        <is>
          <t>не сюжет</t>
        </is>
      </c>
      <c r="C1620" s="2" t="n">
        <v>12008</v>
      </c>
      <c r="D1620" s="3" t="inlineStr">
        <is>
          <t>Закон племени</t>
        </is>
      </c>
      <c r="E1620" s="2" t="n">
        <v>1982</v>
      </c>
      <c r="F1620" s="2" t="inlineStr">
        <is>
          <t>мультфильм</t>
        </is>
      </c>
      <c r="G1620" s="2" t="inlineStr">
        <is>
          <t>Союзмультфильм</t>
        </is>
      </c>
      <c r="H1620" s="2" t="n">
        <v>63</v>
      </c>
      <c r="I1620" s="2" t="inlineStr"/>
      <c r="J1620" s="2" t="inlineStr">
        <is>
          <t>да</t>
        </is>
      </c>
      <c r="K1620" s="3" t="inlineStr">
        <is>
          <t>По мотивам произведений африканских художников школы Пота-пота.</t>
        </is>
      </c>
      <c r="L1620" s="2" t="inlineStr">
        <is>
          <t>2026-10_мультфильмы_список_владельца.xlsx; https://animator.ru/db/?p=show_film&amp;fid=3122</t>
        </is>
      </c>
      <c r="M1620" s="2">
        <f>HYPERLINK("https://ru.wikipedia.org/w/index.php?search=%D0%97%D0%B0%D0%BA%D0%BE%D0%BD%20%D0%BF%D0%BB%D0%B5%D0%BC%D0%B5%D0%BD%D0%B8%201982%20%D1%84%D0%B8%D0%BB%D1%8C%D0%BC","искать")</f>
        <v/>
      </c>
      <c r="N1620" s="3" t="n"/>
      <c r="O1620" s="2" t="n"/>
      <c r="P1620" s="2" t="n"/>
    </row>
    <row r="1621">
      <c r="A1621" s="2" t="n">
        <v>1620</v>
      </c>
      <c r="B1621" s="2" t="inlineStr">
        <is>
          <t>не сюжет</t>
        </is>
      </c>
      <c r="C1621" s="2" t="n">
        <v>12315</v>
      </c>
      <c r="D1621" s="3" t="inlineStr">
        <is>
          <t>Приключения кузнечика Кузи (ч.2)</t>
        </is>
      </c>
      <c r="E1621" s="2" t="n">
        <v>1991</v>
      </c>
      <c r="F1621" s="2" t="inlineStr">
        <is>
          <t>мультфильм</t>
        </is>
      </c>
      <c r="G1621" s="2" t="inlineStr">
        <is>
          <t>Союзмультфильм</t>
        </is>
      </c>
      <c r="H1621" s="2" t="n">
        <v>63</v>
      </c>
      <c r="I1621" s="2" t="inlineStr"/>
      <c r="J1621" s="2" t="inlineStr">
        <is>
          <t>да</t>
        </is>
      </c>
      <c r="K1621" s="3" t="inlineStr">
        <is>
          <t>По мотивам сказки М.Пляцковского. Использованы песни Ю.Антонова</t>
        </is>
      </c>
      <c r="L1621" s="2" t="inlineStr">
        <is>
          <t>2026-10_мультфильмы_список_владельца.xlsx; https://animator.ru/db/?p=show_film&amp;fid=3432</t>
        </is>
      </c>
      <c r="M1621" s="2">
        <f>HYPERLINK("https://ru.wikipedia.org/w/index.php?search=%D0%9F%D1%80%D0%B8%D0%BA%D0%BB%D1%8E%D1%87%D0%B5%D0%BD%D0%B8%D1%8F%20%D0%BA%D1%83%D0%B7%D0%BD%D0%B5%D1%87%D0%B8%D0%BA%D0%B0%20%D0%9A%D1%83%D0%B7%D0%B8%20%28%D1%87.2%29%201991%20%D1%84%D0%B8%D0%BB%D1%8C%D0%BC","искать")</f>
        <v/>
      </c>
      <c r="N1621" s="3" t="n"/>
      <c r="O1621" s="2" t="n"/>
      <c r="P1621" s="2" t="n"/>
    </row>
    <row r="1622">
      <c r="A1622" s="2" t="n">
        <v>1621</v>
      </c>
      <c r="B1622" s="2" t="inlineStr">
        <is>
          <t>не сюжет</t>
        </is>
      </c>
      <c r="C1622" s="2" t="n">
        <v>12335</v>
      </c>
      <c r="D1622" s="3" t="inlineStr">
        <is>
          <t>Вересковый мед</t>
        </is>
      </c>
      <c r="E1622" s="2" t="n">
        <v>1974</v>
      </c>
      <c r="F1622" s="2" t="inlineStr">
        <is>
          <t>мультфильм</t>
        </is>
      </c>
      <c r="G1622" s="2" t="inlineStr">
        <is>
          <t>КИЕВНАУЧФИЛЬМ</t>
        </is>
      </c>
      <c r="H1622" s="2" t="n">
        <v>63</v>
      </c>
      <c r="I1622" s="2" t="inlineStr"/>
      <c r="J1622" s="2" t="inlineStr">
        <is>
          <t>да</t>
        </is>
      </c>
      <c r="K1622" s="3" t="inlineStr">
        <is>
          <t>По балладе Р.Стивенсона. В фильме использована музыка О.Респиги</t>
        </is>
      </c>
      <c r="L1622" s="2" t="inlineStr">
        <is>
          <t>https://animator.ru/db/?p=show_film&amp;fid=3499</t>
        </is>
      </c>
      <c r="M1622" s="2">
        <f>HYPERLINK("https://ru.wikipedia.org/w/index.php?search=%D0%92%D0%B5%D1%80%D0%B5%D1%81%D0%BA%D0%BE%D0%B2%D1%8B%D0%B9%20%D0%BC%D0%B5%D0%B4%201974%20%D1%84%D0%B8%D0%BB%D1%8C%D0%BC","искать")</f>
        <v/>
      </c>
      <c r="N1622" s="3" t="n"/>
      <c r="O1622" s="2" t="n"/>
      <c r="P1622" s="2" t="n"/>
    </row>
    <row r="1623">
      <c r="A1623" s="2" t="n">
        <v>1622</v>
      </c>
      <c r="B1623" s="2" t="inlineStr">
        <is>
          <t>не сюжет</t>
        </is>
      </c>
      <c r="C1623" s="2" t="n">
        <v>13125</v>
      </c>
      <c r="D1623" s="3" t="inlineStr">
        <is>
          <t>Перевернутый мир (Велемир)</t>
        </is>
      </c>
      <c r="E1623" s="2" t="n">
        <v>1988</v>
      </c>
      <c r="F1623" s="2" t="inlineStr">
        <is>
          <t>мультфильм</t>
        </is>
      </c>
      <c r="G1623" s="2" t="inlineStr">
        <is>
          <t>МОЛДОВА-ФИЛЬМ</t>
        </is>
      </c>
      <c r="H1623" s="2" t="n">
        <v>63</v>
      </c>
      <c r="I1623" s="2" t="inlineStr"/>
      <c r="J1623" s="2" t="inlineStr">
        <is>
          <t>да</t>
        </is>
      </c>
      <c r="K1623" s="3" t="inlineStr">
        <is>
          <t>Судьба и мысль Поэта в эпохи социальных катастроф. Для взрослых</t>
        </is>
      </c>
      <c r="L1623" s="2" t="inlineStr">
        <is>
          <t>https://animator.ru/db/?p=show_film&amp;fid=4357</t>
        </is>
      </c>
      <c r="M1623" s="2">
        <f>HYPERLINK("https://ru.wikipedia.org/w/index.php?search=%D0%9F%D0%B5%D1%80%D0%B5%D0%B2%D0%B5%D1%80%D0%BD%D1%83%D1%82%D1%8B%D0%B9%20%D0%BC%D0%B8%D1%80%20%28%D0%92%D0%B5%D0%BB%D0%B5%D0%BC%D0%B8%D1%80%29%201988%20%D1%84%D0%B8%D0%BB%D1%8C%D0%BC","искать")</f>
        <v/>
      </c>
      <c r="N1623" s="3" t="n"/>
      <c r="O1623" s="2" t="n"/>
      <c r="P1623" s="2" t="n"/>
    </row>
    <row r="1624">
      <c r="A1624" s="2" t="n">
        <v>1623</v>
      </c>
      <c r="B1624" s="2" t="inlineStr">
        <is>
          <t>не сюжет</t>
        </is>
      </c>
      <c r="C1624" s="2" t="n">
        <v>13255</v>
      </c>
      <c r="D1624" s="3" t="inlineStr">
        <is>
          <t>Пешеходы</t>
        </is>
      </c>
      <c r="E1624" s="2" t="n">
        <v>1971</v>
      </c>
      <c r="F1624" s="2" t="inlineStr">
        <is>
          <t>мультфильм</t>
        </is>
      </c>
      <c r="G1624" s="2" t="inlineStr">
        <is>
          <t>ТАЛЛИННФИЛЬМ</t>
        </is>
      </c>
      <c r="H1624" s="2" t="n">
        <v>63</v>
      </c>
      <c r="I1624" s="2" t="inlineStr"/>
      <c r="J1624" s="2" t="inlineStr">
        <is>
          <t>да</t>
        </is>
      </c>
      <c r="K1624" s="3" t="inlineStr">
        <is>
          <t>По мотивам первой главы книги Ильфа и Петрова "Золотой теленок"</t>
        </is>
      </c>
      <c r="L1624" s="2" t="inlineStr">
        <is>
          <t>https://animator.ru/db/?p=show_film&amp;fid=4503</t>
        </is>
      </c>
      <c r="M1624" s="2">
        <f>HYPERLINK("https://ru.wikipedia.org/w/index.php?search=%D0%9F%D0%B5%D1%88%D0%B5%D1%85%D0%BE%D0%B4%D1%8B%201971%20%D1%84%D0%B8%D0%BB%D1%8C%D0%BC","искать")</f>
        <v/>
      </c>
      <c r="N1624" s="3" t="n"/>
      <c r="O1624" s="2" t="n"/>
      <c r="P1624" s="2" t="n"/>
    </row>
    <row r="1625">
      <c r="A1625" s="2" t="n">
        <v>1624</v>
      </c>
      <c r="B1625" s="2" t="inlineStr">
        <is>
          <t>не сюжет</t>
        </is>
      </c>
      <c r="C1625" s="2" t="n">
        <v>13717</v>
      </c>
      <c r="D1625" s="3" t="inlineStr">
        <is>
          <t>Катавасия</t>
        </is>
      </c>
      <c r="E1625" s="2" t="n">
        <v>1974</v>
      </c>
      <c r="F1625" s="2" t="inlineStr">
        <is>
          <t>мультфильм</t>
        </is>
      </c>
      <c r="G1625" s="2" t="inlineStr">
        <is>
          <t>ЭКРАН</t>
        </is>
      </c>
      <c r="H1625" s="2" t="n">
        <v>63</v>
      </c>
      <c r="I1625" s="2" t="inlineStr"/>
      <c r="J1625" s="2" t="inlineStr">
        <is>
          <t>да</t>
        </is>
      </c>
      <c r="K1625" s="3" t="inlineStr">
        <is>
          <t>По мотивам пьесы В.Лившица "Кот Васька и его друзья". Для детей</t>
        </is>
      </c>
      <c r="L1625" s="2" t="inlineStr">
        <is>
          <t>https://animator.ru/db/?p=show_film&amp;fid=5110</t>
        </is>
      </c>
      <c r="M1625" s="2">
        <f>HYPERLINK("https://ru.wikipedia.org/w/index.php?search=%D0%9A%D0%B0%D1%82%D0%B0%D0%B2%D0%B0%D1%81%D0%B8%D1%8F%201974%20%D1%84%D0%B8%D0%BB%D1%8C%D0%BC","искать")</f>
        <v/>
      </c>
      <c r="N1625" s="3" t="n"/>
      <c r="O1625" s="2" t="n"/>
      <c r="P1625" s="2" t="n"/>
    </row>
    <row r="1626">
      <c r="A1626" s="2" t="n">
        <v>1625</v>
      </c>
      <c r="B1626" s="2" t="inlineStr">
        <is>
          <t>не сюжет</t>
        </is>
      </c>
      <c r="C1626" s="2" t="n">
        <v>14031</v>
      </c>
      <c r="D1626" s="3" t="inlineStr">
        <is>
          <t>Кутх и мыши</t>
        </is>
      </c>
      <c r="E1626" s="2" t="n">
        <v>1985</v>
      </c>
      <c r="F1626" s="2" t="inlineStr">
        <is>
          <t>мультфильм</t>
        </is>
      </c>
      <c r="G1626" s="2" t="inlineStr">
        <is>
          <t>Свердловская киностудия</t>
        </is>
      </c>
      <c r="H1626" s="2" t="n">
        <v>63</v>
      </c>
      <c r="I1626" s="2" t="inlineStr"/>
      <c r="J1626" s="2" t="inlineStr">
        <is>
          <t>да</t>
        </is>
      </c>
      <c r="K1626" s="3" t="inlineStr">
        <is>
          <t>По мотивам древнечукотского предания "Сказание о вороне Кутха".</t>
        </is>
      </c>
      <c r="L1626" s="2" t="inlineStr">
        <is>
          <t>2026-10_мультфильмы_список_владельца.xlsx; https://animator.ru/db/?p=show_film&amp;fid=5427</t>
        </is>
      </c>
      <c r="M1626" s="2">
        <f>HYPERLINK("https://ru.wikipedia.org/w/index.php?search=%D0%9A%D1%83%D1%82%D1%85%20%D0%B8%20%D0%BC%D1%8B%D1%88%D0%B8%201985%20%D1%84%D0%B8%D0%BB%D1%8C%D0%BC","искать")</f>
        <v/>
      </c>
      <c r="N1626" s="3" t="n"/>
      <c r="O1626" s="2" t="n"/>
      <c r="P1626" s="2" t="n"/>
    </row>
    <row r="1627">
      <c r="A1627" s="2" t="n">
        <v>1626</v>
      </c>
      <c r="B1627" s="2" t="inlineStr">
        <is>
          <t>не сюжет</t>
        </is>
      </c>
      <c r="C1627" s="2" t="n">
        <v>8582</v>
      </c>
      <c r="D1627" s="3" t="inlineStr">
        <is>
          <t>Шок и Шер</t>
        </is>
      </c>
      <c r="E1627" s="2" t="n">
        <v>1972</v>
      </c>
      <c r="F1627" s="2" t="inlineStr">
        <is>
          <t>телефильм</t>
        </is>
      </c>
      <c r="G1627" s="2" t="inlineStr">
        <is>
          <t>Казахфильм</t>
        </is>
      </c>
      <c r="H1627" s="2" t="n">
        <v>64</v>
      </c>
      <c r="I1627" s="2" t="inlineStr"/>
      <c r="J1627" s="2" t="inlineStr">
        <is>
          <t>да</t>
        </is>
      </c>
      <c r="K1627" s="3" t="inlineStr">
        <is>
          <t>О трогательной дружбе маленького мальчика Шера и жеребенка Шока.</t>
        </is>
      </c>
      <c r="L1627" s="2" t="inlineStr">
        <is>
          <t>Кино_СССР сводный каталог.xlsx: список телефильмов</t>
        </is>
      </c>
      <c r="M1627" s="2">
        <f>HYPERLINK("https://ru.wikipedia.org/w/index.php?search=%D0%A8%D0%BE%D0%BA%20%D0%B8%20%D0%A8%D0%B5%D1%80%201972%20%D1%84%D0%B8%D0%BB%D1%8C%D0%BC","искать")</f>
        <v/>
      </c>
      <c r="N1627" s="3" t="n"/>
      <c r="O1627" s="2" t="n"/>
      <c r="P1627" s="2" t="n"/>
    </row>
    <row r="1628">
      <c r="A1628" s="2" t="n">
        <v>1627</v>
      </c>
      <c r="B1628" s="2" t="inlineStr">
        <is>
          <t>не сюжет</t>
        </is>
      </c>
      <c r="C1628" s="2" t="n">
        <v>8966</v>
      </c>
      <c r="D1628" s="3" t="inlineStr">
        <is>
          <t>Постскриптум</t>
        </is>
      </c>
      <c r="E1628" s="2" t="n">
        <v>1984</v>
      </c>
      <c r="F1628" s="2" t="inlineStr">
        <is>
          <t>кинофильм</t>
        </is>
      </c>
      <c r="G1628" s="2" t="n"/>
      <c r="H1628" s="2" t="n">
        <v>64</v>
      </c>
      <c r="I1628" s="2" t="inlineStr"/>
      <c r="J1628" s="2" t="inlineStr">
        <is>
          <t>да</t>
        </is>
      </c>
      <c r="K1628" s="3" t="inlineStr">
        <is>
          <t>Фильм о сложных отношениях в семье рядом с пьющим мужем и отцом.</t>
        </is>
      </c>
      <c r="L1628" s="2" t="inlineStr">
        <is>
          <t>Кино_СССР сводный каталог.xlsx: список фильмов (доп.)</t>
        </is>
      </c>
      <c r="M1628" s="2">
        <f>HYPERLINK("https://ru.wikipedia.org/w/index.php?search=%D0%9F%D0%BE%D1%81%D1%82%D1%81%D0%BA%D1%80%D0%B8%D0%BF%D1%82%D1%83%D0%BC%201984%20%D1%84%D0%B8%D0%BB%D1%8C%D0%BC","искать")</f>
        <v/>
      </c>
      <c r="N1628" s="3" t="n"/>
      <c r="O1628" s="2" t="n"/>
      <c r="P1628" s="2" t="n"/>
    </row>
    <row r="1629">
      <c r="A1629" s="2" t="n">
        <v>1628</v>
      </c>
      <c r="B1629" s="2" t="inlineStr">
        <is>
          <t>не сюжет</t>
        </is>
      </c>
      <c r="C1629" s="2" t="n">
        <v>12015</v>
      </c>
      <c r="D1629" s="3" t="inlineStr">
        <is>
          <t>Осень</t>
        </is>
      </c>
      <c r="E1629" s="2" t="n">
        <v>1982</v>
      </c>
      <c r="F1629" s="2" t="inlineStr">
        <is>
          <t>мультфильм</t>
        </is>
      </c>
      <c r="G1629" s="2" t="inlineStr">
        <is>
          <t>Союзмультфильм</t>
        </is>
      </c>
      <c r="H1629" s="2" t="n">
        <v>64</v>
      </c>
      <c r="I1629" s="2" t="inlineStr"/>
      <c r="J1629" s="2" t="inlineStr">
        <is>
          <t>да</t>
        </is>
      </c>
      <c r="K1629" s="3" t="inlineStr">
        <is>
          <t>Третий фильм биографического цикла по рисункам и текстам Пушкина</t>
        </is>
      </c>
      <c r="L1629" s="2" t="inlineStr">
        <is>
          <t>https://animator.ru/db/?p=show_film&amp;fid=3129</t>
        </is>
      </c>
      <c r="M1629" s="2">
        <f>HYPERLINK("https://ru.wikipedia.org/w/index.php?search=%D0%9E%D1%81%D0%B5%D0%BD%D1%8C%201982%20%D1%84%D0%B8%D0%BB%D1%8C%D0%BC","искать")</f>
        <v/>
      </c>
      <c r="N1629" s="3" t="n"/>
      <c r="O1629" s="2" t="n"/>
      <c r="P1629" s="2" t="n"/>
    </row>
    <row r="1630">
      <c r="A1630" s="2" t="n">
        <v>1629</v>
      </c>
      <c r="B1630" s="2" t="inlineStr">
        <is>
          <t>не сюжет</t>
        </is>
      </c>
      <c r="C1630" s="2" t="n">
        <v>12056</v>
      </c>
      <c r="D1630" s="3" t="inlineStr">
        <is>
          <t>Путь в вечность</t>
        </is>
      </c>
      <c r="E1630" s="2" t="n">
        <v>1983</v>
      </c>
      <c r="F1630" s="2" t="inlineStr">
        <is>
          <t>мультфильм</t>
        </is>
      </c>
      <c r="G1630" s="2" t="inlineStr">
        <is>
          <t>Союзмультфильм</t>
        </is>
      </c>
      <c r="H1630" s="2" t="n">
        <v>64</v>
      </c>
      <c r="I1630" s="2" t="inlineStr"/>
      <c r="J1630" s="2" t="inlineStr">
        <is>
          <t>да</t>
        </is>
      </c>
      <c r="K1630" s="3" t="inlineStr">
        <is>
          <t>По мотивам корейской классической поэзии в переводе А.Ахматовой.</t>
        </is>
      </c>
      <c r="L1630" s="2" t="inlineStr">
        <is>
          <t>2026-10_мультфильмы_список_владельца.xlsx; https://animator.ru/db/?p=show_film&amp;fid=3171</t>
        </is>
      </c>
      <c r="M1630" s="2">
        <f>HYPERLINK("https://ru.wikipedia.org/w/index.php?search=%D0%9F%D1%83%D1%82%D1%8C%20%D0%B2%20%D0%B2%D0%B5%D1%87%D0%BD%D0%BE%D1%81%D1%82%D1%8C%201983%20%D1%84%D0%B8%D0%BB%D1%8C%D0%BC","искать")</f>
        <v/>
      </c>
      <c r="N1630" s="3" t="n"/>
      <c r="O1630" s="2" t="n"/>
      <c r="P1630" s="2" t="n"/>
    </row>
    <row r="1631">
      <c r="A1631" s="2" t="n">
        <v>1630</v>
      </c>
      <c r="B1631" s="2" t="inlineStr">
        <is>
          <t>не сюжет</t>
        </is>
      </c>
      <c r="C1631" s="2" t="n">
        <v>12108</v>
      </c>
      <c r="D1631" s="3" t="inlineStr">
        <is>
          <t>Два богатыря</t>
        </is>
      </c>
      <c r="E1631" s="2" t="n">
        <v>1989</v>
      </c>
      <c r="F1631" s="2" t="inlineStr">
        <is>
          <t>мультфильм</t>
        </is>
      </c>
      <c r="G1631" s="2" t="inlineStr">
        <is>
          <t>Союзмультфильм</t>
        </is>
      </c>
      <c r="H1631" s="2" t="n">
        <v>64</v>
      </c>
      <c r="I1631" s="2" t="inlineStr"/>
      <c r="J1631" s="2" t="inlineStr">
        <is>
          <t>да</t>
        </is>
      </c>
      <c r="K1631" s="3" t="inlineStr">
        <is>
          <t>По мотивам русских и казахских сказок о богатырях Иване и Батыре</t>
        </is>
      </c>
      <c r="L1631" s="2" t="inlineStr">
        <is>
          <t>https://animator.ru/db/?p=show_film&amp;fid=3224</t>
        </is>
      </c>
      <c r="M1631" s="2">
        <f>HYPERLINK("https://ru.wikipedia.org/w/index.php?search=%D0%94%D0%B2%D0%B0%20%D0%B1%D0%BE%D0%B3%D0%B0%D1%82%D1%8B%D1%80%D1%8F%201989%20%D1%84%D0%B8%D0%BB%D1%8C%D0%BC","искать")</f>
        <v/>
      </c>
      <c r="N1631" s="3" t="n"/>
      <c r="O1631" s="2" t="n"/>
      <c r="P1631" s="2" t="n"/>
    </row>
    <row r="1632">
      <c r="A1632" s="2" t="n">
        <v>1631</v>
      </c>
      <c r="B1632" s="2" t="inlineStr">
        <is>
          <t>не сюжет</t>
        </is>
      </c>
      <c r="C1632" s="2" t="n">
        <v>12288</v>
      </c>
      <c r="D1632" s="3" t="inlineStr">
        <is>
          <t>Приключения кузнечика Кузи (ч.1)</t>
        </is>
      </c>
      <c r="E1632" s="2" t="n">
        <v>1990</v>
      </c>
      <c r="F1632" s="2" t="inlineStr">
        <is>
          <t>мультфильм</t>
        </is>
      </c>
      <c r="G1632" s="2" t="inlineStr">
        <is>
          <t>Союзмультфильм</t>
        </is>
      </c>
      <c r="H1632" s="2" t="n">
        <v>64</v>
      </c>
      <c r="I1632" s="2" t="inlineStr"/>
      <c r="J1632" s="2" t="inlineStr">
        <is>
          <t>да</t>
        </is>
      </c>
      <c r="K1632" s="3" t="inlineStr">
        <is>
          <t>По мотивам сказки М.Пляцковского. Использованы песни Ю.Антонова.</t>
        </is>
      </c>
      <c r="L1632" s="2" t="inlineStr">
        <is>
          <t>2026-10_мультфильмы_список_владельца.xlsx; https://animator.ru/db/?p=show_film&amp;fid=3405</t>
        </is>
      </c>
      <c r="M1632" s="2">
        <f>HYPERLINK("https://ru.wikipedia.org/w/index.php?search=%D0%9F%D1%80%D0%B8%D0%BA%D0%BB%D1%8E%D1%87%D0%B5%D0%BD%D0%B8%D1%8F%20%D0%BA%D1%83%D0%B7%D0%BD%D0%B5%D1%87%D0%B8%D0%BA%D0%B0%20%D0%9A%D1%83%D0%B7%D0%B8%20%28%D1%87.1%29%201990%20%D1%84%D0%B8%D0%BB%D1%8C%D0%BC","искать")</f>
        <v/>
      </c>
      <c r="N1632" s="3" t="n"/>
      <c r="O1632" s="2" t="n"/>
      <c r="P1632" s="2" t="n"/>
    </row>
    <row r="1633">
      <c r="A1633" s="2" t="n">
        <v>1632</v>
      </c>
      <c r="B1633" s="2" t="inlineStr">
        <is>
          <t>не сюжет</t>
        </is>
      </c>
      <c r="C1633" s="2" t="n">
        <v>12482</v>
      </c>
      <c r="D1633" s="3" t="inlineStr">
        <is>
          <t>Октябрьский марш</t>
        </is>
      </c>
      <c r="E1633" s="2" t="n">
        <v>1978</v>
      </c>
      <c r="F1633" s="2" t="inlineStr">
        <is>
          <t>мультфильм</t>
        </is>
      </c>
      <c r="G1633" s="2" t="inlineStr">
        <is>
          <t>КИЕВНАУЧФИЛЬМ</t>
        </is>
      </c>
      <c r="H1633" s="2" t="n">
        <v>64</v>
      </c>
      <c r="I1633" s="2" t="inlineStr"/>
      <c r="J1633" s="2" t="inlineStr">
        <is>
          <t>да</t>
        </is>
      </c>
      <c r="K1633" s="3" t="inlineStr">
        <is>
          <t>По стихотворению Маяковского. Использована музыка Д. Шестаковича</t>
        </is>
      </c>
      <c r="L1633" s="2" t="inlineStr">
        <is>
          <t>https://animator.ru/db/?p=show_film&amp;fid=3657</t>
        </is>
      </c>
      <c r="M1633" s="2">
        <f>HYPERLINK("https://ru.wikipedia.org/w/index.php?search=%D0%9E%D0%BA%D1%82%D1%8F%D0%B1%D1%80%D1%8C%D1%81%D0%BA%D0%B8%D0%B9%20%D0%BC%D0%B0%D1%80%D1%88%201978%20%D1%84%D0%B8%D0%BB%D1%8C%D0%BC","искать")</f>
        <v/>
      </c>
      <c r="N1633" s="3" t="n"/>
      <c r="O1633" s="2" t="n"/>
      <c r="P1633" s="2" t="n"/>
    </row>
    <row r="1634">
      <c r="A1634" s="2" t="n">
        <v>1633</v>
      </c>
      <c r="B1634" s="2" t="inlineStr">
        <is>
          <t>не сюжет</t>
        </is>
      </c>
      <c r="C1634" s="2" t="n">
        <v>12685</v>
      </c>
      <c r="D1634" s="3" t="inlineStr">
        <is>
          <t>Меч</t>
        </is>
      </c>
      <c r="E1634" s="2" t="n">
        <v>1989</v>
      </c>
      <c r="F1634" s="2" t="inlineStr">
        <is>
          <t>мультфильм</t>
        </is>
      </c>
      <c r="G1634" s="2" t="inlineStr">
        <is>
          <t>БЕЛАРУСЬФИЛЬМ НАЦИОНАЛЬНАЯ КИНОСТУДИЯ - ГП</t>
        </is>
      </c>
      <c r="H1634" s="2" t="n">
        <v>64</v>
      </c>
      <c r="I1634" s="2" t="inlineStr"/>
      <c r="J1634" s="2" t="inlineStr">
        <is>
          <t>да</t>
        </is>
      </c>
      <c r="K1634" s="3" t="inlineStr">
        <is>
          <t>По мотивам одноименного рассказа Томазо Ландольфи (для взрослых)</t>
        </is>
      </c>
      <c r="L1634" s="2" t="inlineStr">
        <is>
          <t>https://animator.ru/db/?p=show_film&amp;fid=3880</t>
        </is>
      </c>
      <c r="M1634" s="2">
        <f>HYPERLINK("https://ru.wikipedia.org/w/index.php?search=%D0%9C%D0%B5%D1%87%201989%20%D1%84%D0%B8%D0%BB%D1%8C%D0%BC","искать")</f>
        <v/>
      </c>
      <c r="N1634" s="3" t="n"/>
      <c r="O1634" s="2" t="n"/>
      <c r="P1634" s="2" t="n"/>
    </row>
    <row r="1635">
      <c r="A1635" s="2" t="n">
        <v>1634</v>
      </c>
      <c r="B1635" s="2" t="inlineStr">
        <is>
          <t>не сюжет</t>
        </is>
      </c>
      <c r="C1635" s="2" t="n">
        <v>13036</v>
      </c>
      <c r="D1635" s="3" t="inlineStr">
        <is>
          <t>Неразбериха</t>
        </is>
      </c>
      <c r="E1635" s="2" t="n">
        <v>1970</v>
      </c>
      <c r="F1635" s="2" t="inlineStr">
        <is>
          <t>мультфильм</t>
        </is>
      </c>
      <c r="G1635" s="2" t="inlineStr">
        <is>
          <t>РИЖСКАЯ КИНОСТУДИЯ</t>
        </is>
      </c>
      <c r="H1635" s="2" t="n">
        <v>64</v>
      </c>
      <c r="I1635" s="2" t="inlineStr"/>
      <c r="J1635" s="2" t="inlineStr">
        <is>
          <t>да</t>
        </is>
      </c>
      <c r="K1635" s="3" t="inlineStr">
        <is>
          <t>Включен в сб. "Неразбериха" 1971 г. студии "Союзмультфильм" (см)</t>
        </is>
      </c>
      <c r="L1635" s="2" t="inlineStr">
        <is>
          <t>https://animator.ru/db/?p=show_film&amp;fid=4268</t>
        </is>
      </c>
      <c r="M1635" s="2">
        <f>HYPERLINK("https://ru.wikipedia.org/w/index.php?search=%D0%9D%D0%B5%D1%80%D0%B0%D0%B7%D0%B1%D0%B5%D1%80%D0%B8%D1%85%D0%B0%201970%20%D1%84%D0%B8%D0%BB%D1%8C%D0%BC","искать")</f>
        <v/>
      </c>
      <c r="N1635" s="3" t="n"/>
      <c r="O1635" s="2" t="n"/>
      <c r="P1635" s="2" t="n"/>
    </row>
    <row r="1636">
      <c r="A1636" s="2" t="n">
        <v>1635</v>
      </c>
      <c r="B1636" s="2" t="inlineStr">
        <is>
          <t>не сюжет</t>
        </is>
      </c>
      <c r="C1636" s="2" t="n">
        <v>13143</v>
      </c>
      <c r="D1636" s="3" t="inlineStr">
        <is>
          <t>Однажды осенний фотограф...</t>
        </is>
      </c>
      <c r="E1636" s="2" t="n">
        <v>1987</v>
      </c>
      <c r="F1636" s="2" t="inlineStr">
        <is>
          <t>мультфильм</t>
        </is>
      </c>
      <c r="G1636" s="2" t="inlineStr">
        <is>
          <t>БЕЛАРУСЬФИЛЬМ НАЦИОНАЛЬНАЯ КИНОСТУДИЯ - ГП</t>
        </is>
      </c>
      <c r="H1636" s="2" t="n">
        <v>64</v>
      </c>
      <c r="I1636" s="2" t="inlineStr"/>
      <c r="J1636" s="2" t="inlineStr">
        <is>
          <t>да</t>
        </is>
      </c>
      <c r="K1636" s="3" t="inlineStr">
        <is>
          <t>Мультипликационный фильмдля взрослыхо судьбе пожилого фотографа.</t>
        </is>
      </c>
      <c r="L1636" s="2" t="inlineStr">
        <is>
          <t>2026-10_мультфильмы_список_владельца.xlsx; https://animator.ru/db/?p=show_film&amp;fid=4375</t>
        </is>
      </c>
      <c r="M1636" s="2">
        <f>HYPERLINK("https://ru.wikipedia.org/w/index.php?search=%D0%9E%D0%B4%D0%BD%D0%B0%D0%B6%D0%B4%D1%8B%20%D0%BE%D1%81%D0%B5%D0%BD%D0%BD%D0%B8%D0%B9%20%D1%84%D0%BE%D1%82%D0%BE%D0%B3%D1%80%D0%B0%D1%84...%201987%20%D1%84%D0%B8%D0%BB%D1%8C%D0%BC","искать")</f>
        <v/>
      </c>
      <c r="N1636" s="3" t="n"/>
      <c r="O1636" s="2" t="n"/>
      <c r="P1636" s="2" t="n"/>
    </row>
    <row r="1637">
      <c r="A1637" s="2" t="n">
        <v>1636</v>
      </c>
      <c r="B1637" s="2" t="inlineStr">
        <is>
          <t>не сюжет</t>
        </is>
      </c>
      <c r="C1637" s="2" t="n">
        <v>13221</v>
      </c>
      <c r="D1637" s="3" t="inlineStr">
        <is>
          <t>Автомобилисты</t>
        </is>
      </c>
      <c r="E1637" s="2" t="n">
        <v>1972</v>
      </c>
      <c r="F1637" s="2" t="inlineStr">
        <is>
          <t>мультфильм</t>
        </is>
      </c>
      <c r="G1637" s="2" t="inlineStr">
        <is>
          <t>ТАЛЛИННФИЛЬМ</t>
        </is>
      </c>
      <c r="H1637" s="2" t="n">
        <v>64</v>
      </c>
      <c r="I1637" s="2" t="inlineStr"/>
      <c r="J1637" s="2" t="inlineStr">
        <is>
          <t>да</t>
        </is>
      </c>
      <c r="K1637" s="3" t="inlineStr">
        <is>
          <t>О прекрасном мире без дорожных знаков, светофоров и ...пешеходов</t>
        </is>
      </c>
      <c r="L1637" s="2" t="inlineStr">
        <is>
          <t>https://animator.ru/db/?p=show_film&amp;fid=4460</t>
        </is>
      </c>
      <c r="M1637" s="2">
        <f>HYPERLINK("https://ru.wikipedia.org/w/index.php?search=%D0%90%D0%B2%D1%82%D0%BE%D0%BC%D0%BE%D0%B1%D0%B8%D0%BB%D0%B8%D1%81%D1%82%D1%8B%201972%20%D1%84%D0%B8%D0%BB%D1%8C%D0%BC","искать")</f>
        <v/>
      </c>
      <c r="N1637" s="3" t="n"/>
      <c r="O1637" s="2" t="n"/>
      <c r="P1637" s="2" t="n"/>
    </row>
    <row r="1638">
      <c r="A1638" s="2" t="n">
        <v>1637</v>
      </c>
      <c r="B1638" s="2" t="inlineStr">
        <is>
          <t>не сюжет</t>
        </is>
      </c>
      <c r="C1638" s="2" t="n">
        <v>13394</v>
      </c>
      <c r="D1638" s="3" t="inlineStr">
        <is>
          <t>Почтарская сказка</t>
        </is>
      </c>
      <c r="E1638" s="2" t="n">
        <v>1978</v>
      </c>
      <c r="F1638" s="2" t="inlineStr">
        <is>
          <t>мультфильм</t>
        </is>
      </c>
      <c r="G1638" s="2" t="inlineStr">
        <is>
          <t>ЭКРАН</t>
        </is>
      </c>
      <c r="H1638" s="2" t="n">
        <v>64</v>
      </c>
      <c r="I1638" s="2" t="inlineStr"/>
      <c r="J1638" s="2" t="inlineStr">
        <is>
          <t>да</t>
        </is>
      </c>
      <c r="K1638" s="3" t="inlineStr">
        <is>
          <t>По мотивам одноименной сказки Карела Чапека о почтовых гномиках.</t>
        </is>
      </c>
      <c r="L1638" s="2" t="inlineStr">
        <is>
          <t>2026-10_мультфильмы_список_владельца.xlsx; https://animator.ru/db/?p=show_film&amp;fid=4674</t>
        </is>
      </c>
      <c r="M1638" s="2">
        <f>HYPERLINK("https://ru.wikipedia.org/w/index.php?search=%D0%9F%D0%BE%D1%87%D1%82%D0%B0%D1%80%D1%81%D0%BA%D0%B0%D1%8F%20%D1%81%D0%BA%D0%B0%D0%B7%D0%BA%D0%B0%201978%20%D1%84%D0%B8%D0%BB%D1%8C%D0%BC","искать")</f>
        <v/>
      </c>
      <c r="N1638" s="3" t="n"/>
      <c r="O1638" s="2" t="n"/>
      <c r="P1638" s="2" t="n"/>
    </row>
    <row r="1639">
      <c r="A1639" s="2" t="n">
        <v>1638</v>
      </c>
      <c r="B1639" s="2" t="inlineStr">
        <is>
          <t>не сюжет</t>
        </is>
      </c>
      <c r="C1639" s="2" t="n">
        <v>13464</v>
      </c>
      <c r="D1639" s="3" t="inlineStr">
        <is>
          <t>Ученик волшебника</t>
        </is>
      </c>
      <c r="E1639" s="2" t="n">
        <v>1984</v>
      </c>
      <c r="F1639" s="2" t="inlineStr">
        <is>
          <t>мультфильм</t>
        </is>
      </c>
      <c r="G1639" s="2" t="inlineStr">
        <is>
          <t>ЭКРАН</t>
        </is>
      </c>
      <c r="H1639" s="2" t="n">
        <v>64</v>
      </c>
      <c r="I1639" s="2" t="inlineStr"/>
      <c r="J1639" s="2" t="inlineStr">
        <is>
          <t>да</t>
        </is>
      </c>
      <c r="K1639" s="3" t="inlineStr">
        <is>
          <t>По одноименной книге С,Прокофьевой о хвастунишке Васе. Для детей</t>
        </is>
      </c>
      <c r="L1639" s="2" t="inlineStr">
        <is>
          <t>https://animator.ru/db/?p=show_film&amp;fid=4745</t>
        </is>
      </c>
      <c r="M1639" s="2">
        <f>HYPERLINK("https://ru.wikipedia.org/w/index.php?search=%D0%A3%D1%87%D0%B5%D0%BD%D0%B8%D0%BA%20%D0%B2%D0%BE%D0%BB%D1%88%D0%B5%D0%B1%D0%BD%D0%B8%D0%BA%D0%B0%201984%20%D1%84%D0%B8%D0%BB%D1%8C%D0%BC","искать")</f>
        <v/>
      </c>
      <c r="N1639" s="3" t="n"/>
      <c r="O1639" s="2" t="n"/>
      <c r="P1639" s="2" t="n"/>
    </row>
    <row r="1640">
      <c r="A1640" s="2" t="n">
        <v>1639</v>
      </c>
      <c r="B1640" s="2" t="inlineStr">
        <is>
          <t>не сюжет</t>
        </is>
      </c>
      <c r="C1640" s="2" t="n">
        <v>13525</v>
      </c>
      <c r="D1640" s="3" t="inlineStr">
        <is>
          <t>Жар-птица</t>
        </is>
      </c>
      <c r="E1640" s="2" t="n">
        <v>1984</v>
      </c>
      <c r="F1640" s="2" t="inlineStr">
        <is>
          <t>мультфильм</t>
        </is>
      </c>
      <c r="G1640" s="2" t="inlineStr">
        <is>
          <t>ЭКРАН</t>
        </is>
      </c>
      <c r="H1640" s="2" t="n">
        <v>64</v>
      </c>
      <c r="I1640" s="2" t="inlineStr"/>
      <c r="J1640" s="2" t="inlineStr">
        <is>
          <t>да</t>
        </is>
      </c>
      <c r="K1640" s="3" t="inlineStr">
        <is>
          <t>В фильме использована музыка И.Стравинского из сюиты "Жар-Птица"</t>
        </is>
      </c>
      <c r="L1640" s="2" t="inlineStr">
        <is>
          <t>https://animator.ru/db/?p=show_film&amp;fid=4844</t>
        </is>
      </c>
      <c r="M1640" s="2">
        <f>HYPERLINK("https://ru.wikipedia.org/w/index.php?search=%D0%96%D0%B0%D1%80-%D0%BF%D1%82%D0%B8%D1%86%D0%B0%201984%20%D1%84%D0%B8%D0%BB%D1%8C%D0%BC","искать")</f>
        <v/>
      </c>
      <c r="N1640" s="3" t="n"/>
      <c r="O1640" s="2" t="n"/>
      <c r="P1640" s="2" t="n"/>
    </row>
    <row r="1641">
      <c r="A1641" s="2" t="n">
        <v>1640</v>
      </c>
      <c r="B1641" s="2" t="inlineStr">
        <is>
          <t>не сюжет</t>
        </is>
      </c>
      <c r="C1641" s="2" t="n">
        <v>13546</v>
      </c>
      <c r="D1641" s="3" t="inlineStr">
        <is>
          <t>Петрушка</t>
        </is>
      </c>
      <c r="E1641" s="2" t="n">
        <v>1971</v>
      </c>
      <c r="F1641" s="2" t="inlineStr">
        <is>
          <t>мультфильм</t>
        </is>
      </c>
      <c r="G1641" s="2" t="inlineStr">
        <is>
          <t>Союзмультфильм</t>
        </is>
      </c>
      <c r="H1641" s="2" t="n">
        <v>64</v>
      </c>
      <c r="I1641" s="2" t="inlineStr"/>
      <c r="J1641" s="2" t="inlineStr">
        <is>
          <t>да</t>
        </is>
      </c>
      <c r="K1641" s="3" t="inlineStr">
        <is>
          <t>Конферанс, объединивший два фильма в сборнике "Неразбериха" (см)</t>
        </is>
      </c>
      <c r="L1641" s="2" t="inlineStr">
        <is>
          <t>https://animator.ru/db/?p=show_film&amp;fid=4866</t>
        </is>
      </c>
      <c r="M1641" s="2">
        <f>HYPERLINK("https://ru.wikipedia.org/w/index.php?search=%D0%9F%D0%B5%D1%82%D1%80%D1%83%D1%88%D0%BA%D0%B0%201971%20%D1%84%D0%B8%D0%BB%D1%8C%D0%BC","искать")</f>
        <v/>
      </c>
      <c r="N1641" s="3" t="n"/>
      <c r="O1641" s="2" t="n"/>
      <c r="P1641" s="2" t="n"/>
    </row>
    <row r="1642">
      <c r="A1642" s="2" t="n">
        <v>1641</v>
      </c>
      <c r="B1642" s="2" t="inlineStr">
        <is>
          <t>не сюжет</t>
        </is>
      </c>
      <c r="C1642" s="2" t="n">
        <v>13997</v>
      </c>
      <c r="D1642" s="3" t="inlineStr">
        <is>
          <t>Шелковая кисточка</t>
        </is>
      </c>
      <c r="E1642" s="2" t="n">
        <v>1977</v>
      </c>
      <c r="F1642" s="2" t="inlineStr">
        <is>
          <t>мультфильм</t>
        </is>
      </c>
      <c r="G1642" s="2" t="inlineStr">
        <is>
          <t>ЭКРАН</t>
        </is>
      </c>
      <c r="H1642" s="2" t="n">
        <v>64</v>
      </c>
      <c r="I1642" s="2" t="inlineStr"/>
      <c r="J1642" s="2" t="inlineStr">
        <is>
          <t>да</t>
        </is>
      </c>
      <c r="K1642" s="3" t="inlineStr">
        <is>
          <t>По мотивам алтайской сказки о девочке по имени Шелковая Кисточка</t>
        </is>
      </c>
      <c r="L1642" s="2" t="inlineStr">
        <is>
          <t>https://animator.ru/db/?p=show_film&amp;fid=5391</t>
        </is>
      </c>
      <c r="M1642" s="2">
        <f>HYPERLINK("https://ru.wikipedia.org/w/index.php?search=%D0%A8%D0%B5%D0%BB%D0%BA%D0%BE%D0%B2%D0%B0%D1%8F%20%D0%BA%D0%B8%D1%81%D1%82%D0%BE%D1%87%D0%BA%D0%B0%201977%20%D1%84%D0%B8%D0%BB%D1%8C%D0%BC","искать")</f>
        <v/>
      </c>
      <c r="N1642" s="3" t="n"/>
      <c r="O1642" s="2" t="n"/>
      <c r="P1642" s="2" t="n"/>
    </row>
    <row r="1643">
      <c r="A1643" s="2" t="n">
        <v>1642</v>
      </c>
      <c r="B1643" s="2" t="inlineStr">
        <is>
          <t>не сюжет</t>
        </is>
      </c>
      <c r="C1643" s="2" t="n">
        <v>14028</v>
      </c>
      <c r="D1643" s="3" t="inlineStr">
        <is>
          <t>Когда прилетают аисты</t>
        </is>
      </c>
      <c r="E1643" s="2" t="n">
        <v>1978</v>
      </c>
      <c r="F1643" s="2" t="inlineStr">
        <is>
          <t>мультфильм</t>
        </is>
      </c>
      <c r="G1643" s="2" t="inlineStr">
        <is>
          <t>Свердловская киностудия</t>
        </is>
      </c>
      <c r="H1643" s="2" t="n">
        <v>64</v>
      </c>
      <c r="I1643" s="2" t="inlineStr"/>
      <c r="J1643" s="2" t="inlineStr">
        <is>
          <t>да</t>
        </is>
      </c>
      <c r="K1643" s="3" t="inlineStr">
        <is>
          <t>По мотивам пьесы Л.Лопейской и К.Кручининой "Аистенок и пугало".</t>
        </is>
      </c>
      <c r="L1643" s="2" t="inlineStr">
        <is>
          <t>2026-10_мультфильмы_список_владельца.xlsx; https://animator.ru/db/?p=show_film&amp;fid=5424</t>
        </is>
      </c>
      <c r="M1643" s="2">
        <f>HYPERLINK("https://ru.wikipedia.org/w/index.php?search=%D0%9A%D0%BE%D0%B3%D0%B4%D0%B0%20%D0%BF%D1%80%D0%B8%D0%BB%D0%B5%D1%82%D0%B0%D1%8E%D1%82%20%D0%B0%D0%B8%D1%81%D1%82%D1%8B%201978%20%D1%84%D0%B8%D0%BB%D1%8C%D0%BC","искать")</f>
        <v/>
      </c>
      <c r="N1643" s="3" t="n"/>
      <c r="O1643" s="2" t="n"/>
      <c r="P1643" s="2" t="n"/>
    </row>
    <row r="1644">
      <c r="A1644" s="2" t="n">
        <v>1643</v>
      </c>
      <c r="B1644" s="2" t="inlineStr">
        <is>
          <t>не сюжет</t>
        </is>
      </c>
      <c r="C1644" s="2" t="n">
        <v>7427</v>
      </c>
      <c r="D1644" s="3" t="inlineStr">
        <is>
          <t>Гайгысыз Атабаев</t>
        </is>
      </c>
      <c r="E1644" s="2" t="n">
        <v>1974</v>
      </c>
      <c r="F1644" s="2" t="inlineStr">
        <is>
          <t>телефильм</t>
        </is>
      </c>
      <c r="G1644" s="2" t="n"/>
      <c r="H1644" s="2" t="n">
        <v>65</v>
      </c>
      <c r="I1644" s="2" t="inlineStr"/>
      <c r="J1644" s="2" t="inlineStr">
        <is>
          <t>да</t>
        </is>
      </c>
      <c r="K1644" s="3" t="inlineStr">
        <is>
          <t>О первом председателе Совета народных комиссаров Туркменской ССР.</t>
        </is>
      </c>
      <c r="L1644" s="2" t="inlineStr">
        <is>
          <t>Кино_СССР сводный каталог.xlsx: список телефильмов</t>
        </is>
      </c>
      <c r="M1644" s="2">
        <f>HYPERLINK("https://ru.wikipedia.org/w/index.php?search=%D0%93%D0%B0%D0%B9%D0%B3%D1%8B%D1%81%D1%8B%D0%B7%20%D0%90%D1%82%D0%B0%D0%B1%D0%B0%D0%B5%D0%B2%201974%20%D1%84%D0%B8%D0%BB%D1%8C%D0%BC","искать")</f>
        <v/>
      </c>
      <c r="N1644" s="3" t="n"/>
      <c r="O1644" s="2" t="n"/>
      <c r="P1644" s="2" t="n"/>
    </row>
    <row r="1645">
      <c r="A1645" s="2" t="n">
        <v>1644</v>
      </c>
      <c r="B1645" s="2" t="inlineStr">
        <is>
          <t>не сюжет</t>
        </is>
      </c>
      <c r="C1645" s="2" t="n">
        <v>8137</v>
      </c>
      <c r="D1645" s="3" t="inlineStr">
        <is>
          <t>Подводные странники</t>
        </is>
      </c>
      <c r="E1645" s="2" t="n">
        <v>1991</v>
      </c>
      <c r="F1645" s="2" t="inlineStr">
        <is>
          <t>телефильм</t>
        </is>
      </c>
      <c r="G1645" s="2" t="n"/>
      <c r="H1645" s="2" t="n">
        <v>65</v>
      </c>
      <c r="I1645" s="2" t="inlineStr"/>
      <c r="J1645" s="2" t="inlineStr">
        <is>
          <t>да</t>
        </is>
      </c>
      <c r="K1645" s="3" t="inlineStr">
        <is>
          <t>Фильм снят по повести «Подводные земледельцы» Александра Беляева.</t>
        </is>
      </c>
      <c r="L1645" s="2" t="inlineStr">
        <is>
          <t>Кино_СССР сводный каталог.xlsx: список телефильмов</t>
        </is>
      </c>
      <c r="M1645" s="2">
        <f>HYPERLINK("https://ru.wikipedia.org/w/index.php?search=%D0%9F%D0%BE%D0%B4%D0%B2%D0%BE%D0%B4%D0%BD%D1%8B%D0%B5%20%D1%81%D1%82%D1%80%D0%B0%D0%BD%D0%BD%D0%B8%D0%BA%D0%B8%201991%20%D1%84%D0%B8%D0%BB%D1%8C%D0%BC","искать")</f>
        <v/>
      </c>
      <c r="N1645" s="3" t="n"/>
      <c r="O1645" s="2" t="n"/>
      <c r="P1645" s="2" t="n"/>
    </row>
    <row r="1646">
      <c r="A1646" s="2" t="n">
        <v>1645</v>
      </c>
      <c r="B1646" s="2" t="inlineStr">
        <is>
          <t>не сюжет</t>
        </is>
      </c>
      <c r="C1646" s="2" t="n">
        <v>9529</v>
      </c>
      <c r="D1646" s="3" t="inlineStr">
        <is>
          <t>Осадное положение</t>
        </is>
      </c>
      <c r="E1646" s="2" t="n">
        <v>1935</v>
      </c>
      <c r="F1646" s="2" t="inlineStr">
        <is>
          <t>кинофильм</t>
        </is>
      </c>
      <c r="G1646" s="2" t="n"/>
      <c r="H1646" s="2" t="n">
        <v>65</v>
      </c>
      <c r="I1646" s="2" t="inlineStr"/>
      <c r="J1646" s="2" t="inlineStr">
        <is>
          <t>да</t>
        </is>
      </c>
      <c r="K1646" s="3" t="inlineStr">
        <is>
          <t>Оборонная комедия на материале гражданской войны. Фильм запрещен.</t>
        </is>
      </c>
      <c r="L1646" s="2" t="inlineStr">
        <is>
          <t>Кино_СССР сводный каталог.xlsx: список фильмов (доп.)</t>
        </is>
      </c>
      <c r="M1646" s="2">
        <f>HYPERLINK("https://ru.wikipedia.org/w/index.php?search=%D0%9E%D1%81%D0%B0%D0%B4%D0%BD%D0%BE%D0%B5%20%D0%BF%D0%BE%D0%BB%D0%BE%D0%B6%D0%B5%D0%BD%D0%B8%D0%B5%201935%20%D1%84%D0%B8%D0%BB%D1%8C%D0%BC","искать")</f>
        <v/>
      </c>
      <c r="N1646" s="3" t="n"/>
      <c r="O1646" s="2" t="n"/>
      <c r="P1646" s="2" t="n"/>
    </row>
    <row r="1647">
      <c r="A1647" s="2" t="n">
        <v>1646</v>
      </c>
      <c r="B1647" s="2" t="inlineStr">
        <is>
          <t>не сюжет</t>
        </is>
      </c>
      <c r="C1647" s="2" t="n">
        <v>10249</v>
      </c>
      <c r="D1647" s="3" t="inlineStr">
        <is>
          <t>Из рассказов о Шерлоке Холмсе</t>
        </is>
      </c>
      <c r="E1647" s="2" t="n">
        <v>1968</v>
      </c>
      <c r="F1647" s="2" t="inlineStr">
        <is>
          <t>фильм-спектакль</t>
        </is>
      </c>
      <c r="G1647" s="2" t="inlineStr">
        <is>
          <t>Центральное телевидение</t>
        </is>
      </c>
      <c r="H1647" s="2" t="n">
        <v>65</v>
      </c>
      <c r="I1647" s="2" t="inlineStr"/>
      <c r="J1647" s="2" t="inlineStr">
        <is>
          <t>да</t>
        </is>
      </c>
      <c r="K1647" s="3" t="inlineStr">
        <is>
          <t>Телеспектакль по рассказу Артура Конан Дойла "Скандал в Богемии".</t>
        </is>
      </c>
      <c r="L1647" s="2" t="inlineStr">
        <is>
          <t>https://www.kino-teatr.ru/teatr/movie/111625/annot/</t>
        </is>
      </c>
      <c r="M1647" s="2">
        <f>HYPERLINK("https://ru.wikipedia.org/w/index.php?search=%D0%98%D0%B7%20%D1%80%D0%B0%D1%81%D1%81%D0%BA%D0%B0%D0%B7%D0%BE%D0%B2%20%D0%BE%20%D0%A8%D0%B5%D1%80%D0%BB%D0%BE%D0%BA%D0%B5%20%D0%A5%D0%BE%D0%BB%D0%BC%D1%81%D0%B5%201968%20%D1%84%D0%B8%D0%BB%D1%8C%D0%BC","искать")</f>
        <v/>
      </c>
      <c r="N1647" s="3" t="n"/>
      <c r="O1647" s="2" t="n"/>
      <c r="P1647" s="2" t="n"/>
    </row>
    <row r="1648">
      <c r="A1648" s="2" t="n">
        <v>1647</v>
      </c>
      <c r="B1648" s="2" t="inlineStr">
        <is>
          <t>не сюжет</t>
        </is>
      </c>
      <c r="C1648" s="2" t="n">
        <v>11450</v>
      </c>
      <c r="D1648" s="3" t="inlineStr">
        <is>
          <t>Могло случиться</t>
        </is>
      </c>
      <c r="E1648" s="2" t="n">
        <v>1967</v>
      </c>
      <c r="F1648" s="2" t="inlineStr">
        <is>
          <t>мультфильм</t>
        </is>
      </c>
      <c r="G1648" s="2" t="inlineStr">
        <is>
          <t>Союзмультфильм</t>
        </is>
      </c>
      <c r="H1648" s="2" t="n">
        <v>65</v>
      </c>
      <c r="I1648" s="2" t="inlineStr"/>
      <c r="J1648" s="2" t="inlineStr">
        <is>
          <t>да</t>
        </is>
      </c>
      <c r="K1648" s="3" t="inlineStr">
        <is>
          <t>По заказу о-ва Красного креста о правильном поведении на дорогах.</t>
        </is>
      </c>
      <c r="L1648" s="2" t="inlineStr">
        <is>
          <t>https://animator.ru/db/?p=show_film&amp;fid=2221</t>
        </is>
      </c>
      <c r="M1648" s="2">
        <f>HYPERLINK("https://ru.wikipedia.org/w/index.php?search=%D0%9C%D0%BE%D0%B3%D0%BB%D0%BE%20%D1%81%D0%BB%D1%83%D1%87%D0%B8%D1%82%D1%8C%D1%81%D1%8F%201967%20%D1%84%D0%B8%D0%BB%D1%8C%D0%BC","искать")</f>
        <v/>
      </c>
      <c r="N1648" s="3" t="n"/>
      <c r="O1648" s="2" t="n"/>
      <c r="P1648" s="2" t="inlineStr">
        <is>
          <t>ГФФ: «МОГЛО СЛУЧИТЬСЯ» 1967 — по сверке другой фильм, не предложено</t>
        </is>
      </c>
    </row>
    <row r="1649">
      <c r="A1649" s="2" t="n">
        <v>1648</v>
      </c>
      <c r="B1649" s="2" t="inlineStr">
        <is>
          <t>не сюжет</t>
        </is>
      </c>
      <c r="C1649" s="2" t="n">
        <v>11950</v>
      </c>
      <c r="D1649" s="3" t="inlineStr">
        <is>
          <t>Хитрая ворона</t>
        </is>
      </c>
      <c r="E1649" s="2" t="n">
        <v>1980</v>
      </c>
      <c r="F1649" s="2" t="inlineStr">
        <is>
          <t>мультфильм</t>
        </is>
      </c>
      <c r="G1649" s="2" t="inlineStr">
        <is>
          <t>Союзмультфильм</t>
        </is>
      </c>
      <c r="H1649" s="2" t="n">
        <v>65</v>
      </c>
      <c r="I1649" s="2" t="inlineStr"/>
      <c r="J1649" s="2" t="inlineStr">
        <is>
          <t>да</t>
        </is>
      </c>
      <c r="K1649" s="3" t="inlineStr">
        <is>
          <t>В фильме принимает участие ансамбль "Интеграл" п/у Бари Алибасова</t>
        </is>
      </c>
      <c r="L1649" s="2" t="inlineStr">
        <is>
          <t>https://animator.ru/db/?p=show_film&amp;fid=2866</t>
        </is>
      </c>
      <c r="M1649" s="2">
        <f>HYPERLINK("https://ru.wikipedia.org/w/index.php?search=%D0%A5%D0%B8%D1%82%D1%80%D0%B0%D1%8F%20%D0%B2%D0%BE%D1%80%D0%BE%D0%BD%D0%B0%201980%20%D1%84%D0%B8%D0%BB%D1%8C%D0%BC","искать")</f>
        <v/>
      </c>
      <c r="N1649" s="3" t="n"/>
      <c r="O1649" s="2" t="n"/>
      <c r="P1649" s="2" t="n"/>
    </row>
    <row r="1650">
      <c r="A1650" s="2" t="n">
        <v>1649</v>
      </c>
      <c r="B1650" s="2" t="inlineStr">
        <is>
          <t>не сюжет</t>
        </is>
      </c>
      <c r="C1650" s="2" t="n">
        <v>12082</v>
      </c>
      <c r="D1650" s="3" t="inlineStr">
        <is>
          <t>Не опоздал</t>
        </is>
      </c>
      <c r="E1650" s="2" t="n">
        <v>1984</v>
      </c>
      <c r="F1650" s="2" t="inlineStr">
        <is>
          <t>мультфильм</t>
        </is>
      </c>
      <c r="G1650" s="2" t="inlineStr">
        <is>
          <t>Союзмультфильм</t>
        </is>
      </c>
      <c r="H1650" s="2" t="n">
        <v>65</v>
      </c>
      <c r="I1650" s="2" t="inlineStr"/>
      <c r="J1650" s="2" t="inlineStr">
        <is>
          <t>да</t>
        </is>
      </c>
      <c r="K1650" s="3" t="inlineStr">
        <is>
          <t>Фильм высмеивает тех, кто понимает трудовую дисциплину формально.</t>
        </is>
      </c>
      <c r="L1650" s="2" t="inlineStr">
        <is>
          <t>https://animator.ru/db/?p=show_film&amp;fid=3197</t>
        </is>
      </c>
      <c r="M1650" s="2">
        <f>HYPERLINK("https://ru.wikipedia.org/w/index.php?search=%D0%9D%D0%B5%20%D0%BE%D0%BF%D0%BE%D0%B7%D0%B4%D0%B0%D0%BB%201984%20%D1%84%D0%B8%D0%BB%D1%8C%D0%BC","искать")</f>
        <v/>
      </c>
      <c r="N1650" s="3" t="n"/>
      <c r="O1650" s="2" t="n"/>
      <c r="P1650" s="2" t="n"/>
    </row>
    <row r="1651">
      <c r="A1651" s="2" t="n">
        <v>1650</v>
      </c>
      <c r="B1651" s="2" t="inlineStr">
        <is>
          <t>не сюжет</t>
        </is>
      </c>
      <c r="C1651" s="2" t="n">
        <v>12332</v>
      </c>
      <c r="D1651" s="3" t="inlineStr">
        <is>
          <t>В мире пернатых</t>
        </is>
      </c>
      <c r="E1651" s="2" t="n">
        <v>1974</v>
      </c>
      <c r="F1651" s="2" t="inlineStr">
        <is>
          <t>мультфильм</t>
        </is>
      </c>
      <c r="G1651" s="2" t="inlineStr">
        <is>
          <t>КИЕВНАУЧФИЛЬМ</t>
        </is>
      </c>
      <c r="H1651" s="2" t="n">
        <v>65</v>
      </c>
      <c r="I1651" s="2" t="inlineStr"/>
      <c r="J1651" s="2" t="inlineStr">
        <is>
          <t>да</t>
        </is>
      </c>
      <c r="K1651" s="3" t="inlineStr">
        <is>
          <t>Три новеллы - "Твердый характер", "Большая жизнь" и "Отцы и дети"</t>
        </is>
      </c>
      <c r="L1651" s="2" t="inlineStr">
        <is>
          <t>https://animator.ru/db/?p=show_film&amp;fid=3496</t>
        </is>
      </c>
      <c r="M1651" s="2">
        <f>HYPERLINK("https://ru.wikipedia.org/w/index.php?search=%D0%92%20%D0%BC%D0%B8%D1%80%D0%B5%20%D0%BF%D0%B5%D1%80%D0%BD%D0%B0%D1%82%D1%8B%D1%85%201974%20%D1%84%D0%B8%D0%BB%D1%8C%D0%BC","искать")</f>
        <v/>
      </c>
      <c r="N1651" s="3" t="n"/>
      <c r="O1651" s="2" t="n"/>
      <c r="P1651" s="2" t="n"/>
    </row>
    <row r="1652">
      <c r="A1652" s="2" t="n">
        <v>1651</v>
      </c>
      <c r="B1652" s="2" t="inlineStr">
        <is>
          <t>не сюжет</t>
        </is>
      </c>
      <c r="C1652" s="2" t="n">
        <v>12457</v>
      </c>
      <c r="D1652" s="3" t="inlineStr">
        <is>
          <t>Мозаика (Инструкция к игре)</t>
        </is>
      </c>
      <c r="E1652" s="2" t="n">
        <v>1989</v>
      </c>
      <c r="F1652" s="2" t="inlineStr">
        <is>
          <t>мультфильм</t>
        </is>
      </c>
      <c r="G1652" s="2" t="inlineStr">
        <is>
          <t>КИЕВНАУЧФИЛЬМ</t>
        </is>
      </c>
      <c r="H1652" s="2" t="n">
        <v>65</v>
      </c>
      <c r="I1652" s="2" t="inlineStr"/>
      <c r="J1652" s="2" t="inlineStr">
        <is>
          <t>да</t>
        </is>
      </c>
      <c r="K1652" s="3" t="inlineStr">
        <is>
          <t>Забавная история , в основе которой лежит детская игра «Мозаика».</t>
        </is>
      </c>
      <c r="L1652" s="2" t="inlineStr">
        <is>
          <t>2026-10_мультфильмы_список_владельца.xlsx; https://animator.ru/db/?p=show_film&amp;fid=3629</t>
        </is>
      </c>
      <c r="M1652" s="2">
        <f>HYPERLINK("https://ru.wikipedia.org/w/index.php?search=%D0%9C%D0%BE%D0%B7%D0%B0%D0%B8%D0%BA%D0%B0%20%28%D0%98%D0%BD%D1%81%D1%82%D1%80%D1%83%D0%BA%D1%86%D0%B8%D1%8F%20%D0%BA%20%D0%B8%D0%B3%D1%80%D0%B5%29%201989%20%D1%84%D0%B8%D0%BB%D1%8C%D0%BC","искать")</f>
        <v/>
      </c>
      <c r="N1652" s="3" t="n"/>
      <c r="O1652" s="2" t="n"/>
      <c r="P1652" s="2" t="n"/>
    </row>
    <row r="1653">
      <c r="A1653" s="2" t="n">
        <v>1652</v>
      </c>
      <c r="B1653" s="2" t="inlineStr">
        <is>
          <t>не сюжет</t>
        </is>
      </c>
      <c r="C1653" s="2" t="n">
        <v>12767</v>
      </c>
      <c r="D1653" s="3" t="inlineStr">
        <is>
          <t>Пинг-понг</t>
        </is>
      </c>
      <c r="E1653" s="2" t="n">
        <v>1988</v>
      </c>
      <c r="F1653" s="2" t="inlineStr">
        <is>
          <t>мультфильм</t>
        </is>
      </c>
      <c r="G1653" s="2" t="inlineStr">
        <is>
          <t>АРМЕНФИЛЬМ</t>
        </is>
      </c>
      <c r="H1653" s="2" t="n">
        <v>65</v>
      </c>
      <c r="I1653" s="2" t="inlineStr"/>
      <c r="J1653" s="2" t="inlineStr">
        <is>
          <t>да</t>
        </is>
      </c>
      <c r="K1653" s="3" t="inlineStr">
        <is>
          <t>О том, какое страшное и разрушительное зло - война (для взрослых)</t>
        </is>
      </c>
      <c r="L1653" s="2" t="inlineStr">
        <is>
          <t>https://animator.ru/db/?p=show_film&amp;fid=3976</t>
        </is>
      </c>
      <c r="M1653" s="2">
        <f>HYPERLINK("https://ru.wikipedia.org/w/index.php?search=%D0%9F%D0%B8%D0%BD%D0%B3-%D0%BF%D0%BE%D0%BD%D0%B3%201988%20%D1%84%D0%B8%D0%BB%D1%8C%D0%BC","искать")</f>
        <v/>
      </c>
      <c r="N1653" s="3" t="n"/>
      <c r="O1653" s="2" t="n"/>
      <c r="P1653" s="2" t="n"/>
    </row>
    <row r="1654">
      <c r="A1654" s="2" t="n">
        <v>1653</v>
      </c>
      <c r="B1654" s="2" t="inlineStr">
        <is>
          <t>не сюжет</t>
        </is>
      </c>
      <c r="C1654" s="2" t="n">
        <v>13034</v>
      </c>
      <c r="D1654" s="3" t="inlineStr">
        <is>
          <t>Красные башмачки</t>
        </is>
      </c>
      <c r="E1654" s="2" t="n">
        <v>1971</v>
      </c>
      <c r="F1654" s="2" t="inlineStr">
        <is>
          <t>мультфильм</t>
        </is>
      </c>
      <c r="G1654" s="2" t="inlineStr">
        <is>
          <t>РИЖСКАЯ КИНОСТУДИЯ</t>
        </is>
      </c>
      <c r="H1654" s="2" t="n">
        <v>65</v>
      </c>
      <c r="I1654" s="2" t="inlineStr"/>
      <c r="J1654" s="2" t="inlineStr">
        <is>
          <t>да</t>
        </is>
      </c>
      <c r="K1654" s="3" t="inlineStr">
        <is>
          <t>V ВКФ, Тбилиси, 1972 - Диплом за мастерство и художественный поик</t>
        </is>
      </c>
      <c r="L1654" s="2" t="inlineStr">
        <is>
          <t>https://animator.ru/db/?p=show_film&amp;fid=4266</t>
        </is>
      </c>
      <c r="M1654" s="2">
        <f>HYPERLINK("https://ru.wikipedia.org/w/index.php?search=%D0%9A%D1%80%D0%B0%D1%81%D0%BD%D1%8B%D0%B5%20%D0%B1%D0%B0%D1%88%D0%BC%D0%B0%D1%87%D0%BA%D0%B8%201971%20%D1%84%D0%B8%D0%BB%D1%8C%D0%BC","искать")</f>
        <v/>
      </c>
      <c r="N1654" s="3" t="n"/>
      <c r="O1654" s="2" t="n"/>
      <c r="P1654" s="2" t="n"/>
    </row>
    <row r="1655">
      <c r="A1655" s="2" t="n">
        <v>1654</v>
      </c>
      <c r="B1655" s="2" t="inlineStr">
        <is>
          <t>не сюжет</t>
        </is>
      </c>
      <c r="C1655" s="2" t="n">
        <v>13282</v>
      </c>
      <c r="D1655" s="3" t="inlineStr">
        <is>
          <t>Весенняя муха</t>
        </is>
      </c>
      <c r="E1655" s="2" t="n">
        <v>1986</v>
      </c>
      <c r="F1655" s="2" t="inlineStr">
        <is>
          <t>мультфильм</t>
        </is>
      </c>
      <c r="G1655" s="2" t="inlineStr">
        <is>
          <t>ТАЛЛИННФИЛЬМ</t>
        </is>
      </c>
      <c r="H1655" s="2" t="n">
        <v>65</v>
      </c>
      <c r="I1655" s="2" t="inlineStr"/>
      <c r="J1655" s="2" t="inlineStr">
        <is>
          <t>да</t>
        </is>
      </c>
      <c r="K1655" s="3" t="inlineStr">
        <is>
          <t>По мотивам притчи А.Таамсаре "Муха, Таракан и Паук". Для взрослых</t>
        </is>
      </c>
      <c r="L1655" s="2" t="inlineStr">
        <is>
          <t>https://animator.ru/db/?p=show_film&amp;fid=4539</t>
        </is>
      </c>
      <c r="M1655" s="2">
        <f>HYPERLINK("https://ru.wikipedia.org/w/index.php?search=%D0%92%D0%B5%D1%81%D0%B5%D0%BD%D0%BD%D1%8F%D1%8F%20%D0%BC%D1%83%D1%85%D0%B0%201986%20%D1%84%D0%B8%D0%BB%D1%8C%D0%BC","искать")</f>
        <v/>
      </c>
      <c r="N1655" s="3" t="n"/>
      <c r="O1655" s="2" t="n"/>
      <c r="P1655" s="2" t="n"/>
    </row>
    <row r="1656">
      <c r="A1656" s="2" t="n">
        <v>1655</v>
      </c>
      <c r="B1656" s="2" t="inlineStr">
        <is>
          <t>не сюжет</t>
        </is>
      </c>
      <c r="C1656" s="2" t="n">
        <v>13294</v>
      </c>
      <c r="D1656" s="3" t="inlineStr">
        <is>
          <t>Зеленое желание</t>
        </is>
      </c>
      <c r="E1656" s="2" t="n">
        <v>1989</v>
      </c>
      <c r="F1656" s="2" t="inlineStr">
        <is>
          <t>мультфильм</t>
        </is>
      </c>
      <c r="G1656" s="2" t="inlineStr">
        <is>
          <t>ТАЛЛИННФИЛЬМ</t>
        </is>
      </c>
      <c r="H1656" s="2" t="n">
        <v>65</v>
      </c>
      <c r="I1656" s="2" t="inlineStr"/>
      <c r="J1656" s="2" t="inlineStr">
        <is>
          <t>да</t>
        </is>
      </c>
      <c r="K1656" s="3" t="inlineStr">
        <is>
          <t>О том, что Творцу необходимо защищать свое творение. Для взрослых</t>
        </is>
      </c>
      <c r="L1656" s="2" t="inlineStr">
        <is>
          <t>https://animator.ru/db/?p=show_film&amp;fid=4551</t>
        </is>
      </c>
      <c r="M1656" s="2">
        <f>HYPERLINK("https://ru.wikipedia.org/w/index.php?search=%D0%97%D0%B5%D0%BB%D0%B5%D0%BD%D0%BE%D0%B5%20%D0%B6%D0%B5%D0%BB%D0%B0%D0%BD%D0%B8%D0%B5%201989%20%D1%84%D0%B8%D0%BB%D1%8C%D0%BC","искать")</f>
        <v/>
      </c>
      <c r="N1656" s="3" t="n"/>
      <c r="O1656" s="2" t="n"/>
      <c r="P1656" s="2" t="n"/>
    </row>
    <row r="1657">
      <c r="A1657" s="2" t="n">
        <v>1656</v>
      </c>
      <c r="B1657" s="2" t="inlineStr">
        <is>
          <t>не сюжет</t>
        </is>
      </c>
      <c r="C1657" s="2" t="n">
        <v>13303</v>
      </c>
      <c r="D1657" s="3" t="inlineStr">
        <is>
          <t>Братья и сестры</t>
        </is>
      </c>
      <c r="E1657" s="2" t="n">
        <v>1991</v>
      </c>
      <c r="F1657" s="2" t="inlineStr">
        <is>
          <t>мультфильм</t>
        </is>
      </c>
      <c r="G1657" s="2" t="inlineStr">
        <is>
          <t>ТАЛЛИННФИЛЬМ</t>
        </is>
      </c>
      <c r="H1657" s="2" t="n">
        <v>65</v>
      </c>
      <c r="I1657" s="2" t="inlineStr"/>
      <c r="J1657" s="2" t="inlineStr">
        <is>
          <t>да</t>
        </is>
      </c>
      <c r="K1657" s="3" t="inlineStr">
        <is>
          <t>Жизнь без цели и роста становится жизнью без смысла. Для взрослых</t>
        </is>
      </c>
      <c r="L1657" s="2" t="inlineStr">
        <is>
          <t>https://animator.ru/db/?p=show_film&amp;fid=4560</t>
        </is>
      </c>
      <c r="M1657" s="2">
        <f>HYPERLINK("https://ru.wikipedia.org/w/index.php?search=%D0%91%D1%80%D0%B0%D1%82%D1%8C%D1%8F%20%D0%B8%20%D1%81%D0%B5%D1%81%D1%82%D1%80%D1%8B%201991%20%D1%84%D0%B8%D0%BB%D1%8C%D0%BC","искать")</f>
        <v/>
      </c>
      <c r="N1657" s="3" t="n"/>
      <c r="O1657" s="2" t="n"/>
      <c r="P1657" s="2" t="n"/>
    </row>
    <row r="1658">
      <c r="A1658" s="2" t="n">
        <v>1657</v>
      </c>
      <c r="B1658" s="2" t="inlineStr">
        <is>
          <t>не сюжет</t>
        </is>
      </c>
      <c r="C1658" s="2" t="n">
        <v>13381</v>
      </c>
      <c r="D1658" s="3" t="inlineStr">
        <is>
          <t>Волшебник появляется снова</t>
        </is>
      </c>
      <c r="E1658" s="2" t="n">
        <v>1976</v>
      </c>
      <c r="F1658" s="2" t="inlineStr">
        <is>
          <t>мультфильм</t>
        </is>
      </c>
      <c r="G1658" s="2" t="inlineStr">
        <is>
          <t>ЭКРАН</t>
        </is>
      </c>
      <c r="H1658" s="2" t="n">
        <v>65</v>
      </c>
      <c r="I1658" s="2" t="inlineStr"/>
      <c r="J1658" s="2" t="inlineStr">
        <is>
          <t>да</t>
        </is>
      </c>
      <c r="K1658" s="3" t="inlineStr">
        <is>
          <t>Десятый, заключительный фильм серии "Незнайка в Солнечном городе"</t>
        </is>
      </c>
      <c r="L1658" s="2" t="inlineStr">
        <is>
          <t>2026-10_мультфильмы_список_владельца.xlsx; https://animator.ru/db/?p=show_film&amp;fid=4661</t>
        </is>
      </c>
      <c r="M1658" s="2">
        <f>HYPERLINK("https://ru.wikipedia.org/w/index.php?search=%D0%92%D0%BE%D0%BB%D1%88%D0%B5%D0%B1%D0%BD%D0%B8%D0%BA%20%D0%BF%D0%BE%D1%8F%D0%B2%D0%BB%D1%8F%D0%B5%D1%82%D1%81%D1%8F%20%D1%81%D0%BD%D0%BE%D0%B2%D0%B0%201976%20%D1%84%D0%B8%D0%BB%D1%8C%D0%BC","искать")</f>
        <v/>
      </c>
      <c r="N1658" s="3" t="n"/>
      <c r="O1658" s="2" t="n"/>
      <c r="P1658" s="2" t="n"/>
    </row>
    <row r="1659">
      <c r="A1659" s="2" t="n">
        <v>1658</v>
      </c>
      <c r="B1659" s="2" t="inlineStr">
        <is>
          <t>не сюжет</t>
        </is>
      </c>
      <c r="C1659" s="2" t="n">
        <v>13415</v>
      </c>
      <c r="D1659" s="3" t="inlineStr">
        <is>
          <t>Старый кувшин</t>
        </is>
      </c>
      <c r="E1659" s="2" t="n">
        <v>1982</v>
      </c>
      <c r="F1659" s="2" t="inlineStr">
        <is>
          <t>мультфильм</t>
        </is>
      </c>
      <c r="G1659" s="2" t="inlineStr">
        <is>
          <t>ЭКРАН</t>
        </is>
      </c>
      <c r="H1659" s="2" t="n">
        <v>65</v>
      </c>
      <c r="I1659" s="2" t="inlineStr"/>
      <c r="J1659" s="2" t="inlineStr">
        <is>
          <t>да</t>
        </is>
      </c>
      <c r="K1659" s="3" t="inlineStr">
        <is>
          <t>По мотивам восточной притчи о двух соседях - добром и завистливом</t>
        </is>
      </c>
      <c r="L1659" s="2" t="inlineStr">
        <is>
          <t>https://animator.ru/db/?p=show_film&amp;fid=4696</t>
        </is>
      </c>
      <c r="M1659" s="2">
        <f>HYPERLINK("https://ru.wikipedia.org/w/index.php?search=%D0%A1%D1%82%D0%B0%D1%80%D1%8B%D0%B9%20%D0%BA%D1%83%D0%B2%D1%88%D0%B8%D0%BD%201982%20%D1%84%D0%B8%D0%BB%D1%8C%D0%BC","искать")</f>
        <v/>
      </c>
      <c r="N1659" s="3" t="n"/>
      <c r="O1659" s="2" t="n"/>
      <c r="P1659" s="2" t="n"/>
    </row>
    <row r="1660">
      <c r="A1660" s="2" t="n">
        <v>1659</v>
      </c>
      <c r="B1660" s="2" t="inlineStr">
        <is>
          <t>не сюжет</t>
        </is>
      </c>
      <c r="C1660" s="2" t="n">
        <v>13491</v>
      </c>
      <c r="D1660" s="3" t="inlineStr">
        <is>
          <t>Солдатская сказка</t>
        </is>
      </c>
      <c r="E1660" s="2" t="n">
        <v>1980</v>
      </c>
      <c r="F1660" s="2" t="inlineStr">
        <is>
          <t>мультфильм</t>
        </is>
      </c>
      <c r="G1660" s="2" t="inlineStr">
        <is>
          <t>ЭКРАН</t>
        </is>
      </c>
      <c r="H1660" s="2" t="n">
        <v>65</v>
      </c>
      <c r="I1660" s="2" t="inlineStr"/>
      <c r="J1660" s="2" t="inlineStr">
        <is>
          <t>да</t>
        </is>
      </c>
      <c r="K1660" s="3" t="inlineStr">
        <is>
          <t>По мотивам русских потешных сказок о находчивом и веселом солдате</t>
        </is>
      </c>
      <c r="L1660" s="2" t="inlineStr">
        <is>
          <t>https://animator.ru/db/?p=show_film&amp;fid=4781</t>
        </is>
      </c>
      <c r="M1660" s="2">
        <f>HYPERLINK("https://ru.wikipedia.org/w/index.php?search=%D0%A1%D0%BE%D0%BB%D0%B4%D0%B0%D1%82%D1%81%D0%BA%D0%B0%D1%8F%20%D1%81%D0%BA%D0%B0%D0%B7%D0%BA%D0%B0%201980%20%D1%84%D0%B8%D0%BB%D1%8C%D0%BC","искать")</f>
        <v/>
      </c>
      <c r="N1660" s="3" t="n"/>
      <c r="O1660" s="2" t="n"/>
      <c r="P1660" s="2" t="n"/>
    </row>
    <row r="1661">
      <c r="A1661" s="2" t="n">
        <v>1660</v>
      </c>
      <c r="B1661" s="2" t="inlineStr">
        <is>
          <t>не сюжет</t>
        </is>
      </c>
      <c r="C1661" s="2" t="n">
        <v>14291</v>
      </c>
      <c r="D1661" s="3" t="inlineStr">
        <is>
          <t>Аменция</t>
        </is>
      </c>
      <c r="E1661" s="2" t="n">
        <v>1990</v>
      </c>
      <c r="F1661" s="2" t="inlineStr">
        <is>
          <t>мультфильм</t>
        </is>
      </c>
      <c r="G1661" s="2" t="inlineStr">
        <is>
          <t>Свердловская киностудия</t>
        </is>
      </c>
      <c r="H1661" s="2" t="n">
        <v>65</v>
      </c>
      <c r="I1661" s="2" t="inlineStr"/>
      <c r="J1661" s="2" t="inlineStr">
        <is>
          <t>да</t>
        </is>
      </c>
      <c r="K1661" s="3" t="inlineStr">
        <is>
          <t>2-ой фильм трилогии "АБМАН ЗРЕНИЯ"
Первый приз Тампере, Финляндия</t>
        </is>
      </c>
      <c r="L1661" s="2" t="inlineStr">
        <is>
          <t>https://animator.ru/db/?p=show_film&amp;fid=5834</t>
        </is>
      </c>
      <c r="M1661" s="2">
        <f>HYPERLINK("https://ru.wikipedia.org/w/index.php?search=%D0%90%D0%BC%D0%B5%D0%BD%D1%86%D0%B8%D1%8F%201990%20%D1%84%D0%B8%D0%BB%D1%8C%D0%BC","искать")</f>
        <v/>
      </c>
      <c r="N1661" s="3" t="n"/>
      <c r="O1661" s="2" t="n"/>
      <c r="P1661" s="2" t="n"/>
    </row>
    <row r="1662">
      <c r="A1662" s="2" t="n">
        <v>1661</v>
      </c>
      <c r="B1662" s="2" t="inlineStr">
        <is>
          <t>не сюжет</t>
        </is>
      </c>
      <c r="C1662" s="2" t="n">
        <v>7785</v>
      </c>
      <c r="D1662" s="3" t="inlineStr">
        <is>
          <t>Курмангазы</t>
        </is>
      </c>
      <c r="E1662" s="2" t="n">
        <v>1974</v>
      </c>
      <c r="F1662" s="2" t="inlineStr">
        <is>
          <t>телефильм</t>
        </is>
      </c>
      <c r="G1662" s="2" t="n"/>
      <c r="H1662" s="2" t="n">
        <v>66</v>
      </c>
      <c r="I1662" s="2" t="inlineStr"/>
      <c r="J1662" s="2" t="inlineStr">
        <is>
          <t>да</t>
        </is>
      </c>
      <c r="K1662" s="3" t="inlineStr">
        <is>
          <t>О выдающемся казахском народном композиторе Курмангазы Сабырбаеве.</t>
        </is>
      </c>
      <c r="L1662" s="2" t="inlineStr">
        <is>
          <t>Кино_СССР сводный каталог.xlsx: список телефильмов</t>
        </is>
      </c>
      <c r="M1662" s="2">
        <f>HYPERLINK("https://ru.wikipedia.org/w/index.php?search=%D0%9A%D1%83%D1%80%D0%BC%D0%B0%D0%BD%D0%B3%D0%B0%D0%B7%D1%8B%201974%20%D1%84%D0%B8%D0%BB%D1%8C%D0%BC","искать")</f>
        <v/>
      </c>
      <c r="N1662" s="3" t="n"/>
      <c r="O1662" s="2" t="n"/>
      <c r="P1662" s="2" t="n"/>
    </row>
    <row r="1663">
      <c r="A1663" s="2" t="n">
        <v>1662</v>
      </c>
      <c r="B1663" s="2" t="inlineStr">
        <is>
          <t>не сюжет</t>
        </is>
      </c>
      <c r="C1663" s="2" t="n">
        <v>9889</v>
      </c>
      <c r="D1663" s="3" t="inlineStr">
        <is>
          <t>Пятнадцатое лето</t>
        </is>
      </c>
      <c r="E1663" s="2" t="n">
        <v>1971</v>
      </c>
      <c r="F1663" s="2" t="inlineStr">
        <is>
          <t>телефильм</t>
        </is>
      </c>
      <c r="G1663" s="2" t="inlineStr">
        <is>
          <t>Грузинская студия телефильмов</t>
        </is>
      </c>
      <c r="H1663" s="2" t="n">
        <v>66</v>
      </c>
      <c r="I1663" s="2" t="inlineStr"/>
      <c r="J1663" s="2" t="inlineStr">
        <is>
          <t>да</t>
        </is>
      </c>
      <c r="K1663" s="3" t="inlineStr">
        <is>
          <t>О дружбе подростков Темури и Хатуны, о зарождающейся первой любви.</t>
        </is>
      </c>
      <c r="L1663" s="2" t="inlineStr">
        <is>
          <t>https://www.kino-teatr.ru/short/movie/sov/92736/annot/</t>
        </is>
      </c>
      <c r="M1663" s="2">
        <f>HYPERLINK("https://ru.wikipedia.org/w/index.php?search=%D0%9F%D1%8F%D1%82%D0%BD%D0%B0%D0%B4%D1%86%D0%B0%D1%82%D0%BE%D0%B5%20%D0%BB%D0%B5%D1%82%D0%BE%201971%20%D1%84%D0%B8%D0%BB%D1%8C%D0%BC","искать")</f>
        <v/>
      </c>
      <c r="N1663" s="3" t="n"/>
      <c r="O1663" s="2" t="n"/>
      <c r="P1663" s="2" t="n"/>
    </row>
    <row r="1664">
      <c r="A1664" s="2" t="n">
        <v>1663</v>
      </c>
      <c r="B1664" s="2" t="inlineStr">
        <is>
          <t>не сюжет</t>
        </is>
      </c>
      <c r="C1664" s="2" t="n">
        <v>9956</v>
      </c>
      <c r="D1664" s="3" t="inlineStr">
        <is>
          <t>Окно</t>
        </is>
      </c>
      <c r="E1664" s="2" t="n">
        <v>1980</v>
      </c>
      <c r="F1664" s="2" t="inlineStr">
        <is>
          <t>телефильм</t>
        </is>
      </c>
      <c r="G1664" s="2" t="inlineStr">
        <is>
          <t>Грузинская студия телефильмов</t>
        </is>
      </c>
      <c r="H1664" s="2" t="n">
        <v>66</v>
      </c>
      <c r="I1664" s="2" t="inlineStr"/>
      <c r="J1664" s="2" t="inlineStr">
        <is>
          <t>да</t>
        </is>
      </c>
      <c r="K1664" s="3" t="inlineStr">
        <is>
          <t>Зарисовка о ремонте оборвавшегося железнодорожного электропровода.</t>
        </is>
      </c>
      <c r="L1664" s="2" t="inlineStr">
        <is>
          <t>https://www.kino-teatr.ru/short/movie/sov/11468/annot/</t>
        </is>
      </c>
      <c r="M1664" s="2">
        <f>HYPERLINK("https://ru.wikipedia.org/w/index.php?search=%D0%9E%D0%BA%D0%BD%D0%BE%201980%20%D1%84%D0%B8%D0%BB%D1%8C%D0%BC","искать")</f>
        <v/>
      </c>
      <c r="N1664" s="3" t="n"/>
      <c r="O1664" s="2" t="n"/>
      <c r="P1664" s="2" t="n"/>
    </row>
    <row r="1665">
      <c r="A1665" s="2" t="n">
        <v>1664</v>
      </c>
      <c r="B1665" s="2" t="inlineStr">
        <is>
          <t>не сюжет</t>
        </is>
      </c>
      <c r="C1665" s="2" t="n">
        <v>10198</v>
      </c>
      <c r="D1665" s="3" t="inlineStr">
        <is>
          <t>Канун грозы</t>
        </is>
      </c>
      <c r="E1665" s="2" t="n">
        <v>1967</v>
      </c>
      <c r="F1665" s="2" t="inlineStr">
        <is>
          <t>фильм-спектакль</t>
        </is>
      </c>
      <c r="G1665" s="2" t="inlineStr">
        <is>
          <t>Центральное ТВ</t>
        </is>
      </c>
      <c r="H1665" s="2" t="n">
        <v>66</v>
      </c>
      <c r="I1665" s="2" t="inlineStr"/>
      <c r="J1665" s="2" t="inlineStr">
        <is>
          <t>да</t>
        </is>
      </c>
      <c r="K1665" s="3" t="inlineStr">
        <is>
          <t>По одноименной пьесе П. Маляревского о Ленских событиях 1912 года.</t>
        </is>
      </c>
      <c r="L1665" s="2" t="inlineStr">
        <is>
          <t>https://www.kino-teatr.ru/teatr/movie/92824/annot/</t>
        </is>
      </c>
      <c r="M1665" s="2">
        <f>HYPERLINK("https://ru.wikipedia.org/w/index.php?search=%D0%9A%D0%B0%D0%BD%D1%83%D0%BD%20%D0%B3%D1%80%D0%BE%D0%B7%D1%8B%201967%20%D1%84%D0%B8%D0%BB%D1%8C%D0%BC","искать")</f>
        <v/>
      </c>
      <c r="N1665" s="3" t="n"/>
      <c r="O1665" s="2" t="n"/>
      <c r="P1665" s="2" t="n"/>
    </row>
    <row r="1666">
      <c r="A1666" s="2" t="n">
        <v>1665</v>
      </c>
      <c r="B1666" s="2" t="inlineStr">
        <is>
          <t>не сюжет</t>
        </is>
      </c>
      <c r="C1666" s="2" t="n">
        <v>10712</v>
      </c>
      <c r="D1666" s="3" t="inlineStr">
        <is>
          <t>Провинциальная история</t>
        </is>
      </c>
      <c r="E1666" s="2" t="n">
        <v>1977</v>
      </c>
      <c r="F1666" s="2" t="inlineStr">
        <is>
          <t>фильм-спектакль</t>
        </is>
      </c>
      <c r="G1666" s="2" t="inlineStr">
        <is>
          <t>Гл. ред. лит-драм программ</t>
        </is>
      </c>
      <c r="H1666" s="2" t="n">
        <v>66</v>
      </c>
      <c r="I1666" s="2" t="inlineStr"/>
      <c r="J1666" s="2" t="inlineStr">
        <is>
          <t>да</t>
        </is>
      </c>
      <c r="K1666" s="3" t="inlineStr">
        <is>
          <t>По рассказам А.И.Куприна «Как я был актером», «К славе», «Полубог»</t>
        </is>
      </c>
      <c r="L1666" s="2" t="inlineStr">
        <is>
          <t>https://www.kino-teatr.ru/teatr/movie/15878/annot/</t>
        </is>
      </c>
      <c r="M1666" s="2">
        <f>HYPERLINK("https://ru.wikipedia.org/w/index.php?search=%D0%9F%D1%80%D0%BE%D0%B2%D0%B8%D0%BD%D1%86%D0%B8%D0%B0%D0%BB%D1%8C%D0%BD%D0%B0%D1%8F%20%D0%B8%D1%81%D1%82%D0%BE%D1%80%D0%B8%D1%8F%201977%20%D1%84%D0%B8%D0%BB%D1%8C%D0%BC","искать")</f>
        <v/>
      </c>
      <c r="N1666" s="3" t="n"/>
      <c r="O1666" s="2" t="n"/>
      <c r="P1666" s="2" t="n"/>
    </row>
    <row r="1667">
      <c r="A1667" s="2" t="n">
        <v>1666</v>
      </c>
      <c r="B1667" s="2" t="inlineStr">
        <is>
          <t>не сюжет</t>
        </is>
      </c>
      <c r="C1667" s="2" t="n">
        <v>11347</v>
      </c>
      <c r="D1667" s="3" t="inlineStr">
        <is>
          <t>Сны о Гоголе</t>
        </is>
      </c>
      <c r="E1667" s="2" t="n">
        <v>1991</v>
      </c>
      <c r="F1667" s="2" t="inlineStr">
        <is>
          <t>фильм-спектакль</t>
        </is>
      </c>
      <c r="G1667" s="2" t="inlineStr">
        <is>
          <t>Ленинградское ТВ</t>
        </is>
      </c>
      <c r="H1667" s="2" t="n">
        <v>66</v>
      </c>
      <c r="I1667" s="2" t="inlineStr"/>
      <c r="J1667" s="2" t="inlineStr">
        <is>
          <t>да</t>
        </is>
      </c>
      <c r="K1667" s="3" t="inlineStr">
        <is>
          <t>Фильм-спектакль о мистических переживаниях Гоголя накануне смерти.</t>
        </is>
      </c>
      <c r="L1667" s="2" t="inlineStr">
        <is>
          <t>https://www.kino-teatr.ru/teatr/movie/10202/annot/</t>
        </is>
      </c>
      <c r="M1667" s="2">
        <f>HYPERLINK("https://ru.wikipedia.org/w/index.php?search=%D0%A1%D0%BD%D1%8B%20%D0%BE%20%D0%93%D0%BE%D0%B3%D0%BE%D0%BB%D0%B5%201991%20%D1%84%D0%B8%D0%BB%D1%8C%D0%BC","искать")</f>
        <v/>
      </c>
      <c r="N1667" s="3" t="n"/>
      <c r="O1667" s="2" t="n"/>
      <c r="P1667" s="2" t="n"/>
    </row>
    <row r="1668">
      <c r="A1668" s="2" t="n">
        <v>1667</v>
      </c>
      <c r="B1668" s="2" t="inlineStr">
        <is>
          <t>не сюжет</t>
        </is>
      </c>
      <c r="C1668" s="2" t="n">
        <v>11414</v>
      </c>
      <c r="D1668" s="3" t="inlineStr">
        <is>
          <t>Агент Г.С.</t>
        </is>
      </c>
      <c r="E1668" s="2" t="n">
        <v>1966</v>
      </c>
      <c r="F1668" s="2" t="inlineStr">
        <is>
          <t>мультфильм</t>
        </is>
      </c>
      <c r="G1668" s="2" t="inlineStr">
        <is>
          <t>Союзмультфильм</t>
        </is>
      </c>
      <c r="H1668" s="2" t="n">
        <v>66</v>
      </c>
      <c r="I1668" s="2" t="inlineStr"/>
      <c r="J1668" s="2" t="inlineStr">
        <is>
          <t>да</t>
        </is>
      </c>
      <c r="K1668" s="3" t="inlineStr">
        <is>
          <t>Заказной фильм, рекламирующий ГОССТРАХ в форме комической истории.</t>
        </is>
      </c>
      <c r="L1668" s="2" t="inlineStr">
        <is>
          <t>2026-10_мультфильмы_список_владельца.xlsx; https://animator.ru/db/?p=show_film&amp;fid=2184</t>
        </is>
      </c>
      <c r="M1668" s="2">
        <f>HYPERLINK("https://ru.wikipedia.org/w/index.php?search=%D0%90%D0%B3%D0%B5%D0%BD%D1%82%20%D0%93.%D0%A1.%201966%20%D1%84%D0%B8%D0%BB%D1%8C%D0%BC","искать")</f>
        <v/>
      </c>
      <c r="N1668" s="3" t="n"/>
      <c r="O1668" s="2" t="n"/>
      <c r="P1668" s="2" t="n"/>
    </row>
    <row r="1669">
      <c r="A1669" s="2" t="n">
        <v>1668</v>
      </c>
      <c r="B1669" s="2" t="inlineStr">
        <is>
          <t>не сюжет</t>
        </is>
      </c>
      <c r="C1669" s="2" t="n">
        <v>12002</v>
      </c>
      <c r="D1669" s="3" t="inlineStr">
        <is>
          <t>Веселая карусель n 12. Эхо</t>
        </is>
      </c>
      <c r="E1669" s="2" t="n">
        <v>1982</v>
      </c>
      <c r="F1669" s="2" t="inlineStr">
        <is>
          <t>мультфильм</t>
        </is>
      </c>
      <c r="G1669" s="2" t="inlineStr">
        <is>
          <t>Союзмультфильм</t>
        </is>
      </c>
      <c r="H1669" s="2" t="n">
        <v>66</v>
      </c>
      <c r="I1669" s="2" t="inlineStr"/>
      <c r="J1669" s="2" t="inlineStr">
        <is>
          <t>да</t>
        </is>
      </c>
      <c r="K1669" s="3" t="inlineStr">
        <is>
          <t>Сюжет из альманаха «ВЕСЕЛАЯ КАРУСЕЛЬ N 12»
По рассказу Ю.Короткова</t>
        </is>
      </c>
      <c r="L1669" s="2" t="inlineStr">
        <is>
          <t>https://animator.ru/db/?p=show_film&amp;fid=3116</t>
        </is>
      </c>
      <c r="M1669" s="2">
        <f>HYPERLINK("https://ru.wikipedia.org/w/index.php?search=%D0%92%D0%B5%D1%81%D0%B5%D0%BB%D0%B0%D1%8F%20%D0%BA%D0%B0%D1%80%D1%83%D1%81%D0%B5%D0%BB%D1%8C%20n%2012.%20%D0%AD%D1%85%D0%BE%201982%20%D1%84%D0%B8%D0%BB%D1%8C%D0%BC","искать")</f>
        <v/>
      </c>
      <c r="N1669" s="3" t="n"/>
      <c r="O1669" s="2" t="n"/>
      <c r="P1669" s="2" t="n"/>
    </row>
    <row r="1670">
      <c r="A1670" s="2" t="n">
        <v>1669</v>
      </c>
      <c r="B1670" s="2" t="inlineStr">
        <is>
          <t>не сюжет</t>
        </is>
      </c>
      <c r="C1670" s="2" t="n">
        <v>12621</v>
      </c>
      <c r="D1670" s="3" t="inlineStr">
        <is>
          <t>АРХИТЕКТУРНОЕ ИЗЛИШЕСТВО ("Фитиль" N 286)</t>
        </is>
      </c>
      <c r="E1670" s="2" t="n">
        <v>1986</v>
      </c>
      <c r="F1670" s="2" t="inlineStr">
        <is>
          <t>мультфильм</t>
        </is>
      </c>
      <c r="G1670" s="2" t="inlineStr">
        <is>
          <t>Союзмультфильм</t>
        </is>
      </c>
      <c r="H1670" s="2" t="n">
        <v>66</v>
      </c>
      <c r="I1670" s="2" t="inlineStr"/>
      <c r="J1670" s="2" t="inlineStr">
        <is>
          <t>да</t>
        </is>
      </c>
      <c r="K1670" s="3" t="inlineStr">
        <is>
          <t>Как порой сводятся на нет достижения научно-технического прогресса</t>
        </is>
      </c>
      <c r="L1670" s="2" t="inlineStr">
        <is>
          <t>https://animator.ru/db/?p=show_film&amp;fid=3801</t>
        </is>
      </c>
      <c r="M1670" s="2">
        <f>HYPERLINK("https://ru.wikipedia.org/w/index.php?search=%D0%90%D0%A0%D0%A5%D0%98%D0%A2%D0%95%D0%9A%D0%A2%D0%A3%D0%A0%D0%9D%D0%9E%D0%95%20%D0%98%D0%97%D0%9B%D0%98%D0%A8%D0%95%D0%A1%D0%A2%D0%92%D0%9E%20%28%22%D0%A4%D0%B8%D1%82%D0%B8%D0%BB%D1%8C%22%20N%20286%29%201986%20%D1%84%D0%B8%D0%BB%D1%8C%D0%BC","искать")</f>
        <v/>
      </c>
      <c r="N1670" s="3" t="n"/>
      <c r="O1670" s="2" t="n"/>
      <c r="P1670" s="2" t="n"/>
    </row>
    <row r="1671">
      <c r="A1671" s="2" t="n">
        <v>1670</v>
      </c>
      <c r="B1671" s="2" t="inlineStr">
        <is>
          <t>не сюжет</t>
        </is>
      </c>
      <c r="C1671" s="2" t="n">
        <v>13011</v>
      </c>
      <c r="D1671" s="3" t="inlineStr">
        <is>
          <t>Дастархан</t>
        </is>
      </c>
      <c r="E1671" s="2" t="n">
        <v>1988</v>
      </c>
      <c r="F1671" s="2" t="inlineStr">
        <is>
          <t>мультфильм</t>
        </is>
      </c>
      <c r="G1671" s="2" t="inlineStr">
        <is>
          <t>КАЗАХФИЛЬМ</t>
        </is>
      </c>
      <c r="H1671" s="2" t="n">
        <v>66</v>
      </c>
      <c r="I1671" s="2" t="inlineStr"/>
      <c r="J1671" s="2" t="inlineStr">
        <is>
          <t>да</t>
        </is>
      </c>
      <c r="K1671" s="3" t="inlineStr">
        <is>
          <t>О простодушном и щедром Абзале, готовом все отдать дорогому гостю.</t>
        </is>
      </c>
      <c r="L1671" s="2" t="inlineStr">
        <is>
          <t>2026-10_мультфильмы_список_владельца.xlsx; https://animator.ru/db/?p=show_film&amp;fid=4243</t>
        </is>
      </c>
      <c r="M1671" s="2">
        <f>HYPERLINK("https://ru.wikipedia.org/w/index.php?search=%D0%94%D0%B0%D1%81%D1%82%D0%B0%D1%80%D1%85%D0%B0%D0%BD%201988%20%D1%84%D0%B8%D0%BB%D1%8C%D0%BC","искать")</f>
        <v/>
      </c>
      <c r="N1671" s="3" t="n"/>
      <c r="O1671" s="2" t="n"/>
      <c r="P1671" s="2" t="n"/>
    </row>
    <row r="1672">
      <c r="A1672" s="2" t="n">
        <v>1671</v>
      </c>
      <c r="B1672" s="2" t="inlineStr">
        <is>
          <t>не сюжет</t>
        </is>
      </c>
      <c r="C1672" s="2" t="n">
        <v>13168</v>
      </c>
      <c r="D1672" s="3" t="inlineStr">
        <is>
          <t>Триумф</t>
        </is>
      </c>
      <c r="E1672" s="2" t="n">
        <v>1989</v>
      </c>
      <c r="F1672" s="2" t="inlineStr">
        <is>
          <t>мультфильм</t>
        </is>
      </c>
      <c r="G1672" s="2" t="inlineStr">
        <is>
          <t>ТАДЖИКФИЛЬМ</t>
        </is>
      </c>
      <c r="H1672" s="2" t="n">
        <v>66</v>
      </c>
      <c r="I1672" s="2" t="inlineStr"/>
      <c r="J1672" s="2" t="inlineStr">
        <is>
          <t>да</t>
        </is>
      </c>
      <c r="K1672" s="3" t="inlineStr">
        <is>
          <t>О триумфе и забвении художника. Для взрослых. На музыку А.Шенберга</t>
        </is>
      </c>
      <c r="L1672" s="2" t="inlineStr">
        <is>
          <t>https://animator.ru/db/?p=show_film&amp;fid=4405</t>
        </is>
      </c>
      <c r="M1672" s="2">
        <f>HYPERLINK("https://ru.wikipedia.org/w/index.php?search=%D0%A2%D1%80%D0%B8%D1%83%D0%BC%D1%84%201989%20%D1%84%D0%B8%D0%BB%D1%8C%D0%BC","искать")</f>
        <v/>
      </c>
      <c r="N1672" s="3" t="n"/>
      <c r="O1672" s="2" t="n"/>
      <c r="P1672" s="2" t="n"/>
    </row>
    <row r="1673">
      <c r="A1673" s="2" t="n">
        <v>1672</v>
      </c>
      <c r="B1673" s="2" t="inlineStr">
        <is>
          <t>не сюжет</t>
        </is>
      </c>
      <c r="C1673" s="2" t="n">
        <v>13430</v>
      </c>
      <c r="D1673" s="3" t="inlineStr">
        <is>
          <t>Филипок</t>
        </is>
      </c>
      <c r="E1673" s="2" t="n">
        <v>1982</v>
      </c>
      <c r="F1673" s="2" t="inlineStr">
        <is>
          <t>мультфильм</t>
        </is>
      </c>
      <c r="G1673" s="2" t="inlineStr">
        <is>
          <t>ЭКРАН</t>
        </is>
      </c>
      <c r="H1673" s="2" t="n">
        <v>66</v>
      </c>
      <c r="I1673" s="2" t="inlineStr"/>
      <c r="J1673" s="2" t="inlineStr">
        <is>
          <t>да</t>
        </is>
      </c>
      <c r="K1673" s="3" t="inlineStr">
        <is>
          <t>Тяга к знаниям преодолеет все препятствия! По рассказу Л.Толстого.</t>
        </is>
      </c>
      <c r="L1673" s="2" t="inlineStr">
        <is>
          <t>2026-10_мультфильмы_список_владельца.xlsx; https://animator.ru/db/?p=show_film&amp;fid=4711</t>
        </is>
      </c>
      <c r="M1673" s="2">
        <f>HYPERLINK("https://ru.wikipedia.org/w/index.php?search=%D0%A4%D0%B8%D0%BB%D0%B8%D0%BF%D0%BE%D0%BA%201982%20%D1%84%D0%B8%D0%BB%D1%8C%D0%BC","искать")</f>
        <v/>
      </c>
      <c r="N1673" s="3" t="n"/>
      <c r="O1673" s="2" t="n"/>
      <c r="P1673" s="2" t="n"/>
    </row>
    <row r="1674">
      <c r="A1674" s="2" t="n">
        <v>1673</v>
      </c>
      <c r="B1674" s="2" t="inlineStr">
        <is>
          <t>не сюжет</t>
        </is>
      </c>
      <c r="C1674" s="2" t="n">
        <v>13490</v>
      </c>
      <c r="D1674" s="3" t="inlineStr">
        <is>
          <t>Как кошка с собакой</t>
        </is>
      </c>
      <c r="E1674" s="2" t="n">
        <v>1973</v>
      </c>
      <c r="F1674" s="2" t="inlineStr">
        <is>
          <t>мультфильм</t>
        </is>
      </c>
      <c r="G1674" s="2" t="inlineStr">
        <is>
          <t>ЭКРАН</t>
        </is>
      </c>
      <c r="H1674" s="2" t="n">
        <v>66</v>
      </c>
      <c r="I1674" s="2" t="inlineStr"/>
      <c r="J1674" s="2" t="inlineStr">
        <is>
          <t>да</t>
        </is>
      </c>
      <c r="K1674" s="3" t="inlineStr">
        <is>
          <t>Театральное кукольное представление, снятое "на скорую". Для детей</t>
        </is>
      </c>
      <c r="L1674" s="2" t="inlineStr">
        <is>
          <t>https://animator.ru/db/?p=show_film&amp;fid=4780</t>
        </is>
      </c>
      <c r="M1674" s="2">
        <f>HYPERLINK("https://ru.wikipedia.org/w/index.php?search=%D0%9A%D0%B0%D0%BA%20%D0%BA%D0%BE%D1%88%D0%BA%D0%B0%20%D1%81%20%D1%81%D0%BE%D0%B1%D0%B0%D0%BA%D0%BE%D0%B9%201973%20%D1%84%D0%B8%D0%BB%D1%8C%D0%BC","искать")</f>
        <v/>
      </c>
      <c r="N1674" s="3" t="n"/>
      <c r="O1674" s="2" t="n"/>
      <c r="P1674" s="2" t="n"/>
    </row>
    <row r="1675">
      <c r="A1675" s="2" t="n">
        <v>1674</v>
      </c>
      <c r="B1675" s="2" t="inlineStr">
        <is>
          <t>не сюжет</t>
        </is>
      </c>
      <c r="C1675" s="2" t="n">
        <v>13804</v>
      </c>
      <c r="D1675" s="3" t="inlineStr">
        <is>
          <t>Окно (1986)</t>
        </is>
      </c>
      <c r="E1675" s="2" t="n">
        <v>1986</v>
      </c>
      <c r="F1675" s="2" t="inlineStr">
        <is>
          <t>мультфильм</t>
        </is>
      </c>
      <c r="G1675" s="2" t="inlineStr">
        <is>
          <t>ЭКРАН</t>
        </is>
      </c>
      <c r="H1675" s="2" t="n">
        <v>66</v>
      </c>
      <c r="I1675" s="2" t="inlineStr"/>
      <c r="J1675" s="2" t="inlineStr">
        <is>
          <t>да</t>
        </is>
      </c>
      <c r="K1675" s="3" t="inlineStr">
        <is>
          <t>Занимательные советы, как сохранить тепло в квартире. Для взрослых</t>
        </is>
      </c>
      <c r="L1675" s="2" t="inlineStr">
        <is>
          <t>https://animator.ru/db/?p=show_film&amp;fid=5197</t>
        </is>
      </c>
      <c r="M1675" s="2">
        <f>HYPERLINK("https://ru.wikipedia.org/w/index.php?search=%D0%9E%D0%BA%D0%BD%D0%BE%20%281986%29%201986%20%D1%84%D0%B8%D0%BB%D1%8C%D0%BC","искать")</f>
        <v/>
      </c>
      <c r="N1675" s="3" t="n"/>
      <c r="O1675" s="2" t="n"/>
      <c r="P1675" s="2" t="n"/>
    </row>
    <row r="1676">
      <c r="A1676" s="2" t="n">
        <v>1675</v>
      </c>
      <c r="B1676" s="2" t="inlineStr">
        <is>
          <t>не сюжет</t>
        </is>
      </c>
      <c r="C1676" s="2" t="n">
        <v>13806</v>
      </c>
      <c r="D1676" s="3" t="inlineStr">
        <is>
          <t>Ослик Плюш</t>
        </is>
      </c>
      <c r="E1676" s="2" t="n">
        <v>1971</v>
      </c>
      <c r="F1676" s="2" t="inlineStr">
        <is>
          <t>мультфильм</t>
        </is>
      </c>
      <c r="G1676" s="2" t="inlineStr">
        <is>
          <t>ЭКРАН</t>
        </is>
      </c>
      <c r="H1676" s="2" t="n">
        <v>66</v>
      </c>
      <c r="I1676" s="2" t="inlineStr"/>
      <c r="J1676" s="2" t="inlineStr">
        <is>
          <t>да</t>
        </is>
      </c>
      <c r="K1676" s="3" t="inlineStr">
        <is>
          <t>По пьесе Г,Сапгира и Г,Цыферова о добром ослике Плюше. Для малышей</t>
        </is>
      </c>
      <c r="L1676" s="2" t="inlineStr">
        <is>
          <t>https://animator.ru/db/?p=show_film&amp;fid=5199</t>
        </is>
      </c>
      <c r="M1676" s="2">
        <f>HYPERLINK("https://ru.wikipedia.org/w/index.php?search=%D0%9E%D1%81%D0%BB%D0%B8%D0%BA%20%D0%9F%D0%BB%D1%8E%D1%88%201971%20%D1%84%D0%B8%D0%BB%D1%8C%D0%BC","искать")</f>
        <v/>
      </c>
      <c r="N1676" s="3" t="n"/>
      <c r="O1676" s="2" t="n"/>
      <c r="P1676" s="2" t="n"/>
    </row>
    <row r="1677">
      <c r="A1677" s="2" t="n">
        <v>1676</v>
      </c>
      <c r="B1677" s="2" t="inlineStr">
        <is>
          <t>не сюжет</t>
        </is>
      </c>
      <c r="C1677" s="2" t="n">
        <v>7382</v>
      </c>
      <c r="D1677" s="3" t="inlineStr">
        <is>
          <t>Вот придет август</t>
        </is>
      </c>
      <c r="E1677" s="2" t="n">
        <v>1984</v>
      </c>
      <c r="F1677" s="2" t="inlineStr">
        <is>
          <t>телефильм</t>
        </is>
      </c>
      <c r="G1677" s="2" t="n"/>
      <c r="H1677" s="2" t="n">
        <v>67</v>
      </c>
      <c r="I1677" s="2" t="inlineStr"/>
      <c r="J1677" s="2" t="inlineStr">
        <is>
          <t>да</t>
        </is>
      </c>
      <c r="K1677" s="3" t="inlineStr">
        <is>
          <t>Телефильм повествует о периоде формирования характера у подростков.</t>
        </is>
      </c>
      <c r="L1677" s="2" t="inlineStr">
        <is>
          <t>Кино_СССР сводный каталог.xlsx: список телефильмов</t>
        </is>
      </c>
      <c r="M1677" s="2">
        <f>HYPERLINK("https://ru.wikipedia.org/w/index.php?search=%D0%92%D0%BE%D1%82%20%D0%BF%D1%80%D0%B8%D0%B4%D0%B5%D1%82%20%D0%B0%D0%B2%D0%B3%D1%83%D1%81%D1%82%201984%20%D1%84%D0%B8%D0%BB%D1%8C%D0%BC","искать")</f>
        <v/>
      </c>
      <c r="N1677" s="3" t="n"/>
      <c r="O1677" s="2" t="n"/>
      <c r="P1677" s="2" t="n"/>
    </row>
    <row r="1678">
      <c r="A1678" s="2" t="n">
        <v>1677</v>
      </c>
      <c r="B1678" s="2" t="inlineStr">
        <is>
          <t>не сюжет</t>
        </is>
      </c>
      <c r="C1678" s="2" t="n">
        <v>9184</v>
      </c>
      <c r="D1678" s="3" t="inlineStr">
        <is>
          <t>Это надо знать молодым</t>
        </is>
      </c>
      <c r="E1678" s="2" t="n">
        <v>1988</v>
      </c>
      <c r="F1678" s="2" t="inlineStr">
        <is>
          <t>кинофильм</t>
        </is>
      </c>
      <c r="G1678" s="2" t="n"/>
      <c r="H1678" s="2" t="n">
        <v>67</v>
      </c>
      <c r="I1678" s="2" t="inlineStr"/>
      <c r="J1678" s="2" t="inlineStr">
        <is>
          <t>да</t>
        </is>
      </c>
      <c r="K1678" s="3" t="inlineStr">
        <is>
          <t>Фильм рассказывает о преимуществах молодёжного премиального вклада.</t>
        </is>
      </c>
      <c r="L1678" s="2" t="inlineStr">
        <is>
          <t>Кино_СССР сводный каталог.xlsx: список фильмов (доп.)</t>
        </is>
      </c>
      <c r="M1678" s="2">
        <f>HYPERLINK("https://ru.wikipedia.org/w/index.php?search=%D0%AD%D1%82%D0%BE%20%D0%BD%D0%B0%D0%B4%D0%BE%20%D0%B7%D0%BD%D0%B0%D1%82%D1%8C%20%D0%BC%D0%BE%D0%BB%D0%BE%D0%B4%D1%8B%D0%BC%201988%20%D1%84%D0%B8%D0%BB%D1%8C%D0%BC","искать")</f>
        <v/>
      </c>
      <c r="N1678" s="3" t="n"/>
      <c r="O1678" s="2" t="n"/>
      <c r="P1678" s="2" t="n"/>
    </row>
    <row r="1679">
      <c r="A1679" s="2" t="n">
        <v>1678</v>
      </c>
      <c r="B1679" s="2" t="inlineStr">
        <is>
          <t>не сюжет</t>
        </is>
      </c>
      <c r="C1679" s="2" t="n">
        <v>9847</v>
      </c>
      <c r="D1679" s="3" t="inlineStr">
        <is>
          <t>Дорога в Париж</t>
        </is>
      </c>
      <c r="E1679" s="2" t="n">
        <v>1968</v>
      </c>
      <c r="F1679" s="2" t="inlineStr">
        <is>
          <t>телефильм</t>
        </is>
      </c>
      <c r="G1679" s="2" t="inlineStr">
        <is>
          <t>Фрунзенское телевидение</t>
        </is>
      </c>
      <c r="H1679" s="2" t="n">
        <v>67</v>
      </c>
      <c r="I1679" s="2" t="inlineStr"/>
      <c r="J1679" s="2" t="inlineStr">
        <is>
          <t>да</t>
        </is>
      </c>
      <c r="K1679" s="3" t="inlineStr">
        <is>
          <t>Фильм о богатой детской фантазии, о стремлении познать мир и людей.</t>
        </is>
      </c>
      <c r="L1679" s="2" t="inlineStr">
        <is>
          <t>https://www.kino-teatr.ru/short/movie/sov/85100/annot/</t>
        </is>
      </c>
      <c r="M1679" s="2">
        <f>HYPERLINK("https://ru.wikipedia.org/w/index.php?search=%D0%94%D0%BE%D1%80%D0%BE%D0%B3%D0%B0%20%D0%B2%20%D0%9F%D0%B0%D1%80%D0%B8%D0%B6%201968%20%D1%84%D0%B8%D0%BB%D1%8C%D0%BC","искать")</f>
        <v/>
      </c>
      <c r="N1679" s="3" t="n"/>
      <c r="O1679" s="2" t="n"/>
      <c r="P1679" s="2" t="n"/>
    </row>
    <row r="1680">
      <c r="A1680" s="2" t="n">
        <v>1679</v>
      </c>
      <c r="B1680" s="2" t="inlineStr">
        <is>
          <t>не сюжет</t>
        </is>
      </c>
      <c r="C1680" s="2" t="n">
        <v>11048</v>
      </c>
      <c r="D1680" s="3" t="inlineStr">
        <is>
          <t>Анчутка</t>
        </is>
      </c>
      <c r="E1680" s="2" t="n">
        <v>1985</v>
      </c>
      <c r="F1680" s="2" t="inlineStr">
        <is>
          <t>фильм-спектакль</t>
        </is>
      </c>
      <c r="G1680" s="2" t="inlineStr">
        <is>
          <t>Центральное телевидение</t>
        </is>
      </c>
      <c r="H1680" s="2" t="n">
        <v>67</v>
      </c>
      <c r="I1680" s="2" t="inlineStr"/>
      <c r="J1680" s="2" t="inlineStr">
        <is>
          <t>да</t>
        </is>
      </c>
      <c r="K1680" s="3" t="inlineStr">
        <is>
          <t>Сказка Будимира Метальникова в исполнении актеров Московского ТЮЗа.</t>
        </is>
      </c>
      <c r="L1680" s="2" t="inlineStr">
        <is>
          <t>https://www.kino-teatr.ru/teatr/movie/138272/annot/</t>
        </is>
      </c>
      <c r="M1680" s="2">
        <f>HYPERLINK("https://ru.wikipedia.org/w/index.php?search=%D0%90%D0%BD%D1%87%D1%83%D1%82%D0%BA%D0%B0%201985%20%D1%84%D0%B8%D0%BB%D1%8C%D0%BC","искать")</f>
        <v/>
      </c>
      <c r="N1680" s="3" t="n"/>
      <c r="O1680" s="2" t="n"/>
      <c r="P1680" s="2" t="n"/>
    </row>
    <row r="1681">
      <c r="A1681" s="2" t="n">
        <v>1680</v>
      </c>
      <c r="B1681" s="2" t="inlineStr">
        <is>
          <t>не сюжет</t>
        </is>
      </c>
      <c r="C1681" s="2" t="n">
        <v>11165</v>
      </c>
      <c r="D1681" s="3" t="inlineStr">
        <is>
          <t>Кроткая</t>
        </is>
      </c>
      <c r="E1681" s="2" t="n">
        <v>1987</v>
      </c>
      <c r="F1681" s="2" t="inlineStr">
        <is>
          <t>фильм-спектакль</t>
        </is>
      </c>
      <c r="G1681" s="2" t="inlineStr">
        <is>
          <t>Малый Драматический театр</t>
        </is>
      </c>
      <c r="H1681" s="2" t="n">
        <v>67</v>
      </c>
      <c r="I1681" s="2" t="inlineStr"/>
      <c r="J1681" s="2" t="inlineStr">
        <is>
          <t>да</t>
        </is>
      </c>
      <c r="K1681" s="3" t="inlineStr">
        <is>
          <t>Спектакль Малого Драматического театра по повести Ф.М.Достоевского.</t>
        </is>
      </c>
      <c r="L1681" s="2" t="inlineStr">
        <is>
          <t>https://www.kino-teatr.ru/teatr/movie/115666/annot/</t>
        </is>
      </c>
      <c r="M1681" s="2">
        <f>HYPERLINK("https://ru.wikipedia.org/w/index.php?search=%D0%9A%D1%80%D0%BE%D1%82%D0%BA%D0%B0%D1%8F%201987%20%D1%84%D0%B8%D0%BB%D1%8C%D0%BC","искать")</f>
        <v/>
      </c>
      <c r="N1681" s="3" t="n"/>
      <c r="O1681" s="2" t="n"/>
      <c r="P1681" s="2" t="n"/>
    </row>
    <row r="1682">
      <c r="A1682" s="2" t="n">
        <v>1681</v>
      </c>
      <c r="B1682" s="2" t="inlineStr">
        <is>
          <t>не сюжет</t>
        </is>
      </c>
      <c r="C1682" s="2" t="n">
        <v>11911</v>
      </c>
      <c r="D1682" s="3" t="inlineStr">
        <is>
          <t>Наш друг Пишичитай (выпуск 2)</t>
        </is>
      </c>
      <c r="E1682" s="2" t="n">
        <v>1979</v>
      </c>
      <c r="F1682" s="2" t="inlineStr">
        <is>
          <t>мультфильм</t>
        </is>
      </c>
      <c r="G1682" s="2" t="inlineStr">
        <is>
          <t>Союзмультфильм</t>
        </is>
      </c>
      <c r="H1682" s="2" t="n">
        <v>67</v>
      </c>
      <c r="I1682" s="2" t="inlineStr"/>
      <c r="J1682" s="2" t="inlineStr">
        <is>
          <t>да</t>
        </is>
      </c>
      <c r="K1682" s="3" t="inlineStr">
        <is>
          <t>Второй выпуск познавательного фильма для школьников о правописании.</t>
        </is>
      </c>
      <c r="L1682" s="2" t="inlineStr">
        <is>
          <t>2026-10_мультфильмы_список_владельца.xlsx; https://animator.ru/db/?p=show_film&amp;fid=2826</t>
        </is>
      </c>
      <c r="M1682" s="2">
        <f>HYPERLINK("https://ru.wikipedia.org/w/index.php?search=%D0%9D%D0%B0%D1%88%20%D0%B4%D1%80%D1%83%D0%B3%20%D0%9F%D0%B8%D1%88%D0%B8%D1%87%D0%B8%D1%82%D0%B0%D0%B9%20%28%D0%B2%D1%8B%D0%BF%D1%83%D1%81%D0%BA%202%29%201979%20%D1%84%D0%B8%D0%BB%D1%8C%D0%BC","искать")</f>
        <v/>
      </c>
      <c r="N1682" s="3" t="n"/>
      <c r="O1682" s="2" t="n"/>
      <c r="P1682" s="2" t="n"/>
    </row>
    <row r="1683">
      <c r="A1683" s="2" t="n">
        <v>1682</v>
      </c>
      <c r="B1683" s="2" t="inlineStr">
        <is>
          <t>не сюжет</t>
        </is>
      </c>
      <c r="C1683" s="2" t="n">
        <v>12035</v>
      </c>
      <c r="D1683" s="3" t="inlineStr">
        <is>
          <t>Веселая карусель n 15. Почему мне нравится слон</t>
        </is>
      </c>
      <c r="E1683" s="2" t="n">
        <v>1983</v>
      </c>
      <c r="F1683" s="2" t="inlineStr">
        <is>
          <t>мультфильм</t>
        </is>
      </c>
      <c r="G1683" s="2" t="inlineStr">
        <is>
          <t>Союзмультфильм</t>
        </is>
      </c>
      <c r="H1683" s="2" t="n">
        <v>67</v>
      </c>
      <c r="I1683" s="2" t="inlineStr"/>
      <c r="J1683" s="2" t="inlineStr">
        <is>
          <t>да</t>
        </is>
      </c>
      <c r="K1683" s="3" t="inlineStr">
        <is>
          <t>Сюжет из альманаха «ВЕСЕЛАЯ КАРУСЕЛЬ N 15»
По стихотворению А.Милна</t>
        </is>
      </c>
      <c r="L1683" s="2" t="inlineStr">
        <is>
          <t>https://animator.ru/db/?p=show_film&amp;fid=3150</t>
        </is>
      </c>
      <c r="M1683" s="2">
        <f>HYPERLINK("https://ru.wikipedia.org/w/index.php?search=%D0%92%D0%B5%D1%81%D0%B5%D0%BB%D0%B0%D1%8F%20%D0%BA%D0%B0%D1%80%D1%83%D1%81%D0%B5%D0%BB%D1%8C%20n%2015.%20%D0%9F%D0%BE%D1%87%D0%B5%D0%BC%D1%83%20%D0%BC%D0%BD%D0%B5%20%D0%BD%D1%80%D0%B0%D0%B2%D0%B8%D1%82%D1%81%D1%8F%20%D1%81%D0%BB%D0%BE%D0%BD%201983%20%D1%84%D0%B8%D0%BB%D1%8C%D0%BC","искать")</f>
        <v/>
      </c>
      <c r="N1683" s="3" t="n"/>
      <c r="O1683" s="2" t="n"/>
      <c r="P1683" s="2" t="n"/>
    </row>
    <row r="1684">
      <c r="A1684" s="2" t="n">
        <v>1683</v>
      </c>
      <c r="B1684" s="2" t="inlineStr">
        <is>
          <t>не сюжет</t>
        </is>
      </c>
      <c r="C1684" s="2" t="n">
        <v>12217</v>
      </c>
      <c r="D1684" s="3" t="inlineStr">
        <is>
          <t>Пейзаж с можжевельником</t>
        </is>
      </c>
      <c r="E1684" s="2" t="n">
        <v>1987</v>
      </c>
      <c r="F1684" s="2" t="inlineStr">
        <is>
          <t>мультфильм</t>
        </is>
      </c>
      <c r="G1684" s="2" t="inlineStr">
        <is>
          <t>Союзмультфильм</t>
        </is>
      </c>
      <c r="H1684" s="2" t="n">
        <v>67</v>
      </c>
      <c r="I1684" s="2" t="inlineStr"/>
      <c r="J1684" s="2" t="inlineStr">
        <is>
          <t>да</t>
        </is>
      </c>
      <c r="K1684" s="3" t="inlineStr">
        <is>
          <t>О трагической судьбе и творчестве эстонского художника Юло Соостера</t>
        </is>
      </c>
      <c r="L1684" s="2" t="inlineStr">
        <is>
          <t>https://animator.ru/db/?p=show_film&amp;fid=3334</t>
        </is>
      </c>
      <c r="M1684" s="2">
        <f>HYPERLINK("https://ru.wikipedia.org/w/index.php?search=%D0%9F%D0%B5%D0%B9%D0%B7%D0%B0%D0%B6%20%D1%81%20%D0%BC%D0%BE%D0%B6%D0%B6%D0%B5%D0%B2%D0%B5%D0%BB%D1%8C%D0%BD%D0%B8%D0%BA%D0%BE%D0%BC%201987%20%D1%84%D0%B8%D0%BB%D1%8C%D0%BC","искать")</f>
        <v/>
      </c>
      <c r="N1684" s="3" t="n"/>
      <c r="O1684" s="2" t="n"/>
      <c r="P1684" s="2" t="n"/>
    </row>
    <row r="1685">
      <c r="A1685" s="2" t="n">
        <v>1684</v>
      </c>
      <c r="B1685" s="2" t="inlineStr">
        <is>
          <t>не сюжет</t>
        </is>
      </c>
      <c r="C1685" s="2" t="n">
        <v>12266</v>
      </c>
      <c r="D1685" s="3" t="inlineStr">
        <is>
          <t>Веселая карусель n 20. Стекло</t>
        </is>
      </c>
      <c r="E1685" s="2" t="n">
        <v>1990</v>
      </c>
      <c r="F1685" s="2" t="inlineStr">
        <is>
          <t>мультфильм</t>
        </is>
      </c>
      <c r="G1685" s="2" t="inlineStr">
        <is>
          <t>Союзмультфильм</t>
        </is>
      </c>
      <c r="H1685" s="2" t="n">
        <v>67</v>
      </c>
      <c r="I1685" s="2" t="inlineStr"/>
      <c r="J1685" s="2" t="inlineStr">
        <is>
          <t>да</t>
        </is>
      </c>
      <c r="K1685" s="3" t="inlineStr">
        <is>
          <t>Сюжет из альманаха «ВЕСЕЛАЯ КАРУСЕЛЬ N 20»
По рассказу О.Григорьева</t>
        </is>
      </c>
      <c r="L1685" s="2" t="inlineStr">
        <is>
          <t>https://animator.ru/db/?p=show_film&amp;fid=3383</t>
        </is>
      </c>
      <c r="M1685" s="2">
        <f>HYPERLINK("https://ru.wikipedia.org/w/index.php?search=%D0%92%D0%B5%D1%81%D0%B5%D0%BB%D0%B0%D1%8F%20%D0%BA%D0%B0%D1%80%D1%83%D1%81%D0%B5%D0%BB%D1%8C%20n%2020.%20%D0%A1%D1%82%D0%B5%D0%BA%D0%BB%D0%BE%201990%20%D1%84%D0%B8%D0%BB%D1%8C%D0%BC","искать")</f>
        <v/>
      </c>
      <c r="N1685" s="3" t="n"/>
      <c r="O1685" s="2" t="n"/>
      <c r="P1685" s="2" t="n"/>
    </row>
    <row r="1686">
      <c r="A1686" s="2" t="n">
        <v>1685</v>
      </c>
      <c r="B1686" s="2" t="inlineStr">
        <is>
          <t>не сюжет</t>
        </is>
      </c>
      <c r="C1686" s="2" t="n">
        <v>12572</v>
      </c>
      <c r="D1686" s="3" t="inlineStr">
        <is>
          <t>Страшная ночь фомы замыкалкина</t>
        </is>
      </c>
      <c r="E1686" s="2" t="n">
        <v>1971</v>
      </c>
      <c r="F1686" s="2" t="inlineStr">
        <is>
          <t>мультфильм</t>
        </is>
      </c>
      <c r="G1686" s="2" t="inlineStr">
        <is>
          <t>КИЕВНАУЧФИЛЬМ</t>
        </is>
      </c>
      <c r="H1686" s="2" t="n">
        <v>67</v>
      </c>
      <c r="I1686" s="2" t="inlineStr"/>
      <c r="J1686" s="2" t="inlineStr">
        <is>
          <t>да</t>
        </is>
      </c>
      <c r="K1686" s="3" t="inlineStr">
        <is>
          <t>МФ фильмов по техники безопасности, ЧССР, 1972 -- Серебряная медаль</t>
        </is>
      </c>
      <c r="L1686" s="2" t="inlineStr">
        <is>
          <t>https://animator.ru/db/?p=show_film&amp;fid=3752</t>
        </is>
      </c>
      <c r="M1686" s="2">
        <f>HYPERLINK("https://ru.wikipedia.org/w/index.php?search=%D0%A1%D1%82%D1%80%D0%B0%D1%88%D0%BD%D0%B0%D1%8F%20%D0%BD%D0%BE%D1%87%D1%8C%20%D1%84%D0%BE%D0%BC%D1%8B%20%D0%B7%D0%B0%D0%BC%D1%8B%D0%BA%D0%B0%D0%BB%D0%BA%D0%B8%D0%BD%D0%B0%201971%20%D1%84%D0%B8%D0%BB%D1%8C%D0%BC","искать")</f>
        <v/>
      </c>
      <c r="N1686" s="3" t="n"/>
      <c r="O1686" s="2" t="n"/>
      <c r="P1686" s="2" t="n"/>
    </row>
    <row r="1687">
      <c r="A1687" s="2" t="n">
        <v>1686</v>
      </c>
      <c r="B1687" s="2" t="inlineStr">
        <is>
          <t>не сюжет</t>
        </is>
      </c>
      <c r="C1687" s="2" t="n">
        <v>12713</v>
      </c>
      <c r="D1687" s="3" t="inlineStr">
        <is>
          <t>Лев и два быка</t>
        </is>
      </c>
      <c r="E1687" s="2" t="n">
        <v>1970</v>
      </c>
      <c r="F1687" s="2" t="inlineStr">
        <is>
          <t>мультфильм</t>
        </is>
      </c>
      <c r="G1687" s="2" t="inlineStr">
        <is>
          <t>АЗЕРБАЙДЖАНФИЛЬМ</t>
        </is>
      </c>
      <c r="H1687" s="2" t="n">
        <v>67</v>
      </c>
      <c r="I1687" s="2" t="inlineStr"/>
      <c r="J1687" s="2" t="inlineStr">
        <is>
          <t>да</t>
        </is>
      </c>
      <c r="K1687" s="3" t="inlineStr">
        <is>
          <t>В сборнике "Калейдоскоп-71", выпуск 1. По мотивам басни С.А.Ширвани</t>
        </is>
      </c>
      <c r="L1687" s="2" t="inlineStr">
        <is>
          <t>https://animator.ru/db/?p=show_film&amp;fid=3919</t>
        </is>
      </c>
      <c r="M1687" s="2">
        <f>HYPERLINK("https://ru.wikipedia.org/w/index.php?search=%D0%9B%D0%B5%D0%B2%20%D0%B8%20%D0%B4%D0%B2%D0%B0%20%D0%B1%D1%8B%D0%BA%D0%B0%201970%20%D1%84%D0%B8%D0%BB%D1%8C%D0%BC","искать")</f>
        <v/>
      </c>
      <c r="N1687" s="3" t="n"/>
      <c r="O1687" s="2" t="n"/>
      <c r="P1687" s="2" t="n"/>
    </row>
    <row r="1688">
      <c r="A1688" s="2" t="n">
        <v>1687</v>
      </c>
      <c r="B1688" s="2" t="inlineStr">
        <is>
          <t>не сюжет</t>
        </is>
      </c>
      <c r="C1688" s="2" t="n">
        <v>13254</v>
      </c>
      <c r="D1688" s="3" t="inlineStr">
        <is>
          <t>Полет</t>
        </is>
      </c>
      <c r="E1688" s="2" t="n">
        <v>1973</v>
      </c>
      <c r="F1688" s="2" t="inlineStr">
        <is>
          <t>мультфильм</t>
        </is>
      </c>
      <c r="G1688" s="2" t="inlineStr">
        <is>
          <t>ТАЛЛИННФИЛЬМ</t>
        </is>
      </c>
      <c r="H1688" s="2" t="n">
        <v>67</v>
      </c>
      <c r="I1688" s="2" t="inlineStr"/>
      <c r="J1688" s="2" t="inlineStr">
        <is>
          <t>да</t>
        </is>
      </c>
      <c r="K1688" s="3" t="inlineStr">
        <is>
          <t>Притча о стремлении человека к высокому и прекрасному. Для взрослых</t>
        </is>
      </c>
      <c r="L1688" s="2" t="inlineStr">
        <is>
          <t>https://animator.ru/db/?p=show_film&amp;fid=4502</t>
        </is>
      </c>
      <c r="M1688" s="2">
        <f>HYPERLINK("https://ru.wikipedia.org/w/index.php?search=%D0%9F%D0%BE%D0%BB%D0%B5%D1%82%201973%20%D1%84%D0%B8%D0%BB%D1%8C%D0%BC","искать")</f>
        <v/>
      </c>
      <c r="N1688" s="3" t="n"/>
      <c r="O1688" s="2" t="n"/>
      <c r="P1688" s="2" t="n"/>
    </row>
    <row r="1689">
      <c r="A1689" s="2" t="n">
        <v>1688</v>
      </c>
      <c r="B1689" s="2" t="inlineStr">
        <is>
          <t>не сюжет</t>
        </is>
      </c>
      <c r="C1689" s="2" t="n">
        <v>13587</v>
      </c>
      <c r="D1689" s="3" t="inlineStr">
        <is>
          <t>Варвара - злая сестра Айболита (ч3)</t>
        </is>
      </c>
      <c r="E1689" s="2" t="n">
        <v>1984</v>
      </c>
      <c r="F1689" s="2" t="inlineStr">
        <is>
          <t>мультфильм</t>
        </is>
      </c>
      <c r="G1689" s="2" t="inlineStr">
        <is>
          <t>КИЕВНАУЧФИЛЬМ</t>
        </is>
      </c>
      <c r="H1689" s="2" t="n">
        <v>67</v>
      </c>
      <c r="I1689" s="2" t="inlineStr"/>
      <c r="J1689" s="2" t="inlineStr">
        <is>
          <t>да</t>
        </is>
      </c>
      <c r="K1689" s="3" t="inlineStr">
        <is>
          <t>Супер-мультипликационный мюзикл по мотивами сказок К.И. Чуковского!</t>
        </is>
      </c>
      <c r="L1689" s="2" t="inlineStr">
        <is>
          <t>2026-10_мультфильмы_список_владельца.xlsx; https://animator.ru/db/?p=show_film&amp;fid=4934</t>
        </is>
      </c>
      <c r="M1689" s="2">
        <f>HYPERLINK("https://ru.wikipedia.org/w/index.php?search=%D0%92%D0%B0%D1%80%D0%B2%D0%B0%D1%80%D0%B0%20-%20%D0%B7%D0%BB%D0%B0%D1%8F%20%D1%81%D0%B5%D1%81%D1%82%D1%80%D0%B0%20%D0%90%D0%B9%D0%B1%D0%BE%D0%BB%D0%B8%D1%82%D0%B0%20%28%D1%873%29%201984%20%D1%84%D0%B8%D0%BB%D1%8C%D0%BC","искать")</f>
        <v/>
      </c>
      <c r="N1689" s="3" t="n"/>
      <c r="O1689" s="2" t="n"/>
      <c r="P1689" s="2" t="n"/>
    </row>
    <row r="1690">
      <c r="A1690" s="2" t="n">
        <v>1689</v>
      </c>
      <c r="B1690" s="2" t="inlineStr">
        <is>
          <t>не сюжет</t>
        </is>
      </c>
      <c r="C1690" s="2" t="n">
        <v>13594</v>
      </c>
      <c r="D1690" s="3" t="inlineStr">
        <is>
          <t>Бармалей и морские пираты (ч2)</t>
        </is>
      </c>
      <c r="E1690" s="2" t="n">
        <v>1984</v>
      </c>
      <c r="F1690" s="2" t="inlineStr">
        <is>
          <t>мультфильм</t>
        </is>
      </c>
      <c r="G1690" s="2" t="inlineStr">
        <is>
          <t>КИЕВНАУЧФИЛЬМ</t>
        </is>
      </c>
      <c r="H1690" s="2" t="n">
        <v>67</v>
      </c>
      <c r="I1690" s="2" t="inlineStr"/>
      <c r="J1690" s="2" t="inlineStr">
        <is>
          <t>да</t>
        </is>
      </c>
      <c r="K1690" s="3" t="inlineStr">
        <is>
          <t>Супер-мультипликационный мюзикл по мотивами сказок К.И. Чуковского!</t>
        </is>
      </c>
      <c r="L1690" s="2" t="inlineStr">
        <is>
          <t>2026-10_мультфильмы_список_владельца.xlsx; https://animator.ru/db/?p=show_film&amp;fid=4944</t>
        </is>
      </c>
      <c r="M1690" s="2">
        <f>HYPERLINK("https://ru.wikipedia.org/w/index.php?search=%D0%91%D0%B0%D1%80%D0%BC%D0%B0%D0%BB%D0%B5%D0%B9%20%D0%B8%20%D0%BC%D0%BE%D1%80%D1%81%D0%BA%D0%B8%D0%B5%20%D0%BF%D0%B8%D1%80%D0%B0%D1%82%D1%8B%20%28%D1%872%29%201984%20%D1%84%D0%B8%D0%BB%D1%8C%D0%BC","искать")</f>
        <v/>
      </c>
      <c r="N1690" s="3" t="n"/>
      <c r="O1690" s="2" t="n"/>
      <c r="P1690" s="2" t="n"/>
    </row>
    <row r="1691">
      <c r="A1691" s="2" t="n">
        <v>1690</v>
      </c>
      <c r="B1691" s="2" t="inlineStr">
        <is>
          <t>не сюжет</t>
        </is>
      </c>
      <c r="C1691" s="2" t="n">
        <v>13595</v>
      </c>
      <c r="D1691" s="3" t="inlineStr">
        <is>
          <t>Айболит спешит на помощь (ч5)</t>
        </is>
      </c>
      <c r="E1691" s="2" t="n">
        <v>1985</v>
      </c>
      <c r="F1691" s="2" t="inlineStr">
        <is>
          <t>мультфильм</t>
        </is>
      </c>
      <c r="G1691" s="2" t="inlineStr">
        <is>
          <t>КИЕВНАУЧФИЛЬМ</t>
        </is>
      </c>
      <c r="H1691" s="2" t="n">
        <v>67</v>
      </c>
      <c r="I1691" s="2" t="inlineStr"/>
      <c r="J1691" s="2" t="inlineStr">
        <is>
          <t>да</t>
        </is>
      </c>
      <c r="K1691" s="3" t="inlineStr">
        <is>
          <t>Супер-мультипликационный мюзикл по мотивами сказок К.И. Чуковского!</t>
        </is>
      </c>
      <c r="L1691" s="2" t="inlineStr">
        <is>
          <t>2026-10_мультфильмы_список_владельца.xlsx; https://animator.ru/db/?p=show_film&amp;fid=4945</t>
        </is>
      </c>
      <c r="M1691" s="2">
        <f>HYPERLINK("https://ru.wikipedia.org/w/index.php?search=%D0%90%D0%B9%D0%B1%D0%BE%D0%BB%D0%B8%D1%82%20%D1%81%D0%BF%D0%B5%D1%88%D0%B8%D1%82%20%D0%BD%D0%B0%20%D0%BF%D0%BE%D0%BC%D0%BE%D1%89%D1%8C%20%28%D1%875%29%201985%20%D1%84%D0%B8%D0%BB%D1%8C%D0%BC","искать")</f>
        <v/>
      </c>
      <c r="N1691" s="3" t="n"/>
      <c r="O1691" s="2" t="n"/>
      <c r="P1691" s="2" t="n"/>
    </row>
    <row r="1692">
      <c r="A1692" s="2" t="n">
        <v>1691</v>
      </c>
      <c r="B1692" s="2" t="inlineStr">
        <is>
          <t>не сюжет</t>
        </is>
      </c>
      <c r="C1692" s="2" t="n">
        <v>13782</v>
      </c>
      <c r="D1692" s="3" t="inlineStr">
        <is>
          <t>Наша планета земля</t>
        </is>
      </c>
      <c r="E1692" s="2" t="n">
        <v>1976</v>
      </c>
      <c r="F1692" s="2" t="inlineStr">
        <is>
          <t>мультфильм</t>
        </is>
      </c>
      <c r="G1692" s="2" t="inlineStr">
        <is>
          <t>ЭКРАН</t>
        </is>
      </c>
      <c r="H1692" s="2" t="n">
        <v>67</v>
      </c>
      <c r="I1692" s="2" t="inlineStr"/>
      <c r="J1692" s="2" t="inlineStr">
        <is>
          <t>да</t>
        </is>
      </c>
      <c r="K1692" s="3" t="inlineStr">
        <is>
          <t>Познавательный фильм о смене времен года и сремени суток. Для детей</t>
        </is>
      </c>
      <c r="L1692" s="2" t="inlineStr">
        <is>
          <t>https://animator.ru/db/?p=show_film&amp;fid=5175</t>
        </is>
      </c>
      <c r="M1692" s="2">
        <f>HYPERLINK("https://ru.wikipedia.org/w/index.php?search=%D0%9D%D0%B0%D1%88%D0%B0%20%D0%BF%D0%BB%D0%B0%D0%BD%D0%B5%D1%82%D0%B0%20%D0%B7%D0%B5%D0%BC%D0%BB%D1%8F%201976%20%D1%84%D0%B8%D0%BB%D1%8C%D0%BC","искать")</f>
        <v/>
      </c>
      <c r="N1692" s="3" t="n"/>
      <c r="O1692" s="2" t="n"/>
      <c r="P1692" s="2" t="n"/>
    </row>
    <row r="1693">
      <c r="A1693" s="2" t="n">
        <v>1692</v>
      </c>
      <c r="B1693" s="2" t="inlineStr">
        <is>
          <t>не сюжет</t>
        </is>
      </c>
      <c r="C1693" s="2" t="n">
        <v>14257</v>
      </c>
      <c r="D1693" s="3" t="inlineStr">
        <is>
          <t>Крошки n 2. Петля</t>
        </is>
      </c>
      <c r="E1693" s="2" t="n">
        <v>1991</v>
      </c>
      <c r="F1693" s="2" t="inlineStr">
        <is>
          <t>мультфильм</t>
        </is>
      </c>
      <c r="G1693" s="2" t="inlineStr">
        <is>
          <t>ДАУКА (DAUKA)</t>
        </is>
      </c>
      <c r="H1693" s="2" t="n">
        <v>67</v>
      </c>
      <c r="I1693" s="2" t="inlineStr"/>
      <c r="J1693" s="2" t="inlineStr">
        <is>
          <t>да</t>
        </is>
      </c>
      <c r="K1693" s="3" t="inlineStr">
        <is>
          <t>Дебют. МК анимационных фильмов для детей в Братиславе 1991 - Диплом</t>
        </is>
      </c>
      <c r="L1693" s="2" t="inlineStr">
        <is>
          <t>https://animator.ru/db/?p=show_film&amp;fid=5693</t>
        </is>
      </c>
      <c r="M1693" s="2">
        <f>HYPERLINK("https://ru.wikipedia.org/w/index.php?search=%D0%9A%D1%80%D0%BE%D1%88%D0%BA%D0%B8%20n%202.%20%D0%9F%D0%B5%D1%82%D0%BB%D1%8F%201991%20%D1%84%D0%B8%D0%BB%D1%8C%D0%BC","искать")</f>
        <v/>
      </c>
      <c r="N1693" s="3" t="n"/>
      <c r="O1693" s="2" t="n"/>
      <c r="P1693" s="2" t="n"/>
    </row>
    <row r="1694">
      <c r="A1694" s="2" t="n">
        <v>1693</v>
      </c>
      <c r="B1694" s="2" t="inlineStr">
        <is>
          <t>не сюжет</t>
        </is>
      </c>
      <c r="C1694" s="2" t="n">
        <v>14376</v>
      </c>
      <c r="D1694" s="3" t="inlineStr">
        <is>
          <t>Сказка о попе и работнике его балде (Базар)</t>
        </is>
      </c>
      <c r="E1694" s="2" t="n">
        <v>1930</v>
      </c>
      <c r="F1694" s="2" t="inlineStr">
        <is>
          <t>мультфильм</t>
        </is>
      </c>
      <c r="G1694" s="2" t="n"/>
      <c r="H1694" s="2" t="n">
        <v>67</v>
      </c>
      <c r="I1694" s="2" t="inlineStr"/>
      <c r="J1694" s="2" t="inlineStr">
        <is>
          <t>да</t>
        </is>
      </c>
      <c r="K1694" s="3" t="inlineStr">
        <is>
          <t>Название условное. Фрагмент незаконченного фильма по сказке Пушкина</t>
        </is>
      </c>
      <c r="L1694" s="2" t="inlineStr">
        <is>
          <t>https://animator.ru/db/?p=show_film&amp;fid=6310</t>
        </is>
      </c>
      <c r="M1694" s="2">
        <f>HYPERLINK("https://ru.wikipedia.org/w/index.php?search=%D0%A1%D0%BA%D0%B0%D0%B7%D0%BA%D0%B0%20%D0%BE%20%D0%BF%D0%BE%D0%BF%D0%B5%20%D0%B8%20%D1%80%D0%B0%D0%B1%D0%BE%D1%82%D0%BD%D0%B8%D0%BA%D0%B5%20%D0%B5%D0%B3%D0%BE%20%D0%B1%D0%B0%D0%BB%D0%B4%D0%B5%20%28%D0%91%D0%B0%D0%B7%D0%B0%D1%80%29%201930%20%D1%84%D0%B8%D0%BB%D1%8C%D0%BC","искать")</f>
        <v/>
      </c>
      <c r="N1694" s="3" t="n"/>
      <c r="O1694" s="2" t="n"/>
      <c r="P1694" s="2" t="n"/>
    </row>
    <row r="1695">
      <c r="A1695" s="2" t="n">
        <v>1694</v>
      </c>
      <c r="B1695" s="2" t="inlineStr">
        <is>
          <t>не сюжет</t>
        </is>
      </c>
      <c r="C1695" s="2" t="n">
        <v>8794</v>
      </c>
      <c r="D1695" s="3" t="inlineStr">
        <is>
          <t>Легенды пожарных</t>
        </is>
      </c>
      <c r="E1695" s="2" t="n">
        <v>1989</v>
      </c>
      <c r="F1695" s="2" t="inlineStr">
        <is>
          <t>кинофильм</t>
        </is>
      </c>
      <c r="G1695" s="2" t="n"/>
      <c r="H1695" s="2" t="n">
        <v>68</v>
      </c>
      <c r="I1695" s="2" t="inlineStr"/>
      <c r="J1695" s="2" t="inlineStr">
        <is>
          <t>да</t>
        </is>
      </c>
      <c r="K1695" s="3" t="inlineStr">
        <is>
          <t>Фидьм-гротеск, высмеивающий работу команды пожарников и их старшину.</t>
        </is>
      </c>
      <c r="L1695" s="2" t="inlineStr">
        <is>
          <t>Кино_СССР сводный каталог.xlsx: список фильмов (доп.)</t>
        </is>
      </c>
      <c r="M1695" s="2">
        <f>HYPERLINK("https://ru.wikipedia.org/w/index.php?search=%D0%9B%D0%B5%D0%B3%D0%B5%D0%BD%D0%B4%D1%8B%20%D0%BF%D0%BE%D0%B6%D0%B0%D1%80%D0%BD%D1%8B%D1%85%201989%20%D1%84%D0%B8%D0%BB%D1%8C%D0%BC","искать")</f>
        <v/>
      </c>
      <c r="N1695" s="3" t="n"/>
      <c r="O1695" s="2" t="n"/>
      <c r="P1695" s="2" t="n"/>
    </row>
    <row r="1696">
      <c r="A1696" s="2" t="n">
        <v>1695</v>
      </c>
      <c r="B1696" s="2" t="inlineStr">
        <is>
          <t>не сюжет</t>
        </is>
      </c>
      <c r="C1696" s="2" t="n">
        <v>9181</v>
      </c>
      <c r="D1696" s="3" t="inlineStr">
        <is>
          <t>Эстонские баллады</t>
        </is>
      </c>
      <c r="E1696" s="2" t="n">
        <v>1989</v>
      </c>
      <c r="F1696" s="2" t="inlineStr">
        <is>
          <t>кинофильм</t>
        </is>
      </c>
      <c r="G1696" s="2" t="n"/>
      <c r="H1696" s="2" t="n">
        <v>68</v>
      </c>
      <c r="I1696" s="2" t="inlineStr"/>
      <c r="J1696" s="2" t="inlineStr">
        <is>
          <t>да</t>
        </is>
      </c>
      <c r="K1696" s="3" t="inlineStr">
        <is>
          <t>Музыкальный фильм по «Эстонским балладам» композитора Вельо Тормиса.</t>
        </is>
      </c>
      <c r="L1696" s="2" t="inlineStr">
        <is>
          <t>Кино_СССР сводный каталог.xlsx: список фильмов (доп.)</t>
        </is>
      </c>
      <c r="M1696" s="2">
        <f>HYPERLINK("https://ru.wikipedia.org/w/index.php?search=%D0%AD%D1%81%D1%82%D0%BE%D0%BD%D1%81%D0%BA%D0%B8%D0%B5%20%D0%B1%D0%B0%D0%BB%D0%BB%D0%B0%D0%B4%D1%8B%201989%20%D1%84%D0%B8%D0%BB%D1%8C%D0%BC","искать")</f>
        <v/>
      </c>
      <c r="N1696" s="3" t="n"/>
      <c r="O1696" s="2" t="n"/>
      <c r="P1696" s="2" t="n"/>
    </row>
    <row r="1697">
      <c r="A1697" s="2" t="n">
        <v>1696</v>
      </c>
      <c r="B1697" s="2" t="inlineStr">
        <is>
          <t>не сюжет</t>
        </is>
      </c>
      <c r="C1697" s="2" t="n">
        <v>9853</v>
      </c>
      <c r="D1697" s="3" t="inlineStr">
        <is>
          <t>Слепой дождь...</t>
        </is>
      </c>
      <c r="E1697" s="2" t="n">
        <v>1968</v>
      </c>
      <c r="F1697" s="2" t="inlineStr">
        <is>
          <t>телефильм</t>
        </is>
      </c>
      <c r="G1697" s="2" t="inlineStr">
        <is>
          <t>Укртелефильм</t>
        </is>
      </c>
      <c r="H1697" s="2" t="n">
        <v>68</v>
      </c>
      <c r="I1697" s="2" t="inlineStr"/>
      <c r="J1697" s="2" t="inlineStr">
        <is>
          <t>да</t>
        </is>
      </c>
      <c r="K1697" s="3" t="inlineStr">
        <is>
          <t>Поэтический кинорассказ о первой любви мальчика Сани к девушке Лене.</t>
        </is>
      </c>
      <c r="L1697" s="2" t="inlineStr">
        <is>
          <t>https://www.kino-teatr.ru/short/movie/sov/87041/annot/</t>
        </is>
      </c>
      <c r="M1697" s="2">
        <f>HYPERLINK("https://ru.wikipedia.org/w/index.php?search=%D0%A1%D0%BB%D0%B5%D0%BF%D0%BE%D0%B9%20%D0%B4%D0%BE%D0%B6%D0%B4%D1%8C...%201968%20%D1%84%D0%B8%D0%BB%D1%8C%D0%BC","искать")</f>
        <v/>
      </c>
      <c r="N1697" s="3" t="n"/>
      <c r="O1697" s="2" t="n"/>
      <c r="P1697" s="2" t="n"/>
    </row>
    <row r="1698">
      <c r="A1698" s="2" t="n">
        <v>1697</v>
      </c>
      <c r="B1698" s="2" t="inlineStr">
        <is>
          <t>не сюжет</t>
        </is>
      </c>
      <c r="C1698" s="2" t="n">
        <v>9959</v>
      </c>
      <c r="D1698" s="3" t="inlineStr">
        <is>
          <t>Экзамен</t>
        </is>
      </c>
      <c r="E1698" s="2" t="n">
        <v>1980</v>
      </c>
      <c r="F1698" s="2" t="inlineStr">
        <is>
          <t>кинофильм</t>
        </is>
      </c>
      <c r="G1698" s="2" t="inlineStr">
        <is>
          <t>Ленфильм</t>
        </is>
      </c>
      <c r="H1698" s="2" t="n">
        <v>68</v>
      </c>
      <c r="I1698" s="2" t="inlineStr"/>
      <c r="J1698" s="2" t="inlineStr">
        <is>
          <t>да</t>
        </is>
      </c>
      <c r="K1698" s="3" t="inlineStr">
        <is>
          <t>Агитационный фильм о необходимости знания правил дорожного движения.</t>
        </is>
      </c>
      <c r="L1698" s="2" t="inlineStr">
        <is>
          <t>https://www.kino-teatr.ru/short/movie/sov/146238/annot/</t>
        </is>
      </c>
      <c r="M1698" s="2">
        <f>HYPERLINK("https://ru.wikipedia.org/w/index.php?search=%D0%AD%D0%BA%D0%B7%D0%B0%D0%BC%D0%B5%D0%BD%201980%20%D1%84%D0%B8%D0%BB%D1%8C%D0%BC","искать")</f>
        <v/>
      </c>
      <c r="N1698" s="3" t="n"/>
      <c r="O1698" s="2" t="n"/>
      <c r="P1698" s="2" t="n"/>
    </row>
    <row r="1699">
      <c r="A1699" s="2" t="n">
        <v>1698</v>
      </c>
      <c r="B1699" s="2" t="inlineStr">
        <is>
          <t>не сюжет</t>
        </is>
      </c>
      <c r="C1699" s="2" t="n">
        <v>10263</v>
      </c>
      <c r="D1699" s="3" t="inlineStr">
        <is>
          <t>Первое дело доктора Уотсона</t>
        </is>
      </c>
      <c r="E1699" s="2" t="n">
        <v>1968</v>
      </c>
      <c r="F1699" s="2" t="inlineStr">
        <is>
          <t>фильм-спектакль</t>
        </is>
      </c>
      <c r="G1699" s="2" t="inlineStr">
        <is>
          <t>Центральное телевидение</t>
        </is>
      </c>
      <c r="H1699" s="2" t="n">
        <v>68</v>
      </c>
      <c r="I1699" s="2" t="inlineStr"/>
      <c r="J1699" s="2" t="inlineStr">
        <is>
          <t>да</t>
        </is>
      </c>
      <c r="K1699" s="3" t="inlineStr">
        <is>
          <t>Телеспектакль по повести Артура Конан Дойла "Этюд в багровых тонах".</t>
        </is>
      </c>
      <c r="L1699" s="2" t="inlineStr">
        <is>
          <t>https://www.kino-teatr.ru/teatr/movie/111626/annot/</t>
        </is>
      </c>
      <c r="M1699" s="2">
        <f>HYPERLINK("https://ru.wikipedia.org/w/index.php?search=%D0%9F%D0%B5%D1%80%D0%B2%D0%BE%D0%B5%20%D0%B4%D0%B5%D0%BB%D0%BE%20%D0%B4%D0%BE%D0%BA%D1%82%D0%BE%D1%80%D0%B0%20%D0%A3%D0%BE%D1%82%D1%81%D0%BE%D0%BD%D0%B0%201968%20%D1%84%D0%B8%D0%BB%D1%8C%D0%BC","искать")</f>
        <v/>
      </c>
      <c r="N1699" s="3" t="n"/>
      <c r="O1699" s="2" t="n"/>
      <c r="P1699" s="2" t="n"/>
    </row>
    <row r="1700">
      <c r="A1700" s="2" t="n">
        <v>1699</v>
      </c>
      <c r="B1700" s="2" t="inlineStr">
        <is>
          <t>не сюжет</t>
        </is>
      </c>
      <c r="C1700" s="2" t="n">
        <v>10790</v>
      </c>
      <c r="D1700" s="3" t="inlineStr">
        <is>
          <t>Аморальная история</t>
        </is>
      </c>
      <c r="E1700" s="2" t="n">
        <v>1979</v>
      </c>
      <c r="F1700" s="2" t="inlineStr">
        <is>
          <t>фильм-спектакль</t>
        </is>
      </c>
      <c r="G1700" s="2" t="n"/>
      <c r="H1700" s="2" t="n">
        <v>68</v>
      </c>
      <c r="I1700" s="2" t="inlineStr"/>
      <c r="J1700" s="2" t="inlineStr">
        <is>
          <t>да</t>
        </is>
      </c>
      <c r="K1700" s="3" t="inlineStr">
        <is>
          <t>Поставлен по одноименной пьесе Эмиля Брагинского и Эльдара Рязанова.</t>
        </is>
      </c>
      <c r="L1700" s="2" t="inlineStr">
        <is>
          <t>https://www.kino-teatr.ru/teatr/movie/88978/annot/</t>
        </is>
      </c>
      <c r="M1700" s="2">
        <f>HYPERLINK("https://ru.wikipedia.org/w/index.php?search=%D0%90%D0%BC%D0%BE%D1%80%D0%B0%D0%BB%D1%8C%D0%BD%D0%B0%D1%8F%20%D0%B8%D1%81%D1%82%D0%BE%D1%80%D0%B8%D1%8F%201979%20%D1%84%D0%B8%D0%BB%D1%8C%D0%BC","искать")</f>
        <v/>
      </c>
      <c r="N1700" s="3" t="n"/>
      <c r="O1700" s="2" t="n"/>
      <c r="P1700" s="2" t="n"/>
    </row>
    <row r="1701">
      <c r="A1701" s="2" t="n">
        <v>1700</v>
      </c>
      <c r="B1701" s="2" t="inlineStr">
        <is>
          <t>не сюжет</t>
        </is>
      </c>
      <c r="C1701" s="2" t="n">
        <v>11534</v>
      </c>
      <c r="D1701" s="3" t="inlineStr">
        <is>
          <t>В морду второму интернационалу</t>
        </is>
      </c>
      <c r="E1701" s="2" t="n">
        <v>1924</v>
      </c>
      <c r="F1701" s="2" t="inlineStr">
        <is>
          <t>мультфильм</t>
        </is>
      </c>
      <c r="G1701" s="2" t="inlineStr">
        <is>
          <t>ГОСКИНО (КУЛЬТКИНО)</t>
        </is>
      </c>
      <c r="H1701" s="2" t="n">
        <v>68</v>
      </c>
      <c r="I1701" s="2" t="inlineStr"/>
      <c r="J1701" s="2" t="inlineStr">
        <is>
          <t>да</t>
        </is>
      </c>
      <c r="K1701" s="3" t="inlineStr">
        <is>
          <t>Агитплакат на тему солидарности мирового пролетариата. Не сохранился</t>
        </is>
      </c>
      <c r="L1701" s="2" t="inlineStr">
        <is>
          <t>https://animator.ru/db/?p=show_film&amp;fid=2306</t>
        </is>
      </c>
      <c r="M1701" s="2">
        <f>HYPERLINK("https://ru.wikipedia.org/w/index.php?search=%D0%92%20%D0%BC%D0%BE%D1%80%D0%B4%D1%83%20%D0%B2%D1%82%D0%BE%D1%80%D0%BE%D0%BC%D1%83%20%D0%B8%D0%BD%D1%82%D0%B5%D1%80%D0%BD%D0%B0%D1%86%D0%B8%D0%BE%D0%BD%D0%B0%D0%BB%D1%83%201924%20%D1%84%D0%B8%D0%BB%D1%8C%D0%BC","искать")</f>
        <v/>
      </c>
      <c r="N1701" s="3" t="n"/>
      <c r="O1701" s="2" t="n"/>
      <c r="P1701" s="2" t="n"/>
    </row>
    <row r="1702">
      <c r="A1702" s="2" t="n">
        <v>1701</v>
      </c>
      <c r="B1702" s="2" t="inlineStr">
        <is>
          <t>не сюжет</t>
        </is>
      </c>
      <c r="C1702" s="2" t="n">
        <v>11662</v>
      </c>
      <c r="D1702" s="3" t="inlineStr">
        <is>
          <t>Веселая карусель n 4. Веселый старичок</t>
        </is>
      </c>
      <c r="E1702" s="2" t="n">
        <v>1972</v>
      </c>
      <c r="F1702" s="2" t="inlineStr">
        <is>
          <t>мультфильм</t>
        </is>
      </c>
      <c r="G1702" s="2" t="inlineStr">
        <is>
          <t>Союзмультфильм</t>
        </is>
      </c>
      <c r="H1702" s="2" t="n">
        <v>68</v>
      </c>
      <c r="I1702" s="2" t="inlineStr"/>
      <c r="J1702" s="2" t="inlineStr">
        <is>
          <t>да</t>
        </is>
      </c>
      <c r="K1702" s="3" t="inlineStr">
        <is>
          <t>Сюжет из альманаха «ВЕСЕЛАЯ КАРУСЕЛЬ N 4»
По стихотворению Д.Хармса.</t>
        </is>
      </c>
      <c r="L1702" s="2" t="inlineStr">
        <is>
          <t>https://animator.ru/db/?p=show_film&amp;fid=2576</t>
        </is>
      </c>
      <c r="M1702" s="2">
        <f>HYPERLINK("https://ru.wikipedia.org/w/index.php?search=%D0%92%D0%B5%D1%81%D0%B5%D0%BB%D0%B0%D1%8F%20%D0%BA%D0%B0%D1%80%D1%83%D1%81%D0%B5%D0%BB%D1%8C%20n%204.%20%D0%92%D0%B5%D1%81%D0%B5%D0%BB%D1%8B%D0%B9%20%D1%81%D1%82%D0%B0%D1%80%D0%B8%D1%87%D0%BE%D0%BA%201972%20%D1%84%D0%B8%D0%BB%D1%8C%D0%BC","искать")</f>
        <v/>
      </c>
      <c r="N1702" s="3" t="n"/>
      <c r="O1702" s="2" t="n"/>
      <c r="P1702" s="2" t="n"/>
    </row>
    <row r="1703">
      <c r="A1703" s="2" t="n">
        <v>1702</v>
      </c>
      <c r="B1703" s="2" t="inlineStr">
        <is>
          <t>не сюжет</t>
        </is>
      </c>
      <c r="C1703" s="2" t="n">
        <v>12034</v>
      </c>
      <c r="D1703" s="3" t="inlineStr">
        <is>
          <t>Веселая карусель n 14. Где обедал воробей?</t>
        </is>
      </c>
      <c r="E1703" s="2" t="n">
        <v>1983</v>
      </c>
      <c r="F1703" s="2" t="inlineStr">
        <is>
          <t>мультфильм</t>
        </is>
      </c>
      <c r="G1703" s="2" t="inlineStr">
        <is>
          <t>Союзмультфильм</t>
        </is>
      </c>
      <c r="H1703" s="2" t="n">
        <v>68</v>
      </c>
      <c r="I1703" s="2" t="inlineStr"/>
      <c r="J1703" s="2" t="inlineStr">
        <is>
          <t>да</t>
        </is>
      </c>
      <c r="K1703" s="3" t="inlineStr">
        <is>
          <t>Сюжет из альманаха «ВЕСЕЛАЯ КАРУСЕЛЬ N 14»
По стихотворению Маршака.</t>
        </is>
      </c>
      <c r="L1703" s="2" t="inlineStr">
        <is>
          <t>https://animator.ru/db/?p=show_film&amp;fid=3149</t>
        </is>
      </c>
      <c r="M1703" s="2">
        <f>HYPERLINK("https://ru.wikipedia.org/w/index.php?search=%D0%92%D0%B5%D1%81%D0%B5%D0%BB%D0%B0%D1%8F%20%D0%BA%D0%B0%D1%80%D1%83%D1%81%D0%B5%D0%BB%D1%8C%20n%2014.%20%D0%93%D0%B4%D0%B5%20%D0%BE%D0%B1%D0%B5%D0%B4%D0%B0%D0%BB%20%D0%B2%D0%BE%D1%80%D0%BE%D0%B1%D0%B5%D0%B9%3F%201983%20%D1%84%D0%B8%D0%BB%D1%8C%D0%BC","искать")</f>
        <v/>
      </c>
      <c r="N1703" s="3" t="n"/>
      <c r="O1703" s="2" t="n"/>
      <c r="P1703" s="2" t="n"/>
    </row>
    <row r="1704">
      <c r="A1704" s="2" t="n">
        <v>1703</v>
      </c>
      <c r="B1704" s="2" t="inlineStr">
        <is>
          <t>не сюжет</t>
        </is>
      </c>
      <c r="C1704" s="2" t="n">
        <v>12268</v>
      </c>
      <c r="D1704" s="3" t="inlineStr">
        <is>
          <t>Веселая карусель n 21. Стихи с бегемотом</t>
        </is>
      </c>
      <c r="E1704" s="2" t="n">
        <v>1990</v>
      </c>
      <c r="F1704" s="2" t="inlineStr">
        <is>
          <t>мультфильм</t>
        </is>
      </c>
      <c r="G1704" s="2" t="inlineStr">
        <is>
          <t>Союзмультфильм</t>
        </is>
      </c>
      <c r="H1704" s="2" t="n">
        <v>68</v>
      </c>
      <c r="I1704" s="2" t="inlineStr"/>
      <c r="J1704" s="2" t="inlineStr">
        <is>
          <t>да</t>
        </is>
      </c>
      <c r="K1704" s="3" t="inlineStr">
        <is>
          <t>Сюжет из альманаха «ВЕСЕЛАЯ КАРУСЕЛЬ N 21»
По стихотворению В.Левина</t>
        </is>
      </c>
      <c r="L1704" s="2" t="inlineStr">
        <is>
          <t>https://animator.ru/db/?p=show_film&amp;fid=3385</t>
        </is>
      </c>
      <c r="M1704" s="2">
        <f>HYPERLINK("https://ru.wikipedia.org/w/index.php?search=%D0%92%D0%B5%D1%81%D0%B5%D0%BB%D0%B0%D1%8F%20%D0%BA%D0%B0%D1%80%D1%83%D1%81%D0%B5%D0%BB%D1%8C%20n%2021.%20%D0%A1%D1%82%D0%B8%D1%85%D0%B8%20%D1%81%20%D0%B1%D0%B5%D0%B3%D0%B5%D0%BC%D0%BE%D1%82%D0%BE%D0%BC%201990%20%D1%84%D0%B8%D0%BB%D1%8C%D0%BC","искать")</f>
        <v/>
      </c>
      <c r="N1704" s="3" t="n"/>
      <c r="O1704" s="2" t="n"/>
      <c r="P1704" s="2" t="n"/>
    </row>
    <row r="1705">
      <c r="A1705" s="2" t="n">
        <v>1704</v>
      </c>
      <c r="B1705" s="2" t="inlineStr">
        <is>
          <t>не сюжет</t>
        </is>
      </c>
      <c r="C1705" s="2" t="n">
        <v>12291</v>
      </c>
      <c r="D1705" s="3" t="inlineStr">
        <is>
          <t>Случай</t>
        </is>
      </c>
      <c r="E1705" s="2" t="n">
        <v>1990</v>
      </c>
      <c r="F1705" s="2" t="inlineStr">
        <is>
          <t>мультфильм</t>
        </is>
      </c>
      <c r="G1705" s="2" t="inlineStr">
        <is>
          <t>Союзмультфильм</t>
        </is>
      </c>
      <c r="H1705" s="2" t="n">
        <v>68</v>
      </c>
      <c r="I1705" s="2" t="inlineStr"/>
      <c r="J1705" s="2" t="inlineStr">
        <is>
          <t>да</t>
        </is>
      </c>
      <c r="K1705" s="3" t="inlineStr">
        <is>
          <t>По мотивам трех миниатюр Д.Хармса на темы городской жизни 30-х годов</t>
        </is>
      </c>
      <c r="L1705" s="2" t="inlineStr">
        <is>
          <t>https://animator.ru/db/?p=show_film&amp;fid=3408</t>
        </is>
      </c>
      <c r="M1705" s="2">
        <f>HYPERLINK("https://ru.wikipedia.org/w/index.php?search=%D0%A1%D0%BB%D1%83%D1%87%D0%B0%D0%B9%201990%20%D1%84%D0%B8%D0%BB%D1%8C%D0%BC","искать")</f>
        <v/>
      </c>
      <c r="N1705" s="3" t="n"/>
      <c r="O1705" s="2" t="n"/>
      <c r="P1705" s="2" t="n"/>
    </row>
    <row r="1706">
      <c r="A1706" s="2" t="n">
        <v>1705</v>
      </c>
      <c r="B1706" s="2" t="inlineStr">
        <is>
          <t>не сюжет</t>
        </is>
      </c>
      <c r="C1706" s="2" t="n">
        <v>12305</v>
      </c>
      <c r="D1706" s="3" t="inlineStr">
        <is>
          <t>Веселая карусель n 23. Джо билл</t>
        </is>
      </c>
      <c r="E1706" s="2" t="n">
        <v>1991</v>
      </c>
      <c r="F1706" s="2" t="inlineStr">
        <is>
          <t>мультфильм</t>
        </is>
      </c>
      <c r="G1706" s="2" t="inlineStr">
        <is>
          <t>Союзмультфильм</t>
        </is>
      </c>
      <c r="H1706" s="2" t="n">
        <v>68</v>
      </c>
      <c r="I1706" s="2" t="inlineStr"/>
      <c r="J1706" s="2" t="inlineStr">
        <is>
          <t>да</t>
        </is>
      </c>
      <c r="K1706" s="3" t="inlineStr">
        <is>
          <t>Сюжет из альманаха «ВЕСЕЛАЯ КАРУСЕЛЬ N 23»
По стихотворению Ю.Левина</t>
        </is>
      </c>
      <c r="L1706" s="2" t="inlineStr">
        <is>
          <t>https://animator.ru/db/?p=show_film&amp;fid=3422</t>
        </is>
      </c>
      <c r="M1706" s="2">
        <f>HYPERLINK("https://ru.wikipedia.org/w/index.php?search=%D0%92%D0%B5%D1%81%D0%B5%D0%BB%D0%B0%D1%8F%20%D0%BA%D0%B0%D1%80%D1%83%D1%81%D0%B5%D0%BB%D1%8C%20n%2023.%20%D0%94%D0%B6%D0%BE%20%D0%B1%D0%B8%D0%BB%D0%BB%201991%20%D1%84%D0%B8%D0%BB%D1%8C%D0%BC","искать")</f>
        <v/>
      </c>
      <c r="N1706" s="3" t="n"/>
      <c r="O1706" s="2" t="n"/>
      <c r="P1706" s="2" t="n"/>
    </row>
    <row r="1707">
      <c r="A1707" s="2" t="n">
        <v>1706</v>
      </c>
      <c r="B1707" s="2" t="inlineStr">
        <is>
          <t>не сюжет</t>
        </is>
      </c>
      <c r="C1707" s="2" t="n">
        <v>12558</v>
      </c>
      <c r="D1707" s="3" t="inlineStr">
        <is>
          <t>Смерть чиновника</t>
        </is>
      </c>
      <c r="E1707" s="2" t="n">
        <v>1988</v>
      </c>
      <c r="F1707" s="2" t="inlineStr">
        <is>
          <t>мультфильм</t>
        </is>
      </c>
      <c r="G1707" s="2" t="inlineStr">
        <is>
          <t>КИЕВНАУЧФИЛЬМ</t>
        </is>
      </c>
      <c r="H1707" s="2" t="n">
        <v>68</v>
      </c>
      <c r="I1707" s="2" t="inlineStr"/>
      <c r="J1707" s="2" t="inlineStr">
        <is>
          <t>да</t>
        </is>
      </c>
      <c r="K1707" s="3" t="inlineStr">
        <is>
          <t>По рассказу Чехова. Использована музыка Р.Планкетта и И.Стравинского</t>
        </is>
      </c>
      <c r="L1707" s="2" t="inlineStr">
        <is>
          <t>https://animator.ru/db/?p=show_film&amp;fid=3737</t>
        </is>
      </c>
      <c r="M1707" s="2">
        <f>HYPERLINK("https://ru.wikipedia.org/w/index.php?search=%D0%A1%D0%BC%D0%B5%D1%80%D1%82%D1%8C%20%D1%87%D0%B8%D0%BD%D0%BE%D0%B2%D0%BD%D0%B8%D0%BA%D0%B0%201988%20%D1%84%D0%B8%D0%BB%D1%8C%D0%BC","искать")</f>
        <v/>
      </c>
      <c r="N1707" s="3" t="n"/>
      <c r="O1707" s="2" t="n"/>
      <c r="P1707" s="2" t="n"/>
    </row>
    <row r="1708">
      <c r="A1708" s="2" t="n">
        <v>1707</v>
      </c>
      <c r="B1708" s="2" t="inlineStr">
        <is>
          <t>не сюжет</t>
        </is>
      </c>
      <c r="C1708" s="2" t="n">
        <v>12684</v>
      </c>
      <c r="D1708" s="3" t="inlineStr">
        <is>
          <t>Ночью в театре</t>
        </is>
      </c>
      <c r="E1708" s="2" t="n">
        <v>1989</v>
      </c>
      <c r="F1708" s="2" t="inlineStr">
        <is>
          <t>мультфильм</t>
        </is>
      </c>
      <c r="G1708" s="2" t="inlineStr">
        <is>
          <t>БЕЛАРУСЬФИЛЬМ НАЦИОНАЛЬНАЯ КИНОСТУДИЯ - ГП</t>
        </is>
      </c>
      <c r="H1708" s="2" t="n">
        <v>68</v>
      </c>
      <c r="I1708" s="2" t="inlineStr"/>
      <c r="J1708" s="2" t="inlineStr">
        <is>
          <t>да</t>
        </is>
      </c>
      <c r="K1708" s="3" t="inlineStr">
        <is>
          <t>О таинственном Духе театра, хранящем вековые традиции (для взрослых)</t>
        </is>
      </c>
      <c r="L1708" s="2" t="inlineStr">
        <is>
          <t>https://animator.ru/db/?p=show_film&amp;fid=3879</t>
        </is>
      </c>
      <c r="M1708" s="2">
        <f>HYPERLINK("https://ru.wikipedia.org/w/index.php?search=%D0%9D%D0%BE%D1%87%D1%8C%D1%8E%20%D0%B2%20%D1%82%D0%B5%D0%B0%D1%82%D1%80%D0%B5%201989%20%D1%84%D0%B8%D0%BB%D1%8C%D0%BC","искать")</f>
        <v/>
      </c>
      <c r="N1708" s="3" t="n"/>
      <c r="O1708" s="2" t="n"/>
      <c r="P1708" s="2" t="n"/>
    </row>
    <row r="1709">
      <c r="A1709" s="2" t="n">
        <v>1708</v>
      </c>
      <c r="B1709" s="2" t="inlineStr">
        <is>
          <t>не сюжет</t>
        </is>
      </c>
      <c r="C1709" s="2" t="n">
        <v>12710</v>
      </c>
      <c r="D1709" s="3" t="inlineStr">
        <is>
          <t>Стеклянные звезды</t>
        </is>
      </c>
      <c r="E1709" s="2" t="n">
        <v>1991</v>
      </c>
      <c r="F1709" s="2" t="inlineStr">
        <is>
          <t>мультфильм</t>
        </is>
      </c>
      <c r="G1709" s="2" t="inlineStr">
        <is>
          <t>БЕЛАРУСЬФИЛЬМ НАЦИОНАЛЬНАЯ КИНОСТУДИЯ - ГП</t>
        </is>
      </c>
      <c r="H1709" s="2" t="n">
        <v>68</v>
      </c>
      <c r="I1709" s="2" t="inlineStr"/>
      <c r="J1709" s="2" t="inlineStr">
        <is>
          <t>да</t>
        </is>
      </c>
      <c r="K1709" s="3" t="inlineStr">
        <is>
          <t>Короткая жизнь ночной бабочки, сгоревшей в огне лампы (для взрослых)</t>
        </is>
      </c>
      <c r="L1709" s="2" t="inlineStr">
        <is>
          <t>https://animator.ru/db/?p=show_film&amp;fid=3915</t>
        </is>
      </c>
      <c r="M1709" s="2">
        <f>HYPERLINK("https://ru.wikipedia.org/w/index.php?search=%D0%A1%D1%82%D0%B5%D0%BA%D0%BB%D1%8F%D0%BD%D0%BD%D1%8B%D0%B5%20%D0%B7%D0%B2%D0%B5%D0%B7%D0%B4%D1%8B%201991%20%D1%84%D0%B8%D0%BB%D1%8C%D0%BC","искать")</f>
        <v/>
      </c>
      <c r="N1709" s="3" t="n"/>
      <c r="O1709" s="2" t="n"/>
      <c r="P1709" s="2" t="n"/>
    </row>
    <row r="1710">
      <c r="A1710" s="2" t="n">
        <v>1709</v>
      </c>
      <c r="B1710" s="2" t="inlineStr">
        <is>
          <t>не сюжет</t>
        </is>
      </c>
      <c r="C1710" s="2" t="n">
        <v>12741</v>
      </c>
      <c r="D1710" s="3" t="inlineStr">
        <is>
          <t>Весенние забавы</t>
        </is>
      </c>
      <c r="E1710" s="2" t="n">
        <v>1989</v>
      </c>
      <c r="F1710" s="2" t="inlineStr">
        <is>
          <t>мультфильм</t>
        </is>
      </c>
      <c r="G1710" s="2" t="inlineStr">
        <is>
          <t>АЗЕРБАЙДЖАНФИЛЬМ</t>
        </is>
      </c>
      <c r="H1710" s="2" t="n">
        <v>68</v>
      </c>
      <c r="I1710" s="2" t="inlineStr"/>
      <c r="J1710" s="2" t="inlineStr">
        <is>
          <t>да</t>
        </is>
      </c>
      <c r="K1710" s="3" t="inlineStr">
        <is>
          <t>Мультипликационный фильм для детей по мотивам стихов Аллы Ахундовой.</t>
        </is>
      </c>
      <c r="L1710" s="2" t="inlineStr">
        <is>
          <t>2026-10_мультфильмы_список_владельца.xlsx; https://animator.ru/db/?p=show_film&amp;fid=3950</t>
        </is>
      </c>
      <c r="M1710" s="2">
        <f>HYPERLINK("https://ru.wikipedia.org/w/index.php?search=%D0%92%D0%B5%D1%81%D0%B5%D0%BD%D0%BD%D0%B8%D0%B5%20%D0%B7%D0%B0%D0%B1%D0%B0%D0%B2%D1%8B%201989%20%D1%84%D0%B8%D0%BB%D1%8C%D0%BC","искать")</f>
        <v/>
      </c>
      <c r="N1710" s="3" t="n"/>
      <c r="O1710" s="2" t="n"/>
      <c r="P1710" s="2" t="n"/>
    </row>
    <row r="1711">
      <c r="A1711" s="2" t="n">
        <v>1710</v>
      </c>
      <c r="B1711" s="2" t="inlineStr">
        <is>
          <t>не сюжет</t>
        </is>
      </c>
      <c r="C1711" s="2" t="n">
        <v>13889</v>
      </c>
      <c r="D1711" s="3" t="inlineStr">
        <is>
          <t>Алдар-Косе</t>
        </is>
      </c>
      <c r="E1711" s="2" t="n">
        <v>1975</v>
      </c>
      <c r="F1711" s="2" t="inlineStr">
        <is>
          <t>мультфильм</t>
        </is>
      </c>
      <c r="G1711" s="2" t="inlineStr">
        <is>
          <t>КАЗАХФИЛЬМ</t>
        </is>
      </c>
      <c r="H1711" s="2" t="n">
        <v>68</v>
      </c>
      <c r="I1711" s="2" t="inlineStr"/>
      <c r="J1711" s="2" t="inlineStr">
        <is>
          <t>да</t>
        </is>
      </c>
      <c r="K1711" s="3" t="inlineStr">
        <is>
          <t>По мотивам казахских сказок о мудром насмешнике, защитнике бедняков.</t>
        </is>
      </c>
      <c r="L1711" s="2" t="inlineStr">
        <is>
          <t>2026-10_мультфильмы_список_владельца.xlsx; https://animator.ru/db/?p=show_film&amp;fid=5282</t>
        </is>
      </c>
      <c r="M1711" s="2">
        <f>HYPERLINK("https://ru.wikipedia.org/w/index.php?search=%D0%90%D0%BB%D0%B4%D0%B0%D1%80-%D0%9A%D0%BE%D1%81%D0%B5%201975%20%D1%84%D0%B8%D0%BB%D1%8C%D0%BC","искать")</f>
        <v/>
      </c>
      <c r="N1711" s="3" t="n"/>
      <c r="O1711" s="2" t="n"/>
      <c r="P1711" s="2" t="n"/>
    </row>
    <row r="1712">
      <c r="A1712" s="2" t="n">
        <v>1711</v>
      </c>
      <c r="B1712" s="2" t="inlineStr">
        <is>
          <t>не сюжет</t>
        </is>
      </c>
      <c r="C1712" s="2" t="n">
        <v>13894</v>
      </c>
      <c r="D1712" s="3" t="inlineStr">
        <is>
          <t>Сказка о старом эхо</t>
        </is>
      </c>
      <c r="E1712" s="2" t="n">
        <v>1989</v>
      </c>
      <c r="F1712" s="2" t="inlineStr">
        <is>
          <t>мультфильм</t>
        </is>
      </c>
      <c r="G1712" s="2" t="inlineStr">
        <is>
          <t>ЭКРАН</t>
        </is>
      </c>
      <c r="H1712" s="2" t="n">
        <v>68</v>
      </c>
      <c r="I1712" s="2" t="inlineStr"/>
      <c r="J1712" s="2" t="inlineStr">
        <is>
          <t>да</t>
        </is>
      </c>
      <c r="K1712" s="3" t="inlineStr">
        <is>
          <t>О дружбе лисенка со старым другом его отца - лесным эхо. Для малышей</t>
        </is>
      </c>
      <c r="L1712" s="2" t="inlineStr">
        <is>
          <t>https://animator.ru/db/?p=show_film&amp;fid=5288</t>
        </is>
      </c>
      <c r="M1712" s="2">
        <f>HYPERLINK("https://ru.wikipedia.org/w/index.php?search=%D0%A1%D0%BA%D0%B0%D0%B7%D0%BA%D0%B0%20%D0%BE%20%D1%81%D1%82%D0%B0%D1%80%D0%BE%D0%BC%20%D1%8D%D1%85%D0%BE%201989%20%D1%84%D0%B8%D0%BB%D1%8C%D0%BC","искать")</f>
        <v/>
      </c>
      <c r="N1712" s="3" t="n"/>
      <c r="O1712" s="2" t="n"/>
      <c r="P1712" s="2" t="n"/>
    </row>
    <row r="1713">
      <c r="A1713" s="2" t="n">
        <v>1712</v>
      </c>
      <c r="B1713" s="2" t="inlineStr">
        <is>
          <t>не сюжет</t>
        </is>
      </c>
      <c r="C1713" s="2" t="n">
        <v>14103</v>
      </c>
      <c r="D1713" s="3" t="inlineStr">
        <is>
          <t>Все кувырком</t>
        </is>
      </c>
      <c r="E1713" s="2" t="n">
        <v>1973</v>
      </c>
      <c r="F1713" s="2" t="inlineStr">
        <is>
          <t>мультфильм</t>
        </is>
      </c>
      <c r="G1713" s="2" t="inlineStr">
        <is>
          <t>САРАТОВТЕЛЕФИЛЬМ</t>
        </is>
      </c>
      <c r="H1713" s="2" t="n">
        <v>68</v>
      </c>
      <c r="I1713" s="2" t="inlineStr"/>
      <c r="J1713" s="2" t="inlineStr">
        <is>
          <t>да</t>
        </is>
      </c>
      <c r="K1713" s="3" t="inlineStr">
        <is>
          <t>По мотивам сказок английского писателя Дональда Биссета. Черно-белый</t>
        </is>
      </c>
      <c r="L1713" s="2" t="inlineStr">
        <is>
          <t>https://animator.ru/db/?p=show_film&amp;fid=5501</t>
        </is>
      </c>
      <c r="M1713" s="2">
        <f>HYPERLINK("https://ru.wikipedia.org/w/index.php?search=%D0%92%D1%81%D0%B5%20%D0%BA%D1%83%D0%B2%D1%8B%D1%80%D0%BA%D0%BE%D0%BC%201973%20%D1%84%D0%B8%D0%BB%D1%8C%D0%BC","искать")</f>
        <v/>
      </c>
      <c r="N1713" s="3" t="n"/>
      <c r="O1713" s="2" t="n"/>
      <c r="P1713" s="2" t="n"/>
    </row>
    <row r="1714">
      <c r="A1714" s="2" t="n">
        <v>1713</v>
      </c>
      <c r="B1714" s="2" t="inlineStr">
        <is>
          <t>не сюжет</t>
        </is>
      </c>
      <c r="C1714" s="2" t="n">
        <v>14126</v>
      </c>
      <c r="D1714" s="3" t="inlineStr">
        <is>
          <t>Легко ли быть храбрым</t>
        </is>
      </c>
      <c r="E1714" s="2" t="n">
        <v>1975</v>
      </c>
      <c r="F1714" s="2" t="inlineStr">
        <is>
          <t>мультфильм</t>
        </is>
      </c>
      <c r="G1714" s="2" t="inlineStr">
        <is>
          <t>СВЕРДЛОВСКТЕЛЕФИЛЬМ</t>
        </is>
      </c>
      <c r="H1714" s="2" t="n">
        <v>68</v>
      </c>
      <c r="I1714" s="2" t="inlineStr"/>
      <c r="J1714" s="2" t="inlineStr">
        <is>
          <t>да</t>
        </is>
      </c>
      <c r="K1714" s="3" t="inlineStr">
        <is>
          <t>Как герои фильма поняли: что с другом ничего не страшно. Для малышей</t>
        </is>
      </c>
      <c r="L1714" s="2" t="inlineStr">
        <is>
          <t>https://animator.ru/db/?p=show_film&amp;fid=5524</t>
        </is>
      </c>
      <c r="M1714" s="2">
        <f>HYPERLINK("https://ru.wikipedia.org/w/index.php?search=%D0%9B%D0%B5%D0%B3%D0%BA%D0%BE%20%D0%BB%D0%B8%20%D0%B1%D1%8B%D1%82%D1%8C%20%D1%85%D1%80%D0%B0%D0%B1%D1%80%D1%8B%D0%BC%201975%20%D1%84%D0%B8%D0%BB%D1%8C%D0%BC","искать")</f>
        <v/>
      </c>
      <c r="N1714" s="3" t="n"/>
      <c r="O1714" s="2" t="n"/>
      <c r="P1714" s="2" t="n"/>
    </row>
    <row r="1715">
      <c r="A1715" s="2" t="n">
        <v>1714</v>
      </c>
      <c r="B1715" s="2" t="inlineStr">
        <is>
          <t>не сюжет</t>
        </is>
      </c>
      <c r="C1715" s="2" t="n">
        <v>14128</v>
      </c>
      <c r="D1715" s="3" t="inlineStr">
        <is>
          <t>ЛЕСНЫЕ СКАЗКИ. Фильм второй</t>
        </is>
      </c>
      <c r="E1715" s="2" t="n">
        <v>1987</v>
      </c>
      <c r="F1715" s="2" t="inlineStr">
        <is>
          <t>мультфильм</t>
        </is>
      </c>
      <c r="G1715" s="2" t="inlineStr">
        <is>
          <t>КУЙБЫШЕВТЕЛЕФИЛЬМ</t>
        </is>
      </c>
      <c r="H1715" s="2" t="n">
        <v>68</v>
      </c>
      <c r="I1715" s="2" t="inlineStr"/>
      <c r="J1715" s="2" t="inlineStr">
        <is>
          <t>да</t>
        </is>
      </c>
      <c r="K1715" s="3" t="inlineStr">
        <is>
          <t>По мотивам сказок Братьев Бондаренко "Особое место", "Пес" и "Арбуз"</t>
        </is>
      </c>
      <c r="L1715" s="2" t="inlineStr">
        <is>
          <t>https://animator.ru/db/?p=show_film&amp;fid=5526</t>
        </is>
      </c>
      <c r="M1715" s="2">
        <f>HYPERLINK("https://ru.wikipedia.org/w/index.php?search=%D0%9B%D0%95%D0%A1%D0%9D%D0%AB%D0%95%20%D0%A1%D0%9A%D0%90%D0%97%D0%9A%D0%98.%20%D0%A4%D0%B8%D0%BB%D1%8C%D0%BC%20%D0%B2%D1%82%D0%BE%D1%80%D0%BE%D0%B9%201987%20%D1%84%D0%B8%D0%BB%D1%8C%D0%BC","искать")</f>
        <v/>
      </c>
      <c r="N1715" s="3" t="n"/>
      <c r="O1715" s="2" t="n"/>
      <c r="P1715" s="2" t="n"/>
    </row>
    <row r="1716">
      <c r="A1716" s="2" t="n">
        <v>1715</v>
      </c>
      <c r="B1716" s="2" t="inlineStr">
        <is>
          <t>не сюжет</t>
        </is>
      </c>
      <c r="C1716" s="2" t="n">
        <v>7558</v>
      </c>
      <c r="D1716" s="3" t="inlineStr">
        <is>
          <t>Дочь Ганга</t>
        </is>
      </c>
      <c r="E1716" s="2" t="n">
        <v>1961</v>
      </c>
      <c r="F1716" s="2" t="inlineStr">
        <is>
          <t>телефильм</t>
        </is>
      </c>
      <c r="G1716" s="2" t="n"/>
      <c r="H1716" s="2" t="n">
        <v>69</v>
      </c>
      <c r="I1716" s="2" t="inlineStr"/>
      <c r="J1716" s="2" t="inlineStr">
        <is>
          <t>да</t>
        </is>
      </c>
      <c r="K1716" s="3" t="inlineStr">
        <is>
          <t>Первый узбекский телефильм по  роману Рабиндраната Тагора "Крушение".</t>
        </is>
      </c>
      <c r="L1716" s="2" t="inlineStr">
        <is>
          <t>Кино_СССР сводный каталог.xlsx: список телефильмов</t>
        </is>
      </c>
      <c r="M1716" s="2">
        <f>HYPERLINK("https://ru.wikipedia.org/w/index.php?search=%D0%94%D0%BE%D1%87%D1%8C%20%D0%93%D0%B0%D0%BD%D0%B3%D0%B0%201961%20%D1%84%D0%B8%D0%BB%D1%8C%D0%BC","искать")</f>
        <v/>
      </c>
      <c r="N1716" s="3" t="n"/>
      <c r="O1716" s="2" t="n"/>
      <c r="P1716" s="2" t="n"/>
    </row>
    <row r="1717">
      <c r="A1717" s="2" t="n">
        <v>1716</v>
      </c>
      <c r="B1717" s="2" t="inlineStr">
        <is>
          <t>не сюжет</t>
        </is>
      </c>
      <c r="C1717" s="2" t="n">
        <v>7576</v>
      </c>
      <c r="D1717" s="3" t="inlineStr">
        <is>
          <t>Если мы вместе</t>
        </is>
      </c>
      <c r="E1717" s="2" t="n">
        <v>1975</v>
      </c>
      <c r="F1717" s="2" t="inlineStr">
        <is>
          <t>телефильм</t>
        </is>
      </c>
      <c r="G1717" s="2" t="n"/>
      <c r="H1717" s="2" t="n">
        <v>69</v>
      </c>
      <c r="I1717" s="2" t="inlineStr"/>
      <c r="J1717" s="2" t="inlineStr">
        <is>
          <t>да</t>
        </is>
      </c>
      <c r="K1717" s="3" t="inlineStr">
        <is>
          <t>Телефильм, посвящается молодежи только, что окончившей среднюю школу.</t>
        </is>
      </c>
      <c r="L1717" s="2" t="inlineStr">
        <is>
          <t>Кино_СССР сводный каталог.xlsx: список телефильмов</t>
        </is>
      </c>
      <c r="M1717" s="2">
        <f>HYPERLINK("https://ru.wikipedia.org/w/index.php?search=%D0%95%D1%81%D0%BB%D0%B8%20%D0%BC%D1%8B%20%D0%B2%D0%BC%D0%B5%D1%81%D1%82%D0%B5%201975%20%D1%84%D0%B8%D0%BB%D1%8C%D0%BC","искать")</f>
        <v/>
      </c>
      <c r="N1717" s="3" t="n"/>
      <c r="O1717" s="2" t="n"/>
      <c r="P1717" s="2" t="n"/>
    </row>
    <row r="1718">
      <c r="A1718" s="2" t="n">
        <v>1717</v>
      </c>
      <c r="B1718" s="2" t="inlineStr">
        <is>
          <t>не сюжет</t>
        </is>
      </c>
      <c r="C1718" s="2" t="n">
        <v>11729</v>
      </c>
      <c r="D1718" s="3" t="inlineStr">
        <is>
          <t>Веселая карусель n 6. Путаница</t>
        </is>
      </c>
      <c r="E1718" s="2" t="n">
        <v>1974</v>
      </c>
      <c r="F1718" s="2" t="inlineStr">
        <is>
          <t>мультфильм</t>
        </is>
      </c>
      <c r="G1718" s="2" t="inlineStr">
        <is>
          <t>Союзмультфильм</t>
        </is>
      </c>
      <c r="H1718" s="2" t="n">
        <v>69</v>
      </c>
      <c r="I1718" s="2" t="inlineStr"/>
      <c r="J1718" s="2" t="inlineStr">
        <is>
          <t>да</t>
        </is>
      </c>
      <c r="K1718" s="3" t="inlineStr">
        <is>
          <t>Сюжет из альманаха «ВЕСЕЛАЯ КАРУСЕЛЬ N 6»
По стихотворению Чуковского</t>
        </is>
      </c>
      <c r="L1718" s="2" t="inlineStr">
        <is>
          <t>https://animator.ru/db/?p=show_film&amp;fid=2643</t>
        </is>
      </c>
      <c r="M1718" s="2">
        <f>HYPERLINK("https://ru.wikipedia.org/w/index.php?search=%D0%92%D0%B5%D1%81%D0%B5%D0%BB%D0%B0%D1%8F%20%D0%BA%D0%B0%D1%80%D1%83%D1%81%D0%B5%D0%BB%D1%8C%20n%206.%20%D0%9F%D1%83%D1%82%D0%B0%D0%BD%D0%B8%D1%86%D0%B0%201974%20%D1%84%D0%B8%D0%BB%D1%8C%D0%BC","искать")</f>
        <v/>
      </c>
      <c r="N1718" s="3" t="n"/>
      <c r="O1718" s="2" t="n"/>
      <c r="P1718" s="2" t="n"/>
    </row>
    <row r="1719">
      <c r="A1719" s="2" t="n">
        <v>1718</v>
      </c>
      <c r="B1719" s="2" t="inlineStr">
        <is>
          <t>не сюжет</t>
        </is>
      </c>
      <c r="C1719" s="2" t="n">
        <v>11735</v>
      </c>
      <c r="D1719" s="3" t="inlineStr">
        <is>
          <t>Заяц Коська и родничок</t>
        </is>
      </c>
      <c r="E1719" s="2" t="n">
        <v>1974</v>
      </c>
      <c r="F1719" s="2" t="inlineStr">
        <is>
          <t>мультфильм</t>
        </is>
      </c>
      <c r="G1719" s="2" t="inlineStr">
        <is>
          <t>Союзмультфильм</t>
        </is>
      </c>
      <c r="H1719" s="2" t="n">
        <v>69</v>
      </c>
      <c r="I1719" s="2" t="inlineStr"/>
      <c r="J1719" s="2" t="inlineStr">
        <is>
          <t>да</t>
        </is>
      </c>
      <c r="K1719" s="3" t="inlineStr">
        <is>
          <t>Познавательный фильм для самых маленьких о круговороте воды в природе</t>
        </is>
      </c>
      <c r="L1719" s="2" t="inlineStr">
        <is>
          <t>https://animator.ru/db/?p=show_film&amp;fid=2649</t>
        </is>
      </c>
      <c r="M1719" s="2">
        <f>HYPERLINK("https://ru.wikipedia.org/w/index.php?search=%D0%97%D0%B0%D1%8F%D1%86%20%D0%9A%D0%BE%D1%81%D1%8C%D0%BA%D0%B0%20%D0%B8%20%D1%80%D0%BE%D0%B4%D0%BD%D0%B8%D1%87%D0%BE%D0%BA%201974%20%D1%84%D0%B8%D0%BB%D1%8C%D0%BC","искать")</f>
        <v/>
      </c>
      <c r="N1719" s="3" t="n"/>
      <c r="O1719" s="2" t="n"/>
      <c r="P1719" s="2" t="n"/>
    </row>
    <row r="1720">
      <c r="A1720" s="2" t="n">
        <v>1719</v>
      </c>
      <c r="B1720" s="2" t="inlineStr">
        <is>
          <t>не сюжет</t>
        </is>
      </c>
      <c r="C1720" s="2" t="n">
        <v>11761</v>
      </c>
      <c r="D1720" s="3" t="inlineStr">
        <is>
          <t>Юморески (выпуск 3)</t>
        </is>
      </c>
      <c r="E1720" s="2" t="n">
        <v>1974</v>
      </c>
      <c r="F1720" s="2" t="inlineStr">
        <is>
          <t>мультфильм</t>
        </is>
      </c>
      <c r="G1720" s="2" t="inlineStr">
        <is>
          <t>Союзмультфильм</t>
        </is>
      </c>
      <c r="H1720" s="2" t="n">
        <v>69</v>
      </c>
      <c r="I1720" s="2" t="inlineStr"/>
      <c r="J1720" s="2" t="inlineStr">
        <is>
          <t>да</t>
        </is>
      </c>
      <c r="K1720" s="3" t="inlineStr">
        <is>
          <t>Два сюжета об отношениях человека к памятникам культуры. Для взрослых</t>
        </is>
      </c>
      <c r="L1720" s="2" t="inlineStr">
        <is>
          <t>https://animator.ru/db/?p=show_film&amp;fid=2675</t>
        </is>
      </c>
      <c r="M1720" s="2">
        <f>HYPERLINK("https://ru.wikipedia.org/w/index.php?search=%D0%AE%D0%BC%D0%BE%D1%80%D0%B5%D1%81%D0%BA%D0%B8%20%28%D0%B2%D1%8B%D0%BF%D1%83%D1%81%D0%BA%203%29%201974%20%D1%84%D0%B8%D0%BB%D1%8C%D0%BC","искать")</f>
        <v/>
      </c>
      <c r="N1720" s="3" t="n"/>
      <c r="O1720" s="2" t="n"/>
      <c r="P1720" s="2" t="n"/>
    </row>
    <row r="1721">
      <c r="A1721" s="2" t="n">
        <v>1720</v>
      </c>
      <c r="B1721" s="2" t="inlineStr">
        <is>
          <t>не сюжет</t>
        </is>
      </c>
      <c r="C1721" s="2" t="n">
        <v>11765</v>
      </c>
      <c r="D1721" s="3" t="inlineStr">
        <is>
          <t>Веселая карусель n 7. Глупая лошадь</t>
        </is>
      </c>
      <c r="E1721" s="2" t="n">
        <v>1975</v>
      </c>
      <c r="F1721" s="2" t="inlineStr">
        <is>
          <t>мультфильм</t>
        </is>
      </c>
      <c r="G1721" s="2" t="inlineStr">
        <is>
          <t>Союзмультфильм</t>
        </is>
      </c>
      <c r="H1721" s="2" t="n">
        <v>69</v>
      </c>
      <c r="I1721" s="2" t="inlineStr"/>
      <c r="J1721" s="2" t="inlineStr">
        <is>
          <t>да</t>
        </is>
      </c>
      <c r="K1721" s="3" t="inlineStr">
        <is>
          <t>Сюжет из альманаха «ВЕСЕЛАЯ КАРУСЕЛЬ N 7»
Экранизация детской песенки</t>
        </is>
      </c>
      <c r="L1721" s="2" t="inlineStr">
        <is>
          <t>https://animator.ru/db/?p=show_film&amp;fid=2679</t>
        </is>
      </c>
      <c r="M1721" s="2">
        <f>HYPERLINK("https://ru.wikipedia.org/w/index.php?search=%D0%92%D0%B5%D1%81%D0%B5%D0%BB%D0%B0%D1%8F%20%D0%BA%D0%B0%D1%80%D1%83%D1%81%D0%B5%D0%BB%D1%8C%20n%207.%20%D0%93%D0%BB%D1%83%D0%BF%D0%B0%D1%8F%20%D0%BB%D0%BE%D1%88%D0%B0%D0%B4%D1%8C%201975%20%D1%84%D0%B8%D0%BB%D1%8C%D0%BC","искать")</f>
        <v/>
      </c>
      <c r="N1721" s="3" t="n"/>
      <c r="O1721" s="2" t="n"/>
      <c r="P1721" s="2" t="n"/>
    </row>
    <row r="1722">
      <c r="A1722" s="2" t="n">
        <v>1721</v>
      </c>
      <c r="B1722" s="2" t="inlineStr">
        <is>
          <t>не сюжет</t>
        </is>
      </c>
      <c r="C1722" s="2" t="n">
        <v>11896</v>
      </c>
      <c r="D1722" s="3" t="inlineStr">
        <is>
          <t>Веселая карусель n 8. Апельсин</t>
        </is>
      </c>
      <c r="E1722" s="2" t="n">
        <v>1976</v>
      </c>
      <c r="F1722" s="2" t="inlineStr">
        <is>
          <t>мультфильм</t>
        </is>
      </c>
      <c r="G1722" s="2" t="inlineStr">
        <is>
          <t>Союзмультфильм</t>
        </is>
      </c>
      <c r="H1722" s="2" t="n">
        <v>69</v>
      </c>
      <c r="I1722" s="2" t="inlineStr"/>
      <c r="J1722" s="2" t="inlineStr">
        <is>
          <t>да</t>
        </is>
      </c>
      <c r="K1722" s="3" t="inlineStr">
        <is>
          <t>Сюжет из альманаха «ВЕСЕЛАЯ КАРУСЕЛЬ N 8»
По стихотворению Л.Зубковой</t>
        </is>
      </c>
      <c r="L1722" s="2" t="inlineStr">
        <is>
          <t>https://animator.ru/db/?p=show_film&amp;fid=2811</t>
        </is>
      </c>
      <c r="M1722" s="2">
        <f>HYPERLINK("https://ru.wikipedia.org/w/index.php?search=%D0%92%D0%B5%D1%81%D0%B5%D0%BB%D0%B0%D1%8F%20%D0%BA%D0%B0%D1%80%D1%83%D1%81%D0%B5%D0%BB%D1%8C%20n%208.%20%D0%90%D0%BF%D0%B5%D0%BB%D1%8C%D1%81%D0%B8%D0%BD%201976%20%D1%84%D0%B8%D0%BB%D1%8C%D0%BC","искать")</f>
        <v/>
      </c>
      <c r="N1722" s="3" t="n"/>
      <c r="O1722" s="2" t="n"/>
      <c r="P1722" s="2" t="n"/>
    </row>
    <row r="1723">
      <c r="A1723" s="2" t="n">
        <v>1722</v>
      </c>
      <c r="B1723" s="2" t="inlineStr">
        <is>
          <t>не сюжет</t>
        </is>
      </c>
      <c r="C1723" s="2" t="n">
        <v>11917</v>
      </c>
      <c r="D1723" s="3" t="inlineStr">
        <is>
          <t>Пер Гюнт</t>
        </is>
      </c>
      <c r="E1723" s="2" t="n">
        <v>1979</v>
      </c>
      <c r="F1723" s="2" t="inlineStr">
        <is>
          <t>мультфильм</t>
        </is>
      </c>
      <c r="G1723" s="2" t="inlineStr">
        <is>
          <t>Союзмультфильм</t>
        </is>
      </c>
      <c r="H1723" s="2" t="n">
        <v>69</v>
      </c>
      <c r="I1723" s="2" t="inlineStr"/>
      <c r="J1723" s="2" t="inlineStr">
        <is>
          <t>да</t>
        </is>
      </c>
      <c r="K1723" s="3" t="inlineStr">
        <is>
          <t>По мотивам пьесы Генрика Ибсена и музыкальной фантазии Эдварда Грига.</t>
        </is>
      </c>
      <c r="L1723" s="2" t="inlineStr">
        <is>
          <t>2026-10_мультфильмы_список_владельца.xlsx; https://animator.ru/db/?p=show_film&amp;fid=2832</t>
        </is>
      </c>
      <c r="M1723" s="2">
        <f>HYPERLINK("https://ru.wikipedia.org/w/index.php?search=%D0%9F%D0%B5%D1%80%20%D0%93%D1%8E%D0%BD%D1%82%201979%20%D1%84%D0%B8%D0%BB%D1%8C%D0%BC","искать")</f>
        <v/>
      </c>
      <c r="N1723" s="3" t="n"/>
      <c r="O1723" s="2" t="n"/>
      <c r="P1723" s="2" t="n"/>
    </row>
    <row r="1724">
      <c r="A1724" s="2" t="n">
        <v>1723</v>
      </c>
      <c r="B1724" s="2" t="inlineStr">
        <is>
          <t>не сюжет</t>
        </is>
      </c>
      <c r="C1724" s="2" t="n">
        <v>12179</v>
      </c>
      <c r="D1724" s="3" t="inlineStr">
        <is>
          <t>Легенда о Сальери</t>
        </is>
      </c>
      <c r="E1724" s="2" t="n">
        <v>1986</v>
      </c>
      <c r="F1724" s="2" t="inlineStr">
        <is>
          <t>мультфильм</t>
        </is>
      </c>
      <c r="G1724" s="2" t="inlineStr">
        <is>
          <t>Союзмультфильм</t>
        </is>
      </c>
      <c r="H1724" s="2" t="n">
        <v>69</v>
      </c>
      <c r="I1724" s="2" t="inlineStr"/>
      <c r="J1724" s="2" t="inlineStr">
        <is>
          <t>да</t>
        </is>
      </c>
      <c r="K1724" s="3" t="inlineStr">
        <is>
          <t>По мотивам одноименной трагедии Пушкина. Использована музыка Моцарта.</t>
        </is>
      </c>
      <c r="L1724" s="2" t="inlineStr">
        <is>
          <t>2026-10_мультфильмы_список_владельца.xlsx; https://animator.ru/db/?p=show_film&amp;fid=3295</t>
        </is>
      </c>
      <c r="M1724" s="2">
        <f>HYPERLINK("https://ru.wikipedia.org/w/index.php?search=%D0%9B%D0%B5%D0%B3%D0%B5%D0%BD%D0%B4%D0%B0%20%D0%BE%20%D0%A1%D0%B0%D0%BB%D1%8C%D0%B5%D1%80%D0%B8%201986%20%D1%84%D0%B8%D0%BB%D1%8C%D0%BC","искать")</f>
        <v/>
      </c>
      <c r="N1724" s="3" t="n"/>
      <c r="O1724" s="2" t="n"/>
      <c r="P1724" s="2" t="n"/>
    </row>
    <row r="1725">
      <c r="A1725" s="2" t="n">
        <v>1724</v>
      </c>
      <c r="B1725" s="2" t="inlineStr">
        <is>
          <t>не сюжет</t>
        </is>
      </c>
      <c r="C1725" s="2" t="n">
        <v>12265</v>
      </c>
      <c r="D1725" s="3" t="inlineStr">
        <is>
          <t>Веселая карусель n 20. Две руки</t>
        </is>
      </c>
      <c r="E1725" s="2" t="n">
        <v>1990</v>
      </c>
      <c r="F1725" s="2" t="inlineStr">
        <is>
          <t>мультфильм</t>
        </is>
      </c>
      <c r="G1725" s="2" t="inlineStr">
        <is>
          <t>Союзмультфильм</t>
        </is>
      </c>
      <c r="H1725" s="2" t="n">
        <v>69</v>
      </c>
      <c r="I1725" s="2" t="inlineStr"/>
      <c r="J1725" s="2" t="inlineStr">
        <is>
          <t>да</t>
        </is>
      </c>
      <c r="K1725" s="3" t="inlineStr">
        <is>
          <t>Сюжет из альманаха «ВЕСЕЛАЯ КАРУСЕЛЬ N 20»
По стихотворению А.Шлыгина</t>
        </is>
      </c>
      <c r="L1725" s="2" t="inlineStr">
        <is>
          <t>https://animator.ru/db/?p=show_film&amp;fid=3382</t>
        </is>
      </c>
      <c r="M1725" s="2">
        <f>HYPERLINK("https://ru.wikipedia.org/w/index.php?search=%D0%92%D0%B5%D1%81%D0%B5%D0%BB%D0%B0%D1%8F%20%D0%BA%D0%B0%D1%80%D1%83%D1%81%D0%B5%D0%BB%D1%8C%20n%2020.%20%D0%94%D0%B2%D0%B5%20%D1%80%D1%83%D0%BA%D0%B8%201990%20%D1%84%D0%B8%D0%BB%D1%8C%D0%BC","искать")</f>
        <v/>
      </c>
      <c r="N1725" s="3" t="n"/>
      <c r="O1725" s="2" t="n"/>
      <c r="P1725" s="2" t="n"/>
    </row>
    <row r="1726">
      <c r="A1726" s="2" t="n">
        <v>1725</v>
      </c>
      <c r="B1726" s="2" t="inlineStr">
        <is>
          <t>не сюжет</t>
        </is>
      </c>
      <c r="C1726" s="2" t="n">
        <v>12390</v>
      </c>
      <c r="D1726" s="3" t="inlineStr">
        <is>
          <t>Играй, моя дудочка</t>
        </is>
      </c>
      <c r="E1726" s="2" t="n">
        <v>1973</v>
      </c>
      <c r="F1726" s="2" t="inlineStr">
        <is>
          <t>мультфильм</t>
        </is>
      </c>
      <c r="G1726" s="2" t="inlineStr">
        <is>
          <t>КИЕВНАУЧФИЛЬМ</t>
        </is>
      </c>
      <c r="H1726" s="2" t="n">
        <v>69</v>
      </c>
      <c r="I1726" s="2" t="inlineStr"/>
      <c r="J1726" s="2" t="inlineStr">
        <is>
          <t>да</t>
        </is>
      </c>
      <c r="K1726" s="3" t="inlineStr">
        <is>
          <t>Взрослые, будьте внимательны к способностям своих детей! Для взрослых</t>
        </is>
      </c>
      <c r="L1726" s="2" t="inlineStr">
        <is>
          <t>https://animator.ru/db/?p=show_film&amp;fid=3561</t>
        </is>
      </c>
      <c r="M1726" s="2">
        <f>HYPERLINK("https://ru.wikipedia.org/w/index.php?search=%D0%98%D0%B3%D1%80%D0%B0%D0%B9%2C%20%D0%BC%D0%BE%D1%8F%20%D0%B4%D1%83%D0%B4%D0%BE%D1%87%D0%BA%D0%B0%201973%20%D1%84%D0%B8%D0%BB%D1%8C%D0%BC","искать")</f>
        <v/>
      </c>
      <c r="N1726" s="3" t="n"/>
      <c r="O1726" s="2" t="n"/>
      <c r="P1726" s="2" t="n"/>
    </row>
    <row r="1727">
      <c r="A1727" s="2" t="n">
        <v>1726</v>
      </c>
      <c r="B1727" s="2" t="inlineStr">
        <is>
          <t>не сюжет</t>
        </is>
      </c>
      <c r="C1727" s="2" t="n">
        <v>12586</v>
      </c>
      <c r="D1727" s="3" t="inlineStr">
        <is>
          <t>Тук-тук на охоте</t>
        </is>
      </c>
      <c r="E1727" s="2" t="n">
        <v>1930</v>
      </c>
      <c r="F1727" s="2" t="inlineStr">
        <is>
          <t>мультфильм</t>
        </is>
      </c>
      <c r="G1727" s="2" t="inlineStr">
        <is>
          <t>Одесская ф-ка ВУФКУ</t>
        </is>
      </c>
      <c r="H1727" s="2" t="n">
        <v>69</v>
      </c>
      <c r="I1727" s="2" t="inlineStr"/>
      <c r="J1727" s="2" t="inlineStr">
        <is>
          <t>да</t>
        </is>
      </c>
      <c r="K1727" s="3" t="inlineStr">
        <is>
          <t>Фильм не закончен. Возможно работа над фильмом продолжалась до 1932 г</t>
        </is>
      </c>
      <c r="L1727" s="2" t="inlineStr">
        <is>
          <t>https://animator.ru/db/?p=show_film&amp;fid=3766</t>
        </is>
      </c>
      <c r="M1727" s="2">
        <f>HYPERLINK("https://ru.wikipedia.org/w/index.php?search=%D0%A2%D1%83%D0%BA-%D1%82%D1%83%D0%BA%20%D0%BD%D0%B0%20%D0%BE%D1%85%D0%BE%D1%82%D0%B5%201930%20%D1%84%D0%B8%D0%BB%D1%8C%D0%BC","искать")</f>
        <v/>
      </c>
      <c r="N1727" s="3" t="n"/>
      <c r="O1727" s="2" t="n"/>
      <c r="P1727" s="2" t="n"/>
    </row>
    <row r="1728">
      <c r="A1728" s="2" t="n">
        <v>1727</v>
      </c>
      <c r="B1728" s="2" t="inlineStr">
        <is>
          <t>не сюжет</t>
        </is>
      </c>
      <c r="C1728" s="2" t="n">
        <v>12765</v>
      </c>
      <c r="D1728" s="3" t="inlineStr">
        <is>
          <t>Каменная соль</t>
        </is>
      </c>
      <c r="E1728" s="2" t="n">
        <v>1987</v>
      </c>
      <c r="F1728" s="2" t="inlineStr">
        <is>
          <t>мультфильм</t>
        </is>
      </c>
      <c r="G1728" s="2" t="inlineStr">
        <is>
          <t>АРМЕНФИЛЬМ</t>
        </is>
      </c>
      <c r="H1728" s="2" t="n">
        <v>69</v>
      </c>
      <c r="I1728" s="2" t="inlineStr"/>
      <c r="J1728" s="2" t="inlineStr">
        <is>
          <t>да</t>
        </is>
      </c>
      <c r="K1728" s="3" t="inlineStr">
        <is>
          <t>По мотивам басни Вардана Айгекцы "Рай и крестьянин". О защите природы</t>
        </is>
      </c>
      <c r="L1728" s="2" t="inlineStr">
        <is>
          <t>https://animator.ru/db/?p=show_film&amp;fid=3974</t>
        </is>
      </c>
      <c r="M1728" s="2">
        <f>HYPERLINK("https://ru.wikipedia.org/w/index.php?search=%D0%9A%D0%B0%D0%BC%D0%B5%D0%BD%D0%BD%D0%B0%D1%8F%20%D1%81%D0%BE%D0%BB%D1%8C%201987%20%D1%84%D0%B8%D0%BB%D1%8C%D0%BC","искать")</f>
        <v/>
      </c>
      <c r="N1728" s="3" t="n"/>
      <c r="O1728" s="2" t="n"/>
      <c r="P1728" s="2" t="n"/>
    </row>
    <row r="1729">
      <c r="A1729" s="2" t="n">
        <v>1728</v>
      </c>
      <c r="B1729" s="2" t="inlineStr">
        <is>
          <t>не сюжет</t>
        </is>
      </c>
      <c r="C1729" s="2" t="n">
        <v>12887</v>
      </c>
      <c r="D1729" s="3" t="inlineStr">
        <is>
          <t>Мудрец и осел</t>
        </is>
      </c>
      <c r="E1729" s="2" t="n">
        <v>1978</v>
      </c>
      <c r="F1729" s="2" t="inlineStr">
        <is>
          <t>мультфильм</t>
        </is>
      </c>
      <c r="G1729" s="2" t="inlineStr">
        <is>
          <t>ГРУЗИЯ-ФИЛЬМ - АО</t>
        </is>
      </c>
      <c r="H1729" s="2" t="n">
        <v>69</v>
      </c>
      <c r="I1729" s="2" t="inlineStr"/>
      <c r="J1729" s="2" t="inlineStr">
        <is>
          <t>да</t>
        </is>
      </c>
      <c r="K1729" s="3" t="inlineStr">
        <is>
          <t>О лжемудреце, который оказался глупее собственного осла. Для взрослых</t>
        </is>
      </c>
      <c r="L1729" s="2" t="inlineStr">
        <is>
          <t>https://animator.ru/db/?p=show_film&amp;fid=4117</t>
        </is>
      </c>
      <c r="M1729" s="2">
        <f>HYPERLINK("https://ru.wikipedia.org/w/index.php?search=%D0%9C%D1%83%D0%B4%D1%80%D0%B5%D1%86%20%D0%B8%20%D0%BE%D1%81%D0%B5%D0%BB%201978%20%D1%84%D0%B8%D0%BB%D1%8C%D0%BC","искать")</f>
        <v/>
      </c>
      <c r="N1729" s="3" t="n"/>
      <c r="O1729" s="2" t="n"/>
      <c r="P1729" s="2" t="n"/>
    </row>
    <row r="1730">
      <c r="A1730" s="2" t="n">
        <v>1729</v>
      </c>
      <c r="B1730" s="2" t="inlineStr">
        <is>
          <t>не сюжет</t>
        </is>
      </c>
      <c r="C1730" s="2" t="n">
        <v>13069</v>
      </c>
      <c r="D1730" s="3" t="inlineStr">
        <is>
          <t>Волшебный скрипач</t>
        </is>
      </c>
      <c r="E1730" s="2" t="n">
        <v>1974</v>
      </c>
      <c r="F1730" s="2" t="inlineStr">
        <is>
          <t>мультфильм</t>
        </is>
      </c>
      <c r="G1730" s="2" t="inlineStr">
        <is>
          <t>ГОСТЕЛЕРАДИО ЛАТВ. ССР ("ТЕЛЕФИЛЬМ-РИГА")</t>
        </is>
      </c>
      <c r="H1730" s="2" t="n">
        <v>69</v>
      </c>
      <c r="I1730" s="2" t="inlineStr"/>
      <c r="J1730" s="2" t="inlineStr">
        <is>
          <t>да</t>
        </is>
      </c>
      <c r="K1730" s="3" t="inlineStr">
        <is>
          <t>По мотивам стихотворения В.Людена "О кузнечике-скрипаче". Для малышей</t>
        </is>
      </c>
      <c r="L1730" s="2" t="inlineStr">
        <is>
          <t>https://animator.ru/db/?p=show_film&amp;fid=4301</t>
        </is>
      </c>
      <c r="M1730" s="2">
        <f>HYPERLINK("https://ru.wikipedia.org/w/index.php?search=%D0%92%D0%BE%D0%BB%D1%88%D0%B5%D0%B1%D0%BD%D1%8B%D0%B9%20%D1%81%D0%BA%D1%80%D0%B8%D0%BF%D0%B0%D1%87%201974%20%D1%84%D0%B8%D0%BB%D1%8C%D0%BC","искать")</f>
        <v/>
      </c>
      <c r="N1730" s="3" t="n"/>
      <c r="O1730" s="2" t="n"/>
      <c r="P1730" s="2" t="n"/>
    </row>
    <row r="1731">
      <c r="A1731" s="2" t="n">
        <v>1730</v>
      </c>
      <c r="B1731" s="2" t="inlineStr">
        <is>
          <t>не сюжет</t>
        </is>
      </c>
      <c r="C1731" s="2" t="n">
        <v>13353</v>
      </c>
      <c r="D1731" s="3" t="inlineStr">
        <is>
          <t>Волшебный самовар</t>
        </is>
      </c>
      <c r="E1731" s="2" t="n">
        <v>1980</v>
      </c>
      <c r="F1731" s="2" t="inlineStr">
        <is>
          <t>мультфильм</t>
        </is>
      </c>
      <c r="G1731" s="2" t="inlineStr">
        <is>
          <t>УЗБЕКФИЛЬМ</t>
        </is>
      </c>
      <c r="H1731" s="2" t="n">
        <v>69</v>
      </c>
      <c r="I1731" s="2" t="inlineStr"/>
      <c r="J1731" s="2" t="inlineStr">
        <is>
          <t>да</t>
        </is>
      </c>
      <c r="K1731" s="3" t="inlineStr">
        <is>
          <t>Чудеса бывают не только в сказке - художник тоже может творить чудеса</t>
        </is>
      </c>
      <c r="L1731" s="2" t="inlineStr">
        <is>
          <t>https://animator.ru/db/?p=show_film&amp;fid=4631</t>
        </is>
      </c>
      <c r="M1731" s="2">
        <f>HYPERLINK("https://ru.wikipedia.org/w/index.php?search=%D0%92%D0%BE%D0%BB%D1%88%D0%B5%D0%B1%D0%BD%D1%8B%D0%B9%20%D1%81%D0%B0%D0%BC%D0%BE%D0%B2%D0%B0%D1%80%201980%20%D1%84%D0%B8%D0%BB%D1%8C%D0%BC","искать")</f>
        <v/>
      </c>
      <c r="N1731" s="3" t="n"/>
      <c r="O1731" s="2" t="n"/>
      <c r="P1731" s="2" t="n"/>
    </row>
    <row r="1732">
      <c r="A1732" s="2" t="n">
        <v>1731</v>
      </c>
      <c r="B1732" s="2" t="inlineStr">
        <is>
          <t>не сюжет</t>
        </is>
      </c>
      <c r="C1732" s="2" t="n">
        <v>13379</v>
      </c>
      <c r="D1732" s="3" t="inlineStr">
        <is>
          <t>Птичий праздник</t>
        </is>
      </c>
      <c r="E1732" s="2" t="n">
        <v>1976</v>
      </c>
      <c r="F1732" s="2" t="inlineStr">
        <is>
          <t>мультфильм</t>
        </is>
      </c>
      <c r="G1732" s="2" t="inlineStr">
        <is>
          <t>ЭКРАН</t>
        </is>
      </c>
      <c r="H1732" s="2" t="n">
        <v>69</v>
      </c>
      <c r="I1732" s="2" t="inlineStr"/>
      <c r="J1732" s="2" t="inlineStr">
        <is>
          <t>да</t>
        </is>
      </c>
      <c r="K1732" s="3" t="inlineStr">
        <is>
          <t>По сказке Овсея Дриза о дружбе мальчика с птицами. На музыку Вивальди</t>
        </is>
      </c>
      <c r="L1732" s="2" t="inlineStr">
        <is>
          <t>https://animator.ru/db/?p=show_film&amp;fid=4659</t>
        </is>
      </c>
      <c r="M1732" s="2">
        <f>HYPERLINK("https://ru.wikipedia.org/w/index.php?search=%D0%9F%D1%82%D0%B8%D1%87%D0%B8%D0%B9%20%D0%BF%D1%80%D0%B0%D0%B7%D0%B4%D0%BD%D0%B8%D0%BA%201976%20%D1%84%D0%B8%D0%BB%D1%8C%D0%BC","искать")</f>
        <v/>
      </c>
      <c r="N1732" s="3" t="n"/>
      <c r="O1732" s="2" t="n"/>
      <c r="P1732" s="2" t="n"/>
    </row>
    <row r="1733">
      <c r="A1733" s="2" t="n">
        <v>1732</v>
      </c>
      <c r="B1733" s="2" t="inlineStr">
        <is>
          <t>не сюжет</t>
        </is>
      </c>
      <c r="C1733" s="2" t="n">
        <v>13454</v>
      </c>
      <c r="D1733" s="3" t="inlineStr">
        <is>
          <t>Лебеди</t>
        </is>
      </c>
      <c r="E1733" s="2" t="n">
        <v>1983</v>
      </c>
      <c r="F1733" s="2" t="inlineStr">
        <is>
          <t>мультфильм</t>
        </is>
      </c>
      <c r="G1733" s="2" t="inlineStr">
        <is>
          <t>ЭКРАН</t>
        </is>
      </c>
      <c r="H1733" s="2" t="n">
        <v>69</v>
      </c>
      <c r="I1733" s="2" t="inlineStr"/>
      <c r="J1733" s="2" t="inlineStr">
        <is>
          <t>да</t>
        </is>
      </c>
      <c r="K1733" s="3" t="inlineStr">
        <is>
          <t>По мотивам рассказов Толстого "Лебеди", "Рассказ аэронавта", "Птичка"</t>
        </is>
      </c>
      <c r="L1733" s="2" t="inlineStr">
        <is>
          <t>https://animator.ru/db/?p=show_film&amp;fid=4735</t>
        </is>
      </c>
      <c r="M1733" s="2">
        <f>HYPERLINK("https://ru.wikipedia.org/w/index.php?search=%D0%9B%D0%B5%D0%B1%D0%B5%D0%B4%D0%B8%201983%20%D1%84%D0%B8%D0%BB%D1%8C%D0%BC","искать")</f>
        <v/>
      </c>
      <c r="N1733" s="3" t="n"/>
      <c r="O1733" s="2" t="n"/>
      <c r="P1733" s="2" t="n"/>
    </row>
    <row r="1734">
      <c r="A1734" s="2" t="n">
        <v>1733</v>
      </c>
      <c r="B1734" s="2" t="inlineStr">
        <is>
          <t>не сюжет</t>
        </is>
      </c>
      <c r="C1734" s="2" t="n">
        <v>13459</v>
      </c>
      <c r="D1734" s="3" t="inlineStr">
        <is>
          <t>Обратная сторона Луны</t>
        </is>
      </c>
      <c r="E1734" s="2" t="n">
        <v>1984</v>
      </c>
      <c r="F1734" s="2" t="inlineStr">
        <is>
          <t>мультфильм</t>
        </is>
      </c>
      <c r="G1734" s="2" t="inlineStr">
        <is>
          <t>ЭКРАН</t>
        </is>
      </c>
      <c r="H1734" s="2" t="n">
        <v>69</v>
      </c>
      <c r="I1734" s="2" t="inlineStr"/>
      <c r="J1734" s="2" t="inlineStr">
        <is>
          <t>да</t>
        </is>
      </c>
      <c r="K1734" s="3" t="inlineStr">
        <is>
          <t>Шуточный фильм о традиционном кавказском гостеприимстве. Для взрослых</t>
        </is>
      </c>
      <c r="L1734" s="2" t="inlineStr">
        <is>
          <t>https://animator.ru/db/?p=show_film&amp;fid=4740</t>
        </is>
      </c>
      <c r="M1734" s="2">
        <f>HYPERLINK("https://ru.wikipedia.org/w/index.php?search=%D0%9E%D0%B1%D1%80%D0%B0%D1%82%D0%BD%D0%B0%D1%8F%20%D1%81%D1%82%D0%BE%D1%80%D0%BE%D0%BD%D0%B0%20%D0%9B%D1%83%D0%BD%D1%8B%201984%20%D1%84%D0%B8%D0%BB%D1%8C%D0%BC","искать")</f>
        <v/>
      </c>
      <c r="N1734" s="3" t="n"/>
      <c r="O1734" s="2" t="n"/>
      <c r="P1734" s="2" t="n"/>
    </row>
    <row r="1735">
      <c r="A1735" s="2" t="n">
        <v>1734</v>
      </c>
      <c r="B1735" s="2" t="inlineStr">
        <is>
          <t>не сюжет</t>
        </is>
      </c>
      <c r="C1735" s="2" t="n">
        <v>13487</v>
      </c>
      <c r="D1735" s="3" t="inlineStr">
        <is>
          <t>Юрате и каститис</t>
        </is>
      </c>
      <c r="E1735" s="2" t="n">
        <v>1989</v>
      </c>
      <c r="F1735" s="2" t="inlineStr">
        <is>
          <t>мультфильм</t>
        </is>
      </c>
      <c r="G1735" s="2" t="inlineStr">
        <is>
          <t>ЛИТОВСКАЯ КИНОСТУДИЯ</t>
        </is>
      </c>
      <c r="H1735" s="2" t="n">
        <v>69</v>
      </c>
      <c r="I1735" s="2" t="inlineStr"/>
      <c r="J1735" s="2" t="inlineStr">
        <is>
          <t>да</t>
        </is>
      </c>
      <c r="K1735" s="3" t="inlineStr">
        <is>
          <t>По мотивам баллады Майрониса о любви морской богини и простого рыбака</t>
        </is>
      </c>
      <c r="L1735" s="2" t="inlineStr">
        <is>
          <t>https://animator.ru/db/?p=show_film&amp;fid=4777</t>
        </is>
      </c>
      <c r="M1735" s="2">
        <f>HYPERLINK("https://ru.wikipedia.org/w/index.php?search=%D0%AE%D1%80%D0%B0%D1%82%D0%B5%20%D0%B8%20%D0%BA%D0%B0%D1%81%D1%82%D0%B8%D1%82%D0%B8%D1%81%201989%20%D1%84%D0%B8%D0%BB%D1%8C%D0%BC","искать")</f>
        <v/>
      </c>
      <c r="N1735" s="3" t="n"/>
      <c r="O1735" s="2" t="n"/>
      <c r="P1735" s="2" t="n"/>
    </row>
    <row r="1736">
      <c r="A1736" s="2" t="n">
        <v>1735</v>
      </c>
      <c r="B1736" s="2" t="inlineStr">
        <is>
          <t>не сюжет</t>
        </is>
      </c>
      <c r="C1736" s="2" t="n">
        <v>13544</v>
      </c>
      <c r="D1736" s="3" t="inlineStr">
        <is>
          <t>Сборник микромультфильмов n 2. Святой осел</t>
        </is>
      </c>
      <c r="E1736" s="2" t="n">
        <v>1971</v>
      </c>
      <c r="F1736" s="2" t="inlineStr">
        <is>
          <t>мультфильм</t>
        </is>
      </c>
      <c r="G1736" s="2" t="inlineStr">
        <is>
          <t>КАЗАХФИЛЬМ</t>
        </is>
      </c>
      <c r="H1736" s="2" t="n">
        <v>69</v>
      </c>
      <c r="I1736" s="2" t="inlineStr"/>
      <c r="J1736" s="2" t="inlineStr">
        <is>
          <t>да</t>
        </is>
      </c>
      <c r="K1736" s="3" t="inlineStr">
        <is>
          <t>По мотивам казахской сказки, высмеивающий лицемерие служителей культа</t>
        </is>
      </c>
      <c r="L1736" s="2" t="inlineStr">
        <is>
          <t>https://animator.ru/db/?p=show_film&amp;fid=4864</t>
        </is>
      </c>
      <c r="M1736" s="2">
        <f>HYPERLINK("https://ru.wikipedia.org/w/index.php?search=%D0%A1%D0%B1%D0%BE%D1%80%D0%BD%D0%B8%D0%BA%20%D0%BC%D0%B8%D0%BA%D1%80%D0%BE%D0%BC%D1%83%D0%BB%D1%8C%D1%82%D1%84%D0%B8%D0%BB%D1%8C%D0%BC%D0%BE%D0%B2%20n%202.%20%D0%A1%D0%B2%D1%8F%D1%82%D0%BE%D0%B9%20%D0%BE%D1%81%D0%B5%D0%BB%201971%20%D1%84%D0%B8%D0%BB%D1%8C%D0%BC","искать")</f>
        <v/>
      </c>
      <c r="N1736" s="3" t="n"/>
      <c r="O1736" s="2" t="n"/>
      <c r="P1736" s="2" t="n"/>
    </row>
    <row r="1737">
      <c r="A1737" s="2" t="n">
        <v>1736</v>
      </c>
      <c r="B1737" s="2" t="inlineStr">
        <is>
          <t>не сюжет</t>
        </is>
      </c>
      <c r="C1737" s="2" t="n">
        <v>13584</v>
      </c>
      <c r="D1737" s="3" t="inlineStr">
        <is>
          <t>Сладкая планета</t>
        </is>
      </c>
      <c r="E1737" s="2" t="n">
        <v>1987</v>
      </c>
      <c r="F1737" s="2" t="inlineStr">
        <is>
          <t>мультфильм</t>
        </is>
      </c>
      <c r="G1737" s="2" t="inlineStr">
        <is>
          <t>ТАЛЛИННФИЛЬМ</t>
        </is>
      </c>
      <c r="H1737" s="2" t="n">
        <v>69</v>
      </c>
      <c r="I1737" s="2" t="inlineStr"/>
      <c r="J1737" s="2" t="inlineStr">
        <is>
          <t>да</t>
        </is>
      </c>
      <c r="K1737" s="3" t="inlineStr">
        <is>
          <t>Защита Земли от бесконтрольной эксплуатации ее богатств.
Для взрослых</t>
        </is>
      </c>
      <c r="L1737" s="2" t="inlineStr">
        <is>
          <t>https://animator.ru/db/?p=show_film&amp;fid=4923</t>
        </is>
      </c>
      <c r="M1737" s="2">
        <f>HYPERLINK("https://ru.wikipedia.org/w/index.php?search=%D0%A1%D0%BB%D0%B0%D0%B4%D0%BA%D0%B0%D1%8F%20%D0%BF%D0%BB%D0%B0%D0%BD%D0%B5%D1%82%D0%B0%201987%20%D1%84%D0%B8%D0%BB%D1%8C%D0%BC","искать")</f>
        <v/>
      </c>
      <c r="N1737" s="3" t="n"/>
      <c r="O1737" s="2" t="n"/>
      <c r="P1737" s="2" t="n"/>
    </row>
    <row r="1738">
      <c r="A1738" s="2" t="n">
        <v>1737</v>
      </c>
      <c r="B1738" s="2" t="inlineStr">
        <is>
          <t>не сюжет</t>
        </is>
      </c>
      <c r="C1738" s="2" t="n">
        <v>13920</v>
      </c>
      <c r="D1738" s="3" t="inlineStr">
        <is>
          <t>Счастливчик</t>
        </is>
      </c>
      <c r="E1738" s="2" t="n">
        <v>1989</v>
      </c>
      <c r="F1738" s="2" t="inlineStr">
        <is>
          <t>мультфильм</t>
        </is>
      </c>
      <c r="G1738" s="2" t="inlineStr">
        <is>
          <t>ЭКРАН</t>
        </is>
      </c>
      <c r="H1738" s="2" t="n">
        <v>69</v>
      </c>
      <c r="I1738" s="2" t="inlineStr"/>
      <c r="J1738" s="2" t="inlineStr">
        <is>
          <t>да</t>
        </is>
      </c>
      <c r="K1738" s="3" t="inlineStr">
        <is>
          <t>Как пристрастие к приобретению опустошает душу человека. Для взрослых</t>
        </is>
      </c>
      <c r="L1738" s="2" t="inlineStr">
        <is>
          <t>https://animator.ru/db/?p=show_film&amp;fid=5314</t>
        </is>
      </c>
      <c r="M1738" s="2">
        <f>HYPERLINK("https://ru.wikipedia.org/w/index.php?search=%D0%A1%D1%87%D0%B0%D1%81%D1%82%D0%BB%D0%B8%D0%B2%D1%87%D0%B8%D0%BA%201989%20%D1%84%D0%B8%D0%BB%D1%8C%D0%BC","искать")</f>
        <v/>
      </c>
      <c r="N1738" s="3" t="n"/>
      <c r="O1738" s="2" t="n"/>
      <c r="P1738" s="2" t="n"/>
    </row>
    <row r="1739">
      <c r="A1739" s="2" t="n">
        <v>1738</v>
      </c>
      <c r="B1739" s="2" t="inlineStr">
        <is>
          <t>не сюжет</t>
        </is>
      </c>
      <c r="C1739" s="2" t="n">
        <v>14079</v>
      </c>
      <c r="D1739" s="3" t="inlineStr">
        <is>
          <t>ХОДЖА НАСРЕДДИН. Фильм первый</t>
        </is>
      </c>
      <c r="E1739" s="2" t="n">
        <v>1982</v>
      </c>
      <c r="F1739" s="2" t="inlineStr">
        <is>
          <t>мультфильм</t>
        </is>
      </c>
      <c r="G1739" s="2" t="inlineStr">
        <is>
          <t>УЗБЕКФИЛЬМ</t>
        </is>
      </c>
      <c r="H1739" s="2" t="n">
        <v>69</v>
      </c>
      <c r="I1739" s="2" t="inlineStr"/>
      <c r="J1739" s="2" t="inlineStr">
        <is>
          <t>да</t>
        </is>
      </c>
      <c r="K1739" s="3" t="inlineStr">
        <is>
          <t>Первый фильм дилогии о легендарном герое узбекского комического эпоса</t>
        </is>
      </c>
      <c r="L1739" s="2" t="inlineStr">
        <is>
          <t>https://animator.ru/db/?p=show_film&amp;fid=5476</t>
        </is>
      </c>
      <c r="M1739" s="2">
        <f>HYPERLINK("https://ru.wikipedia.org/w/index.php?search=%D0%A5%D0%9E%D0%94%D0%96%D0%90%20%D0%9D%D0%90%D0%A1%D0%A0%D0%95%D0%94%D0%94%D0%98%D0%9D.%20%D0%A4%D0%B8%D0%BB%D1%8C%D0%BC%20%D0%BF%D0%B5%D1%80%D0%B2%D1%8B%D0%B9%201982%20%D1%84%D0%B8%D0%BB%D1%8C%D0%BC","искать")</f>
        <v/>
      </c>
      <c r="N1739" s="3" t="n"/>
      <c r="O1739" s="2" t="n"/>
      <c r="P1739" s="2" t="n"/>
    </row>
    <row r="1740">
      <c r="A1740" s="2" t="n">
        <v>1739</v>
      </c>
      <c r="B1740" s="2" t="inlineStr">
        <is>
          <t>не сюжет</t>
        </is>
      </c>
      <c r="C1740" s="2" t="n">
        <v>14238</v>
      </c>
      <c r="D1740" s="3" t="inlineStr">
        <is>
          <t>Как я ехал к Деве Севера</t>
        </is>
      </c>
      <c r="E1740" s="2" t="n">
        <v>1980</v>
      </c>
      <c r="F1740" s="2" t="inlineStr">
        <is>
          <t>мультфильм</t>
        </is>
      </c>
      <c r="G1740" s="2" t="inlineStr">
        <is>
          <t>ГОСТЕЛЕРАДИО ЛАТВ. ССР ("ТЕЛЕФИЛЬМ-РИГА")</t>
        </is>
      </c>
      <c r="H1740" s="2" t="n">
        <v>69</v>
      </c>
      <c r="I1740" s="2" t="inlineStr"/>
      <c r="J1740" s="2" t="inlineStr">
        <is>
          <t>да</t>
        </is>
      </c>
      <c r="K1740" s="3" t="inlineStr">
        <is>
          <t>Прих "Большой Кристап" 1980 года - За лучший мультипликационный фильм</t>
        </is>
      </c>
      <c r="L1740" s="2" t="inlineStr">
        <is>
          <t>https://animator.ru/db/?p=show_film&amp;fid=5661</t>
        </is>
      </c>
      <c r="M1740" s="2">
        <f>HYPERLINK("https://ru.wikipedia.org/w/index.php?search=%D0%9A%D0%B0%D0%BA%20%D1%8F%20%D0%B5%D1%85%D0%B0%D0%BB%20%D0%BA%20%D0%94%D0%B5%D0%B2%D0%B5%20%D0%A1%D0%B5%D0%B2%D0%B5%D1%80%D0%B0%201980%20%D1%84%D0%B8%D0%BB%D1%8C%D0%BC","искать")</f>
        <v/>
      </c>
      <c r="N1740" s="3" t="n"/>
      <c r="O1740" s="2" t="n"/>
      <c r="P1740" s="2" t="n"/>
    </row>
    <row r="1741">
      <c r="A1741" s="2" t="n">
        <v>1740</v>
      </c>
      <c r="B1741" s="2" t="inlineStr">
        <is>
          <t>не сюжет</t>
        </is>
      </c>
      <c r="C1741" s="2" t="n">
        <v>14244</v>
      </c>
      <c r="D1741" s="3" t="inlineStr">
        <is>
          <t>Черепахи</t>
        </is>
      </c>
      <c r="E1741" s="2" t="n">
        <v>1987</v>
      </c>
      <c r="F1741" s="2" t="inlineStr">
        <is>
          <t>мультфильм</t>
        </is>
      </c>
      <c r="G1741" s="2" t="inlineStr">
        <is>
          <t>ГОСТЕЛЕРАДИО ЛАТВ. ССР ("ТЕЛЕФИЛЬМ-РИГА")</t>
        </is>
      </c>
      <c r="H1741" s="2" t="n">
        <v>69</v>
      </c>
      <c r="I1741" s="2" t="inlineStr"/>
      <c r="J1741" s="2" t="inlineStr">
        <is>
          <t>да</t>
        </is>
      </c>
      <c r="K1741" s="3" t="inlineStr">
        <is>
          <t>Приз "Большой Кристап" - за лучший мультипликационный фильм 1987 года</t>
        </is>
      </c>
      <c r="L1741" s="2" t="inlineStr">
        <is>
          <t>https://animator.ru/db/?p=show_film&amp;fid=5667</t>
        </is>
      </c>
      <c r="M1741" s="2">
        <f>HYPERLINK("https://ru.wikipedia.org/w/index.php?search=%D0%A7%D0%B5%D1%80%D0%B5%D0%BF%D0%B0%D1%85%D0%B8%201987%20%D1%84%D0%B8%D0%BB%D1%8C%D0%BC","искать")</f>
        <v/>
      </c>
      <c r="N1741" s="3" t="n"/>
      <c r="O1741" s="2" t="n"/>
      <c r="P1741" s="2" t="n"/>
    </row>
    <row r="1742">
      <c r="A1742" s="2" t="n">
        <v>1741</v>
      </c>
      <c r="B1742" s="2" t="inlineStr">
        <is>
          <t>не сюжет</t>
        </is>
      </c>
      <c r="C1742" s="2" t="n">
        <v>7910</v>
      </c>
      <c r="D1742" s="3" t="inlineStr">
        <is>
          <t>Мужчина и сосновая мутовка</t>
        </is>
      </c>
      <c r="E1742" s="2" t="n">
        <v>1979</v>
      </c>
      <c r="F1742" s="2" t="inlineStr">
        <is>
          <t>телефильм</t>
        </is>
      </c>
      <c r="G1742" s="2" t="n"/>
      <c r="H1742" s="2" t="n">
        <v>70</v>
      </c>
      <c r="I1742" s="2" t="inlineStr"/>
      <c r="J1742" s="2" t="inlineStr">
        <is>
          <t>да</t>
        </is>
      </c>
      <c r="K1742" s="3" t="inlineStr">
        <is>
          <t>Экранизация повести Пауля Куусберга "С птичкой в голове / Linnukesega"</t>
        </is>
      </c>
      <c r="L1742" s="2" t="inlineStr">
        <is>
          <t>Кино_СССР сводный каталог.xlsx: список телефильмов</t>
        </is>
      </c>
      <c r="M1742" s="2">
        <f>HYPERLINK("https://ru.wikipedia.org/w/index.php?search=%D0%9C%D1%83%D0%B6%D1%87%D0%B8%D0%BD%D0%B0%20%D0%B8%20%D1%81%D0%BE%D1%81%D0%BD%D0%BE%D0%B2%D0%B0%D1%8F%20%D0%BC%D1%83%D1%82%D0%BE%D0%B2%D0%BA%D0%B0%201979%20%D1%84%D0%B8%D0%BB%D1%8C%D0%BC","искать")</f>
        <v/>
      </c>
      <c r="N1742" s="3" t="n"/>
      <c r="O1742" s="2" t="n"/>
      <c r="P1742" s="2" t="n"/>
    </row>
    <row r="1743">
      <c r="A1743" s="2" t="n">
        <v>1742</v>
      </c>
      <c r="B1743" s="2" t="inlineStr">
        <is>
          <t>не сюжет</t>
        </is>
      </c>
      <c r="C1743" s="2" t="n">
        <v>9002</v>
      </c>
      <c r="D1743" s="3" t="inlineStr">
        <is>
          <t>Пятый тополь</t>
        </is>
      </c>
      <c r="E1743" s="2" t="n">
        <v>1964</v>
      </c>
      <c r="F1743" s="2" t="inlineStr">
        <is>
          <t>кинофильм</t>
        </is>
      </c>
      <c r="G1743" s="2" t="n"/>
      <c r="H1743" s="2" t="n">
        <v>70</v>
      </c>
      <c r="I1743" s="2" t="inlineStr"/>
      <c r="J1743" s="2" t="inlineStr">
        <is>
          <t>да</t>
        </is>
      </c>
      <c r="K1743" s="3" t="inlineStr">
        <is>
          <t>Фильм рассказывает о судьбе и нелёгком труде сельского врача Крынкина.</t>
        </is>
      </c>
      <c r="L1743" s="2" t="inlineStr">
        <is>
          <t>Кино_СССР сводный каталог.xlsx: список фильмов (доп.)</t>
        </is>
      </c>
      <c r="M1743" s="2">
        <f>HYPERLINK("https://ru.wikipedia.org/w/index.php?search=%D0%9F%D1%8F%D1%82%D1%8B%D0%B9%20%D1%82%D0%BE%D0%BF%D0%BE%D0%BB%D1%8C%201964%20%D1%84%D0%B8%D0%BB%D1%8C%D0%BC","искать")</f>
        <v/>
      </c>
      <c r="N1743" s="3" t="n"/>
      <c r="O1743" s="2" t="n"/>
      <c r="P1743" s="2" t="n"/>
    </row>
    <row r="1744">
      <c r="A1744" s="2" t="n">
        <v>1743</v>
      </c>
      <c r="B1744" s="2" t="inlineStr">
        <is>
          <t>не сюжет</t>
        </is>
      </c>
      <c r="C1744" s="2" t="n">
        <v>10232</v>
      </c>
      <c r="D1744" s="3" t="inlineStr">
        <is>
          <t>В воскресенье рано зелье собирала</t>
        </is>
      </c>
      <c r="E1744" s="2" t="n">
        <v>1968</v>
      </c>
      <c r="F1744" s="2" t="inlineStr">
        <is>
          <t>фильм-спектакль</t>
        </is>
      </c>
      <c r="G1744" s="2" t="inlineStr">
        <is>
          <t>Укртелефильм</t>
        </is>
      </c>
      <c r="H1744" s="2" t="n">
        <v>70</v>
      </c>
      <c r="I1744" s="2" t="inlineStr"/>
      <c r="J1744" s="2" t="inlineStr">
        <is>
          <t>да</t>
        </is>
      </c>
      <c r="K1744" s="3" t="inlineStr">
        <is>
          <t>По повести Ольги Кобылянской.
Спектакль Киевского театра им. И.Франко.</t>
        </is>
      </c>
      <c r="L1744" s="2" t="inlineStr">
        <is>
          <t>https://www.kino-teatr.ru/teatr/movie/86366/annot/</t>
        </is>
      </c>
      <c r="M1744" s="2">
        <f>HYPERLINK("https://ru.wikipedia.org/w/index.php?search=%D0%92%20%D0%B2%D0%BE%D1%81%D0%BA%D1%80%D0%B5%D1%81%D0%B5%D0%BD%D1%8C%D0%B5%20%D1%80%D0%B0%D0%BD%D0%BE%20%D0%B7%D0%B5%D0%BB%D1%8C%D0%B5%20%D1%81%D0%BE%D0%B1%D0%B8%D1%80%D0%B0%D0%BB%D0%B0%201968%20%D1%84%D0%B8%D0%BB%D1%8C%D0%BC","искать")</f>
        <v/>
      </c>
      <c r="N1744" s="3" t="n"/>
      <c r="O1744" s="2" t="n"/>
      <c r="P1744" s="2" t="n"/>
    </row>
    <row r="1745">
      <c r="A1745" s="2" t="n">
        <v>1744</v>
      </c>
      <c r="B1745" s="2" t="inlineStr">
        <is>
          <t>не сюжет</t>
        </is>
      </c>
      <c r="C1745" s="2" t="n">
        <v>10346</v>
      </c>
      <c r="D1745" s="3" t="inlineStr">
        <is>
          <t>37 су господина Монтодуана</t>
        </is>
      </c>
      <c r="E1745" s="2" t="n">
        <v>1970</v>
      </c>
      <c r="F1745" s="2" t="inlineStr">
        <is>
          <t>фильм-спектакль</t>
        </is>
      </c>
      <c r="G1745" s="2" t="inlineStr">
        <is>
          <t>Центральное телевидение</t>
        </is>
      </c>
      <c r="H1745" s="2" t="n">
        <v>70</v>
      </c>
      <c r="I1745" s="2" t="inlineStr"/>
      <c r="J1745" s="2" t="inlineStr">
        <is>
          <t>да</t>
        </is>
      </c>
      <c r="K1745" s="3" t="inlineStr">
        <is>
          <t>Водевиль Эжена Лабиша в исполнении артистов Московского театра сатиры.</t>
        </is>
      </c>
      <c r="L1745" s="2" t="inlineStr">
        <is>
          <t>https://www.kino-teatr.ru/teatr/movie/136511/annot/</t>
        </is>
      </c>
      <c r="M1745" s="2">
        <f>HYPERLINK("https://ru.wikipedia.org/w/index.php?search=37%20%D1%81%D1%83%20%D0%B3%D0%BE%D1%81%D0%BF%D0%BE%D0%B4%D0%B8%D0%BD%D0%B0%20%D0%9C%D0%BE%D0%BD%D1%82%D0%BE%D0%B4%D1%83%D0%B0%D0%BD%D0%B0%201970%20%D1%84%D0%B8%D0%BB%D1%8C%D0%BC","искать")</f>
        <v/>
      </c>
      <c r="N1745" s="3" t="n"/>
      <c r="O1745" s="2" t="n"/>
      <c r="P1745" s="2" t="n"/>
    </row>
    <row r="1746">
      <c r="A1746" s="2" t="n">
        <v>1745</v>
      </c>
      <c r="B1746" s="2" t="inlineStr">
        <is>
          <t>не сюжет</t>
        </is>
      </c>
      <c r="C1746" s="2" t="n">
        <v>10391</v>
      </c>
      <c r="D1746" s="3" t="inlineStr">
        <is>
          <t>Драматические отрывки. Н.В.Гоголь</t>
        </is>
      </c>
      <c r="E1746" s="2" t="n">
        <v>1971</v>
      </c>
      <c r="F1746" s="2" t="inlineStr">
        <is>
          <t>фильм-спектакль</t>
        </is>
      </c>
      <c r="G1746" s="2" t="inlineStr">
        <is>
          <t>Центральное телевидение, Подборки фильмов, экранизации Гоголя</t>
        </is>
      </c>
      <c r="H1746" s="2" t="n">
        <v>70</v>
      </c>
      <c r="I1746" s="2" t="inlineStr"/>
      <c r="J1746" s="2" t="inlineStr">
        <is>
          <t>да</t>
        </is>
      </c>
      <c r="K1746" s="3" t="inlineStr">
        <is>
          <t>По двум одноактным пьесам Гоголя - "Утро делового человека" И "Тяжба".</t>
        </is>
      </c>
      <c r="L1746" s="2" t="inlineStr">
        <is>
          <t>https://www.kino-teatr.ru/teatr/movie/92992/annot/</t>
        </is>
      </c>
      <c r="M1746" s="2">
        <f>HYPERLINK("https://ru.wikipedia.org/w/index.php?search=%D0%94%D1%80%D0%B0%D0%BC%D0%B0%D1%82%D0%B8%D1%87%D0%B5%D1%81%D0%BA%D0%B8%D0%B5%20%D0%BE%D1%82%D1%80%D1%8B%D0%B2%D0%BA%D0%B8.%20%D0%9D.%D0%92.%D0%93%D0%BE%D0%B3%D0%BE%D0%BB%D1%8C%201971%20%D1%84%D0%B8%D0%BB%D1%8C%D0%BC","искать")</f>
        <v/>
      </c>
      <c r="N1746" s="3" t="n"/>
      <c r="O1746" s="2" t="n"/>
      <c r="P1746" s="2" t="n"/>
    </row>
    <row r="1747">
      <c r="A1747" s="2" t="n">
        <v>1746</v>
      </c>
      <c r="B1747" s="2" t="inlineStr">
        <is>
          <t>не сюжет</t>
        </is>
      </c>
      <c r="C1747" s="2" t="n">
        <v>10576</v>
      </c>
      <c r="D1747" s="3" t="inlineStr">
        <is>
          <t>Оруженосец Кашка</t>
        </is>
      </c>
      <c r="E1747" s="2" t="n">
        <v>1974</v>
      </c>
      <c r="F1747" s="2" t="inlineStr">
        <is>
          <t>фильм-спектакль</t>
        </is>
      </c>
      <c r="G1747" s="2" t="inlineStr">
        <is>
          <t>Главная редакция программ для детей и юношества ЦТ</t>
        </is>
      </c>
      <c r="H1747" s="2" t="n">
        <v>70</v>
      </c>
      <c r="I1747" s="2" t="inlineStr"/>
      <c r="J1747" s="2" t="inlineStr">
        <is>
          <t>да</t>
        </is>
      </c>
      <c r="K1747" s="3" t="inlineStr">
        <is>
          <t>Телевизионный спектакль о ребятах из пионерского лагеря "Синие камни".</t>
        </is>
      </c>
      <c r="L1747" s="2" t="inlineStr">
        <is>
          <t>https://www.kino-teatr.ru/teatr/movie/79308/annot/</t>
        </is>
      </c>
      <c r="M1747" s="2">
        <f>HYPERLINK("https://ru.wikipedia.org/w/index.php?search=%D0%9E%D1%80%D1%83%D0%B6%D0%B5%D0%BD%D0%BE%D1%81%D0%B5%D1%86%20%D0%9A%D0%B0%D1%88%D0%BA%D0%B0%201974%20%D1%84%D0%B8%D0%BB%D1%8C%D0%BC","искать")</f>
        <v/>
      </c>
      <c r="N1747" s="3" t="n"/>
      <c r="O1747" s="2" t="n"/>
      <c r="P1747" s="2" t="n"/>
    </row>
    <row r="1748">
      <c r="A1748" s="2" t="n">
        <v>1747</v>
      </c>
      <c r="B1748" s="2" t="inlineStr">
        <is>
          <t>не сюжет</t>
        </is>
      </c>
      <c r="C1748" s="2" t="n">
        <v>10906</v>
      </c>
      <c r="D1748" s="3" t="inlineStr">
        <is>
          <t>Путешествие дядюшки Тик-Так</t>
        </is>
      </c>
      <c r="E1748" s="2" t="n">
        <v>1981</v>
      </c>
      <c r="F1748" s="2" t="inlineStr">
        <is>
          <t>фильм-спектакль</t>
        </is>
      </c>
      <c r="G1748" s="2" t="inlineStr">
        <is>
          <t>Эстонское телевидение</t>
        </is>
      </c>
      <c r="H1748" s="2" t="n">
        <v>70</v>
      </c>
      <c r="I1748" s="2" t="inlineStr"/>
      <c r="J1748" s="2" t="inlineStr">
        <is>
          <t>да</t>
        </is>
      </c>
      <c r="K1748" s="3" t="inlineStr">
        <is>
          <t>Поставлен по одноименной сказке английского писателя Дональда Биссета.</t>
        </is>
      </c>
      <c r="L1748" s="2" t="inlineStr">
        <is>
          <t>https://www.kino-teatr.ru/teatr/movie/86748/annot/</t>
        </is>
      </c>
      <c r="M1748" s="2">
        <f>HYPERLINK("https://ru.wikipedia.org/w/index.php?search=%D0%9F%D1%83%D1%82%D0%B5%D1%88%D0%B5%D1%81%D1%82%D0%B2%D0%B8%D0%B5%20%D0%B4%D1%8F%D0%B4%D1%8E%D1%88%D0%BA%D0%B8%20%D0%A2%D0%B8%D0%BA-%D0%A2%D0%B0%D0%BA%201981%20%D1%84%D0%B8%D0%BB%D1%8C%D0%BC","искать")</f>
        <v/>
      </c>
      <c r="N1748" s="3" t="n"/>
      <c r="O1748" s="2" t="n"/>
      <c r="P1748" s="2" t="n"/>
    </row>
    <row r="1749">
      <c r="A1749" s="2" t="n">
        <v>1748</v>
      </c>
      <c r="B1749" s="2" t="inlineStr">
        <is>
          <t>не сюжет</t>
        </is>
      </c>
      <c r="C1749" s="2" t="n">
        <v>10912</v>
      </c>
      <c r="D1749" s="3" t="inlineStr">
        <is>
          <t>Сильное чувство</t>
        </is>
      </c>
      <c r="E1749" s="2" t="n">
        <v>1981</v>
      </c>
      <c r="F1749" s="2" t="inlineStr">
        <is>
          <t>фильм-спектакль</t>
        </is>
      </c>
      <c r="G1749" s="2" t="inlineStr">
        <is>
          <t>Литовское телевидение</t>
        </is>
      </c>
      <c r="H1749" s="2" t="n">
        <v>70</v>
      </c>
      <c r="I1749" s="2" t="inlineStr"/>
      <c r="J1749" s="2" t="inlineStr">
        <is>
          <t>да</t>
        </is>
      </c>
      <c r="K1749" s="3" t="inlineStr">
        <is>
          <t>Спектакль поставлен по одноименной пьесе Ильи Ильфа и Евгения Петрова.</t>
        </is>
      </c>
      <c r="L1749" s="2" t="inlineStr">
        <is>
          <t>https://www.kino-teatr.ru/teatr/movie/105303/annot/</t>
        </is>
      </c>
      <c r="M1749" s="2">
        <f>HYPERLINK("https://ru.wikipedia.org/w/index.php?search=%D0%A1%D0%B8%D0%BB%D1%8C%D0%BD%D0%BE%D0%B5%20%D1%87%D1%83%D0%B2%D1%81%D1%82%D0%B2%D0%BE%201981%20%D1%84%D0%B8%D0%BB%D1%8C%D0%BC","искать")</f>
        <v/>
      </c>
      <c r="N1749" s="3" t="n"/>
      <c r="O1749" s="2" t="n"/>
      <c r="P1749" s="2" t="n"/>
    </row>
    <row r="1750">
      <c r="A1750" s="2" t="n">
        <v>1749</v>
      </c>
      <c r="B1750" s="2" t="inlineStr">
        <is>
          <t>не сюжет</t>
        </is>
      </c>
      <c r="C1750" s="2" t="n">
        <v>11030</v>
      </c>
      <c r="D1750" s="3" t="inlineStr">
        <is>
          <t>Ночная исповедь</t>
        </is>
      </c>
      <c r="E1750" s="2" t="n">
        <v>1984</v>
      </c>
      <c r="F1750" s="2" t="inlineStr">
        <is>
          <t>фильм-спектакль</t>
        </is>
      </c>
      <c r="G1750" s="2" t="inlineStr">
        <is>
          <t>Эстонское телевидение</t>
        </is>
      </c>
      <c r="H1750" s="2" t="n">
        <v>70</v>
      </c>
      <c r="I1750" s="2" t="inlineStr"/>
      <c r="J1750" s="2" t="inlineStr">
        <is>
          <t>да</t>
        </is>
      </c>
      <c r="K1750" s="3" t="inlineStr">
        <is>
          <t>Поставлен по одноименной пьесе советского драматурга Алексея Арбузова.</t>
        </is>
      </c>
      <c r="L1750" s="2" t="inlineStr">
        <is>
          <t>https://www.kino-teatr.ru/teatr/movie/88976/annot/</t>
        </is>
      </c>
      <c r="M1750" s="2">
        <f>HYPERLINK("https://ru.wikipedia.org/w/index.php?search=%D0%9D%D0%BE%D1%87%D0%BD%D0%B0%D1%8F%20%D0%B8%D1%81%D0%BF%D0%BE%D0%B2%D0%B5%D0%B4%D1%8C%201984%20%D1%84%D0%B8%D0%BB%D1%8C%D0%BC","искать")</f>
        <v/>
      </c>
      <c r="N1750" s="3" t="n"/>
      <c r="O1750" s="2" t="n"/>
      <c r="P1750" s="2" t="n"/>
    </row>
    <row r="1751">
      <c r="A1751" s="2" t="n">
        <v>1750</v>
      </c>
      <c r="B1751" s="2" t="inlineStr">
        <is>
          <t>не сюжет</t>
        </is>
      </c>
      <c r="C1751" s="2" t="n">
        <v>11324</v>
      </c>
      <c r="D1751" s="3" t="inlineStr">
        <is>
          <t>Странная миссис Сэвидж</t>
        </is>
      </c>
      <c r="E1751" s="2" t="n">
        <v>1990</v>
      </c>
      <c r="F1751" s="2" t="inlineStr">
        <is>
          <t>фильм-спектакль</t>
        </is>
      </c>
      <c r="G1751" s="2" t="n"/>
      <c r="H1751" s="2" t="n">
        <v>70</v>
      </c>
      <c r="I1751" s="2" t="inlineStr"/>
      <c r="J1751" s="2" t="inlineStr">
        <is>
          <t>да</t>
        </is>
      </c>
      <c r="K1751" s="3" t="inlineStr">
        <is>
          <t>Поставлен по одноименной пьесе американского драматурга Джона Патрика.</t>
        </is>
      </c>
      <c r="L1751" s="2" t="inlineStr">
        <is>
          <t>https://www.kino-teatr.ru/teatr/movie/89007/annot/</t>
        </is>
      </c>
      <c r="M1751" s="2">
        <f>HYPERLINK("https://ru.wikipedia.org/w/index.php?search=%D0%A1%D1%82%D1%80%D0%B0%D0%BD%D0%BD%D0%B0%D1%8F%20%D0%BC%D0%B8%D1%81%D1%81%D0%B8%D1%81%20%D0%A1%D1%8D%D0%B2%D0%B8%D0%B4%D0%B6%201990%20%D1%84%D0%B8%D0%BB%D1%8C%D0%BC","искать")</f>
        <v/>
      </c>
      <c r="N1751" s="3" t="n"/>
      <c r="O1751" s="2" t="n"/>
      <c r="P1751" s="2" t="n"/>
    </row>
    <row r="1752">
      <c r="A1752" s="2" t="n">
        <v>1751</v>
      </c>
      <c r="B1752" s="2" t="inlineStr">
        <is>
          <t>не сюжет</t>
        </is>
      </c>
      <c r="C1752" s="2" t="n">
        <v>11695</v>
      </c>
      <c r="D1752" s="3" t="inlineStr">
        <is>
          <t>Веселая карусель n 5. Не про тебя ли этот фильм?</t>
        </is>
      </c>
      <c r="E1752" s="2" t="n">
        <v>1973</v>
      </c>
      <c r="F1752" s="2" t="inlineStr">
        <is>
          <t>мультфильм</t>
        </is>
      </c>
      <c r="G1752" s="2" t="inlineStr">
        <is>
          <t>Союзмультфильм</t>
        </is>
      </c>
      <c r="H1752" s="2" t="n">
        <v>70</v>
      </c>
      <c r="I1752" s="2" t="inlineStr"/>
      <c r="J1752" s="2" t="inlineStr">
        <is>
          <t>да</t>
        </is>
      </c>
      <c r="K1752" s="3" t="inlineStr">
        <is>
          <t>Сюжет из альманаха «ВЕСЕЛАЯ КАРУСЕЛЬ N 5»
По стихотворению М.Романова.</t>
        </is>
      </c>
      <c r="L1752" s="2" t="inlineStr">
        <is>
          <t>https://animator.ru/db/?p=show_film&amp;fid=2609</t>
        </is>
      </c>
      <c r="M1752" s="2">
        <f>HYPERLINK("https://ru.wikipedia.org/w/index.php?search=%D0%92%D0%B5%D1%81%D0%B5%D0%BB%D0%B0%D1%8F%20%D0%BA%D0%B0%D1%80%D1%83%D1%81%D0%B5%D0%BB%D1%8C%20n%205.%20%D0%9D%D0%B5%20%D0%BF%D1%80%D0%BE%20%D1%82%D0%B5%D0%B1%D1%8F%20%D0%BB%D0%B8%20%D1%8D%D1%82%D0%BE%D1%82%20%D1%84%D0%B8%D0%BB%D1%8C%D0%BC%3F%201973%20%D1%84%D0%B8%D0%BB%D1%8C%D0%BC","искать")</f>
        <v/>
      </c>
      <c r="N1752" s="3" t="n"/>
      <c r="O1752" s="2" t="n"/>
      <c r="P1752" s="2" t="n"/>
    </row>
    <row r="1753">
      <c r="A1753" s="2" t="n">
        <v>1752</v>
      </c>
      <c r="B1753" s="2" t="inlineStr">
        <is>
          <t>не сюжет</t>
        </is>
      </c>
      <c r="C1753" s="2" t="n">
        <v>11904</v>
      </c>
      <c r="D1753" s="3" t="inlineStr">
        <is>
          <t>Зарядка для хвоста</t>
        </is>
      </c>
      <c r="E1753" s="2" t="n">
        <v>1979</v>
      </c>
      <c r="F1753" s="2" t="inlineStr">
        <is>
          <t>мультфильм</t>
        </is>
      </c>
      <c r="G1753" s="2" t="inlineStr">
        <is>
          <t>Союзмультфильм</t>
        </is>
      </c>
      <c r="H1753" s="2" t="n">
        <v>70</v>
      </c>
      <c r="I1753" s="2" t="inlineStr"/>
      <c r="J1753" s="2" t="inlineStr">
        <is>
          <t>да</t>
        </is>
      </c>
      <c r="K1753" s="3" t="inlineStr">
        <is>
          <t>Из серии про 38 попугаевМузыка из мультфильма:Веселая зарядка(0.99 Мб)</t>
        </is>
      </c>
      <c r="L1753" s="2" t="inlineStr">
        <is>
          <t>2026-10_мультфильмы_список_владельца.xlsx; https://animator.ru/db/?p=show_film&amp;fid=2819</t>
        </is>
      </c>
      <c r="M1753" s="2">
        <f>HYPERLINK("https://ru.wikipedia.org/w/index.php?search=%D0%97%D0%B0%D1%80%D1%8F%D0%B4%D0%BA%D0%B0%20%D0%B4%D0%BB%D1%8F%20%D1%85%D0%B2%D0%BE%D1%81%D1%82%D0%B0%201979%20%D1%84%D0%B8%D0%BB%D1%8C%D0%BC","искать")</f>
        <v/>
      </c>
      <c r="N1753" s="3" t="n"/>
      <c r="O1753" s="2" t="n"/>
      <c r="P1753" s="2" t="n"/>
    </row>
    <row r="1754">
      <c r="A1754" s="2" t="n">
        <v>1753</v>
      </c>
      <c r="B1754" s="2" t="inlineStr">
        <is>
          <t>не сюжет</t>
        </is>
      </c>
      <c r="C1754" s="2" t="n">
        <v>11952</v>
      </c>
      <c r="D1754" s="3" t="inlineStr">
        <is>
          <t>Веселая карусель n 5. Чудо</t>
        </is>
      </c>
      <c r="E1754" s="2" t="n">
        <v>1973</v>
      </c>
      <c r="F1754" s="2" t="inlineStr">
        <is>
          <t>мультфильм</t>
        </is>
      </c>
      <c r="G1754" s="2" t="inlineStr">
        <is>
          <t>Союзмультфильм</t>
        </is>
      </c>
      <c r="H1754" s="2" t="n">
        <v>70</v>
      </c>
      <c r="I1754" s="2" t="inlineStr"/>
      <c r="J1754" s="2" t="inlineStr">
        <is>
          <t>да</t>
        </is>
      </c>
      <c r="K1754" s="3" t="inlineStr">
        <is>
          <t>Сюжет из альманаха «ВЕСЕЛАЯ КАРУСЕЛЬ N 5»
По стихотворению Романа Сефа</t>
        </is>
      </c>
      <c r="L1754" s="2" t="inlineStr">
        <is>
          <t>https://animator.ru/db/?p=show_film&amp;fid=2868</t>
        </is>
      </c>
      <c r="M1754" s="2">
        <f>HYPERLINK("https://ru.wikipedia.org/w/index.php?search=%D0%92%D0%B5%D1%81%D0%B5%D0%BB%D0%B0%D1%8F%20%D0%BA%D0%B0%D1%80%D1%83%D1%81%D0%B5%D0%BB%D1%8C%20n%205.%20%D0%A7%D1%83%D0%B4%D0%BE%201973%20%D1%84%D0%B8%D0%BB%D1%8C%D0%BC","искать")</f>
        <v/>
      </c>
      <c r="N1754" s="3" t="n"/>
      <c r="O1754" s="2" t="n"/>
      <c r="P1754" s="2" t="n"/>
    </row>
    <row r="1755">
      <c r="A1755" s="2" t="n">
        <v>1754</v>
      </c>
      <c r="B1755" s="2" t="inlineStr">
        <is>
          <t>не сюжет</t>
        </is>
      </c>
      <c r="C1755" s="2" t="n">
        <v>11959</v>
      </c>
      <c r="D1755" s="3" t="inlineStr">
        <is>
          <t>День рождения бабушки</t>
        </is>
      </c>
      <c r="E1755" s="2" t="n">
        <v>1981</v>
      </c>
      <c r="F1755" s="2" t="inlineStr">
        <is>
          <t>мультфильм</t>
        </is>
      </c>
      <c r="G1755" s="2" t="inlineStr">
        <is>
          <t>Союзмультфильм</t>
        </is>
      </c>
      <c r="H1755" s="2" t="n">
        <v>70</v>
      </c>
      <c r="I1755" s="2" t="inlineStr"/>
      <c r="J1755" s="2" t="inlineStr">
        <is>
          <t>да</t>
        </is>
      </c>
      <c r="K1755" s="3" t="inlineStr">
        <is>
          <t>Ко дню рождения любимой бабушки подарок должен быть готов обязательно.</t>
        </is>
      </c>
      <c r="L1755" s="2" t="inlineStr">
        <is>
          <t>2026-10_мультфильмы_список_владельца.xlsx; https://animator.ru/db/?p=show_film&amp;fid=2875</t>
        </is>
      </c>
      <c r="M1755" s="2">
        <f>HYPERLINK("https://ru.wikipedia.org/w/index.php?search=%D0%94%D0%B5%D0%BD%D1%8C%20%D1%80%D0%BE%D0%B6%D0%B4%D0%B5%D0%BD%D0%B8%D1%8F%20%D0%B1%D0%B0%D0%B1%D1%83%D1%88%D0%BA%D0%B8%201981%20%D1%84%D0%B8%D0%BB%D1%8C%D0%BC","искать")</f>
        <v/>
      </c>
      <c r="N1755" s="3" t="n"/>
      <c r="O1755" s="2" t="n"/>
      <c r="P1755" s="2" t="n"/>
    </row>
    <row r="1756">
      <c r="A1756" s="2" t="n">
        <v>1755</v>
      </c>
      <c r="B1756" s="2" t="inlineStr">
        <is>
          <t>не сюжет</t>
        </is>
      </c>
      <c r="C1756" s="2" t="n">
        <v>12669</v>
      </c>
      <c r="D1756" s="3" t="inlineStr">
        <is>
          <t>Неудачник</t>
        </is>
      </c>
      <c r="E1756" s="2" t="n">
        <v>1972</v>
      </c>
      <c r="F1756" s="2" t="inlineStr">
        <is>
          <t>мультфильм</t>
        </is>
      </c>
      <c r="G1756" s="2" t="inlineStr">
        <is>
          <t>БЕЛАРУСЬФИЛЬМ НАЦИОНАЛЬНАЯ КИНОСТУДИЯ - ГП</t>
        </is>
      </c>
      <c r="H1756" s="2" t="n">
        <v>70</v>
      </c>
      <c r="I1756" s="2" t="inlineStr"/>
      <c r="J1756" s="2" t="inlineStr">
        <is>
          <t>да</t>
        </is>
      </c>
      <c r="K1756" s="3" t="inlineStr">
        <is>
          <t>Чтобы стать дрессировщиком в цирке, нужно... учиться в школе Для детей</t>
        </is>
      </c>
      <c r="L1756" s="2" t="inlineStr">
        <is>
          <t>https://animator.ru/db/?p=show_film&amp;fid=3864</t>
        </is>
      </c>
      <c r="M1756" s="2">
        <f>HYPERLINK("https://ru.wikipedia.org/w/index.php?search=%D0%9D%D0%B5%D1%83%D0%B4%D0%B0%D1%87%D0%BD%D0%B8%D0%BA%201972%20%D1%84%D0%B8%D0%BB%D1%8C%D0%BC","искать")</f>
        <v/>
      </c>
      <c r="N1756" s="3" t="n"/>
      <c r="O1756" s="2" t="n"/>
      <c r="P1756" s="2" t="n"/>
    </row>
    <row r="1757">
      <c r="A1757" s="2" t="n">
        <v>1756</v>
      </c>
      <c r="B1757" s="2" t="inlineStr">
        <is>
          <t>не сюжет</t>
        </is>
      </c>
      <c r="C1757" s="2" t="n">
        <v>12804</v>
      </c>
      <c r="D1757" s="3" t="inlineStr">
        <is>
          <t>Дикари</t>
        </is>
      </c>
      <c r="E1757" s="2" t="n">
        <v>1979</v>
      </c>
      <c r="F1757" s="2" t="inlineStr">
        <is>
          <t>мультфильм</t>
        </is>
      </c>
      <c r="G1757" s="2" t="inlineStr">
        <is>
          <t>ГРУЗИЯ-ФИЛЬМ - АО</t>
        </is>
      </c>
      <c r="H1757" s="2" t="n">
        <v>70</v>
      </c>
      <c r="I1757" s="2" t="inlineStr"/>
      <c r="J1757" s="2" t="inlineStr">
        <is>
          <t>да</t>
        </is>
      </c>
      <c r="K1757" s="3" t="inlineStr">
        <is>
          <t>О разном отношении к жизни - творческом и потребительсом. Для взрослых</t>
        </is>
      </c>
      <c r="L1757" s="2" t="inlineStr">
        <is>
          <t>https://animator.ru/db/?p=show_film&amp;fid=4015</t>
        </is>
      </c>
      <c r="M1757" s="2">
        <f>HYPERLINK("https://ru.wikipedia.org/w/index.php?search=%D0%94%D0%B8%D0%BA%D0%B0%D1%80%D0%B8%201979%20%D1%84%D0%B8%D0%BB%D1%8C%D0%BC","искать")</f>
        <v/>
      </c>
      <c r="N1757" s="3" t="n"/>
      <c r="O1757" s="2" t="n"/>
      <c r="P1757" s="2" t="n"/>
    </row>
    <row r="1758">
      <c r="A1758" s="2" t="n">
        <v>1757</v>
      </c>
      <c r="B1758" s="2" t="inlineStr">
        <is>
          <t>не сюжет</t>
        </is>
      </c>
      <c r="C1758" s="2" t="n">
        <v>12977</v>
      </c>
      <c r="D1758" s="3" t="inlineStr">
        <is>
          <t>Гори</t>
        </is>
      </c>
      <c r="E1758" s="2" t="n">
        <v>1981</v>
      </c>
      <c r="F1758" s="2" t="inlineStr">
        <is>
          <t>мультфильм</t>
        </is>
      </c>
      <c r="G1758" s="2" t="inlineStr">
        <is>
          <t>КАЗАХФИЛЬМ</t>
        </is>
      </c>
      <c r="H1758" s="2" t="n">
        <v>70</v>
      </c>
      <c r="I1758" s="2" t="inlineStr"/>
      <c r="J1758" s="2" t="inlineStr">
        <is>
          <t>да</t>
        </is>
      </c>
      <c r="K1758" s="3" t="inlineStr">
        <is>
          <t>Притча о назначении человека (для взрослых). Материал - свечи и спички</t>
        </is>
      </c>
      <c r="L1758" s="2" t="inlineStr">
        <is>
          <t>https://animator.ru/db/?p=show_film&amp;fid=4209</t>
        </is>
      </c>
      <c r="M1758" s="2">
        <f>HYPERLINK("https://ru.wikipedia.org/w/index.php?search=%D0%93%D0%BE%D1%80%D0%B8%201981%20%D1%84%D0%B8%D0%BB%D1%8C%D0%BC","искать")</f>
        <v/>
      </c>
      <c r="N1758" s="3" t="n"/>
      <c r="O1758" s="2" t="n"/>
      <c r="P1758" s="2" t="n"/>
    </row>
    <row r="1759">
      <c r="A1759" s="2" t="n">
        <v>1758</v>
      </c>
      <c r="B1759" s="2" t="inlineStr">
        <is>
          <t>не сюжет</t>
        </is>
      </c>
      <c r="C1759" s="2" t="n">
        <v>13052</v>
      </c>
      <c r="D1759" s="3" t="inlineStr">
        <is>
          <t>Соколик</t>
        </is>
      </c>
      <c r="E1759" s="2" t="n">
        <v>1978</v>
      </c>
      <c r="F1759" s="2" t="inlineStr">
        <is>
          <t>мультфильм</t>
        </is>
      </c>
      <c r="G1759" s="2" t="inlineStr">
        <is>
          <t>РИЖСКАЯ КИНОСТУДИЯ</t>
        </is>
      </c>
      <c r="H1759" s="2" t="n">
        <v>70</v>
      </c>
      <c r="I1759" s="2" t="inlineStr"/>
      <c r="J1759" s="2" t="inlineStr">
        <is>
          <t>да</t>
        </is>
      </c>
      <c r="K1759" s="3" t="inlineStr">
        <is>
          <t>Гос.премия Латв.ССР 1987 года за программу фильмов режиссеру А.Буровсу</t>
        </is>
      </c>
      <c r="L1759" s="2" t="inlineStr">
        <is>
          <t>https://animator.ru/db/?p=show_film&amp;fid=4284</t>
        </is>
      </c>
      <c r="M1759" s="2">
        <f>HYPERLINK("https://ru.wikipedia.org/w/index.php?search=%D0%A1%D0%BE%D0%BA%D0%BE%D0%BB%D0%B8%D0%BA%201978%20%D1%84%D0%B8%D0%BB%D1%8C%D0%BC","искать")</f>
        <v/>
      </c>
      <c r="N1759" s="3" t="n"/>
      <c r="O1759" s="2" t="n"/>
      <c r="P1759" s="2" t="n"/>
    </row>
    <row r="1760">
      <c r="A1760" s="2" t="n">
        <v>1759</v>
      </c>
      <c r="B1760" s="2" t="inlineStr">
        <is>
          <t>не сюжет</t>
        </is>
      </c>
      <c r="C1760" s="2" t="n">
        <v>13290</v>
      </c>
      <c r="D1760" s="3" t="inlineStr">
        <is>
          <t>Дела-делишки</t>
        </is>
      </c>
      <c r="E1760" s="2" t="n">
        <v>1988</v>
      </c>
      <c r="F1760" s="2" t="inlineStr">
        <is>
          <t>мультфильм</t>
        </is>
      </c>
      <c r="G1760" s="2" t="inlineStr">
        <is>
          <t>ТАЛЛИННФИЛЬМ</t>
        </is>
      </c>
      <c r="H1760" s="2" t="n">
        <v>70</v>
      </c>
      <c r="I1760" s="2" t="inlineStr"/>
      <c r="J1760" s="2" t="inlineStr">
        <is>
          <t>да</t>
        </is>
      </c>
      <c r="K1760" s="3" t="inlineStr">
        <is>
          <t>Фильм высмеивает жадность, глупость и безхозяйственность. Для взрослых</t>
        </is>
      </c>
      <c r="L1760" s="2" t="inlineStr">
        <is>
          <t>https://animator.ru/db/?p=show_film&amp;fid=4547</t>
        </is>
      </c>
      <c r="M1760" s="2">
        <f>HYPERLINK("https://ru.wikipedia.org/w/index.php?search=%D0%94%D0%B5%D0%BB%D0%B0-%D0%B4%D0%B5%D0%BB%D0%B8%D1%88%D0%BA%D0%B8%201988%20%D1%84%D0%B8%D0%BB%D1%8C%D0%BC","искать")</f>
        <v/>
      </c>
      <c r="N1760" s="3" t="n"/>
      <c r="O1760" s="2" t="n"/>
      <c r="P1760" s="2" t="n"/>
    </row>
    <row r="1761">
      <c r="A1761" s="2" t="n">
        <v>1760</v>
      </c>
      <c r="B1761" s="2" t="inlineStr">
        <is>
          <t>не сюжет</t>
        </is>
      </c>
      <c r="C1761" s="2" t="n">
        <v>13472</v>
      </c>
      <c r="D1761" s="3" t="inlineStr">
        <is>
          <t>Муми-Дол. Лето в Муми-Доле</t>
        </is>
      </c>
      <c r="E1761" s="2" t="n">
        <v>1981</v>
      </c>
      <c r="F1761" s="2" t="inlineStr">
        <is>
          <t>мультфильм</t>
        </is>
      </c>
      <c r="G1761" s="2" t="inlineStr">
        <is>
          <t>СВЕРДЛОВСКТЕЛЕФИЛЬМ</t>
        </is>
      </c>
      <c r="H1761" s="2" t="n">
        <v>70</v>
      </c>
      <c r="I1761" s="2" t="inlineStr"/>
      <c r="J1761" s="2" t="inlineStr">
        <is>
          <t>да</t>
        </is>
      </c>
      <c r="K1761" s="3" t="inlineStr">
        <is>
          <t>Второй фильм трилогии по мотивам сказки Туве Янсон "Шляпа волшебника".</t>
        </is>
      </c>
      <c r="L1761" s="2" t="inlineStr">
        <is>
          <t>2026-10_мультфильмы_список_владельца.xlsx; https://animator.ru/db/?p=show_film&amp;fid=4759</t>
        </is>
      </c>
      <c r="M1761" s="2">
        <f>HYPERLINK("https://ru.wikipedia.org/w/index.php?search=%D0%9C%D1%83%D0%BC%D0%B8-%D0%94%D0%BE%D0%BB.%20%D0%9B%D0%B5%D1%82%D0%BE%20%D0%B2%20%D0%9C%D1%83%D0%BC%D0%B8-%D0%94%D0%BE%D0%BB%D0%B5%201981%20%D1%84%D0%B8%D0%BB%D1%8C%D0%BC","искать")</f>
        <v/>
      </c>
      <c r="N1761" s="3" t="n"/>
      <c r="O1761" s="2" t="n"/>
      <c r="P1761" s="2" t="n"/>
    </row>
    <row r="1762">
      <c r="A1762" s="2" t="n">
        <v>1761</v>
      </c>
      <c r="B1762" s="2" t="inlineStr">
        <is>
          <t>не сюжет</t>
        </is>
      </c>
      <c r="C1762" s="2" t="n">
        <v>13762</v>
      </c>
      <c r="D1762" s="3" t="inlineStr">
        <is>
          <t>Между небом и землей</t>
        </is>
      </c>
      <c r="E1762" s="2" t="n">
        <v>1985</v>
      </c>
      <c r="F1762" s="2" t="inlineStr">
        <is>
          <t>мультфильм</t>
        </is>
      </c>
      <c r="G1762" s="2" t="inlineStr">
        <is>
          <t>МУЛЬТТЕЛЕФИЛЬМ ("Экран")</t>
        </is>
      </c>
      <c r="H1762" s="2" t="n">
        <v>70</v>
      </c>
      <c r="I1762" s="2" t="inlineStr"/>
      <c r="J1762" s="2" t="inlineStr">
        <is>
          <t>да</t>
        </is>
      </c>
      <c r="K1762" s="3" t="inlineStr">
        <is>
          <t>Не стоит тратить жизнь в погоне за "престижным" барахлом. Для взрослых</t>
        </is>
      </c>
      <c r="L1762" s="2" t="inlineStr">
        <is>
          <t>https://animator.ru/db/?p=show_film&amp;fid=5155</t>
        </is>
      </c>
      <c r="M1762" s="2">
        <f>HYPERLINK("https://ru.wikipedia.org/w/index.php?search=%D0%9C%D0%B5%D0%B6%D0%B4%D1%83%20%D0%BD%D0%B5%D0%B1%D0%BE%D0%BC%20%D0%B8%20%D0%B7%D0%B5%D0%BC%D0%BB%D0%B5%D0%B9%201985%20%D1%84%D0%B8%D0%BB%D1%8C%D0%BC","искать")</f>
        <v/>
      </c>
      <c r="N1762" s="3" t="n"/>
      <c r="O1762" s="2" t="n"/>
      <c r="P1762" s="2" t="n"/>
    </row>
    <row r="1763">
      <c r="A1763" s="2" t="n">
        <v>1762</v>
      </c>
      <c r="B1763" s="2" t="inlineStr">
        <is>
          <t>не сюжет</t>
        </is>
      </c>
      <c r="C1763" s="2" t="n">
        <v>13812</v>
      </c>
      <c r="D1763" s="3" t="inlineStr">
        <is>
          <t>Открытое окно</t>
        </is>
      </c>
      <c r="E1763" s="2" t="n">
        <v>1986</v>
      </c>
      <c r="F1763" s="2" t="inlineStr">
        <is>
          <t>мультфильм</t>
        </is>
      </c>
      <c r="G1763" s="2" t="inlineStr">
        <is>
          <t>МУЛЬТТЕЛЕФИЛЬМ ("Экран")</t>
        </is>
      </c>
      <c r="H1763" s="2" t="n">
        <v>70</v>
      </c>
      <c r="I1763" s="2" t="inlineStr"/>
      <c r="J1763" s="2" t="inlineStr">
        <is>
          <t>да</t>
        </is>
      </c>
      <c r="K1763" s="3" t="inlineStr">
        <is>
          <t>По рассказу Ю.Бондарева "Клара" о дружбе художника с говорящей вороной</t>
        </is>
      </c>
      <c r="L1763" s="2" t="inlineStr">
        <is>
          <t>https://animator.ru/db/?p=show_film&amp;fid=5205</t>
        </is>
      </c>
      <c r="M1763" s="2">
        <f>HYPERLINK("https://ru.wikipedia.org/w/index.php?search=%D0%9E%D1%82%D0%BA%D1%80%D1%8B%D1%82%D0%BE%D0%B5%20%D0%BE%D0%BA%D0%BD%D0%BE%201986%20%D1%84%D0%B8%D0%BB%D1%8C%D0%BC","искать")</f>
        <v/>
      </c>
      <c r="N1763" s="3" t="n"/>
      <c r="O1763" s="2" t="n"/>
      <c r="P1763" s="2" t="n"/>
    </row>
    <row r="1764">
      <c r="A1764" s="2" t="n">
        <v>1763</v>
      </c>
      <c r="B1764" s="2" t="inlineStr">
        <is>
          <t>не сюжет</t>
        </is>
      </c>
      <c r="C1764" s="2" t="n">
        <v>13990</v>
      </c>
      <c r="D1764" s="3" t="inlineStr">
        <is>
          <t>Черная курица</t>
        </is>
      </c>
      <c r="E1764" s="2" t="n">
        <v>1975</v>
      </c>
      <c r="F1764" s="2" t="inlineStr">
        <is>
          <t>мультфильм</t>
        </is>
      </c>
      <c r="G1764" s="2" t="inlineStr">
        <is>
          <t>ЭКРАН</t>
        </is>
      </c>
      <c r="H1764" s="2" t="n">
        <v>70</v>
      </c>
      <c r="I1764" s="2" t="inlineStr"/>
      <c r="J1764" s="2" t="inlineStr">
        <is>
          <t>да</t>
        </is>
      </c>
      <c r="K1764" s="3" t="inlineStr">
        <is>
          <t>По сказке Анатолия Погорельского "Черная курица, или Подземные жители"</t>
        </is>
      </c>
      <c r="L1764" s="2" t="inlineStr">
        <is>
          <t>https://animator.ru/db/?p=show_film&amp;fid=5384</t>
        </is>
      </c>
      <c r="M1764" s="2">
        <f>HYPERLINK("https://ru.wikipedia.org/w/index.php?search=%D0%A7%D0%B5%D1%80%D0%BD%D0%B0%D1%8F%20%D0%BA%D1%83%D1%80%D0%B8%D1%86%D0%B0%201975%20%D1%84%D0%B8%D0%BB%D1%8C%D0%BC","искать")</f>
        <v/>
      </c>
      <c r="N1764" s="3" t="n"/>
      <c r="O1764" s="2" t="n"/>
      <c r="P1764" s="2" t="n"/>
    </row>
    <row r="1765">
      <c r="A1765" s="2" t="n">
        <v>1764</v>
      </c>
      <c r="B1765" s="2" t="inlineStr">
        <is>
          <t>не сюжет</t>
        </is>
      </c>
      <c r="C1765" s="2" t="n">
        <v>14114</v>
      </c>
      <c r="D1765" s="3" t="inlineStr">
        <is>
          <t>Знаменитый утенок тим</t>
        </is>
      </c>
      <c r="E1765" s="2" t="n">
        <v>1972</v>
      </c>
      <c r="F1765" s="2" t="inlineStr">
        <is>
          <t>мультфильм</t>
        </is>
      </c>
      <c r="G1765" s="2" t="inlineStr">
        <is>
          <t>ЛЕНТЕЛЕФИЛЬМ - ГП</t>
        </is>
      </c>
      <c r="H1765" s="2" t="n">
        <v>70</v>
      </c>
      <c r="I1765" s="2" t="inlineStr"/>
      <c r="J1765" s="2" t="inlineStr">
        <is>
          <t>да</t>
        </is>
      </c>
      <c r="K1765" s="3" t="inlineStr">
        <is>
          <t>По одноименному спектаклю Ленинградского Государственного театра кукол</t>
        </is>
      </c>
      <c r="L1765" s="2" t="inlineStr">
        <is>
          <t>https://animator.ru/db/?p=show_film&amp;fid=5512</t>
        </is>
      </c>
      <c r="M1765" s="2">
        <f>HYPERLINK("https://ru.wikipedia.org/w/index.php?search=%D0%97%D0%BD%D0%B0%D0%BC%D0%B5%D0%BD%D0%B8%D1%82%D1%8B%D0%B9%20%D1%83%D1%82%D0%B5%D0%BD%D0%BE%D0%BA%20%D1%82%D0%B8%D0%BC%201972%20%D1%84%D0%B8%D0%BB%D1%8C%D0%BC","искать")</f>
        <v/>
      </c>
      <c r="N1765" s="3" t="n"/>
      <c r="O1765" s="2" t="n"/>
      <c r="P1765" s="2" t="n"/>
    </row>
    <row r="1766">
      <c r="A1766" s="2" t="n">
        <v>1765</v>
      </c>
      <c r="B1766" s="2" t="inlineStr">
        <is>
          <t>не сюжет</t>
        </is>
      </c>
      <c r="C1766" s="2" t="n">
        <v>14256</v>
      </c>
      <c r="D1766" s="3" t="inlineStr">
        <is>
          <t>Веселая карусель. Выпуск №16</t>
        </is>
      </c>
      <c r="E1766" s="2" t="n">
        <v>1985</v>
      </c>
      <c r="F1766" s="2" t="inlineStr">
        <is>
          <t>мультфильм</t>
        </is>
      </c>
      <c r="G1766" s="2" t="inlineStr">
        <is>
          <t>Союзмультфильм</t>
        </is>
      </c>
      <c r="H1766" s="2" t="n">
        <v>70</v>
      </c>
      <c r="I1766" s="2" t="inlineStr"/>
      <c r="J1766" s="2" t="inlineStr">
        <is>
          <t>да</t>
        </is>
      </c>
      <c r="K1766" s="3" t="inlineStr">
        <is>
          <t>16-ая серия альманаха «ВЕСЕЛАЯ КАРУСЕЛЬ»
сюжеты: «ЧУДО-ДЕРЕВО», «ИГРА»</t>
        </is>
      </c>
      <c r="L1766" s="2" t="inlineStr">
        <is>
          <t>https://animator.ru/db/?p=show_film&amp;fid=5692</t>
        </is>
      </c>
      <c r="M1766" s="2">
        <f>HYPERLINK("https://ru.wikipedia.org/w/index.php?search=%D0%92%D0%B5%D1%81%D0%B5%D0%BB%D0%B0%D1%8F%20%D0%BA%D0%B0%D1%80%D1%83%D1%81%D0%B5%D0%BB%D1%8C.%20%D0%92%D1%8B%D0%BF%D1%83%D1%81%D0%BA%20%E2%84%9616%201985%20%D1%84%D0%B8%D0%BB%D1%8C%D0%BC","искать")</f>
        <v/>
      </c>
      <c r="N1766" s="3" t="n"/>
      <c r="O1766" s="2" t="n"/>
      <c r="P1766" s="2" t="n"/>
    </row>
    <row r="1767">
      <c r="A1767" s="2" t="n">
        <v>1766</v>
      </c>
      <c r="B1767" s="2" t="inlineStr">
        <is>
          <t>не сюжет</t>
        </is>
      </c>
      <c r="C1767" s="2" t="n">
        <v>14308</v>
      </c>
      <c r="D1767" s="3" t="inlineStr">
        <is>
          <t>Страсти-мордасти</t>
        </is>
      </c>
      <c r="E1767" s="2" t="n">
        <v>1991</v>
      </c>
      <c r="F1767" s="2" t="inlineStr">
        <is>
          <t>мультфильм</t>
        </is>
      </c>
      <c r="G1767" s="2" t="inlineStr">
        <is>
          <t>УКРАНИМАФИЛЬМ</t>
        </is>
      </c>
      <c r="H1767" s="2" t="n">
        <v>70</v>
      </c>
      <c r="I1767" s="2" t="inlineStr"/>
      <c r="J1767" s="2" t="inlineStr">
        <is>
          <t>да</t>
        </is>
      </c>
      <c r="K1767" s="3" t="inlineStr">
        <is>
          <t>В фильме три сюжета - "Побег", "Гость" и "Колобок". Пародия на триллер</t>
        </is>
      </c>
      <c r="L1767" s="2" t="inlineStr">
        <is>
          <t>https://animator.ru/db/?p=show_film&amp;fid=5854</t>
        </is>
      </c>
      <c r="M1767" s="2">
        <f>HYPERLINK("https://ru.wikipedia.org/w/index.php?search=%D0%A1%D1%82%D1%80%D0%B0%D1%81%D1%82%D0%B8-%D0%BC%D0%BE%D1%80%D0%B4%D0%B0%D1%81%D1%82%D0%B8%201991%20%D1%84%D0%B8%D0%BB%D1%8C%D0%BC","искать")</f>
        <v/>
      </c>
      <c r="N1767" s="3" t="n"/>
      <c r="O1767" s="2" t="n"/>
      <c r="P1767" s="2" t="n"/>
    </row>
    <row r="1768">
      <c r="A1768" s="2" t="n">
        <v>1767</v>
      </c>
      <c r="B1768" s="2" t="inlineStr">
        <is>
          <t>не сюжет</t>
        </is>
      </c>
      <c r="C1768" s="2" t="n">
        <v>7603</v>
      </c>
      <c r="D1768" s="3" t="inlineStr">
        <is>
          <t>Жизнь, ставшая легендой</t>
        </is>
      </c>
      <c r="E1768" s="2" t="n">
        <v>1969</v>
      </c>
      <c r="F1768" s="2" t="inlineStr">
        <is>
          <t>телефильм</t>
        </is>
      </c>
      <c r="G1768" s="2" t="n"/>
      <c r="H1768" s="2" t="n">
        <v>71</v>
      </c>
      <c r="I1768" s="2" t="inlineStr"/>
      <c r="J1768" s="2" t="inlineStr">
        <is>
          <t>да</t>
        </is>
      </c>
      <c r="K1768" s="3" t="inlineStr">
        <is>
          <t>Телевизионный фильм о герое гражданской войны Хаджи-Мурате Дзарахохове.</t>
        </is>
      </c>
      <c r="L1768" s="2" t="inlineStr">
        <is>
          <t>Кино_СССР сводный каталог.xlsx: список телефильмов</t>
        </is>
      </c>
      <c r="M1768" s="2">
        <f>HYPERLINK("https://ru.wikipedia.org/w/index.php?search=%D0%96%D0%B8%D0%B7%D0%BD%D1%8C%2C%20%D1%81%D1%82%D0%B0%D0%B2%D1%88%D0%B0%D1%8F%20%D0%BB%D0%B5%D0%B3%D0%B5%D0%BD%D0%B4%D0%BE%D0%B9%201969%20%D1%84%D0%B8%D0%BB%D1%8C%D0%BC","искать")</f>
        <v/>
      </c>
      <c r="N1768" s="3" t="n"/>
      <c r="O1768" s="2" t="n"/>
      <c r="P1768" s="2" t="n"/>
    </row>
    <row r="1769">
      <c r="A1769" s="2" t="n">
        <v>1768</v>
      </c>
      <c r="B1769" s="2" t="inlineStr">
        <is>
          <t>не сюжет</t>
        </is>
      </c>
      <c r="C1769" s="2" t="n">
        <v>7658</v>
      </c>
      <c r="D1769" s="3" t="inlineStr">
        <is>
          <t>И вечный бой... Из жизни Александра Блока</t>
        </is>
      </c>
      <c r="E1769" s="2" t="n">
        <v>1980</v>
      </c>
      <c r="F1769" s="2" t="inlineStr">
        <is>
          <t>телефильм</t>
        </is>
      </c>
      <c r="G1769" s="2" t="n"/>
      <c r="H1769" s="2" t="n">
        <v>71</v>
      </c>
      <c r="I1769" s="2" t="inlineStr"/>
      <c r="J1769" s="2" t="inlineStr">
        <is>
          <t>да</t>
        </is>
      </c>
      <c r="K1769" s="3" t="inlineStr">
        <is>
          <t>Телефильм-монография. Снят к столетию со дня рождения Александра Блока.</t>
        </is>
      </c>
      <c r="L1769" s="2" t="inlineStr">
        <is>
          <t>Кино_СССР сводный каталог.xlsx: список телефильмов</t>
        </is>
      </c>
      <c r="M1769" s="2">
        <f>HYPERLINK("https://ru.wikipedia.org/w/index.php?search=%D0%98%20%D0%B2%D0%B5%D1%87%D0%BD%D1%8B%D0%B9%20%D0%B1%D0%BE%D0%B9...%20%D0%98%D0%B7%20%D0%B6%D0%B8%D0%B7%D0%BD%D0%B8%20%D0%90%D0%BB%D0%B5%D0%BA%D1%81%D0%B0%D0%BD%D0%B4%D1%80%D0%B0%20%D0%91%D0%BB%D0%BE%D0%BA%D0%B0%201980%20%D1%84%D0%B8%D0%BB%D1%8C%D0%BC","искать")</f>
        <v/>
      </c>
      <c r="N1769" s="3" t="n"/>
      <c r="O1769" s="2" t="n"/>
      <c r="P1769" s="2" t="n"/>
    </row>
    <row r="1770">
      <c r="A1770" s="2" t="n">
        <v>1769</v>
      </c>
      <c r="B1770" s="2" t="inlineStr">
        <is>
          <t>не сюжет</t>
        </is>
      </c>
      <c r="C1770" s="2" t="n">
        <v>9009</v>
      </c>
      <c r="D1770" s="3" t="inlineStr">
        <is>
          <t>Расследуется уголовное дело...</t>
        </is>
      </c>
      <c r="E1770" s="2" t="n">
        <v>1983</v>
      </c>
      <c r="F1770" s="2" t="inlineStr">
        <is>
          <t>кинофильм</t>
        </is>
      </c>
      <c r="G1770" s="2" t="n"/>
      <c r="H1770" s="2" t="n">
        <v>71</v>
      </c>
      <c r="I1770" s="2" t="inlineStr"/>
      <c r="J1770" s="2" t="inlineStr">
        <is>
          <t>да</t>
        </is>
      </c>
      <c r="K1770" s="3" t="inlineStr">
        <is>
          <t>Фильм рассказывает о современных методах криминалистической экспертизы.</t>
        </is>
      </c>
      <c r="L1770" s="2" t="inlineStr">
        <is>
          <t>Кино_СССР сводный каталог.xlsx: список фильмов (доп.)</t>
        </is>
      </c>
      <c r="M1770" s="2">
        <f>HYPERLINK("https://ru.wikipedia.org/w/index.php?search=%D0%A0%D0%B0%D1%81%D1%81%D0%BB%D0%B5%D0%B4%D1%83%D0%B5%D1%82%D1%81%D1%8F%20%D1%83%D0%B3%D0%BE%D0%BB%D0%BE%D0%B2%D0%BD%D0%BE%D0%B5%20%D0%B4%D0%B5%D0%BB%D0%BE...%201983%20%D1%84%D0%B8%D0%BB%D1%8C%D0%BC","искать")</f>
        <v/>
      </c>
      <c r="N1770" s="3" t="n"/>
      <c r="O1770" s="2" t="n"/>
      <c r="P1770" s="2" t="n"/>
    </row>
    <row r="1771">
      <c r="A1771" s="2" t="n">
        <v>1770</v>
      </c>
      <c r="B1771" s="2" t="inlineStr">
        <is>
          <t>не сюжет</t>
        </is>
      </c>
      <c r="C1771" s="2" t="n">
        <v>10505</v>
      </c>
      <c r="D1771" s="3" t="inlineStr">
        <is>
          <t>Мой друг Доминик</t>
        </is>
      </c>
      <c r="E1771" s="2" t="n">
        <v>1973</v>
      </c>
      <c r="F1771" s="2" t="inlineStr">
        <is>
          <t>фильм-спектакль</t>
        </is>
      </c>
      <c r="G1771" s="2" t="inlineStr">
        <is>
          <t>Ленинградское телевидение</t>
        </is>
      </c>
      <c r="H1771" s="2" t="n">
        <v>71</v>
      </c>
      <c r="I1771" s="2" t="inlineStr"/>
      <c r="J1771" s="2" t="inlineStr">
        <is>
          <t>да</t>
        </is>
      </c>
      <c r="K1771" s="3" t="inlineStr">
        <is>
          <t>Детский телеспектакль по повести Людвика Ежи Керна "Послушай-ка, слон".</t>
        </is>
      </c>
      <c r="L1771" s="2" t="inlineStr">
        <is>
          <t>https://www.kino-teatr.ru/teatr/movie/137102/annot/</t>
        </is>
      </c>
      <c r="M1771" s="2">
        <f>HYPERLINK("https://ru.wikipedia.org/w/index.php?search=%D0%9C%D0%BE%D0%B9%20%D0%B4%D1%80%D1%83%D0%B3%20%D0%94%D0%BE%D0%BC%D0%B8%D0%BD%D0%B8%D0%BA%201973%20%D1%84%D0%B8%D0%BB%D1%8C%D0%BC","искать")</f>
        <v/>
      </c>
      <c r="N1771" s="3" t="n"/>
      <c r="O1771" s="2" t="n"/>
      <c r="P1771" s="2" t="n"/>
    </row>
    <row r="1772">
      <c r="A1772" s="2" t="n">
        <v>1771</v>
      </c>
      <c r="B1772" s="2" t="inlineStr">
        <is>
          <t>не сюжет</t>
        </is>
      </c>
      <c r="C1772" s="2" t="n">
        <v>11046</v>
      </c>
      <c r="D1772" s="3" t="inlineStr">
        <is>
          <t>Я, Бомарше!</t>
        </is>
      </c>
      <c r="E1772" s="2" t="n">
        <v>1984</v>
      </c>
      <c r="F1772" s="2" t="inlineStr">
        <is>
          <t>фильм-спектакль</t>
        </is>
      </c>
      <c r="G1772" s="2" t="inlineStr">
        <is>
          <t>Центральное телевидение</t>
        </is>
      </c>
      <c r="H1772" s="2" t="n">
        <v>71</v>
      </c>
      <c r="I1772" s="2" t="inlineStr"/>
      <c r="J1772" s="2" t="inlineStr">
        <is>
          <t>да</t>
        </is>
      </c>
      <c r="K1772" s="3" t="inlineStr">
        <is>
          <t>Страницы жизни великого французского драматурга Пьера-Огюстена Бомарше.</t>
        </is>
      </c>
      <c r="L1772" s="2" t="inlineStr">
        <is>
          <t>https://www.kino-teatr.ru/teatr/movie/111460/annot/</t>
        </is>
      </c>
      <c r="M1772" s="2">
        <f>HYPERLINK("https://ru.wikipedia.org/w/index.php?search=%D0%AF%2C%20%D0%91%D0%BE%D0%BC%D0%B0%D1%80%D1%88%D0%B5%21%201984%20%D1%84%D0%B8%D0%BB%D1%8C%D0%BC","искать")</f>
        <v/>
      </c>
      <c r="N1772" s="3" t="n"/>
      <c r="O1772" s="2" t="n"/>
      <c r="P1772" s="2" t="n"/>
    </row>
    <row r="1773">
      <c r="A1773" s="2" t="n">
        <v>1772</v>
      </c>
      <c r="B1773" s="2" t="inlineStr">
        <is>
          <t>не сюжет</t>
        </is>
      </c>
      <c r="C1773" s="2" t="n">
        <v>11134</v>
      </c>
      <c r="D1773" s="3" t="inlineStr">
        <is>
          <t>Стихи А.Л.Барто</t>
        </is>
      </c>
      <c r="E1773" s="2" t="n">
        <v>1986</v>
      </c>
      <c r="F1773" s="2" t="inlineStr">
        <is>
          <t>фильм-спектакль</t>
        </is>
      </c>
      <c r="G1773" s="2" t="n"/>
      <c r="H1773" s="2" t="n">
        <v>71</v>
      </c>
      <c r="I1773" s="2" t="inlineStr"/>
      <c r="J1773" s="2" t="inlineStr">
        <is>
          <t>да</t>
        </is>
      </c>
      <c r="K1773" s="3" t="inlineStr">
        <is>
          <t>Композиция по стихотворениям Агнии Барто и песням Дмитрия Кабалевского.</t>
        </is>
      </c>
      <c r="L1773" s="2" t="inlineStr">
        <is>
          <t>https://www.kino-teatr.ru/teatr/movie/82121/annot/</t>
        </is>
      </c>
      <c r="M1773" s="2">
        <f>HYPERLINK("https://ru.wikipedia.org/w/index.php?search=%D0%A1%D1%82%D0%B8%D1%85%D0%B8%20%D0%90.%D0%9B.%D0%91%D0%B0%D1%80%D1%82%D0%BE%201986%20%D1%84%D0%B8%D0%BB%D1%8C%D0%BC","искать")</f>
        <v/>
      </c>
      <c r="N1773" s="3" t="n"/>
      <c r="O1773" s="2" t="n"/>
      <c r="P1773" s="2" t="n"/>
    </row>
    <row r="1774">
      <c r="A1774" s="2" t="n">
        <v>1773</v>
      </c>
      <c r="B1774" s="2" t="inlineStr">
        <is>
          <t>не сюжет</t>
        </is>
      </c>
      <c r="C1774" s="2" t="n">
        <v>11782</v>
      </c>
      <c r="D1774" s="3" t="inlineStr">
        <is>
          <t>Ох и Ах</t>
        </is>
      </c>
      <c r="E1774" s="2" t="n">
        <v>1975</v>
      </c>
      <c r="F1774" s="2" t="inlineStr">
        <is>
          <t>мультфильм</t>
        </is>
      </c>
      <c r="G1774" s="2" t="inlineStr">
        <is>
          <t>Союзмультфильм</t>
        </is>
      </c>
      <c r="H1774" s="2" t="n">
        <v>71</v>
      </c>
      <c r="I1774" s="2" t="inlineStr"/>
      <c r="J1774" s="2" t="inlineStr">
        <is>
          <t>да</t>
        </is>
      </c>
      <c r="K1774" s="3" t="inlineStr">
        <is>
          <t>Оптимист "Ах" и пессимист "Ох" на все смотрят с противоположных сторон.</t>
        </is>
      </c>
      <c r="L1774" s="2" t="inlineStr">
        <is>
          <t>2026-10_мультфильмы_список_владельца.xlsx; https://animator.ru/db/?p=show_film&amp;fid=2696</t>
        </is>
      </c>
      <c r="M1774" s="2">
        <f>HYPERLINK("https://ru.wikipedia.org/w/index.php?search=%D0%9E%D1%85%20%D0%B8%20%D0%90%D1%85%201975%20%D1%84%D0%B8%D0%BB%D1%8C%D0%BC","искать")</f>
        <v/>
      </c>
      <c r="N1774" s="3" t="n"/>
      <c r="O1774" s="2" t="n"/>
      <c r="P1774" s="2" t="n"/>
    </row>
    <row r="1775">
      <c r="A1775" s="2" t="n">
        <v>1774</v>
      </c>
      <c r="B1775" s="2" t="inlineStr">
        <is>
          <t>не сюжет</t>
        </is>
      </c>
      <c r="C1775" s="2" t="n">
        <v>11977</v>
      </c>
      <c r="D1775" s="3" t="inlineStr">
        <is>
          <t>Недобрая Ладо</t>
        </is>
      </c>
      <c r="E1775" s="2" t="n">
        <v>1981</v>
      </c>
      <c r="F1775" s="2" t="inlineStr">
        <is>
          <t>мультфильм</t>
        </is>
      </c>
      <c r="G1775" s="2" t="inlineStr">
        <is>
          <t>Союзмультфильм</t>
        </is>
      </c>
      <c r="H1775" s="2" t="n">
        <v>71</v>
      </c>
      <c r="I1775" s="2" t="inlineStr"/>
      <c r="J1775" s="2" t="inlineStr">
        <is>
          <t>да</t>
        </is>
      </c>
      <c r="K1775" s="3" t="inlineStr">
        <is>
          <t>По сказке Д.Нагишкина, написанной на основе дальневосточного фольклора.</t>
        </is>
      </c>
      <c r="L1775" s="2" t="inlineStr">
        <is>
          <t>2026-10_мультфильмы_список_владельца.xlsx; https://animator.ru/db/?p=show_film&amp;fid=3091</t>
        </is>
      </c>
      <c r="M1775" s="2">
        <f>HYPERLINK("https://ru.wikipedia.org/w/index.php?search=%D0%9D%D0%B5%D0%B4%D0%BE%D0%B1%D1%80%D0%B0%D1%8F%20%D0%9B%D0%B0%D0%B4%D0%BE%201981%20%D1%84%D0%B8%D0%BB%D1%8C%D0%BC","искать")</f>
        <v/>
      </c>
      <c r="N1775" s="3" t="n"/>
      <c r="O1775" s="2" t="n"/>
      <c r="P1775" s="2" t="n"/>
    </row>
    <row r="1776">
      <c r="A1776" s="2" t="n">
        <v>1775</v>
      </c>
      <c r="B1776" s="2" t="inlineStr">
        <is>
          <t>не сюжет</t>
        </is>
      </c>
      <c r="C1776" s="2" t="n">
        <v>12422</v>
      </c>
      <c r="D1776" s="3" t="inlineStr">
        <is>
          <t>Камень на дороге. Камень на дороге</t>
        </is>
      </c>
      <c r="E1776" s="2" t="n">
        <v>1968</v>
      </c>
      <c r="F1776" s="2" t="inlineStr">
        <is>
          <t>мультфильм</t>
        </is>
      </c>
      <c r="G1776" s="2" t="inlineStr">
        <is>
          <t>КИЕВНАУЧФИЛЬМ</t>
        </is>
      </c>
      <c r="H1776" s="2" t="n">
        <v>71</v>
      </c>
      <c r="I1776" s="2" t="inlineStr"/>
      <c r="J1776" s="2" t="inlineStr">
        <is>
          <t>да</t>
        </is>
      </c>
      <c r="K1776" s="3" t="inlineStr">
        <is>
          <t>Сбоник режиссерских дебютов. Композиторы выпуска М.Скорик и В.Годзяцкий</t>
        </is>
      </c>
      <c r="L1776" s="2" t="inlineStr">
        <is>
          <t>https://animator.ru/db/?p=show_film&amp;fid=3593</t>
        </is>
      </c>
      <c r="M1776" s="2">
        <f>HYPERLINK("https://ru.wikipedia.org/w/index.php?search=%D0%9A%D0%B0%D0%BC%D0%B5%D0%BD%D1%8C%20%D0%BD%D0%B0%20%D0%B4%D0%BE%D1%80%D0%BE%D0%B3%D0%B5.%20%D0%9A%D0%B0%D0%BC%D0%B5%D0%BD%D1%8C%20%D0%BD%D0%B0%20%D0%B4%D0%BE%D1%80%D0%BE%D0%B3%D0%B5%201968%20%D1%84%D0%B8%D0%BB%D1%8C%D0%BC","искать")</f>
        <v/>
      </c>
      <c r="N1776" s="3" t="n"/>
      <c r="O1776" s="2" t="n"/>
      <c r="P1776" s="2" t="n"/>
    </row>
    <row r="1777">
      <c r="A1777" s="2" t="n">
        <v>1776</v>
      </c>
      <c r="B1777" s="2" t="inlineStr">
        <is>
          <t>не сюжет</t>
        </is>
      </c>
      <c r="C1777" s="2" t="n">
        <v>12515</v>
      </c>
      <c r="D1777" s="3" t="inlineStr">
        <is>
          <t>Приключения казака Энея</t>
        </is>
      </c>
      <c r="E1777" s="2" t="n">
        <v>1969</v>
      </c>
      <c r="F1777" s="2" t="inlineStr">
        <is>
          <t>мультфильм</t>
        </is>
      </c>
      <c r="G1777" s="2" t="inlineStr">
        <is>
          <t>КИЕВНАУЧФИЛЬМ</t>
        </is>
      </c>
      <c r="H1777" s="2" t="n">
        <v>71</v>
      </c>
      <c r="I1777" s="2" t="inlineStr"/>
      <c r="J1777" s="2" t="inlineStr">
        <is>
          <t>да</t>
        </is>
      </c>
      <c r="K1777" s="3" t="inlineStr">
        <is>
          <t>К 200-летию И.Котляревского по мотивам его сатирической поэимы "Энеида"</t>
        </is>
      </c>
      <c r="L1777" s="2" t="inlineStr">
        <is>
          <t>https://animator.ru/db/?p=show_film&amp;fid=3690</t>
        </is>
      </c>
      <c r="M1777" s="2">
        <f>HYPERLINK("https://ru.wikipedia.org/w/index.php?search=%D0%9F%D1%80%D0%B8%D0%BA%D0%BB%D1%8E%D1%87%D0%B5%D0%BD%D0%B8%D1%8F%20%D0%BA%D0%B0%D0%B7%D0%B0%D0%BA%D0%B0%20%D0%AD%D0%BD%D0%B5%D1%8F%201969%20%D1%84%D0%B8%D0%BB%D1%8C%D0%BC","искать")</f>
        <v/>
      </c>
      <c r="N1777" s="3" t="n"/>
      <c r="O1777" s="2" t="n"/>
      <c r="P1777" s="2" t="n"/>
    </row>
    <row r="1778">
      <c r="A1778" s="2" t="n">
        <v>1777</v>
      </c>
      <c r="B1778" s="2" t="inlineStr">
        <is>
          <t>не сюжет</t>
        </is>
      </c>
      <c r="C1778" s="2" t="n">
        <v>12683</v>
      </c>
      <c r="D1778" s="3" t="inlineStr">
        <is>
          <t>Сновидения поздней осени</t>
        </is>
      </c>
      <c r="E1778" s="2" t="n">
        <v>1988</v>
      </c>
      <c r="F1778" s="2" t="inlineStr">
        <is>
          <t>мультфильм</t>
        </is>
      </c>
      <c r="G1778" s="2" t="inlineStr">
        <is>
          <t>БЕЛАРУСЬФИЛЬМ НАЦИОНАЛЬНАЯ КИНОСТУДИЯ - ГП</t>
        </is>
      </c>
      <c r="H1778" s="2" t="n">
        <v>71</v>
      </c>
      <c r="I1778" s="2" t="inlineStr"/>
      <c r="J1778" s="2" t="inlineStr">
        <is>
          <t>да</t>
        </is>
      </c>
      <c r="K1778" s="3" t="inlineStr">
        <is>
          <t>О старике, прожившем трудную жизнь и оставшимся одиноким (для взрослых)</t>
        </is>
      </c>
      <c r="L1778" s="2" t="inlineStr">
        <is>
          <t>https://animator.ru/db/?p=show_film&amp;fid=3878</t>
        </is>
      </c>
      <c r="M1778" s="2">
        <f>HYPERLINK("https://ru.wikipedia.org/w/index.php?search=%D0%A1%D0%BD%D0%BE%D0%B2%D0%B8%D0%B4%D0%B5%D0%BD%D0%B8%D1%8F%20%D0%BF%D0%BE%D0%B7%D0%B4%D0%BD%D0%B5%D0%B9%20%D0%BE%D1%81%D0%B5%D0%BD%D0%B8%201988%20%D1%84%D0%B8%D0%BB%D1%8C%D0%BC","искать")</f>
        <v/>
      </c>
      <c r="N1778" s="3" t="n"/>
      <c r="O1778" s="2" t="n"/>
      <c r="P1778" s="2" t="n"/>
    </row>
    <row r="1779">
      <c r="A1779" s="2" t="n">
        <v>1778</v>
      </c>
      <c r="B1779" s="2" t="inlineStr">
        <is>
          <t>не сюжет</t>
        </is>
      </c>
      <c r="C1779" s="2" t="n">
        <v>12856</v>
      </c>
      <c r="D1779" s="3" t="inlineStr">
        <is>
          <t>Шарик-зазнайка</t>
        </is>
      </c>
      <c r="E1779" s="2" t="n">
        <v>1971</v>
      </c>
      <c r="F1779" s="2" t="inlineStr">
        <is>
          <t>мультфильм</t>
        </is>
      </c>
      <c r="G1779" s="2" t="inlineStr">
        <is>
          <t>ГРУЗИЯ-ФИЛЬМ - АО</t>
        </is>
      </c>
      <c r="H1779" s="2" t="n">
        <v>71</v>
      </c>
      <c r="I1779" s="2" t="inlineStr"/>
      <c r="J1779" s="2" t="inlineStr">
        <is>
          <t>да</t>
        </is>
      </c>
      <c r="K1779" s="3" t="inlineStr">
        <is>
          <t>Три сюжета о Шарике-зазнайке, Медвежонке-лакомке и проказнице Мартышке.</t>
        </is>
      </c>
      <c r="L1779" s="2" t="inlineStr">
        <is>
          <t>https://animator.ru/db/?p=show_film&amp;fid=4082</t>
        </is>
      </c>
      <c r="M1779" s="2">
        <f>HYPERLINK("https://ru.wikipedia.org/w/index.php?search=%D0%A8%D0%B0%D1%80%D0%B8%D0%BA-%D0%B7%D0%B0%D0%B7%D0%BD%D0%B0%D0%B9%D0%BA%D0%B0%201971%20%D1%84%D0%B8%D0%BB%D1%8C%D0%BC","искать")</f>
        <v/>
      </c>
      <c r="N1779" s="3" t="n"/>
      <c r="O1779" s="2" t="n"/>
      <c r="P1779" s="2" t="n"/>
    </row>
    <row r="1780">
      <c r="A1780" s="2" t="n">
        <v>1779</v>
      </c>
      <c r="B1780" s="2" t="inlineStr">
        <is>
          <t>не сюжет</t>
        </is>
      </c>
      <c r="C1780" s="2" t="n">
        <v>13373</v>
      </c>
      <c r="D1780" s="3" t="inlineStr">
        <is>
          <t>Муми-Дол. Все дело в шляпе</t>
        </is>
      </c>
      <c r="E1780" s="2" t="n">
        <v>1980</v>
      </c>
      <c r="F1780" s="2" t="inlineStr">
        <is>
          <t>мультфильм</t>
        </is>
      </c>
      <c r="G1780" s="2" t="inlineStr">
        <is>
          <t>СВЕРДЛОВСКТЕЛЕФИЛЬМ</t>
        </is>
      </c>
      <c r="H1780" s="2" t="n">
        <v>71</v>
      </c>
      <c r="I1780" s="2" t="inlineStr"/>
      <c r="J1780" s="2" t="inlineStr">
        <is>
          <t>да</t>
        </is>
      </c>
      <c r="K1780" s="3" t="inlineStr">
        <is>
          <t>Первый мультфильм из трилогии по сказке Туви Янсона "Шляпа волшебника".</t>
        </is>
      </c>
      <c r="L1780" s="2" t="inlineStr">
        <is>
          <t>2026-10_мультфильмы_список_владельца.xlsx; https://animator.ru/db/?p=show_film&amp;fid=4651</t>
        </is>
      </c>
      <c r="M1780" s="2">
        <f>HYPERLINK("https://ru.wikipedia.org/w/index.php?search=%D0%9C%D1%83%D0%BC%D0%B8-%D0%94%D0%BE%D0%BB.%20%D0%92%D1%81%D0%B5%20%D0%B4%D0%B5%D0%BB%D0%BE%20%D0%B2%20%D1%88%D0%BB%D1%8F%D0%BF%D0%B5%201980%20%D1%84%D0%B8%D0%BB%D1%8C%D0%BC","искать")</f>
        <v/>
      </c>
      <c r="N1780" s="3" t="n"/>
      <c r="O1780" s="2" t="n"/>
      <c r="P1780" s="2" t="n"/>
    </row>
    <row r="1781">
      <c r="A1781" s="2" t="n">
        <v>1780</v>
      </c>
      <c r="B1781" s="2" t="inlineStr">
        <is>
          <t>не сюжет</t>
        </is>
      </c>
      <c r="C1781" s="2" t="n">
        <v>13742</v>
      </c>
      <c r="D1781" s="3" t="inlineStr">
        <is>
          <t>Крем-Брюле</t>
        </is>
      </c>
      <c r="E1781" s="2" t="n">
        <v>1984</v>
      </c>
      <c r="F1781" s="2" t="inlineStr">
        <is>
          <t>мультфильм</t>
        </is>
      </c>
      <c r="G1781" s="2" t="inlineStr">
        <is>
          <t>ЭКРАН</t>
        </is>
      </c>
      <c r="H1781" s="2" t="n">
        <v>71</v>
      </c>
      <c r="I1781" s="2" t="inlineStr"/>
      <c r="J1781" s="2" t="inlineStr">
        <is>
          <t>да</t>
        </is>
      </c>
      <c r="K1781" s="3" t="inlineStr">
        <is>
          <t>Еще одна история о дружбе Тушканчика: Дикобраза и Черепахи. Для малышей</t>
        </is>
      </c>
      <c r="L1781" s="2" t="inlineStr">
        <is>
          <t>https://animator.ru/db/?p=show_film&amp;fid=5135</t>
        </is>
      </c>
      <c r="M1781" s="2">
        <f>HYPERLINK("https://ru.wikipedia.org/w/index.php?search=%D0%9A%D1%80%D0%B5%D0%BC-%D0%91%D1%80%D1%8E%D0%BB%D0%B5%201984%20%D1%84%D0%B8%D0%BB%D1%8C%D0%BC","искать")</f>
        <v/>
      </c>
      <c r="N1781" s="3" t="n"/>
      <c r="O1781" s="2" t="n"/>
      <c r="P1781" s="2" t="n"/>
    </row>
    <row r="1782">
      <c r="A1782" s="2" t="n">
        <v>1781</v>
      </c>
      <c r="B1782" s="2" t="inlineStr">
        <is>
          <t>не сюжет</t>
        </is>
      </c>
      <c r="C1782" s="2" t="n">
        <v>13896</v>
      </c>
      <c r="D1782" s="3" t="inlineStr">
        <is>
          <t>Олимпиада-80. Скоростной бег на коньках</t>
        </is>
      </c>
      <c r="E1782" s="2" t="n">
        <v>1981</v>
      </c>
      <c r="F1782" s="2" t="inlineStr">
        <is>
          <t>мультфильм</t>
        </is>
      </c>
      <c r="G1782" s="2" t="inlineStr">
        <is>
          <t>ЭКРАН</t>
        </is>
      </c>
      <c r="H1782" s="2" t="n">
        <v>71</v>
      </c>
      <c r="I1782" s="2" t="inlineStr"/>
      <c r="J1782" s="2" t="inlineStr">
        <is>
          <t>да</t>
        </is>
      </c>
      <c r="K1782" s="3" t="inlineStr">
        <is>
          <t>Использована музыка А.Островского. Из цикла микрофильмов о видах спорта</t>
        </is>
      </c>
      <c r="L1782" s="2" t="inlineStr">
        <is>
          <t>https://animator.ru/db/?p=show_film&amp;fid=5290</t>
        </is>
      </c>
      <c r="M1782" s="2">
        <f>HYPERLINK("https://ru.wikipedia.org/w/index.php?search=%D0%9E%D0%BB%D0%B8%D0%BC%D0%BF%D0%B8%D0%B0%D0%B4%D0%B0-80.%20%D0%A1%D0%BA%D0%BE%D1%80%D0%BE%D1%81%D1%82%D0%BD%D0%BE%D0%B9%20%D0%B1%D0%B5%D0%B3%20%D0%BD%D0%B0%20%D0%BA%D0%BE%D0%BD%D1%8C%D0%BA%D0%B0%D1%85%201981%20%D1%84%D0%B8%D0%BB%D1%8C%D0%BC","искать")</f>
        <v/>
      </c>
      <c r="N1782" s="3" t="n"/>
      <c r="O1782" s="2" t="n"/>
      <c r="P1782" s="2" t="n"/>
    </row>
    <row r="1783">
      <c r="A1783" s="2" t="n">
        <v>1782</v>
      </c>
      <c r="B1783" s="2" t="inlineStr">
        <is>
          <t>не сюжет</t>
        </is>
      </c>
      <c r="C1783" s="2" t="n">
        <v>14127</v>
      </c>
      <c r="D1783" s="3" t="inlineStr">
        <is>
          <t>ЛЕСНЫЕ СКАЗКИ. Фильм первый</t>
        </is>
      </c>
      <c r="E1783" s="2" t="n">
        <v>1978</v>
      </c>
      <c r="F1783" s="2" t="inlineStr">
        <is>
          <t>мультфильм</t>
        </is>
      </c>
      <c r="G1783" s="2" t="inlineStr">
        <is>
          <t>КУЙБЫШЕВТЕЛЕФИЛЬМ</t>
        </is>
      </c>
      <c r="H1783" s="2" t="n">
        <v>71</v>
      </c>
      <c r="I1783" s="2" t="inlineStr"/>
      <c r="J1783" s="2" t="inlineStr">
        <is>
          <t>да</t>
        </is>
      </c>
      <c r="K1783" s="3" t="inlineStr">
        <is>
          <t>По потивам сказок Братьев Бондаренко "Недоразумение", "Пень" и "Орешек"</t>
        </is>
      </c>
      <c r="L1783" s="2" t="inlineStr">
        <is>
          <t>https://animator.ru/db/?p=show_film&amp;fid=5525</t>
        </is>
      </c>
      <c r="M1783" s="2">
        <f>HYPERLINK("https://ru.wikipedia.org/w/index.php?search=%D0%9B%D0%95%D0%A1%D0%9D%D0%AB%D0%95%20%D0%A1%D0%9A%D0%90%D0%97%D0%9A%D0%98.%20%D0%A4%D0%B8%D0%BB%D1%8C%D0%BC%20%D0%BF%D0%B5%D1%80%D0%B2%D1%8B%D0%B9%201978%20%D1%84%D0%B8%D0%BB%D1%8C%D0%BC","искать")</f>
        <v/>
      </c>
      <c r="N1783" s="3" t="n"/>
      <c r="O1783" s="2" t="n"/>
      <c r="P1783" s="2" t="n"/>
    </row>
    <row r="1784">
      <c r="A1784" s="2" t="n">
        <v>1783</v>
      </c>
      <c r="B1784" s="2" t="inlineStr">
        <is>
          <t>не сюжет</t>
        </is>
      </c>
      <c r="C1784" s="2" t="n">
        <v>9033</v>
      </c>
      <c r="D1784" s="3" t="inlineStr">
        <is>
          <t>Светлая речка Вздвиженка</t>
        </is>
      </c>
      <c r="E1784" s="2" t="n">
        <v>1971</v>
      </c>
      <c r="F1784" s="2" t="inlineStr">
        <is>
          <t>кинофильм</t>
        </is>
      </c>
      <c r="G1784" s="2" t="n"/>
      <c r="H1784" s="2" t="n">
        <v>72</v>
      </c>
      <c r="I1784" s="2" t="inlineStr"/>
      <c r="J1784" s="2" t="inlineStr">
        <is>
          <t>да</t>
        </is>
      </c>
      <c r="K1784" s="3" t="inlineStr">
        <is>
          <t>Поэтический рассказ о деревне, ее людях, красоте человеческих отношений.</t>
        </is>
      </c>
      <c r="L1784" s="2" t="inlineStr">
        <is>
          <t>Кино_СССР сводный каталог.xlsx: список фильмов (доп.)</t>
        </is>
      </c>
      <c r="M1784" s="2">
        <f>HYPERLINK("https://ru.wikipedia.org/w/index.php?search=%D0%A1%D0%B2%D0%B5%D1%82%D0%BB%D0%B0%D1%8F%20%D1%80%D0%B5%D1%87%D0%BA%D0%B0%20%D0%92%D0%B7%D0%B4%D0%B2%D0%B8%D0%B6%D0%B5%D0%BD%D0%BA%D0%B0%201971%20%D1%84%D0%B8%D0%BB%D1%8C%D0%BC","искать")</f>
        <v/>
      </c>
      <c r="N1784" s="3" t="n"/>
      <c r="O1784" s="2" t="n"/>
      <c r="P1784" s="2" t="n"/>
    </row>
    <row r="1785">
      <c r="A1785" s="2" t="n">
        <v>1784</v>
      </c>
      <c r="B1785" s="2" t="inlineStr">
        <is>
          <t>не сюжет</t>
        </is>
      </c>
      <c r="C1785" s="2" t="n">
        <v>10140</v>
      </c>
      <c r="D1785" s="3" t="inlineStr">
        <is>
          <t>Воскресение</t>
        </is>
      </c>
      <c r="E1785" s="2" t="n">
        <v>1965</v>
      </c>
      <c r="F1785" s="2" t="inlineStr">
        <is>
          <t>фильм-спектакль</t>
        </is>
      </c>
      <c r="G1785" s="2" t="inlineStr">
        <is>
          <t>Ленинградское телевидение</t>
        </is>
      </c>
      <c r="H1785" s="2" t="n">
        <v>72</v>
      </c>
      <c r="I1785" s="2" t="inlineStr"/>
      <c r="J1785" s="2" t="inlineStr">
        <is>
          <t>да</t>
        </is>
      </c>
      <c r="K1785" s="3" t="inlineStr">
        <is>
          <t>Спектакль Ленинградского театра им. Комиссаржевской по роману Л.Толстого</t>
        </is>
      </c>
      <c r="L1785" s="2" t="inlineStr">
        <is>
          <t>https://www.kino-teatr.ru/teatr/movie/136093/annot/</t>
        </is>
      </c>
      <c r="M1785" s="2">
        <f>HYPERLINK("https://ru.wikipedia.org/w/index.php?search=%D0%92%D0%BE%D1%81%D0%BA%D1%80%D0%B5%D1%81%D0%B5%D0%BD%D0%B8%D0%B5%201965%20%D1%84%D0%B8%D0%BB%D1%8C%D0%BC","искать")</f>
        <v/>
      </c>
      <c r="N1785" s="3" t="n"/>
      <c r="O1785" s="2" t="n"/>
      <c r="P1785" s="2" t="n"/>
    </row>
    <row r="1786">
      <c r="A1786" s="2" t="n">
        <v>1785</v>
      </c>
      <c r="B1786" s="2" t="inlineStr">
        <is>
          <t>не сюжет</t>
        </is>
      </c>
      <c r="C1786" s="2" t="n">
        <v>10147</v>
      </c>
      <c r="D1786" s="3" t="inlineStr">
        <is>
          <t>Нос</t>
        </is>
      </c>
      <c r="E1786" s="2" t="n">
        <v>1965</v>
      </c>
      <c r="F1786" s="2" t="inlineStr">
        <is>
          <t>фильм-спектакль</t>
        </is>
      </c>
      <c r="G1786" s="2" t="inlineStr">
        <is>
          <t>Ленинградское ТВ, Подборки фильмов, экранизации Гоголя</t>
        </is>
      </c>
      <c r="H1786" s="2" t="n">
        <v>72</v>
      </c>
      <c r="I1786" s="2" t="inlineStr"/>
      <c r="J1786" s="2" t="inlineStr">
        <is>
          <t>да</t>
        </is>
      </c>
      <c r="K1786" s="3" t="inlineStr">
        <is>
          <t>Телеспектакль, эксцентрическая драма.
По одноименной повести Н.В.Гоголя.</t>
        </is>
      </c>
      <c r="L1786" s="2" t="inlineStr">
        <is>
          <t>https://www.kino-teatr.ru/teatr/movie/8686/annot/</t>
        </is>
      </c>
      <c r="M1786" s="2">
        <f>HYPERLINK("https://ru.wikipedia.org/w/index.php?search=%D0%9D%D0%BE%D1%81%201965%20%D1%84%D0%B8%D0%BB%D1%8C%D0%BC","искать")</f>
        <v/>
      </c>
      <c r="N1786" s="3" t="n"/>
      <c r="O1786" s="2" t="n"/>
      <c r="P1786" s="2" t="n"/>
    </row>
    <row r="1787">
      <c r="A1787" s="2" t="n">
        <v>1786</v>
      </c>
      <c r="B1787" s="2" t="inlineStr">
        <is>
          <t>не сюжет</t>
        </is>
      </c>
      <c r="C1787" s="2" t="n">
        <v>10228</v>
      </c>
      <c r="D1787" s="3" t="inlineStr">
        <is>
          <t>Ать-два... и в дамки!</t>
        </is>
      </c>
      <c r="E1787" s="2" t="n">
        <v>1968</v>
      </c>
      <c r="F1787" s="2" t="inlineStr">
        <is>
          <t>фильм-спектакль</t>
        </is>
      </c>
      <c r="G1787" s="2" t="inlineStr">
        <is>
          <t>Ленинградское ТВ</t>
        </is>
      </c>
      <c r="H1787" s="2" t="n">
        <v>72</v>
      </c>
      <c r="I1787" s="2" t="inlineStr"/>
      <c r="J1787" s="2" t="inlineStr">
        <is>
          <t>да</t>
        </is>
      </c>
      <c r="K1787" s="3" t="inlineStr">
        <is>
          <t>По мотивам памфлета "Об этом помалкивают" финского писателя Марти Ларни.</t>
        </is>
      </c>
      <c r="L1787" s="2" t="inlineStr">
        <is>
          <t>https://www.kino-teatr.ru/teatr/movie/121564/annot/</t>
        </is>
      </c>
      <c r="M1787" s="2">
        <f>HYPERLINK("https://ru.wikipedia.org/w/index.php?search=%D0%90%D1%82%D1%8C-%D0%B4%D0%B2%D0%B0...%20%D0%B8%20%D0%B2%20%D0%B4%D0%B0%D0%BC%D0%BA%D0%B8%21%201968%20%D1%84%D0%B8%D0%BB%D1%8C%D0%BC","искать")</f>
        <v/>
      </c>
      <c r="N1787" s="3" t="n"/>
      <c r="O1787" s="2" t="n"/>
      <c r="P1787" s="2" t="n"/>
    </row>
    <row r="1788">
      <c r="A1788" s="2" t="n">
        <v>1787</v>
      </c>
      <c r="B1788" s="2" t="inlineStr">
        <is>
          <t>не сюжет</t>
        </is>
      </c>
      <c r="C1788" s="2" t="n">
        <v>10384</v>
      </c>
      <c r="D1788" s="3" t="inlineStr">
        <is>
          <t>Возмездие</t>
        </is>
      </c>
      <c r="E1788" s="2" t="n">
        <v>1971</v>
      </c>
      <c r="F1788" s="2" t="inlineStr">
        <is>
          <t>фильм-спектакль</t>
        </is>
      </c>
      <c r="G1788" s="2" t="n"/>
      <c r="H1788" s="2" t="n">
        <v>72</v>
      </c>
      <c r="I1788" s="2" t="inlineStr"/>
      <c r="J1788" s="2" t="inlineStr">
        <is>
          <t>да</t>
        </is>
      </c>
      <c r="K1788" s="3" t="inlineStr">
        <is>
          <t>В основе спектакля - одноименная поэма и стихотворения Александра Блока.</t>
        </is>
      </c>
      <c r="L1788" s="2" t="inlineStr">
        <is>
          <t>https://www.kino-teatr.ru/teatr/movie/81416/annot/</t>
        </is>
      </c>
      <c r="M1788" s="2">
        <f>HYPERLINK("https://ru.wikipedia.org/w/index.php?search=%D0%92%D0%BE%D0%B7%D0%BC%D0%B5%D0%B7%D0%B4%D0%B8%D0%B5%201971%20%D1%84%D0%B8%D0%BB%D1%8C%D0%BC","искать")</f>
        <v/>
      </c>
      <c r="N1788" s="3" t="n"/>
      <c r="O1788" s="2" t="n"/>
      <c r="P1788" s="2" t="n"/>
    </row>
    <row r="1789">
      <c r="A1789" s="2" t="n">
        <v>1788</v>
      </c>
      <c r="B1789" s="2" t="inlineStr">
        <is>
          <t>не сюжет</t>
        </is>
      </c>
      <c r="C1789" s="2" t="n">
        <v>10562</v>
      </c>
      <c r="D1789" s="3" t="inlineStr">
        <is>
          <t>Еще раз о Шерлоке Холмсе</t>
        </is>
      </c>
      <c r="E1789" s="2" t="n">
        <v>1974</v>
      </c>
      <c r="F1789" s="2" t="inlineStr">
        <is>
          <t>фильм-спектакль</t>
        </is>
      </c>
      <c r="G1789" s="2" t="inlineStr">
        <is>
          <t>Ленинградское телевидение</t>
        </is>
      </c>
      <c r="H1789" s="2" t="n">
        <v>72</v>
      </c>
      <c r="I1789" s="2" t="inlineStr"/>
      <c r="J1789" s="2" t="inlineStr">
        <is>
          <t>да</t>
        </is>
      </c>
      <c r="K1789" s="3" t="inlineStr">
        <is>
          <t>Музыкальный телеспектакль по повести Артура Конан Дойла "Долина страха".</t>
        </is>
      </c>
      <c r="L1789" s="2" t="inlineStr">
        <is>
          <t>https://www.kino-teatr.ru/teatr/movie/111614/annot/</t>
        </is>
      </c>
      <c r="M1789" s="2">
        <f>HYPERLINK("https://ru.wikipedia.org/w/index.php?search=%D0%95%D1%89%D0%B5%20%D1%80%D0%B0%D0%B7%20%D0%BE%20%D0%A8%D0%B5%D1%80%D0%BB%D0%BE%D0%BA%D0%B5%20%D0%A5%D0%BE%D0%BB%D0%BC%D1%81%D0%B5%201974%20%D1%84%D0%B8%D0%BB%D1%8C%D0%BC","искать")</f>
        <v/>
      </c>
      <c r="N1789" s="3" t="n"/>
      <c r="O1789" s="2" t="n"/>
      <c r="P1789" s="2" t="n"/>
    </row>
    <row r="1790">
      <c r="A1790" s="2" t="n">
        <v>1789</v>
      </c>
      <c r="B1790" s="2" t="inlineStr">
        <is>
          <t>не сюжет</t>
        </is>
      </c>
      <c r="C1790" s="2" t="n">
        <v>11948</v>
      </c>
      <c r="D1790" s="3" t="inlineStr">
        <is>
          <t>Разлученные</t>
        </is>
      </c>
      <c r="E1790" s="2" t="n">
        <v>1980</v>
      </c>
      <c r="F1790" s="2" t="inlineStr">
        <is>
          <t>мультфильм</t>
        </is>
      </c>
      <c r="G1790" s="2" t="inlineStr">
        <is>
          <t>Союзмультфильм</t>
        </is>
      </c>
      <c r="H1790" s="2" t="n">
        <v>72</v>
      </c>
      <c r="I1790" s="2" t="inlineStr"/>
      <c r="J1790" s="2" t="inlineStr">
        <is>
          <t>да</t>
        </is>
      </c>
      <c r="K1790" s="3" t="inlineStr">
        <is>
          <t>По мотивам сказки Ю.Олеши "Три толстяка"
Песни на стихи Дезика Самойлова</t>
        </is>
      </c>
      <c r="L1790" s="2" t="inlineStr">
        <is>
          <t>https://animator.ru/db/?p=show_film&amp;fid=2864</t>
        </is>
      </c>
      <c r="M1790" s="2">
        <f>HYPERLINK("https://ru.wikipedia.org/w/index.php?search=%D0%A0%D0%B0%D0%B7%D0%BB%D1%83%D1%87%D0%B5%D0%BD%D0%BD%D1%8B%D0%B5%201980%20%D1%84%D0%B8%D0%BB%D1%8C%D0%BC","искать")</f>
        <v/>
      </c>
      <c r="N1790" s="3" t="n"/>
      <c r="O1790" s="2" t="n"/>
      <c r="P1790" s="2" t="n"/>
    </row>
    <row r="1791">
      <c r="A1791" s="2" t="n">
        <v>1790</v>
      </c>
      <c r="B1791" s="2" t="inlineStr">
        <is>
          <t>не сюжет</t>
        </is>
      </c>
      <c r="C1791" s="2" t="n">
        <v>11986</v>
      </c>
      <c r="D1791" s="3" t="inlineStr">
        <is>
          <t>Метеор и другие. 8. Приходи на каток</t>
        </is>
      </c>
      <c r="E1791" s="2" t="n">
        <v>1981</v>
      </c>
      <c r="F1791" s="2" t="inlineStr">
        <is>
          <t>мультфильм</t>
        </is>
      </c>
      <c r="G1791" s="2" t="inlineStr">
        <is>
          <t>Союзмультфильм</t>
        </is>
      </c>
      <c r="H1791" s="2" t="n">
        <v>72</v>
      </c>
      <c r="I1791" s="2" t="inlineStr"/>
      <c r="J1791" s="2" t="inlineStr">
        <is>
          <t>да</t>
        </is>
      </c>
      <c r="K1791" s="3" t="inlineStr">
        <is>
          <t>Анимационная фантазия на тему конькобежного спорта. Для всякой аудитории</t>
        </is>
      </c>
      <c r="L1791" s="2" t="inlineStr">
        <is>
          <t>https://animator.ru/db/?p=show_film&amp;fid=3100</t>
        </is>
      </c>
      <c r="M1791" s="2">
        <f>HYPERLINK("https://ru.wikipedia.org/w/index.php?search=%D0%9C%D0%B5%D1%82%D0%B5%D0%BE%D1%80%20%D0%B8%20%D0%B4%D1%80%D1%83%D0%B3%D0%B8%D0%B5.%208.%20%D0%9F%D1%80%D0%B8%D1%85%D0%BE%D0%B4%D0%B8%20%D0%BD%D0%B0%20%D0%BA%D0%B0%D1%82%D0%BE%D0%BA%201981%20%D1%84%D0%B8%D0%BB%D1%8C%D0%BC","искать")</f>
        <v/>
      </c>
      <c r="N1791" s="3" t="n"/>
      <c r="O1791" s="2" t="n"/>
      <c r="P1791" s="2" t="n"/>
    </row>
    <row r="1792">
      <c r="A1792" s="2" t="n">
        <v>1791</v>
      </c>
      <c r="B1792" s="2" t="inlineStr">
        <is>
          <t>не сюжет</t>
        </is>
      </c>
      <c r="C1792" s="2" t="n">
        <v>12078</v>
      </c>
      <c r="D1792" s="3" t="inlineStr">
        <is>
          <t>Контакты и конфликты</t>
        </is>
      </c>
      <c r="E1792" s="2" t="n">
        <v>1984</v>
      </c>
      <c r="F1792" s="2" t="inlineStr">
        <is>
          <t>мультфильм</t>
        </is>
      </c>
      <c r="G1792" s="2" t="inlineStr">
        <is>
          <t>Союзмультфильм</t>
        </is>
      </c>
      <c r="H1792" s="2" t="n">
        <v>72</v>
      </c>
      <c r="I1792" s="2" t="inlineStr"/>
      <c r="J1792" s="2" t="inlineStr">
        <is>
          <t>да</t>
        </is>
      </c>
      <c r="K1792" s="3" t="inlineStr">
        <is>
          <t>Сатирический фильм для взрослых о проблемах общения. Песни П.Овсянникова</t>
        </is>
      </c>
      <c r="L1792" s="2" t="inlineStr">
        <is>
          <t>https://animator.ru/db/?p=show_film&amp;fid=3193</t>
        </is>
      </c>
      <c r="M1792" s="2">
        <f>HYPERLINK("https://ru.wikipedia.org/w/index.php?search=%D0%9A%D0%BE%D0%BD%D1%82%D0%B0%D0%BA%D1%82%D1%8B%20%D0%B8%20%D0%BA%D0%BE%D0%BD%D1%84%D0%BB%D0%B8%D0%BA%D1%82%D1%8B%201984%20%D1%84%D0%B8%D0%BB%D1%8C%D0%BC","искать")</f>
        <v/>
      </c>
      <c r="N1792" s="3" t="n"/>
      <c r="O1792" s="2" t="n"/>
      <c r="P1792" s="2" t="n"/>
    </row>
    <row r="1793">
      <c r="A1793" s="2" t="n">
        <v>1792</v>
      </c>
      <c r="B1793" s="2" t="inlineStr">
        <is>
          <t>не сюжет</t>
        </is>
      </c>
      <c r="C1793" s="2" t="n">
        <v>12380</v>
      </c>
      <c r="D1793" s="3" t="inlineStr">
        <is>
          <t>Знаменитый утенок тим</t>
        </is>
      </c>
      <c r="E1793" s="2" t="n">
        <v>1970</v>
      </c>
      <c r="F1793" s="2" t="inlineStr">
        <is>
          <t>мультфильм</t>
        </is>
      </c>
      <c r="G1793" s="2" t="inlineStr">
        <is>
          <t>КИЕВНАУЧФИЛЬМ</t>
        </is>
      </c>
      <c r="H1793" s="2" t="n">
        <v>72</v>
      </c>
      <c r="I1793" s="2" t="inlineStr"/>
      <c r="J1793" s="2" t="inlineStr">
        <is>
          <t>да</t>
        </is>
      </c>
      <c r="K1793" s="3" t="inlineStr">
        <is>
          <t>По мотивам сказки Э.Блайтона. Вариант названия "Утенок Тим". Для малышей</t>
        </is>
      </c>
      <c r="L1793" s="2" t="inlineStr">
        <is>
          <t>https://animator.ru/db/?p=show_film&amp;fid=3550</t>
        </is>
      </c>
      <c r="M1793" s="2">
        <f>HYPERLINK("https://ru.wikipedia.org/w/index.php?search=%D0%97%D0%BD%D0%B0%D0%BC%D0%B5%D0%BD%D0%B8%D1%82%D1%8B%D0%B9%20%D1%83%D1%82%D0%B5%D0%BD%D0%BE%D0%BA%20%D1%82%D0%B8%D0%BC%201970%20%D1%84%D0%B8%D0%BB%D1%8C%D0%BC","искать")</f>
        <v/>
      </c>
      <c r="N1793" s="3" t="n"/>
      <c r="O1793" s="2" t="n"/>
      <c r="P1793" s="2" t="n"/>
    </row>
    <row r="1794">
      <c r="A1794" s="2" t="n">
        <v>1793</v>
      </c>
      <c r="B1794" s="2" t="inlineStr">
        <is>
          <t>не сюжет</t>
        </is>
      </c>
      <c r="C1794" s="2" t="n">
        <v>12426</v>
      </c>
      <c r="D1794" s="3" t="inlineStr">
        <is>
          <t>Когда встречаются двое</t>
        </is>
      </c>
      <c r="E1794" s="2" t="n">
        <v>1980</v>
      </c>
      <c r="F1794" s="2" t="inlineStr">
        <is>
          <t>мультфильм</t>
        </is>
      </c>
      <c r="G1794" s="2" t="inlineStr">
        <is>
          <t>КИЕВНАУЧФИЛЬМ</t>
        </is>
      </c>
      <c r="H1794" s="2" t="n">
        <v>72</v>
      </c>
      <c r="I1794" s="2" t="inlineStr"/>
      <c r="J1794" s="2" t="inlineStr">
        <is>
          <t>да</t>
        </is>
      </c>
      <c r="K1794" s="3" t="inlineStr">
        <is>
          <t>Для взрослых. Как найти решение конфликта, приемлемое для спорящх сторон</t>
        </is>
      </c>
      <c r="L1794" s="2" t="inlineStr">
        <is>
          <t>https://animator.ru/db/?p=show_film&amp;fid=3597</t>
        </is>
      </c>
      <c r="M1794" s="2">
        <f>HYPERLINK("https://ru.wikipedia.org/w/index.php?search=%D0%9A%D0%BE%D0%B3%D0%B4%D0%B0%20%D0%B2%D1%81%D1%82%D1%80%D0%B5%D1%87%D0%B0%D1%8E%D1%82%D1%81%D1%8F%20%D0%B4%D0%B2%D0%BE%D0%B5%201980%20%D1%84%D0%B8%D0%BB%D1%8C%D0%BC","искать")</f>
        <v/>
      </c>
      <c r="N1794" s="3" t="n"/>
      <c r="O1794" s="2" t="n"/>
      <c r="P1794" s="2" t="n"/>
    </row>
    <row r="1795">
      <c r="A1795" s="2" t="n">
        <v>1794</v>
      </c>
      <c r="B1795" s="2" t="inlineStr">
        <is>
          <t>не сюжет</t>
        </is>
      </c>
      <c r="C1795" s="2" t="n">
        <v>12688</v>
      </c>
      <c r="D1795" s="3" t="inlineStr">
        <is>
          <t>Очень старый человек с огромными крыльями</t>
        </is>
      </c>
      <c r="E1795" s="2" t="n">
        <v>1990</v>
      </c>
      <c r="F1795" s="2" t="inlineStr">
        <is>
          <t>мультфильм</t>
        </is>
      </c>
      <c r="G1795" s="2" t="inlineStr">
        <is>
          <t>БЕЛАРУСЬФИЛЬМ НАЦИОНАЛЬНАЯ КИНОСТУДИЯ - ГП</t>
        </is>
      </c>
      <c r="H1795" s="2" t="n">
        <v>72</v>
      </c>
      <c r="I1795" s="2" t="inlineStr"/>
      <c r="J1795" s="2" t="inlineStr">
        <is>
          <t>да</t>
        </is>
      </c>
      <c r="K1795" s="3" t="inlineStr">
        <is>
          <t>По молтивам одноименного рассказа Габриеля Гарсиа Маркеса (для взрослых)</t>
        </is>
      </c>
      <c r="L1795" s="2" t="inlineStr">
        <is>
          <t>https://animator.ru/db/?p=show_film&amp;fid=3883</t>
        </is>
      </c>
      <c r="M1795" s="2">
        <f>HYPERLINK("https://ru.wikipedia.org/w/index.php?search=%D0%9E%D1%87%D0%B5%D0%BD%D1%8C%20%D1%81%D1%82%D0%B0%D1%80%D1%8B%D0%B9%20%D1%87%D0%B5%D0%BB%D0%BE%D0%B2%D0%B5%D0%BA%20%D1%81%20%D0%BE%D0%B3%D1%80%D0%BE%D0%BC%D0%BD%D1%8B%D0%BC%D0%B8%20%D0%BA%D1%80%D1%8B%D0%BB%D1%8C%D1%8F%D0%BC%D0%B8%201990%20%D1%84%D0%B8%D0%BB%D1%8C%D0%BC","искать")</f>
        <v/>
      </c>
      <c r="N1795" s="3" t="n"/>
      <c r="O1795" s="2" t="n"/>
      <c r="P1795" s="2" t="n"/>
    </row>
    <row r="1796">
      <c r="A1796" s="2" t="n">
        <v>1795</v>
      </c>
      <c r="B1796" s="2" t="inlineStr">
        <is>
          <t>не сюжет</t>
        </is>
      </c>
      <c r="C1796" s="2" t="n">
        <v>12800</v>
      </c>
      <c r="D1796" s="3" t="inlineStr">
        <is>
          <t>Две новеллы. Оптимист</t>
        </is>
      </c>
      <c r="E1796" s="2" t="n">
        <v>1972</v>
      </c>
      <c r="F1796" s="2" t="inlineStr">
        <is>
          <t>мультфильм</t>
        </is>
      </c>
      <c r="G1796" s="2" t="inlineStr">
        <is>
          <t>ГРУЗИЯ-ФИЛЬМ - АО</t>
        </is>
      </c>
      <c r="H1796" s="2" t="n">
        <v>72</v>
      </c>
      <c r="I1796" s="2" t="inlineStr"/>
      <c r="J1796" s="2" t="inlineStr">
        <is>
          <t>да</t>
        </is>
      </c>
      <c r="K1796" s="3" t="inlineStr">
        <is>
          <t>По мотивам новеллы Сулхан-Саба Орбелиани. Общий метраж выпуска - 1 часть</t>
        </is>
      </c>
      <c r="L1796" s="2" t="inlineStr">
        <is>
          <t>https://animator.ru/db/?p=show_film&amp;fid=4011</t>
        </is>
      </c>
      <c r="M1796" s="2">
        <f>HYPERLINK("https://ru.wikipedia.org/w/index.php?search=%D0%94%D0%B2%D0%B5%20%D0%BD%D0%BE%D0%B2%D0%B5%D0%BB%D0%BB%D1%8B.%20%D0%9E%D0%BF%D1%82%D0%B8%D0%BC%D0%B8%D1%81%D1%82%201972%20%D1%84%D0%B8%D0%BB%D1%8C%D0%BC","искать")</f>
        <v/>
      </c>
      <c r="N1796" s="3" t="n"/>
      <c r="O1796" s="2" t="n"/>
      <c r="P1796" s="2" t="n"/>
    </row>
    <row r="1797">
      <c r="A1797" s="2" t="n">
        <v>1796</v>
      </c>
      <c r="B1797" s="2" t="inlineStr">
        <is>
          <t>не сюжет</t>
        </is>
      </c>
      <c r="C1797" s="2" t="n">
        <v>12841</v>
      </c>
      <c r="D1797" s="3" t="inlineStr">
        <is>
          <t>Руки</t>
        </is>
      </c>
      <c r="E1797" s="2" t="n">
        <v>1975</v>
      </c>
      <c r="F1797" s="2" t="inlineStr">
        <is>
          <t>мультфильм</t>
        </is>
      </c>
      <c r="G1797" s="2" t="inlineStr">
        <is>
          <t>ГРУЗИЯ-ФИЛЬМ - АО</t>
        </is>
      </c>
      <c r="H1797" s="2" t="n">
        <v>72</v>
      </c>
      <c r="I1797" s="2" t="inlineStr"/>
      <c r="J1797" s="2" t="inlineStr">
        <is>
          <t>да</t>
        </is>
      </c>
      <c r="K1797" s="3" t="inlineStr">
        <is>
          <t>Три миниатюры - "А ну-ка, ребята!", "Брак" и "Послушный" (для взрослых).</t>
        </is>
      </c>
      <c r="L1797" s="2" t="inlineStr">
        <is>
          <t>2026-10_мультфильмы_список_владельца.xlsx; https://animator.ru/db/?p=show_film&amp;fid=4063</t>
        </is>
      </c>
      <c r="M1797" s="2">
        <f>HYPERLINK("https://ru.wikipedia.org/w/index.php?search=%D0%A0%D1%83%D0%BA%D0%B8%201975%20%D1%84%D0%B8%D0%BB%D1%8C%D0%BC","искать")</f>
        <v/>
      </c>
      <c r="N1797" s="3" t="n"/>
      <c r="O1797" s="2" t="n"/>
      <c r="P1797" s="2" t="n"/>
    </row>
    <row r="1798">
      <c r="A1798" s="2" t="n">
        <v>1797</v>
      </c>
      <c r="B1798" s="2" t="inlineStr">
        <is>
          <t>не сюжет</t>
        </is>
      </c>
      <c r="C1798" s="2" t="n">
        <v>13231</v>
      </c>
      <c r="D1798" s="3" t="inlineStr">
        <is>
          <t>Друзья</t>
        </is>
      </c>
      <c r="E1798" s="2" t="n">
        <v>1970</v>
      </c>
      <c r="F1798" s="2" t="inlineStr">
        <is>
          <t>мультфильм</t>
        </is>
      </c>
      <c r="G1798" s="2" t="inlineStr">
        <is>
          <t>ТАЛЛИННФИЛЬМ</t>
        </is>
      </c>
      <c r="H1798" s="2" t="n">
        <v>72</v>
      </c>
      <c r="I1798" s="2" t="inlineStr"/>
      <c r="J1798" s="2" t="inlineStr">
        <is>
          <t>да</t>
        </is>
      </c>
      <c r="K1798" s="3" t="inlineStr">
        <is>
          <t>Включен в мультсборник студии "Союзмультфильм" "Неразбериха" (1971) (см)</t>
        </is>
      </c>
      <c r="L1798" s="2" t="inlineStr">
        <is>
          <t>https://animator.ru/db/?p=show_film&amp;fid=4473</t>
        </is>
      </c>
      <c r="M1798" s="2">
        <f>HYPERLINK("https://ru.wikipedia.org/w/index.php?search=%D0%94%D1%80%D1%83%D0%B7%D1%8C%D1%8F%201970%20%D1%84%D0%B8%D0%BB%D1%8C%D0%BC","искать")</f>
        <v/>
      </c>
      <c r="N1798" s="3" t="n"/>
      <c r="O1798" s="2" t="n"/>
      <c r="P1798" s="2" t="n"/>
    </row>
    <row r="1799">
      <c r="A1799" s="2" t="n">
        <v>1798</v>
      </c>
      <c r="B1799" s="2" t="inlineStr">
        <is>
          <t>не сюжет</t>
        </is>
      </c>
      <c r="C1799" s="2" t="n">
        <v>13384</v>
      </c>
      <c r="D1799" s="3" t="inlineStr">
        <is>
          <t>Муми-тролль и комета.</t>
        </is>
      </c>
      <c r="E1799" s="2" t="n">
        <v>1978</v>
      </c>
      <c r="F1799" s="2" t="inlineStr">
        <is>
          <t>мультфильм</t>
        </is>
      </c>
      <c r="G1799" s="2" t="inlineStr">
        <is>
          <t>СОЮЗТЕЛЕФИЛЬМ</t>
        </is>
      </c>
      <c r="H1799" s="2" t="n">
        <v>72</v>
      </c>
      <c r="I1799" s="2" t="inlineStr"/>
      <c r="J1799" s="2" t="inlineStr">
        <is>
          <t>да</t>
        </is>
      </c>
      <c r="K1799" s="3" t="inlineStr">
        <is>
          <t>Кукольный мультфильм по мотивам повести Т.Янссон "Муми-тролль и комета".</t>
        </is>
      </c>
      <c r="L1799" s="2" t="inlineStr">
        <is>
          <t>2026-10_мультфильмы_список_владельца.xlsx; https://animator.ru/db/?p=show_film&amp;fid=4664</t>
        </is>
      </c>
      <c r="M1799" s="2">
        <f>HYPERLINK("https://ru.wikipedia.org/w/index.php?search=%D0%9C%D1%83%D0%BC%D0%B8-%D1%82%D1%80%D0%BE%D0%BB%D0%BB%D1%8C%20%D0%B8%20%D0%BA%D0%BE%D0%BC%D0%B5%D1%82%D0%B0.%201978%20%D1%84%D0%B8%D0%BB%D1%8C%D0%BC","искать")</f>
        <v/>
      </c>
      <c r="N1799" s="3" t="n"/>
      <c r="O1799" s="2" t="n"/>
      <c r="P1799" s="2" t="n"/>
    </row>
    <row r="1800">
      <c r="A1800" s="2" t="n">
        <v>1799</v>
      </c>
      <c r="B1800" s="2" t="inlineStr">
        <is>
          <t>не сюжет</t>
        </is>
      </c>
      <c r="C1800" s="2" t="n">
        <v>13590</v>
      </c>
      <c r="D1800" s="3" t="inlineStr">
        <is>
          <t>Муми-тролль и другие</t>
        </is>
      </c>
      <c r="E1800" s="2" t="n">
        <v>1978</v>
      </c>
      <c r="F1800" s="2" t="inlineStr">
        <is>
          <t>мультфильм</t>
        </is>
      </c>
      <c r="G1800" s="2" t="inlineStr">
        <is>
          <t>СОЮЗТЕЛЕФИЛЬМ</t>
        </is>
      </c>
      <c r="H1800" s="2" t="n">
        <v>72</v>
      </c>
      <c r="I1800" s="2" t="inlineStr"/>
      <c r="J1800" s="2" t="inlineStr">
        <is>
          <t>да</t>
        </is>
      </c>
      <c r="K1800" s="3" t="inlineStr">
        <is>
          <t>Кукольный мультфильм по мотивам повести Т.Янссон "Муми-тролль и комета".</t>
        </is>
      </c>
      <c r="L1800" s="2" t="inlineStr">
        <is>
          <t>2026-10_мультфильмы_список_владельца.xlsx; https://animator.ru/db/?p=show_film&amp;fid=4937</t>
        </is>
      </c>
      <c r="M1800" s="2">
        <f>HYPERLINK("https://ru.wikipedia.org/w/index.php?search=%D0%9C%D1%83%D0%BC%D0%B8-%D1%82%D1%80%D0%BE%D0%BB%D0%BB%D1%8C%20%D0%B8%20%D0%B4%D1%80%D1%83%D0%B3%D0%B8%D0%B5%201978%20%D1%84%D0%B8%D0%BB%D1%8C%D0%BC","искать")</f>
        <v/>
      </c>
      <c r="N1800" s="3" t="n"/>
      <c r="O1800" s="2" t="n"/>
      <c r="P1800" s="2" t="n"/>
    </row>
    <row r="1801">
      <c r="A1801" s="2" t="n">
        <v>1800</v>
      </c>
      <c r="B1801" s="2" t="inlineStr">
        <is>
          <t>не сюжет</t>
        </is>
      </c>
      <c r="C1801" s="2" t="n">
        <v>13597</v>
      </c>
      <c r="D1801" s="3" t="inlineStr">
        <is>
          <t>Муми-тролль и комета. Путь домой</t>
        </is>
      </c>
      <c r="E1801" s="2" t="n">
        <v>1978</v>
      </c>
      <c r="F1801" s="2" t="inlineStr">
        <is>
          <t>мультфильм</t>
        </is>
      </c>
      <c r="G1801" s="2" t="inlineStr">
        <is>
          <t>СОЮЗТЕЛЕФИЛЬМ</t>
        </is>
      </c>
      <c r="H1801" s="2" t="n">
        <v>72</v>
      </c>
      <c r="I1801" s="2" t="inlineStr"/>
      <c r="J1801" s="2" t="inlineStr">
        <is>
          <t>да</t>
        </is>
      </c>
      <c r="K1801" s="3" t="inlineStr">
        <is>
          <t>Кукольный мультфильм по мотивам повести Т.Янссон "Муми-тролль и комета".</t>
        </is>
      </c>
      <c r="L1801" s="2" t="inlineStr">
        <is>
          <t>2026-10_мультфильмы_список_владельца.xlsx; https://animator.ru/db/?p=show_film&amp;fid=4947</t>
        </is>
      </c>
      <c r="M1801" s="2">
        <f>HYPERLINK("https://ru.wikipedia.org/w/index.php?search=%D0%9C%D1%83%D0%BC%D0%B8-%D1%82%D1%80%D0%BE%D0%BB%D0%BB%D1%8C%20%D0%B8%20%D0%BA%D0%BE%D0%BC%D0%B5%D1%82%D0%B0.%20%D0%9F%D1%83%D1%82%D1%8C%20%D0%B4%D0%BE%D0%BC%D0%BE%D0%B9%201978%20%D1%84%D0%B8%D0%BB%D1%8C%D0%BC","искать")</f>
        <v/>
      </c>
      <c r="N1801" s="3" t="n"/>
      <c r="O1801" s="2" t="n"/>
      <c r="P1801" s="2" t="n"/>
    </row>
    <row r="1802">
      <c r="A1802" s="2" t="n">
        <v>1801</v>
      </c>
      <c r="B1802" s="2" t="inlineStr">
        <is>
          <t>не сюжет</t>
        </is>
      </c>
      <c r="C1802" s="2" t="n">
        <v>13695</v>
      </c>
      <c r="D1802" s="3" t="inlineStr">
        <is>
          <t>Завтра день рождения бабушки</t>
        </is>
      </c>
      <c r="E1802" s="2" t="n">
        <v>1975</v>
      </c>
      <c r="F1802" s="2" t="inlineStr">
        <is>
          <t>мультфильм</t>
        </is>
      </c>
      <c r="G1802" s="2" t="inlineStr">
        <is>
          <t>ЭКРАН</t>
        </is>
      </c>
      <c r="H1802" s="2" t="n">
        <v>72</v>
      </c>
      <c r="I1802" s="2" t="inlineStr"/>
      <c r="J1802" s="2" t="inlineStr">
        <is>
          <t>да</t>
        </is>
      </c>
      <c r="K1802" s="3" t="inlineStr">
        <is>
          <t>Самый дорогой подарок для бабушки - это любовь и забота внука. Для детей</t>
        </is>
      </c>
      <c r="L1802" s="2" t="inlineStr">
        <is>
          <t>https://animator.ru/db/?p=show_film&amp;fid=5088</t>
        </is>
      </c>
      <c r="M1802" s="2">
        <f>HYPERLINK("https://ru.wikipedia.org/w/index.php?search=%D0%97%D0%B0%D0%B2%D1%82%D1%80%D0%B0%20%D0%B4%D0%B5%D0%BD%D1%8C%20%D1%80%D0%BE%D0%B6%D0%B4%D0%B5%D0%BD%D0%B8%D1%8F%20%D0%B1%D0%B0%D0%B1%D1%83%D1%88%D0%BA%D0%B8%201975%20%D1%84%D0%B8%D0%BB%D1%8C%D0%BC","искать")</f>
        <v/>
      </c>
      <c r="N1802" s="3" t="n"/>
      <c r="O1802" s="2" t="n"/>
      <c r="P1802" s="2" t="n"/>
    </row>
    <row r="1803">
      <c r="A1803" s="2" t="n">
        <v>1802</v>
      </c>
      <c r="B1803" s="2" t="inlineStr">
        <is>
          <t>не сюжет</t>
        </is>
      </c>
      <c r="C1803" s="2" t="n">
        <v>13853</v>
      </c>
      <c r="D1803" s="3" t="inlineStr">
        <is>
          <t>Незнайка-художник</t>
        </is>
      </c>
      <c r="E1803" s="2" t="n">
        <v>1972</v>
      </c>
      <c r="F1803" s="2" t="inlineStr">
        <is>
          <t>мультфильм</t>
        </is>
      </c>
      <c r="G1803" s="2" t="inlineStr">
        <is>
          <t>ЭКРАН</t>
        </is>
      </c>
      <c r="H1803" s="2" t="n">
        <v>72</v>
      </c>
      <c r="I1803" s="2" t="inlineStr"/>
      <c r="J1803" s="2" t="inlineStr">
        <is>
          <t>да</t>
        </is>
      </c>
      <c r="K1803" s="3" t="inlineStr">
        <is>
          <t>Десятый, заключительный, фильм серии "Приключения Незнайки и его друзей"</t>
        </is>
      </c>
      <c r="L1803" s="2" t="inlineStr">
        <is>
          <t>2026-10_мультфильмы_список_владельца.xlsx; https://animator.ru/db/?p=show_film&amp;fid=5246</t>
        </is>
      </c>
      <c r="M1803" s="2">
        <f>HYPERLINK("https://ru.wikipedia.org/w/index.php?search=%D0%9D%D0%B5%D0%B7%D0%BD%D0%B0%D0%B9%D0%BA%D0%B0-%D1%85%D1%83%D0%B4%D0%BE%D0%B6%D0%BD%D0%B8%D0%BA%201972%20%D1%84%D0%B8%D0%BB%D1%8C%D0%BC","искать")</f>
        <v/>
      </c>
      <c r="N1803" s="3" t="n"/>
      <c r="O1803" s="2" t="n"/>
      <c r="P1803" s="2" t="n"/>
    </row>
    <row r="1804">
      <c r="A1804" s="2" t="n">
        <v>1803</v>
      </c>
      <c r="B1804" s="2" t="inlineStr">
        <is>
          <t>не сюжет</t>
        </is>
      </c>
      <c r="C1804" s="2" t="n">
        <v>13910</v>
      </c>
      <c r="D1804" s="3" t="inlineStr">
        <is>
          <t>Сон автолюбителя</t>
        </is>
      </c>
      <c r="E1804" s="2" t="n">
        <v>1976</v>
      </c>
      <c r="F1804" s="2" t="inlineStr">
        <is>
          <t>мультфильм</t>
        </is>
      </c>
      <c r="G1804" s="2" t="inlineStr">
        <is>
          <t>ЭКРАН</t>
        </is>
      </c>
      <c r="H1804" s="2" t="n">
        <v>72</v>
      </c>
      <c r="I1804" s="2" t="inlineStr"/>
      <c r="J1804" s="2" t="inlineStr">
        <is>
          <t>да</t>
        </is>
      </c>
      <c r="K1804" s="3" t="inlineStr">
        <is>
          <t>Об опасности, которую представляет для всех нетрезвый водитель за рулем.</t>
        </is>
      </c>
      <c r="L1804" s="2" t="inlineStr">
        <is>
          <t>2026-10_мультфильмы_список_владельца.xlsx; https://animator.ru/db/?p=show_film&amp;fid=5304</t>
        </is>
      </c>
      <c r="M1804" s="2">
        <f>HYPERLINK("https://ru.wikipedia.org/w/index.php?search=%D0%A1%D0%BE%D0%BD%20%D0%B0%D0%B2%D1%82%D0%BE%D0%BB%D1%8E%D0%B1%D0%B8%D1%82%D0%B5%D0%BB%D1%8F%201976%20%D1%84%D0%B8%D0%BB%D1%8C%D0%BC","искать")</f>
        <v/>
      </c>
      <c r="N1804" s="3" t="n"/>
      <c r="O1804" s="2" t="n"/>
      <c r="P1804" s="2" t="n"/>
    </row>
    <row r="1805">
      <c r="A1805" s="2" t="n">
        <v>1804</v>
      </c>
      <c r="B1805" s="2" t="inlineStr">
        <is>
          <t>не сюжет</t>
        </is>
      </c>
      <c r="C1805" s="2" t="n">
        <v>14294</v>
      </c>
      <c r="D1805" s="3" t="inlineStr">
        <is>
          <t>Газетный человек</t>
        </is>
      </c>
      <c r="E1805" s="2" t="n">
        <v>1991</v>
      </c>
      <c r="F1805" s="2" t="inlineStr">
        <is>
          <t>мультфильм</t>
        </is>
      </c>
      <c r="G1805" s="2" t="inlineStr">
        <is>
          <t>ЛИТОВСКАЯ КИНОСТУДИЯ</t>
        </is>
      </c>
      <c r="H1805" s="2" t="n">
        <v>72</v>
      </c>
      <c r="I1805" s="2" t="inlineStr"/>
      <c r="J1805" s="2" t="inlineStr">
        <is>
          <t>да</t>
        </is>
      </c>
      <c r="K1805" s="3" t="inlineStr">
        <is>
          <t>Трагикомедия о человеке, соотносившем свою жизнь с газетными сообщениями</t>
        </is>
      </c>
      <c r="L1805" s="2" t="inlineStr">
        <is>
          <t>https://animator.ru/db/?p=show_film&amp;fid=5837</t>
        </is>
      </c>
      <c r="M1805" s="2">
        <f>HYPERLINK("https://ru.wikipedia.org/w/index.php?search=%D0%93%D0%B0%D0%B7%D0%B5%D1%82%D0%BD%D1%8B%D0%B9%20%D1%87%D0%B5%D0%BB%D0%BE%D0%B2%D0%B5%D0%BA%201991%20%D1%84%D0%B8%D0%BB%D1%8C%D0%BC","искать")</f>
        <v/>
      </c>
      <c r="N1805" s="3" t="n"/>
      <c r="O1805" s="2" t="n"/>
      <c r="P1805" s="2" t="n"/>
    </row>
    <row r="1806">
      <c r="A1806" s="2" t="n">
        <v>1805</v>
      </c>
      <c r="B1806" s="2" t="inlineStr">
        <is>
          <t>не сюжет</t>
        </is>
      </c>
      <c r="C1806" s="2" t="n">
        <v>14401</v>
      </c>
      <c r="D1806" s="3" t="inlineStr">
        <is>
          <t>Камень на дороге</t>
        </is>
      </c>
      <c r="E1806" s="2" t="n">
        <v>1968</v>
      </c>
      <c r="F1806" s="2" t="inlineStr">
        <is>
          <t>мультфильм</t>
        </is>
      </c>
      <c r="G1806" s="2" t="inlineStr">
        <is>
          <t>КИЕВНАУЧФИЛЬМ</t>
        </is>
      </c>
      <c r="H1806" s="2" t="n">
        <v>72</v>
      </c>
      <c r="I1806" s="2" t="inlineStr"/>
      <c r="J1806" s="2" t="inlineStr">
        <is>
          <t>да</t>
        </is>
      </c>
      <c r="K1806" s="3" t="inlineStr">
        <is>
          <t>Сборник фильмов-дебютов: "Диалог", "Камень на дороге", "Колонна", "Спор"</t>
        </is>
      </c>
      <c r="L1806" s="2" t="inlineStr">
        <is>
          <t>https://animator.ru/db/?p=show_film&amp;fid=6510</t>
        </is>
      </c>
      <c r="M1806" s="2">
        <f>HYPERLINK("https://ru.wikipedia.org/w/index.php?search=%D0%9A%D0%B0%D0%BC%D0%B5%D0%BD%D1%8C%20%D0%BD%D0%B0%20%D0%B4%D0%BE%D1%80%D0%BE%D0%B3%D0%B5%201968%20%D1%84%D0%B8%D0%BB%D1%8C%D0%BC","искать")</f>
        <v/>
      </c>
      <c r="N1806" s="3" t="n"/>
      <c r="O1806" s="2" t="n"/>
      <c r="P1806" s="2" t="n"/>
    </row>
    <row r="1807">
      <c r="A1807" s="2" t="n">
        <v>1806</v>
      </c>
      <c r="B1807" s="2" t="inlineStr">
        <is>
          <t>не сюжет</t>
        </is>
      </c>
      <c r="C1807" s="2" t="n">
        <v>8494</v>
      </c>
      <c r="D1807" s="3" t="inlineStr">
        <is>
          <t>У подножья Найзатас</t>
        </is>
      </c>
      <c r="E1807" s="2" t="n">
        <v>1969</v>
      </c>
      <c r="F1807" s="2" t="inlineStr">
        <is>
          <t>телефильм</t>
        </is>
      </c>
      <c r="G1807" s="2" t="n"/>
      <c r="H1807" s="2" t="n">
        <v>73</v>
      </c>
      <c r="I1807" s="2" t="inlineStr"/>
      <c r="J1807" s="2" t="inlineStr">
        <is>
          <t>да</t>
        </is>
      </c>
      <c r="K1807" s="3" t="inlineStr">
        <is>
          <t>Прототипами героев этого телефильма стали жители совхоза им. Торайгырова.</t>
        </is>
      </c>
      <c r="L1807" s="2" t="inlineStr">
        <is>
          <t>Кино_СССР сводный каталог.xlsx: список телефильмов</t>
        </is>
      </c>
      <c r="M1807" s="2">
        <f>HYPERLINK("https://ru.wikipedia.org/w/index.php?search=%D0%A3%20%D0%BF%D0%BE%D0%B4%D0%BD%D0%BE%D0%B6%D1%8C%D1%8F%20%D0%9D%D0%B0%D0%B9%D0%B7%D0%B0%D1%82%D0%B0%D1%81%201969%20%D1%84%D0%B8%D0%BB%D1%8C%D0%BC","искать")</f>
        <v/>
      </c>
      <c r="N1807" s="3" t="n"/>
      <c r="O1807" s="2" t="n"/>
      <c r="P1807" s="2" t="n"/>
    </row>
    <row r="1808">
      <c r="A1808" s="2" t="n">
        <v>1807</v>
      </c>
      <c r="B1808" s="2" t="inlineStr">
        <is>
          <t>не сюжет</t>
        </is>
      </c>
      <c r="C1808" s="2" t="n">
        <v>10006</v>
      </c>
      <c r="D1808" s="3" t="inlineStr">
        <is>
          <t>Доброе утро</t>
        </is>
      </c>
      <c r="E1808" s="2" t="n">
        <v>1985</v>
      </c>
      <c r="F1808" s="2" t="inlineStr">
        <is>
          <t>телефильм</t>
        </is>
      </c>
      <c r="G1808" s="2" t="inlineStr">
        <is>
          <t>студия т/ф “Ереван”</t>
        </is>
      </c>
      <c r="H1808" s="2" t="n">
        <v>73</v>
      </c>
      <c r="I1808" s="2" t="inlineStr"/>
      <c r="J1808" s="2" t="inlineStr">
        <is>
          <t>да</t>
        </is>
      </c>
      <c r="K1808" s="3" t="inlineStr">
        <is>
          <t>О старом правдолюбе, который пытается найти истину во что бы то ни стало.</t>
        </is>
      </c>
      <c r="L1808" s="2" t="inlineStr">
        <is>
          <t>https://www.kino-teatr.ru/short/movie/sov/11072/annot/</t>
        </is>
      </c>
      <c r="M1808" s="2">
        <f>HYPERLINK("https://ru.wikipedia.org/w/index.php?search=%D0%94%D0%BE%D0%B1%D1%80%D0%BE%D0%B5%20%D1%83%D1%82%D1%80%D0%BE%201985%20%D1%84%D0%B8%D0%BB%D1%8C%D0%BC","искать")</f>
        <v/>
      </c>
      <c r="N1808" s="3" t="n"/>
      <c r="O1808" s="2" t="n"/>
      <c r="P1808" s="2" t="n"/>
    </row>
    <row r="1809">
      <c r="A1809" s="2" t="n">
        <v>1808</v>
      </c>
      <c r="B1809" s="2" t="inlineStr">
        <is>
          <t>не сюжет</t>
        </is>
      </c>
      <c r="C1809" s="2" t="n">
        <v>10180</v>
      </c>
      <c r="D1809" s="3" t="inlineStr">
        <is>
          <t>Авиньонские любовники</t>
        </is>
      </c>
      <c r="E1809" s="2" t="n">
        <v>1967</v>
      </c>
      <c r="F1809" s="2" t="inlineStr">
        <is>
          <t>фильм-спектакль</t>
        </is>
      </c>
      <c r="G1809" s="2" t="inlineStr">
        <is>
          <t>Центральное телевидение</t>
        </is>
      </c>
      <c r="H1809" s="2" t="n">
        <v>73</v>
      </c>
      <c r="I1809" s="2" t="inlineStr"/>
      <c r="J1809" s="2" t="inlineStr">
        <is>
          <t>да</t>
        </is>
      </c>
      <c r="K1809" s="3" t="inlineStr">
        <is>
          <t>По повести Эльзы Триоле (1943).
Об участниках французского Сопротивления.</t>
        </is>
      </c>
      <c r="L1809" s="2" t="inlineStr">
        <is>
          <t>https://www.kino-teatr.ru/teatr/movie/136634/annot/</t>
        </is>
      </c>
      <c r="M1809" s="2">
        <f>HYPERLINK("https://ru.wikipedia.org/w/index.php?search=%D0%90%D0%B2%D0%B8%D0%BD%D1%8C%D0%BE%D0%BD%D1%81%D0%BA%D0%B8%D0%B5%20%D0%BB%D1%8E%D0%B1%D0%BE%D0%B2%D0%BD%D0%B8%D0%BA%D0%B8%201967%20%D1%84%D0%B8%D0%BB%D1%8C%D0%BC","искать")</f>
        <v/>
      </c>
      <c r="N1809" s="3" t="n"/>
      <c r="O1809" s="2" t="n"/>
      <c r="P1809" s="2" t="n"/>
    </row>
    <row r="1810">
      <c r="A1810" s="2" t="n">
        <v>1809</v>
      </c>
      <c r="B1810" s="2" t="inlineStr">
        <is>
          <t>не сюжет</t>
        </is>
      </c>
      <c r="C1810" s="2" t="n">
        <v>10277</v>
      </c>
      <c r="D1810" s="3" t="inlineStr">
        <is>
          <t>Три года</t>
        </is>
      </c>
      <c r="E1810" s="2" t="n">
        <v>1968</v>
      </c>
      <c r="F1810" s="2" t="inlineStr">
        <is>
          <t>фильм-спектакль</t>
        </is>
      </c>
      <c r="G1810" s="2" t="inlineStr">
        <is>
          <t>Ленинградское телевидение</t>
        </is>
      </c>
      <c r="H1810" s="2" t="n">
        <v>73</v>
      </c>
      <c r="I1810" s="2" t="inlineStr"/>
      <c r="J1810" s="2" t="inlineStr">
        <is>
          <t>да</t>
        </is>
      </c>
      <c r="K1810" s="3" t="inlineStr">
        <is>
          <t>Телеспектакль по повести А. П. Чехова "Три года. Сцены из семейной жизни"</t>
        </is>
      </c>
      <c r="L1810" s="2" t="inlineStr">
        <is>
          <t>https://www.kino-teatr.ru/teatr/movie/92988/annot/</t>
        </is>
      </c>
      <c r="M1810" s="2">
        <f>HYPERLINK("https://ru.wikipedia.org/w/index.php?search=%D0%A2%D1%80%D0%B8%20%D0%B3%D0%BE%D0%B4%D0%B0%201968%20%D1%84%D0%B8%D0%BB%D1%8C%D0%BC","искать")</f>
        <v/>
      </c>
      <c r="N1810" s="3" t="n"/>
      <c r="O1810" s="2" t="n"/>
      <c r="P1810" s="2" t="n"/>
    </row>
    <row r="1811">
      <c r="A1811" s="2" t="n">
        <v>1810</v>
      </c>
      <c r="B1811" s="2" t="inlineStr">
        <is>
          <t>не сюжет</t>
        </is>
      </c>
      <c r="C1811" s="2" t="n">
        <v>10281</v>
      </c>
      <c r="D1811" s="3" t="inlineStr">
        <is>
          <t>Юморески Валентина Катаева</t>
        </is>
      </c>
      <c r="E1811" s="2" t="n">
        <v>1968</v>
      </c>
      <c r="F1811" s="2" t="inlineStr">
        <is>
          <t>фильм-спектакль</t>
        </is>
      </c>
      <c r="G1811" s="2" t="inlineStr">
        <is>
          <t>Ленинградское Телевидение</t>
        </is>
      </c>
      <c r="H1811" s="2" t="n">
        <v>73</v>
      </c>
      <c r="I1811" s="2" t="inlineStr"/>
      <c r="J1811" s="2" t="inlineStr">
        <is>
          <t>да</t>
        </is>
      </c>
      <c r="K1811" s="3" t="inlineStr">
        <is>
          <t>По рассказам В.Катаева "Дневник горького пьяницы", "Шубка" и "Жемчужина".</t>
        </is>
      </c>
      <c r="L1811" s="2" t="inlineStr">
        <is>
          <t>https://www.kino-teatr.ru/teatr/movie/86513/annot/</t>
        </is>
      </c>
      <c r="M1811" s="2">
        <f>HYPERLINK("https://ru.wikipedia.org/w/index.php?search=%D0%AE%D0%BC%D0%BE%D1%80%D0%B5%D1%81%D0%BA%D0%B8%20%D0%92%D0%B0%D0%BB%D0%B5%D0%BD%D1%82%D0%B8%D0%BD%D0%B0%20%D0%9A%D0%B0%D1%82%D0%B0%D0%B5%D0%B2%D0%B0%201968%20%D1%84%D0%B8%D0%BB%D1%8C%D0%BC","искать")</f>
        <v/>
      </c>
      <c r="N1811" s="3" t="n"/>
      <c r="O1811" s="2" t="n"/>
      <c r="P1811" s="2" t="n"/>
    </row>
    <row r="1812">
      <c r="A1812" s="2" t="n">
        <v>1811</v>
      </c>
      <c r="B1812" s="2" t="inlineStr">
        <is>
          <t>не сюжет</t>
        </is>
      </c>
      <c r="C1812" s="2" t="n">
        <v>10979</v>
      </c>
      <c r="D1812" s="3" t="inlineStr">
        <is>
          <t>В городе, Вински!</t>
        </is>
      </c>
      <c r="E1812" s="2" t="n">
        <v>1983</v>
      </c>
      <c r="F1812" s="2" t="inlineStr">
        <is>
          <t>фильм-спектакль</t>
        </is>
      </c>
      <c r="G1812" s="2" t="inlineStr">
        <is>
          <t>Эстонское телевидение (ETV)</t>
        </is>
      </c>
      <c r="H1812" s="2" t="n">
        <v>73</v>
      </c>
      <c r="I1812" s="2" t="inlineStr"/>
      <c r="J1812" s="2" t="inlineStr">
        <is>
          <t>да</t>
        </is>
      </c>
      <c r="K1812" s="3" t="inlineStr">
        <is>
          <t>Поставлен по произведениям финского писателя Симо Пууппонена (1915-1967).</t>
        </is>
      </c>
      <c r="L1812" s="2" t="inlineStr">
        <is>
          <t>https://www.kino-teatr.ru/teatr/movie/89017/annot/</t>
        </is>
      </c>
      <c r="M1812" s="2">
        <f>HYPERLINK("https://ru.wikipedia.org/w/index.php?search=%D0%92%20%D0%B3%D0%BE%D1%80%D0%BE%D0%B4%D0%B5%2C%20%D0%92%D0%B8%D0%BD%D1%81%D0%BA%D0%B8%21%201983%20%D1%84%D0%B8%D0%BB%D1%8C%D0%BC","искать")</f>
        <v/>
      </c>
      <c r="N1812" s="3" t="n"/>
      <c r="O1812" s="2" t="n"/>
      <c r="P1812" s="2" t="n"/>
    </row>
    <row r="1813">
      <c r="A1813" s="2" t="n">
        <v>1812</v>
      </c>
      <c r="B1813" s="2" t="inlineStr">
        <is>
          <t>не сюжет</t>
        </is>
      </c>
      <c r="C1813" s="2" t="n">
        <v>11061</v>
      </c>
      <c r="D1813" s="3" t="inlineStr">
        <is>
          <t>Искупление</t>
        </is>
      </c>
      <c r="E1813" s="2" t="n">
        <v>1985</v>
      </c>
      <c r="F1813" s="2" t="inlineStr">
        <is>
          <t>фильм-спектакль</t>
        </is>
      </c>
      <c r="G1813" s="2" t="inlineStr">
        <is>
          <t>Укртелефильм</t>
        </is>
      </c>
      <c r="H1813" s="2" t="n">
        <v>73</v>
      </c>
      <c r="I1813" s="2" t="inlineStr"/>
      <c r="J1813" s="2" t="inlineStr">
        <is>
          <t>да</t>
        </is>
      </c>
      <c r="K1813" s="3" t="inlineStr">
        <is>
          <t>По мотивам оперы М. Вериковского, поэмы и повести Т. Шевченко "Наймичка".</t>
        </is>
      </c>
      <c r="L1813" s="2" t="inlineStr">
        <is>
          <t>https://www.kino-teatr.ru/teatr/movie/93232/annot/</t>
        </is>
      </c>
      <c r="M1813" s="2">
        <f>HYPERLINK("https://ru.wikipedia.org/w/index.php?search=%D0%98%D1%81%D0%BA%D1%83%D0%BF%D0%BB%D0%B5%D0%BD%D0%B8%D0%B5%201985%20%D1%84%D0%B8%D0%BB%D1%8C%D0%BC","искать")</f>
        <v/>
      </c>
      <c r="N1813" s="3" t="n"/>
      <c r="O1813" s="2" t="n"/>
      <c r="P1813" s="2" t="n"/>
    </row>
    <row r="1814">
      <c r="A1814" s="2" t="n">
        <v>1813</v>
      </c>
      <c r="B1814" s="2" t="inlineStr">
        <is>
          <t>не сюжет</t>
        </is>
      </c>
      <c r="C1814" s="2" t="n">
        <v>11336</v>
      </c>
      <c r="D1814" s="3" t="inlineStr">
        <is>
          <t>Грех лицедейства</t>
        </is>
      </c>
      <c r="E1814" s="2" t="n">
        <v>1991</v>
      </c>
      <c r="F1814" s="2" t="inlineStr">
        <is>
          <t>фильм-спектакль</t>
        </is>
      </c>
      <c r="G1814" s="2" t="inlineStr">
        <is>
          <t>ТО "Экран", Беларусьфильм</t>
        </is>
      </c>
      <c r="H1814" s="2" t="n">
        <v>73</v>
      </c>
      <c r="I1814" s="2" t="inlineStr"/>
      <c r="J1814" s="2" t="inlineStr">
        <is>
          <t>да</t>
        </is>
      </c>
      <c r="K1814" s="3" t="inlineStr">
        <is>
          <t>По пьесам Ф.Дюренматта и Ж.Ануйя.
Из закулисной жизни театральной богемы.</t>
        </is>
      </c>
      <c r="L1814" s="2" t="inlineStr">
        <is>
          <t>https://www.kino-teatr.ru/teatr/movie/9235/annot/</t>
        </is>
      </c>
      <c r="M1814" s="2">
        <f>HYPERLINK("https://ru.wikipedia.org/w/index.php?search=%D0%93%D1%80%D0%B5%D1%85%20%D0%BB%D0%B8%D1%86%D0%B5%D0%B4%D0%B5%D0%B9%D1%81%D1%82%D0%B2%D0%B0%201991%20%D1%84%D0%B8%D0%BB%D1%8C%D0%BC","искать")</f>
        <v/>
      </c>
      <c r="N1814" s="3" t="n"/>
      <c r="O1814" s="2" t="n"/>
      <c r="P1814" s="2" t="n"/>
    </row>
    <row r="1815">
      <c r="A1815" s="2" t="n">
        <v>1814</v>
      </c>
      <c r="B1815" s="2" t="inlineStr">
        <is>
          <t>не сюжет</t>
        </is>
      </c>
      <c r="C1815" s="2" t="n">
        <v>11763</v>
      </c>
      <c r="D1815" s="3" t="inlineStr">
        <is>
          <t>В гостях у гномов</t>
        </is>
      </c>
      <c r="E1815" s="2" t="n">
        <v>1975</v>
      </c>
      <c r="F1815" s="2" t="inlineStr">
        <is>
          <t>мультфильм</t>
        </is>
      </c>
      <c r="G1815" s="2" t="inlineStr">
        <is>
          <t>Союзмультфильм</t>
        </is>
      </c>
      <c r="H1815" s="2" t="n">
        <v>73</v>
      </c>
      <c r="I1815" s="2" t="inlineStr"/>
      <c r="J1815" s="2" t="inlineStr">
        <is>
          <t>да</t>
        </is>
      </c>
      <c r="K1815" s="3" t="inlineStr">
        <is>
          <t>Познавательный фильм для малышей о природе некоторых полезных ископаемых.</t>
        </is>
      </c>
      <c r="L1815" s="2" t="inlineStr">
        <is>
          <t>2026-10_мультфильмы_список_владельца.xlsx; https://animator.ru/db/?p=show_film&amp;fid=2677</t>
        </is>
      </c>
      <c r="M1815" s="2">
        <f>HYPERLINK("https://ru.wikipedia.org/w/index.php?search=%D0%92%20%D0%B3%D0%BE%D1%81%D1%82%D1%8F%D1%85%20%D1%83%20%D0%B3%D0%BD%D0%BE%D0%BC%D0%BE%D0%B2%201975%20%D1%84%D0%B8%D0%BB%D1%8C%D0%BC","искать")</f>
        <v/>
      </c>
      <c r="N1815" s="3" t="n"/>
      <c r="O1815" s="2" t="n"/>
      <c r="P1815" s="2" t="n"/>
    </row>
    <row r="1816">
      <c r="A1816" s="2" t="n">
        <v>1815</v>
      </c>
      <c r="B1816" s="2" t="inlineStr">
        <is>
          <t>не сюжет</t>
        </is>
      </c>
      <c r="C1816" s="2" t="n">
        <v>11826</v>
      </c>
      <c r="D1816" s="3" t="inlineStr">
        <is>
          <t>Веселая карусель n 9. Клоун</t>
        </is>
      </c>
      <c r="E1816" s="2" t="n">
        <v>1977</v>
      </c>
      <c r="F1816" s="2" t="inlineStr">
        <is>
          <t>мультфильм</t>
        </is>
      </c>
      <c r="G1816" s="2" t="inlineStr">
        <is>
          <t>Союзмультфильм</t>
        </is>
      </c>
      <c r="H1816" s="2" t="n">
        <v>73</v>
      </c>
      <c r="I1816" s="2" t="inlineStr"/>
      <c r="J1816" s="2" t="inlineStr">
        <is>
          <t>да</t>
        </is>
      </c>
      <c r="K1816" s="3" t="inlineStr">
        <is>
          <t>Сюжет из альманаха «ВЕСЕЛАЯ КАРУСЕЛЬ N 9»
По стихотворению Э. Мошковской.</t>
        </is>
      </c>
      <c r="L1816" s="2" t="inlineStr">
        <is>
          <t>https://animator.ru/db/?p=show_film&amp;fid=2741</t>
        </is>
      </c>
      <c r="M1816" s="2">
        <f>HYPERLINK("https://ru.wikipedia.org/w/index.php?search=%D0%92%D0%B5%D1%81%D0%B5%D0%BB%D0%B0%D1%8F%20%D0%BA%D0%B0%D1%80%D1%83%D1%81%D0%B5%D0%BB%D1%8C%20n%209.%20%D0%9A%D0%BB%D0%BE%D1%83%D0%BD%201977%20%D1%84%D0%B8%D0%BB%D1%8C%D0%BC","искать")</f>
        <v/>
      </c>
      <c r="N1816" s="3" t="n"/>
      <c r="O1816" s="2" t="n"/>
      <c r="P1816" s="2" t="n"/>
    </row>
    <row r="1817">
      <c r="A1817" s="2" t="n">
        <v>1816</v>
      </c>
      <c r="B1817" s="2" t="inlineStr">
        <is>
          <t>не сюжет</t>
        </is>
      </c>
      <c r="C1817" s="2" t="n">
        <v>12036</v>
      </c>
      <c r="D1817" s="3" t="inlineStr">
        <is>
          <t>Веселая карусель n 15. Все для всех</t>
        </is>
      </c>
      <c r="E1817" s="2" t="n">
        <v>1983</v>
      </c>
      <c r="F1817" s="2" t="inlineStr">
        <is>
          <t>мультфильм</t>
        </is>
      </c>
      <c r="G1817" s="2" t="inlineStr">
        <is>
          <t>Союзмультфильм</t>
        </is>
      </c>
      <c r="H1817" s="2" t="n">
        <v>73</v>
      </c>
      <c r="I1817" s="2" t="inlineStr"/>
      <c r="J1817" s="2" t="inlineStr">
        <is>
          <t>да</t>
        </is>
      </c>
      <c r="K1817" s="3" t="inlineStr">
        <is>
          <t>Сюжет из альманаха «ВЕСЕЛАЯ КАРУСЕЛЬ N 15»
По стихотворению Юлиана Тувима</t>
        </is>
      </c>
      <c r="L1817" s="2" t="inlineStr">
        <is>
          <t>https://animator.ru/db/?p=show_film&amp;fid=3151</t>
        </is>
      </c>
      <c r="M1817" s="2">
        <f>HYPERLINK("https://ru.wikipedia.org/w/index.php?search=%D0%92%D0%B5%D1%81%D0%B5%D0%BB%D0%B0%D1%8F%20%D0%BA%D0%B0%D1%80%D1%83%D1%81%D0%B5%D0%BB%D1%8C%20n%2015.%20%D0%92%D1%81%D0%B5%20%D0%B4%D0%BB%D1%8F%20%D0%B2%D1%81%D0%B5%D1%85%201983%20%D1%84%D0%B8%D0%BB%D1%8C%D0%BC","искать")</f>
        <v/>
      </c>
      <c r="N1817" s="3" t="n"/>
      <c r="O1817" s="2" t="n"/>
      <c r="P1817" s="2" t="n"/>
    </row>
    <row r="1818">
      <c r="A1818" s="2" t="n">
        <v>1817</v>
      </c>
      <c r="B1818" s="2" t="inlineStr">
        <is>
          <t>не сюжет</t>
        </is>
      </c>
      <c r="C1818" s="2" t="n">
        <v>12256</v>
      </c>
      <c r="D1818" s="3" t="inlineStr">
        <is>
          <t>Свирепый Бамбр</t>
        </is>
      </c>
      <c r="E1818" s="2" t="n">
        <v>1988</v>
      </c>
      <c r="F1818" s="2" t="inlineStr">
        <is>
          <t>мультфильм</t>
        </is>
      </c>
      <c r="G1818" s="2" t="inlineStr">
        <is>
          <t>Союзмультфильм</t>
        </is>
      </c>
      <c r="H1818" s="2" t="n">
        <v>73</v>
      </c>
      <c r="I1818" s="2" t="inlineStr"/>
      <c r="J1818" s="2" t="inlineStr">
        <is>
          <t>да</t>
        </is>
      </c>
      <c r="K1818" s="3" t="inlineStr">
        <is>
          <t>Сказка о фантастическом персонаже, в котором борются доброе и злое начала</t>
        </is>
      </c>
      <c r="L1818" s="2" t="inlineStr">
        <is>
          <t>https://animator.ru/db/?p=show_film&amp;fid=3373</t>
        </is>
      </c>
      <c r="M1818" s="2">
        <f>HYPERLINK("https://ru.wikipedia.org/w/index.php?search=%D0%A1%D0%B2%D0%B8%D1%80%D0%B5%D0%BF%D1%8B%D0%B9%20%D0%91%D0%B0%D0%BC%D0%B1%D1%80%201988%20%D1%84%D0%B8%D0%BB%D1%8C%D0%BC","искать")</f>
        <v/>
      </c>
      <c r="N1818" s="3" t="n"/>
      <c r="O1818" s="2" t="n"/>
      <c r="P1818" s="2" t="n"/>
    </row>
    <row r="1819">
      <c r="A1819" s="2" t="n">
        <v>1818</v>
      </c>
      <c r="B1819" s="2" t="inlineStr">
        <is>
          <t>не сюжет</t>
        </is>
      </c>
      <c r="C1819" s="2" t="n">
        <v>12306</v>
      </c>
      <c r="D1819" s="3" t="inlineStr">
        <is>
          <t>Веселая карусель n 23. Стрекоза</t>
        </is>
      </c>
      <c r="E1819" s="2" t="n">
        <v>1991</v>
      </c>
      <c r="F1819" s="2" t="inlineStr">
        <is>
          <t>мультфильм</t>
        </is>
      </c>
      <c r="G1819" s="2" t="inlineStr">
        <is>
          <t>Союзмультфильм</t>
        </is>
      </c>
      <c r="H1819" s="2" t="n">
        <v>73</v>
      </c>
      <c r="I1819" s="2" t="inlineStr"/>
      <c r="J1819" s="2" t="inlineStr">
        <is>
          <t>да</t>
        </is>
      </c>
      <c r="K1819" s="3" t="inlineStr">
        <is>
          <t>Сюжет из альманаха «ВЕСЕЛАЯ КАРУСЕЛЬ N 23»
По стихотворению У. Де Ла Мера</t>
        </is>
      </c>
      <c r="L1819" s="2" t="inlineStr">
        <is>
          <t>https://animator.ru/db/?p=show_film&amp;fid=3423</t>
        </is>
      </c>
      <c r="M1819" s="2">
        <f>HYPERLINK("https://ru.wikipedia.org/w/index.php?search=%D0%92%D0%B5%D1%81%D0%B5%D0%BB%D0%B0%D1%8F%20%D0%BA%D0%B0%D1%80%D1%83%D1%81%D0%B5%D0%BB%D1%8C%20n%2023.%20%D0%A1%D1%82%D1%80%D0%B5%D0%BA%D0%BE%D0%B7%D0%B0%201991%20%D1%84%D0%B8%D0%BB%D1%8C%D0%BC","искать")</f>
        <v/>
      </c>
      <c r="N1819" s="3" t="n"/>
      <c r="O1819" s="2" t="n"/>
      <c r="P1819" s="2" t="n"/>
    </row>
    <row r="1820">
      <c r="A1820" s="2" t="n">
        <v>1819</v>
      </c>
      <c r="B1820" s="2" t="inlineStr">
        <is>
          <t>не сюжет</t>
        </is>
      </c>
      <c r="C1820" s="2" t="n">
        <v>12681</v>
      </c>
      <c r="D1820" s="3" t="inlineStr">
        <is>
          <t>Куб</t>
        </is>
      </c>
      <c r="E1820" s="2" t="n">
        <v>1988</v>
      </c>
      <c r="F1820" s="2" t="inlineStr">
        <is>
          <t>мультфильм</t>
        </is>
      </c>
      <c r="G1820" s="2" t="inlineStr">
        <is>
          <t>БЕЛАРУСЬФИЛЬМ НАЦИОНАЛЬНАЯ КИНОСТУДИЯ - ГП</t>
        </is>
      </c>
      <c r="H1820" s="2" t="n">
        <v>73</v>
      </c>
      <c r="I1820" s="2" t="inlineStr"/>
      <c r="J1820" s="2" t="inlineStr">
        <is>
          <t>да</t>
        </is>
      </c>
      <c r="K1820" s="3" t="inlineStr">
        <is>
          <t>По рисункам трагически погибшего художника Юниса Сандгазина.Для взрослых.</t>
        </is>
      </c>
      <c r="L1820" s="2" t="inlineStr">
        <is>
          <t>2026-10_мультфильмы_список_владельца.xlsx; https://animator.ru/db/?p=show_film&amp;fid=3876</t>
        </is>
      </c>
      <c r="M1820" s="2">
        <f>HYPERLINK("https://ru.wikipedia.org/w/index.php?search=%D0%9A%D1%83%D0%B1%201988%20%D1%84%D0%B8%D0%BB%D1%8C%D0%BC","искать")</f>
        <v/>
      </c>
      <c r="N1820" s="3" t="n"/>
      <c r="O1820" s="2" t="n"/>
      <c r="P1820" s="2" t="n"/>
    </row>
    <row r="1821">
      <c r="A1821" s="2" t="n">
        <v>1820</v>
      </c>
      <c r="B1821" s="2" t="inlineStr">
        <is>
          <t>не сюжет</t>
        </is>
      </c>
      <c r="C1821" s="2" t="n">
        <v>12809</v>
      </c>
      <c r="D1821" s="3" t="inlineStr">
        <is>
          <t>Золодув</t>
        </is>
      </c>
      <c r="E1821" s="2" t="n">
        <v>1972</v>
      </c>
      <c r="F1821" s="2" t="inlineStr">
        <is>
          <t>мультфильм</t>
        </is>
      </c>
      <c r="G1821" s="2" t="inlineStr">
        <is>
          <t>ГРУЗИЯ-ФИЛЬМ - АО</t>
        </is>
      </c>
      <c r="H1821" s="2" t="n">
        <v>73</v>
      </c>
      <c r="I1821" s="2" t="inlineStr"/>
      <c r="J1821" s="2" t="inlineStr">
        <is>
          <t>да</t>
        </is>
      </c>
      <c r="K1821" s="3" t="inlineStr">
        <is>
          <t>Необходимость борьбы с дивами пробуждает в лентяе ум и природную смекалку</t>
        </is>
      </c>
      <c r="L1821" s="2" t="inlineStr">
        <is>
          <t>https://animator.ru/db/?p=show_film&amp;fid=4020</t>
        </is>
      </c>
      <c r="M1821" s="2">
        <f>HYPERLINK("https://ru.wikipedia.org/w/index.php?search=%D0%97%D0%BE%D0%BB%D0%BE%D0%B4%D1%83%D0%B2%201972%20%D1%84%D0%B8%D0%BB%D1%8C%D0%BC","искать")</f>
        <v/>
      </c>
      <c r="N1821" s="3" t="n"/>
      <c r="O1821" s="2" t="n"/>
      <c r="P1821" s="2" t="n"/>
    </row>
    <row r="1822">
      <c r="A1822" s="2" t="n">
        <v>1821</v>
      </c>
      <c r="B1822" s="2" t="inlineStr">
        <is>
          <t>не сюжет</t>
        </is>
      </c>
      <c r="C1822" s="2" t="n">
        <v>12918</v>
      </c>
      <c r="D1822" s="3" t="inlineStr">
        <is>
          <t>Чума</t>
        </is>
      </c>
      <c r="E1822" s="2" t="n">
        <v>1983</v>
      </c>
      <c r="F1822" s="2" t="inlineStr">
        <is>
          <t>мультфильм</t>
        </is>
      </c>
      <c r="G1822" s="2" t="inlineStr">
        <is>
          <t>ГРУЗИЯ-ФИЛЬМ - АО</t>
        </is>
      </c>
      <c r="H1822" s="2" t="n">
        <v>73</v>
      </c>
      <c r="I1822" s="2" t="inlineStr"/>
      <c r="J1822" s="2" t="inlineStr">
        <is>
          <t>да</t>
        </is>
      </c>
      <c r="K1822" s="3" t="inlineStr">
        <is>
          <t>Фильм-притча о фашистской угрозе (для взрослых). Гран-При, Канны, Франция</t>
        </is>
      </c>
      <c r="L1822" s="2" t="inlineStr">
        <is>
          <t>https://animator.ru/db/?p=show_film&amp;fid=4148</t>
        </is>
      </c>
      <c r="M1822" s="2">
        <f>HYPERLINK("https://ru.wikipedia.org/w/index.php?search=%D0%A7%D1%83%D0%BC%D0%B0%201983%20%D1%84%D0%B8%D0%BB%D1%8C%D0%BC","искать")</f>
        <v/>
      </c>
      <c r="N1822" s="3" t="n"/>
      <c r="O1822" s="2" t="n"/>
      <c r="P1822" s="2" t="n"/>
    </row>
    <row r="1823">
      <c r="A1823" s="2" t="n">
        <v>1822</v>
      </c>
      <c r="B1823" s="2" t="inlineStr">
        <is>
          <t>не сюжет</t>
        </is>
      </c>
      <c r="C1823" s="2" t="n">
        <v>13295</v>
      </c>
      <c r="D1823" s="3" t="inlineStr">
        <is>
          <t>Положение обязывает</t>
        </is>
      </c>
      <c r="E1823" s="2" t="n">
        <v>1989</v>
      </c>
      <c r="F1823" s="2" t="inlineStr">
        <is>
          <t>мультфильм</t>
        </is>
      </c>
      <c r="G1823" s="2" t="inlineStr">
        <is>
          <t>ТАЛЛИННФИЛЬМ</t>
        </is>
      </c>
      <c r="H1823" s="2" t="n">
        <v>73</v>
      </c>
      <c r="I1823" s="2" t="inlineStr"/>
      <c r="J1823" s="2" t="inlineStr">
        <is>
          <t>да</t>
        </is>
      </c>
      <c r="K1823" s="3" t="inlineStr">
        <is>
          <t>О том, что жизнь, построенная на эгоизме, лишена духовности. Для взрослых</t>
        </is>
      </c>
      <c r="L1823" s="2" t="inlineStr">
        <is>
          <t>https://animator.ru/db/?p=show_film&amp;fid=4552</t>
        </is>
      </c>
      <c r="M1823" s="2">
        <f>HYPERLINK("https://ru.wikipedia.org/w/index.php?search=%D0%9F%D0%BE%D0%BB%D0%BE%D0%B6%D0%B5%D0%BD%D0%B8%D0%B5%20%D0%BE%D0%B1%D1%8F%D0%B7%D1%8B%D0%B2%D0%B0%D0%B5%D1%82%201989%20%D1%84%D0%B8%D0%BB%D1%8C%D0%BC","искать")</f>
        <v/>
      </c>
      <c r="N1823" s="3" t="n"/>
      <c r="O1823" s="2" t="n"/>
      <c r="P1823" s="2" t="n"/>
    </row>
    <row r="1824">
      <c r="A1824" s="2" t="n">
        <v>1823</v>
      </c>
      <c r="B1824" s="2" t="inlineStr">
        <is>
          <t>не сюжет</t>
        </is>
      </c>
      <c r="C1824" s="2" t="n">
        <v>13305</v>
      </c>
      <c r="D1824" s="3" t="inlineStr">
        <is>
          <t>Выстрел</t>
        </is>
      </c>
      <c r="E1824" s="2" t="n">
        <v>1976</v>
      </c>
      <c r="F1824" s="2" t="inlineStr">
        <is>
          <t>мультфильм</t>
        </is>
      </c>
      <c r="G1824" s="2" t="inlineStr">
        <is>
          <t>ТАЛЛИННФИЛЬМ</t>
        </is>
      </c>
      <c r="H1824" s="2" t="n">
        <v>73</v>
      </c>
      <c r="I1824" s="2" t="inlineStr"/>
      <c r="J1824" s="2" t="inlineStr">
        <is>
          <t>да</t>
        </is>
      </c>
      <c r="K1824" s="3" t="inlineStr">
        <is>
          <t>Три сатирических сюжета: "Удар", "Выстрел" и "Во имя жизни". Для взрослых</t>
        </is>
      </c>
      <c r="L1824" s="2" t="inlineStr">
        <is>
          <t>https://animator.ru/db/?p=show_film&amp;fid=4562</t>
        </is>
      </c>
      <c r="M1824" s="2">
        <f>HYPERLINK("https://ru.wikipedia.org/w/index.php?search=%D0%92%D1%8B%D1%81%D1%82%D1%80%D0%B5%D0%BB%201976%20%D1%84%D0%B8%D0%BB%D1%8C%D0%BC","искать")</f>
        <v/>
      </c>
      <c r="N1824" s="3" t="n"/>
      <c r="O1824" s="2" t="n"/>
      <c r="P1824" s="2" t="n"/>
    </row>
    <row r="1825">
      <c r="A1825" s="2" t="n">
        <v>1824</v>
      </c>
      <c r="B1825" s="2" t="inlineStr">
        <is>
          <t>не сюжет</t>
        </is>
      </c>
      <c r="C1825" s="2" t="n">
        <v>13766</v>
      </c>
      <c r="D1825" s="3" t="inlineStr">
        <is>
          <t>Миниатюры</t>
        </is>
      </c>
      <c r="E1825" s="2" t="n">
        <v>1985</v>
      </c>
      <c r="F1825" s="2" t="inlineStr">
        <is>
          <t>мультфильм</t>
        </is>
      </c>
      <c r="G1825" s="2" t="inlineStr">
        <is>
          <t>ЭКРАН</t>
        </is>
      </c>
      <c r="H1825" s="2" t="n">
        <v>73</v>
      </c>
      <c r="I1825" s="2" t="inlineStr"/>
      <c r="J1825" s="2" t="inlineStr">
        <is>
          <t>да</t>
        </is>
      </c>
      <c r="K1825" s="3" t="inlineStr">
        <is>
          <t>Живописные этюды на темы: "Вальс", "Яблони", "Пятнышко", "Лодки", "Дуэт".</t>
        </is>
      </c>
      <c r="L1825" s="2" t="inlineStr">
        <is>
          <t>2026-10_мультфильмы_список_владельца.xlsx; https://animator.ru/db/?p=show_film&amp;fid=5159</t>
        </is>
      </c>
      <c r="M1825" s="2">
        <f>HYPERLINK("https://ru.wikipedia.org/w/index.php?search=%D0%9C%D0%B8%D0%BD%D0%B8%D0%B0%D1%82%D1%8E%D1%80%D1%8B%201985%20%D1%84%D0%B8%D0%BB%D1%8C%D0%BC","искать")</f>
        <v/>
      </c>
      <c r="N1825" s="3" t="n"/>
      <c r="O1825" s="2" t="n"/>
      <c r="P1825" s="2" t="n"/>
    </row>
    <row r="1826">
      <c r="A1826" s="2" t="n">
        <v>1825</v>
      </c>
      <c r="B1826" s="2" t="inlineStr">
        <is>
          <t>не сюжет</t>
        </is>
      </c>
      <c r="C1826" s="2" t="n">
        <v>13829</v>
      </c>
      <c r="D1826" s="3" t="inlineStr">
        <is>
          <t>Как важно беречь тепло</t>
        </is>
      </c>
      <c r="E1826" s="2" t="n">
        <v>1985</v>
      </c>
      <c r="F1826" s="2" t="inlineStr">
        <is>
          <t>мультфильм</t>
        </is>
      </c>
      <c r="G1826" s="2" t="inlineStr">
        <is>
          <t>ЭКРАН</t>
        </is>
      </c>
      <c r="H1826" s="2" t="n">
        <v>73</v>
      </c>
      <c r="I1826" s="2" t="inlineStr"/>
      <c r="J1826" s="2" t="inlineStr">
        <is>
          <t>да</t>
        </is>
      </c>
      <c r="K1826" s="3" t="inlineStr">
        <is>
          <t>Первый фильм из цикла микрофильмов "Полезные советы профессора Чайникова"</t>
        </is>
      </c>
      <c r="L1826" s="2" t="inlineStr">
        <is>
          <t>https://animator.ru/db/?p=show_film&amp;fid=5222</t>
        </is>
      </c>
      <c r="M1826" s="2">
        <f>HYPERLINK("https://ru.wikipedia.org/w/index.php?search=%D0%9A%D0%B0%D0%BA%20%D0%B2%D0%B0%D0%B6%D0%BD%D0%BE%20%D0%B1%D0%B5%D1%80%D0%B5%D1%87%D1%8C%20%D1%82%D0%B5%D0%BF%D0%BB%D0%BE%201985%20%D1%84%D0%B8%D0%BB%D1%8C%D0%BC","искать")</f>
        <v/>
      </c>
      <c r="N1826" s="3" t="n"/>
      <c r="O1826" s="2" t="n"/>
      <c r="P1826" s="2" t="n"/>
    </row>
    <row r="1827">
      <c r="A1827" s="2" t="n">
        <v>1826</v>
      </c>
      <c r="B1827" s="2" t="inlineStr">
        <is>
          <t>не сюжет</t>
        </is>
      </c>
      <c r="C1827" s="2" t="n">
        <v>13854</v>
      </c>
      <c r="D1827" s="3" t="inlineStr">
        <is>
          <t>Приключения Пифа</t>
        </is>
      </c>
      <c r="E1827" s="2" t="n">
        <v>1970</v>
      </c>
      <c r="F1827" s="2" t="inlineStr">
        <is>
          <t>мультфильм</t>
        </is>
      </c>
      <c r="G1827" s="2" t="inlineStr">
        <is>
          <t>ЭКРАН</t>
        </is>
      </c>
      <c r="H1827" s="2" t="n">
        <v>73</v>
      </c>
      <c r="I1827" s="2" t="inlineStr"/>
      <c r="J1827" s="2" t="inlineStr">
        <is>
          <t>да</t>
        </is>
      </c>
      <c r="K1827" s="3" t="inlineStr">
        <is>
          <t>На основе популярного журнального комикса о собачке Пифе и коте Геркулесе</t>
        </is>
      </c>
      <c r="L1827" s="2" t="inlineStr">
        <is>
          <t>https://animator.ru/db/?p=show_film&amp;fid=5247</t>
        </is>
      </c>
      <c r="M1827" s="2">
        <f>HYPERLINK("https://ru.wikipedia.org/w/index.php?search=%D0%9F%D1%80%D0%B8%D0%BA%D0%BB%D1%8E%D1%87%D0%B5%D0%BD%D0%B8%D1%8F%20%D0%9F%D0%B8%D1%84%D0%B0%201970%20%D1%84%D0%B8%D0%BB%D1%8C%D0%BC","искать")</f>
        <v/>
      </c>
      <c r="N1827" s="3" t="n"/>
      <c r="O1827" s="2" t="n"/>
      <c r="P1827" s="2" t="n"/>
    </row>
    <row r="1828">
      <c r="A1828" s="2" t="n">
        <v>1827</v>
      </c>
      <c r="B1828" s="2" t="inlineStr">
        <is>
          <t>не сюжет</t>
        </is>
      </c>
      <c r="C1828" s="2" t="n">
        <v>14006</v>
      </c>
      <c r="D1828" s="3" t="inlineStr">
        <is>
          <t>Баллада о соколе и звезде</t>
        </is>
      </c>
      <c r="E1828" s="2" t="n">
        <v>1978</v>
      </c>
      <c r="F1828" s="2" t="inlineStr">
        <is>
          <t>мультфильм</t>
        </is>
      </c>
      <c r="G1828" s="2" t="inlineStr">
        <is>
          <t>УЗБЕКФИЛЬМ</t>
        </is>
      </c>
      <c r="H1828" s="2" t="n">
        <v>73</v>
      </c>
      <c r="I1828" s="2" t="inlineStr"/>
      <c r="J1828" s="2" t="inlineStr">
        <is>
          <t>да</t>
        </is>
      </c>
      <c r="K1828" s="3" t="inlineStr">
        <is>
          <t>По мотивам стихотворений узбекской поэтессы Х1Х века Уйваси. Для взрослых</t>
        </is>
      </c>
      <c r="L1828" s="2" t="inlineStr">
        <is>
          <t>https://animator.ru/db/?p=show_film&amp;fid=5400</t>
        </is>
      </c>
      <c r="M1828" s="2">
        <f>HYPERLINK("https://ru.wikipedia.org/w/index.php?search=%D0%91%D0%B0%D0%BB%D0%BB%D0%B0%D0%B4%D0%B0%20%D0%BE%20%D1%81%D0%BE%D0%BA%D0%BE%D0%BB%D0%B5%20%D0%B8%20%D0%B7%D0%B2%D0%B5%D0%B7%D0%B4%D0%B5%201978%20%D1%84%D0%B8%D0%BB%D1%8C%D0%BC","искать")</f>
        <v/>
      </c>
      <c r="N1828" s="3" t="n"/>
      <c r="O1828" s="2" t="n"/>
      <c r="P1828" s="2" t="n"/>
    </row>
    <row r="1829">
      <c r="A1829" s="2" t="n">
        <v>1828</v>
      </c>
      <c r="B1829" s="2" t="inlineStr">
        <is>
          <t>не сюжет</t>
        </is>
      </c>
      <c r="C1829" s="2" t="n">
        <v>14216</v>
      </c>
      <c r="D1829" s="3" t="inlineStr">
        <is>
          <t>Дядя Фёдор, пёс и кот. 3. Мама и папа</t>
        </is>
      </c>
      <c r="E1829" s="2" t="n">
        <v>1976</v>
      </c>
      <c r="F1829" s="2" t="inlineStr">
        <is>
          <t>мультфильм</t>
        </is>
      </c>
      <c r="G1829" s="2" t="inlineStr">
        <is>
          <t>ЭКРАН</t>
        </is>
      </c>
      <c r="H1829" s="2" t="n">
        <v>73</v>
      </c>
      <c r="I1829" s="2" t="inlineStr"/>
      <c r="J1829" s="2" t="inlineStr">
        <is>
          <t>да</t>
        </is>
      </c>
      <c r="K1829" s="3" t="inlineStr">
        <is>
          <t>Продолжение истории по повести Эдуарда Успенского "Трое из Простоквашино"</t>
        </is>
      </c>
      <c r="L1829" s="2" t="inlineStr">
        <is>
          <t>https://animator.ru/db/?p=show_film&amp;fid=5630</t>
        </is>
      </c>
      <c r="M1829" s="2">
        <f>HYPERLINK("https://ru.wikipedia.org/w/index.php?search=%D0%94%D1%8F%D0%B4%D1%8F%20%D0%A4%D1%91%D0%B4%D0%BE%D1%80%2C%20%D0%BF%D1%91%D1%81%20%D0%B8%20%D0%BA%D0%BE%D1%82.%203.%20%D0%9C%D0%B0%D0%BC%D0%B0%20%D0%B8%20%D0%BF%D0%B0%D0%BF%D0%B0%201976%20%D1%84%D0%B8%D0%BB%D1%8C%D0%BC","искать")</f>
        <v/>
      </c>
      <c r="N1829" s="3" t="n"/>
      <c r="O1829" s="2" t="n"/>
      <c r="P1829" s="2" t="n"/>
    </row>
    <row r="1830">
      <c r="A1830" s="2" t="n">
        <v>1829</v>
      </c>
      <c r="B1830" s="2" t="inlineStr">
        <is>
          <t>не сюжет</t>
        </is>
      </c>
      <c r="C1830" s="2" t="n">
        <v>14444</v>
      </c>
      <c r="D1830" s="3" t="inlineStr">
        <is>
          <t>Толик и Тобик</t>
        </is>
      </c>
      <c r="E1830" s="2" t="n">
        <v>1974</v>
      </c>
      <c r="F1830" s="2" t="inlineStr">
        <is>
          <t>мультфильм</t>
        </is>
      </c>
      <c r="G1830" s="2" t="inlineStr">
        <is>
          <t>ЭКРАН</t>
        </is>
      </c>
      <c r="H1830" s="2" t="n">
        <v>73</v>
      </c>
      <c r="I1830" s="2" t="inlineStr"/>
      <c r="J1830" s="2" t="inlineStr">
        <is>
          <t>да</t>
        </is>
      </c>
      <c r="K1830" s="3" t="inlineStr">
        <is>
          <t>О друзьях, решивших быть взаимно вежливыми и во всем помогать друг другу.</t>
        </is>
      </c>
      <c r="L1830" s="2" t="inlineStr">
        <is>
          <t>https://animator.ru/db/?p=show_film&amp;fid=6693</t>
        </is>
      </c>
      <c r="M1830" s="2">
        <f>HYPERLINK("https://ru.wikipedia.org/w/index.php?search=%D0%A2%D0%BE%D0%BB%D0%B8%D0%BA%20%D0%B8%20%D0%A2%D0%BE%D0%B1%D0%B8%D0%BA%201974%20%D1%84%D0%B8%D0%BB%D1%8C%D0%BC","искать")</f>
        <v/>
      </c>
      <c r="N1830" s="3" t="n"/>
      <c r="O1830" s="2" t="n"/>
      <c r="P1830" s="2" t="n"/>
    </row>
    <row r="1831">
      <c r="A1831" s="2" t="n">
        <v>1830</v>
      </c>
      <c r="B1831" s="2" t="inlineStr">
        <is>
          <t>не сюжет</t>
        </is>
      </c>
      <c r="C1831" s="2" t="n">
        <v>14461</v>
      </c>
      <c r="D1831" s="3" t="inlineStr">
        <is>
          <t>Знакомство</t>
        </is>
      </c>
      <c r="E1831" s="2" t="n">
        <v>1976</v>
      </c>
      <c r="F1831" s="2" t="inlineStr">
        <is>
          <t>мультфильм</t>
        </is>
      </c>
      <c r="G1831" s="2" t="n"/>
      <c r="H1831" s="2" t="n">
        <v>73</v>
      </c>
      <c r="I1831" s="2" t="inlineStr"/>
      <c r="J1831" s="2" t="inlineStr">
        <is>
          <t>да</t>
        </is>
      </c>
      <c r="K1831" s="3" t="inlineStr">
        <is>
          <t>Первый фильм из серии - Кинокурс для иностранцев, изучающих русский язык.</t>
        </is>
      </c>
      <c r="L1831" s="2" t="inlineStr">
        <is>
          <t>https://animator.ru/db/?p=show_film&amp;fid=6720</t>
        </is>
      </c>
      <c r="M1831" s="2">
        <f>HYPERLINK("https://ru.wikipedia.org/w/index.php?search=%D0%97%D0%BD%D0%B0%D0%BA%D0%BE%D0%BC%D1%81%D1%82%D0%B2%D0%BE%201976%20%D1%84%D0%B8%D0%BB%D1%8C%D0%BC","искать")</f>
        <v/>
      </c>
      <c r="N1831" s="3" t="n"/>
      <c r="O1831" s="2" t="n"/>
      <c r="P1831" s="2" t="n"/>
    </row>
    <row r="1832">
      <c r="A1832" s="2" t="n">
        <v>1831</v>
      </c>
      <c r="B1832" s="2" t="inlineStr">
        <is>
          <t>не сюжет</t>
        </is>
      </c>
      <c r="C1832" s="2" t="n">
        <v>7375</v>
      </c>
      <c r="D1832" s="3" t="inlineStr">
        <is>
          <t>Воскресный музыкант</t>
        </is>
      </c>
      <c r="E1832" s="2" t="n">
        <v>1972</v>
      </c>
      <c r="F1832" s="2" t="inlineStr">
        <is>
          <t>телефильм</t>
        </is>
      </c>
      <c r="G1832" s="2" t="inlineStr">
        <is>
          <t>ТО «Экран»</t>
        </is>
      </c>
      <c r="H1832" s="2" t="n">
        <v>74</v>
      </c>
      <c r="I1832" s="2" t="inlineStr"/>
      <c r="J1832" s="2" t="inlineStr">
        <is>
          <t>да</t>
        </is>
      </c>
      <c r="K1832" s="3" t="inlineStr">
        <is>
          <t>Посвящен жизни и творчеству русского композитора А.П.Бородина (1833-1887).</t>
        </is>
      </c>
      <c r="L1832" s="2" t="inlineStr">
        <is>
          <t>Кино_СССР сводный каталог.xlsx: список телефильмов</t>
        </is>
      </c>
      <c r="M1832" s="2">
        <f>HYPERLINK("https://ru.wikipedia.org/w/index.php?search=%D0%92%D0%BE%D1%81%D0%BA%D1%80%D0%B5%D1%81%D0%BD%D1%8B%D0%B9%20%D0%BC%D1%83%D0%B7%D1%8B%D0%BA%D0%B0%D0%BD%D1%82%201972%20%D1%84%D0%B8%D0%BB%D1%8C%D0%BC","искать")</f>
        <v/>
      </c>
      <c r="N1832" s="3" t="n"/>
      <c r="O1832" s="2" t="n"/>
      <c r="P1832" s="2" t="n"/>
    </row>
    <row r="1833">
      <c r="A1833" s="2" t="n">
        <v>1832</v>
      </c>
      <c r="B1833" s="2" t="inlineStr">
        <is>
          <t>не сюжет</t>
        </is>
      </c>
      <c r="C1833" s="2" t="n">
        <v>9552</v>
      </c>
      <c r="D1833" s="3" t="inlineStr">
        <is>
          <t>Пламенеющий остров</t>
        </is>
      </c>
      <c r="E1833" s="2" t="n">
        <v>1926</v>
      </c>
      <c r="F1833" s="2" t="inlineStr">
        <is>
          <t>кинофильм</t>
        </is>
      </c>
      <c r="G1833" s="2" t="n"/>
      <c r="H1833" s="2" t="n">
        <v>74</v>
      </c>
      <c r="I1833" s="2" t="inlineStr"/>
      <c r="J1833" s="2" t="inlineStr">
        <is>
          <t>да</t>
        </is>
      </c>
      <c r="K1833" s="3" t="inlineStr">
        <is>
          <t>Вторая серия фильма "Декабристы" (1926). Фильм не завершен, не сохранился.</t>
        </is>
      </c>
      <c r="L1833" s="2" t="inlineStr">
        <is>
          <t>Кино_СССР сводный каталог.xlsx: список фильмов (доп.)</t>
        </is>
      </c>
      <c r="M1833" s="2">
        <f>HYPERLINK("https://ru.wikipedia.org/w/index.php?search=%D0%9F%D0%BB%D0%B0%D0%BC%D0%B5%D0%BD%D0%B5%D1%8E%D1%89%D0%B8%D0%B9%20%D0%BE%D1%81%D1%82%D1%80%D0%BE%D0%B2%201926%20%D1%84%D0%B8%D0%BB%D1%8C%D0%BC","искать")</f>
        <v/>
      </c>
      <c r="N1833" s="3" t="n"/>
      <c r="O1833" s="2" t="n"/>
      <c r="P1833" s="2" t="n"/>
    </row>
    <row r="1834">
      <c r="A1834" s="2" t="n">
        <v>1833</v>
      </c>
      <c r="B1834" s="2" t="inlineStr">
        <is>
          <t>не сюжет</t>
        </is>
      </c>
      <c r="C1834" s="2" t="n">
        <v>10120</v>
      </c>
      <c r="D1834" s="3" t="inlineStr">
        <is>
          <t>Голубой огонёк 1964</t>
        </is>
      </c>
      <c r="E1834" s="2" t="n">
        <v>1964</v>
      </c>
      <c r="F1834" s="2" t="inlineStr">
        <is>
          <t>фильм-спектакль</t>
        </is>
      </c>
      <c r="G1834" s="2" t="inlineStr">
        <is>
          <t>Центральная студия телевидения</t>
        </is>
      </c>
      <c r="H1834" s="2" t="n">
        <v>74</v>
      </c>
      <c r="I1834" s="2" t="inlineStr"/>
      <c r="J1834" s="2" t="inlineStr">
        <is>
          <t>да</t>
        </is>
      </c>
      <c r="K1834" s="3" t="inlineStr">
        <is>
          <t>Праздничный "Голубой огонёк" 1964 года с участием звезд советской эстрады.</t>
        </is>
      </c>
      <c r="L1834" s="2" t="inlineStr">
        <is>
          <t>https://www.kino-teatr.ru/teatr/movie/103732/annot/</t>
        </is>
      </c>
      <c r="M1834" s="2">
        <f>HYPERLINK("https://ru.wikipedia.org/w/index.php?search=%D0%93%D0%BE%D0%BB%D1%83%D0%B1%D0%BE%D0%B9%20%D0%BE%D0%B3%D0%BE%D0%BD%D1%91%D0%BA%201964%201964%20%D1%84%D0%B8%D0%BB%D1%8C%D0%BC","искать")</f>
        <v/>
      </c>
      <c r="N1834" s="3" t="n"/>
      <c r="O1834" s="2" t="n"/>
      <c r="P1834" s="2" t="n"/>
    </row>
    <row r="1835">
      <c r="A1835" s="2" t="n">
        <v>1834</v>
      </c>
      <c r="B1835" s="2" t="inlineStr">
        <is>
          <t>не сюжет</t>
        </is>
      </c>
      <c r="C1835" s="2" t="n">
        <v>11044</v>
      </c>
      <c r="D1835" s="3" t="inlineStr">
        <is>
          <t>Три сестры</t>
        </is>
      </c>
      <c r="E1835" s="2" t="n">
        <v>1984</v>
      </c>
      <c r="F1835" s="2" t="inlineStr">
        <is>
          <t>фильм-спектакль</t>
        </is>
      </c>
      <c r="G1835" s="2" t="inlineStr">
        <is>
          <t>ТО “Экран”</t>
        </is>
      </c>
      <c r="H1835" s="2" t="n">
        <v>74</v>
      </c>
      <c r="I1835" s="2" t="inlineStr"/>
      <c r="J1835" s="2" t="inlineStr">
        <is>
          <t>да</t>
        </is>
      </c>
      <c r="K1835" s="3" t="inlineStr">
        <is>
          <t>Постановка Московского художественного академического театра им. Горького.</t>
        </is>
      </c>
      <c r="L1835" s="2" t="inlineStr">
        <is>
          <t>https://www.kino-teatr.ru/teatr/movie/16546/annot/</t>
        </is>
      </c>
      <c r="M1835" s="2">
        <f>HYPERLINK("https://ru.wikipedia.org/w/index.php?search=%D0%A2%D1%80%D0%B8%20%D1%81%D0%B5%D1%81%D1%82%D1%80%D1%8B%201984%20%D1%84%D0%B8%D0%BB%D1%8C%D0%BC","искать")</f>
        <v/>
      </c>
      <c r="N1835" s="3" t="n"/>
      <c r="O1835" s="2" t="n"/>
      <c r="P1835" s="2" t="n"/>
    </row>
    <row r="1836">
      <c r="A1836" s="2" t="n">
        <v>1835</v>
      </c>
      <c r="B1836" s="2" t="inlineStr">
        <is>
          <t>не сюжет</t>
        </is>
      </c>
      <c r="C1836" s="2" t="n">
        <v>11186</v>
      </c>
      <c r="D1836" s="3" t="inlineStr">
        <is>
          <t>Король Лир (1987, 1989)</t>
        </is>
      </c>
      <c r="E1836" s="2" t="n">
        <v>1987</v>
      </c>
      <c r="F1836" s="2" t="inlineStr">
        <is>
          <t>фильм-спектакль</t>
        </is>
      </c>
      <c r="G1836" s="2" t="n"/>
      <c r="H1836" s="2" t="n">
        <v>74</v>
      </c>
      <c r="I1836" s="2" t="inlineStr"/>
      <c r="J1836" s="2" t="inlineStr">
        <is>
          <t>да</t>
        </is>
      </c>
      <c r="K1836" s="3" t="inlineStr">
        <is>
          <t>Пьеса Уильяма Шекспира в постановке Тбилисского театра им. Шота Руставели.</t>
        </is>
      </c>
      <c r="L1836" s="2" t="inlineStr">
        <is>
          <t>https://www.kino-teatr.ru/teatr/movie/86312/annot/</t>
        </is>
      </c>
      <c r="M1836" s="2">
        <f>HYPERLINK("https://ru.wikipedia.org/w/index.php?search=%D0%9A%D0%BE%D1%80%D0%BE%D0%BB%D1%8C%20%D0%9B%D0%B8%D1%80%20%281987%2C%201989%29%201987%20%D1%84%D0%B8%D0%BB%D1%8C%D0%BC","искать")</f>
        <v/>
      </c>
      <c r="N1836" s="3" t="n"/>
      <c r="O1836" s="2" t="n"/>
      <c r="P1836" s="2" t="n"/>
    </row>
    <row r="1837">
      <c r="A1837" s="2" t="n">
        <v>1836</v>
      </c>
      <c r="B1837" s="2" t="inlineStr">
        <is>
          <t>не сюжет</t>
        </is>
      </c>
      <c r="C1837" s="2" t="n">
        <v>11399</v>
      </c>
      <c r="D1837" s="3" t="inlineStr">
        <is>
          <t>Дорога весны</t>
        </is>
      </c>
      <c r="E1837" s="2" t="n">
        <v>1959</v>
      </c>
      <c r="F1837" s="2" t="inlineStr">
        <is>
          <t>мультфильм</t>
        </is>
      </c>
      <c r="G1837" s="2" t="inlineStr">
        <is>
          <t>Союзмультфильм</t>
        </is>
      </c>
      <c r="H1837" s="2" t="n">
        <v>74</v>
      </c>
      <c r="I1837" s="2" t="inlineStr"/>
      <c r="J1837" s="2" t="inlineStr">
        <is>
          <t>да</t>
        </is>
      </c>
      <c r="K1837" s="3" t="inlineStr">
        <is>
          <t>Мультипликационный дивертисмент для круговой кинопанорамы в павильоне ВДНХ</t>
        </is>
      </c>
      <c r="L1837" s="2" t="inlineStr">
        <is>
          <t>https://animator.ru/db/?p=show_film&amp;fid=2044</t>
        </is>
      </c>
      <c r="M1837" s="2">
        <f>HYPERLINK("https://ru.wikipedia.org/w/index.php?search=%D0%94%D0%BE%D1%80%D0%BE%D0%B3%D0%B0%20%D0%B2%D0%B5%D1%81%D0%BD%D1%8B%201959%20%D1%84%D0%B8%D0%BB%D1%8C%D0%BC","искать")</f>
        <v/>
      </c>
      <c r="N1837" s="3" t="n"/>
      <c r="O1837" s="2" t="n"/>
      <c r="P1837" s="2" t="n"/>
    </row>
    <row r="1838">
      <c r="A1838" s="2" t="n">
        <v>1837</v>
      </c>
      <c r="B1838" s="2" t="inlineStr">
        <is>
          <t>не сюжет</t>
        </is>
      </c>
      <c r="C1838" s="2" t="n">
        <v>11789</v>
      </c>
      <c r="D1838" s="3" t="inlineStr">
        <is>
          <t>Фантик (Первобытная история)</t>
        </is>
      </c>
      <c r="E1838" s="2" t="n">
        <v>1975</v>
      </c>
      <c r="F1838" s="2" t="inlineStr">
        <is>
          <t>мультфильм</t>
        </is>
      </c>
      <c r="G1838" s="2" t="inlineStr">
        <is>
          <t>Союзмультфильм</t>
        </is>
      </c>
      <c r="H1838" s="2" t="n">
        <v>74</v>
      </c>
      <c r="I1838" s="2" t="inlineStr"/>
      <c r="J1838" s="2" t="inlineStr">
        <is>
          <t>да</t>
        </is>
      </c>
      <c r="K1838" s="3" t="inlineStr">
        <is>
          <t>Шумовое оформление записано на экспериментальной студии электронной музыки</t>
        </is>
      </c>
      <c r="L1838" s="2" t="inlineStr">
        <is>
          <t>https://animator.ru/db/?p=show_film&amp;fid=2703</t>
        </is>
      </c>
      <c r="M1838" s="2">
        <f>HYPERLINK("https://ru.wikipedia.org/w/index.php?search=%D0%A4%D0%B0%D0%BD%D1%82%D0%B8%D0%BA%20%28%D0%9F%D0%B5%D1%80%D0%B2%D0%BE%D0%B1%D1%8B%D1%82%D0%BD%D0%B0%D1%8F%20%D0%B8%D1%81%D1%82%D0%BE%D1%80%D0%B8%D1%8F%29%201975%20%D1%84%D0%B8%D0%BB%D1%8C%D0%BC","искать")</f>
        <v/>
      </c>
      <c r="N1838" s="3" t="n"/>
      <c r="O1838" s="2" t="n"/>
      <c r="P1838" s="2" t="n"/>
    </row>
    <row r="1839">
      <c r="A1839" s="2" t="n">
        <v>1838</v>
      </c>
      <c r="B1839" s="2" t="inlineStr">
        <is>
          <t>не сюжет</t>
        </is>
      </c>
      <c r="C1839" s="2" t="n">
        <v>11895</v>
      </c>
      <c r="D1839" s="3" t="inlineStr">
        <is>
          <t>Веселая карусель n 8. Почему у льва большая грива</t>
        </is>
      </c>
      <c r="E1839" s="2" t="n">
        <v>1976</v>
      </c>
      <c r="F1839" s="2" t="inlineStr">
        <is>
          <t>мультфильм</t>
        </is>
      </c>
      <c r="G1839" s="2" t="inlineStr">
        <is>
          <t>Союзмультфильм</t>
        </is>
      </c>
      <c r="H1839" s="2" t="n">
        <v>74</v>
      </c>
      <c r="I1839" s="2" t="inlineStr"/>
      <c r="J1839" s="2" t="inlineStr">
        <is>
          <t>да</t>
        </is>
      </c>
      <c r="K1839" s="3" t="inlineStr">
        <is>
          <t>Сюжет из альманаха «ВЕСЕЛАЯ КАРУСЕЛЬ N 8»
По стихотворению Эммы Машковской</t>
        </is>
      </c>
      <c r="L1839" s="2" t="inlineStr">
        <is>
          <t>https://animator.ru/db/?p=show_film&amp;fid=2810</t>
        </is>
      </c>
      <c r="M1839" s="2">
        <f>HYPERLINK("https://ru.wikipedia.org/w/index.php?search=%D0%92%D0%B5%D1%81%D0%B5%D0%BB%D0%B0%D1%8F%20%D0%BA%D0%B0%D1%80%D1%83%D1%81%D0%B5%D0%BB%D1%8C%20n%208.%20%D0%9F%D0%BE%D1%87%D0%B5%D0%BC%D1%83%20%D1%83%20%D0%BB%D1%8C%D0%B2%D0%B0%20%D0%B1%D0%BE%D0%BB%D1%8C%D1%88%D0%B0%D1%8F%20%D0%B3%D1%80%D0%B8%D0%B2%D0%B0%201976%20%D1%84%D0%B8%D0%BB%D1%8C%D0%BC","искать")</f>
        <v/>
      </c>
      <c r="N1839" s="3" t="n"/>
      <c r="O1839" s="2" t="n"/>
      <c r="P1839" s="2" t="n"/>
    </row>
    <row r="1840">
      <c r="A1840" s="2" t="n">
        <v>1839</v>
      </c>
      <c r="B1840" s="2" t="inlineStr">
        <is>
          <t>не сюжет</t>
        </is>
      </c>
      <c r="C1840" s="2" t="n">
        <v>12687</v>
      </c>
      <c r="D1840" s="3" t="inlineStr">
        <is>
          <t>Корзина с еловыми шишками</t>
        </is>
      </c>
      <c r="E1840" s="2" t="n">
        <v>1989</v>
      </c>
      <c r="F1840" s="2" t="inlineStr">
        <is>
          <t>мультфильм</t>
        </is>
      </c>
      <c r="G1840" s="2" t="inlineStr">
        <is>
          <t>БЕЛАРУСЬФИЛЬМ НАЦИОНАЛЬНАЯ КИНОСТУДИЯ - ГП</t>
        </is>
      </c>
      <c r="H1840" s="2" t="n">
        <v>74</v>
      </c>
      <c r="I1840" s="2" t="inlineStr"/>
      <c r="J1840" s="2" t="inlineStr">
        <is>
          <t>да</t>
        </is>
      </c>
      <c r="K1840" s="3" t="inlineStr">
        <is>
          <t>По мотивам одноименного рассказа К.Паустовского. Использована музыка Грига</t>
        </is>
      </c>
      <c r="L1840" s="2" t="inlineStr">
        <is>
          <t>https://animator.ru/db/?p=show_film&amp;fid=3882</t>
        </is>
      </c>
      <c r="M1840" s="2">
        <f>HYPERLINK("https://ru.wikipedia.org/w/index.php?search=%D0%9A%D0%BE%D1%80%D0%B7%D0%B8%D0%BD%D0%B0%20%D1%81%20%D0%B5%D0%BB%D0%BE%D0%B2%D1%8B%D0%BC%D0%B8%20%D1%88%D0%B8%D1%88%D0%BA%D0%B0%D0%BC%D0%B8%201989%20%D1%84%D0%B8%D0%BB%D1%8C%D0%BC","искать")</f>
        <v/>
      </c>
      <c r="N1840" s="3" t="n"/>
      <c r="O1840" s="2" t="n"/>
      <c r="P1840" s="2" t="n"/>
    </row>
    <row r="1841">
      <c r="A1841" s="2" t="n">
        <v>1840</v>
      </c>
      <c r="B1841" s="2" t="inlineStr">
        <is>
          <t>не сюжет</t>
        </is>
      </c>
      <c r="C1841" s="2" t="n">
        <v>12811</v>
      </c>
      <c r="D1841" s="3" t="inlineStr">
        <is>
          <t>Игра в домики</t>
        </is>
      </c>
      <c r="E1841" s="2" t="n">
        <v>1973</v>
      </c>
      <c r="F1841" s="2" t="inlineStr">
        <is>
          <t>мультфильм</t>
        </is>
      </c>
      <c r="G1841" s="2" t="inlineStr">
        <is>
          <t>ГРУЗИЯ-ФИЛЬМ - АО</t>
        </is>
      </c>
      <c r="H1841" s="2" t="n">
        <v>74</v>
      </c>
      <c r="I1841" s="2" t="inlineStr"/>
      <c r="J1841" s="2" t="inlineStr">
        <is>
          <t>да</t>
        </is>
      </c>
      <c r="K1841" s="3" t="inlineStr">
        <is>
          <t>В детской игре отражаются глобальные проблемы взрослого мира. Для взрослых</t>
        </is>
      </c>
      <c r="L1841" s="2" t="inlineStr">
        <is>
          <t>https://animator.ru/db/?p=show_film&amp;fid=4022</t>
        </is>
      </c>
      <c r="M1841" s="2">
        <f>HYPERLINK("https://ru.wikipedia.org/w/index.php?search=%D0%98%D0%B3%D1%80%D0%B0%20%D0%B2%20%D0%B4%D0%BE%D0%BC%D0%B8%D0%BA%D0%B8%201973%20%D1%84%D0%B8%D0%BB%D1%8C%D0%BC","искать")</f>
        <v/>
      </c>
      <c r="N1841" s="3" t="n"/>
      <c r="O1841" s="2" t="n"/>
      <c r="P1841" s="2" t="n"/>
    </row>
    <row r="1842">
      <c r="A1842" s="2" t="n">
        <v>1841</v>
      </c>
      <c r="B1842" s="2" t="inlineStr">
        <is>
          <t>не сюжет</t>
        </is>
      </c>
      <c r="C1842" s="2" t="n">
        <v>13081</v>
      </c>
      <c r="D1842" s="3" t="inlineStr">
        <is>
          <t>Лихо</t>
        </is>
      </c>
      <c r="E1842" s="2" t="n">
        <v>1979</v>
      </c>
      <c r="F1842" s="2" t="inlineStr">
        <is>
          <t>мультфильм</t>
        </is>
      </c>
      <c r="G1842" s="2" t="inlineStr">
        <is>
          <t>ГОСТЕЛЕРАДИО ЛАТВ. ССР ("ТЕЛЕФИЛЬМ-РИГА")</t>
        </is>
      </c>
      <c r="H1842" s="2" t="n">
        <v>74</v>
      </c>
      <c r="I1842" s="2" t="inlineStr"/>
      <c r="J1842" s="2" t="inlineStr">
        <is>
          <t>да</t>
        </is>
      </c>
      <c r="K1842" s="3" t="inlineStr">
        <is>
          <t>Медаль СК Латвии "Большой Кристап 1979" - А.Берзиньшу "За лучший сценарий"</t>
        </is>
      </c>
      <c r="L1842" s="2" t="inlineStr">
        <is>
          <t>https://animator.ru/db/?p=show_film&amp;fid=4313</t>
        </is>
      </c>
      <c r="M1842" s="2">
        <f>HYPERLINK("https://ru.wikipedia.org/w/index.php?search=%D0%9B%D0%B8%D1%85%D0%BE%201979%20%D1%84%D0%B8%D0%BB%D1%8C%D0%BC","искать")</f>
        <v/>
      </c>
      <c r="N1842" s="3" t="n"/>
      <c r="O1842" s="2" t="n"/>
      <c r="P1842" s="2" t="n"/>
    </row>
    <row r="1843">
      <c r="A1843" s="2" t="n">
        <v>1842</v>
      </c>
      <c r="B1843" s="2" t="inlineStr">
        <is>
          <t>не сюжет</t>
        </is>
      </c>
      <c r="C1843" s="2" t="n">
        <v>13127</v>
      </c>
      <c r="D1843" s="3" t="inlineStr">
        <is>
          <t>Все цвета</t>
        </is>
      </c>
      <c r="E1843" s="2" t="n">
        <v>1989</v>
      </c>
      <c r="F1843" s="2" t="inlineStr">
        <is>
          <t>мультфильм</t>
        </is>
      </c>
      <c r="G1843" s="2" t="inlineStr">
        <is>
          <t>МОЛДОВА-ФИЛЬМ</t>
        </is>
      </c>
      <c r="H1843" s="2" t="n">
        <v>74</v>
      </c>
      <c r="I1843" s="2" t="inlineStr"/>
      <c r="J1843" s="2" t="inlineStr">
        <is>
          <t>да</t>
        </is>
      </c>
      <c r="K1843" s="3" t="inlineStr">
        <is>
          <t>По рассказу Лео Леони "Про Желтушка и Синюшку". Познавательный для малышей</t>
        </is>
      </c>
      <c r="L1843" s="2" t="inlineStr">
        <is>
          <t>https://animator.ru/db/?p=show_film&amp;fid=4359</t>
        </is>
      </c>
      <c r="M1843" s="2">
        <f>HYPERLINK("https://ru.wikipedia.org/w/index.php?search=%D0%92%D1%81%D0%B5%20%D1%86%D0%B2%D0%B5%D1%82%D0%B0%201989%20%D1%84%D0%B8%D0%BB%D1%8C%D0%BC","искать")</f>
        <v/>
      </c>
      <c r="N1843" s="3" t="n"/>
      <c r="O1843" s="2" t="n"/>
      <c r="P1843" s="2" t="n"/>
    </row>
    <row r="1844">
      <c r="A1844" s="2" t="n">
        <v>1843</v>
      </c>
      <c r="B1844" s="2" t="inlineStr">
        <is>
          <t>не сюжет</t>
        </is>
      </c>
      <c r="C1844" s="2" t="n">
        <v>13148</v>
      </c>
      <c r="D1844" s="3" t="inlineStr">
        <is>
          <t>Кроки</t>
        </is>
      </c>
      <c r="E1844" s="2" t="n">
        <v>1988</v>
      </c>
      <c r="F1844" s="2" t="inlineStr">
        <is>
          <t>мультфильм</t>
        </is>
      </c>
      <c r="G1844" s="2" t="inlineStr">
        <is>
          <t>БЕЛАРУСЬФИЛЬМ НАЦИОНАЛЬНАЯ КИНОСТУДИЯ - ГП</t>
        </is>
      </c>
      <c r="H1844" s="2" t="n">
        <v>74</v>
      </c>
      <c r="I1844" s="2" t="inlineStr"/>
      <c r="J1844" s="2" t="inlineStr">
        <is>
          <t>да</t>
        </is>
      </c>
      <c r="K1844" s="3" t="inlineStr">
        <is>
          <t>Три сюжета: "Черта" (М.Тумеля, "Беглец" (В.Бакунович), "Всегда" (Алькович)</t>
        </is>
      </c>
      <c r="L1844" s="2" t="inlineStr">
        <is>
          <t>https://animator.ru/db/?p=show_film&amp;fid=4380</t>
        </is>
      </c>
      <c r="M1844" s="2">
        <f>HYPERLINK("https://ru.wikipedia.org/w/index.php?search=%D0%9A%D1%80%D0%BE%D0%BA%D0%B8%201988%20%D1%84%D0%B8%D0%BB%D1%8C%D0%BC","искать")</f>
        <v/>
      </c>
      <c r="N1844" s="3" t="n"/>
      <c r="O1844" s="2" t="n"/>
      <c r="P1844" s="2" t="n"/>
    </row>
    <row r="1845">
      <c r="A1845" s="2" t="n">
        <v>1844</v>
      </c>
      <c r="B1845" s="2" t="inlineStr">
        <is>
          <t>не сюжет</t>
        </is>
      </c>
      <c r="C1845" s="2" t="n">
        <v>13170</v>
      </c>
      <c r="D1845" s="3" t="inlineStr">
        <is>
          <t>Большой и маленький</t>
        </is>
      </c>
      <c r="E1845" s="2" t="n">
        <v>1981</v>
      </c>
      <c r="F1845" s="2" t="inlineStr">
        <is>
          <t>мультфильм</t>
        </is>
      </c>
      <c r="G1845" s="2" t="inlineStr">
        <is>
          <t>УЗБЕКФИЛЬМ</t>
        </is>
      </c>
      <c r="H1845" s="2" t="n">
        <v>74</v>
      </c>
      <c r="I1845" s="2" t="inlineStr"/>
      <c r="J1845" s="2" t="inlineStr">
        <is>
          <t>да</t>
        </is>
      </c>
      <c r="K1845" s="3" t="inlineStr">
        <is>
          <t>О глиняных мальчиках: маленьком - добром и трудолюбивом, и о злом большом.</t>
        </is>
      </c>
      <c r="L1845" s="2" t="inlineStr">
        <is>
          <t>2026-10_мультфильмы_список_владельца.xlsx; https://animator.ru/db/?p=show_film&amp;fid=4407</t>
        </is>
      </c>
      <c r="M1845" s="2">
        <f>HYPERLINK("https://ru.wikipedia.org/w/index.php?search=%D0%91%D0%BE%D0%BB%D1%8C%D1%88%D0%BE%D0%B9%20%D0%B8%20%D0%BC%D0%B0%D0%BB%D0%B5%D0%BD%D1%8C%D0%BA%D0%B8%D0%B9%201981%20%D1%84%D0%B8%D0%BB%D1%8C%D0%BC","искать")</f>
        <v/>
      </c>
      <c r="N1845" s="3" t="n"/>
      <c r="O1845" s="2" t="n"/>
      <c r="P1845" s="2" t="n"/>
    </row>
    <row r="1846">
      <c r="A1846" s="2" t="n">
        <v>1845</v>
      </c>
      <c r="B1846" s="2" t="inlineStr">
        <is>
          <t>не сюжет</t>
        </is>
      </c>
      <c r="C1846" s="2" t="n">
        <v>13279</v>
      </c>
      <c r="D1846" s="3" t="inlineStr">
        <is>
          <t>Рак-волшебник</t>
        </is>
      </c>
      <c r="E1846" s="2" t="n">
        <v>1986</v>
      </c>
      <c r="F1846" s="2" t="inlineStr">
        <is>
          <t>мультфильм</t>
        </is>
      </c>
      <c r="G1846" s="2" t="inlineStr">
        <is>
          <t>ТАЛЛИННФИЛЬМ</t>
        </is>
      </c>
      <c r="H1846" s="2" t="n">
        <v>74</v>
      </c>
      <c r="I1846" s="2" t="inlineStr"/>
      <c r="J1846" s="2" t="inlineStr">
        <is>
          <t>да</t>
        </is>
      </c>
      <c r="K1846" s="3" t="inlineStr">
        <is>
          <t>По мотивам сказки Фр.Крейцвальда на тему, близкую к сказке о Золотой рыбке</t>
        </is>
      </c>
      <c r="L1846" s="2" t="inlineStr">
        <is>
          <t>https://animator.ru/db/?p=show_film&amp;fid=4536</t>
        </is>
      </c>
      <c r="M1846" s="2">
        <f>HYPERLINK("https://ru.wikipedia.org/w/index.php?search=%D0%A0%D0%B0%D0%BA-%D0%B2%D0%BE%D0%BB%D1%88%D0%B5%D0%B1%D0%BD%D0%B8%D0%BA%201986%20%D1%84%D0%B8%D0%BB%D1%8C%D0%BC","искать")</f>
        <v/>
      </c>
      <c r="N1846" s="3" t="n"/>
      <c r="O1846" s="2" t="n"/>
      <c r="P1846" s="2" t="n"/>
    </row>
    <row r="1847">
      <c r="A1847" s="2" t="n">
        <v>1846</v>
      </c>
      <c r="B1847" s="2" t="inlineStr">
        <is>
          <t>не сюжет</t>
        </is>
      </c>
      <c r="C1847" s="2" t="n">
        <v>13280</v>
      </c>
      <c r="D1847" s="3" t="inlineStr">
        <is>
          <t>Жираф</t>
        </is>
      </c>
      <c r="E1847" s="2" t="n">
        <v>1986</v>
      </c>
      <c r="F1847" s="2" t="inlineStr">
        <is>
          <t>мультфильм</t>
        </is>
      </c>
      <c r="G1847" s="2" t="inlineStr">
        <is>
          <t>ТАЛЛИННФИЛЬМ</t>
        </is>
      </c>
      <c r="H1847" s="2" t="n">
        <v>74</v>
      </c>
      <c r="I1847" s="2" t="inlineStr"/>
      <c r="J1847" s="2" t="inlineStr">
        <is>
          <t>да</t>
        </is>
      </c>
      <c r="K1847" s="3" t="inlineStr">
        <is>
          <t>Автоматический эрзац интереснее для публики, чем живой жираф. Для взрослых</t>
        </is>
      </c>
      <c r="L1847" s="2" t="inlineStr">
        <is>
          <t>https://animator.ru/db/?p=show_film&amp;fid=4537</t>
        </is>
      </c>
      <c r="M1847" s="2">
        <f>HYPERLINK("https://ru.wikipedia.org/w/index.php?search=%D0%96%D0%B8%D1%80%D0%B0%D1%84%201986%20%D1%84%D0%B8%D0%BB%D1%8C%D0%BC","искать")</f>
        <v/>
      </c>
      <c r="N1847" s="3" t="n"/>
      <c r="O1847" s="2" t="n"/>
      <c r="P1847" s="2" t="n"/>
    </row>
    <row r="1848">
      <c r="A1848" s="2" t="n">
        <v>1847</v>
      </c>
      <c r="B1848" s="2" t="inlineStr">
        <is>
          <t>не сюжет</t>
        </is>
      </c>
      <c r="C1848" s="2" t="n">
        <v>13867</v>
      </c>
      <c r="D1848" s="3" t="inlineStr">
        <is>
          <t>Пчелка</t>
        </is>
      </c>
      <c r="E1848" s="2" t="n">
        <v>1987</v>
      </c>
      <c r="F1848" s="2" t="inlineStr">
        <is>
          <t>мультфильм</t>
        </is>
      </c>
      <c r="G1848" s="2" t="inlineStr">
        <is>
          <t>ЭКРАН</t>
        </is>
      </c>
      <c r="H1848" s="2" t="n">
        <v>74</v>
      </c>
      <c r="I1848" s="2" t="inlineStr"/>
      <c r="J1848" s="2" t="inlineStr">
        <is>
          <t>да</t>
        </is>
      </c>
      <c r="K1848" s="3" t="inlineStr">
        <is>
          <t>Агитационный фильм Португальской трудовой партии СДИ. По заказу Португалии</t>
        </is>
      </c>
      <c r="L1848" s="2" t="inlineStr">
        <is>
          <t>https://animator.ru/db/?p=show_film&amp;fid=5260</t>
        </is>
      </c>
      <c r="M1848" s="2">
        <f>HYPERLINK("https://ru.wikipedia.org/w/index.php?search=%D0%9F%D1%87%D0%B5%D0%BB%D0%BA%D0%B0%201987%20%D1%84%D0%B8%D0%BB%D1%8C%D0%BC","искать")</f>
        <v/>
      </c>
      <c r="N1848" s="3" t="n"/>
      <c r="O1848" s="2" t="n"/>
      <c r="P1848" s="2" t="n"/>
    </row>
    <row r="1849">
      <c r="A1849" s="2" t="n">
        <v>1848</v>
      </c>
      <c r="B1849" s="2" t="inlineStr">
        <is>
          <t>не сюжет</t>
        </is>
      </c>
      <c r="C1849" s="2" t="n">
        <v>13906</v>
      </c>
      <c r="D1849" s="3" t="inlineStr">
        <is>
          <t>Солдатская лампа</t>
        </is>
      </c>
      <c r="E1849" s="2" t="n">
        <v>1984</v>
      </c>
      <c r="F1849" s="2" t="inlineStr">
        <is>
          <t>мультфильм</t>
        </is>
      </c>
      <c r="G1849" s="2" t="inlineStr">
        <is>
          <t>ЭКРАН</t>
        </is>
      </c>
      <c r="H1849" s="2" t="n">
        <v>74</v>
      </c>
      <c r="I1849" s="2" t="inlineStr"/>
      <c r="J1849" s="2" t="inlineStr">
        <is>
          <t>да</t>
        </is>
      </c>
      <c r="K1849" s="3" t="inlineStr">
        <is>
          <t>В память подвига отцов и дедов - победителей в Великой отечественной войне</t>
        </is>
      </c>
      <c r="L1849" s="2" t="inlineStr">
        <is>
          <t>https://animator.ru/db/?p=show_film&amp;fid=5300</t>
        </is>
      </c>
      <c r="M1849" s="2">
        <f>HYPERLINK("https://ru.wikipedia.org/w/index.php?search=%D0%A1%D0%BE%D0%BB%D0%B4%D0%B0%D1%82%D1%81%D0%BA%D0%B0%D1%8F%20%D0%BB%D0%B0%D0%BC%D0%BF%D0%B0%201984%20%D1%84%D0%B8%D0%BB%D1%8C%D0%BC","искать")</f>
        <v/>
      </c>
      <c r="N1849" s="3" t="n"/>
      <c r="O1849" s="2" t="n"/>
      <c r="P1849" s="2" t="n"/>
    </row>
    <row r="1850">
      <c r="A1850" s="2" t="n">
        <v>1849</v>
      </c>
      <c r="B1850" s="2" t="inlineStr">
        <is>
          <t>не сюжет</t>
        </is>
      </c>
      <c r="C1850" s="2" t="n">
        <v>14415</v>
      </c>
      <c r="D1850" s="3" t="inlineStr">
        <is>
          <t>Ель (Из цикла "Новый год")</t>
        </is>
      </c>
      <c r="E1850" s="2" t="n">
        <v>1981</v>
      </c>
      <c r="F1850" s="2" t="inlineStr">
        <is>
          <t>мультфильм</t>
        </is>
      </c>
      <c r="G1850" s="2" t="n"/>
      <c r="H1850" s="2" t="n">
        <v>74</v>
      </c>
      <c r="I1850" s="2" t="inlineStr"/>
      <c r="J1850" s="2" t="inlineStr">
        <is>
          <t>да</t>
        </is>
      </c>
      <c r="K1850" s="3" t="inlineStr">
        <is>
          <t>Микромультфильм с новогодним сюжетом, созданный методом масляной живописи.</t>
        </is>
      </c>
      <c r="L1850" s="2" t="inlineStr">
        <is>
          <t>https://animator.ru/db/?p=show_film&amp;fid=6651</t>
        </is>
      </c>
      <c r="M1850" s="2">
        <f>HYPERLINK("https://ru.wikipedia.org/w/index.php?search=%D0%95%D0%BB%D1%8C%20%28%D0%98%D0%B7%20%D1%86%D0%B8%D0%BA%D0%BB%D0%B0%20%22%D0%9D%D0%BE%D0%B2%D1%8B%D0%B9%20%D0%B3%D0%BE%D0%B4%22%29%201981%20%D1%84%D0%B8%D0%BB%D1%8C%D0%BC","искать")</f>
        <v/>
      </c>
      <c r="N1850" s="3" t="n"/>
      <c r="O1850" s="2" t="n"/>
      <c r="P1850" s="2" t="n"/>
    </row>
    <row r="1851">
      <c r="A1851" s="2" t="n">
        <v>1850</v>
      </c>
      <c r="B1851" s="2" t="inlineStr">
        <is>
          <t>не сюжет</t>
        </is>
      </c>
      <c r="C1851" s="2" t="n">
        <v>7921</v>
      </c>
      <c r="D1851" s="3" t="inlineStr">
        <is>
          <t>Мы хотим танцевать</t>
        </is>
      </c>
      <c r="E1851" s="2" t="n">
        <v>1973</v>
      </c>
      <c r="F1851" s="2" t="inlineStr">
        <is>
          <t>телефильм</t>
        </is>
      </c>
      <c r="G1851" s="2" t="n"/>
      <c r="H1851" s="2" t="n">
        <v>75</v>
      </c>
      <c r="I1851" s="2" t="inlineStr"/>
      <c r="J1851" s="2" t="inlineStr">
        <is>
          <t>да</t>
        </is>
      </c>
      <c r="K1851" s="3" t="inlineStr">
        <is>
          <t>Фрагменты из оперетт в исполнении актеров Ленинградского театра музкомедии.</t>
        </is>
      </c>
      <c r="L1851" s="2" t="inlineStr">
        <is>
          <t>Кино_СССР сводный каталог.xlsx: список телефильмов</t>
        </is>
      </c>
      <c r="M1851" s="2">
        <f>HYPERLINK("https://ru.wikipedia.org/w/index.php?search=%D0%9C%D1%8B%20%D1%85%D0%BE%D1%82%D0%B8%D0%BC%20%D1%82%D0%B0%D0%BD%D1%86%D0%B5%D0%B2%D0%B0%D1%82%D1%8C%201973%20%D1%84%D0%B8%D0%BB%D1%8C%D0%BC","искать")</f>
        <v/>
      </c>
      <c r="N1851" s="3" t="n"/>
      <c r="O1851" s="2" t="n"/>
      <c r="P1851" s="2" t="n"/>
    </row>
    <row r="1852">
      <c r="A1852" s="2" t="n">
        <v>1851</v>
      </c>
      <c r="B1852" s="2" t="inlineStr">
        <is>
          <t>не сюжет</t>
        </is>
      </c>
      <c r="C1852" s="2" t="n">
        <v>10079</v>
      </c>
      <c r="D1852" s="3" t="inlineStr">
        <is>
          <t>На сон грядущий</t>
        </is>
      </c>
      <c r="E1852" s="2" t="n">
        <v>1960</v>
      </c>
      <c r="F1852" s="2" t="inlineStr">
        <is>
          <t>фильм-спектакль</t>
        </is>
      </c>
      <c r="G1852" s="2" t="inlineStr">
        <is>
          <t>Центральное телевидение</t>
        </is>
      </c>
      <c r="H1852" s="2" t="n">
        <v>75</v>
      </c>
      <c r="I1852" s="2" t="inlineStr"/>
      <c r="J1852" s="2" t="inlineStr">
        <is>
          <t>да</t>
        </is>
      </c>
      <c r="K1852" s="3" t="inlineStr">
        <is>
          <t>Театрализованные миниатюры в исполнении Аркадия Райкина и артистов эстрады.</t>
        </is>
      </c>
      <c r="L1852" s="2" t="inlineStr">
        <is>
          <t>https://www.kino-teatr.ru/teatr/movie/101266/annot/</t>
        </is>
      </c>
      <c r="M1852" s="2">
        <f>HYPERLINK("https://ru.wikipedia.org/w/index.php?search=%D0%9D%D0%B0%20%D1%81%D0%BE%D0%BD%20%D0%B3%D1%80%D1%8F%D0%B4%D1%83%D1%89%D0%B8%D0%B9%201960%20%D1%84%D0%B8%D0%BB%D1%8C%D0%BC","искать")</f>
        <v/>
      </c>
      <c r="N1852" s="3" t="n"/>
      <c r="O1852" s="2" t="n"/>
      <c r="P1852" s="2" t="n"/>
    </row>
    <row r="1853">
      <c r="A1853" s="2" t="n">
        <v>1852</v>
      </c>
      <c r="B1853" s="2" t="inlineStr">
        <is>
          <t>не сюжет</t>
        </is>
      </c>
      <c r="C1853" s="2" t="n">
        <v>10497</v>
      </c>
      <c r="D1853" s="3" t="inlineStr">
        <is>
          <t>Дорогой мальчик</t>
        </is>
      </c>
      <c r="E1853" s="2" t="n">
        <v>1973</v>
      </c>
      <c r="F1853" s="2" t="inlineStr">
        <is>
          <t>фильм-спектакль</t>
        </is>
      </c>
      <c r="G1853" s="2" t="inlineStr">
        <is>
          <t>Центральное телевидение</t>
        </is>
      </c>
      <c r="H1853" s="2" t="n">
        <v>75</v>
      </c>
      <c r="I1853" s="2" t="inlineStr"/>
      <c r="J1853" s="2" t="inlineStr">
        <is>
          <t>да</t>
        </is>
      </c>
      <c r="K1853" s="3" t="inlineStr">
        <is>
          <t>Телеверсия спектакля Московского театра юного зрителя по пьесе С.Михалкова.</t>
        </is>
      </c>
      <c r="L1853" s="2" t="inlineStr">
        <is>
          <t>https://www.kino-teatr.ru/teatr/movie/92520/annot/</t>
        </is>
      </c>
      <c r="M1853" s="2">
        <f>HYPERLINK("https://ru.wikipedia.org/w/index.php?search=%D0%94%D0%BE%D1%80%D0%BE%D0%B3%D0%BE%D0%B9%20%D0%BC%D0%B0%D0%BB%D1%8C%D1%87%D0%B8%D0%BA%201973%20%D1%84%D0%B8%D0%BB%D1%8C%D0%BC","искать")</f>
        <v/>
      </c>
      <c r="N1853" s="3" t="n"/>
      <c r="O1853" s="2" t="n"/>
      <c r="P1853" s="2" t="inlineStr">
        <is>
          <t>Википедия: «Дорогой мальчик (фильм)» — по сверке другой фильм, не предложено</t>
        </is>
      </c>
    </row>
    <row r="1854">
      <c r="A1854" s="2" t="n">
        <v>1853</v>
      </c>
      <c r="B1854" s="2" t="inlineStr">
        <is>
          <t>не сюжет</t>
        </is>
      </c>
      <c r="C1854" s="2" t="n">
        <v>10693</v>
      </c>
      <c r="D1854" s="3" t="inlineStr">
        <is>
          <t>Лишний день в июне</t>
        </is>
      </c>
      <c r="E1854" s="2" t="n">
        <v>1977</v>
      </c>
      <c r="F1854" s="2" t="inlineStr">
        <is>
          <t>фильм-спектакль</t>
        </is>
      </c>
      <c r="G1854" s="2" t="inlineStr">
        <is>
          <t>Ленинградское телевидение</t>
        </is>
      </c>
      <c r="H1854" s="2" t="n">
        <v>75</v>
      </c>
      <c r="I1854" s="2" t="inlineStr"/>
      <c r="J1854" s="2" t="inlineStr">
        <is>
          <t>да</t>
        </is>
      </c>
      <c r="K1854" s="3" t="inlineStr">
        <is>
          <t>По повести "31 июня" Д.Б.Пристли.
Видеозапись телеспектакля не сохранилась.</t>
        </is>
      </c>
      <c r="L1854" s="2" t="inlineStr">
        <is>
          <t>https://www.kino-teatr.ru/teatr/movie/16631/annot/</t>
        </is>
      </c>
      <c r="M1854" s="2">
        <f>HYPERLINK("https://ru.wikipedia.org/w/index.php?search=%D0%9B%D0%B8%D1%88%D0%BD%D0%B8%D0%B9%20%D0%B4%D0%B5%D0%BD%D1%8C%20%D0%B2%20%D0%B8%D1%8E%D0%BD%D0%B5%201977%20%D1%84%D0%B8%D0%BB%D1%8C%D0%BC","искать")</f>
        <v/>
      </c>
      <c r="N1854" s="3" t="n"/>
      <c r="O1854" s="2" t="n"/>
      <c r="P1854" s="2" t="n"/>
    </row>
    <row r="1855">
      <c r="A1855" s="2" t="n">
        <v>1854</v>
      </c>
      <c r="B1855" s="2" t="inlineStr">
        <is>
          <t>не сюжет</t>
        </is>
      </c>
      <c r="C1855" s="2" t="n">
        <v>11000</v>
      </c>
      <c r="D1855" s="3" t="inlineStr">
        <is>
          <t>Неуловимое чудо</t>
        </is>
      </c>
      <c r="E1855" s="2" t="n">
        <v>1983</v>
      </c>
      <c r="F1855" s="2" t="inlineStr">
        <is>
          <t>фильм-спектакль</t>
        </is>
      </c>
      <c r="G1855" s="2" t="inlineStr">
        <is>
          <t>Эстонское телевидение</t>
        </is>
      </c>
      <c r="H1855" s="2" t="n">
        <v>75</v>
      </c>
      <c r="I1855" s="2" t="inlineStr"/>
      <c r="J1855" s="2" t="inlineStr">
        <is>
          <t>да</t>
        </is>
      </c>
      <c r="K1855" s="3" t="inlineStr">
        <is>
          <t>Экранизация пьесы классика эстонской литературы Эдуарда Вильде (1865-1933).</t>
        </is>
      </c>
      <c r="L1855" s="2" t="inlineStr">
        <is>
          <t>https://www.kino-teatr.ru/teatr/movie/87598/annot/</t>
        </is>
      </c>
      <c r="M1855" s="2">
        <f>HYPERLINK("https://ru.wikipedia.org/w/index.php?search=%D0%9D%D0%B5%D1%83%D0%BB%D0%BE%D0%B2%D0%B8%D0%BC%D0%BE%D0%B5%20%D1%87%D1%83%D0%B4%D0%BE%201983%20%D1%84%D0%B8%D0%BB%D1%8C%D0%BC","искать")</f>
        <v/>
      </c>
      <c r="N1855" s="3" t="n"/>
      <c r="O1855" s="2" t="n"/>
      <c r="P1855" s="2" t="n"/>
    </row>
    <row r="1856">
      <c r="A1856" s="2" t="n">
        <v>1855</v>
      </c>
      <c r="B1856" s="2" t="inlineStr">
        <is>
          <t>не сюжет</t>
        </is>
      </c>
      <c r="C1856" s="2" t="n">
        <v>11013</v>
      </c>
      <c r="D1856" s="3" t="inlineStr">
        <is>
          <t>Тамбовская казначейша</t>
        </is>
      </c>
      <c r="E1856" s="2" t="n">
        <v>1983</v>
      </c>
      <c r="F1856" s="2" t="inlineStr">
        <is>
          <t>фильм-спектакль</t>
        </is>
      </c>
      <c r="G1856" s="2" t="inlineStr">
        <is>
          <t>Творческое объединение "Экран"</t>
        </is>
      </c>
      <c r="H1856" s="2" t="n">
        <v>75</v>
      </c>
      <c r="I1856" s="2" t="inlineStr"/>
      <c r="J1856" s="2" t="inlineStr">
        <is>
          <t>да</t>
        </is>
      </c>
      <c r="K1856" s="3" t="inlineStr">
        <is>
          <t>Поэму М.Ю. Лермонтова "Тамбовская казначейша" читает артист Михаил Козаков.</t>
        </is>
      </c>
      <c r="L1856" s="2" t="inlineStr">
        <is>
          <t>https://www.kino-teatr.ru/teatr/movie/113552/annot/</t>
        </is>
      </c>
      <c r="M1856" s="2">
        <f>HYPERLINK("https://ru.wikipedia.org/w/index.php?search=%D0%A2%D0%B0%D0%BC%D0%B1%D0%BE%D0%B2%D1%81%D0%BA%D0%B0%D1%8F%20%D0%BA%D0%B0%D0%B7%D0%BD%D0%B0%D1%87%D0%B5%D0%B9%D1%88%D0%B0%201983%20%D1%84%D0%B8%D0%BB%D1%8C%D0%BC","искать")</f>
        <v/>
      </c>
      <c r="N1856" s="3" t="n"/>
      <c r="O1856" s="2" t="n"/>
      <c r="P1856" s="2" t="n"/>
    </row>
    <row r="1857">
      <c r="A1857" s="2" t="n">
        <v>1856</v>
      </c>
      <c r="B1857" s="2" t="inlineStr">
        <is>
          <t>не сюжет</t>
        </is>
      </c>
      <c r="C1857" s="2" t="n">
        <v>11016</v>
      </c>
      <c r="D1857" s="3" t="inlineStr">
        <is>
          <t>Уходя на пенсию, не гасите свет</t>
        </is>
      </c>
      <c r="E1857" s="2" t="n">
        <v>1983</v>
      </c>
      <c r="F1857" s="2" t="inlineStr">
        <is>
          <t>фильм-спектакль</t>
        </is>
      </c>
      <c r="G1857" s="2" t="inlineStr">
        <is>
          <t>Телевидение Армении</t>
        </is>
      </c>
      <c r="H1857" s="2" t="n">
        <v>75</v>
      </c>
      <c r="I1857" s="2" t="inlineStr"/>
      <c r="J1857" s="2" t="inlineStr">
        <is>
          <t>да</t>
        </is>
      </c>
      <c r="K1857" s="3" t="inlineStr">
        <is>
          <t>Թոշակի անցնելիս՝ լույսը մի մարեք
Комедия о перепетиях четверых пенсионеров.</t>
        </is>
      </c>
      <c r="L1857" s="2" t="inlineStr">
        <is>
          <t>https://www.kino-teatr.ru/teatr/movie/153099/annot/</t>
        </is>
      </c>
      <c r="M1857" s="2">
        <f>HYPERLINK("https://ru.wikipedia.org/w/index.php?search=%D0%A3%D1%85%D0%BE%D0%B4%D1%8F%20%D0%BD%D0%B0%20%D0%BF%D0%B5%D0%BD%D1%81%D0%B8%D1%8E%2C%20%D0%BD%D0%B5%20%D0%B3%D0%B0%D1%81%D0%B8%D1%82%D0%B5%20%D1%81%D0%B2%D0%B5%D1%82%201983%20%D1%84%D0%B8%D0%BB%D1%8C%D0%BC","искать")</f>
        <v/>
      </c>
      <c r="N1857" s="3" t="n"/>
      <c r="O1857" s="2" t="n"/>
      <c r="P1857" s="2" t="n"/>
    </row>
    <row r="1858">
      <c r="A1858" s="2" t="n">
        <v>1857</v>
      </c>
      <c r="B1858" s="2" t="inlineStr">
        <is>
          <t>не сюжет</t>
        </is>
      </c>
      <c r="C1858" s="2" t="n">
        <v>11724</v>
      </c>
      <c r="D1858" s="3" t="inlineStr">
        <is>
          <t>МУЗЫКАЛЬНЫЙ ЭКСПЕРИМЕНТ ("Фитиль" N 134)</t>
        </is>
      </c>
      <c r="E1858" s="2" t="n">
        <v>1973</v>
      </c>
      <c r="F1858" s="2" t="inlineStr">
        <is>
          <t>мультфильм</t>
        </is>
      </c>
      <c r="G1858" s="2" t="inlineStr">
        <is>
          <t>Союзмультфильм</t>
        </is>
      </c>
      <c r="H1858" s="2" t="n">
        <v>75</v>
      </c>
      <c r="I1858" s="2" t="inlineStr"/>
      <c r="J1858" s="2" t="inlineStr">
        <is>
          <t>да</t>
        </is>
      </c>
      <c r="K1858" s="3" t="inlineStr">
        <is>
          <t>О халатном отношении к посетителям со стороны работников сферы обслуживания</t>
        </is>
      </c>
      <c r="L1858" s="2" t="inlineStr">
        <is>
          <t>https://animator.ru/db/?p=show_film&amp;fid=2638</t>
        </is>
      </c>
      <c r="M1858" s="2">
        <f>HYPERLINK("https://ru.wikipedia.org/w/index.php?search=%D0%9C%D0%A3%D0%97%D0%AB%D0%9A%D0%90%D0%9B%D0%AC%D0%9D%D0%AB%D0%99%20%D0%AD%D0%9A%D0%A1%D0%9F%D0%95%D0%A0%D0%98%D0%9C%D0%95%D0%9D%D0%A2%20%28%22%D0%A4%D0%B8%D1%82%D0%B8%D0%BB%D1%8C%22%20N%20134%29%201973%20%D1%84%D0%B8%D0%BB%D1%8C%D0%BC","искать")</f>
        <v/>
      </c>
      <c r="N1858" s="3" t="n"/>
      <c r="O1858" s="2" t="n"/>
      <c r="P1858" s="2" t="n"/>
    </row>
    <row r="1859">
      <c r="A1859" s="2" t="n">
        <v>1858</v>
      </c>
      <c r="B1859" s="2" t="inlineStr">
        <is>
          <t>не сюжет</t>
        </is>
      </c>
      <c r="C1859" s="2" t="n">
        <v>11934</v>
      </c>
      <c r="D1859" s="3" t="inlineStr">
        <is>
          <t>Веселая карусель n 11. Хитрые старушки</t>
        </is>
      </c>
      <c r="E1859" s="2" t="n">
        <v>1980</v>
      </c>
      <c r="F1859" s="2" t="inlineStr">
        <is>
          <t>мультфильм</t>
        </is>
      </c>
      <c r="G1859" s="2" t="inlineStr">
        <is>
          <t>Союзмультфильм</t>
        </is>
      </c>
      <c r="H1859" s="2" t="n">
        <v>75</v>
      </c>
      <c r="I1859" s="2" t="inlineStr"/>
      <c r="J1859" s="2" t="inlineStr">
        <is>
          <t>да</t>
        </is>
      </c>
      <c r="K1859" s="3" t="inlineStr">
        <is>
          <t>Сюжет из альманаха «ВЕСЕЛАЯ КАРУСЕЛЬ N 11»
По стихотворению Эммы Мошковской</t>
        </is>
      </c>
      <c r="L1859" s="2" t="inlineStr">
        <is>
          <t>https://animator.ru/db/?p=show_film&amp;fid=2849</t>
        </is>
      </c>
      <c r="M1859" s="2">
        <f>HYPERLINK("https://ru.wikipedia.org/w/index.php?search=%D0%92%D0%B5%D1%81%D0%B5%D0%BB%D0%B0%D1%8F%20%D0%BA%D0%B0%D1%80%D1%83%D1%81%D0%B5%D0%BB%D1%8C%20n%2011.%20%D0%A5%D0%B8%D1%82%D1%80%D1%8B%D0%B5%20%D1%81%D1%82%D0%B0%D1%80%D1%83%D1%88%D0%BA%D0%B8%201980%20%D1%84%D0%B8%D0%BB%D1%8C%D0%BC","искать")</f>
        <v/>
      </c>
      <c r="N1859" s="3" t="n"/>
      <c r="O1859" s="2" t="n"/>
      <c r="P1859" s="2" t="n"/>
    </row>
    <row r="1860">
      <c r="A1860" s="2" t="n">
        <v>1859</v>
      </c>
      <c r="B1860" s="2" t="inlineStr">
        <is>
          <t>не сюжет</t>
        </is>
      </c>
      <c r="C1860" s="2" t="n">
        <v>13135</v>
      </c>
      <c r="D1860" s="3" t="inlineStr">
        <is>
          <t>Цветы грусти</t>
        </is>
      </c>
      <c r="E1860" s="2" t="n">
        <v>1990</v>
      </c>
      <c r="F1860" s="2" t="inlineStr">
        <is>
          <t>мультфильм</t>
        </is>
      </c>
      <c r="G1860" s="2" t="inlineStr">
        <is>
          <t>МОЛДОВА-ФИЛЬМ</t>
        </is>
      </c>
      <c r="H1860" s="2" t="n">
        <v>75</v>
      </c>
      <c r="I1860" s="2" t="inlineStr"/>
      <c r="J1860" s="2" t="inlineStr">
        <is>
          <t>да</t>
        </is>
      </c>
      <c r="K1860" s="3" t="inlineStr">
        <is>
          <t>Новеллы: "Оазис" - о защите природы - и "Шкаф" - о защите души человеческой</t>
        </is>
      </c>
      <c r="L1860" s="2" t="inlineStr">
        <is>
          <t>https://animator.ru/db/?p=show_film&amp;fid=4367</t>
        </is>
      </c>
      <c r="M1860" s="2">
        <f>HYPERLINK("https://ru.wikipedia.org/w/index.php?search=%D0%A6%D0%B2%D0%B5%D1%82%D1%8B%20%D0%B3%D1%80%D1%83%D1%81%D1%82%D0%B8%201990%20%D1%84%D0%B8%D0%BB%D1%8C%D0%BC","искать")</f>
        <v/>
      </c>
      <c r="N1860" s="3" t="n"/>
      <c r="O1860" s="2" t="n"/>
      <c r="P1860" s="2" t="n"/>
    </row>
    <row r="1861">
      <c r="A1861" s="2" t="n">
        <v>1860</v>
      </c>
      <c r="B1861" s="2" t="inlineStr">
        <is>
          <t>не сюжет</t>
        </is>
      </c>
      <c r="C1861" s="2" t="n">
        <v>13228</v>
      </c>
      <c r="D1861" s="3" t="inlineStr">
        <is>
          <t>Гвоздь 2</t>
        </is>
      </c>
      <c r="E1861" s="2" t="n">
        <v>1981</v>
      </c>
      <c r="F1861" s="2" t="inlineStr">
        <is>
          <t>мультфильм</t>
        </is>
      </c>
      <c r="G1861" s="2" t="inlineStr">
        <is>
          <t>ТАЛЛИННФИЛЬМ</t>
        </is>
      </c>
      <c r="H1861" s="2" t="n">
        <v>75</v>
      </c>
      <c r="I1861" s="2" t="inlineStr"/>
      <c r="J1861" s="2" t="inlineStr">
        <is>
          <t>да</t>
        </is>
      </c>
      <c r="K1861" s="3" t="inlineStr">
        <is>
          <t>Вторая история о людских бедах и промахах, разыгранная актерами... гвоздями</t>
        </is>
      </c>
      <c r="L1861" s="2" t="inlineStr">
        <is>
          <t>https://animator.ru/db/?p=show_film&amp;fid=4468</t>
        </is>
      </c>
      <c r="M1861" s="2">
        <f>HYPERLINK("https://ru.wikipedia.org/w/index.php?search=%D0%93%D0%B2%D0%BE%D0%B7%D0%B4%D1%8C%202%201981%20%D1%84%D0%B8%D0%BB%D1%8C%D0%BC","искать")</f>
        <v/>
      </c>
      <c r="N1861" s="3" t="n"/>
      <c r="O1861" s="2" t="n"/>
      <c r="P1861" s="2" t="n"/>
    </row>
    <row r="1862">
      <c r="A1862" s="2" t="n">
        <v>1861</v>
      </c>
      <c r="B1862" s="2" t="inlineStr">
        <is>
          <t>не сюжет</t>
        </is>
      </c>
      <c r="C1862" s="2" t="n">
        <v>13834</v>
      </c>
      <c r="D1862" s="3" t="inlineStr">
        <is>
          <t>Полезные советы профессора Чайникова. Советы профессора Чайникова</t>
        </is>
      </c>
      <c r="E1862" s="2" t="n">
        <v>1985</v>
      </c>
      <c r="F1862" s="2" t="inlineStr">
        <is>
          <t>мультфильм</t>
        </is>
      </c>
      <c r="G1862" s="2" t="n"/>
      <c r="H1862" s="2" t="n">
        <v>75</v>
      </c>
      <c r="I1862" s="2" t="inlineStr"/>
      <c r="J1862" s="2" t="inlineStr">
        <is>
          <t>да</t>
        </is>
      </c>
      <c r="K1862" s="3" t="inlineStr">
        <is>
          <t>Десятый, заключительный, фильм цикла "Полезные советы профессора Чайникова"</t>
        </is>
      </c>
      <c r="L1862" s="2" t="inlineStr">
        <is>
          <t>https://animator.ru/db/?p=show_film&amp;fid=5227</t>
        </is>
      </c>
      <c r="M1862" s="2">
        <f>HYPERLINK("https://ru.wikipedia.org/w/index.php?search=%D0%9F%D0%BE%D0%BB%D0%B5%D0%B7%D0%BD%D1%8B%D0%B5%20%D1%81%D0%BE%D0%B2%D0%B5%D1%82%D1%8B%20%D0%BF%D1%80%D0%BE%D1%84%D0%B5%D1%81%D1%81%D0%BE%D1%80%D0%B0%20%D0%A7%D0%B0%D0%B9%D0%BD%D0%B8%D0%BA%D0%BE%D0%B2%D0%B0.%20%D0%A1%D0%BE%D0%B2%D0%B5%D1%82%D1%8B%20%D0%BF%D1%80%D0%BE%D1%84%D0%B5%D1%81%D1%81%D0%BE%D1%80%D0%B0%20%D0%A7%D0%B0%D0%B9%D0%BD%D0%B8%D0%BA%D0%BE%D0%B2%D0%B0%201985%20%D1%84%D0%B8%D0%BB%D1%8C%D0%BC","искать")</f>
        <v/>
      </c>
      <c r="N1862" s="3" t="n"/>
      <c r="O1862" s="2" t="n"/>
      <c r="P1862" s="2" t="n"/>
    </row>
    <row r="1863">
      <c r="A1863" s="2" t="n">
        <v>1862</v>
      </c>
      <c r="B1863" s="2" t="inlineStr">
        <is>
          <t>не сюжет</t>
        </is>
      </c>
      <c r="C1863" s="2" t="n">
        <v>14053</v>
      </c>
      <c r="D1863" s="3" t="inlineStr">
        <is>
          <t>Проделки Рамзеса ч.4</t>
        </is>
      </c>
      <c r="E1863" s="2" t="n">
        <v>1987</v>
      </c>
      <c r="F1863" s="2" t="inlineStr">
        <is>
          <t>мультфильм</t>
        </is>
      </c>
      <c r="G1863" s="2" t="inlineStr">
        <is>
          <t>ТАЛЛИННФИЛЬМ</t>
        </is>
      </c>
      <c r="H1863" s="2" t="n">
        <v>75</v>
      </c>
      <c r="I1863" s="2" t="inlineStr"/>
      <c r="J1863" s="2" t="inlineStr">
        <is>
          <t>да</t>
        </is>
      </c>
      <c r="K1863" s="3" t="inlineStr">
        <is>
          <t>По рисункам эстонского карикатуриста Э. Вальтера. Четвертый фильм из серии.</t>
        </is>
      </c>
      <c r="L1863" s="2" t="inlineStr">
        <is>
          <t>2026-10_мультфильмы_список_владельца.xlsx; https://animator.ru/db/?p=show_film&amp;fid=5449</t>
        </is>
      </c>
      <c r="M1863" s="2">
        <f>HYPERLINK("https://ru.wikipedia.org/w/index.php?search=%D0%9F%D1%80%D0%BE%D0%B4%D0%B5%D0%BB%D0%BA%D0%B8%20%D0%A0%D0%B0%D0%BC%D0%B7%D0%B5%D1%81%D0%B0%20%D1%87.4%201987%20%D1%84%D0%B8%D0%BB%D1%8C%D0%BC","искать")</f>
        <v/>
      </c>
      <c r="N1863" s="3" t="n"/>
      <c r="O1863" s="2" t="n"/>
      <c r="P1863" s="2" t="n"/>
    </row>
    <row r="1864">
      <c r="A1864" s="2" t="n">
        <v>1863</v>
      </c>
      <c r="B1864" s="2" t="inlineStr">
        <is>
          <t>не сюжет</t>
        </is>
      </c>
      <c r="C1864" s="2" t="n">
        <v>14160</v>
      </c>
      <c r="D1864" s="3" t="inlineStr">
        <is>
          <t>Приключения Ивашки</t>
        </is>
      </c>
      <c r="E1864" s="2" t="n">
        <v>1973</v>
      </c>
      <c r="F1864" s="2" t="inlineStr">
        <is>
          <t>мультфильм</t>
        </is>
      </c>
      <c r="G1864" s="2" t="inlineStr">
        <is>
          <t>КУЙБЫШЕВТЕЛЕФИЛЬМ</t>
        </is>
      </c>
      <c r="H1864" s="2" t="n">
        <v>75</v>
      </c>
      <c r="I1864" s="2" t="inlineStr"/>
      <c r="J1864" s="2" t="inlineStr">
        <is>
          <t>да</t>
        </is>
      </c>
      <c r="K1864" s="3" t="inlineStr">
        <is>
          <t>О первом знакомстве медвежонка с окружающим миром. Для малышей. Черно-белый</t>
        </is>
      </c>
      <c r="L1864" s="2" t="inlineStr">
        <is>
          <t>https://animator.ru/db/?p=show_film&amp;fid=5558</t>
        </is>
      </c>
      <c r="M1864" s="2">
        <f>HYPERLINK("https://ru.wikipedia.org/w/index.php?search=%D0%9F%D1%80%D0%B8%D0%BA%D0%BB%D1%8E%D1%87%D0%B5%D0%BD%D0%B8%D1%8F%20%D0%98%D0%B2%D0%B0%D1%88%D0%BA%D0%B8%201973%20%D1%84%D0%B8%D0%BB%D1%8C%D0%BC","искать")</f>
        <v/>
      </c>
      <c r="N1864" s="3" t="n"/>
      <c r="O1864" s="2" t="n"/>
      <c r="P1864" s="2" t="n"/>
    </row>
    <row r="1865">
      <c r="A1865" s="2" t="n">
        <v>1864</v>
      </c>
      <c r="B1865" s="2" t="inlineStr">
        <is>
          <t>не сюжет</t>
        </is>
      </c>
      <c r="C1865" s="2" t="n">
        <v>10201</v>
      </c>
      <c r="D1865" s="3" t="inlineStr">
        <is>
          <t>Кровавая свадьба</t>
        </is>
      </c>
      <c r="E1865" s="2" t="n">
        <v>1967</v>
      </c>
      <c r="F1865" s="2" t="inlineStr">
        <is>
          <t>фильм-спектакль</t>
        </is>
      </c>
      <c r="G1865" s="2" t="inlineStr">
        <is>
          <t>Ленинградское телевидение</t>
        </is>
      </c>
      <c r="H1865" s="2" t="n">
        <v>76</v>
      </c>
      <c r="I1865" s="2" t="inlineStr"/>
      <c r="J1865" s="2" t="inlineStr">
        <is>
          <t>да</t>
        </is>
      </c>
      <c r="K1865" s="3" t="inlineStr">
        <is>
          <t>По одноименной трагедии испанского поэта и драматурга Федерико Гарсиа Лорки.</t>
        </is>
      </c>
      <c r="L1865" s="2" t="inlineStr">
        <is>
          <t>https://www.kino-teatr.ru/teatr/movie/17363/annot/</t>
        </is>
      </c>
      <c r="M1865" s="2">
        <f>HYPERLINK("https://ru.wikipedia.org/w/index.php?search=%D0%9A%D1%80%D0%BE%D0%B2%D0%B0%D0%B2%D0%B0%D1%8F%20%D1%81%D0%B2%D0%B0%D0%B4%D1%8C%D0%B1%D0%B0%201967%20%D1%84%D0%B8%D0%BB%D1%8C%D0%BC","искать")</f>
        <v/>
      </c>
      <c r="N1865" s="3" t="n"/>
      <c r="O1865" s="2" t="n"/>
      <c r="P1865" s="2" t="n"/>
    </row>
    <row r="1866">
      <c r="A1866" s="2" t="n">
        <v>1865</v>
      </c>
      <c r="B1866" s="2" t="inlineStr">
        <is>
          <t>не сюжет</t>
        </is>
      </c>
      <c r="C1866" s="2" t="n">
        <v>10382</v>
      </c>
      <c r="D1866" s="3" t="inlineStr">
        <is>
          <t>Вальпургиева ночь (фильм-балет)</t>
        </is>
      </c>
      <c r="E1866" s="2" t="n">
        <v>1971</v>
      </c>
      <c r="F1866" s="2" t="inlineStr">
        <is>
          <t>фильм-спектакль</t>
        </is>
      </c>
      <c r="G1866" s="2" t="n"/>
      <c r="H1866" s="2" t="n">
        <v>76</v>
      </c>
      <c r="I1866" s="2" t="inlineStr"/>
      <c r="J1866" s="2" t="inlineStr">
        <is>
          <t>да</t>
        </is>
      </c>
      <c r="K1866" s="3" t="inlineStr">
        <is>
          <t>Хореографическая картина из оперы Ш.Гуно "Фауст".
Хореография Л.Лавровского.</t>
        </is>
      </c>
      <c r="L1866" s="2" t="inlineStr">
        <is>
          <t>https://www.kino-teatr.ru/teatr/movie/80243/annot/</t>
        </is>
      </c>
      <c r="M1866" s="2">
        <f>HYPERLINK("https://ru.wikipedia.org/w/index.php?search=%D0%92%D0%B0%D0%BB%D1%8C%D0%BF%D1%83%D1%80%D0%B3%D0%B8%D0%B5%D0%B2%D0%B0%20%D0%BD%D0%BE%D1%87%D1%8C%20%28%D1%84%D0%B8%D0%BB%D1%8C%D0%BC-%D0%B1%D0%B0%D0%BB%D0%B5%D1%82%29%201971%20%D1%84%D0%B8%D0%BB%D1%8C%D0%BC","искать")</f>
        <v/>
      </c>
      <c r="N1866" s="3" t="n"/>
      <c r="O1866" s="2" t="n"/>
      <c r="P1866" s="2" t="n"/>
    </row>
    <row r="1867">
      <c r="A1867" s="2" t="n">
        <v>1866</v>
      </c>
      <c r="B1867" s="2" t="inlineStr">
        <is>
          <t>не сюжет</t>
        </is>
      </c>
      <c r="C1867" s="2" t="n">
        <v>10388</v>
      </c>
      <c r="D1867" s="3" t="inlineStr">
        <is>
          <t>Десятая симфония</t>
        </is>
      </c>
      <c r="E1867" s="2" t="n">
        <v>1971</v>
      </c>
      <c r="F1867" s="2" t="inlineStr">
        <is>
          <t>фильм-спектакль</t>
        </is>
      </c>
      <c r="G1867" s="2" t="n"/>
      <c r="H1867" s="2" t="n">
        <v>76</v>
      </c>
      <c r="I1867" s="2" t="inlineStr"/>
      <c r="J1867" s="2" t="inlineStr">
        <is>
          <t>да</t>
        </is>
      </c>
      <c r="K1867" s="3" t="inlineStr">
        <is>
          <t>О последних днях жизни великого немецкого композитора Людвига ван Бетховена.</t>
        </is>
      </c>
      <c r="L1867" s="2" t="inlineStr">
        <is>
          <t>https://www.kino-teatr.ru/teatr/movie/98884/annot/</t>
        </is>
      </c>
      <c r="M1867" s="2">
        <f>HYPERLINK("https://ru.wikipedia.org/w/index.php?search=%D0%94%D0%B5%D1%81%D1%8F%D1%82%D0%B0%D1%8F%20%D1%81%D0%B8%D0%BC%D1%84%D0%BE%D0%BD%D0%B8%D1%8F%201971%20%D1%84%D0%B8%D0%BB%D1%8C%D0%BC","искать")</f>
        <v/>
      </c>
      <c r="N1867" s="3" t="n"/>
      <c r="O1867" s="2" t="n"/>
      <c r="P1867" s="2" t="n"/>
    </row>
    <row r="1868">
      <c r="A1868" s="2" t="n">
        <v>1867</v>
      </c>
      <c r="B1868" s="2" t="inlineStr">
        <is>
          <t>не сюжет</t>
        </is>
      </c>
      <c r="C1868" s="2" t="n">
        <v>10577</v>
      </c>
      <c r="D1868" s="3" t="inlineStr">
        <is>
          <t>Осталось пять минут</t>
        </is>
      </c>
      <c r="E1868" s="2" t="n">
        <v>1974</v>
      </c>
      <c r="F1868" s="2" t="inlineStr">
        <is>
          <t>фильм-спектакль</t>
        </is>
      </c>
      <c r="G1868" s="2" t="inlineStr">
        <is>
          <t>Ленинградское ТВ</t>
        </is>
      </c>
      <c r="H1868" s="2" t="n">
        <v>76</v>
      </c>
      <c r="I1868" s="2" t="inlineStr"/>
      <c r="J1868" s="2" t="inlineStr">
        <is>
          <t>да</t>
        </is>
      </c>
      <c r="K1868" s="3" t="inlineStr">
        <is>
          <t>Фильм-спектакль для двух актеров по пьесе Генриха Рябкина и Михаила Гиндина.</t>
        </is>
      </c>
      <c r="L1868" s="2" t="inlineStr">
        <is>
          <t>https://www.kino-teatr.ru/teatr/movie/98271/annot/</t>
        </is>
      </c>
      <c r="M1868" s="2">
        <f>HYPERLINK("https://ru.wikipedia.org/w/index.php?search=%D0%9E%D1%81%D1%82%D0%B0%D0%BB%D0%BE%D1%81%D1%8C%20%D0%BF%D1%8F%D1%82%D1%8C%20%D0%BC%D0%B8%D0%BD%D1%83%D1%82%201974%20%D1%84%D0%B8%D0%BB%D1%8C%D0%BC","искать")</f>
        <v/>
      </c>
      <c r="N1868" s="3" t="n"/>
      <c r="O1868" s="2" t="n"/>
      <c r="P1868" s="2" t="n"/>
    </row>
    <row r="1869">
      <c r="A1869" s="2" t="n">
        <v>1868</v>
      </c>
      <c r="B1869" s="2" t="inlineStr">
        <is>
          <t>не сюжет</t>
        </is>
      </c>
      <c r="C1869" s="2" t="n">
        <v>10683</v>
      </c>
      <c r="D1869" s="3" t="inlineStr">
        <is>
          <t>Гроза</t>
        </is>
      </c>
      <c r="E1869" s="2" t="n">
        <v>1977</v>
      </c>
      <c r="F1869" s="2" t="inlineStr">
        <is>
          <t>фильм-спектакль</t>
        </is>
      </c>
      <c r="G1869" s="2" t="inlineStr">
        <is>
          <t>Творческое объединение "Экран"</t>
        </is>
      </c>
      <c r="H1869" s="2" t="n">
        <v>76</v>
      </c>
      <c r="I1869" s="2" t="inlineStr"/>
      <c r="J1869" s="2" t="inlineStr">
        <is>
          <t>да</t>
        </is>
      </c>
      <c r="K1869" s="3" t="inlineStr">
        <is>
          <t>Телеспектакль по пьесе А.Н.Островского.
Телевариант спектакля Малого театра.</t>
        </is>
      </c>
      <c r="L1869" s="2" t="inlineStr">
        <is>
          <t>https://www.kino-teatr.ru/teatr/movie/1533/annot/</t>
        </is>
      </c>
      <c r="M1869" s="2">
        <f>HYPERLINK("https://ru.wikipedia.org/w/index.php?search=%D0%93%D1%80%D0%BE%D0%B7%D0%B0%201977%20%D1%84%D0%B8%D0%BB%D1%8C%D0%BC","искать")</f>
        <v/>
      </c>
      <c r="N1869" s="3" t="n"/>
      <c r="O1869" s="2" t="n"/>
      <c r="P1869" s="2" t="n"/>
    </row>
    <row r="1870">
      <c r="A1870" s="2" t="n">
        <v>1869</v>
      </c>
      <c r="B1870" s="2" t="inlineStr">
        <is>
          <t>не сюжет</t>
        </is>
      </c>
      <c r="C1870" s="2" t="n">
        <v>11285</v>
      </c>
      <c r="D1870" s="3" t="inlineStr">
        <is>
          <t>Тартюф, и нет ему конца</t>
        </is>
      </c>
      <c r="E1870" s="2" t="n">
        <v>1989</v>
      </c>
      <c r="F1870" s="2" t="inlineStr">
        <is>
          <t>фильм-спектакль</t>
        </is>
      </c>
      <c r="G1870" s="2" t="inlineStr">
        <is>
          <t>Ленинградское ТВ</t>
        </is>
      </c>
      <c r="H1870" s="2" t="n">
        <v>76</v>
      </c>
      <c r="I1870" s="2" t="inlineStr"/>
      <c r="J1870" s="2" t="inlineStr">
        <is>
          <t>да</t>
        </is>
      </c>
      <c r="K1870" s="3" t="inlineStr">
        <is>
          <t>Телевизионная фантазия по пьесе Жана Батиста Мольера «Тартюф, или Обманщик».</t>
        </is>
      </c>
      <c r="L1870" s="2" t="inlineStr">
        <is>
          <t>https://www.kino-teatr.ru/teatr/movie/98602/annot/</t>
        </is>
      </c>
      <c r="M1870" s="2">
        <f>HYPERLINK("https://ru.wikipedia.org/w/index.php?search=%D0%A2%D0%B0%D1%80%D1%82%D1%8E%D1%84%2C%20%D0%B8%20%D0%BD%D0%B5%D1%82%20%D0%B5%D0%BC%D1%83%20%D0%BA%D0%BE%D0%BD%D1%86%D0%B0%201989%20%D1%84%D0%B8%D0%BB%D1%8C%D0%BC","искать")</f>
        <v/>
      </c>
      <c r="N1870" s="3" t="n"/>
      <c r="O1870" s="2" t="n"/>
      <c r="P1870" s="2" t="n"/>
    </row>
    <row r="1871">
      <c r="A1871" s="2" t="n">
        <v>1870</v>
      </c>
      <c r="B1871" s="2" t="inlineStr">
        <is>
          <t>не сюжет</t>
        </is>
      </c>
      <c r="C1871" s="2" t="n">
        <v>11647</v>
      </c>
      <c r="D1871" s="3" t="inlineStr">
        <is>
          <t>Старая игрушка</t>
        </is>
      </c>
      <c r="E1871" s="2" t="n">
        <v>1971</v>
      </c>
      <c r="F1871" s="2" t="inlineStr">
        <is>
          <t>мультфильм</t>
        </is>
      </c>
      <c r="G1871" s="2" t="inlineStr">
        <is>
          <t>Союзмультфильм</t>
        </is>
      </c>
      <c r="H1871" s="2" t="n">
        <v>76</v>
      </c>
      <c r="I1871" s="2" t="inlineStr"/>
      <c r="J1871" s="2" t="inlineStr">
        <is>
          <t>да</t>
        </is>
      </c>
      <c r="K1871" s="3" t="inlineStr">
        <is>
          <t>Сказка для детей младшего возраста о том, что нельзя покидать старых друзей.</t>
        </is>
      </c>
      <c r="L1871" s="2" t="inlineStr">
        <is>
          <t>2026-10_мультфильмы_список_владельца.xlsx; https://animator.ru/db/?p=show_film&amp;fid=2561</t>
        </is>
      </c>
      <c r="M1871" s="2">
        <f>HYPERLINK("https://ru.wikipedia.org/w/index.php?search=%D0%A1%D1%82%D0%B0%D1%80%D0%B0%D1%8F%20%D0%B8%D0%B3%D1%80%D1%83%D1%88%D0%BA%D0%B0%201971%20%D1%84%D0%B8%D0%BB%D1%8C%D0%BC","искать")</f>
        <v/>
      </c>
      <c r="N1871" s="3" t="n"/>
      <c r="O1871" s="2" t="n"/>
      <c r="P1871" s="2" t="n"/>
    </row>
    <row r="1872">
      <c r="A1872" s="2" t="n">
        <v>1871</v>
      </c>
      <c r="B1872" s="2" t="inlineStr">
        <is>
          <t>не сюжет</t>
        </is>
      </c>
      <c r="C1872" s="2" t="n">
        <v>11999</v>
      </c>
      <c r="D1872" s="3" t="inlineStr">
        <is>
          <t>Великан-эгоист</t>
        </is>
      </c>
      <c r="E1872" s="2" t="n">
        <v>1982</v>
      </c>
      <c r="F1872" s="2" t="inlineStr">
        <is>
          <t>мультфильм</t>
        </is>
      </c>
      <c r="G1872" s="2" t="inlineStr">
        <is>
          <t>Союзмультфильм</t>
        </is>
      </c>
      <c r="H1872" s="2" t="n">
        <v>76</v>
      </c>
      <c r="I1872" s="2" t="inlineStr"/>
      <c r="J1872" s="2" t="inlineStr">
        <is>
          <t>да</t>
        </is>
      </c>
      <c r="K1872" s="3" t="inlineStr">
        <is>
          <t>По мотивам сказки Оскара Уайлда
В фильме использована музыка Баха и Бриттена</t>
        </is>
      </c>
      <c r="L1872" s="2" t="inlineStr">
        <is>
          <t>https://animator.ru/db/?p=show_film&amp;fid=3113</t>
        </is>
      </c>
      <c r="M1872" s="2">
        <f>HYPERLINK("https://ru.wikipedia.org/w/index.php?search=%D0%92%D0%B5%D0%BB%D0%B8%D0%BA%D0%B0%D0%BD-%D1%8D%D0%B3%D0%BE%D0%B8%D1%81%D1%82%201982%20%D1%84%D0%B8%D0%BB%D1%8C%D0%BC","искать")</f>
        <v/>
      </c>
      <c r="N1872" s="3" t="n"/>
      <c r="O1872" s="2" t="n"/>
      <c r="P1872" s="2" t="n"/>
    </row>
    <row r="1873">
      <c r="A1873" s="2" t="n">
        <v>1872</v>
      </c>
      <c r="B1873" s="2" t="inlineStr">
        <is>
          <t>не сюжет</t>
        </is>
      </c>
      <c r="C1873" s="2" t="n">
        <v>12033</v>
      </c>
      <c r="D1873" s="3" t="inlineStr">
        <is>
          <t>Веселая карусель n 14. Лягушонок</t>
        </is>
      </c>
      <c r="E1873" s="2" t="n">
        <v>1983</v>
      </c>
      <c r="F1873" s="2" t="inlineStr">
        <is>
          <t>мультфильм</t>
        </is>
      </c>
      <c r="G1873" s="2" t="inlineStr">
        <is>
          <t>Союзмультфильм</t>
        </is>
      </c>
      <c r="H1873" s="2" t="n">
        <v>76</v>
      </c>
      <c r="I1873" s="2" t="inlineStr"/>
      <c r="J1873" s="2" t="inlineStr">
        <is>
          <t>да</t>
        </is>
      </c>
      <c r="K1873" s="3" t="inlineStr">
        <is>
          <t>Сюжет из альманаха «ВЕСЕЛАЯ КАРУСЕЛЬ N 14»
По стихотворению Л.Подъяворинской</t>
        </is>
      </c>
      <c r="L1873" s="2" t="inlineStr">
        <is>
          <t>https://animator.ru/db/?p=show_film&amp;fid=3148</t>
        </is>
      </c>
      <c r="M1873" s="2">
        <f>HYPERLINK("https://ru.wikipedia.org/w/index.php?search=%D0%92%D0%B5%D1%81%D0%B5%D0%BB%D0%B0%D1%8F%20%D0%BA%D0%B0%D1%80%D1%83%D1%81%D0%B5%D0%BB%D1%8C%20n%2014.%20%D0%9B%D1%8F%D0%B3%D1%83%D1%88%D0%BE%D0%BD%D0%BE%D0%BA%201983%20%D1%84%D0%B8%D0%BB%D1%8C%D0%BC","искать")</f>
        <v/>
      </c>
      <c r="N1873" s="3" t="n"/>
      <c r="O1873" s="2" t="n"/>
      <c r="P1873" s="2" t="n"/>
    </row>
    <row r="1874">
      <c r="A1874" s="2" t="n">
        <v>1873</v>
      </c>
      <c r="B1874" s="2" t="inlineStr">
        <is>
          <t>не сюжет</t>
        </is>
      </c>
      <c r="C1874" s="2" t="n">
        <v>12244</v>
      </c>
      <c r="D1874" s="3" t="inlineStr">
        <is>
          <t>Келе</t>
        </is>
      </c>
      <c r="E1874" s="2" t="n">
        <v>1988</v>
      </c>
      <c r="F1874" s="2" t="inlineStr">
        <is>
          <t>мультфильм</t>
        </is>
      </c>
      <c r="G1874" s="2" t="inlineStr">
        <is>
          <t>Союзмультфильм</t>
        </is>
      </c>
      <c r="H1874" s="2" t="n">
        <v>76</v>
      </c>
      <c r="I1874" s="2" t="inlineStr"/>
      <c r="J1874" s="2" t="inlineStr">
        <is>
          <t>да</t>
        </is>
      </c>
      <c r="K1874" s="3" t="inlineStr">
        <is>
          <t>По мотивам чукотской сказки. В фильме использована чукотская народная музыка</t>
        </is>
      </c>
      <c r="L1874" s="2" t="inlineStr">
        <is>
          <t>https://animator.ru/db/?p=show_film&amp;fid=3361</t>
        </is>
      </c>
      <c r="M1874" s="2">
        <f>HYPERLINK("https://ru.wikipedia.org/w/index.php?search=%D0%9A%D0%B5%D0%BB%D0%B5%201988%20%D1%84%D0%B8%D0%BB%D1%8C%D0%BC","искать")</f>
        <v/>
      </c>
      <c r="N1874" s="3" t="n"/>
      <c r="O1874" s="2" t="n"/>
      <c r="P1874" s="2" t="n"/>
    </row>
    <row r="1875">
      <c r="A1875" s="2" t="n">
        <v>1874</v>
      </c>
      <c r="B1875" s="2" t="inlineStr">
        <is>
          <t>не сюжет</t>
        </is>
      </c>
      <c r="C1875" s="2" t="n">
        <v>12556</v>
      </c>
      <c r="D1875" s="3" t="inlineStr">
        <is>
          <t>Сказки о машинах</t>
        </is>
      </c>
      <c r="E1875" s="2" t="n">
        <v>1975</v>
      </c>
      <c r="F1875" s="2" t="inlineStr">
        <is>
          <t>мультфильм</t>
        </is>
      </c>
      <c r="G1875" s="2" t="inlineStr">
        <is>
          <t>КИЕВНАУЧФИЛЬМ</t>
        </is>
      </c>
      <c r="H1875" s="2" t="n">
        <v>76</v>
      </c>
      <c r="I1875" s="2" t="inlineStr"/>
      <c r="J1875" s="2" t="inlineStr">
        <is>
          <t>да</t>
        </is>
      </c>
      <c r="K1875" s="3" t="inlineStr">
        <is>
          <t>Три новеллы - "Веселый автобус", "Трактор-неумейка" и "Маленький мотороллер"</t>
        </is>
      </c>
      <c r="L1875" s="2" t="inlineStr">
        <is>
          <t>https://animator.ru/db/?p=show_film&amp;fid=3735</t>
        </is>
      </c>
      <c r="M1875" s="2">
        <f>HYPERLINK("https://ru.wikipedia.org/w/index.php?search=%D0%A1%D0%BA%D0%B0%D0%B7%D0%BA%D0%B8%20%D0%BE%20%D0%BC%D0%B0%D1%88%D0%B8%D0%BD%D0%B0%D1%85%201975%20%D1%84%D0%B8%D0%BB%D1%8C%D0%BC","искать")</f>
        <v/>
      </c>
      <c r="N1875" s="3" t="n"/>
      <c r="O1875" s="2" t="n"/>
      <c r="P1875" s="2" t="n"/>
    </row>
    <row r="1876">
      <c r="A1876" s="2" t="n">
        <v>1875</v>
      </c>
      <c r="B1876" s="2" t="inlineStr">
        <is>
          <t>не сюжет</t>
        </is>
      </c>
      <c r="C1876" s="2" t="n">
        <v>14254</v>
      </c>
      <c r="D1876" s="3" t="inlineStr">
        <is>
          <t>Веселая карусель. Выпуск №7</t>
        </is>
      </c>
      <c r="E1876" s="2" t="n">
        <v>1975</v>
      </c>
      <c r="F1876" s="2" t="inlineStr">
        <is>
          <t>мультфильм</t>
        </is>
      </c>
      <c r="G1876" s="2" t="inlineStr">
        <is>
          <t>Союзмультфильм</t>
        </is>
      </c>
      <c r="H1876" s="2" t="n">
        <v>76</v>
      </c>
      <c r="I1876" s="2" t="inlineStr"/>
      <c r="J1876" s="2" t="inlineStr">
        <is>
          <t>да</t>
        </is>
      </c>
      <c r="K1876" s="3" t="inlineStr">
        <is>
          <t>7-ая серия альманаха «ВЕСЕЛАЯ КАРУСЕЛЬ»
сюжеты: «БЕГЕМОТИК», «ГЛУПАЯ ЛОШАДЬ»</t>
        </is>
      </c>
      <c r="L1876" s="2" t="inlineStr">
        <is>
          <t>https://animator.ru/db/?p=show_film&amp;fid=5690</t>
        </is>
      </c>
      <c r="M1876" s="2">
        <f>HYPERLINK("https://ru.wikipedia.org/w/index.php?search=%D0%92%D0%B5%D1%81%D0%B5%D0%BB%D0%B0%D1%8F%20%D0%BA%D0%B0%D1%80%D1%83%D1%81%D0%B5%D0%BB%D1%8C.%20%D0%92%D1%8B%D0%BF%D1%83%D1%81%D0%BA%20%E2%84%967%201975%20%D1%84%D0%B8%D0%BB%D1%8C%D0%BC","искать")</f>
        <v/>
      </c>
      <c r="N1876" s="3" t="n"/>
      <c r="O1876" s="2" t="n"/>
      <c r="P1876" s="2" t="n"/>
    </row>
    <row r="1877">
      <c r="A1877" s="2" t="n">
        <v>1876</v>
      </c>
      <c r="B1877" s="2" t="inlineStr">
        <is>
          <t>не сюжет</t>
        </is>
      </c>
      <c r="C1877" s="2" t="n">
        <v>14273</v>
      </c>
      <c r="D1877" s="3" t="inlineStr">
        <is>
          <t>Кот в колпаке</t>
        </is>
      </c>
      <c r="E1877" s="2" t="n">
        <v>1984</v>
      </c>
      <c r="F1877" s="2" t="inlineStr">
        <is>
          <t>мультфильм</t>
        </is>
      </c>
      <c r="G1877" s="2" t="inlineStr">
        <is>
          <t>Свердловская киностудия</t>
        </is>
      </c>
      <c r="H1877" s="2" t="n">
        <v>76</v>
      </c>
      <c r="I1877" s="2" t="inlineStr"/>
      <c r="J1877" s="2" t="inlineStr">
        <is>
          <t>да</t>
        </is>
      </c>
      <c r="K1877" s="3" t="inlineStr">
        <is>
          <t>По стихотворению доктора Сьюза"А это вовсе и не шкаф, а это вовсе и вокзал!"</t>
        </is>
      </c>
      <c r="L1877" s="2" t="inlineStr">
        <is>
          <t>2026-10_мультфильмы_список_владельца.xlsx; https://animator.ru/db/?p=show_film&amp;fid=5743</t>
        </is>
      </c>
      <c r="M1877" s="2">
        <f>HYPERLINK("https://ru.wikipedia.org/w/index.php?search=%D0%9A%D0%BE%D1%82%20%D0%B2%20%D0%BA%D0%BE%D0%BB%D0%BF%D0%B0%D0%BA%D0%B5%201984%20%D1%84%D0%B8%D0%BB%D1%8C%D0%BC","искать")</f>
        <v/>
      </c>
      <c r="N1877" s="3" t="n"/>
      <c r="O1877" s="2" t="n"/>
      <c r="P1877" s="2" t="n"/>
    </row>
    <row r="1878">
      <c r="A1878" s="2" t="n">
        <v>1877</v>
      </c>
      <c r="B1878" s="2" t="inlineStr">
        <is>
          <t>не сюжет</t>
        </is>
      </c>
      <c r="C1878" s="2" t="n">
        <v>14327</v>
      </c>
      <c r="D1878" s="3" t="inlineStr">
        <is>
          <t>Чудеса</t>
        </is>
      </c>
      <c r="E1878" s="2" t="n">
        <v>1990</v>
      </c>
      <c r="F1878" s="2" t="inlineStr">
        <is>
          <t>мультфильм</t>
        </is>
      </c>
      <c r="G1878" s="2" t="inlineStr">
        <is>
          <t>Пилот, ВИДЕОФИЛЬМ - дистрибюторская компания</t>
        </is>
      </c>
      <c r="H1878" s="2" t="n">
        <v>76</v>
      </c>
      <c r="I1878" s="2" t="inlineStr"/>
      <c r="J1878" s="2" t="inlineStr">
        <is>
          <t>да</t>
        </is>
      </c>
      <c r="K1878" s="3" t="inlineStr">
        <is>
          <t>Здесь можно посмотреть онлайн и скачать мультфильм "Чудеса" (Пилот, 1990 г.)</t>
        </is>
      </c>
      <c r="L1878" s="2" t="inlineStr">
        <is>
          <t>2026-10_мультфильмы_список_владельца.xlsx; https://animator.ru/db/?p=show_film&amp;fid=5880</t>
        </is>
      </c>
      <c r="M1878" s="2">
        <f>HYPERLINK("https://ru.wikipedia.org/w/index.php?search=%D0%A7%D1%83%D0%B4%D0%B5%D1%81%D0%B0%201990%20%D1%84%D0%B8%D0%BB%D1%8C%D0%BC","искать")</f>
        <v/>
      </c>
      <c r="N1878" s="3" t="n"/>
      <c r="O1878" s="2" t="n"/>
      <c r="P1878" s="2" t="n"/>
    </row>
    <row r="1879">
      <c r="A1879" s="2" t="n">
        <v>1878</v>
      </c>
      <c r="B1879" s="2" t="inlineStr">
        <is>
          <t>не сюжет</t>
        </is>
      </c>
      <c r="C1879" s="2" t="n">
        <v>10611</v>
      </c>
      <c r="D1879" s="3" t="inlineStr">
        <is>
          <t>Из записок Лопатина</t>
        </is>
      </c>
      <c r="E1879" s="2" t="n">
        <v>1975</v>
      </c>
      <c r="F1879" s="2" t="inlineStr">
        <is>
          <t>фильм-спектакль</t>
        </is>
      </c>
      <c r="G1879" s="2" t="inlineStr">
        <is>
          <t>ТО "Экран"</t>
        </is>
      </c>
      <c r="H1879" s="2" t="n">
        <v>77</v>
      </c>
      <c r="I1879" s="2" t="inlineStr"/>
      <c r="J1879" s="2" t="inlineStr">
        <is>
          <t>да</t>
        </is>
      </c>
      <c r="K1879" s="3" t="inlineStr">
        <is>
          <t>По пьесе К. М. Симонова.
Телевизионная запись спектакля театра «Современник».</t>
        </is>
      </c>
      <c r="L1879" s="2" t="inlineStr">
        <is>
          <t>https://www.kino-teatr.ru/teatr/movie/2677/annot/</t>
        </is>
      </c>
      <c r="M1879" s="2">
        <f>HYPERLINK("https://ru.wikipedia.org/w/index.php?search=%D0%98%D0%B7%20%D0%B7%D0%B0%D0%BF%D0%B8%D1%81%D0%BE%D0%BA%20%D0%9B%D0%BE%D0%BF%D0%B0%D1%82%D0%B8%D0%BD%D0%B0%201975%20%D1%84%D0%B8%D0%BB%D1%8C%D0%BC","искать")</f>
        <v/>
      </c>
      <c r="N1879" s="3" t="n"/>
      <c r="O1879" s="2" t="n"/>
      <c r="P1879" s="2" t="n"/>
    </row>
    <row r="1880">
      <c r="A1880" s="2" t="n">
        <v>1879</v>
      </c>
      <c r="B1880" s="2" t="inlineStr">
        <is>
          <t>не сюжет</t>
        </is>
      </c>
      <c r="C1880" s="2" t="n">
        <v>10675</v>
      </c>
      <c r="D1880" s="3" t="inlineStr">
        <is>
          <t>У Синей бухты</t>
        </is>
      </c>
      <c r="E1880" s="2" t="n">
        <v>1976</v>
      </c>
      <c r="F1880" s="2" t="inlineStr">
        <is>
          <t>фильм-спектакль</t>
        </is>
      </c>
      <c r="G1880" s="2" t="inlineStr">
        <is>
          <t>Белорусское телевидение</t>
        </is>
      </c>
      <c r="H1880" s="2" t="n">
        <v>77</v>
      </c>
      <c r="I1880" s="2" t="inlineStr"/>
      <c r="J1880" s="2" t="inlineStr">
        <is>
          <t>да</t>
        </is>
      </c>
      <c r="K1880" s="3" t="inlineStr">
        <is>
          <t>Телеспектакль о последних днях жизни поэта Максима Богдановича (1891 — 1917).</t>
        </is>
      </c>
      <c r="L1880" s="2" t="inlineStr">
        <is>
          <t>https://www.kino-teatr.ru/teatr/movie/10565/annot/</t>
        </is>
      </c>
      <c r="M1880" s="2">
        <f>HYPERLINK("https://ru.wikipedia.org/w/index.php?search=%D0%A3%20%D0%A1%D0%B8%D0%BD%D0%B5%D0%B9%20%D0%B1%D1%83%D1%85%D1%82%D1%8B%201976%20%D1%84%D0%B8%D0%BB%D1%8C%D0%BC","искать")</f>
        <v/>
      </c>
      <c r="N1880" s="3" t="n"/>
      <c r="O1880" s="2" t="n"/>
      <c r="P1880" s="2" t="n"/>
    </row>
    <row r="1881">
      <c r="A1881" s="2" t="n">
        <v>1880</v>
      </c>
      <c r="B1881" s="2" t="inlineStr">
        <is>
          <t>не сюжет</t>
        </is>
      </c>
      <c r="C1881" s="2" t="n">
        <v>11026</v>
      </c>
      <c r="D1881" s="3" t="inlineStr">
        <is>
          <t>История о хирургии города N</t>
        </is>
      </c>
      <c r="E1881" s="2" t="n">
        <v>1984</v>
      </c>
      <c r="F1881" s="2" t="inlineStr">
        <is>
          <t>фильм-спектакль</t>
        </is>
      </c>
      <c r="G1881" s="2" t="n"/>
      <c r="H1881" s="2" t="n">
        <v>77</v>
      </c>
      <c r="I1881" s="2" t="inlineStr"/>
      <c r="J1881" s="2" t="inlineStr">
        <is>
          <t>да</t>
        </is>
      </c>
      <c r="K1881" s="3" t="inlineStr">
        <is>
          <t>Поставлен по одноименнной пьесе чешского драматуга Данека Олдрича(1927-2000).</t>
        </is>
      </c>
      <c r="L1881" s="2" t="inlineStr">
        <is>
          <t>https://www.kino-teatr.ru/teatr/movie/88988/annot/</t>
        </is>
      </c>
      <c r="M1881" s="2">
        <f>HYPERLINK("https://ru.wikipedia.org/w/index.php?search=%D0%98%D1%81%D1%82%D0%BE%D1%80%D0%B8%D1%8F%20%D0%BE%20%D1%85%D0%B8%D1%80%D1%83%D1%80%D0%B3%D0%B8%D0%B8%20%D0%B3%D0%BE%D1%80%D0%BE%D0%B4%D0%B0%20N%201984%20%D1%84%D0%B8%D0%BB%D1%8C%D0%BC","искать")</f>
        <v/>
      </c>
      <c r="N1881" s="3" t="n"/>
      <c r="O1881" s="2" t="n"/>
      <c r="P1881" s="2" t="n"/>
    </row>
    <row r="1882">
      <c r="A1882" s="2" t="n">
        <v>1881</v>
      </c>
      <c r="B1882" s="2" t="inlineStr">
        <is>
          <t>не сюжет</t>
        </is>
      </c>
      <c r="C1882" s="2" t="n">
        <v>11897</v>
      </c>
      <c r="D1882" s="3" t="inlineStr">
        <is>
          <t>Веселая карусель n 8. Консервная банка</t>
        </is>
      </c>
      <c r="E1882" s="2" t="n">
        <v>1976</v>
      </c>
      <c r="F1882" s="2" t="inlineStr">
        <is>
          <t>мультфильм</t>
        </is>
      </c>
      <c r="G1882" s="2" t="inlineStr">
        <is>
          <t>Союзмультфильм</t>
        </is>
      </c>
      <c r="H1882" s="2" t="n">
        <v>77</v>
      </c>
      <c r="I1882" s="2" t="inlineStr"/>
      <c r="J1882" s="2" t="inlineStr">
        <is>
          <t>да</t>
        </is>
      </c>
      <c r="K1882" s="3" t="inlineStr">
        <is>
          <t>Сюжет из альманаха «ВЕСЕЛАЯ КАРУСЕЛЬ N 8»
О том, как нехорошо мучить животных</t>
        </is>
      </c>
      <c r="L1882" s="2" t="inlineStr">
        <is>
          <t>https://animator.ru/db/?p=show_film&amp;fid=2812</t>
        </is>
      </c>
      <c r="M1882" s="2">
        <f>HYPERLINK("https://ru.wikipedia.org/w/index.php?search=%D0%92%D0%B5%D1%81%D0%B5%D0%BB%D0%B0%D1%8F%20%D0%BA%D0%B0%D1%80%D1%83%D1%81%D0%B5%D0%BB%D1%8C%20n%208.%20%D0%9A%D0%BE%D0%BD%D1%81%D0%B5%D1%80%D0%B2%D0%BD%D0%B0%D1%8F%20%D0%B1%D0%B0%D0%BD%D0%BA%D0%B0%201976%20%D1%84%D0%B8%D0%BB%D1%8C%D0%BC","искать")</f>
        <v/>
      </c>
      <c r="N1882" s="3" t="n"/>
      <c r="O1882" s="2" t="n"/>
      <c r="P1882" s="2" t="n"/>
    </row>
    <row r="1883">
      <c r="A1883" s="2" t="n">
        <v>1882</v>
      </c>
      <c r="B1883" s="2" t="inlineStr">
        <is>
          <t>не сюжет</t>
        </is>
      </c>
      <c r="C1883" s="2" t="n">
        <v>12239</v>
      </c>
      <c r="D1883" s="3" t="inlineStr">
        <is>
          <t>Дождливая история</t>
        </is>
      </c>
      <c r="E1883" s="2" t="n">
        <v>1988</v>
      </c>
      <c r="F1883" s="2" t="inlineStr">
        <is>
          <t>мультфильм</t>
        </is>
      </c>
      <c r="G1883" s="2" t="inlineStr">
        <is>
          <t>Союзмультфильм</t>
        </is>
      </c>
      <c r="H1883" s="2" t="n">
        <v>77</v>
      </c>
      <c r="I1883" s="2" t="inlineStr"/>
      <c r="J1883" s="2" t="inlineStr">
        <is>
          <t>да</t>
        </is>
      </c>
      <c r="K1883" s="3" t="inlineStr">
        <is>
          <t>По сказке Дж.Эйкен "Кот булочницы". Использована музыка из записей 30-х годов</t>
        </is>
      </c>
      <c r="L1883" s="2" t="inlineStr">
        <is>
          <t>https://animator.ru/db/?p=show_film&amp;fid=3356</t>
        </is>
      </c>
      <c r="M1883" s="2">
        <f>HYPERLINK("https://ru.wikipedia.org/w/index.php?search=%D0%94%D0%BE%D0%B6%D0%B4%D0%BB%D0%B8%D0%B2%D0%B0%D1%8F%20%D0%B8%D1%81%D1%82%D0%BE%D1%80%D0%B8%D1%8F%201988%20%D1%84%D0%B8%D0%BB%D1%8C%D0%BC","искать")</f>
        <v/>
      </c>
      <c r="N1883" s="3" t="n"/>
      <c r="O1883" s="2" t="n"/>
      <c r="P1883" s="2" t="n"/>
    </row>
    <row r="1884">
      <c r="A1884" s="2" t="n">
        <v>1883</v>
      </c>
      <c r="B1884" s="2" t="inlineStr">
        <is>
          <t>не сюжет</t>
        </is>
      </c>
      <c r="C1884" s="2" t="n">
        <v>12535</v>
      </c>
      <c r="D1884" s="3" t="inlineStr">
        <is>
          <t>Савушкин, который не верил в чудеса</t>
        </is>
      </c>
      <c r="E1884" s="2" t="n">
        <v>1983</v>
      </c>
      <c r="F1884" s="2" t="inlineStr">
        <is>
          <t>мультфильм</t>
        </is>
      </c>
      <c r="G1884" s="2" t="inlineStr">
        <is>
          <t>КИЕВНАУЧФИЛЬМ</t>
        </is>
      </c>
      <c r="H1884" s="2" t="n">
        <v>77</v>
      </c>
      <c r="I1884" s="2" t="inlineStr"/>
      <c r="J1884" s="2" t="inlineStr">
        <is>
          <t>да</t>
        </is>
      </c>
      <c r="K1884" s="3" t="inlineStr">
        <is>
          <t>По мотивам сатирической сказки В.Бахнова
XVII ВКФ, Киев 1984 -- Вторая премия</t>
        </is>
      </c>
      <c r="L1884" s="2" t="inlineStr">
        <is>
          <t>https://animator.ru/db/?p=show_film&amp;fid=3713</t>
        </is>
      </c>
      <c r="M1884" s="2">
        <f>HYPERLINK("https://ru.wikipedia.org/w/index.php?search=%D0%A1%D0%B0%D0%B2%D1%83%D1%88%D0%BA%D0%B8%D0%BD%2C%20%D0%BA%D0%BE%D1%82%D0%BE%D1%80%D1%8B%D0%B9%20%D0%BD%D0%B5%20%D0%B2%D0%B5%D1%80%D0%B8%D0%BB%20%D0%B2%20%D1%87%D1%83%D0%B4%D0%B5%D1%81%D0%B0%201983%20%D1%84%D0%B8%D0%BB%D1%8C%D0%BC","искать")</f>
        <v/>
      </c>
      <c r="N1884" s="3" t="n"/>
      <c r="O1884" s="2" t="n"/>
      <c r="P1884" s="2" t="n"/>
    </row>
    <row r="1885">
      <c r="A1885" s="2" t="n">
        <v>1884</v>
      </c>
      <c r="B1885" s="2" t="inlineStr">
        <is>
          <t>не сюжет</t>
        </is>
      </c>
      <c r="C1885" s="2" t="n">
        <v>12929</v>
      </c>
      <c r="D1885" s="3" t="inlineStr">
        <is>
          <t>Волшебник Изумрудного города. 7. Корабль старого моряка</t>
        </is>
      </c>
      <c r="E1885" s="2" t="n">
        <v>1973</v>
      </c>
      <c r="F1885" s="2" t="inlineStr">
        <is>
          <t>мультфильм</t>
        </is>
      </c>
      <c r="G1885" s="2" t="inlineStr">
        <is>
          <t>ГРУЗИЯ-ФИЛЬМ - АО</t>
        </is>
      </c>
      <c r="H1885" s="2" t="n">
        <v>77</v>
      </c>
      <c r="I1885" s="2" t="inlineStr"/>
      <c r="J1885" s="2" t="inlineStr">
        <is>
          <t>да</t>
        </is>
      </c>
      <c r="K1885" s="3" t="inlineStr">
        <is>
          <t>По заказу ГОСТЕЛЕРАДИО СССР 6-я серия по книге "Волшебник Изумрудного города"</t>
        </is>
      </c>
      <c r="L1885" s="2" t="inlineStr">
        <is>
          <t>https://animator.ru/db/?p=show_film&amp;fid=4159</t>
        </is>
      </c>
      <c r="M1885" s="2">
        <f>HYPERLINK("https://ru.wikipedia.org/w/index.php?search=%D0%92%D0%BE%D0%BB%D1%88%D0%B5%D0%B1%D0%BD%D0%B8%D0%BA%20%D0%98%D0%B7%D1%83%D0%BC%D1%80%D1%83%D0%B4%D0%BD%D0%BE%D0%B3%D0%BE%20%D0%B3%D0%BE%D1%80%D0%BE%D0%B4%D0%B0.%207.%20%D0%9A%D0%BE%D1%80%D0%B0%D0%B1%D0%BB%D1%8C%20%D1%81%D1%82%D0%B0%D1%80%D0%BE%D0%B3%D0%BE%20%D0%BC%D0%BE%D1%80%D1%8F%D0%BA%D0%B0%201973%20%D1%84%D0%B8%D0%BB%D1%8C%D0%BC","искать")</f>
        <v/>
      </c>
      <c r="N1885" s="3" t="n"/>
      <c r="O1885" s="2" t="n"/>
      <c r="P1885" s="2" t="n"/>
    </row>
    <row r="1886">
      <c r="A1886" s="2" t="n">
        <v>1885</v>
      </c>
      <c r="B1886" s="2" t="inlineStr">
        <is>
          <t>не сюжет</t>
        </is>
      </c>
      <c r="C1886" s="2" t="n">
        <v>13326</v>
      </c>
      <c r="D1886" s="3" t="inlineStr">
        <is>
          <t>Подарок гугуцэ</t>
        </is>
      </c>
      <c r="E1886" s="2" t="n">
        <v>1979</v>
      </c>
      <c r="F1886" s="2" t="inlineStr">
        <is>
          <t>мультфильм</t>
        </is>
      </c>
      <c r="G1886" s="2" t="inlineStr">
        <is>
          <t>МОЛДОВА-ФИЛЬМ</t>
        </is>
      </c>
      <c r="H1886" s="2" t="n">
        <v>77</v>
      </c>
      <c r="I1886" s="2" t="inlineStr"/>
      <c r="J1886" s="2" t="inlineStr">
        <is>
          <t>да</t>
        </is>
      </c>
      <c r="K1886" s="3" t="inlineStr">
        <is>
          <t>Продолжение историй о мальчике Гугуцэ, живущем в молдавском селе. Для малышей</t>
        </is>
      </c>
      <c r="L1886" s="2" t="inlineStr">
        <is>
          <t>https://animator.ru/db/?p=show_film&amp;fid=4596</t>
        </is>
      </c>
      <c r="M1886" s="2">
        <f>HYPERLINK("https://ru.wikipedia.org/w/index.php?search=%D0%9F%D0%BE%D0%B4%D0%B0%D1%80%D0%BE%D0%BA%20%D0%B3%D1%83%D0%B3%D1%83%D1%86%D1%8D%201979%20%D1%84%D0%B8%D0%BB%D1%8C%D0%BC","искать")</f>
        <v/>
      </c>
      <c r="N1886" s="3" t="n"/>
      <c r="O1886" s="2" t="n"/>
      <c r="P1886" s="2" t="n"/>
    </row>
    <row r="1887">
      <c r="A1887" s="2" t="n">
        <v>1886</v>
      </c>
      <c r="B1887" s="2" t="inlineStr">
        <is>
          <t>не сюжет</t>
        </is>
      </c>
      <c r="C1887" s="2" t="n">
        <v>13468</v>
      </c>
      <c r="D1887" s="3" t="inlineStr">
        <is>
          <t>Колобок, колобок!...</t>
        </is>
      </c>
      <c r="E1887" s="2" t="n">
        <v>1988</v>
      </c>
      <c r="F1887" s="2" t="inlineStr">
        <is>
          <t>мультфильм</t>
        </is>
      </c>
      <c r="G1887" s="2" t="inlineStr">
        <is>
          <t>ЭКРАН</t>
        </is>
      </c>
      <c r="H1887" s="2" t="n">
        <v>77</v>
      </c>
      <c r="I1887" s="2" t="inlineStr"/>
      <c r="J1887" s="2" t="inlineStr">
        <is>
          <t>да</t>
        </is>
      </c>
      <c r="K1887" s="3" t="inlineStr">
        <is>
          <t>Притча о зря прожитой жизни - новая интерпретация старой сказки. Для взрослых</t>
        </is>
      </c>
      <c r="L1887" s="2" t="inlineStr">
        <is>
          <t>https://animator.ru/db/?p=show_film&amp;fid=4751</t>
        </is>
      </c>
      <c r="M1887" s="2">
        <f>HYPERLINK("https://ru.wikipedia.org/w/index.php?search=%D0%9A%D0%BE%D0%BB%D0%BE%D0%B1%D0%BE%D0%BA%2C%20%D0%BA%D0%BE%D0%BB%D0%BE%D0%B1%D0%BE%D0%BA%21...%201988%20%D1%84%D0%B8%D0%BB%D1%8C%D0%BC","искать")</f>
        <v/>
      </c>
      <c r="N1887" s="3" t="n"/>
      <c r="O1887" s="2" t="n"/>
      <c r="P1887" s="2" t="n"/>
    </row>
    <row r="1888">
      <c r="A1888" s="2" t="n">
        <v>1887</v>
      </c>
      <c r="B1888" s="2" t="inlineStr">
        <is>
          <t>не сюжет</t>
        </is>
      </c>
      <c r="C1888" s="2" t="n">
        <v>13576</v>
      </c>
      <c r="D1888" s="3" t="inlineStr">
        <is>
          <t>Веселая карусель. Выпуск №6</t>
        </is>
      </c>
      <c r="E1888" s="2" t="n">
        <v>1974</v>
      </c>
      <c r="F1888" s="2" t="inlineStr">
        <is>
          <t>мультфильм</t>
        </is>
      </c>
      <c r="G1888" s="2" t="inlineStr">
        <is>
          <t>Союзмультфильм</t>
        </is>
      </c>
      <c r="H1888" s="2" t="n">
        <v>77</v>
      </c>
      <c r="I1888" s="2" t="inlineStr"/>
      <c r="J1888" s="2" t="inlineStr">
        <is>
          <t>да</t>
        </is>
      </c>
      <c r="K1888" s="3" t="inlineStr">
        <is>
          <t>6-ая серия альманаха «ВЕСЕЛАЯ КАРУСЕЛЬ»
сюжеты: «ПУТАНИЦА», «ЛЕЧЕНИЕ ВАСИЛИЯ»</t>
        </is>
      </c>
      <c r="L1888" s="2" t="inlineStr">
        <is>
          <t>https://animator.ru/db/?p=show_film&amp;fid=4913</t>
        </is>
      </c>
      <c r="M1888" s="2">
        <f>HYPERLINK("https://ru.wikipedia.org/w/index.php?search=%D0%92%D0%B5%D1%81%D0%B5%D0%BB%D0%B0%D1%8F%20%D0%BA%D0%B0%D1%80%D1%83%D1%81%D0%B5%D0%BB%D1%8C.%20%D0%92%D1%8B%D0%BF%D1%83%D1%81%D0%BA%20%E2%84%966%201974%20%D1%84%D0%B8%D0%BB%D1%8C%D0%BC","искать")</f>
        <v/>
      </c>
      <c r="N1888" s="3" t="n"/>
      <c r="O1888" s="2" t="n"/>
      <c r="P1888" s="2" t="n"/>
    </row>
    <row r="1889">
      <c r="A1889" s="2" t="n">
        <v>1888</v>
      </c>
      <c r="B1889" s="2" t="inlineStr">
        <is>
          <t>не сюжет</t>
        </is>
      </c>
      <c r="C1889" s="2" t="n">
        <v>14001</v>
      </c>
      <c r="D1889" s="3" t="inlineStr">
        <is>
          <t>Эволюция</t>
        </is>
      </c>
      <c r="E1889" s="2" t="n">
        <v>1983</v>
      </c>
      <c r="F1889" s="2" t="inlineStr">
        <is>
          <t>мультфильм</t>
        </is>
      </c>
      <c r="G1889" s="2" t="inlineStr">
        <is>
          <t>ЭКРАН</t>
        </is>
      </c>
      <c r="H1889" s="2" t="n">
        <v>77</v>
      </c>
      <c r="I1889" s="2" t="inlineStr"/>
      <c r="J1889" s="2" t="inlineStr">
        <is>
          <t>да</t>
        </is>
      </c>
      <c r="K1889" s="3" t="inlineStr">
        <is>
          <t>О скверной привычке марать стены домов и лифтов надписями и дурными рисунками</t>
        </is>
      </c>
      <c r="L1889" s="2" t="inlineStr">
        <is>
          <t>https://animator.ru/db/?p=show_film&amp;fid=5395</t>
        </is>
      </c>
      <c r="M1889" s="2">
        <f>HYPERLINK("https://ru.wikipedia.org/w/index.php?search=%D0%AD%D0%B2%D0%BE%D0%BB%D1%8E%D1%86%D0%B8%D1%8F%201983%20%D1%84%D0%B8%D0%BB%D1%8C%D0%BC","искать")</f>
        <v/>
      </c>
      <c r="N1889" s="3" t="n"/>
      <c r="O1889" s="2" t="n"/>
      <c r="P1889" s="2" t="n"/>
    </row>
    <row r="1890">
      <c r="A1890" s="2" t="n">
        <v>1889</v>
      </c>
      <c r="B1890" s="2" t="inlineStr">
        <is>
          <t>не сюжет</t>
        </is>
      </c>
      <c r="C1890" s="2" t="n">
        <v>14179</v>
      </c>
      <c r="D1890" s="3" t="inlineStr">
        <is>
          <t>Сказки прикиндела</t>
        </is>
      </c>
      <c r="E1890" s="2" t="n">
        <v>1970</v>
      </c>
      <c r="F1890" s="2" t="inlineStr">
        <is>
          <t>мультфильм</t>
        </is>
      </c>
      <c r="G1890" s="2" t="inlineStr">
        <is>
          <t>ТЕЛЕФИЛЬМ-КИШИНЕВ</t>
        </is>
      </c>
      <c r="H1890" s="2" t="n">
        <v>77</v>
      </c>
      <c r="I1890" s="2" t="inlineStr"/>
      <c r="J1890" s="2" t="inlineStr">
        <is>
          <t>да</t>
        </is>
      </c>
      <c r="K1890" s="3" t="inlineStr">
        <is>
          <t>По сказке "Мишутка и Мишенька" в постановке кукольного телетеатра "Прикиндел"</t>
        </is>
      </c>
      <c r="L1890" s="2" t="inlineStr">
        <is>
          <t>https://animator.ru/db/?p=show_film&amp;fid=5577</t>
        </is>
      </c>
      <c r="M1890" s="2">
        <f>HYPERLINK("https://ru.wikipedia.org/w/index.php?search=%D0%A1%D0%BA%D0%B0%D0%B7%D0%BA%D0%B8%20%D0%BF%D1%80%D0%B8%D0%BA%D0%B8%D0%BD%D0%B4%D0%B5%D0%BB%D0%B0%201970%20%D1%84%D0%B8%D0%BB%D1%8C%D0%BC","искать")</f>
        <v/>
      </c>
      <c r="N1890" s="3" t="n"/>
      <c r="O1890" s="2" t="n"/>
      <c r="P1890" s="2" t="n"/>
    </row>
    <row r="1891">
      <c r="A1891" s="2" t="n">
        <v>1890</v>
      </c>
      <c r="B1891" s="2" t="inlineStr">
        <is>
          <t>не сюжет</t>
        </is>
      </c>
      <c r="C1891" s="2" t="n">
        <v>7397</v>
      </c>
      <c r="D1891" s="3" t="inlineStr">
        <is>
          <t>Все возрасты покорны (киноальманах)</t>
        </is>
      </c>
      <c r="E1891" s="2" t="n">
        <v>1980</v>
      </c>
      <c r="F1891" s="2" t="inlineStr">
        <is>
          <t>телефильм</t>
        </is>
      </c>
      <c r="G1891" s="2" t="n"/>
      <c r="H1891" s="2" t="n">
        <v>78</v>
      </c>
      <c r="I1891" s="2" t="inlineStr"/>
      <c r="J1891" s="2" t="inlineStr">
        <is>
          <t>да</t>
        </is>
      </c>
      <c r="K1891" s="3" t="inlineStr">
        <is>
          <t>Телефильм в составе: Такой долгожданный день, Звезды нашего двора, Дом матери.</t>
        </is>
      </c>
      <c r="L1891" s="2" t="inlineStr">
        <is>
          <t>Кино_СССР сводный каталог.xlsx: список телефильмов</t>
        </is>
      </c>
      <c r="M1891" s="2">
        <f>HYPERLINK("https://ru.wikipedia.org/w/index.php?search=%D0%92%D1%81%D0%B5%20%D0%B2%D0%BE%D0%B7%D1%80%D0%B0%D1%81%D1%82%D1%8B%20%D0%BF%D0%BE%D0%BA%D0%BE%D1%80%D0%BD%D1%8B%20%28%D0%BA%D0%B8%D0%BD%D0%BE%D0%B0%D0%BB%D1%8C%D0%BC%D0%B0%D0%BD%D0%B0%D1%85%29%201980%20%D1%84%D0%B8%D0%BB%D1%8C%D0%BC","искать")</f>
        <v/>
      </c>
      <c r="N1891" s="3" t="n"/>
      <c r="O1891" s="2" t="n"/>
      <c r="P1891" s="2" t="n"/>
    </row>
    <row r="1892">
      <c r="A1892" s="2" t="n">
        <v>1891</v>
      </c>
      <c r="B1892" s="2" t="inlineStr">
        <is>
          <t>не сюжет</t>
        </is>
      </c>
      <c r="C1892" s="2" t="n">
        <v>8003</v>
      </c>
      <c r="D1892" s="3" t="inlineStr">
        <is>
          <t>Новогодний календарь</t>
        </is>
      </c>
      <c r="E1892" s="2" t="n">
        <v>1965</v>
      </c>
      <c r="F1892" s="2" t="inlineStr">
        <is>
          <t>телефильм</t>
        </is>
      </c>
      <c r="G1892" s="2" t="inlineStr">
        <is>
          <t>Мосфильм</t>
        </is>
      </c>
      <c r="H1892" s="2" t="n">
        <v>78</v>
      </c>
      <c r="I1892" s="2" t="inlineStr"/>
      <c r="J1892" s="2" t="inlineStr">
        <is>
          <t>да</t>
        </is>
      </c>
      <c r="K1892" s="3" t="inlineStr">
        <is>
          <t>Новогоднее телевизионное представление с участием популярных артистов эстрады.</t>
        </is>
      </c>
      <c r="L1892" s="2" t="inlineStr">
        <is>
          <t>Кино_СССР сводный каталог.xlsx: список телефильмов</t>
        </is>
      </c>
      <c r="M1892" s="2">
        <f>HYPERLINK("https://ru.wikipedia.org/w/index.php?search=%D0%9D%D0%BE%D0%B2%D0%BE%D0%B3%D0%BE%D0%B4%D0%BD%D0%B8%D0%B9%20%D0%BA%D0%B0%D0%BB%D0%B5%D0%BD%D0%B4%D0%B0%D1%80%D1%8C%201965%20%D1%84%D0%B8%D0%BB%D1%8C%D0%BC","искать")</f>
        <v/>
      </c>
      <c r="N1892" s="3" t="n"/>
      <c r="O1892" s="2" t="n"/>
      <c r="P1892" s="2" t="n"/>
    </row>
    <row r="1893">
      <c r="A1893" s="2" t="n">
        <v>1892</v>
      </c>
      <c r="B1893" s="2" t="inlineStr">
        <is>
          <t>не сюжет</t>
        </is>
      </c>
      <c r="C1893" s="2" t="n">
        <v>8835</v>
      </c>
      <c r="D1893" s="3" t="inlineStr">
        <is>
          <t>Микстура без рецепта (киноальманах)</t>
        </is>
      </c>
      <c r="E1893" s="2" t="n">
        <v>1990</v>
      </c>
      <c r="F1893" s="2" t="inlineStr">
        <is>
          <t>кинофильм</t>
        </is>
      </c>
      <c r="G1893" s="2" t="n"/>
      <c r="H1893" s="2" t="n">
        <v>78</v>
      </c>
      <c r="I1893" s="2" t="inlineStr"/>
      <c r="J1893" s="2" t="inlineStr">
        <is>
          <t>да</t>
        </is>
      </c>
      <c r="K1893" s="3" t="inlineStr">
        <is>
          <t>Фильмы в составе: 30 см над уровнем моря, Им, кого оставили отцы, Собачий нюх.</t>
        </is>
      </c>
      <c r="L1893" s="2" t="inlineStr">
        <is>
          <t>Кино_СССР сводный каталог.xlsx: список фильмов (доп.)</t>
        </is>
      </c>
      <c r="M1893" s="2">
        <f>HYPERLINK("https://ru.wikipedia.org/w/index.php?search=%D0%9C%D0%B8%D0%BA%D1%81%D1%82%D1%83%D1%80%D0%B0%20%D0%B1%D0%B5%D0%B7%20%D1%80%D0%B5%D1%86%D0%B5%D0%BF%D1%82%D0%B0%20%28%D0%BA%D0%B8%D0%BD%D0%BE%D0%B0%D0%BB%D1%8C%D0%BC%D0%B0%D0%BD%D0%B0%D1%85%29%201990%20%D1%84%D0%B8%D0%BB%D1%8C%D0%BC","искать")</f>
        <v/>
      </c>
      <c r="N1893" s="3" t="n"/>
      <c r="O1893" s="2" t="n"/>
      <c r="P1893" s="2" t="n"/>
    </row>
    <row r="1894">
      <c r="A1894" s="2" t="n">
        <v>1893</v>
      </c>
      <c r="B1894" s="2" t="inlineStr">
        <is>
          <t>не сюжет</t>
        </is>
      </c>
      <c r="C1894" s="2" t="n">
        <v>8848</v>
      </c>
      <c r="D1894" s="3" t="inlineStr">
        <is>
          <t>Моя хата с краю</t>
        </is>
      </c>
      <c r="E1894" s="2" t="n">
        <v>1986</v>
      </c>
      <c r="F1894" s="2" t="inlineStr">
        <is>
          <t>кинофильм</t>
        </is>
      </c>
      <c r="G1894" s="2" t="n"/>
      <c r="H1894" s="2" t="n">
        <v>78</v>
      </c>
      <c r="I1894" s="2" t="inlineStr"/>
      <c r="J1894" s="2" t="inlineStr">
        <is>
          <t>да</t>
        </is>
      </c>
      <c r="K1894" s="3" t="inlineStr">
        <is>
          <t>Последний фильм с участием знаменитого эстрадного дуэта Тарапуньки и Штепселя.</t>
        </is>
      </c>
      <c r="L1894" s="2" t="inlineStr">
        <is>
          <t>Кино_СССР сводный каталог.xlsx: список фильмов (доп.)</t>
        </is>
      </c>
      <c r="M1894" s="2">
        <f>HYPERLINK("https://ru.wikipedia.org/w/index.php?search=%D0%9C%D0%BE%D1%8F%20%D1%85%D0%B0%D1%82%D0%B0%20%D1%81%20%D0%BA%D1%80%D0%B0%D1%8E%201986%20%D1%84%D0%B8%D0%BB%D1%8C%D0%BC","искать")</f>
        <v/>
      </c>
      <c r="N1894" s="3" t="n"/>
      <c r="O1894" s="2" t="n"/>
      <c r="P1894" s="2" t="n"/>
    </row>
    <row r="1895">
      <c r="A1895" s="2" t="n">
        <v>1894</v>
      </c>
      <c r="B1895" s="2" t="inlineStr">
        <is>
          <t>не сюжет</t>
        </is>
      </c>
      <c r="C1895" s="2" t="n">
        <v>10359</v>
      </c>
      <c r="D1895" s="3" t="inlineStr">
        <is>
          <t>Зимняя баллада</t>
        </is>
      </c>
      <c r="E1895" s="2" t="n">
        <v>1970</v>
      </c>
      <c r="F1895" s="2" t="inlineStr">
        <is>
          <t>фильм-спектакль</t>
        </is>
      </c>
      <c r="G1895" s="2" t="n"/>
      <c r="H1895" s="2" t="n">
        <v>78</v>
      </c>
      <c r="I1895" s="2" t="inlineStr"/>
      <c r="J1895" s="2" t="inlineStr">
        <is>
          <t>да</t>
        </is>
      </c>
      <c r="K1895" s="3" t="inlineStr">
        <is>
          <t>Спектакль Московского театра им. Маяковского по пьесе А.Вейцлера и А.Мишарина.</t>
        </is>
      </c>
      <c r="L1895" s="2" t="inlineStr">
        <is>
          <t>https://www.kino-teatr.ru/teatr/movie/97614/annot/</t>
        </is>
      </c>
      <c r="M1895" s="2">
        <f>HYPERLINK("https://ru.wikipedia.org/w/index.php?search=%D0%97%D0%B8%D0%BC%D0%BD%D1%8F%D1%8F%20%D0%B1%D0%B0%D0%BB%D0%BB%D0%B0%D0%B4%D0%B0%201970%20%D1%84%D0%B8%D0%BB%D1%8C%D0%BC","искать")</f>
        <v/>
      </c>
      <c r="N1895" s="3" t="n"/>
      <c r="O1895" s="2" t="n"/>
      <c r="P1895" s="2" t="n"/>
    </row>
    <row r="1896">
      <c r="A1896" s="2" t="n">
        <v>1895</v>
      </c>
      <c r="B1896" s="2" t="inlineStr">
        <is>
          <t>не сюжет</t>
        </is>
      </c>
      <c r="C1896" s="2" t="n">
        <v>10895</v>
      </c>
      <c r="D1896" s="3" t="inlineStr">
        <is>
          <t>Объявлен розыск...</t>
        </is>
      </c>
      <c r="E1896" s="2" t="n">
        <v>1981</v>
      </c>
      <c r="F1896" s="2" t="inlineStr">
        <is>
          <t>фильм-спектакль</t>
        </is>
      </c>
      <c r="G1896" s="2" t="inlineStr">
        <is>
          <t>Ленинградское ТВ</t>
        </is>
      </c>
      <c r="H1896" s="2" t="n">
        <v>78</v>
      </c>
      <c r="I1896" s="2" t="inlineStr"/>
      <c r="J1896" s="2" t="inlineStr">
        <is>
          <t>да</t>
        </is>
      </c>
      <c r="K1896" s="3" t="inlineStr">
        <is>
          <t>Телеспектакль, детектив по повести Николая Леонова «Инюрколлегия разыскивает».</t>
        </is>
      </c>
      <c r="L1896" s="2" t="inlineStr">
        <is>
          <t>https://www.kino-teatr.ru/teatr/movie/4631/annot/</t>
        </is>
      </c>
      <c r="M1896" s="2">
        <f>HYPERLINK("https://ru.wikipedia.org/w/index.php?search=%D0%9E%D0%B1%D1%8A%D1%8F%D0%B2%D0%BB%D0%B5%D0%BD%20%D1%80%D0%BE%D0%B7%D1%8B%D1%81%D0%BA...%201981%20%D1%84%D0%B8%D0%BB%D1%8C%D0%BC","искать")</f>
        <v/>
      </c>
      <c r="N1896" s="3" t="n"/>
      <c r="O1896" s="2" t="n"/>
      <c r="P1896" s="2" t="n"/>
    </row>
    <row r="1897">
      <c r="A1897" s="2" t="n">
        <v>1896</v>
      </c>
      <c r="B1897" s="2" t="inlineStr">
        <is>
          <t>не сюжет</t>
        </is>
      </c>
      <c r="C1897" s="2" t="n">
        <v>10916</v>
      </c>
      <c r="D1897" s="3" t="inlineStr">
        <is>
          <t>Страницы кондуита</t>
        </is>
      </c>
      <c r="E1897" s="2" t="n">
        <v>1981</v>
      </c>
      <c r="F1897" s="2" t="inlineStr">
        <is>
          <t>фильм-спектакль</t>
        </is>
      </c>
      <c r="G1897" s="2" t="inlineStr">
        <is>
          <t>Ленинградское телевидение</t>
        </is>
      </c>
      <c r="H1897" s="2" t="n">
        <v>78</v>
      </c>
      <c r="I1897" s="2" t="inlineStr"/>
      <c r="J1897" s="2" t="inlineStr">
        <is>
          <t>да</t>
        </is>
      </c>
      <c r="K1897" s="3" t="inlineStr">
        <is>
          <t>Детский телеспектакль. По мотивам повести Льва Кассиля «Кондуит и Швамбрания».</t>
        </is>
      </c>
      <c r="L1897" s="2" t="inlineStr">
        <is>
          <t>https://www.kino-teatr.ru/teatr/movie/10328/annot/</t>
        </is>
      </c>
      <c r="M1897" s="2">
        <f>HYPERLINK("https://ru.wikipedia.org/w/index.php?search=%D0%A1%D1%82%D1%80%D0%B0%D0%BD%D0%B8%D1%86%D1%8B%20%D0%BA%D0%BE%D0%BD%D0%B4%D1%83%D0%B8%D1%82%D0%B0%201981%20%D1%84%D0%B8%D0%BB%D1%8C%D0%BC","искать")</f>
        <v/>
      </c>
      <c r="N1897" s="3" t="n"/>
      <c r="O1897" s="2" t="n"/>
      <c r="P1897" s="2" t="n"/>
    </row>
    <row r="1898">
      <c r="A1898" s="2" t="n">
        <v>1897</v>
      </c>
      <c r="B1898" s="2" t="inlineStr">
        <is>
          <t>не сюжет</t>
        </is>
      </c>
      <c r="C1898" s="2" t="n">
        <v>12181</v>
      </c>
      <c r="D1898" s="3" t="inlineStr">
        <is>
          <t>Веселая карусель n 16. Чудо-дерево</t>
        </is>
      </c>
      <c r="E1898" s="2" t="n">
        <v>1985</v>
      </c>
      <c r="F1898" s="2" t="inlineStr">
        <is>
          <t>мультфильм</t>
        </is>
      </c>
      <c r="G1898" s="2" t="inlineStr">
        <is>
          <t>Союзмультфильм</t>
        </is>
      </c>
      <c r="H1898" s="2" t="n">
        <v>78</v>
      </c>
      <c r="I1898" s="2" t="inlineStr"/>
      <c r="J1898" s="2" t="inlineStr">
        <is>
          <t>да</t>
        </is>
      </c>
      <c r="K1898" s="3" t="inlineStr">
        <is>
          <t>Сюжет из альманаха «ВЕСЕЛАЯ КАРУСЕЛЬ N 16»
По мотивам стихотворения Чуковского</t>
        </is>
      </c>
      <c r="L1898" s="2" t="inlineStr">
        <is>
          <t>https://animator.ru/db/?p=show_film&amp;fid=3297</t>
        </is>
      </c>
      <c r="M1898" s="2">
        <f>HYPERLINK("https://ru.wikipedia.org/w/index.php?search=%D0%92%D0%B5%D1%81%D0%B5%D0%BB%D0%B0%D1%8F%20%D0%BA%D0%B0%D1%80%D1%83%D1%81%D0%B5%D0%BB%D1%8C%20n%2016.%20%D0%A7%D1%83%D0%B4%D0%BE-%D0%B4%D0%B5%D1%80%D0%B5%D0%B2%D0%BE%201985%20%D1%84%D0%B8%D0%BB%D1%8C%D0%BC","искать")</f>
        <v/>
      </c>
      <c r="N1898" s="3" t="n"/>
      <c r="O1898" s="2" t="n"/>
      <c r="P1898" s="2" t="n"/>
    </row>
    <row r="1899">
      <c r="A1899" s="2" t="n">
        <v>1898</v>
      </c>
      <c r="B1899" s="2" t="inlineStr">
        <is>
          <t>не сюжет</t>
        </is>
      </c>
      <c r="C1899" s="2" t="n">
        <v>12708</v>
      </c>
      <c r="D1899" s="3" t="inlineStr">
        <is>
          <t>Нестерка</t>
        </is>
      </c>
      <c r="E1899" s="2" t="n">
        <v>1980</v>
      </c>
      <c r="F1899" s="2" t="inlineStr">
        <is>
          <t>мультфильм</t>
        </is>
      </c>
      <c r="G1899" s="2" t="inlineStr">
        <is>
          <t>БЕЛАРУСЬФИЛЬМ НАЦИОНАЛЬНАЯ КИНОСТУДИЯ - ГП</t>
        </is>
      </c>
      <c r="H1899" s="2" t="n">
        <v>78</v>
      </c>
      <c r="I1899" s="2" t="inlineStr"/>
      <c r="J1899" s="2" t="inlineStr">
        <is>
          <t>да</t>
        </is>
      </c>
      <c r="K1899" s="3" t="inlineStr">
        <is>
          <t>По мотивам белорусских юмористических сказок о балагуре и весельчаке Нестерке.</t>
        </is>
      </c>
      <c r="L1899" s="2" t="inlineStr">
        <is>
          <t>2026-10_мультфильмы_список_владельца.xlsx; https://animator.ru/db/?p=show_film&amp;fid=3903</t>
        </is>
      </c>
      <c r="M1899" s="2">
        <f>HYPERLINK("https://ru.wikipedia.org/w/index.php?search=%D0%9D%D0%B5%D1%81%D1%82%D0%B5%D1%80%D0%BA%D0%B0%201980%20%D1%84%D0%B8%D0%BB%D1%8C%D0%BC","искать")</f>
        <v/>
      </c>
      <c r="N1899" s="3" t="n"/>
      <c r="O1899" s="2" t="n"/>
      <c r="P1899" s="2" t="n"/>
    </row>
    <row r="1900">
      <c r="A1900" s="2" t="n">
        <v>1899</v>
      </c>
      <c r="B1900" s="2" t="inlineStr">
        <is>
          <t>не сюжет</t>
        </is>
      </c>
      <c r="C1900" s="2" t="n">
        <v>13292</v>
      </c>
      <c r="D1900" s="3" t="inlineStr">
        <is>
          <t>Становление</t>
        </is>
      </c>
      <c r="E1900" s="2" t="n">
        <v>1989</v>
      </c>
      <c r="F1900" s="2" t="inlineStr">
        <is>
          <t>мультфильм</t>
        </is>
      </c>
      <c r="G1900" s="2" t="inlineStr">
        <is>
          <t>ТАЛЛИННФИЛЬМ</t>
        </is>
      </c>
      <c r="H1900" s="2" t="n">
        <v>78</v>
      </c>
      <c r="I1900" s="2" t="inlineStr"/>
      <c r="J1900" s="2" t="inlineStr">
        <is>
          <t>да</t>
        </is>
      </c>
      <c r="K1900" s="3" t="inlineStr">
        <is>
          <t>Гармония и дисгармония, становление и разрушение - об этом фильм. Для взрослых</t>
        </is>
      </c>
      <c r="L1900" s="2" t="inlineStr">
        <is>
          <t>https://animator.ru/db/?p=show_film&amp;fid=4549</t>
        </is>
      </c>
      <c r="M1900" s="2">
        <f>HYPERLINK("https://ru.wikipedia.org/w/index.php?search=%D0%A1%D1%82%D0%B0%D0%BD%D0%BE%D0%B2%D0%BB%D0%B5%D0%BD%D0%B8%D0%B5%201989%20%D1%84%D0%B8%D0%BB%D1%8C%D0%BC","искать")</f>
        <v/>
      </c>
      <c r="N1900" s="3" t="n"/>
      <c r="O1900" s="2" t="n"/>
      <c r="P1900" s="2" t="n"/>
    </row>
    <row r="1901">
      <c r="A1901" s="2" t="n">
        <v>1900</v>
      </c>
      <c r="B1901" s="2" t="inlineStr">
        <is>
          <t>не сюжет</t>
        </is>
      </c>
      <c r="C1901" s="2" t="n">
        <v>14144</v>
      </c>
      <c r="D1901" s="3" t="inlineStr">
        <is>
          <t>Ослик-огородник</t>
        </is>
      </c>
      <c r="E1901" s="2" t="n">
        <v>1974</v>
      </c>
      <c r="F1901" s="2" t="inlineStr">
        <is>
          <t>мультфильм</t>
        </is>
      </c>
      <c r="G1901" s="2" t="inlineStr">
        <is>
          <t>ВОЛГОГРАДТЕЛЕФИЛЬМ</t>
        </is>
      </c>
      <c r="H1901" s="2" t="n">
        <v>78</v>
      </c>
      <c r="I1901" s="2" t="inlineStr"/>
      <c r="J1901" s="2" t="inlineStr">
        <is>
          <t>да</t>
        </is>
      </c>
      <c r="K1901" s="3" t="inlineStr">
        <is>
          <t>По мотивам книги английской писательницы Э.Хогарт "Мафин и его веселые друзья"</t>
        </is>
      </c>
      <c r="L1901" s="2" t="inlineStr">
        <is>
          <t>https://animator.ru/db/?p=show_film&amp;fid=5542</t>
        </is>
      </c>
      <c r="M1901" s="2">
        <f>HYPERLINK("https://ru.wikipedia.org/w/index.php?search=%D0%9E%D1%81%D0%BB%D0%B8%D0%BA-%D0%BE%D0%B3%D0%BE%D1%80%D0%BE%D0%B4%D0%BD%D0%B8%D0%BA%201974%20%D1%84%D0%B8%D0%BB%D1%8C%D0%BC","искать")</f>
        <v/>
      </c>
      <c r="N1901" s="3" t="n"/>
      <c r="O1901" s="2" t="n"/>
      <c r="P1901" s="2" t="n"/>
    </row>
    <row r="1902">
      <c r="A1902" s="2" t="n">
        <v>1901</v>
      </c>
      <c r="B1902" s="2" t="inlineStr">
        <is>
          <t>не сюжет</t>
        </is>
      </c>
      <c r="C1902" s="2" t="n">
        <v>7591</v>
      </c>
      <c r="D1902" s="3" t="inlineStr">
        <is>
          <t>Жених напрокат</t>
        </is>
      </c>
      <c r="E1902" s="2" t="n">
        <v>1979</v>
      </c>
      <c r="F1902" s="2" t="inlineStr">
        <is>
          <t>телефильм</t>
        </is>
      </c>
      <c r="G1902" s="2" t="n"/>
      <c r="H1902" s="2" t="n">
        <v>79</v>
      </c>
      <c r="I1902" s="2" t="inlineStr"/>
      <c r="J1902" s="2" t="inlineStr">
        <is>
          <t>да</t>
        </is>
      </c>
      <c r="K1902" s="3" t="inlineStr">
        <is>
          <t>Сериал снят по повести "Ичкуёв" узбекского писателя Тургуна Полата (1928-1974).</t>
        </is>
      </c>
      <c r="L1902" s="2" t="inlineStr">
        <is>
          <t>Кино_СССР сводный каталог.xlsx: список телефильмов</t>
        </is>
      </c>
      <c r="M1902" s="2">
        <f>HYPERLINK("https://ru.wikipedia.org/w/index.php?search=%D0%96%D0%B5%D0%BD%D0%B8%D1%85%20%D0%BD%D0%B0%D0%BF%D1%80%D0%BE%D0%BA%D0%B0%D1%82%201979%20%D1%84%D0%B8%D0%BB%D1%8C%D0%BC","искать")</f>
        <v/>
      </c>
      <c r="N1902" s="3" t="n"/>
      <c r="O1902" s="2" t="n"/>
      <c r="P1902" s="2" t="n"/>
    </row>
    <row r="1903">
      <c r="A1903" s="2" t="n">
        <v>1902</v>
      </c>
      <c r="B1903" s="2" t="inlineStr">
        <is>
          <t>не сюжет</t>
        </is>
      </c>
      <c r="C1903" s="2" t="n">
        <v>8004</v>
      </c>
      <c r="D1903" s="3" t="inlineStr">
        <is>
          <t>Новоселье в будний день</t>
        </is>
      </c>
      <c r="E1903" s="2" t="n">
        <v>1973</v>
      </c>
      <c r="F1903" s="2" t="inlineStr">
        <is>
          <t>телефильм</t>
        </is>
      </c>
      <c r="G1903" s="2" t="n"/>
      <c r="H1903" s="2" t="n">
        <v>79</v>
      </c>
      <c r="I1903" s="2" t="inlineStr"/>
      <c r="J1903" s="2" t="inlineStr">
        <is>
          <t>да</t>
        </is>
      </c>
      <c r="K1903" s="3" t="inlineStr">
        <is>
          <t>О шахтерах Садонского свинцово-цинкового комбината. О трех поколениях горняков.</t>
        </is>
      </c>
      <c r="L1903" s="2" t="inlineStr">
        <is>
          <t>Кино_СССР сводный каталог.xlsx: список телефильмов</t>
        </is>
      </c>
      <c r="M1903" s="2">
        <f>HYPERLINK("https://ru.wikipedia.org/w/index.php?search=%D0%9D%D0%BE%D0%B2%D0%BE%D1%81%D0%B5%D0%BB%D1%8C%D0%B5%20%D0%B2%20%D0%B1%D1%83%D0%B4%D0%BD%D0%B8%D0%B9%20%D0%B4%D0%B5%D0%BD%D1%8C%201973%20%D1%84%D0%B8%D0%BB%D1%8C%D0%BC","искать")</f>
        <v/>
      </c>
      <c r="N1903" s="3" t="n"/>
      <c r="O1903" s="2" t="n"/>
      <c r="P1903" s="2" t="n"/>
    </row>
    <row r="1904">
      <c r="A1904" s="2" t="n">
        <v>1903</v>
      </c>
      <c r="B1904" s="2" t="inlineStr">
        <is>
          <t>не сюжет</t>
        </is>
      </c>
      <c r="C1904" s="2" t="n">
        <v>8205</v>
      </c>
      <c r="D1904" s="3" t="inlineStr">
        <is>
          <t>Приключения Лазаре</t>
        </is>
      </c>
      <c r="E1904" s="2" t="n">
        <v>1973</v>
      </c>
      <c r="F1904" s="2" t="inlineStr">
        <is>
          <t>телефильм</t>
        </is>
      </c>
      <c r="G1904" s="2" t="n"/>
      <c r="H1904" s="2" t="n">
        <v>79</v>
      </c>
      <c r="I1904" s="2" t="inlineStr"/>
      <c r="J1904" s="2" t="inlineStr">
        <is>
          <t>да</t>
        </is>
      </c>
      <c r="K1904" s="3" t="inlineStr">
        <is>
          <t>Фильм снят по мотивам "Жизни Лазарэ Тормосели" и произведений Георгия Леонидзе.</t>
        </is>
      </c>
      <c r="L1904" s="2" t="inlineStr">
        <is>
          <t>Кино_СССР сводный каталог.xlsx: список телефильмов</t>
        </is>
      </c>
      <c r="M1904" s="2">
        <f>HYPERLINK("https://ru.wikipedia.org/w/index.php?search=%D0%9F%D1%80%D0%B8%D0%BA%D0%BB%D1%8E%D1%87%D0%B5%D0%BD%D0%B8%D1%8F%20%D0%9B%D0%B0%D0%B7%D0%B0%D1%80%D0%B5%201973%20%D1%84%D0%B8%D0%BB%D1%8C%D0%BC","искать")</f>
        <v/>
      </c>
      <c r="N1904" s="3" t="n"/>
      <c r="O1904" s="2" t="n"/>
      <c r="P1904" s="2" t="n"/>
    </row>
    <row r="1905">
      <c r="A1905" s="2" t="n">
        <v>1904</v>
      </c>
      <c r="B1905" s="2" t="inlineStr">
        <is>
          <t>не сюжет</t>
        </is>
      </c>
      <c r="C1905" s="2" t="n">
        <v>8907</v>
      </c>
      <c r="D1905" s="3" t="inlineStr">
        <is>
          <t>Отец</t>
        </is>
      </c>
      <c r="E1905" s="2" t="n">
        <v>1990</v>
      </c>
      <c r="F1905" s="2" t="inlineStr">
        <is>
          <t>кинофильм</t>
        </is>
      </c>
      <c r="G1905" s="2" t="n"/>
      <c r="H1905" s="2" t="n">
        <v>79</v>
      </c>
      <c r="I1905" s="2" t="inlineStr"/>
      <c r="J1905" s="2" t="inlineStr">
        <is>
          <t>да</t>
        </is>
      </c>
      <c r="K1905" s="3" t="inlineStr">
        <is>
          <t>Фильм поставлен по мотивам произведения шведского писателя Августа Стриндберга.</t>
        </is>
      </c>
      <c r="L1905" s="2" t="inlineStr">
        <is>
          <t>Кино_СССР сводный каталог.xlsx: список фильмов (доп.)</t>
        </is>
      </c>
      <c r="M1905" s="2">
        <f>HYPERLINK("https://ru.wikipedia.org/w/index.php?search=%D0%9E%D1%82%D0%B5%D1%86%201990%20%D1%84%D0%B8%D0%BB%D1%8C%D0%BC","искать")</f>
        <v/>
      </c>
      <c r="N1905" s="3" t="n"/>
      <c r="O1905" s="2" t="n"/>
      <c r="P1905" s="2" t="n"/>
    </row>
    <row r="1906">
      <c r="A1906" s="2" t="n">
        <v>1905</v>
      </c>
      <c r="B1906" s="2" t="inlineStr">
        <is>
          <t>не сюжет</t>
        </is>
      </c>
      <c r="C1906" s="2" t="n">
        <v>9058</v>
      </c>
      <c r="D1906" s="3" t="inlineStr">
        <is>
          <t>Сокровище в могиле</t>
        </is>
      </c>
      <c r="E1906" s="2" t="n">
        <v>1985</v>
      </c>
      <c r="F1906" s="2" t="inlineStr">
        <is>
          <t>кинофильм</t>
        </is>
      </c>
      <c r="G1906" s="2" t="n"/>
      <c r="H1906" s="2" t="n">
        <v>79</v>
      </c>
      <c r="I1906" s="2" t="inlineStr"/>
      <c r="J1906" s="2" t="inlineStr">
        <is>
          <t>да</t>
        </is>
      </c>
      <c r="K1906" s="3" t="inlineStr">
        <is>
          <t>Фильм снят по остросюжетному произведению узбекского писателя Исраила Тухтаева.</t>
        </is>
      </c>
      <c r="L1906" s="2" t="inlineStr">
        <is>
          <t>Кино_СССР сводный каталог.xlsx: список фильмов (доп.)</t>
        </is>
      </c>
      <c r="M1906" s="2">
        <f>HYPERLINK("https://ru.wikipedia.org/w/index.php?search=%D0%A1%D0%BE%D0%BA%D1%80%D0%BE%D0%B2%D0%B8%D1%89%D0%B5%20%D0%B2%20%D0%BC%D0%BE%D0%B3%D0%B8%D0%BB%D0%B5%201985%20%D1%84%D0%B8%D0%BB%D1%8C%D0%BC","искать")</f>
        <v/>
      </c>
      <c r="N1906" s="3" t="n"/>
      <c r="O1906" s="2" t="n"/>
      <c r="P1906" s="2" t="n"/>
    </row>
    <row r="1907">
      <c r="A1907" s="2" t="n">
        <v>1906</v>
      </c>
      <c r="B1907" s="2" t="inlineStr">
        <is>
          <t>не сюжет</t>
        </is>
      </c>
      <c r="C1907" s="2" t="n">
        <v>10524</v>
      </c>
      <c r="D1907" s="3" t="inlineStr">
        <is>
          <t>Страница дневника</t>
        </is>
      </c>
      <c r="E1907" s="2" t="n">
        <v>1973</v>
      </c>
      <c r="F1907" s="2" t="inlineStr">
        <is>
          <t>фильм-спектакль</t>
        </is>
      </c>
      <c r="G1907" s="2" t="inlineStr">
        <is>
          <t>Укртелефильм</t>
        </is>
      </c>
      <c r="H1907" s="2" t="n">
        <v>79</v>
      </c>
      <c r="I1907" s="2" t="inlineStr"/>
      <c r="J1907" s="2" t="inlineStr">
        <is>
          <t>да</t>
        </is>
      </c>
      <c r="K1907" s="3" t="inlineStr">
        <is>
          <t>По одноименной пьесе А.Корнейчука в постановке Киевского театра имени И.Франко.</t>
        </is>
      </c>
      <c r="L1907" s="2" t="inlineStr">
        <is>
          <t>https://www.kino-teatr.ru/teatr/movie/86976/annot/</t>
        </is>
      </c>
      <c r="M1907" s="2">
        <f>HYPERLINK("https://ru.wikipedia.org/w/index.php?search=%D0%A1%D1%82%D1%80%D0%B0%D0%BD%D0%B8%D1%86%D0%B0%20%D0%B4%D0%BD%D0%B5%D0%B2%D0%BD%D0%B8%D0%BA%D0%B0%201973%20%D1%84%D0%B8%D0%BB%D1%8C%D0%BC","искать")</f>
        <v/>
      </c>
      <c r="N1907" s="3" t="n"/>
      <c r="O1907" s="2" t="n"/>
      <c r="P1907" s="2" t="n"/>
    </row>
    <row r="1908">
      <c r="A1908" s="2" t="n">
        <v>1907</v>
      </c>
      <c r="B1908" s="2" t="inlineStr">
        <is>
          <t>не сюжет</t>
        </is>
      </c>
      <c r="C1908" s="2" t="n">
        <v>10718</v>
      </c>
      <c r="D1908" s="3" t="inlineStr">
        <is>
          <t>Трубка коммунара</t>
        </is>
      </c>
      <c r="E1908" s="2" t="n">
        <v>1977</v>
      </c>
      <c r="F1908" s="2" t="inlineStr">
        <is>
          <t>фильм-спектакль</t>
        </is>
      </c>
      <c r="G1908" s="2" t="n"/>
      <c r="H1908" s="2" t="n">
        <v>79</v>
      </c>
      <c r="I1908" s="2" t="inlineStr"/>
      <c r="J1908" s="2" t="inlineStr">
        <is>
          <t>да</t>
        </is>
      </c>
      <c r="K1908" s="3" t="inlineStr">
        <is>
          <t>По произведениям Ильи Эренбурга.
Моноспектакль. Из цикла "Литературные чтения".</t>
        </is>
      </c>
      <c r="L1908" s="2" t="inlineStr">
        <is>
          <t>https://www.kino-teatr.ru/teatr/movie/82710/annot/</t>
        </is>
      </c>
      <c r="M1908" s="2">
        <f>HYPERLINK("https://ru.wikipedia.org/w/index.php?search=%D0%A2%D1%80%D1%83%D0%B1%D0%BA%D0%B0%20%D0%BA%D0%BE%D0%BC%D0%BC%D1%83%D0%BD%D0%B0%D1%80%D0%B0%201977%20%D1%84%D0%B8%D0%BB%D1%8C%D0%BC","искать")</f>
        <v/>
      </c>
      <c r="N1908" s="3" t="n"/>
      <c r="O1908" s="2" t="n"/>
      <c r="P1908" s="2" t="n"/>
    </row>
    <row r="1909">
      <c r="A1909" s="2" t="n">
        <v>1908</v>
      </c>
      <c r="B1909" s="2" t="inlineStr">
        <is>
          <t>не сюжет</t>
        </is>
      </c>
      <c r="C1909" s="2" t="n">
        <v>10962</v>
      </c>
      <c r="D1909" s="3" t="inlineStr">
        <is>
          <t>Ревизор</t>
        </is>
      </c>
      <c r="E1909" s="2" t="n">
        <v>1982</v>
      </c>
      <c r="F1909" s="2" t="inlineStr">
        <is>
          <t>фильм-спектакль</t>
        </is>
      </c>
      <c r="G1909" s="2" t="inlineStr">
        <is>
          <t>Главная редакция литературно-драматических программ Гостелерадио СССР</t>
        </is>
      </c>
      <c r="H1909" s="2" t="n">
        <v>79</v>
      </c>
      <c r="I1909" s="2" t="inlineStr"/>
      <c r="J1909" s="2" t="inlineStr">
        <is>
          <t>да</t>
        </is>
      </c>
      <c r="K1909" s="3" t="inlineStr">
        <is>
          <t>Телеверсия спектакля Московского театра Сатиры по одноименной пьесе Н.В.Гоголя.</t>
        </is>
      </c>
      <c r="L1909" s="2" t="inlineStr">
        <is>
          <t>https://www.kino-teatr.ru/teatr/movie/5983/annot/</t>
        </is>
      </c>
      <c r="M1909" s="2">
        <f>HYPERLINK("https://ru.wikipedia.org/w/index.php?search=%D0%A0%D0%B5%D0%B2%D0%B8%D0%B7%D0%BE%D1%80%201982%20%D1%84%D0%B8%D0%BB%D1%8C%D0%BC","искать")</f>
        <v/>
      </c>
      <c r="N1909" s="3" t="n"/>
      <c r="O1909" s="2" t="n"/>
      <c r="P1909" s="2" t="n"/>
    </row>
    <row r="1910">
      <c r="A1910" s="2" t="n">
        <v>1909</v>
      </c>
      <c r="B1910" s="2" t="inlineStr">
        <is>
          <t>не сюжет</t>
        </is>
      </c>
      <c r="C1910" s="2" t="n">
        <v>11720</v>
      </c>
      <c r="D1910" s="3" t="inlineStr">
        <is>
          <t>Шапка-невидимка</t>
        </is>
      </c>
      <c r="E1910" s="2" t="n">
        <v>1973</v>
      </c>
      <c r="F1910" s="2" t="inlineStr">
        <is>
          <t>мультфильм</t>
        </is>
      </c>
      <c r="G1910" s="2" t="inlineStr">
        <is>
          <t>Союзмультфильм</t>
        </is>
      </c>
      <c r="H1910" s="2" t="n">
        <v>79</v>
      </c>
      <c r="I1910" s="2" t="inlineStr"/>
      <c r="J1910" s="2" t="inlineStr">
        <is>
          <t>да</t>
        </is>
      </c>
      <c r="K1910" s="3" t="inlineStr">
        <is>
          <t>О ленивом мальчишке, который любит пользоваться плодами чужого труда. Для детей</t>
        </is>
      </c>
      <c r="L1910" s="2" t="inlineStr">
        <is>
          <t>https://animator.ru/db/?p=show_film&amp;fid=2634</t>
        </is>
      </c>
      <c r="M1910" s="2">
        <f>HYPERLINK("https://ru.wikipedia.org/w/index.php?search=%D0%A8%D0%B0%D0%BF%D0%BA%D0%B0-%D0%BD%D0%B5%D0%B2%D0%B8%D0%B4%D0%B8%D0%BC%D0%BA%D0%B0%201973%20%D1%84%D0%B8%D0%BB%D1%8C%D0%BC","искать")</f>
        <v/>
      </c>
      <c r="N1910" s="3" t="n"/>
      <c r="O1910" s="2" t="n"/>
      <c r="P1910" s="2" t="n"/>
    </row>
    <row r="1911">
      <c r="A1911" s="2" t="n">
        <v>1910</v>
      </c>
      <c r="B1911" s="2" t="inlineStr">
        <is>
          <t>не сюжет</t>
        </is>
      </c>
      <c r="C1911" s="2" t="n">
        <v>12041</v>
      </c>
      <c r="D1911" s="3" t="inlineStr">
        <is>
          <t>Жил у бабушки козел</t>
        </is>
      </c>
      <c r="E1911" s="2" t="n">
        <v>1983</v>
      </c>
      <c r="F1911" s="2" t="inlineStr">
        <is>
          <t>мультфильм</t>
        </is>
      </c>
      <c r="G1911" s="2" t="inlineStr">
        <is>
          <t>Союзмультфильм</t>
        </is>
      </c>
      <c r="H1911" s="2" t="n">
        <v>79</v>
      </c>
      <c r="I1911" s="2" t="inlineStr"/>
      <c r="J1911" s="2" t="inlineStr">
        <is>
          <t>да</t>
        </is>
      </c>
      <c r="K1911" s="3" t="inlineStr">
        <is>
          <t>Рисованный мультфильм по мотивам русской народной сказки в обработке Чуковского</t>
        </is>
      </c>
      <c r="L1911" s="2" t="inlineStr">
        <is>
          <t>2026-10_мультфильмы_список_владельца.xlsx; https://animator.ru/db/?p=show_film&amp;fid=3156</t>
        </is>
      </c>
      <c r="M1911" s="2">
        <f>HYPERLINK("https://ru.wikipedia.org/w/index.php?search=%D0%96%D0%B8%D0%BB%20%D1%83%20%D0%B1%D0%B0%D0%B1%D1%83%D1%88%D0%BA%D0%B8%20%D0%BA%D0%BE%D0%B7%D0%B5%D0%BB%201983%20%D1%84%D0%B8%D0%BB%D1%8C%D0%BC","искать")</f>
        <v/>
      </c>
      <c r="N1911" s="3" t="n"/>
      <c r="O1911" s="2" t="n"/>
      <c r="P1911" s="2" t="n"/>
    </row>
    <row r="1912">
      <c r="A1912" s="2" t="n">
        <v>1911</v>
      </c>
      <c r="B1912" s="2" t="inlineStr">
        <is>
          <t>не сюжет</t>
        </is>
      </c>
      <c r="C1912" s="2" t="n">
        <v>12302</v>
      </c>
      <c r="D1912" s="3" t="inlineStr">
        <is>
          <t>Маленькая колдунья</t>
        </is>
      </c>
      <c r="E1912" s="2" t="n">
        <v>1991</v>
      </c>
      <c r="F1912" s="2" t="inlineStr">
        <is>
          <t>мультфильм</t>
        </is>
      </c>
      <c r="G1912" s="2" t="inlineStr">
        <is>
          <t>Союзмультфильм</t>
        </is>
      </c>
      <c r="H1912" s="2" t="n">
        <v>79</v>
      </c>
      <c r="I1912" s="2" t="inlineStr"/>
      <c r="J1912" s="2" t="inlineStr">
        <is>
          <t>да</t>
        </is>
      </c>
      <c r="K1912" s="3" t="inlineStr">
        <is>
          <t>Маленькая колдунья растет белой вороной среди себеподобных - она слишком добрая</t>
        </is>
      </c>
      <c r="L1912" s="2" t="inlineStr">
        <is>
          <t>2026-10_мультфильмы_список_владельца.xlsx; https://animator.ru/db/?p=show_film&amp;fid=3419</t>
        </is>
      </c>
      <c r="M1912" s="2">
        <f>HYPERLINK("https://ru.wikipedia.org/w/index.php?search=%D0%9C%D0%B0%D0%BB%D0%B5%D0%BD%D1%8C%D0%BA%D0%B0%D1%8F%20%D0%BA%D0%BE%D0%BB%D0%B4%D1%83%D0%BD%D1%8C%D1%8F%201991%20%D1%84%D0%B8%D0%BB%D1%8C%D0%BC","искать")</f>
        <v/>
      </c>
      <c r="N1912" s="3" t="n"/>
      <c r="O1912" s="2" t="n"/>
      <c r="P1912" s="2" t="n"/>
    </row>
    <row r="1913">
      <c r="A1913" s="2" t="n">
        <v>1912</v>
      </c>
      <c r="B1913" s="2" t="inlineStr">
        <is>
          <t>не сюжет</t>
        </is>
      </c>
      <c r="C1913" s="2" t="n">
        <v>13265</v>
      </c>
      <c r="D1913" s="3" t="inlineStr">
        <is>
          <t>Тень и дорога</t>
        </is>
      </c>
      <c r="E1913" s="2" t="n">
        <v>1972</v>
      </c>
      <c r="F1913" s="2" t="inlineStr">
        <is>
          <t>мультфильм</t>
        </is>
      </c>
      <c r="G1913" s="2" t="inlineStr">
        <is>
          <t>ТАЛЛИННФИЛЬМ</t>
        </is>
      </c>
      <c r="H1913" s="2" t="n">
        <v>79</v>
      </c>
      <c r="I1913" s="2" t="inlineStr"/>
      <c r="J1913" s="2" t="inlineStr">
        <is>
          <t>да</t>
        </is>
      </c>
      <c r="K1913" s="3" t="inlineStr">
        <is>
          <t>Два сюжета: "Тень" и "Дорога" - маленькие притчи о жизненном пути. Для взрослых</t>
        </is>
      </c>
      <c r="L1913" s="2" t="inlineStr">
        <is>
          <t>https://animator.ru/db/?p=show_film&amp;fid=4520</t>
        </is>
      </c>
      <c r="M1913" s="2">
        <f>HYPERLINK("https://ru.wikipedia.org/w/index.php?search=%D0%A2%D0%B5%D0%BD%D1%8C%20%D0%B8%20%D0%B4%D0%BE%D1%80%D0%BE%D0%B3%D0%B0%201972%20%D1%84%D0%B8%D0%BB%D1%8C%D0%BC","искать")</f>
        <v/>
      </c>
      <c r="N1913" s="3" t="n"/>
      <c r="O1913" s="2" t="n"/>
      <c r="P1913" s="2" t="n"/>
    </row>
    <row r="1914">
      <c r="A1914" s="2" t="n">
        <v>1913</v>
      </c>
      <c r="B1914" s="2" t="inlineStr">
        <is>
          <t>не сюжет</t>
        </is>
      </c>
      <c r="C1914" s="2" t="n">
        <v>14226</v>
      </c>
      <c r="D1914" s="3" t="inlineStr">
        <is>
          <t>Приключения старого дворника</t>
        </is>
      </c>
      <c r="E1914" s="2" t="n">
        <v>1985</v>
      </c>
      <c r="F1914" s="2" t="inlineStr">
        <is>
          <t>мультфильм</t>
        </is>
      </c>
      <c r="G1914" s="2" t="inlineStr">
        <is>
          <t>РИЖСКАЯ КИНОСТУДИЯ</t>
        </is>
      </c>
      <c r="H1914" s="2" t="n">
        <v>79</v>
      </c>
      <c r="I1914" s="2" t="inlineStr"/>
      <c r="J1914" s="2" t="inlineStr">
        <is>
          <t>да</t>
        </is>
      </c>
      <c r="K1914" s="3" t="inlineStr">
        <is>
          <t>Гос. премия Латвийской ССР 1987 года за программу фильмов режиссеру А. Буровсу.</t>
        </is>
      </c>
      <c r="L1914" s="2" t="inlineStr">
        <is>
          <t>2026-10_мультфильмы_список_владельца.xlsx; https://animator.ru/db/?p=show_film&amp;fid=5648</t>
        </is>
      </c>
      <c r="M1914" s="2">
        <f>HYPERLINK("https://ru.wikipedia.org/w/index.php?search=%D0%9F%D1%80%D0%B8%D0%BA%D0%BB%D1%8E%D1%87%D0%B5%D0%BD%D0%B8%D1%8F%20%D1%81%D1%82%D0%B0%D1%80%D0%BE%D0%B3%D0%BE%20%D0%B4%D0%B2%D0%BE%D1%80%D0%BD%D0%B8%D0%BA%D0%B0%201985%20%D1%84%D0%B8%D0%BB%D1%8C%D0%BC","искать")</f>
        <v/>
      </c>
      <c r="N1914" s="3" t="n"/>
      <c r="O1914" s="2" t="n"/>
      <c r="P1914" s="2" t="n"/>
    </row>
    <row r="1915">
      <c r="A1915" s="2" t="n">
        <v>1914</v>
      </c>
      <c r="B1915" s="2" t="inlineStr">
        <is>
          <t>не сюжет</t>
        </is>
      </c>
      <c r="C1915" s="2" t="n">
        <v>14268</v>
      </c>
      <c r="D1915" s="3" t="inlineStr">
        <is>
          <t>Веселая карусель. Выпуск №21</t>
        </is>
      </c>
      <c r="E1915" s="2" t="n">
        <v>1990</v>
      </c>
      <c r="F1915" s="2" t="inlineStr">
        <is>
          <t>мультфильм</t>
        </is>
      </c>
      <c r="G1915" s="2" t="inlineStr">
        <is>
          <t>Союзмультфильм</t>
        </is>
      </c>
      <c r="H1915" s="2" t="n">
        <v>79</v>
      </c>
      <c r="I1915" s="2" t="inlineStr"/>
      <c r="J1915" s="2" t="inlineStr">
        <is>
          <t>да</t>
        </is>
      </c>
      <c r="K1915" s="3" t="inlineStr">
        <is>
          <t>21-ая серия альманаха «ВЕСЕЛАЯ КАРУСЕЛЬ»
сюжеты: «ОДНАЖДЫ», «СТИХИ С БЕГЕМОТОМ»</t>
        </is>
      </c>
      <c r="L1915" s="2" t="inlineStr">
        <is>
          <t>https://animator.ru/db/?p=show_film&amp;fid=5727</t>
        </is>
      </c>
      <c r="M1915" s="2">
        <f>HYPERLINK("https://ru.wikipedia.org/w/index.php?search=%D0%92%D0%B5%D1%81%D0%B5%D0%BB%D0%B0%D1%8F%20%D0%BA%D0%B0%D1%80%D1%83%D1%81%D0%B5%D0%BB%D1%8C.%20%D0%92%D1%8B%D0%BF%D1%83%D1%81%D0%BA%20%E2%84%9621%201990%20%D1%84%D0%B8%D0%BB%D1%8C%D0%BC","искать")</f>
        <v/>
      </c>
      <c r="N1915" s="3" t="n"/>
      <c r="O1915" s="2" t="n"/>
      <c r="P1915" s="2" t="n"/>
    </row>
    <row r="1916">
      <c r="A1916" s="2" t="n">
        <v>1915</v>
      </c>
      <c r="B1916" s="2" t="inlineStr">
        <is>
          <t>не сюжет</t>
        </is>
      </c>
      <c r="C1916" s="2" t="n">
        <v>8523</v>
      </c>
      <c r="D1916" s="3" t="inlineStr">
        <is>
          <t>Хозяин воды</t>
        </is>
      </c>
      <c r="E1916" s="2" t="n">
        <v>1982</v>
      </c>
      <c r="F1916" s="2" t="inlineStr">
        <is>
          <t>телефильм</t>
        </is>
      </c>
      <c r="G1916" s="2" t="n"/>
      <c r="H1916" s="2" t="n">
        <v>80</v>
      </c>
      <c r="I1916" s="2" t="inlineStr"/>
      <c r="J1916" s="2" t="inlineStr">
        <is>
          <t>да</t>
        </is>
      </c>
      <c r="K1916" s="3" t="inlineStr">
        <is>
          <t>О том, как борьба с засухой сплотила людей и выявила лучшие черты их характеров.</t>
        </is>
      </c>
      <c r="L1916" s="2" t="inlineStr">
        <is>
          <t>Кино_СССР сводный каталог.xlsx: список телефильмов</t>
        </is>
      </c>
      <c r="M1916" s="2">
        <f>HYPERLINK("https://ru.wikipedia.org/w/index.php?search=%D0%A5%D0%BE%D0%B7%D1%8F%D0%B8%D0%BD%20%D0%B2%D0%BE%D0%B4%D1%8B%201982%20%D1%84%D0%B8%D0%BB%D1%8C%D0%BC","искать")</f>
        <v/>
      </c>
      <c r="N1916" s="3" t="n"/>
      <c r="O1916" s="2" t="n"/>
      <c r="P1916" s="2" t="n"/>
    </row>
    <row r="1917">
      <c r="A1917" s="2" t="n">
        <v>1916</v>
      </c>
      <c r="B1917" s="2" t="inlineStr">
        <is>
          <t>не сюжет</t>
        </is>
      </c>
      <c r="C1917" s="2" t="n">
        <v>8642</v>
      </c>
      <c r="D1917" s="3" t="inlineStr">
        <is>
          <t>В поисках выхода (киноальманах)</t>
        </is>
      </c>
      <c r="E1917" s="2" t="n">
        <v>1985</v>
      </c>
      <c r="F1917" s="2" t="inlineStr">
        <is>
          <t>кинофильм</t>
        </is>
      </c>
      <c r="G1917" s="2" t="n"/>
      <c r="H1917" s="2" t="n">
        <v>80</v>
      </c>
      <c r="I1917" s="2" t="inlineStr"/>
      <c r="J1917" s="2" t="inlineStr">
        <is>
          <t>да</t>
        </is>
      </c>
      <c r="K1917" s="3" t="inlineStr">
        <is>
          <t>Новеллы «В поисках выхода», "Реквием по филею" ("Незаменимый"), "Родимое пятно".</t>
        </is>
      </c>
      <c r="L1917" s="2" t="inlineStr">
        <is>
          <t>Кино_СССР сводный каталог.xlsx: список фильмов (доп.)</t>
        </is>
      </c>
      <c r="M1917" s="2">
        <f>HYPERLINK("https://ru.wikipedia.org/w/index.php?search=%D0%92%20%D0%BF%D0%BE%D0%B8%D1%81%D0%BA%D0%B0%D1%85%20%D0%B2%D1%8B%D1%85%D0%BE%D0%B4%D0%B0%20%28%D0%BA%D0%B8%D0%BD%D0%BE%D0%B0%D0%BB%D1%8C%D0%BC%D0%B0%D0%BD%D0%B0%D1%85%29%201985%20%D1%84%D0%B8%D0%BB%D1%8C%D0%BC","искать")</f>
        <v/>
      </c>
      <c r="N1917" s="3" t="n"/>
      <c r="O1917" s="2" t="n"/>
      <c r="P1917" s="2" t="n"/>
    </row>
    <row r="1918">
      <c r="A1918" s="2" t="n">
        <v>1917</v>
      </c>
      <c r="B1918" s="2" t="inlineStr">
        <is>
          <t>не сюжет</t>
        </is>
      </c>
      <c r="C1918" s="2" t="n">
        <v>8979</v>
      </c>
      <c r="D1918" s="3" t="inlineStr">
        <is>
          <t>Приморский климат</t>
        </is>
      </c>
      <c r="E1918" s="2" t="n">
        <v>1974</v>
      </c>
      <c r="F1918" s="2" t="inlineStr">
        <is>
          <t>кинофильм</t>
        </is>
      </c>
      <c r="G1918" s="2" t="n"/>
      <c r="H1918" s="2" t="n">
        <v>80</v>
      </c>
      <c r="I1918" s="2" t="inlineStr"/>
      <c r="J1918" s="2" t="inlineStr">
        <is>
          <t>да</t>
        </is>
      </c>
      <c r="K1918" s="3" t="inlineStr">
        <is>
          <t>О том как отдыхают три друга, работники газовой конторы - Эрик, Харийс и Гунтис.</t>
        </is>
      </c>
      <c r="L1918" s="2" t="inlineStr">
        <is>
          <t>Кино_СССР сводный каталог.xlsx: список фильмов (доп.)</t>
        </is>
      </c>
      <c r="M1918" s="2">
        <f>HYPERLINK("https://ru.wikipedia.org/w/index.php?search=%D0%9F%D1%80%D0%B8%D0%BC%D0%BE%D1%80%D1%81%D0%BA%D0%B8%D0%B9%20%D0%BA%D0%BB%D0%B8%D0%BC%D0%B0%D1%82%201974%20%D1%84%D0%B8%D0%BB%D1%8C%D0%BC","искать")</f>
        <v/>
      </c>
      <c r="N1918" s="3" t="n"/>
      <c r="O1918" s="2" t="n"/>
      <c r="P1918" s="2" t="n"/>
    </row>
    <row r="1919">
      <c r="A1919" s="2" t="n">
        <v>1918</v>
      </c>
      <c r="B1919" s="2" t="inlineStr">
        <is>
          <t>не сюжет</t>
        </is>
      </c>
      <c r="C1919" s="2" t="n">
        <v>10221</v>
      </c>
      <c r="D1919" s="3" t="inlineStr">
        <is>
          <t>Смерть Пушкина</t>
        </is>
      </c>
      <c r="E1919" s="2" t="n">
        <v>1967</v>
      </c>
      <c r="F1919" s="2" t="inlineStr">
        <is>
          <t>фильм-спектакль</t>
        </is>
      </c>
      <c r="G1919" s="2" t="inlineStr">
        <is>
          <t>Центральное ТВ</t>
        </is>
      </c>
      <c r="H1919" s="2" t="n">
        <v>80</v>
      </c>
      <c r="I1919" s="2" t="inlineStr"/>
      <c r="J1919" s="2" t="inlineStr">
        <is>
          <t>да</t>
        </is>
      </c>
      <c r="K1919" s="3" t="inlineStr">
        <is>
          <t>Телекомпозиция по документам, письмам и воспоминаниям современников А.С.Пушкина.</t>
        </is>
      </c>
      <c r="L1919" s="2" t="inlineStr">
        <is>
          <t>https://www.kino-teatr.ru/teatr/movie/92829/annot/</t>
        </is>
      </c>
      <c r="M1919" s="2">
        <f>HYPERLINK("https://ru.wikipedia.org/w/index.php?search=%D0%A1%D0%BC%D0%B5%D1%80%D1%82%D1%8C%20%D0%9F%D1%83%D1%88%D0%BA%D0%B8%D0%BD%D0%B0%201967%20%D1%84%D0%B8%D0%BB%D1%8C%D0%BC","искать")</f>
        <v/>
      </c>
      <c r="N1919" s="3" t="n"/>
      <c r="O1919" s="2" t="n"/>
      <c r="P1919" s="2" t="n"/>
    </row>
    <row r="1920">
      <c r="A1920" s="2" t="n">
        <v>1919</v>
      </c>
      <c r="B1920" s="2" t="inlineStr">
        <is>
          <t>не сюжет</t>
        </is>
      </c>
      <c r="C1920" s="2" t="n">
        <v>10268</v>
      </c>
      <c r="D1920" s="3" t="inlineStr">
        <is>
          <t>Последние дни</t>
        </is>
      </c>
      <c r="E1920" s="2" t="n">
        <v>1968</v>
      </c>
      <c r="F1920" s="2" t="inlineStr">
        <is>
          <t>фильм-спектакль</t>
        </is>
      </c>
      <c r="G1920" s="2" t="inlineStr">
        <is>
          <t>Ленинградское ТВ</t>
        </is>
      </c>
      <c r="H1920" s="2" t="n">
        <v>80</v>
      </c>
      <c r="I1920" s="2" t="inlineStr"/>
      <c r="J1920" s="2" t="inlineStr">
        <is>
          <t>да</t>
        </is>
      </c>
      <c r="K1920" s="3" t="inlineStr">
        <is>
          <t>По пьесе Михаила Булгакова о последних днях жизни Александра Сергеевича Пушкина.</t>
        </is>
      </c>
      <c r="L1920" s="2" t="inlineStr">
        <is>
          <t>https://www.kino-teatr.ru/teatr/movie/92891/annot/</t>
        </is>
      </c>
      <c r="M1920" s="2">
        <f>HYPERLINK("https://ru.wikipedia.org/w/index.php?search=%D0%9F%D0%BE%D1%81%D0%BB%D0%B5%D0%B4%D0%BD%D0%B8%D0%B5%20%D0%B4%D0%BD%D0%B8%201968%20%D1%84%D0%B8%D0%BB%D1%8C%D0%BC","искать")</f>
        <v/>
      </c>
      <c r="N1920" s="3" t="n"/>
      <c r="O1920" s="2" t="n"/>
      <c r="P1920" s="2" t="n"/>
    </row>
    <row r="1921">
      <c r="A1921" s="2" t="n">
        <v>1920</v>
      </c>
      <c r="B1921" s="2" t="inlineStr">
        <is>
          <t>не сюжет</t>
        </is>
      </c>
      <c r="C1921" s="2" t="n">
        <v>10548</v>
      </c>
      <c r="D1921" s="3" t="inlineStr">
        <is>
          <t>Веер леди Уиндермер</t>
        </is>
      </c>
      <c r="E1921" s="2" t="n">
        <v>1974</v>
      </c>
      <c r="F1921" s="2" t="inlineStr">
        <is>
          <t>фильм-спектакль</t>
        </is>
      </c>
      <c r="G1921" s="2" t="n"/>
      <c r="H1921" s="2" t="n">
        <v>80</v>
      </c>
      <c r="I1921" s="2" t="inlineStr"/>
      <c r="J1921" s="2" t="inlineStr">
        <is>
          <t>да</t>
        </is>
      </c>
      <c r="K1921" s="3" t="inlineStr">
        <is>
          <t>Поставлен по одноименной пьесе английского драматурга и писателя Оскара Уайльда.</t>
        </is>
      </c>
      <c r="L1921" s="2" t="inlineStr">
        <is>
          <t>https://www.kino-teatr.ru/teatr/movie/88991/annot/</t>
        </is>
      </c>
      <c r="M1921" s="2">
        <f>HYPERLINK("https://ru.wikipedia.org/w/index.php?search=%D0%92%D0%B5%D0%B5%D1%80%20%D0%BB%D0%B5%D0%B4%D0%B8%20%D0%A3%D0%B8%D0%BD%D0%B4%D0%B5%D1%80%D0%BC%D0%B5%D1%80%201974%20%D1%84%D0%B8%D0%BB%D1%8C%D0%BC","искать")</f>
        <v/>
      </c>
      <c r="N1921" s="3" t="n"/>
      <c r="O1921" s="2" t="n"/>
      <c r="P1921" s="2" t="n"/>
    </row>
    <row r="1922">
      <c r="A1922" s="2" t="n">
        <v>1921</v>
      </c>
      <c r="B1922" s="2" t="inlineStr">
        <is>
          <t>не сюжет</t>
        </is>
      </c>
      <c r="C1922" s="2" t="n">
        <v>11698</v>
      </c>
      <c r="D1922" s="3" t="inlineStr">
        <is>
          <t>Веселая карусель n 5. Небылицы в лицах</t>
        </is>
      </c>
      <c r="E1922" s="2" t="n">
        <v>1973</v>
      </c>
      <c r="F1922" s="2" t="inlineStr">
        <is>
          <t>мультфильм</t>
        </is>
      </c>
      <c r="G1922" s="2" t="inlineStr">
        <is>
          <t>Союзмультфильм</t>
        </is>
      </c>
      <c r="H1922" s="2" t="n">
        <v>80</v>
      </c>
      <c r="I1922" s="2" t="inlineStr"/>
      <c r="J1922" s="2" t="inlineStr">
        <is>
          <t>да</t>
        </is>
      </c>
      <c r="K1922" s="3" t="inlineStr">
        <is>
          <t>Сюжет из альманаха «ВЕСЕЛАЯ КАРУСЕЛЬ N 5»
По мотивам русских прибауток и потешек</t>
        </is>
      </c>
      <c r="L1922" s="2" t="inlineStr">
        <is>
          <t>https://animator.ru/db/?p=show_film&amp;fid=2612</t>
        </is>
      </c>
      <c r="M1922" s="2">
        <f>HYPERLINK("https://ru.wikipedia.org/w/index.php?search=%D0%92%D0%B5%D1%81%D0%B5%D0%BB%D0%B0%D1%8F%20%D0%BA%D0%B0%D1%80%D1%83%D1%81%D0%B5%D0%BB%D1%8C%20n%205.%20%D0%9D%D0%B5%D0%B1%D1%8B%D0%BB%D0%B8%D1%86%D1%8B%20%D0%B2%20%D0%BB%D0%B8%D1%86%D0%B0%D1%85%201973%20%D1%84%D0%B8%D0%BB%D1%8C%D0%BC","искать")</f>
        <v/>
      </c>
      <c r="N1922" s="3" t="n"/>
      <c r="O1922" s="2" t="n"/>
      <c r="P1922" s="2" t="n"/>
    </row>
    <row r="1923">
      <c r="A1923" s="2" t="n">
        <v>1922</v>
      </c>
      <c r="B1923" s="2" t="inlineStr">
        <is>
          <t>не сюжет</t>
        </is>
      </c>
      <c r="C1923" s="2" t="n">
        <v>11709</v>
      </c>
      <c r="D1923" s="3" t="inlineStr">
        <is>
          <t>Новые большие неприятности</t>
        </is>
      </c>
      <c r="E1923" s="2" t="n">
        <v>1973</v>
      </c>
      <c r="F1923" s="2" t="inlineStr">
        <is>
          <t>мультфильм</t>
        </is>
      </c>
      <c r="G1923" s="2" t="inlineStr">
        <is>
          <t>Союзмультфильм</t>
        </is>
      </c>
      <c r="H1923" s="2" t="n">
        <v>80</v>
      </c>
      <c r="I1923" s="2" t="inlineStr"/>
      <c r="J1923" s="2" t="inlineStr">
        <is>
          <t>да</t>
        </is>
      </c>
      <c r="K1923" s="3" t="inlineStr">
        <is>
          <t>Продолжение истории о больших неприятностях взрослых глазами детей. Для взрослых</t>
        </is>
      </c>
      <c r="L1923" s="2" t="inlineStr">
        <is>
          <t>https://animator.ru/db/?p=show_film&amp;fid=2623</t>
        </is>
      </c>
      <c r="M1923" s="2">
        <f>HYPERLINK("https://ru.wikipedia.org/w/index.php?search=%D0%9D%D0%BE%D0%B2%D1%8B%D0%B5%20%D0%B1%D0%BE%D0%BB%D1%8C%D1%88%D0%B8%D0%B5%20%D0%BD%D0%B5%D0%BF%D1%80%D0%B8%D1%8F%D1%82%D0%BD%D0%BE%D1%81%D1%82%D0%B8%201973%20%D1%84%D0%B8%D0%BB%D1%8C%D0%BC","искать")</f>
        <v/>
      </c>
      <c r="N1923" s="3" t="n"/>
      <c r="O1923" s="2" t="n"/>
      <c r="P1923" s="2" t="n"/>
    </row>
    <row r="1924">
      <c r="A1924" s="2" t="n">
        <v>1923</v>
      </c>
      <c r="B1924" s="2" t="inlineStr">
        <is>
          <t>не сюжет</t>
        </is>
      </c>
      <c r="C1924" s="2" t="n">
        <v>11800</v>
      </c>
      <c r="D1924" s="3" t="inlineStr">
        <is>
          <t>Как дед великое равновесие нарушил</t>
        </is>
      </c>
      <c r="E1924" s="2" t="n">
        <v>1976</v>
      </c>
      <c r="F1924" s="2" t="inlineStr">
        <is>
          <t>мультфильм</t>
        </is>
      </c>
      <c r="G1924" s="2" t="inlineStr">
        <is>
          <t>Союзмультфильм</t>
        </is>
      </c>
      <c r="H1924" s="2" t="n">
        <v>80</v>
      </c>
      <c r="I1924" s="2" t="inlineStr"/>
      <c r="J1924" s="2" t="inlineStr">
        <is>
          <t>да</t>
        </is>
      </c>
      <c r="K1924" s="3" t="inlineStr">
        <is>
          <t>По мотивам познавательной сказки В.Бианки "Сова" - о единстве природы. Для детей</t>
        </is>
      </c>
      <c r="L1924" s="2" t="inlineStr">
        <is>
          <t>https://animator.ru/db/?p=show_film&amp;fid=2714</t>
        </is>
      </c>
      <c r="M1924" s="2">
        <f>HYPERLINK("https://ru.wikipedia.org/w/index.php?search=%D0%9A%D0%B0%D0%BA%20%D0%B4%D0%B5%D0%B4%20%D0%B2%D0%B5%D0%BB%D0%B8%D0%BA%D0%BE%D0%B5%20%D1%80%D0%B0%D0%B2%D0%BD%D0%BE%D0%B2%D0%B5%D1%81%D0%B8%D0%B5%20%D0%BD%D0%B0%D1%80%D1%83%D1%88%D0%B8%D0%BB%201976%20%D1%84%D0%B8%D0%BB%D1%8C%D0%BC","искать")</f>
        <v/>
      </c>
      <c r="N1924" s="3" t="n"/>
      <c r="O1924" s="2" t="n"/>
      <c r="P1924" s="2" t="n"/>
    </row>
    <row r="1925">
      <c r="A1925" s="2" t="n">
        <v>1924</v>
      </c>
      <c r="B1925" s="2" t="inlineStr">
        <is>
          <t>не сюжет</t>
        </is>
      </c>
      <c r="C1925" s="2" t="n">
        <v>12191</v>
      </c>
      <c r="D1925" s="3" t="inlineStr">
        <is>
          <t>Прогулка</t>
        </is>
      </c>
      <c r="E1925" s="2" t="n">
        <v>1986</v>
      </c>
      <c r="F1925" s="2" t="inlineStr">
        <is>
          <t>мультфильм</t>
        </is>
      </c>
      <c r="G1925" s="2" t="inlineStr">
        <is>
          <t>Союзмультфильм</t>
        </is>
      </c>
      <c r="H1925" s="2" t="n">
        <v>80</v>
      </c>
      <c r="I1925" s="2" t="inlineStr"/>
      <c r="J1925" s="2" t="inlineStr">
        <is>
          <t>да</t>
        </is>
      </c>
      <c r="K1925" s="3" t="inlineStr">
        <is>
          <t>Кинопутешествие, сопровождающееся музыкой Прокофьева (сборник "Детская музыка").</t>
        </is>
      </c>
      <c r="L1925" s="2" t="inlineStr">
        <is>
          <t>2026-10_мультфильмы_список_владельца.xlsx; https://animator.ru/db/?p=show_film&amp;fid=3308</t>
        </is>
      </c>
      <c r="M1925" s="2">
        <f>HYPERLINK("https://ru.wikipedia.org/w/index.php?search=%D0%9F%D1%80%D0%BE%D0%B3%D1%83%D0%BB%D0%BA%D0%B0%201986%20%D1%84%D0%B8%D0%BB%D1%8C%D0%BC","искать")</f>
        <v/>
      </c>
      <c r="N1925" s="3" t="n"/>
      <c r="O1925" s="2" t="n"/>
      <c r="P1925" s="2" t="n"/>
    </row>
    <row r="1926">
      <c r="A1926" s="2" t="n">
        <v>1925</v>
      </c>
      <c r="B1926" s="2" t="inlineStr">
        <is>
          <t>не сюжет</t>
        </is>
      </c>
      <c r="C1926" s="2" t="n">
        <v>12204</v>
      </c>
      <c r="D1926" s="3" t="inlineStr">
        <is>
          <t>Дерево родины</t>
        </is>
      </c>
      <c r="E1926" s="2" t="n">
        <v>1987</v>
      </c>
      <c r="F1926" s="2" t="inlineStr">
        <is>
          <t>мультфильм</t>
        </is>
      </c>
      <c r="G1926" s="2" t="inlineStr">
        <is>
          <t>Союзмультфильм</t>
        </is>
      </c>
      <c r="H1926" s="2" t="n">
        <v>80</v>
      </c>
      <c r="I1926" s="2" t="inlineStr"/>
      <c r="J1926" s="2" t="inlineStr">
        <is>
          <t>да</t>
        </is>
      </c>
      <c r="K1926" s="3" t="inlineStr">
        <is>
          <t>Философская аллегория. Для взрослых. Выполнен в технологии "порошковой" анимации</t>
        </is>
      </c>
      <c r="L1926" s="2" t="inlineStr">
        <is>
          <t>https://animator.ru/db/?p=show_film&amp;fid=3321</t>
        </is>
      </c>
      <c r="M1926" s="2">
        <f>HYPERLINK("https://ru.wikipedia.org/w/index.php?search=%D0%94%D0%B5%D1%80%D0%B5%D0%B2%D0%BE%20%D1%80%D0%BE%D0%B4%D0%B8%D0%BD%D1%8B%201987%20%D1%84%D0%B8%D0%BB%D1%8C%D0%BC","искать")</f>
        <v/>
      </c>
      <c r="N1926" s="3" t="n"/>
      <c r="O1926" s="2" t="n"/>
      <c r="P1926" s="2" t="n"/>
    </row>
    <row r="1927">
      <c r="A1927" s="2" t="n">
        <v>1926</v>
      </c>
      <c r="B1927" s="2" t="inlineStr">
        <is>
          <t>не сюжет</t>
        </is>
      </c>
      <c r="C1927" s="2" t="n">
        <v>12351</v>
      </c>
      <c r="D1927" s="3" t="inlineStr">
        <is>
          <t>Дверь</t>
        </is>
      </c>
      <c r="E1927" s="2" t="n">
        <v>1976</v>
      </c>
      <c r="F1927" s="2" t="inlineStr">
        <is>
          <t>мультфильм</t>
        </is>
      </c>
      <c r="G1927" s="2" t="inlineStr">
        <is>
          <t>КИЕВНАУЧФИЛЬМ</t>
        </is>
      </c>
      <c r="H1927" s="2" t="n">
        <v>80</v>
      </c>
      <c r="I1927" s="2" t="inlineStr"/>
      <c r="J1927" s="2" t="inlineStr">
        <is>
          <t>да</t>
        </is>
      </c>
      <c r="K1927" s="3" t="inlineStr">
        <is>
          <t>Хор и солисты украинского радио. Выпуск состоит из четырех сюжетов. Для взрослых</t>
        </is>
      </c>
      <c r="L1927" s="2" t="inlineStr">
        <is>
          <t>https://animator.ru/db/?p=show_film&amp;fid=3518</t>
        </is>
      </c>
      <c r="M1927" s="2">
        <f>HYPERLINK("https://ru.wikipedia.org/w/index.php?search=%D0%94%D0%B2%D0%B5%D1%80%D1%8C%201976%20%D1%84%D0%B8%D0%BB%D1%8C%D0%BC","искать")</f>
        <v/>
      </c>
      <c r="N1927" s="3" t="n"/>
      <c r="O1927" s="2" t="n"/>
      <c r="P1927" s="2" t="n"/>
    </row>
    <row r="1928">
      <c r="A1928" s="2" t="n">
        <v>1927</v>
      </c>
      <c r="B1928" s="2" t="inlineStr">
        <is>
          <t>не сюжет</t>
        </is>
      </c>
      <c r="C1928" s="2" t="n">
        <v>12580</v>
      </c>
      <c r="D1928" s="3" t="inlineStr">
        <is>
          <t>Твой любящий друг</t>
        </is>
      </c>
      <c r="E1928" s="2" t="n">
        <v>1984</v>
      </c>
      <c r="F1928" s="2" t="inlineStr">
        <is>
          <t>мультфильм</t>
        </is>
      </c>
      <c r="G1928" s="2" t="inlineStr">
        <is>
          <t>КИЕВНАУЧФИЛЬМ</t>
        </is>
      </c>
      <c r="H1928" s="2" t="n">
        <v>80</v>
      </c>
      <c r="I1928" s="2" t="inlineStr"/>
      <c r="J1928" s="2" t="inlineStr">
        <is>
          <t>да</t>
        </is>
      </c>
      <c r="K1928" s="3" t="inlineStr">
        <is>
          <t>По письмам Льюиса Кэролла к детям и по его же рисункам. Использована музыка Баха</t>
        </is>
      </c>
      <c r="L1928" s="2" t="inlineStr">
        <is>
          <t>https://animator.ru/db/?p=show_film&amp;fid=3760</t>
        </is>
      </c>
      <c r="M1928" s="2">
        <f>HYPERLINK("https://ru.wikipedia.org/w/index.php?search=%D0%A2%D0%B2%D0%BE%D0%B9%20%D0%BB%D1%8E%D0%B1%D1%8F%D1%89%D0%B8%D0%B9%20%D0%B4%D1%80%D1%83%D0%B3%201984%20%D1%84%D0%B8%D0%BB%D1%8C%D0%BC","искать")</f>
        <v/>
      </c>
      <c r="N1928" s="3" t="n"/>
      <c r="O1928" s="2" t="n"/>
      <c r="P1928" s="2" t="n"/>
    </row>
    <row r="1929">
      <c r="A1929" s="2" t="n">
        <v>1928</v>
      </c>
      <c r="B1929" s="2" t="inlineStr">
        <is>
          <t>не сюжет</t>
        </is>
      </c>
      <c r="C1929" s="2" t="n">
        <v>13362</v>
      </c>
      <c r="D1929" s="3" t="inlineStr">
        <is>
          <t>КАЛЕЙДОСКОП-71 (вып.1). ЛЕВ И ДВА БЫКА</t>
        </is>
      </c>
      <c r="E1929" s="2" t="n">
        <v>1971</v>
      </c>
      <c r="F1929" s="2" t="inlineStr">
        <is>
          <t>мультфильм</t>
        </is>
      </c>
      <c r="G1929" s="2" t="inlineStr">
        <is>
          <t>Союзмультфильм, АЗЕРБАЙДЖАНФИЛЬМ</t>
        </is>
      </c>
      <c r="H1929" s="2" t="n">
        <v>80</v>
      </c>
      <c r="I1929" s="2" t="inlineStr"/>
      <c r="J1929" s="2" t="inlineStr">
        <is>
          <t>да</t>
        </is>
      </c>
      <c r="K1929" s="3" t="inlineStr">
        <is>
          <t>Два остальных сюжета, "Крик моды" и "По грибы"(см). Общий метрад выацска 1 часть</t>
        </is>
      </c>
      <c r="L1929" s="2" t="inlineStr">
        <is>
          <t>https://animator.ru/db/?p=show_film&amp;fid=4640</t>
        </is>
      </c>
      <c r="M1929" s="2">
        <f>HYPERLINK("https://ru.wikipedia.org/w/index.php?search=%D0%9A%D0%90%D0%9B%D0%95%D0%99%D0%94%D0%9E%D0%A1%D0%9A%D0%9E%D0%9F-71%20%28%D0%B2%D1%8B%D0%BF.1%29.%20%D0%9B%D0%95%D0%92%20%D0%98%20%D0%94%D0%92%D0%90%20%D0%91%D0%AB%D0%9A%D0%90%201971%20%D1%84%D0%B8%D0%BB%D1%8C%D0%BC","искать")</f>
        <v/>
      </c>
      <c r="N1929" s="3" t="n"/>
      <c r="O1929" s="2" t="n"/>
      <c r="P1929" s="2" t="n"/>
    </row>
    <row r="1930">
      <c r="A1930" s="2" t="n">
        <v>1929</v>
      </c>
      <c r="B1930" s="2" t="inlineStr">
        <is>
          <t>не сюжет</t>
        </is>
      </c>
      <c r="C1930" s="2" t="n">
        <v>13753</v>
      </c>
      <c r="D1930" s="3" t="inlineStr">
        <is>
          <t>Любитель старины</t>
        </is>
      </c>
      <c r="E1930" s="2" t="n">
        <v>1988</v>
      </c>
      <c r="F1930" s="2" t="inlineStr">
        <is>
          <t>мультфильм</t>
        </is>
      </c>
      <c r="G1930" s="2" t="inlineStr">
        <is>
          <t>ЭКРАН</t>
        </is>
      </c>
      <c r="H1930" s="2" t="n">
        <v>80</v>
      </c>
      <c r="I1930" s="2" t="inlineStr"/>
      <c r="J1930" s="2" t="inlineStr">
        <is>
          <t>да</t>
        </is>
      </c>
      <c r="K1930" s="3" t="inlineStr">
        <is>
          <t>Фильм-предостережение: будущая война может уничтожить человечество. Для взрослых</t>
        </is>
      </c>
      <c r="L1930" s="2" t="inlineStr">
        <is>
          <t>https://animator.ru/db/?p=show_film&amp;fid=5146</t>
        </is>
      </c>
      <c r="M1930" s="2">
        <f>HYPERLINK("https://ru.wikipedia.org/w/index.php?search=%D0%9B%D1%8E%D0%B1%D0%B8%D1%82%D0%B5%D0%BB%D1%8C%20%D1%81%D1%82%D0%B0%D1%80%D0%B8%D0%BD%D1%8B%201988%20%D1%84%D0%B8%D0%BB%D1%8C%D0%BC","искать")</f>
        <v/>
      </c>
      <c r="N1930" s="3" t="n"/>
      <c r="O1930" s="2" t="n"/>
      <c r="P1930" s="2" t="n"/>
    </row>
    <row r="1931">
      <c r="A1931" s="2" t="n">
        <v>1930</v>
      </c>
      <c r="B1931" s="2" t="inlineStr">
        <is>
          <t>не сюжет</t>
        </is>
      </c>
      <c r="C1931" s="2" t="n">
        <v>14261</v>
      </c>
      <c r="D1931" s="3" t="inlineStr">
        <is>
          <t>Веселая карусель. Выпуск №20</t>
        </is>
      </c>
      <c r="E1931" s="2" t="n">
        <v>1990</v>
      </c>
      <c r="F1931" s="2" t="inlineStr">
        <is>
          <t>мультфильм</t>
        </is>
      </c>
      <c r="G1931" s="2" t="inlineStr">
        <is>
          <t>Союзмультфильм</t>
        </is>
      </c>
      <c r="H1931" s="2" t="n">
        <v>80</v>
      </c>
      <c r="I1931" s="2" t="inlineStr"/>
      <c r="J1931" s="2" t="inlineStr">
        <is>
          <t>да</t>
        </is>
      </c>
      <c r="K1931" s="3" t="inlineStr">
        <is>
          <t>20-ая серия альманаха «ВЕСЕЛАЯ КАРУСЕЛЬ»
сюжеты: «ДВЕ РУКИ», «БАРАШЕК», «СТЕКЛО»</t>
        </is>
      </c>
      <c r="L1931" s="2" t="inlineStr">
        <is>
          <t>https://animator.ru/db/?p=show_film&amp;fid=5699</t>
        </is>
      </c>
      <c r="M1931" s="2">
        <f>HYPERLINK("https://ru.wikipedia.org/w/index.php?search=%D0%92%D0%B5%D1%81%D0%B5%D0%BB%D0%B0%D1%8F%20%D0%BA%D0%B0%D1%80%D1%83%D1%81%D0%B5%D0%BB%D1%8C.%20%D0%92%D1%8B%D0%BF%D1%83%D1%81%D0%BA%20%E2%84%9620%201990%20%D1%84%D0%B8%D0%BB%D1%8C%D0%BC","искать")</f>
        <v/>
      </c>
      <c r="N1931" s="3" t="n"/>
      <c r="O1931" s="2" t="n"/>
      <c r="P1931" s="2" t="n"/>
    </row>
    <row r="1932">
      <c r="A1932" s="2" t="n">
        <v>1931</v>
      </c>
      <c r="B1932" s="2" t="inlineStr">
        <is>
          <t>не сюжет</t>
        </is>
      </c>
      <c r="C1932" s="2" t="n">
        <v>8707</v>
      </c>
      <c r="D1932" s="3" t="inlineStr">
        <is>
          <t>Дом</t>
        </is>
      </c>
      <c r="E1932" s="2" t="n">
        <v>1991</v>
      </c>
      <c r="F1932" s="2" t="inlineStr">
        <is>
          <t>кинофильм</t>
        </is>
      </c>
      <c r="G1932" s="2" t="n"/>
      <c r="H1932" s="2" t="n">
        <v>81</v>
      </c>
      <c r="I1932" s="2" t="inlineStr"/>
      <c r="J1932" s="2" t="inlineStr">
        <is>
          <t>да</t>
        </is>
      </c>
      <c r="K1932" s="3" t="inlineStr">
        <is>
          <t>История молодой девушки, живущей в атмосфере смуты и апатии перестроечных времен.</t>
        </is>
      </c>
      <c r="L1932" s="2" t="inlineStr">
        <is>
          <t>Кино_СССР сводный каталог.xlsx: список фильмов (доп.)</t>
        </is>
      </c>
      <c r="M1932" s="2">
        <f>HYPERLINK("https://ru.wikipedia.org/w/index.php?search=%D0%94%D0%BE%D0%BC%201991%20%D1%84%D0%B8%D0%BB%D1%8C%D0%BC","искать")</f>
        <v/>
      </c>
      <c r="N1932" s="3" t="n"/>
      <c r="O1932" s="2" t="n"/>
      <c r="P1932" s="2" t="n"/>
    </row>
    <row r="1933">
      <c r="A1933" s="2" t="n">
        <v>1932</v>
      </c>
      <c r="B1933" s="2" t="inlineStr">
        <is>
          <t>не сюжет</t>
        </is>
      </c>
      <c r="C1933" s="2" t="n">
        <v>8961</v>
      </c>
      <c r="D1933" s="3" t="inlineStr">
        <is>
          <t>Последний день матриархата</t>
        </is>
      </c>
      <c r="E1933" s="2" t="n">
        <v>1987</v>
      </c>
      <c r="F1933" s="2" t="inlineStr">
        <is>
          <t>кинофильм</t>
        </is>
      </c>
      <c r="G1933" s="2" t="n"/>
      <c r="H1933" s="2" t="n">
        <v>81</v>
      </c>
      <c r="I1933" s="2" t="inlineStr"/>
      <c r="J1933" s="2" t="inlineStr">
        <is>
          <t>да</t>
        </is>
      </c>
      <c r="K1933" s="3" t="inlineStr">
        <is>
          <t>Экранизация одноименной повести белорусского детского писателя Владимира Машкова.</t>
        </is>
      </c>
      <c r="L1933" s="2" t="inlineStr">
        <is>
          <t>Кино_СССР сводный каталог.xlsx: список фильмов (доп.)</t>
        </is>
      </c>
      <c r="M1933" s="2">
        <f>HYPERLINK("https://ru.wikipedia.org/w/index.php?search=%D0%9F%D0%BE%D1%81%D0%BB%D0%B5%D0%B4%D0%BD%D0%B8%D0%B9%20%D0%B4%D0%B5%D0%BD%D1%8C%20%D0%BC%D0%B0%D1%82%D1%80%D0%B8%D0%B0%D1%80%D1%85%D0%B0%D1%82%D0%B0%201987%20%D1%84%D0%B8%D0%BB%D1%8C%D0%BC","искать")</f>
        <v/>
      </c>
      <c r="N1933" s="3" t="n"/>
      <c r="O1933" s="2" t="n"/>
      <c r="P1933" s="2" t="n"/>
    </row>
    <row r="1934">
      <c r="A1934" s="2" t="n">
        <v>1933</v>
      </c>
      <c r="B1934" s="2" t="inlineStr">
        <is>
          <t>не сюжет</t>
        </is>
      </c>
      <c r="C1934" s="2" t="n">
        <v>9171</v>
      </c>
      <c r="D1934" s="3" t="inlineStr">
        <is>
          <t>Шерали и Ойбарчин</t>
        </is>
      </c>
      <c r="E1934" s="2" t="n">
        <v>1989</v>
      </c>
      <c r="F1934" s="2" t="inlineStr">
        <is>
          <t>кинофильм</t>
        </is>
      </c>
      <c r="G1934" s="2" t="n"/>
      <c r="H1934" s="2" t="n">
        <v>81</v>
      </c>
      <c r="I1934" s="2" t="inlineStr"/>
      <c r="J1934" s="2" t="inlineStr">
        <is>
          <t>да</t>
        </is>
      </c>
      <c r="K1934" s="3" t="inlineStr">
        <is>
          <t>Музыкальный фильм, повествует о жизни и любви узбекского певца жившего в XV веке.</t>
        </is>
      </c>
      <c r="L1934" s="2" t="inlineStr">
        <is>
          <t>Кино_СССР сводный каталог.xlsx: список фильмов (доп.)</t>
        </is>
      </c>
      <c r="M1934" s="2">
        <f>HYPERLINK("https://ru.wikipedia.org/w/index.php?search=%D0%A8%D0%B5%D1%80%D0%B0%D0%BB%D0%B8%20%D0%B8%20%D0%9E%D0%B9%D0%B1%D0%B0%D1%80%D1%87%D0%B8%D0%BD%201989%20%D1%84%D0%B8%D0%BB%D1%8C%D0%BC","искать")</f>
        <v/>
      </c>
      <c r="N1934" s="3" t="n"/>
      <c r="O1934" s="2" t="n"/>
      <c r="P1934" s="2" t="n"/>
    </row>
    <row r="1935">
      <c r="A1935" s="2" t="n">
        <v>1934</v>
      </c>
      <c r="B1935" s="2" t="inlineStr">
        <is>
          <t>не сюжет</t>
        </is>
      </c>
      <c r="C1935" s="2" t="n">
        <v>10397</v>
      </c>
      <c r="D1935" s="3" t="inlineStr">
        <is>
          <t>Каменный хозяин</t>
        </is>
      </c>
      <c r="E1935" s="2" t="n">
        <v>1971</v>
      </c>
      <c r="F1935" s="2" t="inlineStr">
        <is>
          <t>фильм-спектакль</t>
        </is>
      </c>
      <c r="G1935" s="2" t="inlineStr">
        <is>
          <t>Укртелефильм</t>
        </is>
      </c>
      <c r="H1935" s="2" t="n">
        <v>81</v>
      </c>
      <c r="I1935" s="2" t="inlineStr"/>
      <c r="J1935" s="2" t="inlineStr">
        <is>
          <t>да</t>
        </is>
      </c>
      <c r="K1935" s="3" t="inlineStr">
        <is>
          <t>По одноименному произведению Леси Украинки на тему старинной легенды о Дон-Жуане.</t>
        </is>
      </c>
      <c r="L1935" s="2" t="inlineStr">
        <is>
          <t>https://www.kino-teatr.ru/teatr/movie/13630/annot/</t>
        </is>
      </c>
      <c r="M1935" s="2">
        <f>HYPERLINK("https://ru.wikipedia.org/w/index.php?search=%D0%9A%D0%B0%D0%BC%D0%B5%D0%BD%D0%BD%D1%8B%D0%B9%20%D1%85%D0%BE%D0%B7%D1%8F%D0%B8%D0%BD%201971%20%D1%84%D0%B8%D0%BB%D1%8C%D0%BC","искать")</f>
        <v/>
      </c>
      <c r="N1935" s="3" t="n"/>
      <c r="O1935" s="2" t="n"/>
      <c r="P1935" s="2" t="n"/>
    </row>
    <row r="1936">
      <c r="A1936" s="2" t="n">
        <v>1935</v>
      </c>
      <c r="B1936" s="2" t="inlineStr">
        <is>
          <t>не сюжет</t>
        </is>
      </c>
      <c r="C1936" s="2" t="n">
        <v>11587</v>
      </c>
      <c r="D1936" s="3" t="inlineStr">
        <is>
          <t>Веселая карусель n 2. Небылицы</t>
        </is>
      </c>
      <c r="E1936" s="2" t="n">
        <v>1970</v>
      </c>
      <c r="F1936" s="2" t="inlineStr">
        <is>
          <t>мультфильм</t>
        </is>
      </c>
      <c r="G1936" s="2" t="inlineStr">
        <is>
          <t>Союзмультфильм</t>
        </is>
      </c>
      <c r="H1936" s="2" t="n">
        <v>81</v>
      </c>
      <c r="I1936" s="2" t="inlineStr"/>
      <c r="J1936" s="2" t="inlineStr">
        <is>
          <t>да</t>
        </is>
      </c>
      <c r="K1936" s="3" t="inlineStr">
        <is>
          <t>Сюжет из альманаха "Веселая карусель N 2". По мотивам русских потешек и прибауток</t>
        </is>
      </c>
      <c r="L1936" s="2" t="inlineStr">
        <is>
          <t>https://animator.ru/db/?p=show_film&amp;fid=2500</t>
        </is>
      </c>
      <c r="M1936" s="2">
        <f>HYPERLINK("https://ru.wikipedia.org/w/index.php?search=%D0%92%D0%B5%D1%81%D0%B5%D0%BB%D0%B0%D1%8F%20%D0%BA%D0%B0%D1%80%D1%83%D1%81%D0%B5%D0%BB%D1%8C%20n%202.%20%D0%9D%D0%B5%D0%B1%D1%8B%D0%BB%D0%B8%D1%86%D1%8B%201970%20%D1%84%D0%B8%D0%BB%D1%8C%D0%BC","искать")</f>
        <v/>
      </c>
      <c r="N1936" s="3" t="n"/>
      <c r="O1936" s="2" t="n"/>
      <c r="P1936" s="2" t="n"/>
    </row>
    <row r="1937">
      <c r="A1937" s="2" t="n">
        <v>1936</v>
      </c>
      <c r="B1937" s="2" t="inlineStr">
        <is>
          <t>не сюжет</t>
        </is>
      </c>
      <c r="C1937" s="2" t="n">
        <v>11871</v>
      </c>
      <c r="D1937" s="3" t="inlineStr">
        <is>
          <t>И смех и грех</t>
        </is>
      </c>
      <c r="E1937" s="2" t="n">
        <v>1978</v>
      </c>
      <c r="F1937" s="2" t="inlineStr">
        <is>
          <t>мультфильм</t>
        </is>
      </c>
      <c r="G1937" s="2" t="inlineStr">
        <is>
          <t>Союзмультфильм</t>
        </is>
      </c>
      <c r="H1937" s="2" t="n">
        <v>81</v>
      </c>
      <c r="I1937" s="2" t="inlineStr"/>
      <c r="J1937" s="2" t="inlineStr">
        <is>
          <t>да</t>
        </is>
      </c>
      <c r="K1937" s="3" t="inlineStr">
        <is>
          <t>Бытовые неурядицы наших дней подтверждают истинность старинных народных пословиц.</t>
        </is>
      </c>
      <c r="L1937" s="2" t="inlineStr">
        <is>
          <t>2026-10_мультфильмы_список_владельца.xlsx; https://animator.ru/db/?p=show_film&amp;fid=2786</t>
        </is>
      </c>
      <c r="M1937" s="2">
        <f>HYPERLINK("https://ru.wikipedia.org/w/index.php?search=%D0%98%20%D1%81%D0%BC%D0%B5%D1%85%20%D0%B8%20%D0%B3%D1%80%D0%B5%D1%85%201978%20%D1%84%D0%B8%D0%BB%D1%8C%D0%BC","искать")</f>
        <v/>
      </c>
      <c r="N1937" s="3" t="n"/>
      <c r="O1937" s="2" t="n"/>
      <c r="P1937" s="2" t="n"/>
    </row>
    <row r="1938">
      <c r="A1938" s="2" t="n">
        <v>1937</v>
      </c>
      <c r="B1938" s="2" t="inlineStr">
        <is>
          <t>не сюжет</t>
        </is>
      </c>
      <c r="C1938" s="2" t="n">
        <v>12243</v>
      </c>
      <c r="D1938" s="3" t="inlineStr">
        <is>
          <t>Карпуша</t>
        </is>
      </c>
      <c r="E1938" s="2" t="n">
        <v>1988</v>
      </c>
      <c r="F1938" s="2" t="inlineStr">
        <is>
          <t>мультфильм</t>
        </is>
      </c>
      <c r="G1938" s="2" t="inlineStr">
        <is>
          <t>Союзмультфильм</t>
        </is>
      </c>
      <c r="H1938" s="2" t="n">
        <v>81</v>
      </c>
      <c r="I1938" s="2" t="inlineStr"/>
      <c r="J1938" s="2" t="inlineStr">
        <is>
          <t>да</t>
        </is>
      </c>
      <c r="K1938" s="3" t="inlineStr">
        <is>
          <t>По мотивам шуточной русской сказки о герое, у которого "сила есть - ума не надо".</t>
        </is>
      </c>
      <c r="L1938" s="2" t="inlineStr">
        <is>
          <t>2026-10_мультфильмы_список_владельца.xlsx; https://animator.ru/db/?p=show_film&amp;fid=3360</t>
        </is>
      </c>
      <c r="M1938" s="2">
        <f>HYPERLINK("https://ru.wikipedia.org/w/index.php?search=%D0%9A%D0%B0%D1%80%D0%BF%D1%83%D1%88%D0%B0%201988%20%D1%84%D0%B8%D0%BB%D1%8C%D0%BC","искать")</f>
        <v/>
      </c>
      <c r="N1938" s="3" t="n"/>
      <c r="O1938" s="2" t="n"/>
      <c r="P1938" s="2" t="n"/>
    </row>
    <row r="1939">
      <c r="A1939" s="2" t="n">
        <v>1938</v>
      </c>
      <c r="B1939" s="2" t="inlineStr">
        <is>
          <t>не сюжет</t>
        </is>
      </c>
      <c r="C1939" s="2" t="n">
        <v>12727</v>
      </c>
      <c r="D1939" s="3" t="inlineStr">
        <is>
          <t>Рыжик</t>
        </is>
      </c>
      <c r="E1939" s="2" t="n">
        <v>1989</v>
      </c>
      <c r="F1939" s="2" t="inlineStr">
        <is>
          <t>мультфильм</t>
        </is>
      </c>
      <c r="G1939" s="2" t="inlineStr">
        <is>
          <t>БИРЛИК</t>
        </is>
      </c>
      <c r="H1939" s="2" t="n">
        <v>81</v>
      </c>
      <c r="I1939" s="2" t="inlineStr"/>
      <c r="J1939" s="2" t="inlineStr">
        <is>
          <t>да</t>
        </is>
      </c>
      <c r="K1939" s="3" t="inlineStr">
        <is>
          <t>Сериал о Белом и Рыжем клоунах-антиподах. Использована музыка Леонида Вайнштейна.</t>
        </is>
      </c>
      <c r="L1939" s="2" t="inlineStr">
        <is>
          <t>2026-10_мультфильмы_список_владельца.xlsx; https://animator.ru/db/?p=show_film&amp;fid=3933</t>
        </is>
      </c>
      <c r="M1939" s="2">
        <f>HYPERLINK("https://ru.wikipedia.org/w/index.php?search=%D0%A0%D1%8B%D0%B6%D0%B8%D0%BA%201989%20%D1%84%D0%B8%D0%BB%D1%8C%D0%BC","искать")</f>
        <v/>
      </c>
      <c r="N1939" s="3" t="n"/>
      <c r="O1939" s="2" t="n"/>
      <c r="P1939" s="2" t="n"/>
    </row>
    <row r="1940">
      <c r="A1940" s="2" t="n">
        <v>1939</v>
      </c>
      <c r="B1940" s="2" t="inlineStr">
        <is>
          <t>не сюжет</t>
        </is>
      </c>
      <c r="C1940" s="2" t="n">
        <v>13475</v>
      </c>
      <c r="D1940" s="3" t="inlineStr">
        <is>
          <t>Кладезь мудрости</t>
        </is>
      </c>
      <c r="E1940" s="2" t="n">
        <v>1991</v>
      </c>
      <c r="F1940" s="2" t="inlineStr">
        <is>
          <t>мультфильм</t>
        </is>
      </c>
      <c r="G1940" s="2" t="inlineStr">
        <is>
          <t>СОЮЗТЕЛЕФИЛЬМ</t>
        </is>
      </c>
      <c r="H1940" s="2" t="n">
        <v>81</v>
      </c>
      <c r="I1940" s="2" t="inlineStr"/>
      <c r="J1940" s="2" t="inlineStr">
        <is>
          <t>да</t>
        </is>
      </c>
      <c r="K1940" s="3" t="inlineStr">
        <is>
          <t>По мотивам фантастических рассказов Кира Булычева о жителях города Веселый Гусляр</t>
        </is>
      </c>
      <c r="L1940" s="2" t="inlineStr">
        <is>
          <t>https://animator.ru/db/?p=show_film&amp;fid=4763</t>
        </is>
      </c>
      <c r="M1940" s="2">
        <f>HYPERLINK("https://ru.wikipedia.org/w/index.php?search=%D0%9A%D0%BB%D0%B0%D0%B4%D0%B5%D0%B7%D1%8C%20%D0%BC%D1%83%D0%B4%D1%80%D0%BE%D1%81%D1%82%D0%B8%201991%20%D1%84%D0%B8%D0%BB%D1%8C%D0%BC","искать")</f>
        <v/>
      </c>
      <c r="N1940" s="3" t="n"/>
      <c r="O1940" s="2" t="n"/>
      <c r="P1940" s="2" t="n"/>
    </row>
    <row r="1941">
      <c r="A1941" s="2" t="n">
        <v>1940</v>
      </c>
      <c r="B1941" s="2" t="inlineStr">
        <is>
          <t>не сюжет</t>
        </is>
      </c>
      <c r="C1941" s="2" t="n">
        <v>13703</v>
      </c>
      <c r="D1941" s="3" t="inlineStr">
        <is>
          <t>Знаки</t>
        </is>
      </c>
      <c r="E1941" s="2" t="n">
        <v>1985</v>
      </c>
      <c r="F1941" s="2" t="inlineStr">
        <is>
          <t>мультфильм</t>
        </is>
      </c>
      <c r="G1941" s="2" t="inlineStr">
        <is>
          <t>МУЛЬТТЕЛЕФИЛЬМ ("Экран")</t>
        </is>
      </c>
      <c r="H1941" s="2" t="n">
        <v>81</v>
      </c>
      <c r="I1941" s="2" t="inlineStr"/>
      <c r="J1941" s="2" t="inlineStr">
        <is>
          <t>да</t>
        </is>
      </c>
      <c r="K1941" s="3" t="inlineStr">
        <is>
          <t>Об опастности: которую представляет для прохожих нетрезвый водитель. Для взрослых</t>
        </is>
      </c>
      <c r="L1941" s="2" t="inlineStr">
        <is>
          <t>https://animator.ru/db/?p=show_film&amp;fid=5096</t>
        </is>
      </c>
      <c r="M1941" s="2">
        <f>HYPERLINK("https://ru.wikipedia.org/w/index.php?search=%D0%97%D0%BD%D0%B0%D0%BA%D0%B8%201985%20%D1%84%D0%B8%D0%BB%D1%8C%D0%BC","искать")</f>
        <v/>
      </c>
      <c r="N1941" s="3" t="n"/>
      <c r="O1941" s="2" t="n"/>
      <c r="P1941" s="2" t="n"/>
    </row>
    <row r="1942">
      <c r="A1942" s="2" t="n">
        <v>1941</v>
      </c>
      <c r="B1942" s="2" t="inlineStr">
        <is>
          <t>не сюжет</t>
        </is>
      </c>
      <c r="C1942" s="2" t="n">
        <v>14251</v>
      </c>
      <c r="D1942" s="3" t="inlineStr">
        <is>
          <t>Веселая карусель. Выпуск №13</t>
        </is>
      </c>
      <c r="E1942" s="2" t="n">
        <v>1983</v>
      </c>
      <c r="F1942" s="2" t="inlineStr">
        <is>
          <t>мультфильм</t>
        </is>
      </c>
      <c r="G1942" s="2" t="inlineStr">
        <is>
          <t>Союзмультфильм</t>
        </is>
      </c>
      <c r="H1942" s="2" t="n">
        <v>81</v>
      </c>
      <c r="I1942" s="2" t="inlineStr"/>
      <c r="J1942" s="2" t="inlineStr">
        <is>
          <t>да</t>
        </is>
      </c>
      <c r="K1942" s="3" t="inlineStr">
        <is>
          <t>13-ая серия альманаха «ВЕСЕЛАЯ КАРУСЕЛЬ»
сюжеты: «СТО ПУГОВИЦ», «МЫШОНОК И КОШКА»</t>
        </is>
      </c>
      <c r="L1942" s="2" t="inlineStr">
        <is>
          <t>https://animator.ru/db/?p=show_film&amp;fid=5675</t>
        </is>
      </c>
      <c r="M1942" s="2">
        <f>HYPERLINK("https://ru.wikipedia.org/w/index.php?search=%D0%92%D0%B5%D1%81%D0%B5%D0%BB%D0%B0%D1%8F%20%D0%BA%D0%B0%D1%80%D1%83%D1%81%D0%B5%D0%BB%D1%8C.%20%D0%92%D1%8B%D0%BF%D1%83%D1%81%D0%BA%20%E2%84%9613%201983%20%D1%84%D0%B8%D0%BB%D1%8C%D0%BC","искать")</f>
        <v/>
      </c>
      <c r="N1942" s="3" t="n"/>
      <c r="O1942" s="2" t="n"/>
      <c r="P1942" s="2" t="n"/>
    </row>
    <row r="1943">
      <c r="A1943" s="2" t="n">
        <v>1942</v>
      </c>
      <c r="B1943" s="2" t="inlineStr">
        <is>
          <t>не сюжет</t>
        </is>
      </c>
      <c r="C1943" s="2" t="n">
        <v>10925</v>
      </c>
      <c r="D1943" s="3" t="inlineStr">
        <is>
          <t>Электре подобает траур</t>
        </is>
      </c>
      <c r="E1943" s="2" t="n">
        <v>1981</v>
      </c>
      <c r="F1943" s="2" t="inlineStr">
        <is>
          <t>фильм-спектакль</t>
        </is>
      </c>
      <c r="G1943" s="2" t="n"/>
      <c r="H1943" s="2" t="n">
        <v>82</v>
      </c>
      <c r="I1943" s="2" t="inlineStr"/>
      <c r="J1943" s="2" t="inlineStr">
        <is>
          <t>да</t>
        </is>
      </c>
      <c r="K1943" s="3" t="inlineStr">
        <is>
          <t>Поставлен по одноименной пьесе американского драматурга Юджина О'Нила (1888-1953).</t>
        </is>
      </c>
      <c r="L1943" s="2" t="inlineStr">
        <is>
          <t>https://www.kino-teatr.ru/teatr/movie/90095/annot/</t>
        </is>
      </c>
      <c r="M1943" s="2">
        <f>HYPERLINK("https://ru.wikipedia.org/w/index.php?search=%D0%AD%D0%BB%D0%B5%D0%BA%D1%82%D1%80%D0%B5%20%D0%BF%D0%BE%D0%B4%D0%BE%D0%B1%D0%B0%D0%B5%D1%82%20%D1%82%D1%80%D0%B0%D1%83%D1%80%201981%20%D1%84%D0%B8%D0%BB%D1%8C%D0%BC","искать")</f>
        <v/>
      </c>
      <c r="N1943" s="3" t="n"/>
      <c r="O1943" s="2" t="n"/>
      <c r="P1943" s="2" t="n"/>
    </row>
    <row r="1944">
      <c r="A1944" s="2" t="n">
        <v>1943</v>
      </c>
      <c r="B1944" s="2" t="inlineStr">
        <is>
          <t>не сюжет</t>
        </is>
      </c>
      <c r="C1944" s="2" t="n">
        <v>11638</v>
      </c>
      <c r="D1944" s="3" t="inlineStr">
        <is>
          <t>Песни огненных лет</t>
        </is>
      </c>
      <c r="E1944" s="2" t="n">
        <v>1971</v>
      </c>
      <c r="F1944" s="2" t="inlineStr">
        <is>
          <t>мультфильм</t>
        </is>
      </c>
      <c r="G1944" s="2" t="inlineStr">
        <is>
          <t>Союзмультфильм</t>
        </is>
      </c>
      <c r="H1944" s="2" t="n">
        <v>82</v>
      </c>
      <c r="I1944" s="2" t="inlineStr"/>
      <c r="J1944" s="2" t="inlineStr">
        <is>
          <t>да</t>
        </is>
      </c>
      <c r="K1944" s="3" t="inlineStr">
        <is>
          <t>Вариации на темы популярных песен времен Гражданской войны или о Гражданской войне</t>
        </is>
      </c>
      <c r="L1944" s="2" t="inlineStr">
        <is>
          <t>https://animator.ru/db/?p=show_film&amp;fid=2552</t>
        </is>
      </c>
      <c r="M1944" s="2">
        <f>HYPERLINK("https://ru.wikipedia.org/w/index.php?search=%D0%9F%D0%B5%D1%81%D0%BD%D0%B8%20%D0%BE%D0%B3%D0%BD%D0%B5%D0%BD%D0%BD%D1%8B%D1%85%20%D0%BB%D0%B5%D1%82%201971%20%D1%84%D0%B8%D0%BB%D1%8C%D0%BC","искать")</f>
        <v/>
      </c>
      <c r="N1944" s="3" t="n"/>
      <c r="O1944" s="2" t="n"/>
      <c r="P1944" s="2" t="n"/>
    </row>
    <row r="1945">
      <c r="A1945" s="2" t="n">
        <v>1944</v>
      </c>
      <c r="B1945" s="2" t="inlineStr">
        <is>
          <t>не сюжет</t>
        </is>
      </c>
      <c r="C1945" s="2" t="n">
        <v>11923</v>
      </c>
      <c r="D1945" s="3" t="inlineStr">
        <is>
          <t>Про Ерша Ершовича</t>
        </is>
      </c>
      <c r="E1945" s="2" t="n">
        <v>1979</v>
      </c>
      <c r="F1945" s="2" t="inlineStr">
        <is>
          <t>мультфильм</t>
        </is>
      </c>
      <c r="G1945" s="2" t="inlineStr">
        <is>
          <t>Союзмультфильм</t>
        </is>
      </c>
      <c r="H1945" s="2" t="n">
        <v>82</v>
      </c>
      <c r="I1945" s="2" t="inlineStr"/>
      <c r="J1945" s="2" t="inlineStr">
        <is>
          <t>да</t>
        </is>
      </c>
      <c r="K1945" s="3" t="inlineStr">
        <is>
          <t>Фильм по мотивам сказки Б. Шергина высмеивает хвастовство, бесцеремонность и ложь.</t>
        </is>
      </c>
      <c r="L1945" s="2" t="inlineStr">
        <is>
          <t>https://animator.ru/db/?p=show_film&amp;fid=2838</t>
        </is>
      </c>
      <c r="M1945" s="2">
        <f>HYPERLINK("https://ru.wikipedia.org/w/index.php?search=%D0%9F%D1%80%D0%BE%20%D0%95%D1%80%D1%88%D0%B0%20%D0%95%D1%80%D1%88%D0%BE%D0%B2%D0%B8%D1%87%D0%B0%201979%20%D1%84%D0%B8%D0%BB%D1%8C%D0%BC","искать")</f>
        <v/>
      </c>
      <c r="N1945" s="3" t="n"/>
      <c r="O1945" s="2" t="n"/>
      <c r="P1945" s="2" t="n"/>
    </row>
    <row r="1946">
      <c r="A1946" s="2" t="n">
        <v>1945</v>
      </c>
      <c r="B1946" s="2" t="inlineStr">
        <is>
          <t>не сюжет</t>
        </is>
      </c>
      <c r="C1946" s="2" t="n">
        <v>12117</v>
      </c>
      <c r="D1946" s="3" t="inlineStr">
        <is>
          <t>Подружка</t>
        </is>
      </c>
      <c r="E1946" s="2" t="n">
        <v>1989</v>
      </c>
      <c r="F1946" s="2" t="inlineStr">
        <is>
          <t>мультфильм</t>
        </is>
      </c>
      <c r="G1946" s="2" t="inlineStr">
        <is>
          <t>Союзмультфильм</t>
        </is>
      </c>
      <c r="H1946" s="2" t="n">
        <v>82</v>
      </c>
      <c r="I1946" s="2" t="inlineStr"/>
      <c r="J1946" s="2" t="inlineStr">
        <is>
          <t>да</t>
        </is>
      </c>
      <c r="K1946" s="3" t="inlineStr">
        <is>
          <t>По мотивам американской народной сказки. В фильме использована музыка Пола Винтера</t>
        </is>
      </c>
      <c r="L1946" s="2" t="inlineStr">
        <is>
          <t>https://animator.ru/db/?p=show_film&amp;fid=3233</t>
        </is>
      </c>
      <c r="M1946" s="2">
        <f>HYPERLINK("https://ru.wikipedia.org/w/index.php?search=%D0%9F%D0%BE%D0%B4%D1%80%D1%83%D0%B6%D0%BA%D0%B0%201989%20%D1%84%D0%B8%D0%BB%D1%8C%D0%BC","искать")</f>
        <v/>
      </c>
      <c r="N1946" s="3" t="n"/>
      <c r="O1946" s="2" t="n"/>
      <c r="P1946" s="2" t="n"/>
    </row>
    <row r="1947">
      <c r="A1947" s="2" t="n">
        <v>1946</v>
      </c>
      <c r="B1947" s="2" t="inlineStr">
        <is>
          <t>не сюжет</t>
        </is>
      </c>
      <c r="C1947" s="2" t="n">
        <v>12192</v>
      </c>
      <c r="D1947" s="3" t="inlineStr">
        <is>
          <t>Сказка о глупом муже</t>
        </is>
      </c>
      <c r="E1947" s="2" t="n">
        <v>1986</v>
      </c>
      <c r="F1947" s="2" t="inlineStr">
        <is>
          <t>мультфильм</t>
        </is>
      </c>
      <c r="G1947" s="2" t="inlineStr">
        <is>
          <t>Союзмультфильм</t>
        </is>
      </c>
      <c r="H1947" s="2" t="n">
        <v>82</v>
      </c>
      <c r="I1947" s="2" t="inlineStr"/>
      <c r="J1947" s="2" t="inlineStr">
        <is>
          <t>да</t>
        </is>
      </c>
      <c r="K1947" s="3" t="inlineStr">
        <is>
          <t>По мотивам русской сказки "О глупой жене", только здесь все наоборот. Для взрослых</t>
        </is>
      </c>
      <c r="L1947" s="2" t="inlineStr">
        <is>
          <t>https://animator.ru/db/?p=show_film&amp;fid=3309</t>
        </is>
      </c>
      <c r="M1947" s="2">
        <f>HYPERLINK("https://ru.wikipedia.org/w/index.php?search=%D0%A1%D0%BA%D0%B0%D0%B7%D0%BA%D0%B0%20%D0%BE%20%D0%B3%D0%BB%D1%83%D0%BF%D0%BE%D0%BC%20%D0%BC%D1%83%D0%B6%D0%B5%201986%20%D1%84%D0%B8%D0%BB%D1%8C%D0%BC","искать")</f>
        <v/>
      </c>
      <c r="N1947" s="3" t="n"/>
      <c r="O1947" s="2" t="n"/>
      <c r="P1947" s="2" t="n"/>
    </row>
    <row r="1948">
      <c r="A1948" s="2" t="n">
        <v>1947</v>
      </c>
      <c r="B1948" s="2" t="inlineStr">
        <is>
          <t>не сюжет</t>
        </is>
      </c>
      <c r="C1948" s="2" t="n">
        <v>12370</v>
      </c>
      <c r="D1948" s="3" t="inlineStr">
        <is>
          <t>Жили-были мысли...</t>
        </is>
      </c>
      <c r="E1948" s="2" t="n">
        <v>1983</v>
      </c>
      <c r="F1948" s="2" t="inlineStr">
        <is>
          <t>мультфильм</t>
        </is>
      </c>
      <c r="G1948" s="2" t="inlineStr">
        <is>
          <t>КИЕВНАУЧФИЛЬМ</t>
        </is>
      </c>
      <c r="H1948" s="2" t="n">
        <v>82</v>
      </c>
      <c r="I1948" s="2" t="inlineStr"/>
      <c r="J1948" s="2" t="inlineStr">
        <is>
          <t>да</t>
        </is>
      </c>
      <c r="K1948" s="3" t="inlineStr">
        <is>
          <t>О сказочном дереве, на котором жили разные мысли: добрые, злые, умные и ... чудная</t>
        </is>
      </c>
      <c r="L1948" s="2" t="inlineStr">
        <is>
          <t>https://animator.ru/db/?p=show_film&amp;fid=3538</t>
        </is>
      </c>
      <c r="M1948" s="2">
        <f>HYPERLINK("https://ru.wikipedia.org/w/index.php?search=%D0%96%D0%B8%D0%BB%D0%B8-%D0%B1%D1%8B%D0%BB%D0%B8%20%D0%BC%D1%8B%D1%81%D0%BB%D0%B8...%201983%20%D1%84%D0%B8%D0%BB%D1%8C%D0%BC","искать")</f>
        <v/>
      </c>
      <c r="N1948" s="3" t="n"/>
      <c r="O1948" s="2" t="n"/>
      <c r="P1948" s="2" t="n"/>
    </row>
    <row r="1949">
      <c r="A1949" s="2" t="n">
        <v>1948</v>
      </c>
      <c r="B1949" s="2" t="inlineStr">
        <is>
          <t>не сюжет</t>
        </is>
      </c>
      <c r="C1949" s="2" t="n">
        <v>13067</v>
      </c>
      <c r="D1949" s="3" t="inlineStr">
        <is>
          <t>Путешествие Ринглы</t>
        </is>
      </c>
      <c r="E1949" s="2" t="n">
        <v>1973</v>
      </c>
      <c r="F1949" s="2" t="inlineStr">
        <is>
          <t>мультфильм</t>
        </is>
      </c>
      <c r="G1949" s="2" t="inlineStr">
        <is>
          <t>ГОСТЕЛЕРАДИО ЛАТВ. ССР ("ТЕЛЕФИЛЬМ-РИГА")</t>
        </is>
      </c>
      <c r="H1949" s="2" t="n">
        <v>82</v>
      </c>
      <c r="I1949" s="2" t="inlineStr"/>
      <c r="J1949" s="2" t="inlineStr">
        <is>
          <t>да</t>
        </is>
      </c>
      <c r="K1949" s="3" t="inlineStr">
        <is>
          <t>По мотивам стихотворению латышского поэта Э.Адамсона "Цыганочка Рингла". Для детей</t>
        </is>
      </c>
      <c r="L1949" s="2" t="inlineStr">
        <is>
          <t>https://animator.ru/db/?p=show_film&amp;fid=4299</t>
        </is>
      </c>
      <c r="M1949" s="2">
        <f>HYPERLINK("https://ru.wikipedia.org/w/index.php?search=%D0%9F%D1%83%D1%82%D0%B5%D1%88%D0%B5%D1%81%D1%82%D0%B2%D0%B8%D0%B5%20%D0%A0%D0%B8%D0%BD%D0%B3%D0%BB%D1%8B%201973%20%D1%84%D0%B8%D0%BB%D1%8C%D0%BC","искать")</f>
        <v/>
      </c>
      <c r="N1949" s="3" t="n"/>
      <c r="O1949" s="2" t="n"/>
      <c r="P1949" s="2" t="n"/>
    </row>
    <row r="1950">
      <c r="A1950" s="2" t="n">
        <v>1949</v>
      </c>
      <c r="B1950" s="2" t="inlineStr">
        <is>
          <t>не сюжет</t>
        </is>
      </c>
      <c r="C1950" s="2" t="n">
        <v>13302</v>
      </c>
      <c r="D1950" s="3" t="inlineStr">
        <is>
          <t>Зимнй день</t>
        </is>
      </c>
      <c r="E1950" s="2" t="n">
        <v>1991</v>
      </c>
      <c r="F1950" s="2" t="inlineStr">
        <is>
          <t>мультфильм</t>
        </is>
      </c>
      <c r="G1950" s="2" t="inlineStr">
        <is>
          <t>ТАЛЛИННФИЛЬМ</t>
        </is>
      </c>
      <c r="H1950" s="2" t="n">
        <v>82</v>
      </c>
      <c r="I1950" s="2" t="inlineStr"/>
      <c r="J1950" s="2" t="inlineStr">
        <is>
          <t>да</t>
        </is>
      </c>
      <c r="K1950" s="3" t="inlineStr">
        <is>
          <t>Жизнь становится тусклой и безрадостной, если люди забывают о сказке. Для взрослых</t>
        </is>
      </c>
      <c r="L1950" s="2" t="inlineStr">
        <is>
          <t>https://animator.ru/db/?p=show_film&amp;fid=4559</t>
        </is>
      </c>
      <c r="M1950" s="2">
        <f>HYPERLINK("https://ru.wikipedia.org/w/index.php?search=%D0%97%D0%B8%D0%BC%D0%BD%D0%B9%20%D0%B4%D0%B5%D0%BD%D1%8C%201991%20%D1%84%D0%B8%D0%BB%D1%8C%D0%BC","искать")</f>
        <v/>
      </c>
      <c r="N1950" s="3" t="n"/>
      <c r="O1950" s="2" t="n"/>
      <c r="P1950" s="2" t="n"/>
    </row>
    <row r="1951">
      <c r="A1951" s="2" t="n">
        <v>1950</v>
      </c>
      <c r="B1951" s="2" t="inlineStr">
        <is>
          <t>не сюжет</t>
        </is>
      </c>
      <c r="C1951" s="2" t="n">
        <v>13325</v>
      </c>
      <c r="D1951" s="3" t="inlineStr">
        <is>
          <t>Узел</t>
        </is>
      </c>
      <c r="E1951" s="2" t="n">
        <v>1983</v>
      </c>
      <c r="F1951" s="2" t="inlineStr">
        <is>
          <t>мультфильм</t>
        </is>
      </c>
      <c r="G1951" s="2" t="inlineStr">
        <is>
          <t>ТАЛЛИННФИЛЬМ</t>
        </is>
      </c>
      <c r="H1951" s="2" t="n">
        <v>82</v>
      </c>
      <c r="I1951" s="2" t="inlineStr"/>
      <c r="J1951" s="2" t="inlineStr">
        <is>
          <t>да</t>
        </is>
      </c>
      <c r="K1951" s="3" t="inlineStr">
        <is>
          <t>Связанные узлом нитки не выносят друг друга, но развязаться не могут. Для взрослых</t>
        </is>
      </c>
      <c r="L1951" s="2" t="inlineStr">
        <is>
          <t>https://animator.ru/db/?p=show_film&amp;fid=4594</t>
        </is>
      </c>
      <c r="M1951" s="2">
        <f>HYPERLINK("https://ru.wikipedia.org/w/index.php?search=%D0%A3%D0%B7%D0%B5%D0%BB%201983%20%D1%84%D0%B8%D0%BB%D1%8C%D0%BC","искать")</f>
        <v/>
      </c>
      <c r="N1951" s="3" t="n"/>
      <c r="O1951" s="2" t="n"/>
      <c r="P1951" s="2" t="n"/>
    </row>
    <row r="1952">
      <c r="A1952" s="2" t="n">
        <v>1951</v>
      </c>
      <c r="B1952" s="2" t="inlineStr">
        <is>
          <t>не сюжет</t>
        </is>
      </c>
      <c r="C1952" s="2" t="n">
        <v>13480</v>
      </c>
      <c r="D1952" s="3" t="inlineStr">
        <is>
          <t>Очень маленькие трагедии</t>
        </is>
      </c>
      <c r="E1952" s="2" t="n">
        <v>1988</v>
      </c>
      <c r="F1952" s="2" t="inlineStr">
        <is>
          <t>мультфильм</t>
        </is>
      </c>
      <c r="G1952" s="2" t="inlineStr">
        <is>
          <t>ЛЕННАУЧФИЛЬМ - Санкт-Петербургская студия научно-популярных фильмов - ФУП</t>
        </is>
      </c>
      <c r="H1952" s="2" t="n">
        <v>82</v>
      </c>
      <c r="I1952" s="2" t="inlineStr"/>
      <c r="J1952" s="2" t="inlineStr">
        <is>
          <t>да</t>
        </is>
      </c>
      <c r="K1952" s="3" t="inlineStr">
        <is>
          <t>Альманах.
сюжет "Карусель" реж. К. Бронзит и три сюжета Р. Газизова.
Для взрослых.</t>
        </is>
      </c>
      <c r="L1952" s="2" t="inlineStr">
        <is>
          <t>https://animator.ru/db/?p=show_film&amp;fid=4770</t>
        </is>
      </c>
      <c r="M1952" s="2">
        <f>HYPERLINK("https://ru.wikipedia.org/w/index.php?search=%D0%9E%D1%87%D0%B5%D0%BD%D1%8C%20%D0%BC%D0%B0%D0%BB%D0%B5%D0%BD%D1%8C%D0%BA%D0%B8%D0%B5%20%D1%82%D1%80%D0%B0%D0%B3%D0%B5%D0%B4%D0%B8%D0%B8%201988%20%D1%84%D0%B8%D0%BB%D1%8C%D0%BC","искать")</f>
        <v/>
      </c>
      <c r="N1952" s="3" t="n"/>
      <c r="O1952" s="2" t="n"/>
      <c r="P1952" s="2" t="n"/>
    </row>
    <row r="1953">
      <c r="A1953" s="2" t="n">
        <v>1952</v>
      </c>
      <c r="B1953" s="2" t="inlineStr">
        <is>
          <t>не сюжет</t>
        </is>
      </c>
      <c r="C1953" s="2" t="n">
        <v>13754</v>
      </c>
      <c r="D1953" s="3" t="inlineStr">
        <is>
          <t>Маленькие недоразумения</t>
        </is>
      </c>
      <c r="E1953" s="2" t="n">
        <v>1970</v>
      </c>
      <c r="F1953" s="2" t="inlineStr">
        <is>
          <t>мультфильм</t>
        </is>
      </c>
      <c r="G1953" s="2" t="inlineStr">
        <is>
          <t>ЭКРАН</t>
        </is>
      </c>
      <c r="H1953" s="2" t="n">
        <v>82</v>
      </c>
      <c r="I1953" s="2" t="inlineStr"/>
      <c r="J1953" s="2" t="inlineStr">
        <is>
          <t>да</t>
        </is>
      </c>
      <c r="K1953" s="3" t="inlineStr">
        <is>
          <t>О Котике-Мотике и его друзьях - котенке Тимотике и пане Бульдоговиче. Для малышей.</t>
        </is>
      </c>
      <c r="L1953" s="2" t="inlineStr">
        <is>
          <t>2026-10_мультфильмы_список_владельца.xlsx; https://animator.ru/db/?p=show_film&amp;fid=5147</t>
        </is>
      </c>
      <c r="M1953" s="2">
        <f>HYPERLINK("https://ru.wikipedia.org/w/index.php?search=%D0%9C%D0%B0%D0%BB%D0%B5%D0%BD%D1%8C%D0%BA%D0%B8%D0%B5%20%D0%BD%D0%B5%D0%B4%D0%BE%D1%80%D0%B0%D0%B7%D1%83%D0%BC%D0%B5%D0%BD%D0%B8%D1%8F%201970%20%D1%84%D0%B8%D0%BB%D1%8C%D0%BC","искать")</f>
        <v/>
      </c>
      <c r="N1953" s="3" t="n"/>
      <c r="O1953" s="2" t="n"/>
      <c r="P1953" s="2" t="n"/>
    </row>
    <row r="1954">
      <c r="A1954" s="2" t="n">
        <v>1953</v>
      </c>
      <c r="B1954" s="2" t="inlineStr">
        <is>
          <t>не сюжет</t>
        </is>
      </c>
      <c r="C1954" s="2" t="n">
        <v>13807</v>
      </c>
      <c r="D1954" s="3" t="inlineStr">
        <is>
          <t>Осторожные козлы</t>
        </is>
      </c>
      <c r="E1954" s="2" t="n">
        <v>1972</v>
      </c>
      <c r="F1954" s="2" t="inlineStr">
        <is>
          <t>мультфильм</t>
        </is>
      </c>
      <c r="G1954" s="2" t="inlineStr">
        <is>
          <t>ЭКРАН</t>
        </is>
      </c>
      <c r="H1954" s="2" t="n">
        <v>82</v>
      </c>
      <c r="I1954" s="2" t="inlineStr"/>
      <c r="J1954" s="2" t="inlineStr">
        <is>
          <t>да</t>
        </is>
      </c>
      <c r="K1954" s="3" t="inlineStr">
        <is>
          <t>О бюрократах, для которых бумажная инструкция важнее здравого смысла. Для взрослых</t>
        </is>
      </c>
      <c r="L1954" s="2" t="inlineStr">
        <is>
          <t>https://animator.ru/db/?p=show_film&amp;fid=5200</t>
        </is>
      </c>
      <c r="M1954" s="2">
        <f>HYPERLINK("https://ru.wikipedia.org/w/index.php?search=%D0%9E%D1%81%D1%82%D0%BE%D1%80%D0%BE%D0%B6%D0%BD%D1%8B%D0%B5%20%D0%BA%D0%BE%D0%B7%D0%BB%D1%8B%201972%20%D1%84%D0%B8%D0%BB%D1%8C%D0%BC","искать")</f>
        <v/>
      </c>
      <c r="N1954" s="3" t="n"/>
      <c r="O1954" s="2" t="n"/>
      <c r="P1954" s="2" t="n"/>
    </row>
    <row r="1955">
      <c r="A1955" s="2" t="n">
        <v>1954</v>
      </c>
      <c r="B1955" s="2" t="inlineStr">
        <is>
          <t>не сюжет</t>
        </is>
      </c>
      <c r="C1955" s="2" t="n">
        <v>14388</v>
      </c>
      <c r="D1955" s="3" t="inlineStr">
        <is>
          <t>Королевские зайцы</t>
        </is>
      </c>
      <c r="E1955" s="2" t="n">
        <v>1980</v>
      </c>
      <c r="F1955" s="2" t="inlineStr">
        <is>
          <t>мультфильм</t>
        </is>
      </c>
      <c r="G1955" s="2" t="n"/>
      <c r="H1955" s="2" t="n">
        <v>82</v>
      </c>
      <c r="I1955" s="2" t="inlineStr"/>
      <c r="J1955" s="2" t="inlineStr">
        <is>
          <t>да</t>
        </is>
      </c>
      <c r="K1955" s="3" t="inlineStr">
        <is>
          <t>По одноименной сказке Асбьернсена. При участии ансамбля "Бумеранг" п/у Ю.Богданова</t>
        </is>
      </c>
      <c r="L1955" s="2" t="inlineStr">
        <is>
          <t>https://animator.ru/db/?p=show_film&amp;fid=6421</t>
        </is>
      </c>
      <c r="M1955" s="2">
        <f>HYPERLINK("https://ru.wikipedia.org/w/index.php?search=%D0%9A%D0%BE%D1%80%D0%BE%D0%BB%D0%B5%D0%B2%D1%81%D0%BA%D0%B8%D0%B5%20%D0%B7%D0%B0%D0%B9%D1%86%D1%8B%201980%20%D1%84%D0%B8%D0%BB%D1%8C%D0%BC","искать")</f>
        <v/>
      </c>
      <c r="N1955" s="3" t="n"/>
      <c r="O1955" s="2" t="n"/>
      <c r="P1955" s="2" t="n"/>
    </row>
    <row r="1956">
      <c r="A1956" s="2" t="n">
        <v>1955</v>
      </c>
      <c r="B1956" s="2" t="inlineStr">
        <is>
          <t>не сюжет</t>
        </is>
      </c>
      <c r="C1956" s="2" t="n">
        <v>8599</v>
      </c>
      <c r="D1956" s="3" t="inlineStr">
        <is>
          <t>Это в сердце было моём</t>
        </is>
      </c>
      <c r="E1956" s="2" t="n">
        <v>1978</v>
      </c>
      <c r="F1956" s="2" t="inlineStr">
        <is>
          <t>телефильм</t>
        </is>
      </c>
      <c r="G1956" s="2" t="n"/>
      <c r="H1956" s="2" t="n">
        <v>83</v>
      </c>
      <c r="I1956" s="2" t="inlineStr"/>
      <c r="J1956" s="2" t="inlineStr">
        <is>
          <t>да</t>
        </is>
      </c>
      <c r="K1956" s="3" t="inlineStr">
        <is>
          <t>Фильм-монография. О жизни и творчестве писателя и драматурга Всеволода Вишневского.</t>
        </is>
      </c>
      <c r="L1956" s="2" t="inlineStr">
        <is>
          <t>Кино_СССР сводный каталог.xlsx: список телефильмов</t>
        </is>
      </c>
      <c r="M1956" s="2">
        <f>HYPERLINK("https://ru.wikipedia.org/w/index.php?search=%D0%AD%D1%82%D0%BE%20%D0%B2%20%D1%81%D0%B5%D1%80%D0%B4%D1%86%D0%B5%20%D0%B1%D1%8B%D0%BB%D0%BE%20%D0%BC%D0%BE%D1%91%D0%BC%201978%20%D1%84%D0%B8%D0%BB%D1%8C%D0%BC","искать")</f>
        <v/>
      </c>
      <c r="N1956" s="3" t="n"/>
      <c r="O1956" s="2" t="n"/>
      <c r="P1956" s="2" t="n"/>
    </row>
    <row r="1957">
      <c r="A1957" s="2" t="n">
        <v>1956</v>
      </c>
      <c r="B1957" s="2" t="inlineStr">
        <is>
          <t>не сюжет</t>
        </is>
      </c>
      <c r="C1957" s="2" t="n">
        <v>8738</v>
      </c>
      <c r="D1957" s="3" t="inlineStr">
        <is>
          <t>Зов родственного томления</t>
        </is>
      </c>
      <c r="E1957" s="2" t="n">
        <v>1988</v>
      </c>
      <c r="F1957" s="2" t="inlineStr">
        <is>
          <t>кинофильм</t>
        </is>
      </c>
      <c r="G1957" s="2" t="n"/>
      <c r="H1957" s="2" t="n">
        <v>83</v>
      </c>
      <c r="I1957" s="2" t="inlineStr"/>
      <c r="J1957" s="2" t="inlineStr">
        <is>
          <t>да</t>
        </is>
      </c>
      <c r="K1957" s="3" t="inlineStr">
        <is>
          <t>По мотивам произведений Андрея Платонова; об истории отношений взрослого и ребенка.</t>
        </is>
      </c>
      <c r="L1957" s="2" t="inlineStr">
        <is>
          <t>Кино_СССР сводный каталог.xlsx: список фильмов (доп.)</t>
        </is>
      </c>
      <c r="M1957" s="2">
        <f>HYPERLINK("https://ru.wikipedia.org/w/index.php?search=%D0%97%D0%BE%D0%B2%20%D1%80%D0%BE%D0%B4%D1%81%D1%82%D0%B2%D0%B5%D0%BD%D0%BD%D0%BE%D0%B3%D0%BE%20%D1%82%D0%BE%D0%BC%D0%BB%D0%B5%D0%BD%D0%B8%D1%8F%201988%20%D1%84%D0%B8%D0%BB%D1%8C%D0%BC","искать")</f>
        <v/>
      </c>
      <c r="N1957" s="3" t="n"/>
      <c r="O1957" s="2" t="n"/>
      <c r="P1957" s="2" t="n"/>
    </row>
    <row r="1958">
      <c r="A1958" s="2" t="n">
        <v>1957</v>
      </c>
      <c r="B1958" s="2" t="inlineStr">
        <is>
          <t>не сюжет</t>
        </is>
      </c>
      <c r="C1958" s="2" t="n">
        <v>8782</v>
      </c>
      <c r="D1958" s="3" t="inlineStr">
        <is>
          <t>Крутизна</t>
        </is>
      </c>
      <c r="E1958" s="2" t="n">
        <v>1983</v>
      </c>
      <c r="F1958" s="2" t="inlineStr">
        <is>
          <t>кинофильм</t>
        </is>
      </c>
      <c r="G1958" s="2" t="n"/>
      <c r="H1958" s="2" t="n">
        <v>83</v>
      </c>
      <c r="I1958" s="2" t="inlineStr"/>
      <c r="J1958" s="2" t="inlineStr">
        <is>
          <t>да</t>
        </is>
      </c>
      <c r="K1958" s="3" t="inlineStr">
        <is>
          <t>О молодом председателе колхоза Казбеке - стороннике возрождения горного земледелия.</t>
        </is>
      </c>
      <c r="L1958" s="2" t="inlineStr">
        <is>
          <t>Кино_СССР сводный каталог.xlsx: список фильмов (доп.)</t>
        </is>
      </c>
      <c r="M1958" s="2">
        <f>HYPERLINK("https://ru.wikipedia.org/w/index.php?search=%D0%9A%D1%80%D1%83%D1%82%D0%B8%D0%B7%D0%BD%D0%B0%201983%20%D1%84%D0%B8%D0%BB%D1%8C%D0%BC","искать")</f>
        <v/>
      </c>
      <c r="N1958" s="3" t="n"/>
      <c r="O1958" s="2" t="n"/>
      <c r="P1958" s="2" t="n"/>
    </row>
    <row r="1959">
      <c r="A1959" s="2" t="n">
        <v>1958</v>
      </c>
      <c r="B1959" s="2" t="inlineStr">
        <is>
          <t>не сюжет</t>
        </is>
      </c>
      <c r="C1959" s="2" t="n">
        <v>9565</v>
      </c>
      <c r="D1959" s="3" t="inlineStr">
        <is>
          <t>Поезда без улыбок</t>
        </is>
      </c>
      <c r="E1959" s="2" t="n">
        <v>1989</v>
      </c>
      <c r="F1959" s="2" t="inlineStr">
        <is>
          <t>кинофильм</t>
        </is>
      </c>
      <c r="G1959" s="2" t="n"/>
      <c r="H1959" s="2" t="n">
        <v>83</v>
      </c>
      <c r="I1959" s="2" t="inlineStr"/>
      <c r="J1959" s="2" t="inlineStr">
        <is>
          <t>да</t>
        </is>
      </c>
      <c r="K1959" s="3" t="inlineStr">
        <is>
          <t>Премьерный показ состоялся в Доме Кино в Киеве, но на широкий экран фильм не вышел.</t>
        </is>
      </c>
      <c r="L1959" s="2" t="inlineStr">
        <is>
          <t>Кино_СССР сводный каталог.xlsx: список фильмов (доп.)</t>
        </is>
      </c>
      <c r="M1959" s="2">
        <f>HYPERLINK("https://ru.wikipedia.org/w/index.php?search=%D0%9F%D0%BE%D0%B5%D0%B7%D0%B4%D0%B0%20%D0%B1%D0%B5%D0%B7%20%D1%83%D0%BB%D1%8B%D0%B1%D0%BE%D0%BA%201989%20%D1%84%D0%B8%D0%BB%D1%8C%D0%BC","искать")</f>
        <v/>
      </c>
      <c r="N1959" s="3" t="n"/>
      <c r="O1959" s="2" t="n"/>
      <c r="P1959" s="2" t="n"/>
    </row>
    <row r="1960">
      <c r="A1960" s="2" t="n">
        <v>1959</v>
      </c>
      <c r="B1960" s="2" t="inlineStr">
        <is>
          <t>не сюжет</t>
        </is>
      </c>
      <c r="C1960" s="2" t="n">
        <v>9824</v>
      </c>
      <c r="D1960" s="3" t="inlineStr">
        <is>
          <t>Огонь</t>
        </is>
      </c>
      <c r="E1960" s="2" t="n">
        <v>1963</v>
      </c>
      <c r="F1960" s="2" t="inlineStr">
        <is>
          <t>кинофильм</t>
        </is>
      </c>
      <c r="G1960" s="2" t="inlineStr">
        <is>
          <t>Арменфильм</t>
        </is>
      </c>
      <c r="H1960" s="2" t="n">
        <v>83</v>
      </c>
      <c r="I1960" s="2" t="inlineStr"/>
      <c r="J1960" s="2" t="inlineStr">
        <is>
          <t>да</t>
        </is>
      </c>
      <c r="K1960" s="3" t="inlineStr">
        <is>
          <t>Կրակ
Заказной фильм о необходимости соблюдения правил противопожарной безопасности.</t>
        </is>
      </c>
      <c r="L1960" s="2" t="inlineStr">
        <is>
          <t>https://www.kino-teatr.ru/short/movie/sov/16626/annot/</t>
        </is>
      </c>
      <c r="M1960" s="2">
        <f>HYPERLINK("https://ru.wikipedia.org/w/index.php?search=%D0%9E%D0%B3%D0%BE%D0%BD%D1%8C%201963%20%D1%84%D0%B8%D0%BB%D1%8C%D0%BC","искать")</f>
        <v/>
      </c>
      <c r="N1960" s="3" t="n"/>
      <c r="O1960" s="2" t="n"/>
      <c r="P1960" s="2" t="n"/>
    </row>
    <row r="1961">
      <c r="A1961" s="2" t="n">
        <v>1960</v>
      </c>
      <c r="B1961" s="2" t="inlineStr">
        <is>
          <t>не сюжет</t>
        </is>
      </c>
      <c r="C1961" s="2" t="n">
        <v>10616</v>
      </c>
      <c r="D1961" s="3" t="inlineStr">
        <is>
          <t>Н.А. Некрасов. Русские женщины</t>
        </is>
      </c>
      <c r="E1961" s="2" t="n">
        <v>1975</v>
      </c>
      <c r="F1961" s="2" t="inlineStr">
        <is>
          <t>фильм-спектакль</t>
        </is>
      </c>
      <c r="G1961" s="2" t="inlineStr">
        <is>
          <t>Центральное телевидение</t>
        </is>
      </c>
      <c r="H1961" s="2" t="n">
        <v>83</v>
      </c>
      <c r="I1961" s="2" t="inlineStr"/>
      <c r="J1961" s="2" t="inlineStr">
        <is>
          <t>да</t>
        </is>
      </c>
      <c r="K1961" s="3" t="inlineStr">
        <is>
          <t>Из цикла "Литературные чтения".
Исполняется поэма Н.А. Некрасова "Русские женщины".</t>
        </is>
      </c>
      <c r="L1961" s="2" t="inlineStr">
        <is>
          <t>https://www.kino-teatr.ru/teatr/movie/104750/annot/</t>
        </is>
      </c>
      <c r="M1961" s="2">
        <f>HYPERLINK("https://ru.wikipedia.org/w/index.php?search=%D0%9D.%D0%90.%20%D0%9D%D0%B5%D0%BA%D1%80%D0%B0%D1%81%D0%BE%D0%B2.%20%D0%A0%D1%83%D1%81%D1%81%D0%BA%D0%B8%D0%B5%20%D0%B6%D0%B5%D0%BD%D1%89%D0%B8%D0%BD%D1%8B%201975%20%D1%84%D0%B8%D0%BB%D1%8C%D0%BC","искать")</f>
        <v/>
      </c>
      <c r="N1961" s="3" t="n"/>
      <c r="O1961" s="2" t="n"/>
      <c r="P1961" s="2" t="n"/>
    </row>
    <row r="1962">
      <c r="A1962" s="2" t="n">
        <v>1961</v>
      </c>
      <c r="B1962" s="2" t="inlineStr">
        <is>
          <t>не сюжет</t>
        </is>
      </c>
      <c r="C1962" s="2" t="n">
        <v>10625</v>
      </c>
      <c r="D1962" s="3" t="inlineStr">
        <is>
          <t>Светлые ожидания</t>
        </is>
      </c>
      <c r="E1962" s="2" t="n">
        <v>1975</v>
      </c>
      <c r="F1962" s="2" t="inlineStr">
        <is>
          <t>фильм-спектакль</t>
        </is>
      </c>
      <c r="G1962" s="2" t="inlineStr">
        <is>
          <t>Главная редакция литературно-драматических программ ЦТ</t>
        </is>
      </c>
      <c r="H1962" s="2" t="n">
        <v>83</v>
      </c>
      <c r="I1962" s="2" t="inlineStr"/>
      <c r="J1962" s="2" t="inlineStr">
        <is>
          <t>да</t>
        </is>
      </c>
      <c r="K1962" s="3" t="inlineStr">
        <is>
          <t>По мотивам рассказов А.И.Куприна «Телеграфист», «Черная молния», «Путешественники».</t>
        </is>
      </c>
      <c r="L1962" s="2" t="inlineStr">
        <is>
          <t>https://www.kino-teatr.ru/teatr/movie/91658/annot/</t>
        </is>
      </c>
      <c r="M1962" s="2">
        <f>HYPERLINK("https://ru.wikipedia.org/w/index.php?search=%D0%A1%D0%B2%D0%B5%D1%82%D0%BB%D1%8B%D0%B5%20%D0%BE%D0%B6%D0%B8%D0%B4%D0%B0%D0%BD%D0%B8%D1%8F%201975%20%D1%84%D0%B8%D0%BB%D1%8C%D0%BC","искать")</f>
        <v/>
      </c>
      <c r="N1962" s="3" t="n"/>
      <c r="O1962" s="2" t="n"/>
      <c r="P1962" s="2" t="n"/>
    </row>
    <row r="1963">
      <c r="A1963" s="2" t="n">
        <v>1962</v>
      </c>
      <c r="B1963" s="2" t="inlineStr">
        <is>
          <t>не сюжет</t>
        </is>
      </c>
      <c r="C1963" s="2" t="n">
        <v>10901</v>
      </c>
      <c r="D1963" s="3" t="inlineStr">
        <is>
          <t>Последний шанс</t>
        </is>
      </c>
      <c r="E1963" s="2" t="n">
        <v>1981</v>
      </c>
      <c r="F1963" s="2" t="inlineStr">
        <is>
          <t>фильм-спектакль</t>
        </is>
      </c>
      <c r="G1963" s="2" t="inlineStr">
        <is>
          <t>Белорусское телевидение, Подборки фильмов, экранизации Василя Быкова</t>
        </is>
      </c>
      <c r="H1963" s="2" t="n">
        <v>83</v>
      </c>
      <c r="I1963" s="2" t="inlineStr"/>
      <c r="J1963" s="2" t="inlineStr">
        <is>
          <t>да</t>
        </is>
      </c>
      <c r="K1963" s="3" t="inlineStr">
        <is>
          <t>Фильм-спектакль Белорусского театра им.Я.Купалы по пьесе В.Быкова "Последний шанс".</t>
        </is>
      </c>
      <c r="L1963" s="2" t="inlineStr">
        <is>
          <t>https://www.kino-teatr.ru/teatr/movie/93616/annot/</t>
        </is>
      </c>
      <c r="M1963" s="2">
        <f>HYPERLINK("https://ru.wikipedia.org/w/index.php?search=%D0%9F%D0%BE%D1%81%D0%BB%D0%B5%D0%B4%D0%BD%D0%B8%D0%B9%20%D1%88%D0%B0%D0%BD%D1%81%201981%20%D1%84%D0%B8%D0%BB%D1%8C%D0%BC","искать")</f>
        <v/>
      </c>
      <c r="N1963" s="3" t="n"/>
      <c r="O1963" s="2" t="n"/>
      <c r="P1963" s="2" t="n"/>
    </row>
    <row r="1964">
      <c r="A1964" s="2" t="n">
        <v>1963</v>
      </c>
      <c r="B1964" s="2" t="inlineStr">
        <is>
          <t>не сюжет</t>
        </is>
      </c>
      <c r="C1964" s="2" t="n">
        <v>11093</v>
      </c>
      <c r="D1964" s="3" t="inlineStr">
        <is>
          <t>Алло, Вы ошиблись номером</t>
        </is>
      </c>
      <c r="E1964" s="2" t="n">
        <v>1986</v>
      </c>
      <c r="F1964" s="2" t="inlineStr">
        <is>
          <t>фильм-спектакль</t>
        </is>
      </c>
      <c r="G1964" s="2" t="inlineStr">
        <is>
          <t>Ленинградское ТВ</t>
        </is>
      </c>
      <c r="H1964" s="2" t="n">
        <v>83</v>
      </c>
      <c r="I1964" s="2" t="inlineStr"/>
      <c r="J1964" s="2" t="inlineStr">
        <is>
          <t>да</t>
        </is>
      </c>
      <c r="K1964" s="3" t="inlineStr">
        <is>
          <t>Остросюжетный спектакль-детектив создан по мотивам повести Л. Флетчер и А. Ульмана.</t>
        </is>
      </c>
      <c r="L1964" s="2" t="inlineStr">
        <is>
          <t>https://www.kino-teatr.ru/teatr/movie/98252/annot/</t>
        </is>
      </c>
      <c r="M1964" s="2">
        <f>HYPERLINK("https://ru.wikipedia.org/w/index.php?search=%D0%90%D0%BB%D0%BB%D0%BE%2C%20%D0%92%D1%8B%20%D0%BE%D1%88%D0%B8%D0%B1%D0%BB%D0%B8%D1%81%D1%8C%20%D0%BD%D0%BE%D0%BC%D0%B5%D1%80%D0%BE%D0%BC%201986%20%D1%84%D0%B8%D0%BB%D1%8C%D0%BC","искать")</f>
        <v/>
      </c>
      <c r="N1964" s="3" t="n"/>
      <c r="O1964" s="2" t="n"/>
      <c r="P1964" s="2" t="n"/>
    </row>
    <row r="1965">
      <c r="A1965" s="2" t="n">
        <v>1964</v>
      </c>
      <c r="B1965" s="2" t="inlineStr">
        <is>
          <t>не сюжет</t>
        </is>
      </c>
      <c r="C1965" s="2" t="n">
        <v>11371</v>
      </c>
      <c r="D1965" s="3" t="inlineStr">
        <is>
          <t>Дон Жуан</t>
        </is>
      </c>
      <c r="E1965" s="2" t="n">
        <v>1987</v>
      </c>
      <c r="F1965" s="2" t="inlineStr">
        <is>
          <t>фильм-опера/балет</t>
        </is>
      </c>
      <c r="G1965" s="2" t="n"/>
      <c r="H1965" s="2" t="n">
        <v>83</v>
      </c>
      <c r="I1965" s="2" t="inlineStr"/>
      <c r="J1965" s="2" t="inlineStr">
        <is>
          <t>да</t>
        </is>
      </c>
      <c r="K1965" s="3" t="inlineStr">
        <is>
          <t>По мотивам одноименной оперы Вольфганга-Амадея Моцарта. Дирижер - Саулюс Сондецкис.</t>
        </is>
      </c>
      <c r="L1965" s="2" t="inlineStr">
        <is>
          <t>Кино_СССР телефильмы и пропуски включить в базу.xlsx</t>
        </is>
      </c>
      <c r="M1965" s="2">
        <f>HYPERLINK("https://ru.wikipedia.org/w/index.php?search=%D0%94%D0%BE%D0%BD%20%D0%96%D1%83%D0%B0%D0%BD%201987%20%D1%84%D0%B8%D0%BB%D1%8C%D0%BC","искать")</f>
        <v/>
      </c>
      <c r="N1965" s="3" t="n"/>
      <c r="O1965" s="2" t="n"/>
      <c r="P1965" s="2" t="n"/>
    </row>
    <row r="1966">
      <c r="A1966" s="2" t="n">
        <v>1965</v>
      </c>
      <c r="B1966" s="2" t="inlineStr">
        <is>
          <t>не сюжет</t>
        </is>
      </c>
      <c r="C1966" s="2" t="n">
        <v>12187</v>
      </c>
      <c r="D1966" s="3" t="inlineStr">
        <is>
          <t>Переменка 5</t>
        </is>
      </c>
      <c r="E1966" s="2" t="n">
        <v>1986</v>
      </c>
      <c r="F1966" s="2" t="inlineStr">
        <is>
          <t>мультфильм</t>
        </is>
      </c>
      <c r="G1966" s="2" t="inlineStr">
        <is>
          <t>Союзмультфильм</t>
        </is>
      </c>
      <c r="H1966" s="2" t="n">
        <v>83</v>
      </c>
      <c r="I1966" s="2" t="inlineStr"/>
      <c r="J1966" s="2" t="inlineStr">
        <is>
          <t>да</t>
        </is>
      </c>
      <c r="K1966" s="3" t="inlineStr">
        <is>
          <t>В выпуске три сюжета на темы школьной жизни: "Холодно", "Сила слова", "Не поделили"</t>
        </is>
      </c>
      <c r="L1966" s="2" t="inlineStr">
        <is>
          <t>https://animator.ru/db/?p=show_film&amp;fid=3304</t>
        </is>
      </c>
      <c r="M1966" s="2">
        <f>HYPERLINK("https://ru.wikipedia.org/w/index.php?search=%D0%9F%D0%B5%D1%80%D0%B5%D0%BC%D0%B5%D0%BD%D0%BA%D0%B0%205%201986%20%D1%84%D0%B8%D0%BB%D1%8C%D0%BC","искать")</f>
        <v/>
      </c>
      <c r="N1966" s="3" t="n"/>
      <c r="O1966" s="2" t="n"/>
      <c r="P1966" s="2" t="n"/>
    </row>
    <row r="1967">
      <c r="A1967" s="2" t="n">
        <v>1966</v>
      </c>
      <c r="B1967" s="2" t="inlineStr">
        <is>
          <t>не сюжет</t>
        </is>
      </c>
      <c r="C1967" s="2" t="n">
        <v>12218</v>
      </c>
      <c r="D1967" s="3" t="inlineStr">
        <is>
          <t>Переменка 6</t>
        </is>
      </c>
      <c r="E1967" s="2" t="n">
        <v>1987</v>
      </c>
      <c r="F1967" s="2" t="inlineStr">
        <is>
          <t>мультфильм</t>
        </is>
      </c>
      <c r="G1967" s="2" t="inlineStr">
        <is>
          <t>Союзмультфильм</t>
        </is>
      </c>
      <c r="H1967" s="2" t="n">
        <v>83</v>
      </c>
      <c r="I1967" s="2" t="inlineStr"/>
      <c r="J1967" s="2" t="inlineStr">
        <is>
          <t>да</t>
        </is>
      </c>
      <c r="K1967" s="3" t="inlineStr">
        <is>
          <t>Очередной выпуск, построенный на основе детских шуток. Для детей школьного возраста</t>
        </is>
      </c>
      <c r="L1967" s="2" t="inlineStr">
        <is>
          <t>https://animator.ru/db/?p=show_film&amp;fid=3335</t>
        </is>
      </c>
      <c r="M1967" s="2">
        <f>HYPERLINK("https://ru.wikipedia.org/w/index.php?search=%D0%9F%D0%B5%D1%80%D0%B5%D0%BC%D0%B5%D0%BD%D0%BA%D0%B0%206%201987%20%D1%84%D0%B8%D0%BB%D1%8C%D0%BC","искать")</f>
        <v/>
      </c>
      <c r="N1967" s="3" t="n"/>
      <c r="O1967" s="2" t="n"/>
      <c r="P1967" s="2" t="n"/>
    </row>
    <row r="1968">
      <c r="A1968" s="2" t="n">
        <v>1967</v>
      </c>
      <c r="B1968" s="2" t="inlineStr">
        <is>
          <t>не сюжет</t>
        </is>
      </c>
      <c r="C1968" s="2" t="n">
        <v>12278</v>
      </c>
      <c r="D1968" s="3" t="inlineStr">
        <is>
          <t>Комино</t>
        </is>
      </c>
      <c r="E1968" s="2" t="n">
        <v>1990</v>
      </c>
      <c r="F1968" s="2" t="inlineStr">
        <is>
          <t>мультфильм</t>
        </is>
      </c>
      <c r="G1968" s="2" t="inlineStr">
        <is>
          <t>Союзмультфильм</t>
        </is>
      </c>
      <c r="H1968" s="2" t="n">
        <v>83</v>
      </c>
      <c r="I1968" s="2" t="inlineStr"/>
      <c r="J1968" s="2" t="inlineStr">
        <is>
          <t>да</t>
        </is>
      </c>
      <c r="K1968" s="3" t="inlineStr">
        <is>
          <t>По мотивам марийской легенды в обработке В.Юксерна о мудрой волшебной выдре Комино.</t>
        </is>
      </c>
      <c r="L1968" s="2" t="inlineStr">
        <is>
          <t>2026-10_мультфильмы_список_владельца.xlsx; https://animator.ru/db/?p=show_film&amp;fid=3395</t>
        </is>
      </c>
      <c r="M1968" s="2">
        <f>HYPERLINK("https://ru.wikipedia.org/w/index.php?search=%D0%9A%D0%BE%D0%BC%D0%B8%D0%BD%D0%BE%201990%20%D1%84%D0%B8%D0%BB%D1%8C%D0%BC","искать")</f>
        <v/>
      </c>
      <c r="N1968" s="3" t="n"/>
      <c r="O1968" s="2" t="n"/>
      <c r="P1968" s="2" t="n"/>
    </row>
    <row r="1969">
      <c r="A1969" s="2" t="n">
        <v>1968</v>
      </c>
      <c r="B1969" s="2" t="inlineStr">
        <is>
          <t>не сюжет</t>
        </is>
      </c>
      <c r="C1969" s="2" t="n">
        <v>13130</v>
      </c>
      <c r="D1969" s="3" t="inlineStr">
        <is>
          <t>Веревка</t>
        </is>
      </c>
      <c r="E1969" s="2" t="n">
        <v>1990</v>
      </c>
      <c r="F1969" s="2" t="inlineStr">
        <is>
          <t>мультфильм</t>
        </is>
      </c>
      <c r="G1969" s="2" t="inlineStr">
        <is>
          <t>МОЛДОВА-ФИЛЬМ</t>
        </is>
      </c>
      <c r="H1969" s="2" t="n">
        <v>83</v>
      </c>
      <c r="I1969" s="2" t="inlineStr"/>
      <c r="J1969" s="2" t="inlineStr">
        <is>
          <t>да</t>
        </is>
      </c>
      <c r="K1969" s="3" t="inlineStr">
        <is>
          <t>По мотивам стихотворения Н.Есиненку "Веревка в небе" о чудаке, влюбленном в красоту</t>
        </is>
      </c>
      <c r="L1969" s="2" t="inlineStr">
        <is>
          <t>https://animator.ru/db/?p=show_film&amp;fid=4362</t>
        </is>
      </c>
      <c r="M1969" s="2">
        <f>HYPERLINK("https://ru.wikipedia.org/w/index.php?search=%D0%92%D0%B5%D1%80%D0%B5%D0%B2%D0%BA%D0%B0%201990%20%D1%84%D0%B8%D0%BB%D1%8C%D0%BC","искать")</f>
        <v/>
      </c>
      <c r="N1969" s="3" t="n"/>
      <c r="O1969" s="2" t="n"/>
      <c r="P1969" s="2" t="n"/>
    </row>
    <row r="1970">
      <c r="A1970" s="2" t="n">
        <v>1969</v>
      </c>
      <c r="B1970" s="2" t="inlineStr">
        <is>
          <t>не сюжет</t>
        </is>
      </c>
      <c r="C1970" s="2" t="n">
        <v>14166</v>
      </c>
      <c r="D1970" s="3" t="inlineStr">
        <is>
          <t>Про паучка, с которым никто не дружил</t>
        </is>
      </c>
      <c r="E1970" s="2" t="n">
        <v>1975</v>
      </c>
      <c r="F1970" s="2" t="inlineStr">
        <is>
          <t>мультфильм</t>
        </is>
      </c>
      <c r="G1970" s="2" t="inlineStr">
        <is>
          <t>ВОЛГОГРАДТЕЛЕФИЛЬМ</t>
        </is>
      </c>
      <c r="H1970" s="2" t="n">
        <v>83</v>
      </c>
      <c r="I1970" s="2" t="inlineStr"/>
      <c r="J1970" s="2" t="inlineStr">
        <is>
          <t>да</t>
        </is>
      </c>
      <c r="K1970" s="3" t="inlineStr">
        <is>
          <t>По мотивам книги английской писательницы Э.Хогарт "Мафин и его друзья". Для малышй.</t>
        </is>
      </c>
      <c r="L1970" s="2" t="inlineStr">
        <is>
          <t>https://animator.ru/db/?p=show_film&amp;fid=5564</t>
        </is>
      </c>
      <c r="M1970" s="2">
        <f>HYPERLINK("https://ru.wikipedia.org/w/index.php?search=%D0%9F%D1%80%D0%BE%20%D0%BF%D0%B0%D1%83%D1%87%D0%BA%D0%B0%2C%20%D1%81%20%D0%BA%D0%BE%D1%82%D0%BE%D1%80%D1%8B%D0%BC%20%D0%BD%D0%B8%D0%BA%D1%82%D0%BE%20%D0%BD%D0%B5%20%D0%B4%D1%80%D1%83%D0%B6%D0%B8%D0%BB%201975%20%D1%84%D0%B8%D0%BB%D1%8C%D0%BC","искать")</f>
        <v/>
      </c>
      <c r="N1970" s="3" t="n"/>
      <c r="O1970" s="2" t="n"/>
      <c r="P1970" s="2" t="n"/>
    </row>
    <row r="1971">
      <c r="A1971" s="2" t="n">
        <v>1970</v>
      </c>
      <c r="B1971" s="2" t="inlineStr">
        <is>
          <t>не сюжет</t>
        </is>
      </c>
      <c r="C1971" s="2" t="n">
        <v>14206</v>
      </c>
      <c r="D1971" s="3" t="inlineStr">
        <is>
          <t>Веселая карусель n 3. Голубой метеорит</t>
        </is>
      </c>
      <c r="E1971" s="2" t="n">
        <v>1971</v>
      </c>
      <c r="F1971" s="2" t="inlineStr">
        <is>
          <t>мультфильм</t>
        </is>
      </c>
      <c r="G1971" s="2" t="inlineStr">
        <is>
          <t>Союзмультфильм</t>
        </is>
      </c>
      <c r="H1971" s="2" t="n">
        <v>83</v>
      </c>
      <c r="I1971" s="2" t="inlineStr"/>
      <c r="J1971" s="2" t="inlineStr">
        <is>
          <t>да</t>
        </is>
      </c>
      <c r="K1971" s="3" t="inlineStr">
        <is>
          <t>Сюжет из альманаха «ВЕСЕЛАЯ КАРУСЕЛЬ N 3»
По одноименному стизотворению Романа Сефа</t>
        </is>
      </c>
      <c r="L1971" s="2" t="inlineStr">
        <is>
          <t>https://animator.ru/db/?p=show_film&amp;fid=5604</t>
        </is>
      </c>
      <c r="M1971" s="2">
        <f>HYPERLINK("https://ru.wikipedia.org/w/index.php?search=%D0%92%D0%B5%D1%81%D0%B5%D0%BB%D0%B0%D1%8F%20%D0%BA%D0%B0%D1%80%D1%83%D1%81%D0%B5%D0%BB%D1%8C%20n%203.%20%D0%93%D0%BE%D0%BB%D1%83%D0%B1%D0%BE%D0%B9%20%D0%BC%D0%B5%D1%82%D0%B5%D0%BE%D1%80%D0%B8%D1%82%201971%20%D1%84%D0%B8%D0%BB%D1%8C%D0%BC","искать")</f>
        <v/>
      </c>
      <c r="N1971" s="3" t="n"/>
      <c r="O1971" s="2" t="n"/>
      <c r="P1971" s="2" t="n"/>
    </row>
    <row r="1972">
      <c r="A1972" s="2" t="n">
        <v>1971</v>
      </c>
      <c r="B1972" s="2" t="inlineStr">
        <is>
          <t>не сюжет</t>
        </is>
      </c>
      <c r="C1972" s="2" t="n">
        <v>14317</v>
      </c>
      <c r="D1972" s="3" t="inlineStr">
        <is>
          <t>Однажды - где-то...Кто-то</t>
        </is>
      </c>
      <c r="E1972" s="2" t="n">
        <v>1990</v>
      </c>
      <c r="F1972" s="2" t="inlineStr">
        <is>
          <t>мультфильм</t>
        </is>
      </c>
      <c r="G1972" s="2" t="inlineStr">
        <is>
          <t>АЗЕРБАЙДЖАНФИЛЬМ</t>
        </is>
      </c>
      <c r="H1972" s="2" t="n">
        <v>83</v>
      </c>
      <c r="I1972" s="2" t="inlineStr"/>
      <c r="J1972" s="2" t="inlineStr">
        <is>
          <t>да</t>
        </is>
      </c>
      <c r="K1972" s="3" t="inlineStr">
        <is>
          <t>Три новеллы о дичности и власти, человеке и толпе, свободном художнике и карьеристе</t>
        </is>
      </c>
      <c r="L1972" s="2" t="inlineStr">
        <is>
          <t>https://animator.ru/db/?p=show_film&amp;fid=5863</t>
        </is>
      </c>
      <c r="M1972" s="2">
        <f>HYPERLINK("https://ru.wikipedia.org/w/index.php?search=%D0%9E%D0%B4%D0%BD%D0%B0%D0%B6%D0%B4%D1%8B%20-%20%D0%B3%D0%B4%D0%B5-%D1%82%D0%BE...%D0%9A%D1%82%D0%BE-%D1%82%D0%BE%201990%20%D1%84%D0%B8%D0%BB%D1%8C%D0%BC","искать")</f>
        <v/>
      </c>
      <c r="N1972" s="3" t="n"/>
      <c r="O1972" s="2" t="n"/>
      <c r="P1972" s="2" t="n"/>
    </row>
    <row r="1973">
      <c r="A1973" s="2" t="n">
        <v>1972</v>
      </c>
      <c r="B1973" s="2" t="inlineStr">
        <is>
          <t>не сюжет</t>
        </is>
      </c>
      <c r="C1973" s="2" t="n">
        <v>7190</v>
      </c>
      <c r="D1973" s="3" t="inlineStr">
        <is>
          <t>Автограф</t>
        </is>
      </c>
      <c r="E1973" s="2" t="n">
        <v>1984</v>
      </c>
      <c r="F1973" s="2" t="inlineStr">
        <is>
          <t>телефильм</t>
        </is>
      </c>
      <c r="G1973" s="2" t="inlineStr">
        <is>
          <t>ТО «Экран»</t>
        </is>
      </c>
      <c r="H1973" s="2" t="n">
        <v>84</v>
      </c>
      <c r="I1973" s="2" t="inlineStr"/>
      <c r="J1973" s="2" t="inlineStr">
        <is>
          <t>да</t>
        </is>
      </c>
      <c r="K1973" s="3" t="inlineStr">
        <is>
          <t>Музыкальный телевизионный фильм-концерт известной итальянской певицы Лореданы Берте.</t>
        </is>
      </c>
      <c r="L1973" s="2" t="inlineStr">
        <is>
          <t>Кино_СССР сводный каталог.xlsx: список телефильмов</t>
        </is>
      </c>
      <c r="M1973" s="2">
        <f>HYPERLINK("https://ru.wikipedia.org/w/index.php?search=%D0%90%D0%B2%D1%82%D0%BE%D0%B3%D1%80%D0%B0%D1%84%201984%20%D1%84%D0%B8%D0%BB%D1%8C%D0%BC","искать")</f>
        <v/>
      </c>
      <c r="N1973" s="3" t="n"/>
      <c r="O1973" s="2" t="n"/>
      <c r="P1973" s="2" t="n"/>
    </row>
    <row r="1974">
      <c r="A1974" s="2" t="n">
        <v>1973</v>
      </c>
      <c r="B1974" s="2" t="inlineStr">
        <is>
          <t>не сюжет</t>
        </is>
      </c>
      <c r="C1974" s="2" t="n">
        <v>7621</v>
      </c>
      <c r="D1974" s="3" t="inlineStr">
        <is>
          <t>Завтра начинается сегодня</t>
        </is>
      </c>
      <c r="E1974" s="2" t="n">
        <v>1984</v>
      </c>
      <c r="F1974" s="2" t="inlineStr">
        <is>
          <t>телефильм</t>
        </is>
      </c>
      <c r="G1974" s="2" t="inlineStr">
        <is>
          <t>Укртелефильм</t>
        </is>
      </c>
      <c r="H1974" s="2" t="n">
        <v>84</v>
      </c>
      <c r="I1974" s="2" t="inlineStr"/>
      <c r="J1974" s="2" t="inlineStr">
        <is>
          <t>да</t>
        </is>
      </c>
      <c r="K1974" s="3" t="inlineStr">
        <is>
          <t>Телевизионный фильм о производственном конфликте на одной из донецких угольных шахт.</t>
        </is>
      </c>
      <c r="L1974" s="2" t="inlineStr">
        <is>
          <t>Кино_СССР сводный каталог.xlsx: список телефильмов</t>
        </is>
      </c>
      <c r="M1974" s="2">
        <f>HYPERLINK("https://ru.wikipedia.org/w/index.php?search=%D0%97%D0%B0%D0%B2%D1%82%D1%80%D0%B0%20%D0%BD%D0%B0%D1%87%D0%B8%D0%BD%D0%B0%D0%B5%D1%82%D1%81%D1%8F%20%D1%81%D0%B5%D0%B3%D0%BE%D0%B4%D0%BD%D1%8F%201984%20%D1%84%D0%B8%D0%BB%D1%8C%D0%BC","искать")</f>
        <v/>
      </c>
      <c r="N1974" s="3" t="n"/>
      <c r="O1974" s="2" t="n"/>
      <c r="P1974" s="2" t="n"/>
    </row>
    <row r="1975">
      <c r="A1975" s="2" t="n">
        <v>1974</v>
      </c>
      <c r="B1975" s="2" t="inlineStr">
        <is>
          <t>не сюжет</t>
        </is>
      </c>
      <c r="C1975" s="2" t="n">
        <v>8678</v>
      </c>
      <c r="D1975" s="3" t="inlineStr">
        <is>
          <t>Глазами сатаны</t>
        </is>
      </c>
      <c r="E1975" s="2" t="n">
        <v>1991</v>
      </c>
      <c r="F1975" s="2" t="inlineStr">
        <is>
          <t>телефильм</t>
        </is>
      </c>
      <c r="G1975" s="2" t="inlineStr">
        <is>
          <t>"Укртелефильм"</t>
        </is>
      </c>
      <c r="H1975" s="2" t="n">
        <v>84</v>
      </c>
      <c r="I1975" s="2" t="inlineStr"/>
      <c r="J1975" s="2" t="inlineStr">
        <is>
          <t>да</t>
        </is>
      </c>
      <c r="K1975" s="3" t="inlineStr">
        <is>
          <t>Экранизация пьесы французского писателя  Ж.П. Сартра "За дверью". О природе женщины.</t>
        </is>
      </c>
      <c r="L1975" s="2" t="inlineStr">
        <is>
          <t>Кино_СССР сводный каталог.xlsx: список фильмов (доп.)</t>
        </is>
      </c>
      <c r="M1975" s="2">
        <f>HYPERLINK("https://ru.wikipedia.org/w/index.php?search=%D0%93%D0%BB%D0%B0%D0%B7%D0%B0%D0%BC%D0%B8%20%D1%81%D0%B0%D1%82%D0%B0%D0%BD%D1%8B%201991%20%D1%84%D0%B8%D0%BB%D1%8C%D0%BC","искать")</f>
        <v/>
      </c>
      <c r="N1975" s="3" t="n"/>
      <c r="O1975" s="2" t="n"/>
      <c r="P1975" s="2" t="n"/>
    </row>
    <row r="1976">
      <c r="A1976" s="2" t="n">
        <v>1975</v>
      </c>
      <c r="B1976" s="2" t="inlineStr">
        <is>
          <t>не сюжет</t>
        </is>
      </c>
      <c r="C1976" s="2" t="n">
        <v>9849</v>
      </c>
      <c r="D1976" s="3" t="inlineStr">
        <is>
          <t>Кряжёнок</t>
        </is>
      </c>
      <c r="E1976" s="2" t="n">
        <v>1968</v>
      </c>
      <c r="F1976" s="2" t="inlineStr">
        <is>
          <t>телефильм</t>
        </is>
      </c>
      <c r="G1976" s="2" t="inlineStr">
        <is>
          <t>Минсктелефильм</t>
        </is>
      </c>
      <c r="H1976" s="2" t="n">
        <v>84</v>
      </c>
      <c r="I1976" s="2" t="inlineStr"/>
      <c r="J1976" s="2" t="inlineStr">
        <is>
          <t>да</t>
        </is>
      </c>
      <c r="K1976" s="3" t="inlineStr">
        <is>
          <t>По одноименному рассказу Н.Богданова.
О лесосплавщиках - Кряже и его внуке Кряжонке.</t>
        </is>
      </c>
      <c r="L1976" s="2" t="inlineStr">
        <is>
          <t>https://www.kino-teatr.ru/short/movie/sov/86351/annot/</t>
        </is>
      </c>
      <c r="M1976" s="2">
        <f>HYPERLINK("https://ru.wikipedia.org/w/index.php?search=%D0%9A%D1%80%D1%8F%D0%B6%D1%91%D0%BD%D0%BE%D0%BA%201968%20%D1%84%D0%B8%D0%BB%D1%8C%D0%BC","искать")</f>
        <v/>
      </c>
      <c r="N1976" s="3" t="n"/>
      <c r="O1976" s="2" t="n"/>
      <c r="P1976" s="2" t="n"/>
    </row>
    <row r="1977">
      <c r="A1977" s="2" t="n">
        <v>1976</v>
      </c>
      <c r="B1977" s="2" t="inlineStr">
        <is>
          <t>не сюжет</t>
        </is>
      </c>
      <c r="C1977" s="2" t="n">
        <v>11175</v>
      </c>
      <c r="D1977" s="3" t="inlineStr">
        <is>
          <t>О, Мельпомена!</t>
        </is>
      </c>
      <c r="E1977" s="2" t="n">
        <v>1987</v>
      </c>
      <c r="F1977" s="2" t="inlineStr">
        <is>
          <t>фильм-спектакль</t>
        </is>
      </c>
      <c r="G1977" s="2" t="inlineStr">
        <is>
          <t>Главная редакция художественного вещания ленинградского телевидения</t>
        </is>
      </c>
      <c r="H1977" s="2" t="n">
        <v>84</v>
      </c>
      <c r="I1977" s="2" t="inlineStr"/>
      <c r="J1977" s="2" t="inlineStr">
        <is>
          <t>да</t>
        </is>
      </c>
      <c r="K1977" s="3" t="inlineStr">
        <is>
          <t>Телеспектакль по мотивам рассказов А.П. Чехова "Трагик", "Барон", "Критик", "Комик".</t>
        </is>
      </c>
      <c r="L1977" s="2" t="inlineStr">
        <is>
          <t>https://www.kino-teatr.ru/teatr/movie/115182/annot/</t>
        </is>
      </c>
      <c r="M1977" s="2">
        <f>HYPERLINK("https://ru.wikipedia.org/w/index.php?search=%D0%9E%2C%20%D0%9C%D0%B5%D0%BB%D1%8C%D0%BF%D0%BE%D0%BC%D0%B5%D0%BD%D0%B0%21%201987%20%D1%84%D0%B8%D0%BB%D1%8C%D0%BC","искать")</f>
        <v/>
      </c>
      <c r="N1977" s="3" t="n"/>
      <c r="O1977" s="2" t="n"/>
      <c r="P1977" s="2" t="n"/>
    </row>
    <row r="1978">
      <c r="A1978" s="2" t="n">
        <v>1977</v>
      </c>
      <c r="B1978" s="2" t="inlineStr">
        <is>
          <t>не сюжет</t>
        </is>
      </c>
      <c r="C1978" s="2" t="n">
        <v>12077</v>
      </c>
      <c r="D1978" s="3" t="inlineStr">
        <is>
          <t>Александр Алексеев. Картинки с выставки</t>
        </is>
      </c>
      <c r="E1978" s="2" t="n">
        <v>1984</v>
      </c>
      <c r="F1978" s="2" t="inlineStr">
        <is>
          <t>мультфильм</t>
        </is>
      </c>
      <c r="G1978" s="2" t="inlineStr">
        <is>
          <t>Союзмультфильм</t>
        </is>
      </c>
      <c r="H1978" s="2" t="n">
        <v>84</v>
      </c>
      <c r="I1978" s="2" t="inlineStr"/>
      <c r="J1978" s="2" t="inlineStr">
        <is>
          <t>да</t>
        </is>
      </c>
      <c r="K1978" s="3" t="inlineStr">
        <is>
          <t>На музыку М.Мусоргского: "Избушка на курьих ножках" и "Балет невылупившихся птенцов"</t>
        </is>
      </c>
      <c r="L1978" s="2" t="inlineStr">
        <is>
          <t>https://animator.ru/db/?p=show_film&amp;fid=3192</t>
        </is>
      </c>
      <c r="M1978" s="2">
        <f>HYPERLINK("https://ru.wikipedia.org/w/index.php?search=%D0%90%D0%BB%D0%B5%D0%BA%D1%81%D0%B0%D0%BD%D0%B4%D1%80%20%D0%90%D0%BB%D0%B5%D0%BA%D1%81%D0%B5%D0%B5%D0%B2.%20%D0%9A%D0%B0%D1%80%D1%82%D0%B8%D0%BD%D0%BA%D0%B8%20%D1%81%20%D0%B2%D1%8B%D1%81%D1%82%D0%B0%D0%B2%D0%BA%D0%B8%201984%20%D1%84%D0%B8%D0%BB%D1%8C%D0%BC","искать")</f>
        <v/>
      </c>
      <c r="N1978" s="3" t="n"/>
      <c r="O1978" s="2" t="n"/>
      <c r="P1978" s="2" t="n"/>
    </row>
    <row r="1979">
      <c r="A1979" s="2" t="n">
        <v>1978</v>
      </c>
      <c r="B1979" s="2" t="inlineStr">
        <is>
          <t>не сюжет</t>
        </is>
      </c>
      <c r="C1979" s="2" t="n">
        <v>12258</v>
      </c>
      <c r="D1979" s="3" t="inlineStr">
        <is>
          <t>Перевал</t>
        </is>
      </c>
      <c r="E1979" s="2" t="n">
        <v>1988</v>
      </c>
      <c r="F1979" s="2" t="inlineStr">
        <is>
          <t>мультфильм</t>
        </is>
      </c>
      <c r="G1979" s="2" t="inlineStr">
        <is>
          <t>Союзмультфильм</t>
        </is>
      </c>
      <c r="H1979" s="2" t="n">
        <v>84</v>
      </c>
      <c r="I1979" s="2" t="inlineStr"/>
      <c r="J1979" s="2" t="inlineStr">
        <is>
          <t>да</t>
        </is>
      </c>
      <c r="K1979" s="3" t="inlineStr">
        <is>
          <t>Фантастический фильм по одноименной повести К. Булычева.Песня на стихи Саши Черного.</t>
        </is>
      </c>
      <c r="L1979" s="2" t="inlineStr">
        <is>
          <t>2026-10_мультфильмы_список_владельца.xlsx; https://animator.ru/db/?p=show_film&amp;fid=3375</t>
        </is>
      </c>
      <c r="M1979" s="2">
        <f>HYPERLINK("https://ru.wikipedia.org/w/index.php?search=%D0%9F%D0%B5%D1%80%D0%B5%D0%B2%D0%B0%D0%BB%201988%20%D1%84%D0%B8%D0%BB%D1%8C%D0%BC","искать")</f>
        <v/>
      </c>
      <c r="N1979" s="3" t="n"/>
      <c r="O1979" s="2" t="n"/>
      <c r="P1979" s="2" t="n"/>
    </row>
    <row r="1980">
      <c r="A1980" s="2" t="n">
        <v>1979</v>
      </c>
      <c r="B1980" s="2" t="inlineStr">
        <is>
          <t>не сюжет</t>
        </is>
      </c>
      <c r="C1980" s="2" t="n">
        <v>12783</v>
      </c>
      <c r="D1980" s="3" t="inlineStr">
        <is>
          <t>Знакомые лица</t>
        </is>
      </c>
      <c r="E1980" s="2" t="n">
        <v>1980</v>
      </c>
      <c r="F1980" s="2" t="inlineStr">
        <is>
          <t>мультфильм</t>
        </is>
      </c>
      <c r="G1980" s="2" t="inlineStr">
        <is>
          <t>АРМЕНФИЛЬМ</t>
        </is>
      </c>
      <c r="H1980" s="2" t="n">
        <v>84</v>
      </c>
      <c r="I1980" s="2" t="inlineStr"/>
      <c r="J1980" s="2" t="inlineStr">
        <is>
          <t>да</t>
        </is>
      </c>
      <c r="K1980" s="3" t="inlineStr">
        <is>
          <t>Три сатирических сюжета о безответственном отношении к государственной собственности</t>
        </is>
      </c>
      <c r="L1980" s="2" t="inlineStr">
        <is>
          <t>https://animator.ru/db/?p=show_film&amp;fid=3992</t>
        </is>
      </c>
      <c r="M1980" s="2">
        <f>HYPERLINK("https://ru.wikipedia.org/w/index.php?search=%D0%97%D0%BD%D0%B0%D0%BA%D0%BE%D0%BC%D1%8B%D0%B5%20%D0%BB%D0%B8%D1%86%D0%B0%201980%20%D1%84%D0%B8%D0%BB%D1%8C%D0%BC","искать")</f>
        <v/>
      </c>
      <c r="N1980" s="3" t="n"/>
      <c r="O1980" s="2" t="n"/>
      <c r="P1980" s="2" t="n"/>
    </row>
    <row r="1981">
      <c r="A1981" s="2" t="n">
        <v>1980</v>
      </c>
      <c r="B1981" s="2" t="inlineStr">
        <is>
          <t>не сюжет</t>
        </is>
      </c>
      <c r="C1981" s="2" t="n">
        <v>13227</v>
      </c>
      <c r="D1981" s="3" t="inlineStr">
        <is>
          <t>Гвоздь</t>
        </is>
      </c>
      <c r="E1981" s="2" t="n">
        <v>1972</v>
      </c>
      <c r="F1981" s="2" t="inlineStr">
        <is>
          <t>мультфильм</t>
        </is>
      </c>
      <c r="G1981" s="2" t="inlineStr">
        <is>
          <t>ТАЛЛИННФИЛЬМ</t>
        </is>
      </c>
      <c r="H1981" s="2" t="n">
        <v>84</v>
      </c>
      <c r="I1981" s="2" t="inlineStr"/>
      <c r="J1981" s="2" t="inlineStr">
        <is>
          <t>да</t>
        </is>
      </c>
      <c r="K1981" s="3" t="inlineStr">
        <is>
          <t>"Жестокая мелодрама", разыгранная неожиданными персонажами - обыкновенными гвоздями.</t>
        </is>
      </c>
      <c r="L1981" s="2" t="inlineStr">
        <is>
          <t>2026-10_мультфильмы_список_владельца.xlsx; https://animator.ru/db/?p=show_film&amp;fid=4467</t>
        </is>
      </c>
      <c r="M1981" s="2">
        <f>HYPERLINK("https://ru.wikipedia.org/w/index.php?search=%D0%93%D0%B2%D0%BE%D0%B7%D0%B4%D1%8C%201972%20%D1%84%D0%B8%D0%BB%D1%8C%D0%BC","искать")</f>
        <v/>
      </c>
      <c r="N1981" s="3" t="n"/>
      <c r="O1981" s="2" t="n"/>
      <c r="P1981" s="2" t="n"/>
    </row>
    <row r="1982">
      <c r="A1982" s="2" t="n">
        <v>1981</v>
      </c>
      <c r="B1982" s="2" t="inlineStr">
        <is>
          <t>не сюжет</t>
        </is>
      </c>
      <c r="C1982" s="2" t="n">
        <v>13262</v>
      </c>
      <c r="D1982" s="3" t="inlineStr">
        <is>
          <t>Сон технократа (Воскресенье)</t>
        </is>
      </c>
      <c r="E1982" s="2" t="n">
        <v>1977</v>
      </c>
      <c r="F1982" s="2" t="inlineStr">
        <is>
          <t>мультфильм</t>
        </is>
      </c>
      <c r="G1982" s="2" t="inlineStr">
        <is>
          <t>ТАЛЛИННФИЛЬМ</t>
        </is>
      </c>
      <c r="H1982" s="2" t="n">
        <v>84</v>
      </c>
      <c r="I1982" s="2" t="inlineStr"/>
      <c r="J1982" s="2" t="inlineStr">
        <is>
          <t>да</t>
        </is>
      </c>
      <c r="K1982" s="3" t="inlineStr">
        <is>
          <t>О человеке будущего, жизнь которого проходит среди автоматов и роботов. Для взрослых</t>
        </is>
      </c>
      <c r="L1982" s="2" t="inlineStr">
        <is>
          <t>https://animator.ru/db/?p=show_film&amp;fid=4514</t>
        </is>
      </c>
      <c r="M1982" s="2">
        <f>HYPERLINK("https://ru.wikipedia.org/w/index.php?search=%D0%A1%D0%BE%D0%BD%20%D1%82%D0%B5%D1%85%D0%BD%D0%BE%D0%BA%D1%80%D0%B0%D1%82%D0%B0%20%28%D0%92%D0%BE%D1%81%D0%BA%D1%80%D0%B5%D1%81%D0%B5%D0%BD%D1%8C%D0%B5%29%201977%20%D1%84%D0%B8%D0%BB%D1%8C%D0%BC","искать")</f>
        <v/>
      </c>
      <c r="N1982" s="3" t="n"/>
      <c r="O1982" s="2" t="n"/>
      <c r="P1982" s="2" t="n"/>
    </row>
    <row r="1983">
      <c r="A1983" s="2" t="n">
        <v>1982</v>
      </c>
      <c r="B1983" s="2" t="inlineStr">
        <is>
          <t>не сюжет</t>
        </is>
      </c>
      <c r="C1983" s="2" t="n">
        <v>13874</v>
      </c>
      <c r="D1983" s="3" t="inlineStr">
        <is>
          <t>Каменные музыканты</t>
        </is>
      </c>
      <c r="E1983" s="2" t="n">
        <v>1986</v>
      </c>
      <c r="F1983" s="2" t="inlineStr">
        <is>
          <t>мультфильм</t>
        </is>
      </c>
      <c r="G1983" s="2" t="inlineStr">
        <is>
          <t>ЭКРАН</t>
        </is>
      </c>
      <c r="H1983" s="2" t="n">
        <v>84</v>
      </c>
      <c r="I1983" s="2" t="inlineStr"/>
      <c r="J1983" s="2" t="inlineStr">
        <is>
          <t>да</t>
        </is>
      </c>
      <c r="K1983" s="3" t="inlineStr">
        <is>
          <t>Из циклв "Рассказы о профессиях". О мастерах- архитекторах и строителях. Для малышей</t>
        </is>
      </c>
      <c r="L1983" s="2" t="inlineStr">
        <is>
          <t>https://animator.ru/db/?p=show_film&amp;fid=5267</t>
        </is>
      </c>
      <c r="M1983" s="2">
        <f>HYPERLINK("https://ru.wikipedia.org/w/index.php?search=%D0%9A%D0%B0%D0%BC%D0%B5%D0%BD%D0%BD%D1%8B%D0%B5%20%D0%BC%D1%83%D0%B7%D1%8B%D0%BA%D0%B0%D0%BD%D1%82%D1%8B%201986%20%D1%84%D0%B8%D0%BB%D1%8C%D0%BC","искать")</f>
        <v/>
      </c>
      <c r="N1983" s="3" t="n"/>
      <c r="O1983" s="2" t="n"/>
      <c r="P1983" s="2" t="n"/>
    </row>
    <row r="1984">
      <c r="A1984" s="2" t="n">
        <v>1983</v>
      </c>
      <c r="B1984" s="2" t="inlineStr">
        <is>
          <t>не сюжет</t>
        </is>
      </c>
      <c r="C1984" s="2" t="n">
        <v>7589</v>
      </c>
      <c r="D1984" s="3" t="inlineStr">
        <is>
          <t>Жена моя, дети мои (киноальманах)</t>
        </is>
      </c>
      <c r="E1984" s="2" t="n">
        <v>1978</v>
      </c>
      <c r="F1984" s="2" t="inlineStr">
        <is>
          <t>телефильм</t>
        </is>
      </c>
      <c r="G1984" s="2" t="n"/>
      <c r="H1984" s="2" t="n">
        <v>85</v>
      </c>
      <c r="I1984" s="2" t="inlineStr"/>
      <c r="J1984" s="2" t="inlineStr">
        <is>
          <t>да</t>
        </is>
      </c>
      <c r="K1984" s="3" t="inlineStr">
        <is>
          <t>Киноальманах из трёх новелл: "Свадьба", "Удобное место в саду", "Жена моя, дети мои".</t>
        </is>
      </c>
      <c r="L1984" s="2" t="inlineStr">
        <is>
          <t>Кино_СССР сводный каталог.xlsx: список телефильмов</t>
        </is>
      </c>
      <c r="M1984" s="2">
        <f>HYPERLINK("https://ru.wikipedia.org/w/index.php?search=%D0%96%D0%B5%D0%BD%D0%B0%20%D0%BC%D0%BE%D1%8F%2C%20%D0%B4%D0%B5%D1%82%D0%B8%20%D0%BC%D0%BE%D0%B8%20%28%D0%BA%D0%B8%D0%BD%D0%BE%D0%B0%D0%BB%D1%8C%D0%BC%D0%B0%D0%BD%D0%B0%D1%85%29%201978%20%D1%84%D0%B8%D0%BB%D1%8C%D0%BC","искать")</f>
        <v/>
      </c>
      <c r="N1984" s="3" t="n"/>
      <c r="O1984" s="2" t="n"/>
      <c r="P1984" s="2" t="n"/>
    </row>
    <row r="1985">
      <c r="A1985" s="2" t="n">
        <v>1984</v>
      </c>
      <c r="B1985" s="2" t="inlineStr">
        <is>
          <t>не сюжет</t>
        </is>
      </c>
      <c r="C1985" s="2" t="n">
        <v>9978</v>
      </c>
      <c r="D1985" s="3" t="inlineStr">
        <is>
          <t>Фортуна</t>
        </is>
      </c>
      <c r="E1985" s="2" t="n">
        <v>1981</v>
      </c>
      <c r="F1985" s="2" t="inlineStr">
        <is>
          <t>кинофильм</t>
        </is>
      </c>
      <c r="G1985" s="2" t="inlineStr">
        <is>
          <t>Мосфильм</t>
        </is>
      </c>
      <c r="H1985" s="2" t="n">
        <v>85</v>
      </c>
      <c r="I1985" s="2" t="inlineStr"/>
      <c r="J1985" s="2" t="inlineStr">
        <is>
          <t>да</t>
        </is>
      </c>
      <c r="K1985" s="3" t="inlineStr">
        <is>
          <t>По мотивам рассказа Григория Горина «Лотерейный билет».
Шутка о превратностях судьбы.</t>
        </is>
      </c>
      <c r="L1985" s="2" t="inlineStr">
        <is>
          <t>https://www.kino-teatr.ru/short/movie/sov/8723/annot/</t>
        </is>
      </c>
      <c r="M1985" s="2">
        <f>HYPERLINK("https://ru.wikipedia.org/w/index.php?search=%D0%A4%D0%BE%D1%80%D1%82%D1%83%D0%BD%D0%B0%201981%20%D1%84%D0%B8%D0%BB%D1%8C%D0%BC","искать")</f>
        <v/>
      </c>
      <c r="N1985" s="3" t="n"/>
      <c r="O1985" s="2" t="n"/>
      <c r="P1985" s="2" t="n"/>
    </row>
    <row r="1986">
      <c r="A1986" s="2" t="n">
        <v>1985</v>
      </c>
      <c r="B1986" s="2" t="inlineStr">
        <is>
          <t>не сюжет</t>
        </is>
      </c>
      <c r="C1986" s="2" t="n">
        <v>10784</v>
      </c>
      <c r="D1986" s="3" t="inlineStr">
        <is>
          <t>Хозяйка гостиницы</t>
        </is>
      </c>
      <c r="E1986" s="2" t="n">
        <v>1978</v>
      </c>
      <c r="F1986" s="2" t="inlineStr">
        <is>
          <t>фильм-спектакль</t>
        </is>
      </c>
      <c r="G1986" s="2" t="inlineStr">
        <is>
          <t>Азербайджанское телевидение</t>
        </is>
      </c>
      <c r="H1986" s="2" t="n">
        <v>85</v>
      </c>
      <c r="I1986" s="2" t="inlineStr"/>
      <c r="J1986" s="2" t="inlineStr">
        <is>
          <t>да</t>
        </is>
      </c>
      <c r="K1986" s="3" t="inlineStr">
        <is>
          <t>Телевизионная экранизация одноименной комедии итальянского драматурга Карло Гольдони.</t>
        </is>
      </c>
      <c r="L1986" s="2" t="inlineStr">
        <is>
          <t>https://www.kino-teatr.ru/teatr/movie/97518/annot/</t>
        </is>
      </c>
      <c r="M1986" s="2">
        <f>HYPERLINK("https://ru.wikipedia.org/w/index.php?search=%D0%A5%D0%BE%D0%B7%D1%8F%D0%B9%D0%BA%D0%B0%20%D0%B3%D0%BE%D1%81%D1%82%D0%B8%D0%BD%D0%B8%D1%86%D1%8B%201978%20%D1%84%D0%B8%D0%BB%D1%8C%D0%BC","искать")</f>
        <v/>
      </c>
      <c r="N1986" s="3" t="n"/>
      <c r="O1986" s="2" t="n"/>
      <c r="P1986" s="2" t="n"/>
    </row>
    <row r="1987">
      <c r="A1987" s="2" t="n">
        <v>1986</v>
      </c>
      <c r="B1987" s="2" t="inlineStr">
        <is>
          <t>не сюжет</t>
        </is>
      </c>
      <c r="C1987" s="2" t="n">
        <v>10885</v>
      </c>
      <c r="D1987" s="3" t="inlineStr">
        <is>
          <t>Индрек и Карин</t>
        </is>
      </c>
      <c r="E1987" s="2" t="n">
        <v>1981</v>
      </c>
      <c r="F1987" s="2" t="inlineStr">
        <is>
          <t>фильм-спектакль</t>
        </is>
      </c>
      <c r="G1987" s="2" t="inlineStr">
        <is>
          <t>Центральное телевидение</t>
        </is>
      </c>
      <c r="H1987" s="2" t="n">
        <v>85</v>
      </c>
      <c r="I1987" s="2" t="inlineStr"/>
      <c r="J1987" s="2" t="inlineStr">
        <is>
          <t>да</t>
        </is>
      </c>
      <c r="K1987" s="3" t="inlineStr">
        <is>
          <t>Спектакль Эстонского русского театра по роману А.Таммсааре "Правда и справедливость".</t>
        </is>
      </c>
      <c r="L1987" s="2" t="inlineStr">
        <is>
          <t>https://www.kino-teatr.ru/teatr/movie/137982/annot/</t>
        </is>
      </c>
      <c r="M1987" s="2">
        <f>HYPERLINK("https://ru.wikipedia.org/w/index.php?search=%D0%98%D0%BD%D0%B4%D1%80%D0%B5%D0%BA%20%D0%B8%20%D0%9A%D0%B0%D1%80%D0%B8%D0%BD%201981%20%D1%84%D0%B8%D0%BB%D1%8C%D0%BC","искать")</f>
        <v/>
      </c>
      <c r="N1987" s="3" t="n"/>
      <c r="O1987" s="2" t="n"/>
      <c r="P1987" s="2" t="n"/>
    </row>
    <row r="1988">
      <c r="A1988" s="2" t="n">
        <v>1987</v>
      </c>
      <c r="B1988" s="2" t="inlineStr">
        <is>
          <t>не сюжет</t>
        </is>
      </c>
      <c r="C1988" s="2" t="n">
        <v>12257</v>
      </c>
      <c r="D1988" s="3" t="inlineStr">
        <is>
          <t>Ограбление по...</t>
        </is>
      </c>
      <c r="E1988" s="2" t="n">
        <v>1988</v>
      </c>
      <c r="F1988" s="2" t="inlineStr">
        <is>
          <t>мультфильм</t>
        </is>
      </c>
      <c r="G1988" s="2" t="inlineStr">
        <is>
          <t>Союзмультфильм</t>
        </is>
      </c>
      <c r="H1988" s="2" t="n">
        <v>85</v>
      </c>
      <c r="I1988" s="2" t="inlineStr"/>
      <c r="J1988" s="2" t="inlineStr">
        <is>
          <t>да</t>
        </is>
      </c>
      <c r="K1988" s="3" t="inlineStr">
        <is>
          <t>Фильм-пародия на ограбление по-американски, по-французски, по-итальянски и по-русски.</t>
        </is>
      </c>
      <c r="L1988" s="2" t="inlineStr">
        <is>
          <t>2026-10_мультфильмы_список_владельца.xlsx; https://animator.ru/db/?p=show_film&amp;fid=3374</t>
        </is>
      </c>
      <c r="M1988" s="2">
        <f>HYPERLINK("https://ru.wikipedia.org/w/index.php?search=%D0%9E%D0%B3%D1%80%D0%B0%D0%B1%D0%BB%D0%B5%D0%BD%D0%B8%D0%B5%20%D0%BF%D0%BE...%201988%20%D1%84%D0%B8%D0%BB%D1%8C%D0%BC","искать")</f>
        <v/>
      </c>
      <c r="N1988" s="3" t="n"/>
      <c r="O1988" s="2" t="n"/>
      <c r="P1988" s="2" t="n"/>
    </row>
    <row r="1989">
      <c r="A1989" s="2" t="n">
        <v>1988</v>
      </c>
      <c r="B1989" s="2" t="inlineStr">
        <is>
          <t>не сюжет</t>
        </is>
      </c>
      <c r="C1989" s="2" t="n">
        <v>14002</v>
      </c>
      <c r="D1989" s="3" t="inlineStr">
        <is>
          <t>Эстафета</t>
        </is>
      </c>
      <c r="E1989" s="2" t="n">
        <v>1989</v>
      </c>
      <c r="F1989" s="2" t="inlineStr">
        <is>
          <t>мультфильм</t>
        </is>
      </c>
      <c r="G1989" s="2" t="inlineStr">
        <is>
          <t>ЭКРАН</t>
        </is>
      </c>
      <c r="H1989" s="2" t="n">
        <v>85</v>
      </c>
      <c r="I1989" s="2" t="inlineStr"/>
      <c r="J1989" s="2" t="inlineStr">
        <is>
          <t>да</t>
        </is>
      </c>
      <c r="K1989" s="3" t="inlineStr">
        <is>
          <t>Как грубость и хамство превращают современного человека в неандертальца. Для взрослых</t>
        </is>
      </c>
      <c r="L1989" s="2" t="inlineStr">
        <is>
          <t>https://animator.ru/db/?p=show_film&amp;fid=5396</t>
        </is>
      </c>
      <c r="M1989" s="2">
        <f>HYPERLINK("https://ru.wikipedia.org/w/index.php?search=%D0%AD%D1%81%D1%82%D0%B0%D1%84%D0%B5%D1%82%D0%B0%201989%20%D1%84%D0%B8%D0%BB%D1%8C%D0%BC","искать")</f>
        <v/>
      </c>
      <c r="N1989" s="3" t="n"/>
      <c r="O1989" s="2" t="n"/>
      <c r="P1989" s="2" t="n"/>
    </row>
    <row r="1990">
      <c r="A1990" s="2" t="n">
        <v>1989</v>
      </c>
      <c r="B1990" s="2" t="inlineStr">
        <is>
          <t>не сюжет</t>
        </is>
      </c>
      <c r="C1990" s="2" t="n">
        <v>14271</v>
      </c>
      <c r="D1990" s="3" t="inlineStr">
        <is>
          <t>Веселая карусель. Выпуск №19</t>
        </is>
      </c>
      <c r="E1990" s="2" t="n">
        <v>1988</v>
      </c>
      <c r="F1990" s="2" t="inlineStr">
        <is>
          <t>мультфильм</t>
        </is>
      </c>
      <c r="G1990" s="2" t="inlineStr">
        <is>
          <t>Союзмультфильм</t>
        </is>
      </c>
      <c r="H1990" s="2" t="n">
        <v>85</v>
      </c>
      <c r="I1990" s="2" t="inlineStr"/>
      <c r="J1990" s="2" t="inlineStr">
        <is>
          <t>да</t>
        </is>
      </c>
      <c r="K1990" s="3" t="inlineStr">
        <is>
          <t>19-ая серия альманаха «ВЕСЕЛАЯ КАРУСЕЛЬ»
сюжеты: «ВРЕДНЫЙ СОВЕТ», «ЗАГАДКА», «КАЧЕЛИ»</t>
        </is>
      </c>
      <c r="L1990" s="2" t="inlineStr">
        <is>
          <t>https://animator.ru/db/?p=show_film&amp;fid=5737</t>
        </is>
      </c>
      <c r="M1990" s="2">
        <f>HYPERLINK("https://ru.wikipedia.org/w/index.php?search=%D0%92%D0%B5%D1%81%D0%B5%D0%BB%D0%B0%D1%8F%20%D0%BA%D0%B0%D1%80%D1%83%D1%81%D0%B5%D0%BB%D1%8C.%20%D0%92%D1%8B%D0%BF%D1%83%D1%81%D0%BA%20%E2%84%9619%201988%20%D1%84%D0%B8%D0%BB%D1%8C%D0%BC","искать")</f>
        <v/>
      </c>
      <c r="N1990" s="3" t="n"/>
      <c r="O1990" s="2" t="n"/>
      <c r="P1990" s="2" t="n"/>
    </row>
    <row r="1991">
      <c r="A1991" s="2" t="n">
        <v>1990</v>
      </c>
      <c r="B1991" s="2" t="inlineStr">
        <is>
          <t>не сюжет</t>
        </is>
      </c>
      <c r="C1991" s="2" t="n">
        <v>14326</v>
      </c>
      <c r="D1991" s="3" t="inlineStr">
        <is>
          <t>Его жена курица</t>
        </is>
      </c>
      <c r="E1991" s="2" t="n">
        <v>1989</v>
      </c>
      <c r="F1991" s="2" t="inlineStr">
        <is>
          <t>мультфильм</t>
        </is>
      </c>
      <c r="G1991" s="2" t="inlineStr">
        <is>
          <t>Пилот</t>
        </is>
      </c>
      <c r="H1991" s="2" t="n">
        <v>85</v>
      </c>
      <c r="I1991" s="2" t="inlineStr"/>
      <c r="J1991" s="2" t="inlineStr">
        <is>
          <t>да</t>
        </is>
      </c>
      <c r="K1991" s="3" t="inlineStr">
        <is>
          <t>Здесь можно посмотреть онлайн и скачать мультфильм "Его жена курица" (Пилот, 1989 г.)</t>
        </is>
      </c>
      <c r="L1991" s="2" t="inlineStr">
        <is>
          <t>2026-10_мультфильмы_список_владельца.xlsx; https://animator.ru/db/?p=show_film&amp;fid=5879</t>
        </is>
      </c>
      <c r="M1991" s="2">
        <f>HYPERLINK("https://ru.wikipedia.org/w/index.php?search=%D0%95%D0%B3%D0%BE%20%D0%B6%D0%B5%D0%BD%D0%B0%20%D0%BA%D1%83%D1%80%D0%B8%D1%86%D0%B0%201989%20%D1%84%D0%B8%D0%BB%D1%8C%D0%BC","искать")</f>
        <v/>
      </c>
      <c r="N1991" s="3" t="n"/>
      <c r="O1991" s="2" t="n"/>
      <c r="P1991" s="2" t="n"/>
    </row>
    <row r="1992">
      <c r="A1992" s="2" t="n">
        <v>1991</v>
      </c>
      <c r="B1992" s="2" t="inlineStr">
        <is>
          <t>не сюжет</t>
        </is>
      </c>
      <c r="C1992" s="2" t="n">
        <v>10336</v>
      </c>
      <c r="D1992" s="3" t="inlineStr">
        <is>
          <t>Тихий Дон</t>
        </is>
      </c>
      <c r="E1992" s="2" t="n">
        <v>1969</v>
      </c>
      <c r="F1992" s="2" t="inlineStr">
        <is>
          <t>фильм-спектакль</t>
        </is>
      </c>
      <c r="G1992" s="2" t="n"/>
      <c r="H1992" s="2" t="n">
        <v>86</v>
      </c>
      <c r="I1992" s="2" t="inlineStr"/>
      <c r="J1992" s="2" t="inlineStr">
        <is>
          <t>да</t>
        </is>
      </c>
      <c r="K1992" s="3" t="inlineStr">
        <is>
          <t>Телеспектакль по произведению Михаила Шолохова и опере Ивана Дзержинского "Тихий Дон".</t>
        </is>
      </c>
      <c r="L1992" s="2" t="inlineStr">
        <is>
          <t>https://www.kino-teatr.ru/teatr/movie/110978/annot/</t>
        </is>
      </c>
      <c r="M1992" s="2">
        <f>HYPERLINK("https://ru.wikipedia.org/w/index.php?search=%D0%A2%D0%B8%D1%85%D0%B8%D0%B9%20%D0%94%D0%BE%D0%BD%201969%20%D1%84%D0%B8%D0%BB%D1%8C%D0%BC","искать")</f>
        <v/>
      </c>
      <c r="N1992" s="3" t="n"/>
      <c r="O1992" s="2" t="n"/>
      <c r="P1992" s="2" t="n"/>
    </row>
    <row r="1993">
      <c r="A1993" s="2" t="n">
        <v>1992</v>
      </c>
      <c r="B1993" s="2" t="inlineStr">
        <is>
          <t>не сюжет</t>
        </is>
      </c>
      <c r="C1993" s="2" t="n">
        <v>10456</v>
      </c>
      <c r="D1993" s="3" t="inlineStr">
        <is>
          <t>Не в свои сани не садись</t>
        </is>
      </c>
      <c r="E1993" s="2" t="n">
        <v>1972</v>
      </c>
      <c r="F1993" s="2" t="inlineStr">
        <is>
          <t>фильм-спектакль</t>
        </is>
      </c>
      <c r="G1993" s="2" t="inlineStr">
        <is>
          <t>Главная редакция литературно-драматических программ ЦТ, Подборки фильмов, экранизации Островского</t>
        </is>
      </c>
      <c r="H1993" s="2" t="n">
        <v>86</v>
      </c>
      <c r="I1993" s="2" t="inlineStr"/>
      <c r="J1993" s="2" t="inlineStr">
        <is>
          <t>да</t>
        </is>
      </c>
      <c r="K1993" s="3" t="inlineStr">
        <is>
          <t>Телеспектакль московского театра имени Ермоловой по одноименной пьесе А.Н.Островского.</t>
        </is>
      </c>
      <c r="L1993" s="2" t="inlineStr">
        <is>
          <t>https://www.kino-teatr.ru/teatr/movie/79226/annot/</t>
        </is>
      </c>
      <c r="M1993" s="2">
        <f>HYPERLINK("https://ru.wikipedia.org/w/index.php?search=%D0%9D%D0%B5%20%D0%B2%20%D1%81%D0%B2%D0%BE%D0%B8%20%D1%81%D0%B0%D0%BD%D0%B8%20%D0%BD%D0%B5%20%D1%81%D0%B0%D0%B4%D0%B8%D1%81%D1%8C%201972%20%D1%84%D0%B8%D0%BB%D1%8C%D0%BC","искать")</f>
        <v/>
      </c>
      <c r="N1993" s="3" t="n"/>
      <c r="O1993" s="2" t="n"/>
      <c r="P1993" s="2" t="n"/>
    </row>
    <row r="1994">
      <c r="A1994" s="2" t="n">
        <v>1993</v>
      </c>
      <c r="B1994" s="2" t="inlineStr">
        <is>
          <t>не сюжет</t>
        </is>
      </c>
      <c r="C1994" s="2" t="n">
        <v>10618</v>
      </c>
      <c r="D1994" s="3" t="inlineStr">
        <is>
          <t>Наша Чукоккала</t>
        </is>
      </c>
      <c r="E1994" s="2" t="n">
        <v>1975</v>
      </c>
      <c r="F1994" s="2" t="inlineStr">
        <is>
          <t>фильм-спектакль</t>
        </is>
      </c>
      <c r="G1994" s="2" t="inlineStr">
        <is>
          <t>Экран</t>
        </is>
      </c>
      <c r="H1994" s="2" t="n">
        <v>86</v>
      </c>
      <c r="I1994" s="2" t="inlineStr"/>
      <c r="J1994" s="2" t="inlineStr">
        <is>
          <t>да</t>
        </is>
      </c>
      <c r="K1994" s="3" t="inlineStr">
        <is>
          <t>По сказкам Корнея Ивановича Чуковского
«Телефон»,«Тараканище», «Мойдодыр», «Бармалей».</t>
        </is>
      </c>
      <c r="L1994" s="2" t="inlineStr">
        <is>
          <t>https://www.kino-teatr.ru/teatr/movie/104051/annot/</t>
        </is>
      </c>
      <c r="M1994" s="2">
        <f>HYPERLINK("https://ru.wikipedia.org/w/index.php?search=%D0%9D%D0%B0%D1%88%D0%B0%20%D0%A7%D1%83%D0%BA%D0%BE%D0%BA%D0%BA%D0%B0%D0%BB%D0%B0%201975%20%D1%84%D0%B8%D0%BB%D1%8C%D0%BC","искать")</f>
        <v/>
      </c>
      <c r="N1994" s="3" t="n"/>
      <c r="O1994" s="2" t="n"/>
      <c r="P1994" s="2" t="n"/>
    </row>
    <row r="1995">
      <c r="A1995" s="2" t="n">
        <v>1994</v>
      </c>
      <c r="B1995" s="2" t="inlineStr">
        <is>
          <t>не сюжет</t>
        </is>
      </c>
      <c r="C1995" s="2" t="n">
        <v>11253</v>
      </c>
      <c r="D1995" s="3" t="inlineStr">
        <is>
          <t>Возвращение со звёзд</t>
        </is>
      </c>
      <c r="E1995" s="2" t="n">
        <v>1989</v>
      </c>
      <c r="F1995" s="2" t="inlineStr">
        <is>
          <t>фильм-спектакль</t>
        </is>
      </c>
      <c r="G1995" s="2" t="inlineStr">
        <is>
          <t>Ленинградское ТВ</t>
        </is>
      </c>
      <c r="H1995" s="2" t="n">
        <v>86</v>
      </c>
      <c r="I1995" s="2" t="inlineStr"/>
      <c r="J1995" s="2" t="inlineStr">
        <is>
          <t>да</t>
        </is>
      </c>
      <c r="K1995" s="3" t="inlineStr">
        <is>
          <t>Телеспектакль по мотивам научно-фантастического романа С. Лема "Возвращение со звезд".</t>
        </is>
      </c>
      <c r="L1995" s="2" t="inlineStr">
        <is>
          <t>https://www.kino-teatr.ru/teatr/movie/119438/annot/</t>
        </is>
      </c>
      <c r="M1995" s="2">
        <f>HYPERLINK("https://ru.wikipedia.org/w/index.php?search=%D0%92%D0%BE%D0%B7%D0%B2%D1%80%D0%B0%D1%89%D0%B5%D0%BD%D0%B8%D0%B5%20%D1%81%D0%BE%20%D0%B7%D0%B2%D1%91%D0%B7%D0%B4%201989%20%D1%84%D0%B8%D0%BB%D1%8C%D0%BC","искать")</f>
        <v/>
      </c>
      <c r="N1995" s="3" t="n"/>
      <c r="O1995" s="2" t="n"/>
      <c r="P1995" s="2" t="n"/>
    </row>
    <row r="1996">
      <c r="A1996" s="2" t="n">
        <v>1995</v>
      </c>
      <c r="B1996" s="2" t="inlineStr">
        <is>
          <t>не сюжет</t>
        </is>
      </c>
      <c r="C1996" s="2" t="n">
        <v>11385</v>
      </c>
      <c r="D1996" s="3" t="inlineStr">
        <is>
          <t>Чаплиниана</t>
        </is>
      </c>
      <c r="E1996" s="2" t="n">
        <v>1987</v>
      </c>
      <c r="F1996" s="2" t="inlineStr">
        <is>
          <t>фильм-опера/балет</t>
        </is>
      </c>
      <c r="G1996" s="2" t="n"/>
      <c r="H1996" s="2" t="n">
        <v>86</v>
      </c>
      <c r="I1996" s="2" t="inlineStr"/>
      <c r="J1996" s="2" t="inlineStr">
        <is>
          <t>да</t>
        </is>
      </c>
      <c r="K1996" s="3" t="inlineStr">
        <is>
          <t>Фильм-балет, созданный по мотивам сюжетов фильмов и на музыку Чарлза Спенсера Чаплина.</t>
        </is>
      </c>
      <c r="L1996" s="2" t="inlineStr">
        <is>
          <t>Кино_СССР телефильмы и пропуски включить в базу.xlsx</t>
        </is>
      </c>
      <c r="M1996" s="2">
        <f>HYPERLINK("https://ru.wikipedia.org/w/index.php?search=%D0%A7%D0%B0%D0%BF%D0%BB%D0%B8%D0%BD%D0%B8%D0%B0%D0%BD%D0%B0%201987%20%D1%84%D0%B8%D0%BB%D1%8C%D0%BC","искать")</f>
        <v/>
      </c>
      <c r="N1996" s="3" t="n"/>
      <c r="O1996" s="2" t="n"/>
      <c r="P1996" s="2" t="n"/>
    </row>
    <row r="1997">
      <c r="A1997" s="2" t="n">
        <v>1996</v>
      </c>
      <c r="B1997" s="2" t="inlineStr">
        <is>
          <t>не сюжет</t>
        </is>
      </c>
      <c r="C1997" s="2" t="n">
        <v>11972</v>
      </c>
      <c r="D1997" s="3" t="inlineStr">
        <is>
          <t>Кострома</t>
        </is>
      </c>
      <c r="E1997" s="2" t="n">
        <v>1989</v>
      </c>
      <c r="F1997" s="2" t="inlineStr">
        <is>
          <t>мультфильм</t>
        </is>
      </c>
      <c r="G1997" s="2" t="inlineStr">
        <is>
          <t>Союзмультфильм</t>
        </is>
      </c>
      <c r="H1997" s="2" t="n">
        <v>86</v>
      </c>
      <c r="I1997" s="2" t="inlineStr"/>
      <c r="J1997" s="2" t="inlineStr">
        <is>
          <t>да</t>
        </is>
      </c>
      <c r="K1997" s="3" t="inlineStr">
        <is>
          <t>Музыкальный фильм на основе старинной обрядовой песни о весне и рукодельнице Костроме.</t>
        </is>
      </c>
      <c r="L1997" s="2" t="inlineStr">
        <is>
          <t>2026-10_мультфильмы_список_владельца.xlsx; https://animator.ru/db/?p=show_film&amp;fid=2973</t>
        </is>
      </c>
      <c r="M1997" s="2">
        <f>HYPERLINK("https://ru.wikipedia.org/w/index.php?search=%D0%9A%D0%BE%D1%81%D1%82%D1%80%D0%BE%D0%BC%D0%B0%201989%20%D1%84%D0%B8%D0%BB%D1%8C%D0%BC","искать")</f>
        <v/>
      </c>
      <c r="N1997" s="3" t="n"/>
      <c r="O1997" s="2" t="n"/>
      <c r="P1997" s="2" t="n"/>
    </row>
    <row r="1998">
      <c r="A1998" s="2" t="n">
        <v>1997</v>
      </c>
      <c r="B1998" s="2" t="inlineStr">
        <is>
          <t>не сюжет</t>
        </is>
      </c>
      <c r="C1998" s="2" t="n">
        <v>12367</v>
      </c>
      <c r="D1998" s="3" t="inlineStr">
        <is>
          <t>Жар-птица (1983)</t>
        </is>
      </c>
      <c r="E1998" s="2" t="n">
        <v>1983</v>
      </c>
      <c r="F1998" s="2" t="inlineStr">
        <is>
          <t>мультфильм</t>
        </is>
      </c>
      <c r="G1998" s="2" t="inlineStr">
        <is>
          <t>КИЕВНАУЧФИЛЬМ</t>
        </is>
      </c>
      <c r="H1998" s="2" t="n">
        <v>86</v>
      </c>
      <c r="I1998" s="2" t="inlineStr"/>
      <c r="J1998" s="2" t="inlineStr">
        <is>
          <t>да</t>
        </is>
      </c>
      <c r="K1998" s="3" t="inlineStr">
        <is>
          <t>По мотивам сказки Ал.Толстого . Звучит музыка М.Мусоргского, И. Стравинского, А.Лядова</t>
        </is>
      </c>
      <c r="L1998" s="2" t="inlineStr">
        <is>
          <t>https://animator.ru/db/?p=show_film&amp;fid=3534</t>
        </is>
      </c>
      <c r="M1998" s="2">
        <f>HYPERLINK("https://ru.wikipedia.org/w/index.php?search=%D0%96%D0%B0%D1%80-%D0%BF%D1%82%D0%B8%D1%86%D0%B0%20%281983%29%201983%20%D1%84%D0%B8%D0%BB%D1%8C%D0%BC","искать")</f>
        <v/>
      </c>
      <c r="N1998" s="3" t="n"/>
      <c r="O1998" s="2" t="n"/>
      <c r="P1998" s="2" t="n"/>
    </row>
    <row r="1999">
      <c r="A1999" s="2" t="n">
        <v>1998</v>
      </c>
      <c r="B1999" s="2" t="inlineStr">
        <is>
          <t>не сюжет</t>
        </is>
      </c>
      <c r="C1999" s="2" t="n">
        <v>13274</v>
      </c>
      <c r="D1999" s="3" t="inlineStr">
        <is>
          <t>Лед и пламень</t>
        </is>
      </c>
      <c r="E1999" s="2" t="n">
        <v>1985</v>
      </c>
      <c r="F1999" s="2" t="inlineStr">
        <is>
          <t>мультфильм</t>
        </is>
      </c>
      <c r="G1999" s="2" t="inlineStr">
        <is>
          <t>ТАЛЛИННФИЛЬМ</t>
        </is>
      </c>
      <c r="H1999" s="2" t="n">
        <v>86</v>
      </c>
      <c r="I1999" s="2" t="inlineStr"/>
      <c r="J1999" s="2" t="inlineStr">
        <is>
          <t>да</t>
        </is>
      </c>
      <c r="K1999" s="3" t="inlineStr">
        <is>
          <t>Мозаичная игра желтых и синих осколков стекла, олицетворяющих жар солнца и холод льда.</t>
        </is>
      </c>
      <c r="L1999" s="2" t="inlineStr">
        <is>
          <t>2026-10_мультфильмы_список_владельца.xlsx; https://animator.ru/db/?p=show_film&amp;fid=4531</t>
        </is>
      </c>
      <c r="M1999" s="2">
        <f>HYPERLINK("https://ru.wikipedia.org/w/index.php?search=%D0%9B%D0%B5%D0%B4%20%D0%B8%20%D0%BF%D0%BB%D0%B0%D0%BC%D0%B5%D0%BD%D1%8C%201985%20%D1%84%D0%B8%D0%BB%D1%8C%D0%BC","искать")</f>
        <v/>
      </c>
      <c r="N1999" s="3" t="n"/>
      <c r="O1999" s="2" t="n"/>
      <c r="P1999" s="2" t="n"/>
    </row>
    <row r="2000">
      <c r="A2000" s="2" t="n">
        <v>1999</v>
      </c>
      <c r="B2000" s="2" t="inlineStr">
        <is>
          <t>не сюжет</t>
        </is>
      </c>
      <c r="C2000" s="2" t="n">
        <v>13785</v>
      </c>
      <c r="D2000" s="3" t="inlineStr">
        <is>
          <t>Как Незнайка совершал хорошие поступки</t>
        </is>
      </c>
      <c r="E2000" s="2" t="n">
        <v>1976</v>
      </c>
      <c r="F2000" s="2" t="inlineStr">
        <is>
          <t>мультфильм</t>
        </is>
      </c>
      <c r="G2000" s="2" t="inlineStr">
        <is>
          <t>ЭКРАН</t>
        </is>
      </c>
      <c r="H2000" s="2" t="n">
        <v>86</v>
      </c>
      <c r="I2000" s="2" t="inlineStr"/>
      <c r="J2000" s="2" t="inlineStr">
        <is>
          <t>да</t>
        </is>
      </c>
      <c r="K2000" s="3" t="inlineStr">
        <is>
          <t>Первый фильм сериала "Незнайка в Солнечном городе" по одноименной книге Николая Носова</t>
        </is>
      </c>
      <c r="L2000" s="2" t="inlineStr">
        <is>
          <t>2026-10_мультфильмы_список_владельца.xlsx; https://animator.ru/db/?p=show_film&amp;fid=5178</t>
        </is>
      </c>
      <c r="M2000" s="2">
        <f>HYPERLINK("https://ru.wikipedia.org/w/index.php?search=%D0%9A%D0%B0%D0%BA%20%D0%9D%D0%B5%D0%B7%D0%BD%D0%B0%D0%B9%D0%BA%D0%B0%20%D1%81%D0%BE%D0%B2%D0%B5%D1%80%D1%88%D0%B0%D0%BB%20%D1%85%D0%BE%D1%80%D0%BE%D1%88%D0%B8%D0%B5%20%D0%BF%D0%BE%D1%81%D1%82%D1%83%D0%BF%D0%BA%D0%B8%201976%20%D1%84%D0%B8%D0%BB%D1%8C%D0%BC","искать")</f>
        <v/>
      </c>
      <c r="N2000" s="3" t="n"/>
      <c r="O2000" s="2" t="n"/>
      <c r="P2000" s="2" t="n"/>
    </row>
    <row r="2001">
      <c r="A2001" s="2" t="n">
        <v>2000</v>
      </c>
      <c r="B2001" s="2" t="inlineStr">
        <is>
          <t>не сюжет</t>
        </is>
      </c>
      <c r="C2001" s="2" t="n">
        <v>13926</v>
      </c>
      <c r="D2001" s="3" t="inlineStr">
        <is>
          <t>Только вам</t>
        </is>
      </c>
      <c r="E2001" s="2" t="n">
        <v>1970</v>
      </c>
      <c r="F2001" s="2" t="inlineStr">
        <is>
          <t>мультфильм</t>
        </is>
      </c>
      <c r="G2001" s="2" t="inlineStr">
        <is>
          <t>ЭКРАН</t>
        </is>
      </c>
      <c r="H2001" s="2" t="n">
        <v>86</v>
      </c>
      <c r="I2001" s="2" t="inlineStr"/>
      <c r="J2001" s="2" t="inlineStr">
        <is>
          <t>да</t>
        </is>
      </c>
      <c r="K2001" s="3" t="inlineStr">
        <is>
          <t>Сцены из спектакля Государственного театра кукол Латвии "Интеркук". Съемка "на скорую"</t>
        </is>
      </c>
      <c r="L2001" s="2" t="inlineStr">
        <is>
          <t>https://animator.ru/db/?p=show_film&amp;fid=5320</t>
        </is>
      </c>
      <c r="M2001" s="2">
        <f>HYPERLINK("https://ru.wikipedia.org/w/index.php?search=%D0%A2%D0%BE%D0%BB%D1%8C%D0%BA%D0%BE%20%D0%B2%D0%B0%D0%BC%201970%20%D1%84%D0%B8%D0%BB%D1%8C%D0%BC","искать")</f>
        <v/>
      </c>
      <c r="N2001" s="3" t="n"/>
      <c r="O2001" s="2" t="n"/>
      <c r="P2001" s="2" t="n"/>
    </row>
    <row r="2002">
      <c r="A2002" s="2" t="n">
        <v>2001</v>
      </c>
      <c r="B2002" s="2" t="inlineStr">
        <is>
          <t>не сюжет</t>
        </is>
      </c>
      <c r="C2002" s="2" t="n">
        <v>14239</v>
      </c>
      <c r="D2002" s="3" t="inlineStr">
        <is>
          <t>Что такое колхоз?</t>
        </is>
      </c>
      <c r="E2002" s="2" t="n">
        <v>1981</v>
      </c>
      <c r="F2002" s="2" t="inlineStr">
        <is>
          <t>мультфильм</t>
        </is>
      </c>
      <c r="G2002" s="2" t="inlineStr">
        <is>
          <t>ГОСТЕЛЕРАДИО ЛАТВ. ССР ("ТЕЛЕФИЛЬМ-РИГА")</t>
        </is>
      </c>
      <c r="H2002" s="2" t="n">
        <v>86</v>
      </c>
      <c r="I2002" s="2" t="inlineStr"/>
      <c r="J2002" s="2" t="inlineStr">
        <is>
          <t>да</t>
        </is>
      </c>
      <c r="K2002" s="3" t="inlineStr">
        <is>
          <t>ВКФ ТВ фильмов, Алма-Ата 1981 - Диплом жюри "За лучший познавательный фильм для детей"</t>
        </is>
      </c>
      <c r="L2002" s="2" t="inlineStr">
        <is>
          <t>https://animator.ru/db/?p=show_film&amp;fid=5662</t>
        </is>
      </c>
      <c r="M2002" s="2">
        <f>HYPERLINK("https://ru.wikipedia.org/w/index.php?search=%D0%A7%D1%82%D0%BE%20%D1%82%D0%B0%D0%BA%D0%BE%D0%B5%20%D0%BA%D0%BE%D0%BB%D1%85%D0%BE%D0%B7%3F%201981%20%D1%84%D0%B8%D0%BB%D1%8C%D0%BC","искать")</f>
        <v/>
      </c>
      <c r="N2002" s="3" t="n"/>
      <c r="O2002" s="2" t="n"/>
      <c r="P2002" s="2" t="n"/>
    </row>
    <row r="2003">
      <c r="A2003" s="2" t="n">
        <v>2002</v>
      </c>
      <c r="B2003" s="2" t="inlineStr">
        <is>
          <t>не сюжет</t>
        </is>
      </c>
      <c r="C2003" s="2" t="n">
        <v>7855</v>
      </c>
      <c r="D2003" s="3" t="inlineStr">
        <is>
          <t>Масштабные ребята</t>
        </is>
      </c>
      <c r="E2003" s="2" t="n">
        <v>1972</v>
      </c>
      <c r="F2003" s="2" t="inlineStr">
        <is>
          <t>телефильм</t>
        </is>
      </c>
      <c r="G2003" s="2" t="n"/>
      <c r="H2003" s="2" t="n">
        <v>87</v>
      </c>
      <c r="I2003" s="2" t="inlineStr"/>
      <c r="J2003" s="2" t="inlineStr">
        <is>
          <t>да</t>
        </is>
      </c>
      <c r="K2003" s="3" t="inlineStr">
        <is>
          <t>Музыкальный телефильм о пионерах-энтузиастах по одноименной повести Николая Печерского.</t>
        </is>
      </c>
      <c r="L2003" s="2" t="inlineStr">
        <is>
          <t>Кино_СССР сводный каталог.xlsx: список телефильмов</t>
        </is>
      </c>
      <c r="M2003" s="2">
        <f>HYPERLINK("https://ru.wikipedia.org/w/index.php?search=%D0%9C%D0%B0%D1%81%D1%88%D1%82%D0%B0%D0%B1%D0%BD%D1%8B%D0%B5%20%D1%80%D0%B5%D0%B1%D1%8F%D1%82%D0%B0%201972%20%D1%84%D0%B8%D0%BB%D1%8C%D0%BC","искать")</f>
        <v/>
      </c>
      <c r="N2003" s="3" t="n"/>
      <c r="O2003" s="2" t="n"/>
      <c r="P2003" s="2" t="n"/>
    </row>
    <row r="2004">
      <c r="A2004" s="2" t="n">
        <v>2003</v>
      </c>
      <c r="B2004" s="2" t="inlineStr">
        <is>
          <t>не сюжет</t>
        </is>
      </c>
      <c r="C2004" s="2" t="n">
        <v>8020</v>
      </c>
      <c r="D2004" s="3" t="inlineStr">
        <is>
          <t>Обида старого охотника</t>
        </is>
      </c>
      <c r="E2004" s="2" t="n">
        <v>1985</v>
      </c>
      <c r="F2004" s="2" t="inlineStr">
        <is>
          <t>телефильм</t>
        </is>
      </c>
      <c r="G2004" s="2" t="n"/>
      <c r="H2004" s="2" t="n">
        <v>87</v>
      </c>
      <c r="I2004" s="2" t="inlineStr"/>
      <c r="J2004" s="2" t="inlineStr">
        <is>
          <t>да</t>
        </is>
      </c>
      <c r="K2004" s="3" t="inlineStr">
        <is>
          <t>Фильм рассказывает о любви человека к природе,  о важности сохранения окружающей среды.</t>
        </is>
      </c>
      <c r="L2004" s="2" t="inlineStr">
        <is>
          <t>Кино_СССР сводный каталог.xlsx: список телефильмов</t>
        </is>
      </c>
      <c r="M2004" s="2">
        <f>HYPERLINK("https://ru.wikipedia.org/w/index.php?search=%D0%9E%D0%B1%D0%B8%D0%B4%D0%B0%20%D1%81%D1%82%D0%B0%D1%80%D0%BE%D0%B3%D0%BE%20%D0%BE%D1%85%D0%BE%D1%82%D0%BD%D0%B8%D0%BA%D0%B0%201985%20%D1%84%D0%B8%D0%BB%D1%8C%D0%BC","искать")</f>
        <v/>
      </c>
      <c r="N2004" s="3" t="n"/>
      <c r="O2004" s="2" t="n"/>
      <c r="P2004" s="2" t="n"/>
    </row>
    <row r="2005">
      <c r="A2005" s="2" t="n">
        <v>2004</v>
      </c>
      <c r="B2005" s="2" t="inlineStr">
        <is>
          <t>не сюжет</t>
        </is>
      </c>
      <c r="C2005" s="2" t="n">
        <v>10003</v>
      </c>
      <c r="D2005" s="3" t="inlineStr">
        <is>
          <t>Тропинка в небо</t>
        </is>
      </c>
      <c r="E2005" s="2" t="n">
        <v>1984</v>
      </c>
      <c r="F2005" s="2" t="inlineStr">
        <is>
          <t>кинофильм</t>
        </is>
      </c>
      <c r="G2005" s="2" t="inlineStr">
        <is>
          <t>Арменфильм</t>
        </is>
      </c>
      <c r="H2005" s="2" t="n">
        <v>87</v>
      </c>
      <c r="I2005" s="2" t="inlineStr"/>
      <c r="J2005" s="2" t="inlineStr">
        <is>
          <t>да</t>
        </is>
      </c>
      <c r="K2005" s="3" t="inlineStr">
        <is>
          <t>Фильм о добре, дружбе, которая способна превратить мечту маленького героя в реальность.</t>
        </is>
      </c>
      <c r="L2005" s="2" t="inlineStr">
        <is>
          <t>https://www.kino-teatr.ru/short/movie/sov/14430/annot/</t>
        </is>
      </c>
      <c r="M2005" s="2">
        <f>HYPERLINK("https://ru.wikipedia.org/w/index.php?search=%D0%A2%D1%80%D0%BE%D0%BF%D0%B8%D0%BD%D0%BA%D0%B0%20%D0%B2%20%D0%BD%D0%B5%D0%B1%D0%BE%201984%20%D1%84%D0%B8%D0%BB%D1%8C%D0%BC","искать")</f>
        <v/>
      </c>
      <c r="N2005" s="3" t="n"/>
      <c r="O2005" s="2" t="n"/>
      <c r="P2005" s="2" t="n"/>
    </row>
    <row r="2006">
      <c r="A2006" s="2" t="n">
        <v>2005</v>
      </c>
      <c r="B2006" s="2" t="inlineStr">
        <is>
          <t>не сюжет</t>
        </is>
      </c>
      <c r="C2006" s="2" t="n">
        <v>10064</v>
      </c>
      <c r="D2006" s="3" t="inlineStr">
        <is>
          <t>Пушкин</t>
        </is>
      </c>
      <c r="E2006" s="2" t="n">
        <v>1957</v>
      </c>
      <c r="F2006" s="2" t="inlineStr">
        <is>
          <t>фильм-спектакль</t>
        </is>
      </c>
      <c r="G2006" s="2" t="inlineStr">
        <is>
          <t>Центральное телевидение</t>
        </is>
      </c>
      <c r="H2006" s="2" t="n">
        <v>87</v>
      </c>
      <c r="I2006" s="2" t="inlineStr"/>
      <c r="J2006" s="2" t="inlineStr">
        <is>
          <t>да</t>
        </is>
      </c>
      <c r="K2006" s="3" t="inlineStr">
        <is>
          <t>Сцены из спектакля Московского театра имени М.Н.Ермоловой по одноименной пьесе А.Глобы.</t>
        </is>
      </c>
      <c r="L2006" s="2" t="inlineStr">
        <is>
          <t>https://www.kino-teatr.ru/teatr/movie/93896/annot/</t>
        </is>
      </c>
      <c r="M2006" s="2">
        <f>HYPERLINK("https://ru.wikipedia.org/w/index.php?search=%D0%9F%D1%83%D1%88%D0%BA%D0%B8%D0%BD%201957%20%D1%84%D0%B8%D0%BB%D1%8C%D0%BC","искать")</f>
        <v/>
      </c>
      <c r="N2006" s="3" t="n"/>
      <c r="O2006" s="2" t="n"/>
      <c r="P2006" s="2" t="n"/>
    </row>
    <row r="2007">
      <c r="A2007" s="2" t="n">
        <v>2006</v>
      </c>
      <c r="B2007" s="2" t="inlineStr">
        <is>
          <t>не сюжет</t>
        </is>
      </c>
      <c r="C2007" s="2" t="n">
        <v>10085</v>
      </c>
      <c r="D2007" s="3" t="inlineStr">
        <is>
          <t>Журавлиные перья</t>
        </is>
      </c>
      <c r="E2007" s="2" t="n">
        <v>1961</v>
      </c>
      <c r="F2007" s="2" t="inlineStr">
        <is>
          <t>фильм-спектакль</t>
        </is>
      </c>
      <c r="G2007" s="2" t="inlineStr">
        <is>
          <t>Ленинградское ТВ</t>
        </is>
      </c>
      <c r="H2007" s="2" t="n">
        <v>87</v>
      </c>
      <c r="I2007" s="2" t="inlineStr"/>
      <c r="J2007" s="2" t="inlineStr">
        <is>
          <t>да</t>
        </is>
      </c>
      <c r="K2007" s="3" t="inlineStr">
        <is>
          <t>Телеспектакль по мотивам сказки японского писателя Дзюндзи Киносита "Журавлиные перья".</t>
        </is>
      </c>
      <c r="L2007" s="2" t="inlineStr">
        <is>
          <t>https://www.kino-teatr.ru/teatr/movie/80323/annot/</t>
        </is>
      </c>
      <c r="M2007" s="2">
        <f>HYPERLINK("https://ru.wikipedia.org/w/index.php?search=%D0%96%D1%83%D1%80%D0%B0%D0%B2%D0%BB%D0%B8%D0%BD%D1%8B%D0%B5%20%D0%BF%D0%B5%D1%80%D1%8C%D1%8F%201961%20%D1%84%D0%B8%D0%BB%D1%8C%D0%BC","искать")</f>
        <v/>
      </c>
      <c r="N2007" s="3" t="n"/>
      <c r="O2007" s="2" t="n"/>
      <c r="P2007" s="2" t="n"/>
    </row>
    <row r="2008">
      <c r="A2008" s="2" t="n">
        <v>2007</v>
      </c>
      <c r="B2008" s="2" t="inlineStr">
        <is>
          <t>не сюжет</t>
        </is>
      </c>
      <c r="C2008" s="2" t="n">
        <v>10222</v>
      </c>
      <c r="D2008" s="3" t="inlineStr">
        <is>
          <t>Физики</t>
        </is>
      </c>
      <c r="E2008" s="2" t="n">
        <v>1967</v>
      </c>
      <c r="F2008" s="2" t="inlineStr">
        <is>
          <t>фильм-спектакль</t>
        </is>
      </c>
      <c r="G2008" s="2" t="n"/>
      <c r="H2008" s="2" t="n">
        <v>87</v>
      </c>
      <c r="I2008" s="2" t="inlineStr"/>
      <c r="J2008" s="2" t="inlineStr">
        <is>
          <t>да</t>
        </is>
      </c>
      <c r="K2008" s="3" t="inlineStr">
        <is>
          <t>Поставлен по одноименной пьесе швейцарского драматурга и писателя Фридриха Дюрренматта.</t>
        </is>
      </c>
      <c r="L2008" s="2" t="inlineStr">
        <is>
          <t>https://www.kino-teatr.ru/teatr/movie/88943/annot/</t>
        </is>
      </c>
      <c r="M2008" s="2">
        <f>HYPERLINK("https://ru.wikipedia.org/w/index.php?search=%D0%A4%D0%B8%D0%B7%D0%B8%D0%BA%D0%B8%201967%20%D1%84%D0%B8%D0%BB%D1%8C%D0%BC","искать")</f>
        <v/>
      </c>
      <c r="N2008" s="3" t="n"/>
      <c r="O2008" s="2" t="n"/>
      <c r="P2008" s="2" t="n"/>
    </row>
    <row r="2009">
      <c r="A2009" s="2" t="n">
        <v>2008</v>
      </c>
      <c r="B2009" s="2" t="inlineStr">
        <is>
          <t>не сюжет</t>
        </is>
      </c>
      <c r="C2009" s="2" t="n">
        <v>10620</v>
      </c>
      <c r="D2009" s="3" t="inlineStr">
        <is>
          <t>Персональное дело</t>
        </is>
      </c>
      <c r="E2009" s="2" t="n">
        <v>1975</v>
      </c>
      <c r="F2009" s="2" t="inlineStr">
        <is>
          <t>фильм-спектакль</t>
        </is>
      </c>
      <c r="G2009" s="2" t="inlineStr">
        <is>
          <t>Центральное телевидение</t>
        </is>
      </c>
      <c r="H2009" s="2" t="n">
        <v>87</v>
      </c>
      <c r="I2009" s="2" t="inlineStr"/>
      <c r="J2009" s="2" t="inlineStr">
        <is>
          <t>да</t>
        </is>
      </c>
      <c r="K2009" s="3" t="inlineStr">
        <is>
          <t>Телеспектакль по пьесе Виктора Суглобова о трудовых буднях сельского райкома комсомола.</t>
        </is>
      </c>
      <c r="L2009" s="2" t="inlineStr">
        <is>
          <t>https://www.kino-teatr.ru/teatr/movie/30916/annot/</t>
        </is>
      </c>
      <c r="M2009" s="2">
        <f>HYPERLINK("https://ru.wikipedia.org/w/index.php?search=%D0%9F%D0%B5%D1%80%D1%81%D0%BE%D0%BD%D0%B0%D0%BB%D1%8C%D0%BD%D0%BE%D0%B5%20%D0%B4%D0%B5%D0%BB%D0%BE%201975%20%D1%84%D0%B8%D0%BB%D1%8C%D0%BC","искать")</f>
        <v/>
      </c>
      <c r="N2009" s="3" t="n"/>
      <c r="O2009" s="2" t="n"/>
      <c r="P2009" s="2" t="n"/>
    </row>
    <row r="2010">
      <c r="A2010" s="2" t="n">
        <v>2009</v>
      </c>
      <c r="B2010" s="2" t="inlineStr">
        <is>
          <t>не сюжет</t>
        </is>
      </c>
      <c r="C2010" s="2" t="n">
        <v>11002</v>
      </c>
      <c r="D2010" s="3" t="inlineStr">
        <is>
          <t>Огнем и кровью</t>
        </is>
      </c>
      <c r="E2010" s="2" t="n">
        <v>1983</v>
      </c>
      <c r="F2010" s="2" t="inlineStr">
        <is>
          <t>фильм-спектакль</t>
        </is>
      </c>
      <c r="G2010" s="2" t="inlineStr">
        <is>
          <t>Ленинградское телевидение</t>
        </is>
      </c>
      <c r="H2010" s="2" t="n">
        <v>87</v>
      </c>
      <c r="I2010" s="2" t="inlineStr"/>
      <c r="J2010" s="2" t="inlineStr">
        <is>
          <t>да</t>
        </is>
      </c>
      <c r="K2010" s="3" t="inlineStr">
        <is>
          <t>Спектакль ленинградского театра им. Ленинского Комсомола по роману Ф.Гладкова "Цемент".</t>
        </is>
      </c>
      <c r="L2010" s="2" t="inlineStr">
        <is>
          <t>https://www.kino-teatr.ru/teatr/movie/137729/annot/</t>
        </is>
      </c>
      <c r="M2010" s="2">
        <f>HYPERLINK("https://ru.wikipedia.org/w/index.php?search=%D0%9E%D0%B3%D0%BD%D0%B5%D0%BC%20%D0%B8%20%D0%BA%D1%80%D0%BE%D0%B2%D1%8C%D1%8E%201983%20%D1%84%D0%B8%D0%BB%D1%8C%D0%BC","искать")</f>
        <v/>
      </c>
      <c r="N2010" s="3" t="n"/>
      <c r="O2010" s="2" t="n"/>
      <c r="P2010" s="2" t="n"/>
    </row>
    <row r="2011">
      <c r="A2011" s="2" t="n">
        <v>2010</v>
      </c>
      <c r="B2011" s="2" t="inlineStr">
        <is>
          <t>не сюжет</t>
        </is>
      </c>
      <c r="C2011" s="2" t="n">
        <v>12003</v>
      </c>
      <c r="D2011" s="3" t="inlineStr">
        <is>
          <t>Веселая карусель n 12. Что случилось с крокодилом</t>
        </is>
      </c>
      <c r="E2011" s="2" t="n">
        <v>1982</v>
      </c>
      <c r="F2011" s="2" t="inlineStr">
        <is>
          <t>мультфильм</t>
        </is>
      </c>
      <c r="G2011" s="2" t="inlineStr">
        <is>
          <t>Союзмультфильм</t>
        </is>
      </c>
      <c r="H2011" s="2" t="n">
        <v>87</v>
      </c>
      <c r="I2011" s="2" t="inlineStr"/>
      <c r="J2011" s="2" t="inlineStr">
        <is>
          <t>да</t>
        </is>
      </c>
      <c r="K2011" s="3" t="inlineStr">
        <is>
          <t>Сюжет из альманаха «ВЕСЕЛАЯ КАРУСЕЛЬ N 12»
Музыка в исполненнии группы "Последний шанс"</t>
        </is>
      </c>
      <c r="L2011" s="2" t="inlineStr">
        <is>
          <t>https://animator.ru/db/?p=show_film&amp;fid=3117</t>
        </is>
      </c>
      <c r="M2011" s="2">
        <f>HYPERLINK("https://ru.wikipedia.org/w/index.php?search=%D0%92%D0%B5%D1%81%D0%B5%D0%BB%D0%B0%D1%8F%20%D0%BA%D0%B0%D1%80%D1%83%D1%81%D0%B5%D0%BB%D1%8C%20n%2012.%20%D0%A7%D1%82%D0%BE%20%D1%81%D0%BB%D1%83%D1%87%D0%B8%D0%BB%D0%BE%D1%81%D1%8C%20%D1%81%20%D0%BA%D1%80%D0%BE%D0%BA%D0%BE%D0%B4%D0%B8%D0%BB%D0%BE%D0%BC%201982%20%D1%84%D0%B8%D0%BB%D1%8C%D0%BC","искать")</f>
        <v/>
      </c>
      <c r="N2011" s="3" t="n"/>
      <c r="O2011" s="2" t="n"/>
      <c r="P2011" s="2" t="n"/>
    </row>
    <row r="2012">
      <c r="A2012" s="2" t="n">
        <v>2011</v>
      </c>
      <c r="B2012" s="2" t="inlineStr">
        <is>
          <t>не сюжет</t>
        </is>
      </c>
      <c r="C2012" s="2" t="n">
        <v>12207</v>
      </c>
      <c r="D2012" s="3" t="inlineStr">
        <is>
          <t>Как обезьянки обедали</t>
        </is>
      </c>
      <c r="E2012" s="2" t="n">
        <v>1987</v>
      </c>
      <c r="F2012" s="2" t="inlineStr">
        <is>
          <t>мультфильм</t>
        </is>
      </c>
      <c r="G2012" s="2" t="inlineStr">
        <is>
          <t>Союзмультфильм</t>
        </is>
      </c>
      <c r="H2012" s="2" t="n">
        <v>87</v>
      </c>
      <c r="I2012" s="2" t="inlineStr"/>
      <c r="J2012" s="2" t="inlineStr">
        <is>
          <t>да</t>
        </is>
      </c>
      <c r="K2012" s="3" t="inlineStr">
        <is>
          <t>Мультик из серии про обезьянокМузыка из мультфильма:В каждом маленьком ребенке(1.51 Мб)</t>
        </is>
      </c>
      <c r="L2012" s="2" t="inlineStr">
        <is>
          <t>2026-10_мультфильмы_список_владельца.xlsx; https://animator.ru/db/?p=show_film&amp;fid=3324</t>
        </is>
      </c>
      <c r="M2012" s="2">
        <f>HYPERLINK("https://ru.wikipedia.org/w/index.php?search=%D0%9A%D0%B0%D0%BA%20%D0%BE%D0%B1%D0%B5%D0%B7%D1%8C%D1%8F%D0%BD%D0%BA%D0%B8%20%D0%BE%D0%B1%D0%B5%D0%B4%D0%B0%D0%BB%D0%B8%201987%20%D1%84%D0%B8%D0%BB%D1%8C%D0%BC","искать")</f>
        <v/>
      </c>
      <c r="N2012" s="3" t="n"/>
      <c r="O2012" s="2" t="n"/>
      <c r="P2012" s="2" t="n"/>
    </row>
    <row r="2013">
      <c r="A2013" s="2" t="n">
        <v>2012</v>
      </c>
      <c r="B2013" s="2" t="inlineStr">
        <is>
          <t>не сюжет</t>
        </is>
      </c>
      <c r="C2013" s="2" t="n">
        <v>13915</v>
      </c>
      <c r="D2013" s="3" t="inlineStr">
        <is>
          <t>Спокойной ночи, малыши</t>
        </is>
      </c>
      <c r="E2013" s="2" t="n">
        <v>1988</v>
      </c>
      <c r="F2013" s="2" t="inlineStr">
        <is>
          <t>мультфильм</t>
        </is>
      </c>
      <c r="G2013" s="2" t="n"/>
      <c r="H2013" s="2" t="n">
        <v>87</v>
      </c>
      <c r="I2013" s="2" t="inlineStr"/>
      <c r="J2013" s="2" t="inlineStr">
        <is>
          <t>да</t>
        </is>
      </c>
      <c r="K2013" s="3" t="inlineStr">
        <is>
          <t>Заставка к вечерней передаче для детей. Музыка и текст - "Колыбельная" из фильма "Цирк"</t>
        </is>
      </c>
      <c r="L2013" s="2" t="inlineStr">
        <is>
          <t>https://animator.ru/db/?p=show_film&amp;fid=5309</t>
        </is>
      </c>
      <c r="M2013" s="2">
        <f>HYPERLINK("https://ru.wikipedia.org/w/index.php?search=%D0%A1%D0%BF%D0%BE%D0%BA%D0%BE%D0%B9%D0%BD%D0%BE%D0%B9%20%D0%BD%D0%BE%D1%87%D0%B8%2C%20%D0%BC%D0%B0%D0%BB%D1%8B%D1%88%D0%B8%201988%20%D1%84%D0%B8%D0%BB%D1%8C%D0%BC","искать")</f>
        <v/>
      </c>
      <c r="N2013" s="3" t="n"/>
      <c r="O2013" s="2" t="n"/>
      <c r="P2013" s="2" t="n"/>
    </row>
    <row r="2014">
      <c r="A2014" s="2" t="n">
        <v>2013</v>
      </c>
      <c r="B2014" s="2" t="inlineStr">
        <is>
          <t>не сюжет</t>
        </is>
      </c>
      <c r="C2014" s="2" t="n">
        <v>13919</v>
      </c>
      <c r="D2014" s="3" t="inlineStr">
        <is>
          <t>Сундук</t>
        </is>
      </c>
      <c r="E2014" s="2" t="n">
        <v>1986</v>
      </c>
      <c r="F2014" s="2" t="inlineStr">
        <is>
          <t>мультфильм</t>
        </is>
      </c>
      <c r="G2014" s="2" t="inlineStr">
        <is>
          <t>ЭКРАН</t>
        </is>
      </c>
      <c r="H2014" s="2" t="n">
        <v>87</v>
      </c>
      <c r="I2014" s="2" t="inlineStr"/>
      <c r="J2014" s="2" t="inlineStr">
        <is>
          <t>да</t>
        </is>
      </c>
      <c r="K2014" s="3" t="inlineStr">
        <is>
          <t>О том, как иногда искусственно усложняется решение самой простой проблемы. Для взрослых</t>
        </is>
      </c>
      <c r="L2014" s="2" t="inlineStr">
        <is>
          <t>https://animator.ru/db/?p=show_film&amp;fid=5313</t>
        </is>
      </c>
      <c r="M2014" s="2">
        <f>HYPERLINK("https://ru.wikipedia.org/w/index.php?search=%D0%A1%D1%83%D0%BD%D0%B4%D1%83%D0%BA%201986%20%D1%84%D0%B8%D0%BB%D1%8C%D0%BC","искать")</f>
        <v/>
      </c>
      <c r="N2014" s="3" t="n"/>
      <c r="O2014" s="2" t="n"/>
      <c r="P2014" s="2" t="n"/>
    </row>
    <row r="2015">
      <c r="A2015" s="2" t="n">
        <v>2014</v>
      </c>
      <c r="B2015" s="2" t="inlineStr">
        <is>
          <t>не сюжет</t>
        </is>
      </c>
      <c r="C2015" s="2" t="n">
        <v>7441</v>
      </c>
      <c r="D2015" s="3" t="inlineStr">
        <is>
          <t>Год активного солнца</t>
        </is>
      </c>
      <c r="E2015" s="2" t="n">
        <v>1982</v>
      </c>
      <c r="F2015" s="2" t="inlineStr">
        <is>
          <t>телефильм</t>
        </is>
      </c>
      <c r="G2015" s="2" t="n"/>
      <c r="H2015" s="2" t="n">
        <v>88</v>
      </c>
      <c r="I2015" s="2" t="inlineStr"/>
      <c r="J2015" s="2" t="inlineStr">
        <is>
          <t>да</t>
        </is>
      </c>
      <c r="K2015" s="3" t="inlineStr">
        <is>
          <t>В основе сюжета - судьба заместителя председателя горисполкома Веры Сергеевны Колосовой.</t>
        </is>
      </c>
      <c r="L2015" s="2" t="inlineStr">
        <is>
          <t>Кино_СССР сводный каталог.xlsx: список телефильмов</t>
        </is>
      </c>
      <c r="M2015" s="2">
        <f>HYPERLINK("https://ru.wikipedia.org/w/index.php?search=%D0%93%D0%BE%D0%B4%20%D0%B0%D0%BA%D1%82%D0%B8%D0%B2%D0%BD%D0%BE%D0%B3%D0%BE%20%D1%81%D0%BE%D0%BB%D0%BD%D1%86%D0%B0%201982%20%D1%84%D0%B8%D0%BB%D1%8C%D0%BC","искать")</f>
        <v/>
      </c>
      <c r="N2015" s="3" t="n"/>
      <c r="O2015" s="2" t="n"/>
      <c r="P2015" s="2" t="n"/>
    </row>
    <row r="2016">
      <c r="A2016" s="2" t="n">
        <v>2015</v>
      </c>
      <c r="B2016" s="2" t="inlineStr">
        <is>
          <t>не сюжет</t>
        </is>
      </c>
      <c r="C2016" s="2" t="n">
        <v>7617</v>
      </c>
      <c r="D2016" s="3" t="inlineStr">
        <is>
          <t>Заботы Йонаса</t>
        </is>
      </c>
      <c r="E2016" s="2" t="n">
        <v>1980</v>
      </c>
      <c r="F2016" s="2" t="inlineStr">
        <is>
          <t>телефильм</t>
        </is>
      </c>
      <c r="G2016" s="2" t="n"/>
      <c r="H2016" s="2" t="n">
        <v>88</v>
      </c>
      <c r="I2016" s="2" t="inlineStr"/>
      <c r="J2016" s="2" t="inlineStr">
        <is>
          <t>да</t>
        </is>
      </c>
      <c r="K2016" s="3" t="inlineStr">
        <is>
          <t>Телефильм снят по роману классика литовской литературы Антанаса Венуолиса "Поджюнкимес".</t>
        </is>
      </c>
      <c r="L2016" s="2" t="inlineStr">
        <is>
          <t>Кино_СССР сводный каталог.xlsx: список телефильмов</t>
        </is>
      </c>
      <c r="M2016" s="2">
        <f>HYPERLINK("https://ru.wikipedia.org/w/index.php?search=%D0%97%D0%B0%D0%B1%D0%BE%D1%82%D1%8B%20%D0%99%D0%BE%D0%BD%D0%B0%D1%81%D0%B0%201980%20%D1%84%D0%B8%D0%BB%D1%8C%D0%BC","искать")</f>
        <v/>
      </c>
      <c r="N2016" s="3" t="n"/>
      <c r="O2016" s="2" t="n"/>
      <c r="P2016" s="2" t="n"/>
    </row>
    <row r="2017">
      <c r="A2017" s="2" t="n">
        <v>2016</v>
      </c>
      <c r="B2017" s="2" t="inlineStr">
        <is>
          <t>не сюжет</t>
        </is>
      </c>
      <c r="C2017" s="2" t="n">
        <v>10363</v>
      </c>
      <c r="D2017" s="3" t="inlineStr">
        <is>
          <t>Нахлебник</t>
        </is>
      </c>
      <c r="E2017" s="2" t="n">
        <v>1970</v>
      </c>
      <c r="F2017" s="2" t="inlineStr">
        <is>
          <t>фильм-спектакль</t>
        </is>
      </c>
      <c r="G2017" s="2" t="inlineStr">
        <is>
          <t>Ленинградское ТВ</t>
        </is>
      </c>
      <c r="H2017" s="2" t="n">
        <v>88</v>
      </c>
      <c r="I2017" s="2" t="inlineStr"/>
      <c r="J2017" s="2" t="inlineStr">
        <is>
          <t>да</t>
        </is>
      </c>
      <c r="K2017" s="3" t="inlineStr">
        <is>
          <t>Спектакль Ленинградского академического театра им. А.С.Пушкина по комедии И.С.Тургенева.</t>
        </is>
      </c>
      <c r="L2017" s="2" t="inlineStr">
        <is>
          <t>https://www.kino-teatr.ru/teatr/movie/121594/annot/</t>
        </is>
      </c>
      <c r="M2017" s="2">
        <f>HYPERLINK("https://ru.wikipedia.org/w/index.php?search=%D0%9D%D0%B0%D1%85%D0%BB%D0%B5%D0%B1%D0%BD%D0%B8%D0%BA%201970%20%D1%84%D0%B8%D0%BB%D1%8C%D0%BC","искать")</f>
        <v/>
      </c>
      <c r="N2017" s="3" t="n"/>
      <c r="O2017" s="2" t="n"/>
      <c r="P2017" s="2" t="n"/>
    </row>
    <row r="2018">
      <c r="A2018" s="2" t="n">
        <v>2017</v>
      </c>
      <c r="B2018" s="2" t="inlineStr">
        <is>
          <t>не сюжет</t>
        </is>
      </c>
      <c r="C2018" s="2" t="n">
        <v>10419</v>
      </c>
      <c r="D2018" s="3" t="inlineStr">
        <is>
          <t>Старосветские помещики</t>
        </is>
      </c>
      <c r="E2018" s="2" t="n">
        <v>1971</v>
      </c>
      <c r="F2018" s="2" t="inlineStr">
        <is>
          <t>фильм-спектакль</t>
        </is>
      </c>
      <c r="G2018" s="2" t="inlineStr">
        <is>
          <t>Творческое объединение "Экран", Подборки фильмов, экранизации Гоголя</t>
        </is>
      </c>
      <c r="H2018" s="2" t="n">
        <v>88</v>
      </c>
      <c r="I2018" s="2" t="inlineStr"/>
      <c r="J2018" s="2" t="inlineStr">
        <is>
          <t>да</t>
        </is>
      </c>
      <c r="K2018" s="3" t="inlineStr">
        <is>
          <t>Народный артист СССР Игорь Ильинский читает повесть Н.В.Гоголя «Старосветские помещики».</t>
        </is>
      </c>
      <c r="L2018" s="2" t="inlineStr">
        <is>
          <t>https://www.kino-teatr.ru/teatr/movie/151506/annot/</t>
        </is>
      </c>
      <c r="M2018" s="2">
        <f>HYPERLINK("https://ru.wikipedia.org/w/index.php?search=%D0%A1%D1%82%D0%B0%D1%80%D0%BE%D1%81%D0%B2%D0%B5%D1%82%D1%81%D0%BA%D0%B8%D0%B5%20%D0%BF%D0%BE%D0%BC%D0%B5%D1%89%D0%B8%D0%BA%D0%B8%201971%20%D1%84%D0%B8%D0%BB%D1%8C%D0%BC","искать")</f>
        <v/>
      </c>
      <c r="N2018" s="3" t="n"/>
      <c r="O2018" s="2" t="n"/>
      <c r="P2018" s="2" t="n"/>
    </row>
    <row r="2019">
      <c r="A2019" s="2" t="n">
        <v>2018</v>
      </c>
      <c r="B2019" s="2" t="inlineStr">
        <is>
          <t>не сюжет</t>
        </is>
      </c>
      <c r="C2019" s="2" t="n">
        <v>11050</v>
      </c>
      <c r="D2019" s="3" t="inlineStr">
        <is>
          <t>Безумная вечеринка святой Катерины</t>
        </is>
      </c>
      <c r="E2019" s="2" t="n">
        <v>1985</v>
      </c>
      <c r="F2019" s="2" t="inlineStr">
        <is>
          <t>фильм-спектакль</t>
        </is>
      </c>
      <c r="G2019" s="2" t="n"/>
      <c r="H2019" s="2" t="n">
        <v>88</v>
      </c>
      <c r="I2019" s="2" t="inlineStr"/>
      <c r="J2019" s="2" t="inlineStr">
        <is>
          <t>да</t>
        </is>
      </c>
      <c r="K2019" s="3" t="inlineStr">
        <is>
          <t>Фильм-спектакль снят рассказу чешского драматурга и писателя Ярослава Дитла (1929-1985).</t>
        </is>
      </c>
      <c r="L2019" s="2" t="inlineStr">
        <is>
          <t>https://www.kino-teatr.ru/teatr/movie/100159/annot/</t>
        </is>
      </c>
      <c r="M2019" s="2">
        <f>HYPERLINK("https://ru.wikipedia.org/w/index.php?search=%D0%91%D0%B5%D0%B7%D1%83%D0%BC%D0%BD%D0%B0%D1%8F%20%D0%B2%D0%B5%D1%87%D0%B5%D1%80%D0%B8%D0%BD%D0%BA%D0%B0%20%D1%81%D0%B2%D1%8F%D1%82%D0%BE%D0%B9%20%D0%9A%D0%B0%D1%82%D0%B5%D1%80%D0%B8%D0%BD%D1%8B%201985%20%D1%84%D0%B8%D0%BB%D1%8C%D0%BC","искать")</f>
        <v/>
      </c>
      <c r="N2019" s="3" t="n"/>
      <c r="O2019" s="2" t="n"/>
      <c r="P2019" s="2" t="n"/>
    </row>
    <row r="2020">
      <c r="A2020" s="2" t="n">
        <v>2019</v>
      </c>
      <c r="B2020" s="2" t="inlineStr">
        <is>
          <t>не сюжет</t>
        </is>
      </c>
      <c r="C2020" s="2" t="n">
        <v>12358</v>
      </c>
      <c r="D2020" s="3" t="inlineStr">
        <is>
          <t>Джордано Бруно</t>
        </is>
      </c>
      <c r="E2020" s="2" t="n">
        <v>1984</v>
      </c>
      <c r="F2020" s="2" t="inlineStr">
        <is>
          <t>мультфильм</t>
        </is>
      </c>
      <c r="G2020" s="2" t="inlineStr">
        <is>
          <t>КИЕВНАУЧФИЛЬМ</t>
        </is>
      </c>
      <c r="H2020" s="2" t="n">
        <v>88</v>
      </c>
      <c r="I2020" s="2" t="inlineStr"/>
      <c r="J2020" s="2" t="inlineStr">
        <is>
          <t>да</t>
        </is>
      </c>
      <c r="K2020" s="3" t="inlineStr">
        <is>
          <t>О подвиге Джордано Бруно. Использована живопись немецкого художника Матиаса Грюневальда.</t>
        </is>
      </c>
      <c r="L2020" s="2" t="inlineStr">
        <is>
          <t>2026-10_мультфильмы_список_владельца.xlsx; https://animator.ru/db/?p=show_film&amp;fid=3525</t>
        </is>
      </c>
      <c r="M2020" s="2">
        <f>HYPERLINK("https://ru.wikipedia.org/w/index.php?search=%D0%94%D0%B6%D0%BE%D1%80%D0%B4%D0%B0%D0%BD%D0%BE%20%D0%91%D1%80%D1%83%D0%BD%D0%BE%201984%20%D1%84%D0%B8%D0%BB%D1%8C%D0%BC","искать")</f>
        <v/>
      </c>
      <c r="N2020" s="3" t="n"/>
      <c r="O2020" s="2" t="n"/>
      <c r="P2020" s="2" t="n"/>
    </row>
    <row r="2021">
      <c r="A2021" s="2" t="n">
        <v>2020</v>
      </c>
      <c r="B2021" s="2" t="inlineStr">
        <is>
          <t>не сюжет</t>
        </is>
      </c>
      <c r="C2021" s="2" t="n">
        <v>7464</v>
      </c>
      <c r="D2021" s="3" t="inlineStr">
        <is>
          <t>Гранитные острова</t>
        </is>
      </c>
      <c r="E2021" s="2" t="n">
        <v>1976</v>
      </c>
      <c r="F2021" s="2" t="inlineStr">
        <is>
          <t>телефильм</t>
        </is>
      </c>
      <c r="G2021" s="2" t="n"/>
      <c r="H2021" s="2" t="n">
        <v>89</v>
      </c>
      <c r="I2021" s="2" t="inlineStr"/>
      <c r="J2021" s="2" t="inlineStr">
        <is>
          <t>да</t>
        </is>
      </c>
      <c r="K2021" s="3" t="inlineStr">
        <is>
          <t>Телефильм по мотивам повести Е.Воеводина «Пуд соли». Киноповесть о молодых пограничниках.</t>
        </is>
      </c>
      <c r="L2021" s="2" t="inlineStr">
        <is>
          <t>Кино_СССР сводный каталог.xlsx: список телефильмов</t>
        </is>
      </c>
      <c r="M2021" s="2">
        <f>HYPERLINK("https://ru.wikipedia.org/w/index.php?search=%D0%93%D1%80%D0%B0%D0%BD%D0%B8%D1%82%D0%BD%D1%8B%D0%B5%20%D0%BE%D1%81%D1%82%D1%80%D0%BE%D0%B2%D0%B0%201976%20%D1%84%D0%B8%D0%BB%D1%8C%D0%BC","искать")</f>
        <v/>
      </c>
      <c r="N2021" s="3" t="n"/>
      <c r="O2021" s="2" t="n"/>
      <c r="P2021" s="2" t="n"/>
    </row>
    <row r="2022">
      <c r="A2022" s="2" t="n">
        <v>2021</v>
      </c>
      <c r="B2022" s="2" t="inlineStr">
        <is>
          <t>не сюжет</t>
        </is>
      </c>
      <c r="C2022" s="2" t="n">
        <v>7532</v>
      </c>
      <c r="D2022" s="3" t="inlineStr">
        <is>
          <t>Долгие дни, короткие недели...</t>
        </is>
      </c>
      <c r="E2022" s="2" t="n">
        <v>1980</v>
      </c>
      <c r="F2022" s="2" t="inlineStr">
        <is>
          <t>телефильм</t>
        </is>
      </c>
      <c r="G2022" s="2" t="inlineStr">
        <is>
          <t>к/с им. Довженко</t>
        </is>
      </c>
      <c r="H2022" s="2" t="n">
        <v>89</v>
      </c>
      <c r="I2022" s="2" t="inlineStr"/>
      <c r="J2022" s="2" t="inlineStr">
        <is>
          <t>да</t>
        </is>
      </c>
      <c r="K2022" s="3" t="inlineStr">
        <is>
          <t>Телефильм рассказывает о молодежи конца 70-х годов и о выборе ими своего жизненного пути.</t>
        </is>
      </c>
      <c r="L2022" s="2" t="inlineStr">
        <is>
          <t>Кино_СССР сводный каталог.xlsx: список телефильмов</t>
        </is>
      </c>
      <c r="M2022" s="2">
        <f>HYPERLINK("https://ru.wikipedia.org/w/index.php?search=%D0%94%D0%BE%D0%BB%D0%B3%D0%B8%D0%B5%20%D0%B4%D0%BD%D0%B8%2C%20%D0%BA%D0%BE%D1%80%D0%BE%D1%82%D0%BA%D0%B8%D0%B5%20%D0%BD%D0%B5%D0%B4%D0%B5%D0%BB%D0%B8...%201980%20%D1%84%D0%B8%D0%BB%D1%8C%D0%BC","искать")</f>
        <v/>
      </c>
      <c r="N2022" s="3" t="n"/>
      <c r="O2022" s="2" t="n"/>
      <c r="P2022" s="2" t="n"/>
    </row>
    <row r="2023">
      <c r="A2023" s="2" t="n">
        <v>2022</v>
      </c>
      <c r="B2023" s="2" t="inlineStr">
        <is>
          <t>не сюжет</t>
        </is>
      </c>
      <c r="C2023" s="2" t="n">
        <v>7722</v>
      </c>
      <c r="D2023" s="3" t="inlineStr">
        <is>
          <t>Карьера Дичюса</t>
        </is>
      </c>
      <c r="E2023" s="2" t="n">
        <v>1980</v>
      </c>
      <c r="F2023" s="2" t="inlineStr">
        <is>
          <t>телефильм</t>
        </is>
      </c>
      <c r="G2023" s="2" t="n"/>
      <c r="H2023" s="2" t="n">
        <v>89</v>
      </c>
      <c r="I2023" s="2" t="inlineStr"/>
      <c r="J2023" s="2" t="inlineStr">
        <is>
          <t>да</t>
        </is>
      </c>
      <c r="K2023" s="3" t="inlineStr">
        <is>
          <t>Телевизионный музыкальный фильм  создан по мотивам рассказа Теофилиса Тильвитиса "Дичюс".</t>
        </is>
      </c>
      <c r="L2023" s="2" t="inlineStr">
        <is>
          <t>Кино_СССР сводный каталог.xlsx: список телефильмов</t>
        </is>
      </c>
      <c r="M2023" s="2">
        <f>HYPERLINK("https://ru.wikipedia.org/w/index.php?search=%D0%9A%D0%B0%D1%80%D1%8C%D0%B5%D1%80%D0%B0%20%D0%94%D0%B8%D1%87%D1%8E%D1%81%D0%B0%201980%20%D1%84%D0%B8%D0%BB%D1%8C%D0%BC","искать")</f>
        <v/>
      </c>
      <c r="N2023" s="3" t="n"/>
      <c r="O2023" s="2" t="n"/>
      <c r="P2023" s="2" t="n"/>
    </row>
    <row r="2024">
      <c r="A2024" s="2" t="n">
        <v>2023</v>
      </c>
      <c r="B2024" s="2" t="inlineStr">
        <is>
          <t>не сюжет</t>
        </is>
      </c>
      <c r="C2024" s="2" t="n">
        <v>10996</v>
      </c>
      <c r="D2024" s="3" t="inlineStr">
        <is>
          <t>Месяц в деревне</t>
        </is>
      </c>
      <c r="E2024" s="2" t="n">
        <v>1983</v>
      </c>
      <c r="F2024" s="2" t="inlineStr">
        <is>
          <t>фильм-спектакль</t>
        </is>
      </c>
      <c r="G2024" s="2" t="inlineStr">
        <is>
          <t>ТО "Экран"</t>
        </is>
      </c>
      <c r="H2024" s="2" t="n">
        <v>89</v>
      </c>
      <c r="I2024" s="2" t="inlineStr"/>
      <c r="J2024" s="2" t="inlineStr">
        <is>
          <t>да</t>
        </is>
      </c>
      <c r="K2024" s="3" t="inlineStr">
        <is>
          <t>По одноименной драме И.С. Тургенева.
Спектакль Театра на Малой Бронной. Запись 1983 года.</t>
        </is>
      </c>
      <c r="L2024" s="2" t="inlineStr">
        <is>
          <t>https://www.kino-teatr.ru/teatr/movie/3854/annot/</t>
        </is>
      </c>
      <c r="M2024" s="2">
        <f>HYPERLINK("https://ru.wikipedia.org/w/index.php?search=%D0%9C%D0%B5%D1%81%D1%8F%D1%86%20%D0%B2%20%D0%B4%D0%B5%D1%80%D0%B5%D0%B2%D0%BD%D0%B5%201983%20%D1%84%D0%B8%D0%BB%D1%8C%D0%BC","искать")</f>
        <v/>
      </c>
      <c r="N2024" s="3" t="n"/>
      <c r="O2024" s="2" t="n"/>
      <c r="P2024" s="2" t="n"/>
    </row>
    <row r="2025">
      <c r="A2025" s="2" t="n">
        <v>2024</v>
      </c>
      <c r="B2025" s="2" t="inlineStr">
        <is>
          <t>не сюжет</t>
        </is>
      </c>
      <c r="C2025" s="2" t="n">
        <v>11029</v>
      </c>
      <c r="D2025" s="3" t="inlineStr">
        <is>
          <t>Кто-то должен...</t>
        </is>
      </c>
      <c r="E2025" s="2" t="n">
        <v>1984</v>
      </c>
      <c r="F2025" s="2" t="inlineStr">
        <is>
          <t>фильм-спектакль</t>
        </is>
      </c>
      <c r="G2025" s="2" t="inlineStr">
        <is>
          <t>Главная редакция литературно-драматических программ ЦТ</t>
        </is>
      </c>
      <c r="H2025" s="2" t="n">
        <v>89</v>
      </c>
      <c r="I2025" s="2" t="inlineStr"/>
      <c r="J2025" s="2" t="inlineStr">
        <is>
          <t>да</t>
        </is>
      </c>
      <c r="K2025" s="3" t="inlineStr">
        <is>
          <t>По одноименной повести Д.Гранина 1970 года, рассказывающей об учёных, о моральном выборе.</t>
        </is>
      </c>
      <c r="L2025" s="2" t="inlineStr">
        <is>
          <t>https://www.kino-teatr.ru/teatr/movie/15455/annot/</t>
        </is>
      </c>
      <c r="M2025" s="2">
        <f>HYPERLINK("https://ru.wikipedia.org/w/index.php?search=%D0%9A%D1%82%D0%BE-%D1%82%D0%BE%20%D0%B4%D0%BE%D0%BB%D0%B6%D0%B5%D0%BD...%201984%20%D1%84%D0%B8%D0%BB%D1%8C%D0%BC","искать")</f>
        <v/>
      </c>
      <c r="N2025" s="3" t="n"/>
      <c r="O2025" s="2" t="n"/>
      <c r="P2025" s="2" t="n"/>
    </row>
    <row r="2026">
      <c r="A2026" s="2" t="n">
        <v>2025</v>
      </c>
      <c r="B2026" s="2" t="inlineStr">
        <is>
          <t>не сюжет</t>
        </is>
      </c>
      <c r="C2026" s="2" t="n">
        <v>11533</v>
      </c>
      <c r="D2026" s="3" t="inlineStr">
        <is>
          <t>Веселая карусель. Выпуск №10</t>
        </is>
      </c>
      <c r="E2026" s="2" t="n">
        <v>1978</v>
      </c>
      <c r="F2026" s="2" t="inlineStr">
        <is>
          <t>мультфильм</t>
        </is>
      </c>
      <c r="G2026" s="2" t="inlineStr">
        <is>
          <t>Союзмультфильм</t>
        </is>
      </c>
      <c r="H2026" s="2" t="n">
        <v>89</v>
      </c>
      <c r="I2026" s="2" t="inlineStr"/>
      <c r="J2026" s="2" t="inlineStr">
        <is>
          <t>да</t>
        </is>
      </c>
      <c r="K2026" s="3" t="inlineStr">
        <is>
          <t>10-ая серия альманаха «ВЕСЕЛАЯ КАРУСЕЛЬ»
сюжеты: «СВЕТЛЯЧОК», «БАБОЧКА И ТИГР», «ПОСЫЛКА»</t>
        </is>
      </c>
      <c r="L2026" s="2" t="inlineStr">
        <is>
          <t>https://animator.ru/db/?p=show_film&amp;fid=2304</t>
        </is>
      </c>
      <c r="M2026" s="2">
        <f>HYPERLINK("https://ru.wikipedia.org/w/index.php?search=%D0%92%D0%B5%D1%81%D0%B5%D0%BB%D0%B0%D1%8F%20%D0%BA%D0%B0%D1%80%D1%83%D1%81%D0%B5%D0%BB%D1%8C.%20%D0%92%D1%8B%D0%BF%D1%83%D1%81%D0%BA%20%E2%84%9610%201978%20%D1%84%D0%B8%D0%BB%D1%8C%D0%BC","искать")</f>
        <v/>
      </c>
      <c r="N2026" s="3" t="n"/>
      <c r="O2026" s="2" t="n"/>
      <c r="P2026" s="2" t="n"/>
    </row>
    <row r="2027">
      <c r="A2027" s="2" t="n">
        <v>2026</v>
      </c>
      <c r="B2027" s="2" t="inlineStr">
        <is>
          <t>не сюжет</t>
        </is>
      </c>
      <c r="C2027" s="2" t="n">
        <v>11927</v>
      </c>
      <c r="D2027" s="3" t="inlineStr">
        <is>
          <t>Сказка сказок</t>
        </is>
      </c>
      <c r="E2027" s="2" t="n">
        <v>1979</v>
      </c>
      <c r="F2027" s="2" t="inlineStr">
        <is>
          <t>мультфильм</t>
        </is>
      </c>
      <c r="G2027" s="2" t="inlineStr">
        <is>
          <t>Союзмультфильм</t>
        </is>
      </c>
      <c r="H2027" s="2" t="n">
        <v>89</v>
      </c>
      <c r="I2027" s="2" t="inlineStr"/>
      <c r="J2027" s="2" t="inlineStr">
        <is>
          <t>да</t>
        </is>
      </c>
      <c r="K2027" s="3" t="inlineStr">
        <is>
          <t>В фильме использованы произведения Баха и Моцарта, а также популярные мелодии 30-х годов.</t>
        </is>
      </c>
      <c r="L2027" s="2" t="inlineStr">
        <is>
          <t>2026-10_мультфильмы_список_владельца.xlsx; https://animator.ru/db/?p=show_film&amp;fid=2842</t>
        </is>
      </c>
      <c r="M2027" s="2">
        <f>HYPERLINK("https://ru.wikipedia.org/w/index.php?search=%D0%A1%D0%BA%D0%B0%D0%B7%D0%BA%D0%B0%20%D1%81%D0%BA%D0%B0%D0%B7%D0%BE%D0%BA%201979%20%D1%84%D0%B8%D0%BB%D1%8C%D0%BC","искать")</f>
        <v/>
      </c>
      <c r="N2027" s="3" t="n"/>
      <c r="O2027" s="2" t="n"/>
      <c r="P2027" s="2" t="n"/>
    </row>
    <row r="2028">
      <c r="A2028" s="2" t="n">
        <v>2027</v>
      </c>
      <c r="B2028" s="2" t="inlineStr">
        <is>
          <t>не сюжет</t>
        </is>
      </c>
      <c r="C2028" s="2" t="n">
        <v>11929</v>
      </c>
      <c r="D2028" s="3" t="inlineStr">
        <is>
          <t>Тир</t>
        </is>
      </c>
      <c r="E2028" s="2" t="n">
        <v>1979</v>
      </c>
      <c r="F2028" s="2" t="inlineStr">
        <is>
          <t>мультфильм</t>
        </is>
      </c>
      <c r="G2028" s="2" t="inlineStr">
        <is>
          <t>Союзмультфильм</t>
        </is>
      </c>
      <c r="H2028" s="2" t="n">
        <v>89</v>
      </c>
      <c r="I2028" s="2" t="inlineStr"/>
      <c r="J2028" s="2" t="inlineStr">
        <is>
          <t>да</t>
        </is>
      </c>
      <c r="K2028" s="3" t="inlineStr">
        <is>
          <t>По фантастической пьесе В.Славкина. Музыка и исполнение - В.Ганелин, В.Чекасин, В.Тарасов</t>
        </is>
      </c>
      <c r="L2028" s="2" t="inlineStr">
        <is>
          <t>https://animator.ru/db/?p=show_film&amp;fid=2844</t>
        </is>
      </c>
      <c r="M2028" s="2">
        <f>HYPERLINK("https://ru.wikipedia.org/w/index.php?search=%D0%A2%D0%B8%D1%80%201979%20%D1%84%D0%B8%D0%BB%D1%8C%D0%BC","искать")</f>
        <v/>
      </c>
      <c r="N2028" s="3" t="n"/>
      <c r="O2028" s="2" t="n"/>
      <c r="P2028" s="2" t="n"/>
    </row>
    <row r="2029">
      <c r="A2029" s="2" t="n">
        <v>2028</v>
      </c>
      <c r="B2029" s="2" t="inlineStr">
        <is>
          <t>не сюжет</t>
        </is>
      </c>
      <c r="C2029" s="2" t="n">
        <v>12269</v>
      </c>
      <c r="D2029" s="3" t="inlineStr">
        <is>
          <t>Веселая карусель n 21. Однажды</t>
        </is>
      </c>
      <c r="E2029" s="2" t="n">
        <v>1990</v>
      </c>
      <c r="F2029" s="2" t="inlineStr">
        <is>
          <t>мультфильм</t>
        </is>
      </c>
      <c r="G2029" s="2" t="inlineStr">
        <is>
          <t>Союзмультфильм</t>
        </is>
      </c>
      <c r="H2029" s="2" t="n">
        <v>89</v>
      </c>
      <c r="I2029" s="2" t="inlineStr"/>
      <c r="J2029" s="2" t="inlineStr">
        <is>
          <t>да</t>
        </is>
      </c>
      <c r="K2029" s="3" t="inlineStr">
        <is>
          <t>Сюжет из альманаха «ВЕСЕЛАЯ КАРУСЕЛЬ N 21»
Пол Даниилу Хармсу. Музыка из архивных записей</t>
        </is>
      </c>
      <c r="L2029" s="2" t="inlineStr">
        <is>
          <t>https://animator.ru/db/?p=show_film&amp;fid=3386</t>
        </is>
      </c>
      <c r="M2029" s="2">
        <f>HYPERLINK("https://ru.wikipedia.org/w/index.php?search=%D0%92%D0%B5%D1%81%D0%B5%D0%BB%D0%B0%D1%8F%20%D0%BA%D0%B0%D1%80%D1%83%D1%81%D0%B5%D0%BB%D1%8C%20n%2021.%20%D0%9E%D0%B4%D0%BD%D0%B0%D0%B6%D0%B4%D1%8B%201990%20%D1%84%D0%B8%D0%BB%D1%8C%D0%BC","искать")</f>
        <v/>
      </c>
      <c r="N2029" s="3" t="n"/>
      <c r="O2029" s="2" t="n"/>
      <c r="P2029" s="2" t="n"/>
    </row>
    <row r="2030">
      <c r="A2030" s="2" t="n">
        <v>2029</v>
      </c>
      <c r="B2030" s="2" t="inlineStr">
        <is>
          <t>не сюжет</t>
        </is>
      </c>
      <c r="C2030" s="2" t="n">
        <v>12761</v>
      </c>
      <c r="D2030" s="3" t="inlineStr">
        <is>
          <t>Три сказки</t>
        </is>
      </c>
      <c r="E2030" s="2" t="n">
        <v>1986</v>
      </c>
      <c r="F2030" s="2" t="inlineStr">
        <is>
          <t>мультфильм</t>
        </is>
      </c>
      <c r="G2030" s="2" t="inlineStr">
        <is>
          <t>АРМЕНФИЛЬМ</t>
        </is>
      </c>
      <c r="H2030" s="2" t="n">
        <v>89</v>
      </c>
      <c r="I2030" s="2" t="inlineStr"/>
      <c r="J2030" s="2" t="inlineStr">
        <is>
          <t>да</t>
        </is>
      </c>
      <c r="K2030" s="3" t="inlineStr">
        <is>
          <t>Три новеллы: "Добряк" (по мотивам сказок У.Сарояна), "Великий мышонок" и "Плотник и царь"</t>
        </is>
      </c>
      <c r="L2030" s="2" t="inlineStr">
        <is>
          <t>https://animator.ru/db/?p=show_film&amp;fid=3970</t>
        </is>
      </c>
      <c r="M2030" s="2">
        <f>HYPERLINK("https://ru.wikipedia.org/w/index.php?search=%D0%A2%D1%80%D0%B8%20%D1%81%D0%BA%D0%B0%D0%B7%D0%BA%D0%B8%201986%20%D1%84%D0%B8%D0%BB%D1%8C%D0%BC","искать")</f>
        <v/>
      </c>
      <c r="N2030" s="3" t="n"/>
      <c r="O2030" s="2" t="n"/>
      <c r="P2030" s="2" t="n"/>
    </row>
    <row r="2031">
      <c r="A2031" s="2" t="n">
        <v>2030</v>
      </c>
      <c r="B2031" s="2" t="inlineStr">
        <is>
          <t>не сюжет</t>
        </is>
      </c>
      <c r="C2031" s="2" t="n">
        <v>13413</v>
      </c>
      <c r="D2031" s="3" t="inlineStr">
        <is>
          <t>Обида</t>
        </is>
      </c>
      <c r="E2031" s="2" t="n">
        <v>1979</v>
      </c>
      <c r="F2031" s="2" t="inlineStr">
        <is>
          <t>мультфильм</t>
        </is>
      </c>
      <c r="G2031" s="2" t="inlineStr">
        <is>
          <t>ЭКРАН</t>
        </is>
      </c>
      <c r="H2031" s="2" t="n">
        <v>89</v>
      </c>
      <c r="I2031" s="2" t="inlineStr"/>
      <c r="J2031" s="2" t="inlineStr">
        <is>
          <t>да</t>
        </is>
      </c>
      <c r="K2031" s="3" t="inlineStr">
        <is>
          <t>Первый фильм трилогии о приключениях четврех друзей - енота, крота, зайчонка и медвежонка</t>
        </is>
      </c>
      <c r="L2031" s="2" t="inlineStr">
        <is>
          <t>https://animator.ru/db/?p=show_film&amp;fid=4693</t>
        </is>
      </c>
      <c r="M2031" s="2">
        <f>HYPERLINK("https://ru.wikipedia.org/w/index.php?search=%D0%9E%D0%B1%D0%B8%D0%B4%D0%B0%201979%20%D1%84%D0%B8%D0%BB%D1%8C%D0%BC","искать")</f>
        <v/>
      </c>
      <c r="N2031" s="3" t="n"/>
      <c r="O2031" s="2" t="n"/>
      <c r="P2031" s="2" t="n"/>
    </row>
    <row r="2032">
      <c r="A2032" s="2" t="n">
        <v>2031</v>
      </c>
      <c r="B2032" s="2" t="inlineStr">
        <is>
          <t>не сюжет</t>
        </is>
      </c>
      <c r="C2032" s="2" t="n">
        <v>13574</v>
      </c>
      <c r="D2032" s="3" t="inlineStr">
        <is>
          <t>Этого не может быть</t>
        </is>
      </c>
      <c r="E2032" s="2" t="n">
        <v>1990</v>
      </c>
      <c r="F2032" s="2" t="inlineStr">
        <is>
          <t>мультфильм</t>
        </is>
      </c>
      <c r="G2032" s="2" t="inlineStr">
        <is>
          <t>СОЮЗТЕЛЕФИЛЬМ</t>
        </is>
      </c>
      <c r="H2032" s="2" t="n">
        <v>89</v>
      </c>
      <c r="I2032" s="2" t="inlineStr"/>
      <c r="J2032" s="2" t="inlineStr">
        <is>
          <t>да</t>
        </is>
      </c>
      <c r="K2032" s="3" t="inlineStr">
        <is>
          <t>О том, что чрезмерный педантизм и пристрастие к порядку не приводит к добру. Для взрослых</t>
        </is>
      </c>
      <c r="L2032" s="2" t="inlineStr">
        <is>
          <t>https://animator.ru/db/?p=show_film&amp;fid=4909</t>
        </is>
      </c>
      <c r="M2032" s="2">
        <f>HYPERLINK("https://ru.wikipedia.org/w/index.php?search=%D0%AD%D1%82%D0%BE%D0%B3%D0%BE%20%D0%BD%D0%B5%20%D0%BC%D0%BE%D0%B6%D0%B5%D1%82%20%D0%B1%D1%8B%D1%82%D1%8C%201990%20%D1%84%D0%B8%D0%BB%D1%8C%D0%BC","искать")</f>
        <v/>
      </c>
      <c r="N2032" s="3" t="n"/>
      <c r="O2032" s="2" t="n"/>
      <c r="P2032" s="2" t="n"/>
    </row>
    <row r="2033">
      <c r="A2033" s="2" t="n">
        <v>2032</v>
      </c>
      <c r="B2033" s="2" t="inlineStr">
        <is>
          <t>не сюжет</t>
        </is>
      </c>
      <c r="C2033" s="2" t="n">
        <v>13814</v>
      </c>
      <c r="D2033" s="3" t="inlineStr">
        <is>
          <t>Отчего кошку назвали кошкой</t>
        </is>
      </c>
      <c r="E2033" s="2" t="n">
        <v>1982</v>
      </c>
      <c r="F2033" s="2" t="inlineStr">
        <is>
          <t>мультфильм</t>
        </is>
      </c>
      <c r="G2033" s="2" t="inlineStr">
        <is>
          <t>ЭКРАН</t>
        </is>
      </c>
      <c r="H2033" s="2" t="n">
        <v>89</v>
      </c>
      <c r="I2033" s="2" t="inlineStr"/>
      <c r="J2033" s="2" t="inlineStr">
        <is>
          <t>да</t>
        </is>
      </c>
      <c r="K2033" s="3" t="inlineStr">
        <is>
          <t>По мотивам стихотворения Маршака "Отчего кошку назвали кошкой" и "Старуха, дверь закрой!"</t>
        </is>
      </c>
      <c r="L2033" s="2" t="inlineStr">
        <is>
          <t>https://animator.ru/db/?p=show_film&amp;fid=5207</t>
        </is>
      </c>
      <c r="M2033" s="2">
        <f>HYPERLINK("https://ru.wikipedia.org/w/index.php?search=%D0%9E%D1%82%D1%87%D0%B5%D0%B3%D0%BE%20%D0%BA%D0%BE%D1%88%D0%BA%D1%83%20%D0%BD%D0%B0%D0%B7%D0%B2%D0%B0%D0%BB%D0%B8%20%D0%BA%D0%BE%D1%88%D0%BA%D0%BE%D0%B9%201982%20%D1%84%D0%B8%D0%BB%D1%8C%D0%BC","искать")</f>
        <v/>
      </c>
      <c r="N2033" s="3" t="n"/>
      <c r="O2033" s="2" t="n"/>
      <c r="P2033" s="2" t="n"/>
    </row>
    <row r="2034">
      <c r="A2034" s="2" t="n">
        <v>2033</v>
      </c>
      <c r="B2034" s="2" t="inlineStr">
        <is>
          <t>не сюжет</t>
        </is>
      </c>
      <c r="C2034" s="2" t="n">
        <v>14263</v>
      </c>
      <c r="D2034" s="3" t="inlineStr">
        <is>
          <t>Веселая карусель. Выпуск №22</t>
        </is>
      </c>
      <c r="E2034" s="2" t="n">
        <v>1990</v>
      </c>
      <c r="F2034" s="2" t="inlineStr">
        <is>
          <t>мультфильм</t>
        </is>
      </c>
      <c r="G2034" s="2" t="inlineStr">
        <is>
          <t>Союзмультфильм</t>
        </is>
      </c>
      <c r="H2034" s="2" t="n">
        <v>89</v>
      </c>
      <c r="I2034" s="2" t="inlineStr"/>
      <c r="J2034" s="2" t="inlineStr">
        <is>
          <t>да</t>
        </is>
      </c>
      <c r="K2034" s="3" t="inlineStr">
        <is>
          <t>22-ая серия альманаха «ВЕСЕЛАЯ КАРУСЕЛЬ»
сюжеты: «ВОЕННАЯ ТАЙНА», «СОЛО ДЛЯ ЛУНЫ И ВОЛКА»</t>
        </is>
      </c>
      <c r="L2034" s="2" t="inlineStr">
        <is>
          <t>https://animator.ru/db/?p=show_film&amp;fid=5705</t>
        </is>
      </c>
      <c r="M2034" s="2">
        <f>HYPERLINK("https://ru.wikipedia.org/w/index.php?search=%D0%92%D0%B5%D1%81%D0%B5%D0%BB%D0%B0%D1%8F%20%D0%BA%D0%B0%D1%80%D1%83%D1%81%D0%B5%D0%BB%D1%8C.%20%D0%92%D1%8B%D0%BF%D1%83%D1%81%D0%BA%20%E2%84%9622%201990%20%D1%84%D0%B8%D0%BB%D1%8C%D0%BC","искать")</f>
        <v/>
      </c>
      <c r="N2034" s="3" t="n"/>
      <c r="O2034" s="2" t="n"/>
      <c r="P2034" s="2" t="n"/>
    </row>
    <row r="2035">
      <c r="A2035" s="2" t="n">
        <v>2034</v>
      </c>
      <c r="B2035" s="2" t="inlineStr">
        <is>
          <t>не сюжет</t>
        </is>
      </c>
      <c r="C2035" s="2" t="n">
        <v>8179</v>
      </c>
      <c r="D2035" s="3" t="inlineStr">
        <is>
          <t>Почему плакали сосны?</t>
        </is>
      </c>
      <c r="E2035" s="2" t="n">
        <v>1977</v>
      </c>
      <c r="F2035" s="2" t="inlineStr">
        <is>
          <t>телефильм</t>
        </is>
      </c>
      <c r="G2035" s="2" t="n"/>
      <c r="H2035" s="2" t="n">
        <v>90</v>
      </c>
      <c r="I2035" s="2" t="inlineStr"/>
      <c r="J2035" s="2" t="inlineStr">
        <is>
          <t>да</t>
        </is>
      </c>
      <c r="K2035" s="3" t="inlineStr">
        <is>
          <t>По мотивам книги М.Шумаускаса "Смысл жизни". О партизанской группе в Литве во время войны.</t>
        </is>
      </c>
      <c r="L2035" s="2" t="inlineStr">
        <is>
          <t>Кино_СССР сводный каталог.xlsx: список телефильмов</t>
        </is>
      </c>
      <c r="M2035" s="2">
        <f>HYPERLINK("https://ru.wikipedia.org/w/index.php?search=%D0%9F%D0%BE%D1%87%D0%B5%D0%BC%D1%83%20%D0%BF%D0%BB%D0%B0%D0%BA%D0%B0%D0%BB%D0%B8%20%D1%81%D0%BE%D1%81%D0%BD%D1%8B%3F%201977%20%D1%84%D0%B8%D0%BB%D1%8C%D0%BC","искать")</f>
        <v/>
      </c>
      <c r="N2035" s="3" t="n"/>
      <c r="O2035" s="2" t="n"/>
      <c r="P2035" s="2" t="n"/>
    </row>
    <row r="2036">
      <c r="A2036" s="2" t="n">
        <v>2035</v>
      </c>
      <c r="B2036" s="2" t="inlineStr">
        <is>
          <t>не сюжет</t>
        </is>
      </c>
      <c r="C2036" s="2" t="n">
        <v>8703</v>
      </c>
      <c r="D2036" s="3" t="inlineStr">
        <is>
          <t>Директор</t>
        </is>
      </c>
      <c r="E2036" s="2" t="n">
        <v>1938</v>
      </c>
      <c r="F2036" s="2" t="inlineStr">
        <is>
          <t>кинофильм</t>
        </is>
      </c>
      <c r="G2036" s="2" t="n"/>
      <c r="H2036" s="2" t="n">
        <v>90</v>
      </c>
      <c r="I2036" s="2" t="inlineStr"/>
      <c r="J2036" s="2" t="inlineStr">
        <is>
          <t>да</t>
        </is>
      </c>
      <c r="K2036" s="3" t="inlineStr">
        <is>
          <t>Драма о борьбе с замаскировавшимися троцкистами на производстве. Фильм на экраны не вышел.</t>
        </is>
      </c>
      <c r="L2036" s="2" t="inlineStr">
        <is>
          <t>Кино_СССР сводный каталог.xlsx: список фильмов (доп.)</t>
        </is>
      </c>
      <c r="M2036" s="2">
        <f>HYPERLINK("https://ru.wikipedia.org/w/index.php?search=%D0%94%D0%B8%D1%80%D0%B5%D0%BA%D1%82%D0%BE%D1%80%201938%20%D1%84%D0%B8%D0%BB%D1%8C%D0%BC","искать")</f>
        <v/>
      </c>
      <c r="N2036" s="3" t="n"/>
      <c r="O2036" s="2" t="n"/>
      <c r="P2036" s="2" t="n"/>
    </row>
    <row r="2037">
      <c r="A2037" s="2" t="n">
        <v>2036</v>
      </c>
      <c r="B2037" s="2" t="inlineStr">
        <is>
          <t>не сюжет</t>
        </is>
      </c>
      <c r="C2037" s="2" t="n">
        <v>9922</v>
      </c>
      <c r="D2037" s="3" t="inlineStr">
        <is>
          <t>Поделись теплом</t>
        </is>
      </c>
      <c r="E2037" s="2" t="n">
        <v>1976</v>
      </c>
      <c r="F2037" s="2" t="inlineStr">
        <is>
          <t>кинофильм</t>
        </is>
      </c>
      <c r="G2037" s="2" t="inlineStr">
        <is>
          <t>Грузия-фильм</t>
        </is>
      </c>
      <c r="H2037" s="2" t="n">
        <v>90</v>
      </c>
      <c r="I2037" s="2" t="inlineStr"/>
      <c r="J2037" s="2" t="inlineStr">
        <is>
          <t>да</t>
        </is>
      </c>
      <c r="K2037" s="3" t="inlineStr">
        <is>
          <t>Лирическая киноновелла о доброте и чуткости, проявленной односельчанами к больному соседу.</t>
        </is>
      </c>
      <c r="L2037" s="2" t="inlineStr">
        <is>
          <t>https://www.kino-teatr.ru/short/movie/sov/84584/annot/</t>
        </is>
      </c>
      <c r="M2037" s="2">
        <f>HYPERLINK("https://ru.wikipedia.org/w/index.php?search=%D0%9F%D0%BE%D0%B4%D0%B5%D0%BB%D0%B8%D1%81%D1%8C%20%D1%82%D0%B5%D0%BF%D0%BB%D0%BE%D0%BC%201976%20%D1%84%D0%B8%D0%BB%D1%8C%D0%BC","искать")</f>
        <v/>
      </c>
      <c r="N2037" s="3" t="n"/>
      <c r="O2037" s="2" t="n"/>
      <c r="P2037" s="2" t="n"/>
    </row>
    <row r="2038">
      <c r="A2038" s="2" t="n">
        <v>2037</v>
      </c>
      <c r="B2038" s="2" t="inlineStr">
        <is>
          <t>не сюжет</t>
        </is>
      </c>
      <c r="C2038" s="2" t="n">
        <v>10411</v>
      </c>
      <c r="D2038" s="3" t="inlineStr">
        <is>
          <t>Петербург</t>
        </is>
      </c>
      <c r="E2038" s="2" t="n">
        <v>1971</v>
      </c>
      <c r="F2038" s="2" t="inlineStr">
        <is>
          <t>фильм-спектакль</t>
        </is>
      </c>
      <c r="G2038" s="2" t="n"/>
      <c r="H2038" s="2" t="n">
        <v>90</v>
      </c>
      <c r="I2038" s="2" t="inlineStr"/>
      <c r="J2038" s="2" t="inlineStr">
        <is>
          <t>да</t>
        </is>
      </c>
      <c r="K2038" s="3" t="inlineStr">
        <is>
          <t>Литературная композиция Владимира Яхонтова по произведениям Пушкина, Гоголя, Достоевского.</t>
        </is>
      </c>
      <c r="L2038" s="2" t="inlineStr">
        <is>
          <t>https://www.kino-teatr.ru/teatr/movie/88759/annot/</t>
        </is>
      </c>
      <c r="M2038" s="2">
        <f>HYPERLINK("https://ru.wikipedia.org/w/index.php?search=%D0%9F%D0%B5%D1%82%D0%B5%D1%80%D0%B1%D1%83%D1%80%D0%B3%201971%20%D1%84%D0%B8%D0%BB%D1%8C%D0%BC","искать")</f>
        <v/>
      </c>
      <c r="N2038" s="3" t="n"/>
      <c r="O2038" s="2" t="n"/>
      <c r="P2038" s="2" t="n"/>
    </row>
    <row r="2039">
      <c r="A2039" s="2" t="n">
        <v>2038</v>
      </c>
      <c r="B2039" s="2" t="inlineStr">
        <is>
          <t>не сюжет</t>
        </is>
      </c>
      <c r="C2039" s="2" t="n">
        <v>11154</v>
      </c>
      <c r="D2039" s="3" t="inlineStr">
        <is>
          <t>Зыковы</t>
        </is>
      </c>
      <c r="E2039" s="2" t="n">
        <v>1987</v>
      </c>
      <c r="F2039" s="2" t="inlineStr">
        <is>
          <t>фильм-спектакль</t>
        </is>
      </c>
      <c r="G2039" s="2" t="inlineStr">
        <is>
          <t>Главная редакция литературно-драматических программ ЦТ</t>
        </is>
      </c>
      <c r="H2039" s="2" t="n">
        <v>90</v>
      </c>
      <c r="I2039" s="2" t="inlineStr"/>
      <c r="J2039" s="2" t="inlineStr">
        <is>
          <t>да</t>
        </is>
      </c>
      <c r="K2039" s="3" t="inlineStr">
        <is>
          <t>По одноименной М.Горького в постановке Государственного академического Малого театра СССР.</t>
        </is>
      </c>
      <c r="L2039" s="2" t="inlineStr">
        <is>
          <t>https://www.kino-teatr.ru/teatr/movie/2575/annot/</t>
        </is>
      </c>
      <c r="M2039" s="2">
        <f>HYPERLINK("https://ru.wikipedia.org/w/index.php?search=%D0%97%D1%8B%D0%BA%D0%BE%D0%B2%D1%8B%201987%20%D1%84%D0%B8%D0%BB%D1%8C%D0%BC","искать")</f>
        <v/>
      </c>
      <c r="N2039" s="3" t="n"/>
      <c r="O2039" s="2" t="n"/>
      <c r="P2039" s="2" t="n"/>
    </row>
    <row r="2040">
      <c r="A2040" s="2" t="n">
        <v>2039</v>
      </c>
      <c r="B2040" s="2" t="inlineStr">
        <is>
          <t>не сюжет</t>
        </is>
      </c>
      <c r="C2040" s="2" t="n">
        <v>11697</v>
      </c>
      <c r="D2040" s="3" t="inlineStr">
        <is>
          <t>Кто пасется на лугу</t>
        </is>
      </c>
      <c r="E2040" s="2" t="n">
        <v>1973</v>
      </c>
      <c r="F2040" s="2" t="inlineStr">
        <is>
          <t>мультфильм</t>
        </is>
      </c>
      <c r="G2040" s="2" t="inlineStr">
        <is>
          <t>Союзмультфильм</t>
        </is>
      </c>
      <c r="H2040" s="2" t="n">
        <v>90</v>
      </c>
      <c r="I2040" s="2" t="inlineStr"/>
      <c r="J2040" s="2" t="inlineStr">
        <is>
          <t>да</t>
        </is>
      </c>
      <c r="K2040" s="3" t="inlineStr">
        <is>
          <t>Песенка-загадка. Далеко-далеко на лугу пасется ко...Музыка из мультфильма:На лугу(0.94 Мб)</t>
        </is>
      </c>
      <c r="L2040" s="2" t="inlineStr">
        <is>
          <t>2026-10_мультфильмы_список_владельца.xlsx; https://animator.ru/db/?p=show_film&amp;fid=2611</t>
        </is>
      </c>
      <c r="M2040" s="2">
        <f>HYPERLINK("https://ru.wikipedia.org/w/index.php?search=%D0%9A%D1%82%D0%BE%20%D0%BF%D0%B0%D1%81%D0%B5%D1%82%D1%81%D1%8F%20%D0%BD%D0%B0%20%D0%BB%D1%83%D0%B3%D1%83%201973%20%D1%84%D0%B8%D0%BB%D1%8C%D0%BC","искать")</f>
        <v/>
      </c>
      <c r="N2040" s="3" t="n"/>
      <c r="O2040" s="2" t="n"/>
      <c r="P2040" s="2" t="n"/>
    </row>
    <row r="2041">
      <c r="A2041" s="2" t="n">
        <v>2040</v>
      </c>
      <c r="B2041" s="2" t="inlineStr">
        <is>
          <t>не сюжет</t>
        </is>
      </c>
      <c r="C2041" s="2" t="n">
        <v>11773</v>
      </c>
      <c r="D2041" s="3" t="inlineStr">
        <is>
          <t>Комаров</t>
        </is>
      </c>
      <c r="E2041" s="2" t="n">
        <v>1975</v>
      </c>
      <c r="F2041" s="2" t="inlineStr">
        <is>
          <t>мультфильм</t>
        </is>
      </c>
      <c r="G2041" s="2" t="inlineStr">
        <is>
          <t>Союзмультфильм</t>
        </is>
      </c>
      <c r="H2041" s="2" t="n">
        <v>90</v>
      </c>
      <c r="I2041" s="2" t="inlineStr"/>
      <c r="J2041" s="2" t="inlineStr">
        <is>
          <t>да</t>
        </is>
      </c>
      <c r="K2041" s="3" t="inlineStr">
        <is>
          <t>Приключения любознательного малыша-У таракана усики... у мальчугана трусики... ля-ля-ля-ля</t>
        </is>
      </c>
      <c r="L2041" s="2" t="inlineStr">
        <is>
          <t>2026-10_мультфильмы_список_владельца.xlsx; https://animator.ru/db/?p=show_film&amp;fid=2687</t>
        </is>
      </c>
      <c r="M2041" s="2">
        <f>HYPERLINK("https://ru.wikipedia.org/w/index.php?search=%D0%9A%D0%BE%D0%BC%D0%B0%D1%80%D0%BE%D0%B2%201975%20%D1%84%D0%B8%D0%BB%D1%8C%D0%BC","искать")</f>
        <v/>
      </c>
      <c r="N2041" s="3" t="n"/>
      <c r="O2041" s="2" t="n"/>
      <c r="P2041" s="2" t="n"/>
    </row>
    <row r="2042">
      <c r="A2042" s="2" t="n">
        <v>2041</v>
      </c>
      <c r="B2042" s="2" t="inlineStr">
        <is>
          <t>не сюжет</t>
        </is>
      </c>
      <c r="C2042" s="2" t="n">
        <v>12272</v>
      </c>
      <c r="D2042" s="3" t="inlineStr">
        <is>
          <t>Школа изящных искусств. Возвращение</t>
        </is>
      </c>
      <c r="E2042" s="2" t="n">
        <v>1990</v>
      </c>
      <c r="F2042" s="2" t="inlineStr">
        <is>
          <t>мультфильм</t>
        </is>
      </c>
      <c r="G2042" s="2" t="inlineStr">
        <is>
          <t>Союзмультфильм</t>
        </is>
      </c>
      <c r="H2042" s="2" t="n">
        <v>90</v>
      </c>
      <c r="I2042" s="2" t="inlineStr"/>
      <c r="J2042" s="2" t="inlineStr">
        <is>
          <t>да</t>
        </is>
      </c>
      <c r="K2042" s="3" t="inlineStr">
        <is>
          <t>Вторая часть фильма "Школа изящных искусств". Продолжение фильма "Пейзаж с можжевельником"</t>
        </is>
      </c>
      <c r="L2042" s="2" t="inlineStr">
        <is>
          <t>https://animator.ru/db/?p=show_film&amp;fid=3389</t>
        </is>
      </c>
      <c r="M2042" s="2">
        <f>HYPERLINK("https://ru.wikipedia.org/w/index.php?search=%D0%A8%D0%BA%D0%BE%D0%BB%D0%B0%20%D0%B8%D0%B7%D1%8F%D1%89%D0%BD%D1%8B%D1%85%20%D0%B8%D1%81%D0%BA%D1%83%D1%81%D1%81%D1%82%D0%B2.%20%D0%92%D0%BE%D0%B7%D0%B2%D1%80%D0%B0%D1%89%D0%B5%D0%BD%D0%B8%D0%B5%201990%20%D1%84%D0%B8%D0%BB%D1%8C%D0%BC","искать")</f>
        <v/>
      </c>
      <c r="N2042" s="3" t="n"/>
      <c r="O2042" s="2" t="n"/>
      <c r="P2042" s="2" t="n"/>
    </row>
    <row r="2043">
      <c r="A2043" s="2" t="n">
        <v>2042</v>
      </c>
      <c r="B2043" s="2" t="inlineStr">
        <is>
          <t>не сюжет</t>
        </is>
      </c>
      <c r="C2043" s="2" t="n">
        <v>13060</v>
      </c>
      <c r="D2043" s="3" t="inlineStr">
        <is>
          <t>Отчего не спалось мышонку?</t>
        </is>
      </c>
      <c r="E2043" s="2" t="n">
        <v>1979</v>
      </c>
      <c r="F2043" s="2" t="inlineStr">
        <is>
          <t>мультфильм</t>
        </is>
      </c>
      <c r="G2043" s="2" t="inlineStr">
        <is>
          <t>РИЖСКАЯ КИНОСТУДИЯ</t>
        </is>
      </c>
      <c r="H2043" s="2" t="n">
        <v>90</v>
      </c>
      <c r="I2043" s="2" t="inlineStr"/>
      <c r="J2043" s="2" t="inlineStr">
        <is>
          <t>да</t>
        </is>
      </c>
      <c r="K2043" s="3" t="inlineStr">
        <is>
          <t>XIII ВКФ, Душанбе 1980 - Диплом "За создание поэтической сказки на национальном материале"</t>
        </is>
      </c>
      <c r="L2043" s="2" t="inlineStr">
        <is>
          <t>https://animator.ru/db/?p=show_film&amp;fid=4292</t>
        </is>
      </c>
      <c r="M2043" s="2">
        <f>HYPERLINK("https://ru.wikipedia.org/w/index.php?search=%D0%9E%D1%82%D1%87%D0%B5%D0%B3%D0%BE%20%D0%BD%D0%B5%20%D1%81%D0%BF%D0%B0%D0%BB%D0%BE%D1%81%D1%8C%20%D0%BC%D1%8B%D1%88%D0%BE%D0%BD%D0%BA%D1%83%3F%201979%20%D1%84%D0%B8%D0%BB%D1%8C%D0%BC","искать")</f>
        <v/>
      </c>
      <c r="N2043" s="3" t="n"/>
      <c r="O2043" s="2" t="n"/>
      <c r="P2043" s="2" t="n"/>
    </row>
    <row r="2044">
      <c r="A2044" s="2" t="n">
        <v>2043</v>
      </c>
      <c r="B2044" s="2" t="inlineStr">
        <is>
          <t>не сюжет</t>
        </is>
      </c>
      <c r="C2044" s="2" t="n">
        <v>13301</v>
      </c>
      <c r="D2044" s="3" t="inlineStr">
        <is>
          <t>Уход</t>
        </is>
      </c>
      <c r="E2044" s="2" t="n">
        <v>1990</v>
      </c>
      <c r="F2044" s="2" t="inlineStr">
        <is>
          <t>мультфильм</t>
        </is>
      </c>
      <c r="G2044" s="2" t="inlineStr">
        <is>
          <t>ТАЛЛИННФИЛЬМ</t>
        </is>
      </c>
      <c r="H2044" s="2" t="n">
        <v>90</v>
      </c>
      <c r="I2044" s="2" t="inlineStr"/>
      <c r="J2044" s="2" t="inlineStr">
        <is>
          <t>да</t>
        </is>
      </c>
      <c r="K2044" s="3" t="inlineStr">
        <is>
          <t>О том, что жестокость всегда оборачивается против тех, кто поступает жестоко. Для взрослых</t>
        </is>
      </c>
      <c r="L2044" s="2" t="inlineStr">
        <is>
          <t>https://animator.ru/db/?p=show_film&amp;fid=4558</t>
        </is>
      </c>
      <c r="M2044" s="2">
        <f>HYPERLINK("https://ru.wikipedia.org/w/index.php?search=%D0%A3%D1%85%D0%BE%D0%B4%201990%20%D1%84%D0%B8%D0%BB%D1%8C%D0%BC","искать")</f>
        <v/>
      </c>
      <c r="N2044" s="3" t="n"/>
      <c r="O2044" s="2" t="n"/>
      <c r="P2044" s="2" t="n"/>
    </row>
    <row r="2045">
      <c r="A2045" s="2" t="n">
        <v>2044</v>
      </c>
      <c r="B2045" s="2" t="inlineStr">
        <is>
          <t>не сюжет</t>
        </is>
      </c>
      <c r="C2045" s="2" t="n">
        <v>13431</v>
      </c>
      <c r="D2045" s="3" t="inlineStr">
        <is>
          <t>Укрощение велосипеда</t>
        </is>
      </c>
      <c r="E2045" s="2" t="n">
        <v>1982</v>
      </c>
      <c r="F2045" s="2" t="inlineStr">
        <is>
          <t>мультфильм</t>
        </is>
      </c>
      <c r="G2045" s="2" t="inlineStr">
        <is>
          <t>ЭКРАН</t>
        </is>
      </c>
      <c r="H2045" s="2" t="n">
        <v>90</v>
      </c>
      <c r="I2045" s="2" t="inlineStr"/>
      <c r="J2045" s="2" t="inlineStr">
        <is>
          <t>да</t>
        </is>
      </c>
      <c r="K2045" s="3" t="inlineStr">
        <is>
          <t>Здесь можно посмотреть онлайн и скачать мультфильм "Укрощение велосипеда" (Экран, 1982 г.)</t>
        </is>
      </c>
      <c r="L2045" s="2" t="inlineStr">
        <is>
          <t>2026-10_мультфильмы_список_владельца.xlsx; https://animator.ru/db/?p=show_film&amp;fid=4712</t>
        </is>
      </c>
      <c r="M2045" s="2">
        <f>HYPERLINK("https://ru.wikipedia.org/w/index.php?search=%D0%A3%D0%BA%D1%80%D0%BE%D1%89%D0%B5%D0%BD%D0%B8%D0%B5%20%D0%B2%D0%B5%D0%BB%D0%BE%D1%81%D0%B8%D0%BF%D0%B5%D0%B4%D0%B0%201982%20%D1%84%D0%B8%D0%BB%D1%8C%D0%BC","искать")</f>
        <v/>
      </c>
      <c r="N2045" s="3" t="n"/>
      <c r="O2045" s="2" t="n"/>
      <c r="P2045" s="2" t="n"/>
    </row>
    <row r="2046">
      <c r="A2046" s="2" t="n">
        <v>2045</v>
      </c>
      <c r="B2046" s="2" t="inlineStr">
        <is>
          <t>не сюжет</t>
        </is>
      </c>
      <c r="C2046" s="2" t="n">
        <v>14205</v>
      </c>
      <c r="D2046" s="3" t="inlineStr">
        <is>
          <t>Веселая карусель n 3. Разгром</t>
        </is>
      </c>
      <c r="E2046" s="2" t="n">
        <v>1971</v>
      </c>
      <c r="F2046" s="2" t="inlineStr">
        <is>
          <t>мультфильм</t>
        </is>
      </c>
      <c r="G2046" s="2" t="inlineStr">
        <is>
          <t>Союзмультфильм</t>
        </is>
      </c>
      <c r="H2046" s="2" t="n">
        <v>90</v>
      </c>
      <c r="I2046" s="2" t="inlineStr"/>
      <c r="J2046" s="2" t="inlineStr">
        <is>
          <t>да</t>
        </is>
      </c>
      <c r="K2046" s="3" t="inlineStr">
        <is>
          <t>Сюжет из альманаха «ВЕСЕЛАЯ КАРУСЕЛЬ N 3»
По одноименному стихотворению Эдуарда Успенского</t>
        </is>
      </c>
      <c r="L2046" s="2" t="inlineStr">
        <is>
          <t>https://animator.ru/db/?p=show_film&amp;fid=5603</t>
        </is>
      </c>
      <c r="M2046" s="2">
        <f>HYPERLINK("https://ru.wikipedia.org/w/index.php?search=%D0%92%D0%B5%D1%81%D0%B5%D0%BB%D0%B0%D1%8F%20%D0%BA%D0%B0%D1%80%D1%83%D1%81%D0%B5%D0%BB%D1%8C%20n%203.%20%D0%A0%D0%B0%D0%B7%D0%B3%D1%80%D0%BE%D0%BC%201971%20%D1%84%D0%B8%D0%BB%D1%8C%D0%BC","искать")</f>
        <v/>
      </c>
      <c r="N2046" s="3" t="n"/>
      <c r="O2046" s="2" t="n"/>
      <c r="P2046" s="2" t="n"/>
    </row>
    <row r="2047">
      <c r="A2047" s="2" t="n">
        <v>2046</v>
      </c>
      <c r="B2047" s="2" t="inlineStr">
        <is>
          <t>не сюжет</t>
        </is>
      </c>
      <c r="C2047" s="2" t="n">
        <v>14284</v>
      </c>
      <c r="D2047" s="3" t="inlineStr">
        <is>
          <t>Веселая карусель. Выпуск №9</t>
        </is>
      </c>
      <c r="E2047" s="2" t="n">
        <v>1977</v>
      </c>
      <c r="F2047" s="2" t="inlineStr">
        <is>
          <t>мультфильм</t>
        </is>
      </c>
      <c r="G2047" s="2" t="inlineStr">
        <is>
          <t>Союзмультфильм</t>
        </is>
      </c>
      <c r="H2047" s="2" t="n">
        <v>90</v>
      </c>
      <c r="I2047" s="2" t="inlineStr"/>
      <c r="J2047" s="2" t="inlineStr">
        <is>
          <t>да</t>
        </is>
      </c>
      <c r="K2047" s="3" t="inlineStr">
        <is>
          <t>9-ая серия альманаха «ВЕСЕЛАЯ КАРУСЕЛЬ»
сюжеты: «ЗА ЩЕЛЧОК», «КЛОУН», «ПРИНЦЕССА И ЛЮДОЕД»</t>
        </is>
      </c>
      <c r="L2047" s="2" t="inlineStr">
        <is>
          <t>https://animator.ru/db/?p=show_film&amp;fid=5767</t>
        </is>
      </c>
      <c r="M2047" s="2">
        <f>HYPERLINK("https://ru.wikipedia.org/w/index.php?search=%D0%92%D0%B5%D1%81%D0%B5%D0%BB%D0%B0%D1%8F%20%D0%BA%D0%B0%D1%80%D1%83%D1%81%D0%B5%D0%BB%D1%8C.%20%D0%92%D1%8B%D0%BF%D1%83%D1%81%D0%BA%20%E2%84%969%201977%20%D1%84%D0%B8%D0%BB%D1%8C%D0%BC","искать")</f>
        <v/>
      </c>
      <c r="N2047" s="3" t="n"/>
      <c r="O2047" s="2" t="n"/>
      <c r="P2047" s="2" t="n"/>
    </row>
    <row r="2048">
      <c r="A2048" s="2" t="n">
        <v>2047</v>
      </c>
      <c r="B2048" s="2" t="inlineStr">
        <is>
          <t>не сюжет</t>
        </is>
      </c>
      <c r="C2048" s="2" t="n">
        <v>14321</v>
      </c>
      <c r="D2048" s="3" t="inlineStr">
        <is>
          <t>Приглашение в космос</t>
        </is>
      </c>
      <c r="E2048" s="2" t="n">
        <v>1990</v>
      </c>
      <c r="F2048" s="2" t="inlineStr">
        <is>
          <t>мультфильм</t>
        </is>
      </c>
      <c r="G2048" s="2" t="n"/>
      <c r="H2048" s="2" t="n">
        <v>90</v>
      </c>
      <c r="I2048" s="2" t="inlineStr"/>
      <c r="J2048" s="2" t="inlineStr">
        <is>
          <t>да</t>
        </is>
      </c>
      <c r="K2048" s="3" t="inlineStr">
        <is>
          <t>Один из первых советских компьютерных фильмов на базе отечественной вычислительной техники</t>
        </is>
      </c>
      <c r="L2048" s="2" t="inlineStr">
        <is>
          <t>https://animator.ru/db/?p=show_film&amp;fid=5867</t>
        </is>
      </c>
      <c r="M2048" s="2">
        <f>HYPERLINK("https://ru.wikipedia.org/w/index.php?search=%D0%9F%D1%80%D0%B8%D0%B3%D0%BB%D0%B0%D1%88%D0%B5%D0%BD%D0%B8%D0%B5%20%D0%B2%20%D0%BA%D0%BE%D1%81%D0%BC%D0%BE%D1%81%201990%20%D1%84%D0%B8%D0%BB%D1%8C%D0%BC","искать")</f>
        <v/>
      </c>
      <c r="N2048" s="3" t="n"/>
      <c r="O2048" s="2" t="n"/>
      <c r="P2048" s="2" t="n"/>
    </row>
    <row r="2049">
      <c r="A2049" s="2" t="n">
        <v>2048</v>
      </c>
      <c r="B2049" s="2" t="inlineStr">
        <is>
          <t>не сюжет</t>
        </is>
      </c>
      <c r="C2049" s="2" t="n">
        <v>8710</v>
      </c>
      <c r="D2049" s="3" t="inlineStr">
        <is>
          <t>Доминус (киноальманах)</t>
        </is>
      </c>
      <c r="E2049" s="2" t="n">
        <v>1989</v>
      </c>
      <c r="F2049" s="2" t="inlineStr">
        <is>
          <t>кинофильм</t>
        </is>
      </c>
      <c r="G2049" s="2" t="n"/>
      <c r="H2049" s="2" t="n">
        <v>91</v>
      </c>
      <c r="I2049" s="2" t="inlineStr"/>
      <c r="J2049" s="2" t="inlineStr">
        <is>
          <t>да</t>
        </is>
      </c>
      <c r="K2049" s="3" t="inlineStr">
        <is>
          <t>По мотивам рассказов Рэя Брэдбери. Новеллы в составе альманаха: "Хозяин", "Чертово колесо".</t>
        </is>
      </c>
      <c r="L2049" s="2" t="inlineStr">
        <is>
          <t>Кино_СССР сводный каталог.xlsx: список фильмов (доп.)</t>
        </is>
      </c>
      <c r="M2049" s="2">
        <f>HYPERLINK("https://ru.wikipedia.org/w/index.php?search=%D0%94%D0%BE%D0%BC%D0%B8%D0%BD%D1%83%D1%81%20%28%D0%BA%D0%B8%D0%BD%D0%BE%D0%B0%D0%BB%D1%8C%D0%BC%D0%B0%D0%BD%D0%B0%D1%85%29%201989%20%D1%84%D0%B8%D0%BB%D1%8C%D0%BC","искать")</f>
        <v/>
      </c>
      <c r="N2049" s="3" t="n"/>
      <c r="O2049" s="2" t="n"/>
      <c r="P2049" s="2" t="n"/>
    </row>
    <row r="2050">
      <c r="A2050" s="2" t="n">
        <v>2049</v>
      </c>
      <c r="B2050" s="2" t="inlineStr">
        <is>
          <t>не сюжет</t>
        </is>
      </c>
      <c r="C2050" s="2" t="n">
        <v>8933</v>
      </c>
      <c r="D2050" s="3" t="inlineStr">
        <is>
          <t>Пляжи бывают и песчаными</t>
        </is>
      </c>
      <c r="E2050" s="2" t="n">
        <v>1991</v>
      </c>
      <c r="F2050" s="2" t="inlineStr">
        <is>
          <t>кинофильм</t>
        </is>
      </c>
      <c r="G2050" s="2" t="n"/>
      <c r="H2050" s="2" t="n">
        <v>91</v>
      </c>
      <c r="I2050" s="2" t="inlineStr"/>
      <c r="J2050" s="2" t="inlineStr">
        <is>
          <t>да</t>
        </is>
      </c>
      <c r="K2050" s="3" t="inlineStr">
        <is>
          <t>По пьесе Юозаса Апутиса. Драматическая история сельского врача и жителей литовской деревни.</t>
        </is>
      </c>
      <c r="L2050" s="2" t="inlineStr">
        <is>
          <t>Кино_СССР сводный каталог.xlsx: список фильмов (доп.)</t>
        </is>
      </c>
      <c r="M2050" s="2">
        <f>HYPERLINK("https://ru.wikipedia.org/w/index.php?search=%D0%9F%D0%BB%D1%8F%D0%B6%D0%B8%20%D0%B1%D1%8B%D0%B2%D0%B0%D1%8E%D1%82%20%D0%B8%20%D0%BF%D0%B5%D1%81%D1%87%D0%B0%D0%BD%D1%8B%D0%BC%D0%B8%201991%20%D1%84%D0%B8%D0%BB%D1%8C%D0%BC","искать")</f>
        <v/>
      </c>
      <c r="N2050" s="3" t="n"/>
      <c r="O2050" s="2" t="n"/>
      <c r="P2050" s="2" t="n"/>
    </row>
    <row r="2051">
      <c r="A2051" s="2" t="n">
        <v>2050</v>
      </c>
      <c r="B2051" s="2" t="inlineStr">
        <is>
          <t>не сюжет</t>
        </is>
      </c>
      <c r="C2051" s="2" t="n">
        <v>8990</v>
      </c>
      <c r="D2051" s="3" t="inlineStr">
        <is>
          <t>Простой пасьянс</t>
        </is>
      </c>
      <c r="E2051" s="2" t="n">
        <v>1990</v>
      </c>
      <c r="F2051" s="2" t="inlineStr">
        <is>
          <t>кинофильм</t>
        </is>
      </c>
      <c r="G2051" s="2" t="n"/>
      <c r="H2051" s="2" t="n">
        <v>91</v>
      </c>
      <c r="I2051" s="2" t="inlineStr"/>
      <c r="J2051" s="2" t="inlineStr">
        <is>
          <t>да</t>
        </is>
      </c>
      <c r="K2051" s="3" t="inlineStr">
        <is>
          <t>მარტივი პასიანსი Фильм отражает жизнь молодежи разного круга в 80-х годах в городе Тбилиси.</t>
        </is>
      </c>
      <c r="L2051" s="2" t="inlineStr">
        <is>
          <t>Кино_СССР сводный каталог.xlsx: список фильмов (доп.)</t>
        </is>
      </c>
      <c r="M2051" s="2">
        <f>HYPERLINK("https://ru.wikipedia.org/w/index.php?search=%D0%9F%D1%80%D0%BE%D1%81%D1%82%D0%BE%D0%B9%20%D0%BF%D0%B0%D1%81%D1%8C%D1%8F%D0%BD%D1%81%201990%20%D1%84%D0%B8%D0%BB%D1%8C%D0%BC","искать")</f>
        <v/>
      </c>
      <c r="N2051" s="3" t="n"/>
      <c r="O2051" s="2" t="n"/>
      <c r="P2051" s="2" t="n"/>
    </row>
    <row r="2052">
      <c r="A2052" s="2" t="n">
        <v>2051</v>
      </c>
      <c r="B2052" s="2" t="inlineStr">
        <is>
          <t>не сюжет</t>
        </is>
      </c>
      <c r="C2052" s="2" t="n">
        <v>9912</v>
      </c>
      <c r="D2052" s="3" t="inlineStr">
        <is>
          <t>Лебединая песня</t>
        </is>
      </c>
      <c r="E2052" s="2" t="n">
        <v>1975</v>
      </c>
      <c r="F2052" s="2" t="inlineStr">
        <is>
          <t>телефильм</t>
        </is>
      </c>
      <c r="G2052" s="2" t="inlineStr">
        <is>
          <t>Экран (Останкино)</t>
        </is>
      </c>
      <c r="H2052" s="2" t="n">
        <v>91</v>
      </c>
      <c r="I2052" s="2" t="inlineStr"/>
      <c r="J2052" s="2" t="inlineStr">
        <is>
          <t>да</t>
        </is>
      </c>
      <c r="K2052" s="3" t="inlineStr">
        <is>
          <t>Новелла. По одноименному произведению А. П. Чехова о судьбе старого провинциального актёра.</t>
        </is>
      </c>
      <c r="L2052" s="2" t="inlineStr">
        <is>
          <t>https://www.kino-teatr.ru/short/movie/sov/9657/annot/</t>
        </is>
      </c>
      <c r="M2052" s="2">
        <f>HYPERLINK("https://ru.wikipedia.org/w/index.php?search=%D0%9B%D0%B5%D0%B1%D0%B5%D0%B4%D0%B8%D0%BD%D0%B0%D1%8F%20%D0%BF%D0%B5%D1%81%D0%BD%D1%8F%201975%20%D1%84%D0%B8%D0%BB%D1%8C%D0%BC","искать")</f>
        <v/>
      </c>
      <c r="N2052" s="3" t="n"/>
      <c r="O2052" s="2" t="n"/>
      <c r="P2052" s="2" t="n"/>
    </row>
    <row r="2053">
      <c r="A2053" s="2" t="n">
        <v>2052</v>
      </c>
      <c r="B2053" s="2" t="inlineStr">
        <is>
          <t>не сюжет</t>
        </is>
      </c>
      <c r="C2053" s="2" t="n">
        <v>10212</v>
      </c>
      <c r="D2053" s="3" t="inlineStr">
        <is>
          <t>Первый президент</t>
        </is>
      </c>
      <c r="E2053" s="2" t="n">
        <v>1967</v>
      </c>
      <c r="F2053" s="2" t="inlineStr">
        <is>
          <t>фильм-спектакль</t>
        </is>
      </c>
      <c r="G2053" s="2" t="inlineStr">
        <is>
          <t>Ленинградская студия телевидения</t>
        </is>
      </c>
      <c r="H2053" s="2" t="n">
        <v>91</v>
      </c>
      <c r="I2053" s="2" t="inlineStr"/>
      <c r="J2053" s="2" t="inlineStr">
        <is>
          <t>да</t>
        </is>
      </c>
      <c r="K2053" s="3" t="inlineStr">
        <is>
          <t>Телеспектакль о жизни и деятельности первого председателя ВЦИК Якова Михайловича Свердлова.</t>
        </is>
      </c>
      <c r="L2053" s="2" t="inlineStr">
        <is>
          <t>https://www.kino-teatr.ru/teatr/movie/92890/annot/</t>
        </is>
      </c>
      <c r="M2053" s="2">
        <f>HYPERLINK("https://ru.wikipedia.org/w/index.php?search=%D0%9F%D0%B5%D1%80%D0%B2%D1%8B%D0%B9%20%D0%BF%D1%80%D0%B5%D0%B7%D0%B8%D0%B4%D0%B5%D0%BD%D1%82%201967%20%D1%84%D0%B8%D0%BB%D1%8C%D0%BC","искать")</f>
        <v/>
      </c>
      <c r="N2053" s="3" t="n"/>
      <c r="O2053" s="2" t="n"/>
      <c r="P2053" s="2" t="n"/>
    </row>
    <row r="2054">
      <c r="A2054" s="2" t="n">
        <v>2053</v>
      </c>
      <c r="B2054" s="2" t="inlineStr">
        <is>
          <t>не сюжет</t>
        </is>
      </c>
      <c r="C2054" s="2" t="n">
        <v>10434</v>
      </c>
      <c r="D2054" s="3" t="inlineStr">
        <is>
          <t>Весна не вернётся</t>
        </is>
      </c>
      <c r="E2054" s="2" t="n">
        <v>1972</v>
      </c>
      <c r="F2054" s="2" t="inlineStr">
        <is>
          <t>фильм-спектакль</t>
        </is>
      </c>
      <c r="G2054" s="2" t="inlineStr">
        <is>
          <t>Телеканал "Махалла"</t>
        </is>
      </c>
      <c r="H2054" s="2" t="n">
        <v>91</v>
      </c>
      <c r="I2054" s="2" t="inlineStr"/>
      <c r="J2054" s="2" t="inlineStr">
        <is>
          <t>да</t>
        </is>
      </c>
      <c r="K2054" s="3" t="inlineStr">
        <is>
          <t>По одноименной пьесе Уткира Хашимова. О волшебстве любви, предательстве и жизненных уроках.</t>
        </is>
      </c>
      <c r="L2054" s="2" t="inlineStr">
        <is>
          <t>https://www.kino-teatr.ru/teatr/movie/139858/annot/</t>
        </is>
      </c>
      <c r="M2054" s="2">
        <f>HYPERLINK("https://ru.wikipedia.org/w/index.php?search=%D0%92%D0%B5%D1%81%D0%BD%D0%B0%20%D0%BD%D0%B5%20%D0%B2%D0%B5%D1%80%D0%BD%D1%91%D1%82%D1%81%D1%8F%201972%20%D1%84%D0%B8%D0%BB%D1%8C%D0%BC","искать")</f>
        <v/>
      </c>
      <c r="N2054" s="3" t="n"/>
      <c r="O2054" s="2" t="n"/>
      <c r="P2054" s="2" t="n"/>
    </row>
    <row r="2055">
      <c r="A2055" s="2" t="n">
        <v>2054</v>
      </c>
      <c r="B2055" s="2" t="inlineStr">
        <is>
          <t>не сюжет</t>
        </is>
      </c>
      <c r="C2055" s="2" t="n">
        <v>10479</v>
      </c>
      <c r="D2055" s="3" t="inlineStr">
        <is>
          <t>Шторм</t>
        </is>
      </c>
      <c r="E2055" s="2" t="n">
        <v>1972</v>
      </c>
      <c r="F2055" s="2" t="inlineStr">
        <is>
          <t>фильм-спектакль</t>
        </is>
      </c>
      <c r="G2055" s="2" t="inlineStr">
        <is>
          <t>Главная редакция литературно-драматических программ</t>
        </is>
      </c>
      <c r="H2055" s="2" t="n">
        <v>91</v>
      </c>
      <c r="I2055" s="2" t="inlineStr"/>
      <c r="J2055" s="2" t="inlineStr">
        <is>
          <t>да</t>
        </is>
      </c>
      <c r="K2055" s="3" t="inlineStr">
        <is>
          <t>По одноименной пьесе В.Билль-Белоцерковского в постановке московского театра им. Моссовета.</t>
        </is>
      </c>
      <c r="L2055" s="2" t="inlineStr">
        <is>
          <t>https://www.kino-teatr.ru/teatr/movie/93038/annot/</t>
        </is>
      </c>
      <c r="M2055" s="2">
        <f>HYPERLINK("https://ru.wikipedia.org/w/index.php?search=%D0%A8%D1%82%D0%BE%D1%80%D0%BC%201972%20%D1%84%D0%B8%D0%BB%D1%8C%D0%BC","искать")</f>
        <v/>
      </c>
      <c r="N2055" s="3" t="n"/>
      <c r="O2055" s="2" t="n"/>
      <c r="P2055" s="2" t="n"/>
    </row>
    <row r="2056">
      <c r="A2056" s="2" t="n">
        <v>2055</v>
      </c>
      <c r="B2056" s="2" t="inlineStr">
        <is>
          <t>не сюжет</t>
        </is>
      </c>
      <c r="C2056" s="2" t="n">
        <v>10592</v>
      </c>
      <c r="D2056" s="3" t="inlineStr">
        <is>
          <t>Сэр Джон Фальстаф</t>
        </is>
      </c>
      <c r="E2056" s="2" t="n">
        <v>1974</v>
      </c>
      <c r="F2056" s="2" t="inlineStr">
        <is>
          <t>фильм-спектакль</t>
        </is>
      </c>
      <c r="G2056" s="2" t="n"/>
      <c r="H2056" s="2" t="n">
        <v>91</v>
      </c>
      <c r="I2056" s="2" t="inlineStr"/>
      <c r="J2056" s="2" t="inlineStr">
        <is>
          <t>да</t>
        </is>
      </c>
      <c r="K2056" s="3" t="inlineStr">
        <is>
          <t>Телеспектакль по мотивам комедии Шекспира "Виндзорские проказницы" и оперы Верди "Фальстаф"</t>
        </is>
      </c>
      <c r="L2056" s="2" t="inlineStr">
        <is>
          <t>https://www.kino-teatr.ru/teatr/movie/83010/annot/</t>
        </is>
      </c>
      <c r="M2056" s="2">
        <f>HYPERLINK("https://ru.wikipedia.org/w/index.php?search=%D0%A1%D1%8D%D1%80%20%D0%94%D0%B6%D0%BE%D0%BD%20%D0%A4%D0%B0%D0%BB%D1%8C%D1%81%D1%82%D0%B0%D1%84%201974%20%D1%84%D0%B8%D0%BB%D1%8C%D0%BC","искать")</f>
        <v/>
      </c>
      <c r="N2056" s="3" t="n"/>
      <c r="O2056" s="2" t="n"/>
      <c r="P2056" s="2" t="n"/>
    </row>
    <row r="2057">
      <c r="A2057" s="2" t="n">
        <v>2056</v>
      </c>
      <c r="B2057" s="2" t="inlineStr">
        <is>
          <t>не сюжет</t>
        </is>
      </c>
      <c r="C2057" s="2" t="n">
        <v>10753</v>
      </c>
      <c r="D2057" s="3" t="inlineStr">
        <is>
          <t>Люди и страсти</t>
        </is>
      </c>
      <c r="E2057" s="2" t="n">
        <v>1978</v>
      </c>
      <c r="F2057" s="2" t="inlineStr">
        <is>
          <t>фильм-спектакль</t>
        </is>
      </c>
      <c r="G2057" s="2" t="inlineStr">
        <is>
          <t>Ленинградское телевидение</t>
        </is>
      </c>
      <c r="H2057" s="2" t="n">
        <v>91</v>
      </c>
      <c r="I2057" s="2" t="inlineStr"/>
      <c r="J2057" s="2" t="inlineStr">
        <is>
          <t>да</t>
        </is>
      </c>
      <c r="K2057" s="3" t="inlineStr">
        <is>
          <t>Экранизация спектакля Театра им. Ленсовета по произведениям классиков немецкой драматургии.</t>
        </is>
      </c>
      <c r="L2057" s="2" t="inlineStr">
        <is>
          <t>https://www.kino-teatr.ru/teatr/movie/79927/annot/</t>
        </is>
      </c>
      <c r="M2057" s="2">
        <f>HYPERLINK("https://ru.wikipedia.org/w/index.php?search=%D0%9B%D1%8E%D0%B4%D0%B8%20%D0%B8%20%D1%81%D1%82%D1%80%D0%B0%D1%81%D1%82%D0%B8%201978%20%D1%84%D0%B8%D0%BB%D1%8C%D0%BC","искать")</f>
        <v/>
      </c>
      <c r="N2057" s="3" t="n"/>
      <c r="O2057" s="2" t="n"/>
      <c r="P2057" s="2" t="n"/>
    </row>
    <row r="2058">
      <c r="A2058" s="2" t="n">
        <v>2057</v>
      </c>
      <c r="B2058" s="2" t="inlineStr">
        <is>
          <t>не сюжет</t>
        </is>
      </c>
      <c r="C2058" s="2" t="n">
        <v>10919</v>
      </c>
      <c r="D2058" s="3" t="inlineStr">
        <is>
          <t>Трибунал</t>
        </is>
      </c>
      <c r="E2058" s="2" t="n">
        <v>1981</v>
      </c>
      <c r="F2058" s="2" t="inlineStr">
        <is>
          <t>фильм-спектакль</t>
        </is>
      </c>
      <c r="G2058" s="2" t="inlineStr">
        <is>
          <t>Белорусское телевидение</t>
        </is>
      </c>
      <c r="H2058" s="2" t="n">
        <v>91</v>
      </c>
      <c r="I2058" s="2" t="inlineStr"/>
      <c r="J2058" s="2" t="inlineStr">
        <is>
          <t>да</t>
        </is>
      </c>
      <c r="K2058" s="3" t="inlineStr">
        <is>
          <t>Телеверсия спектакля Белорусского театра им. Я.Купалы по одноименной пьесе Андрея Макаёнка.</t>
        </is>
      </c>
      <c r="L2058" s="2" t="inlineStr">
        <is>
          <t>https://www.kino-teatr.ru/teatr/movie/94792/annot/</t>
        </is>
      </c>
      <c r="M2058" s="2">
        <f>HYPERLINK("https://ru.wikipedia.org/w/index.php?search=%D0%A2%D1%80%D0%B8%D0%B1%D1%83%D0%BD%D0%B0%D0%BB%201981%20%D1%84%D0%B8%D0%BB%D1%8C%D0%BC","искать")</f>
        <v/>
      </c>
      <c r="N2058" s="3" t="n"/>
      <c r="O2058" s="2" t="n"/>
      <c r="P2058" s="2" t="n"/>
    </row>
    <row r="2059">
      <c r="A2059" s="2" t="n">
        <v>2058</v>
      </c>
      <c r="B2059" s="2" t="inlineStr">
        <is>
          <t>не сюжет</t>
        </is>
      </c>
      <c r="C2059" s="2" t="n">
        <v>11339</v>
      </c>
      <c r="D2059" s="3" t="inlineStr">
        <is>
          <t>Здешние</t>
        </is>
      </c>
      <c r="E2059" s="2" t="n">
        <v>1991</v>
      </c>
      <c r="F2059" s="2" t="inlineStr">
        <is>
          <t>фильм-спектакль</t>
        </is>
      </c>
      <c r="G2059" s="2" t="inlineStr">
        <is>
          <t>Белорусский видеоцентр</t>
        </is>
      </c>
      <c r="H2059" s="2" t="n">
        <v>91</v>
      </c>
      <c r="I2059" s="2" t="inlineStr"/>
      <c r="J2059" s="2" t="inlineStr">
        <is>
          <t>да</t>
        </is>
      </c>
      <c r="K2059" s="3" t="inlineStr">
        <is>
          <t>Спектакль Национального академического театра им.Янки Купалы по одноименной пьесе Я.Купалы.</t>
        </is>
      </c>
      <c r="L2059" s="2" t="inlineStr">
        <is>
          <t>https://www.kino-teatr.ru/teatr/movie/101713/annot/</t>
        </is>
      </c>
      <c r="M2059" s="2">
        <f>HYPERLINK("https://ru.wikipedia.org/w/index.php?search=%D0%97%D0%B4%D0%B5%D1%88%D0%BD%D0%B8%D0%B5%201991%20%D1%84%D0%B8%D0%BB%D1%8C%D0%BC","искать")</f>
        <v/>
      </c>
      <c r="N2059" s="3" t="n"/>
      <c r="O2059" s="2" t="n"/>
      <c r="P2059" s="2" t="n"/>
    </row>
    <row r="2060">
      <c r="A2060" s="2" t="n">
        <v>2059</v>
      </c>
      <c r="B2060" s="2" t="inlineStr">
        <is>
          <t>не сюжет</t>
        </is>
      </c>
      <c r="C2060" s="2" t="n">
        <v>11957</v>
      </c>
      <c r="D2060" s="3" t="inlineStr">
        <is>
          <t>Бибигон</t>
        </is>
      </c>
      <c r="E2060" s="2" t="n">
        <v>1981</v>
      </c>
      <c r="F2060" s="2" t="inlineStr">
        <is>
          <t>мультфильм</t>
        </is>
      </c>
      <c r="G2060" s="2" t="inlineStr">
        <is>
          <t>Союзмультфильм</t>
        </is>
      </c>
      <c r="H2060" s="2" t="n">
        <v>91</v>
      </c>
      <c r="I2060" s="2" t="inlineStr"/>
      <c r="J2060" s="2" t="inlineStr">
        <is>
          <t>да</t>
        </is>
      </c>
      <c r="K2060" s="3" t="inlineStr">
        <is>
          <t>По сказке Чуковского, которую рассказывает сам автор. Музыка из детского альбома Прокофьева</t>
        </is>
      </c>
      <c r="L2060" s="2" t="inlineStr">
        <is>
          <t>https://animator.ru/db/?p=show_film&amp;fid=2873</t>
        </is>
      </c>
      <c r="M2060" s="2">
        <f>HYPERLINK("https://ru.wikipedia.org/w/index.php?search=%D0%91%D0%B8%D0%B1%D0%B8%D0%B3%D0%BE%D0%BD%201981%20%D1%84%D0%B8%D0%BB%D1%8C%D0%BC","искать")</f>
        <v/>
      </c>
      <c r="N2060" s="3" t="n"/>
      <c r="O2060" s="2" t="n"/>
      <c r="P2060" s="2" t="n"/>
    </row>
    <row r="2061">
      <c r="A2061" s="2" t="n">
        <v>2060</v>
      </c>
      <c r="B2061" s="2" t="inlineStr">
        <is>
          <t>не сюжет</t>
        </is>
      </c>
      <c r="C2061" s="2" t="n">
        <v>12392</v>
      </c>
      <c r="D2061" s="3" t="inlineStr">
        <is>
          <t>Из жизни пернатых</t>
        </is>
      </c>
      <c r="E2061" s="2" t="n">
        <v>1985</v>
      </c>
      <c r="F2061" s="2" t="inlineStr">
        <is>
          <t>мультфильм</t>
        </is>
      </c>
      <c r="G2061" s="2" t="inlineStr">
        <is>
          <t>КИЕВНАУЧФИЛЬМ</t>
        </is>
      </c>
      <c r="H2061" s="2" t="n">
        <v>91</v>
      </c>
      <c r="I2061" s="2" t="inlineStr"/>
      <c r="J2061" s="2" t="inlineStr">
        <is>
          <t>да</t>
        </is>
      </c>
      <c r="K2061" s="3" t="inlineStr">
        <is>
          <t>Для взрослых. Включает новеллы: "Дуэт", "Большая стирка", "Точка зрения", "Мечты, мечты..."</t>
        </is>
      </c>
      <c r="L2061" s="2" t="inlineStr">
        <is>
          <t>https://animator.ru/db/?p=show_film&amp;fid=3563</t>
        </is>
      </c>
      <c r="M2061" s="2">
        <f>HYPERLINK("https://ru.wikipedia.org/w/index.php?search=%D0%98%D0%B7%20%D0%B6%D0%B8%D0%B7%D0%BD%D0%B8%20%D0%BF%D0%B5%D1%80%D0%BD%D0%B0%D1%82%D1%8B%D1%85%201985%20%D1%84%D0%B8%D0%BB%D1%8C%D0%BC","искать")</f>
        <v/>
      </c>
      <c r="N2061" s="3" t="n"/>
      <c r="O2061" s="2" t="n"/>
      <c r="P2061" s="2" t="n"/>
    </row>
    <row r="2062">
      <c r="A2062" s="2" t="n">
        <v>2061</v>
      </c>
      <c r="B2062" s="2" t="inlineStr">
        <is>
          <t>не сюжет</t>
        </is>
      </c>
      <c r="C2062" s="2" t="n">
        <v>13481</v>
      </c>
      <c r="D2062" s="3" t="inlineStr">
        <is>
          <t>Как стать человеком</t>
        </is>
      </c>
      <c r="E2062" s="2" t="n">
        <v>1988</v>
      </c>
      <c r="F2062" s="2" t="inlineStr">
        <is>
          <t>мультфильм</t>
        </is>
      </c>
      <c r="G2062" s="2" t="inlineStr">
        <is>
          <t>Свердловская киностудия</t>
        </is>
      </c>
      <c r="H2062" s="2" t="n">
        <v>91</v>
      </c>
      <c r="I2062" s="2" t="inlineStr"/>
      <c r="J2062" s="2" t="inlineStr">
        <is>
          <t>да</t>
        </is>
      </c>
      <c r="K2062" s="3" t="inlineStr">
        <is>
          <t>По рассказу Леонида Андреева "Правило добра". Призы, Загреб (Югославия) и Хиросима (Япония)</t>
        </is>
      </c>
      <c r="L2062" s="2" t="inlineStr">
        <is>
          <t>https://animator.ru/db/?p=show_film&amp;fid=4771</t>
        </is>
      </c>
      <c r="M2062" s="2">
        <f>HYPERLINK("https://ru.wikipedia.org/w/index.php?search=%D0%9A%D0%B0%D0%BA%20%D1%81%D1%82%D0%B0%D1%82%D1%8C%20%D1%87%D0%B5%D0%BB%D0%BE%D0%B2%D0%B5%D0%BA%D0%BE%D0%BC%201988%20%D1%84%D0%B8%D0%BB%D1%8C%D0%BC","искать")</f>
        <v/>
      </c>
      <c r="N2062" s="3" t="n"/>
      <c r="O2062" s="2" t="n"/>
      <c r="P2062" s="2" t="n"/>
    </row>
    <row r="2063">
      <c r="A2063" s="2" t="n">
        <v>2062</v>
      </c>
      <c r="B2063" s="2" t="inlineStr">
        <is>
          <t>не сюжет</t>
        </is>
      </c>
      <c r="C2063" s="2" t="n">
        <v>13678</v>
      </c>
      <c r="D2063" s="3" t="inlineStr">
        <is>
          <t>Дзю-до</t>
        </is>
      </c>
      <c r="E2063" s="2" t="n">
        <v>1980</v>
      </c>
      <c r="F2063" s="2" t="inlineStr">
        <is>
          <t>мультфильм</t>
        </is>
      </c>
      <c r="G2063" s="2" t="inlineStr">
        <is>
          <t>ЭКРАН</t>
        </is>
      </c>
      <c r="H2063" s="2" t="n">
        <v>91</v>
      </c>
      <c r="I2063" s="2" t="inlineStr"/>
      <c r="J2063" s="2" t="inlineStr">
        <is>
          <t>да</t>
        </is>
      </c>
      <c r="K2063" s="3" t="inlineStr">
        <is>
          <t>Здесь можно посмотреть онлайн и скачать мультфильм "Дзю-до" (ЭКРАН, 1980 г.) (Олимпиада-80)</t>
        </is>
      </c>
      <c r="L2063" s="2" t="inlineStr">
        <is>
          <t>2026-10_мультфильмы_список_владельца.xlsx; https://animator.ru/db/?p=show_film&amp;fid=5070</t>
        </is>
      </c>
      <c r="M2063" s="2">
        <f>HYPERLINK("https://ru.wikipedia.org/w/index.php?search=%D0%94%D0%B7%D1%8E-%D0%B4%D0%BE%201980%20%D1%84%D0%B8%D0%BB%D1%8C%D0%BC","искать")</f>
        <v/>
      </c>
      <c r="N2063" s="3" t="n"/>
      <c r="O2063" s="2" t="n"/>
      <c r="P2063" s="2" t="n"/>
    </row>
    <row r="2064">
      <c r="A2064" s="2" t="n">
        <v>2063</v>
      </c>
      <c r="B2064" s="2" t="inlineStr">
        <is>
          <t>не сюжет</t>
        </is>
      </c>
      <c r="C2064" s="2" t="n">
        <v>14043</v>
      </c>
      <c r="D2064" s="3" t="inlineStr">
        <is>
          <t>Песнь о тюльпане</t>
        </is>
      </c>
      <c r="E2064" s="2" t="n">
        <v>1981</v>
      </c>
      <c r="F2064" s="2" t="inlineStr">
        <is>
          <t>мультфильм</t>
        </is>
      </c>
      <c r="G2064" s="2" t="inlineStr">
        <is>
          <t>УЗБЕКФИЛЬМ</t>
        </is>
      </c>
      <c r="H2064" s="2" t="n">
        <v>91</v>
      </c>
      <c r="I2064" s="2" t="inlineStr"/>
      <c r="J2064" s="2" t="inlineStr">
        <is>
          <t>да</t>
        </is>
      </c>
      <c r="K2064" s="3" t="inlineStr">
        <is>
          <t>По мотивам узбекской народной легенды о трагической любви бедного юноши и красавицы девушки</t>
        </is>
      </c>
      <c r="L2064" s="2" t="inlineStr">
        <is>
          <t>https://animator.ru/db/?p=show_film&amp;fid=5439</t>
        </is>
      </c>
      <c r="M2064" s="2">
        <f>HYPERLINK("https://ru.wikipedia.org/w/index.php?search=%D0%9F%D0%B5%D1%81%D0%BD%D1%8C%20%D0%BE%20%D1%82%D1%8E%D0%BB%D1%8C%D0%BF%D0%B0%D0%BD%D0%B5%201981%20%D1%84%D0%B8%D0%BB%D1%8C%D0%BC","искать")</f>
        <v/>
      </c>
      <c r="N2064" s="3" t="n"/>
      <c r="O2064" s="2" t="n"/>
      <c r="P2064" s="2" t="n"/>
    </row>
    <row r="2065">
      <c r="A2065" s="2" t="n">
        <v>2064</v>
      </c>
      <c r="B2065" s="2" t="inlineStr">
        <is>
          <t>не сюжет</t>
        </is>
      </c>
      <c r="C2065" s="2" t="n">
        <v>14309</v>
      </c>
      <c r="D2065" s="3" t="inlineStr">
        <is>
          <t>Тебе, армения!</t>
        </is>
      </c>
      <c r="E2065" s="2" t="n">
        <v>1990</v>
      </c>
      <c r="F2065" s="2" t="inlineStr">
        <is>
          <t>мультфильм</t>
        </is>
      </c>
      <c r="G2065" s="2" t="inlineStr">
        <is>
          <t>АРМЕНФИЛЬМ</t>
        </is>
      </c>
      <c r="H2065" s="2" t="n">
        <v>91</v>
      </c>
      <c r="I2065" s="2" t="inlineStr"/>
      <c r="J2065" s="2" t="inlineStr">
        <is>
          <t>да</t>
        </is>
      </c>
      <c r="K2065" s="3" t="inlineStr">
        <is>
          <t>Отклик на трагическую сегодняшнюю историю Армении. Песня Жлоржа Гарваренца и Шарля Азнавура</t>
        </is>
      </c>
      <c r="L2065" s="2" t="inlineStr">
        <is>
          <t>https://animator.ru/db/?p=show_film&amp;fid=5855</t>
        </is>
      </c>
      <c r="M2065" s="2">
        <f>HYPERLINK("https://ru.wikipedia.org/w/index.php?search=%D0%A2%D0%B5%D0%B1%D0%B5%2C%20%D0%B0%D1%80%D0%BC%D0%B5%D0%BD%D0%B8%D1%8F%21%201990%20%D1%84%D0%B8%D0%BB%D1%8C%D0%BC","искать")</f>
        <v/>
      </c>
      <c r="N2065" s="3" t="n"/>
      <c r="O2065" s="2" t="n"/>
      <c r="P2065" s="2" t="n"/>
    </row>
    <row r="2066">
      <c r="A2066" s="2" t="n">
        <v>2065</v>
      </c>
      <c r="B2066" s="2" t="inlineStr">
        <is>
          <t>не сюжет</t>
        </is>
      </c>
      <c r="C2066" s="2" t="n">
        <v>8857</v>
      </c>
      <c r="D2066" s="3" t="inlineStr">
        <is>
          <t>На всякого мудреца довольно простоты</t>
        </is>
      </c>
      <c r="E2066" s="2" t="n">
        <v>1982</v>
      </c>
      <c r="F2066" s="2" t="inlineStr">
        <is>
          <t>фильм-спектакль</t>
        </is>
      </c>
      <c r="G2066" s="2" t="n"/>
      <c r="H2066" s="2" t="n">
        <v>92</v>
      </c>
      <c r="I2066" s="2" t="inlineStr"/>
      <c r="J2066" s="2" t="inlineStr">
        <is>
          <t>да</t>
        </is>
      </c>
      <c r="K2066" s="3" t="inlineStr">
        <is>
          <t>Спектакль Узбекского драматического театра им. Хамзы по одноименной комедии А.Н.Островского.</t>
        </is>
      </c>
      <c r="L2066" s="2" t="inlineStr">
        <is>
          <t>Кино_СССР сводный каталог.xlsx: список фильмов (доп.)</t>
        </is>
      </c>
      <c r="M2066" s="2">
        <f>HYPERLINK("https://ru.wikipedia.org/w/index.php?search=%D0%9D%D0%B0%20%D0%B2%D1%81%D1%8F%D0%BA%D0%BE%D0%B3%D0%BE%20%D0%BC%D1%83%D0%B4%D1%80%D0%B5%D1%86%D0%B0%20%D0%B4%D0%BE%D0%B2%D0%BE%D0%BB%D1%8C%D0%BD%D0%BE%20%D0%BF%D1%80%D0%BE%D1%81%D1%82%D0%BE%D1%82%D1%8B%201982%20%D1%84%D0%B8%D0%BB%D1%8C%D0%BC","искать")</f>
        <v/>
      </c>
      <c r="N2066" s="3" t="n"/>
      <c r="O2066" s="2" t="n"/>
      <c r="P2066" s="2" t="n"/>
    </row>
    <row r="2067">
      <c r="A2067" s="2" t="n">
        <v>2066</v>
      </c>
      <c r="B2067" s="2" t="inlineStr">
        <is>
          <t>не сюжет</t>
        </is>
      </c>
      <c r="C2067" s="2" t="n">
        <v>10653</v>
      </c>
      <c r="D2067" s="3" t="inlineStr">
        <is>
          <t>Красная гостиница</t>
        </is>
      </c>
      <c r="E2067" s="2" t="n">
        <v>1976</v>
      </c>
      <c r="F2067" s="2" t="inlineStr">
        <is>
          <t>фильм-спектакль</t>
        </is>
      </c>
      <c r="G2067" s="2" t="inlineStr">
        <is>
          <t>Центральное телевидение</t>
        </is>
      </c>
      <c r="H2067" s="2" t="n">
        <v>92</v>
      </c>
      <c r="I2067" s="2" t="inlineStr"/>
      <c r="J2067" s="2" t="inlineStr">
        <is>
          <t>да</t>
        </is>
      </c>
      <c r="K2067" s="3" t="inlineStr">
        <is>
          <t>По одноименной новелле французского писателя Оноре де Бальзака из цикла "Философские этюды".</t>
        </is>
      </c>
      <c r="L2067" s="2" t="inlineStr">
        <is>
          <t>https://www.kino-teatr.ru/teatr/movie/102385/annot/</t>
        </is>
      </c>
      <c r="M2067" s="2">
        <f>HYPERLINK("https://ru.wikipedia.org/w/index.php?search=%D0%9A%D1%80%D0%B0%D1%81%D0%BD%D0%B0%D1%8F%20%D0%B3%D0%BE%D1%81%D1%82%D0%B8%D0%BD%D0%B8%D1%86%D0%B0%201976%20%D1%84%D0%B8%D0%BB%D1%8C%D0%BC","искать")</f>
        <v/>
      </c>
      <c r="N2067" s="3" t="n"/>
      <c r="O2067" s="2" t="n"/>
      <c r="P2067" s="2" t="n"/>
    </row>
    <row r="2068">
      <c r="A2068" s="2" t="n">
        <v>2067</v>
      </c>
      <c r="B2068" s="2" t="inlineStr">
        <is>
          <t>не сюжет</t>
        </is>
      </c>
      <c r="C2068" s="2" t="n">
        <v>10941</v>
      </c>
      <c r="D2068" s="3" t="inlineStr">
        <is>
          <t>Йокубелис и Квета</t>
        </is>
      </c>
      <c r="E2068" s="2" t="n">
        <v>1982</v>
      </c>
      <c r="F2068" s="2" t="inlineStr">
        <is>
          <t>фильм-спектакль</t>
        </is>
      </c>
      <c r="G2068" s="2" t="inlineStr">
        <is>
          <t>Литовское телевидение</t>
        </is>
      </c>
      <c r="H2068" s="2" t="n">
        <v>92</v>
      </c>
      <c r="I2068" s="2" t="inlineStr"/>
      <c r="J2068" s="2" t="inlineStr">
        <is>
          <t>да</t>
        </is>
      </c>
      <c r="K2068" s="3" t="inlineStr">
        <is>
          <t>История о жизненных проблемах одинокой женщины-вдовы и взятого ею из детского дома мальчика.</t>
        </is>
      </c>
      <c r="L2068" s="2" t="inlineStr">
        <is>
          <t>https://www.kino-teatr.ru/teatr/movie/108051/annot/</t>
        </is>
      </c>
      <c r="M2068" s="2">
        <f>HYPERLINK("https://ru.wikipedia.org/w/index.php?search=%D0%99%D0%BE%D0%BA%D1%83%D0%B1%D0%B5%D0%BB%D0%B8%D1%81%20%D0%B8%20%D0%9A%D0%B2%D0%B5%D1%82%D0%B0%201982%20%D1%84%D0%B8%D0%BB%D1%8C%D0%BC","искать")</f>
        <v/>
      </c>
      <c r="N2068" s="3" t="n"/>
      <c r="O2068" s="2" t="n"/>
      <c r="P2068" s="2" t="n"/>
    </row>
    <row r="2069">
      <c r="A2069" s="2" t="n">
        <v>2068</v>
      </c>
      <c r="B2069" s="2" t="inlineStr">
        <is>
          <t>не сюжет</t>
        </is>
      </c>
      <c r="C2069" s="2" t="n">
        <v>11238</v>
      </c>
      <c r="D2069" s="3" t="inlineStr">
        <is>
          <t>Это было раненое сердце... Некрасов и Достоевский</t>
        </is>
      </c>
      <c r="E2069" s="2" t="n">
        <v>1988</v>
      </c>
      <c r="F2069" s="2" t="inlineStr">
        <is>
          <t>фильм-спектакль</t>
        </is>
      </c>
      <c r="G2069" s="2" t="inlineStr">
        <is>
          <t>Главная редакция литературно-драматических программ ЦТ</t>
        </is>
      </c>
      <c r="H2069" s="2" t="n">
        <v>92</v>
      </c>
      <c r="I2069" s="2" t="inlineStr"/>
      <c r="J2069" s="2" t="inlineStr">
        <is>
          <t>да</t>
        </is>
      </c>
      <c r="K2069" s="3" t="inlineStr">
        <is>
          <t>Воспоминания Ф.М. Достоевского о Н. А. Некрасове в исполнении артиста Александра Филиппенко.</t>
        </is>
      </c>
      <c r="L2069" s="2" t="inlineStr">
        <is>
          <t>https://www.kino-teatr.ru/teatr/movie/107808/annot/</t>
        </is>
      </c>
      <c r="M2069" s="2">
        <f>HYPERLINK("https://ru.wikipedia.org/w/index.php?search=%D0%AD%D1%82%D0%BE%20%D0%B1%D1%8B%D0%BB%D0%BE%20%D1%80%D0%B0%D0%BD%D0%B5%D0%BD%D0%BE%D0%B5%20%D1%81%D0%B5%D1%80%D0%B4%D1%86%D0%B5...%20%D0%9D%D0%B5%D0%BA%D1%80%D0%B0%D1%81%D0%BE%D0%B2%20%D0%B8%20%D0%94%D0%BE%D1%81%D1%82%D0%BE%D0%B5%D0%B2%D1%81%D0%BA%D0%B8%D0%B9%201988%20%D1%84%D0%B8%D0%BB%D1%8C%D0%BC","искать")</f>
        <v/>
      </c>
      <c r="N2069" s="3" t="n"/>
      <c r="O2069" s="2" t="n"/>
      <c r="P2069" s="2" t="n"/>
    </row>
    <row r="2070">
      <c r="A2070" s="2" t="n">
        <v>2069</v>
      </c>
      <c r="B2070" s="2" t="inlineStr">
        <is>
          <t>не сюжет</t>
        </is>
      </c>
      <c r="C2070" s="2" t="n">
        <v>11303</v>
      </c>
      <c r="D2070" s="3" t="inlineStr">
        <is>
          <t>Игра в фанты</t>
        </is>
      </c>
      <c r="E2070" s="2" t="n">
        <v>1990</v>
      </c>
      <c r="F2070" s="2" t="inlineStr">
        <is>
          <t>фильм-спектакль</t>
        </is>
      </c>
      <c r="G2070" s="2" t="inlineStr">
        <is>
          <t>Центральное телевидение</t>
        </is>
      </c>
      <c r="H2070" s="2" t="n">
        <v>92</v>
      </c>
      <c r="I2070" s="2" t="inlineStr"/>
      <c r="J2070" s="2" t="inlineStr">
        <is>
          <t>да</t>
        </is>
      </c>
      <c r="K2070" s="3" t="inlineStr">
        <is>
          <t>По одноименной пьесе Николая Коляды в постановке Рязанского областного театра юного зрителя.</t>
        </is>
      </c>
      <c r="L2070" s="2" t="inlineStr">
        <is>
          <t>https://www.kino-teatr.ru/teatr/movie/139484/annot/</t>
        </is>
      </c>
      <c r="M2070" s="2">
        <f>HYPERLINK("https://ru.wikipedia.org/w/index.php?search=%D0%98%D0%B3%D1%80%D0%B0%20%D0%B2%20%D1%84%D0%B0%D0%BD%D1%82%D1%8B%201990%20%D1%84%D0%B8%D0%BB%D1%8C%D0%BC","искать")</f>
        <v/>
      </c>
      <c r="N2070" s="3" t="n"/>
      <c r="O2070" s="2" t="n"/>
      <c r="P2070" s="2" t="n"/>
    </row>
    <row r="2071">
      <c r="A2071" s="2" t="n">
        <v>2070</v>
      </c>
      <c r="B2071" s="2" t="inlineStr">
        <is>
          <t>не сюжет</t>
        </is>
      </c>
      <c r="C2071" s="2" t="n">
        <v>11905</v>
      </c>
      <c r="D2071" s="3" t="inlineStr">
        <is>
          <t>Золушка</t>
        </is>
      </c>
      <c r="E2071" s="2" t="n">
        <v>1979</v>
      </c>
      <c r="F2071" s="2" t="inlineStr">
        <is>
          <t>мультфильм</t>
        </is>
      </c>
      <c r="G2071" s="2" t="inlineStr">
        <is>
          <t>Союзмультфильм</t>
        </is>
      </c>
      <c r="H2071" s="2" t="n">
        <v>92</v>
      </c>
      <c r="I2071" s="2" t="inlineStr"/>
      <c r="J2071" s="2" t="inlineStr">
        <is>
          <t>да</t>
        </is>
      </c>
      <c r="K2071" s="3" t="inlineStr">
        <is>
          <t>Здесь можно посмотреть онлайн и скачать мультфильм "Золушка" (СПК, 2009 г.) (Сказки на ночь)</t>
        </is>
      </c>
      <c r="L2071" s="2" t="inlineStr">
        <is>
          <t>2026-10_мультфильмы_список_владельца.xlsx; https://animator.ru/db/?p=show_film&amp;fid=2820</t>
        </is>
      </c>
      <c r="M2071" s="2">
        <f>HYPERLINK("https://ru.wikipedia.org/w/index.php?search=%D0%97%D0%BE%D0%BB%D1%83%D1%88%D0%BA%D0%B0%201979%20%D1%84%D0%B8%D0%BB%D1%8C%D0%BC","искать")</f>
        <v/>
      </c>
      <c r="N2071" s="3" t="n"/>
      <c r="O2071" s="2" t="n"/>
      <c r="P2071" s="2" t="n"/>
    </row>
    <row r="2072">
      <c r="A2072" s="2" t="n">
        <v>2071</v>
      </c>
      <c r="B2072" s="2" t="inlineStr">
        <is>
          <t>не сюжет</t>
        </is>
      </c>
      <c r="C2072" s="2" t="n">
        <v>12113</v>
      </c>
      <c r="D2072" s="3" t="inlineStr">
        <is>
          <t>Притча об артисте (Лицедей)</t>
        </is>
      </c>
      <c r="E2072" s="2" t="n">
        <v>1989</v>
      </c>
      <c r="F2072" s="2" t="inlineStr">
        <is>
          <t>мультфильм</t>
        </is>
      </c>
      <c r="G2072" s="2" t="inlineStr">
        <is>
          <t>Союзмультфильм</t>
        </is>
      </c>
      <c r="H2072" s="2" t="n">
        <v>92</v>
      </c>
      <c r="I2072" s="2" t="inlineStr"/>
      <c r="J2072" s="2" t="inlineStr">
        <is>
          <t>да</t>
        </is>
      </c>
      <c r="K2072" s="3" t="inlineStr">
        <is>
          <t>О тяжелой ноше артиста, который дарует людям возможность прожить тысячи жизней. Для взрослых</t>
        </is>
      </c>
      <c r="L2072" s="2" t="inlineStr">
        <is>
          <t>https://animator.ru/db/?p=show_film&amp;fid=3229</t>
        </is>
      </c>
      <c r="M2072" s="2">
        <f>HYPERLINK("https://ru.wikipedia.org/w/index.php?search=%D0%9F%D1%80%D0%B8%D1%82%D1%87%D0%B0%20%D0%BE%D0%B1%20%D0%B0%D1%80%D1%82%D0%B8%D1%81%D1%82%D0%B5%20%28%D0%9B%D0%B8%D1%86%D0%B5%D0%B4%D0%B5%D0%B9%29%201989%20%D1%84%D0%B8%D0%BB%D1%8C%D0%BC","искать")</f>
        <v/>
      </c>
      <c r="N2072" s="3" t="n"/>
      <c r="O2072" s="2" t="n"/>
      <c r="P2072" s="2" t="n"/>
    </row>
    <row r="2073">
      <c r="A2073" s="2" t="n">
        <v>2072</v>
      </c>
      <c r="B2073" s="2" t="inlineStr">
        <is>
          <t>не сюжет</t>
        </is>
      </c>
      <c r="C2073" s="2" t="n">
        <v>13311</v>
      </c>
      <c r="D2073" s="3" t="inlineStr">
        <is>
          <t>Круглый ли земной шар?</t>
        </is>
      </c>
      <c r="E2073" s="2" t="n">
        <v>1977</v>
      </c>
      <c r="F2073" s="2" t="inlineStr">
        <is>
          <t>мультфильм</t>
        </is>
      </c>
      <c r="G2073" s="2" t="inlineStr">
        <is>
          <t>ТАЛЛИННФИЛЬМ</t>
        </is>
      </c>
      <c r="H2073" s="2" t="n">
        <v>92</v>
      </c>
      <c r="I2073" s="2" t="inlineStr"/>
      <c r="J2073" s="2" t="inlineStr">
        <is>
          <t>да</t>
        </is>
      </c>
      <c r="K2073" s="3" t="inlineStr">
        <is>
          <t>При участии ансамбля "Апельсин".
Кругосветное путешествие длиной в целую жизнь. Для взрослых</t>
        </is>
      </c>
      <c r="L2073" s="2" t="inlineStr">
        <is>
          <t>https://animator.ru/db/?p=show_film&amp;fid=4569</t>
        </is>
      </c>
      <c r="M2073" s="2">
        <f>HYPERLINK("https://ru.wikipedia.org/w/index.php?search=%D0%9A%D1%80%D1%83%D0%B3%D0%BB%D1%8B%D0%B9%20%D0%BB%D0%B8%20%D0%B7%D0%B5%D0%BC%D0%BD%D0%BE%D0%B9%20%D1%88%D0%B0%D1%80%3F%201977%20%D1%84%D0%B8%D0%BB%D1%8C%D0%BC","искать")</f>
        <v/>
      </c>
      <c r="N2073" s="3" t="n"/>
      <c r="O2073" s="2" t="n"/>
      <c r="P2073" s="2" t="n"/>
    </row>
    <row r="2074">
      <c r="A2074" s="2" t="n">
        <v>2073</v>
      </c>
      <c r="B2074" s="2" t="inlineStr">
        <is>
          <t>не сюжет</t>
        </is>
      </c>
      <c r="C2074" s="2" t="n">
        <v>13573</v>
      </c>
      <c r="D2074" s="3" t="inlineStr">
        <is>
          <t>Веселая карусель. Выпуск №11</t>
        </is>
      </c>
      <c r="E2074" s="2" t="n">
        <v>1980</v>
      </c>
      <c r="F2074" s="2" t="inlineStr">
        <is>
          <t>мультфильм</t>
        </is>
      </c>
      <c r="G2074" s="2" t="inlineStr">
        <is>
          <t>Союзмультфильм</t>
        </is>
      </c>
      <c r="H2074" s="2" t="n">
        <v>92</v>
      </c>
      <c r="I2074" s="2" t="inlineStr"/>
      <c r="J2074" s="2" t="inlineStr">
        <is>
          <t>да</t>
        </is>
      </c>
      <c r="K2074" s="3" t="inlineStr">
        <is>
          <t>11-ая серия альманаха «ВЕСЕЛАЯ КАРУСЕЛЬ»
сюжеты: «ХИТРЫЕ СТАРУШКИ», «ПРО ЧЕРЕПАХУ», «ПОГОНЯ»</t>
        </is>
      </c>
      <c r="L2074" s="2" t="inlineStr">
        <is>
          <t>https://animator.ru/db/?p=show_film&amp;fid=4908</t>
        </is>
      </c>
      <c r="M2074" s="2">
        <f>HYPERLINK("https://ru.wikipedia.org/w/index.php?search=%D0%92%D0%B5%D1%81%D0%B5%D0%BB%D0%B0%D1%8F%20%D0%BA%D0%B0%D1%80%D1%83%D1%81%D0%B5%D0%BB%D1%8C.%20%D0%92%D1%8B%D0%BF%D1%83%D1%81%D0%BA%20%E2%84%9611%201980%20%D1%84%D0%B8%D0%BB%D1%8C%D0%BC","искать")</f>
        <v/>
      </c>
      <c r="N2074" s="3" t="n"/>
      <c r="O2074" s="2" t="n"/>
      <c r="P2074" s="2" t="n"/>
    </row>
    <row r="2075">
      <c r="A2075" s="2" t="n">
        <v>2074</v>
      </c>
      <c r="B2075" s="2" t="inlineStr">
        <is>
          <t>не сюжет</t>
        </is>
      </c>
      <c r="C2075" s="2" t="n">
        <v>13620</v>
      </c>
      <c r="D2075" s="3" t="inlineStr">
        <is>
          <t>Аленушка и солдат</t>
        </is>
      </c>
      <c r="E2075" s="2" t="n">
        <v>1974</v>
      </c>
      <c r="F2075" s="2" t="inlineStr">
        <is>
          <t>мультфильм</t>
        </is>
      </c>
      <c r="G2075" s="2" t="inlineStr">
        <is>
          <t>ЭКРАН</t>
        </is>
      </c>
      <c r="H2075" s="2" t="n">
        <v>92</v>
      </c>
      <c r="I2075" s="2" t="inlineStr"/>
      <c r="J2075" s="2" t="inlineStr">
        <is>
          <t>да</t>
        </is>
      </c>
      <c r="K2075" s="3" t="inlineStr">
        <is>
          <t>По сказке В.Лившица и А.Кичановой в постановке Ленинградского государственного театра кукол.</t>
        </is>
      </c>
      <c r="L2075" s="2" t="inlineStr">
        <is>
          <t>2026-10_мультфильмы_список_владельца.xlsx; https://animator.ru/db/?p=show_film&amp;fid=5012</t>
        </is>
      </c>
      <c r="M2075" s="2">
        <f>HYPERLINK("https://ru.wikipedia.org/w/index.php?search=%D0%90%D0%BB%D0%B5%D0%BD%D1%83%D1%88%D0%BA%D0%B0%20%D0%B8%20%D1%81%D0%BE%D0%BB%D0%B4%D0%B0%D1%82%201974%20%D1%84%D0%B8%D0%BB%D1%8C%D0%BC","искать")</f>
        <v/>
      </c>
      <c r="N2075" s="3" t="n"/>
      <c r="O2075" s="2" t="n"/>
      <c r="P2075" s="2" t="n"/>
    </row>
    <row r="2076">
      <c r="A2076" s="2" t="n">
        <v>2075</v>
      </c>
      <c r="B2076" s="2" t="inlineStr">
        <is>
          <t>не сюжет</t>
        </is>
      </c>
      <c r="C2076" s="2" t="n">
        <v>14087</v>
      </c>
      <c r="D2076" s="3" t="inlineStr">
        <is>
          <t>Бабушка Метелица</t>
        </is>
      </c>
      <c r="E2076" s="2" t="n">
        <v>1971</v>
      </c>
      <c r="F2076" s="2" t="inlineStr">
        <is>
          <t>мультфильм</t>
        </is>
      </c>
      <c r="G2076" s="2" t="inlineStr">
        <is>
          <t>ВОЛГОГРАДТЕЛЕФИЛЬМ</t>
        </is>
      </c>
      <c r="H2076" s="2" t="n">
        <v>92</v>
      </c>
      <c r="I2076" s="2" t="inlineStr"/>
      <c r="J2076" s="2" t="inlineStr">
        <is>
          <t>да</t>
        </is>
      </c>
      <c r="K2076" s="3" t="inlineStr">
        <is>
          <t>По мотивам сказок о злой мачехе, ленивой дочери и трудолюбивой падчерице. Фильм черно-белый.</t>
        </is>
      </c>
      <c r="L2076" s="2" t="inlineStr">
        <is>
          <t>https://animator.ru/db/?p=show_film&amp;fid=5484</t>
        </is>
      </c>
      <c r="M2076" s="2">
        <f>HYPERLINK("https://ru.wikipedia.org/w/index.php?search=%D0%91%D0%B0%D0%B1%D1%83%D1%88%D0%BA%D0%B0%20%D0%9C%D0%B5%D1%82%D0%B5%D0%BB%D0%B8%D1%86%D0%B0%201971%20%D1%84%D0%B8%D0%BB%D1%8C%D0%BC","искать")</f>
        <v/>
      </c>
      <c r="N2076" s="3" t="n"/>
      <c r="O2076" s="2" t="n"/>
      <c r="P2076" s="2" t="n"/>
    </row>
    <row r="2077">
      <c r="A2077" s="2" t="n">
        <v>2076</v>
      </c>
      <c r="B2077" s="2" t="inlineStr">
        <is>
          <t>не сюжет</t>
        </is>
      </c>
      <c r="C2077" s="2" t="n">
        <v>14396</v>
      </c>
      <c r="D2077" s="3" t="inlineStr">
        <is>
          <t>Синица, роща и огонь</t>
        </is>
      </c>
      <c r="E2077" s="2" t="n">
        <v>1991</v>
      </c>
      <c r="F2077" s="2" t="inlineStr">
        <is>
          <t>мультфильм</t>
        </is>
      </c>
      <c r="G2077" s="2" t="inlineStr">
        <is>
          <t>ЭКРАН</t>
        </is>
      </c>
      <c r="H2077" s="2" t="n">
        <v>92</v>
      </c>
      <c r="I2077" s="2" t="inlineStr"/>
      <c r="J2077" s="2" t="inlineStr">
        <is>
          <t>да</t>
        </is>
      </c>
      <c r="K2077" s="3" t="inlineStr">
        <is>
          <t>По мотивам басен И.А. Крылова "Синица", "Тришкин кафтан", "Ворона и лисица", "Роща и огонь".</t>
        </is>
      </c>
      <c r="L2077" s="2" t="inlineStr">
        <is>
          <t>2026-10_мультфильмы_список_владельца.xlsx; https://animator.ru/db/?p=show_film&amp;fid=6496</t>
        </is>
      </c>
      <c r="M2077" s="2">
        <f>HYPERLINK("https://ru.wikipedia.org/w/index.php?search=%D0%A1%D0%B8%D0%BD%D0%B8%D1%86%D0%B0%2C%20%D1%80%D0%BE%D1%89%D0%B0%20%D0%B8%20%D0%BE%D0%B3%D0%BE%D0%BD%D1%8C%201991%20%D1%84%D0%B8%D0%BB%D1%8C%D0%BC","искать")</f>
        <v/>
      </c>
      <c r="N2077" s="3" t="n"/>
      <c r="O2077" s="2" t="n"/>
      <c r="P2077" s="2" t="n"/>
    </row>
    <row r="2078">
      <c r="A2078" s="2" t="n">
        <v>2077</v>
      </c>
      <c r="B2078" s="2" t="inlineStr">
        <is>
          <t>не сюжет</t>
        </is>
      </c>
      <c r="C2078" s="2" t="n">
        <v>9027</v>
      </c>
      <c r="D2078" s="3" t="inlineStr">
        <is>
          <t>Самый лучший человек (киноальманах)</t>
        </is>
      </c>
      <c r="E2078" s="2" t="n">
        <v>1979</v>
      </c>
      <c r="F2078" s="2" t="inlineStr">
        <is>
          <t>кинофильм</t>
        </is>
      </c>
      <c r="G2078" s="2" t="n"/>
      <c r="H2078" s="2" t="n">
        <v>93</v>
      </c>
      <c r="I2078" s="2" t="inlineStr"/>
      <c r="J2078" s="2" t="inlineStr">
        <is>
          <t>да</t>
        </is>
      </c>
      <c r="K2078" s="3" t="inlineStr">
        <is>
          <t>Ամենալավ մարդը Фильм делится на три эпизода: "Мир в зеркальце", "Посещение", "Путь возврата".</t>
        </is>
      </c>
      <c r="L2078" s="2" t="inlineStr">
        <is>
          <t>Кино_СССР сводный каталог.xlsx: список фильмов (доп.)</t>
        </is>
      </c>
      <c r="M2078" s="2">
        <f>HYPERLINK("https://ru.wikipedia.org/w/index.php?search=%D0%A1%D0%B0%D0%BC%D1%8B%D0%B9%20%D0%BB%D1%83%D1%87%D1%88%D0%B8%D0%B9%20%D1%87%D0%B5%D0%BB%D0%BE%D0%B2%D0%B5%D0%BA%20%28%D0%BA%D0%B8%D0%BD%D0%BE%D0%B0%D0%BB%D1%8C%D0%BC%D0%B0%D0%BD%D0%B0%D1%85%29%201979%20%D1%84%D0%B8%D0%BB%D1%8C%D0%BC","искать")</f>
        <v/>
      </c>
      <c r="N2078" s="3" t="n"/>
      <c r="O2078" s="2" t="n"/>
      <c r="P2078" s="2" t="n"/>
    </row>
    <row r="2079">
      <c r="A2079" s="2" t="n">
        <v>2078</v>
      </c>
      <c r="B2079" s="2" t="inlineStr">
        <is>
          <t>не сюжет</t>
        </is>
      </c>
      <c r="C2079" s="2" t="n">
        <v>10561</v>
      </c>
      <c r="D2079" s="3" t="inlineStr">
        <is>
          <t>Домик в Коломне</t>
        </is>
      </c>
      <c r="E2079" s="2" t="n">
        <v>1974</v>
      </c>
      <c r="F2079" s="2" t="inlineStr">
        <is>
          <t>фильм-спектакль</t>
        </is>
      </c>
      <c r="G2079" s="2" t="n"/>
      <c r="H2079" s="2" t="n">
        <v>93</v>
      </c>
      <c r="I2079" s="2" t="inlineStr"/>
      <c r="J2079" s="2" t="inlineStr">
        <is>
          <t>да</t>
        </is>
      </c>
      <c r="K2079" s="3" t="inlineStr">
        <is>
          <t>В основе телеспектакля поэма "Домик в Коломне", стихи и письма Александра Сергеевича Пушкина.</t>
        </is>
      </c>
      <c r="L2079" s="2" t="inlineStr">
        <is>
          <t>https://www.kino-teatr.ru/teatr/movie/101826/annot/</t>
        </is>
      </c>
      <c r="M2079" s="2">
        <f>HYPERLINK("https://ru.wikipedia.org/w/index.php?search=%D0%94%D0%BE%D0%BC%D0%B8%D0%BA%20%D0%B2%20%D0%9A%D0%BE%D0%BB%D0%BE%D0%BC%D0%BD%D0%B5%201974%20%D1%84%D0%B8%D0%BB%D1%8C%D0%BC","искать")</f>
        <v/>
      </c>
      <c r="N2079" s="3" t="n"/>
      <c r="O2079" s="2" t="n"/>
      <c r="P2079" s="2" t="n"/>
    </row>
    <row r="2080">
      <c r="A2080" s="2" t="n">
        <v>2079</v>
      </c>
      <c r="B2080" s="2" t="inlineStr">
        <is>
          <t>не сюжет</t>
        </is>
      </c>
      <c r="C2080" s="2" t="n">
        <v>12485</v>
      </c>
      <c r="D2080" s="3" t="inlineStr">
        <is>
          <t>Осторожно - нервы!</t>
        </is>
      </c>
      <c r="E2080" s="2" t="n">
        <v>1975</v>
      </c>
      <c r="F2080" s="2" t="inlineStr">
        <is>
          <t>мультфильм</t>
        </is>
      </c>
      <c r="G2080" s="2" t="inlineStr">
        <is>
          <t>КИЕВНАУЧФИЛЬМ</t>
        </is>
      </c>
      <c r="H2080" s="2" t="n">
        <v>93</v>
      </c>
      <c r="I2080" s="2" t="inlineStr"/>
      <c r="J2080" s="2" t="inlineStr">
        <is>
          <t>да</t>
        </is>
      </c>
      <c r="K2080" s="3" t="inlineStr">
        <is>
          <t>О том, что в наш динамичный век следует разумнее приобщаться к его ритму и беречь свои нервы.</t>
        </is>
      </c>
      <c r="L2080" s="2" t="inlineStr">
        <is>
          <t>2026-10_мультфильмы_список_владельца.xlsx; https://animator.ru/db/?p=show_film&amp;fid=3660</t>
        </is>
      </c>
      <c r="M2080" s="2">
        <f>HYPERLINK("https://ru.wikipedia.org/w/index.php?search=%D0%9E%D1%81%D1%82%D0%BE%D1%80%D0%BE%D0%B6%D0%BD%D0%BE%20-%20%D0%BD%D0%B5%D1%80%D0%B2%D1%8B%21%201975%20%D1%84%D0%B8%D0%BB%D1%8C%D0%BC","искать")</f>
        <v/>
      </c>
      <c r="N2080" s="3" t="n"/>
      <c r="O2080" s="2" t="n"/>
      <c r="P2080" s="2" t="n"/>
    </row>
    <row r="2081">
      <c r="A2081" s="2" t="n">
        <v>2080</v>
      </c>
      <c r="B2081" s="2" t="inlineStr">
        <is>
          <t>не сюжет</t>
        </is>
      </c>
      <c r="C2081" s="2" t="n">
        <v>13363</v>
      </c>
      <c r="D2081" s="3" t="inlineStr">
        <is>
          <t>КАЛЕЙДОСКОП-71 (вып.1). КРИК МОДЫ</t>
        </is>
      </c>
      <c r="E2081" s="2" t="n">
        <v>1971</v>
      </c>
      <c r="F2081" s="2" t="inlineStr">
        <is>
          <t>мультфильм</t>
        </is>
      </c>
      <c r="G2081" s="2" t="inlineStr">
        <is>
          <t>РИЖСКАЯ КИНОСТУДИЯ, Союзмультфильм</t>
        </is>
      </c>
      <c r="H2081" s="2" t="n">
        <v>93</v>
      </c>
      <c r="I2081" s="2" t="inlineStr"/>
      <c r="J2081" s="2" t="inlineStr">
        <is>
          <t>да</t>
        </is>
      </c>
      <c r="K2081" s="3" t="inlineStr">
        <is>
          <t>Для взрослых. Другие сюжеты: "Лев и два быка" и "По грибы" (см). Общий метраж выпуска 1 часть</t>
        </is>
      </c>
      <c r="L2081" s="2" t="inlineStr">
        <is>
          <t>https://animator.ru/db/?p=show_film&amp;fid=4641</t>
        </is>
      </c>
      <c r="M2081" s="2">
        <f>HYPERLINK("https://ru.wikipedia.org/w/index.php?search=%D0%9A%D0%90%D0%9B%D0%95%D0%99%D0%94%D0%9E%D0%A1%D0%9A%D0%9E%D0%9F-71%20%28%D0%B2%D1%8B%D0%BF.1%29.%20%D0%9A%D0%A0%D0%98%D0%9A%20%D0%9C%D0%9E%D0%94%D0%AB%201971%20%D1%84%D0%B8%D0%BB%D1%8C%D0%BC","искать")</f>
        <v/>
      </c>
      <c r="N2081" s="3" t="n"/>
      <c r="O2081" s="2" t="n"/>
      <c r="P2081" s="2" t="n"/>
    </row>
    <row r="2082">
      <c r="A2082" s="2" t="n">
        <v>2081</v>
      </c>
      <c r="B2082" s="2" t="inlineStr">
        <is>
          <t>не сюжет</t>
        </is>
      </c>
      <c r="C2082" s="2" t="n">
        <v>13658</v>
      </c>
      <c r="D2082" s="3" t="inlineStr">
        <is>
          <t>Волейбол</t>
        </is>
      </c>
      <c r="E2082" s="2" t="n">
        <v>1980</v>
      </c>
      <c r="F2082" s="2" t="inlineStr">
        <is>
          <t>мультфильм</t>
        </is>
      </c>
      <c r="G2082" s="2" t="inlineStr">
        <is>
          <t>ЭКРАН</t>
        </is>
      </c>
      <c r="H2082" s="2" t="n">
        <v>93</v>
      </c>
      <c r="I2082" s="2" t="inlineStr"/>
      <c r="J2082" s="2" t="inlineStr">
        <is>
          <t>да</t>
        </is>
      </c>
      <c r="K2082" s="3" t="inlineStr">
        <is>
          <t>Здесь можно посмотреть онлайн и скачать мультфильм "Волейбол" (ЭКРАН, 1980 г.) (Олимпиада-80)</t>
        </is>
      </c>
      <c r="L2082" s="2" t="inlineStr">
        <is>
          <t>2026-10_мультфильмы_список_владельца.xlsx; https://animator.ru/db/?p=show_film&amp;fid=5050</t>
        </is>
      </c>
      <c r="M2082" s="2">
        <f>HYPERLINK("https://ru.wikipedia.org/w/index.php?search=%D0%92%D0%BE%D0%BB%D0%B5%D0%B9%D0%B1%D0%BE%D0%BB%201980%20%D1%84%D0%B8%D0%BB%D1%8C%D0%BC","искать")</f>
        <v/>
      </c>
      <c r="N2082" s="3" t="n"/>
      <c r="O2082" s="2" t="n"/>
      <c r="P2082" s="2" t="n"/>
    </row>
    <row r="2083">
      <c r="A2083" s="2" t="n">
        <v>2082</v>
      </c>
      <c r="B2083" s="2" t="inlineStr">
        <is>
          <t>не сюжет</t>
        </is>
      </c>
      <c r="C2083" s="2" t="n">
        <v>13767</v>
      </c>
      <c r="D2083" s="3" t="inlineStr">
        <is>
          <t>Миниатюры (1986)</t>
        </is>
      </c>
      <c r="E2083" s="2" t="n">
        <v>1986</v>
      </c>
      <c r="F2083" s="2" t="inlineStr">
        <is>
          <t>мультфильм</t>
        </is>
      </c>
      <c r="G2083" s="2" t="inlineStr">
        <is>
          <t>ЭКРАН</t>
        </is>
      </c>
      <c r="H2083" s="2" t="n">
        <v>93</v>
      </c>
      <c r="I2083" s="2" t="inlineStr"/>
      <c r="J2083" s="2" t="inlineStr">
        <is>
          <t>да</t>
        </is>
      </c>
      <c r="K2083" s="3" t="inlineStr">
        <is>
          <t>Сюжеты: "Равновесие", "Поединок", "Надежды", объединенные темой сохранения мира. Для взрослых</t>
        </is>
      </c>
      <c r="L2083" s="2" t="inlineStr">
        <is>
          <t>https://animator.ru/db/?p=show_film&amp;fid=5160</t>
        </is>
      </c>
      <c r="M2083" s="2">
        <f>HYPERLINK("https://ru.wikipedia.org/w/index.php?search=%D0%9C%D0%B8%D0%BD%D0%B8%D0%B0%D1%82%D1%8E%D1%80%D1%8B%20%281986%29%201986%20%D1%84%D0%B8%D0%BB%D1%8C%D0%BC","искать")</f>
        <v/>
      </c>
      <c r="N2083" s="3" t="n"/>
      <c r="O2083" s="2" t="n"/>
      <c r="P2083" s="2" t="n"/>
    </row>
    <row r="2084">
      <c r="A2084" s="2" t="n">
        <v>2083</v>
      </c>
      <c r="B2084" s="2" t="inlineStr">
        <is>
          <t>не сюжет</t>
        </is>
      </c>
      <c r="C2084" s="2" t="n">
        <v>14054</v>
      </c>
      <c r="D2084" s="3" t="inlineStr">
        <is>
          <t>Про Джыртдана "великана" (ч. 1)</t>
        </is>
      </c>
      <c r="E2084" s="2" t="n">
        <v>1981</v>
      </c>
      <c r="F2084" s="2" t="inlineStr">
        <is>
          <t>мультфильм</t>
        </is>
      </c>
      <c r="G2084" s="2" t="inlineStr">
        <is>
          <t>АЗЕРБАЙДЖАНФИЛЬМ</t>
        </is>
      </c>
      <c r="H2084" s="2" t="n">
        <v>93</v>
      </c>
      <c r="I2084" s="2" t="inlineStr"/>
      <c r="J2084" s="2" t="inlineStr">
        <is>
          <t>да</t>
        </is>
      </c>
      <c r="K2084" s="3" t="inlineStr">
        <is>
          <t>Первый фильм дилогии о маленьком герое азербайджанских сказок по прозвищу Джыртдан "великан".</t>
        </is>
      </c>
      <c r="L2084" s="2" t="inlineStr">
        <is>
          <t>2026-10_мультфильмы_список_владельца.xlsx; https://animator.ru/db/?p=show_film&amp;fid=5450</t>
        </is>
      </c>
      <c r="M2084" s="2">
        <f>HYPERLINK("https://ru.wikipedia.org/w/index.php?search=%D0%9F%D1%80%D0%BE%20%D0%94%D0%B6%D1%8B%D1%80%D1%82%D0%B4%D0%B0%D0%BD%D0%B0%20%22%D0%B2%D0%B5%D0%BB%D0%B8%D0%BA%D0%B0%D0%BD%D0%B0%22%20%28%D1%87.%201%29%201981%20%D1%84%D0%B8%D0%BB%D1%8C%D0%BC","искать")</f>
        <v/>
      </c>
      <c r="N2084" s="3" t="n"/>
      <c r="O2084" s="2" t="n"/>
      <c r="P2084" s="2" t="n"/>
    </row>
    <row r="2085">
      <c r="A2085" s="2" t="n">
        <v>2084</v>
      </c>
      <c r="B2085" s="2" t="inlineStr">
        <is>
          <t>не сюжет</t>
        </is>
      </c>
      <c r="C2085" s="2" t="n">
        <v>14259</v>
      </c>
      <c r="D2085" s="3" t="inlineStr">
        <is>
          <t>Веселая карусель n 18</t>
        </is>
      </c>
      <c r="E2085" s="2" t="n">
        <v>1983</v>
      </c>
      <c r="F2085" s="2" t="inlineStr">
        <is>
          <t>мультфильм</t>
        </is>
      </c>
      <c r="G2085" s="2" t="inlineStr">
        <is>
          <t>Союзмультфильм</t>
        </is>
      </c>
      <c r="H2085" s="2" t="n">
        <v>93</v>
      </c>
      <c r="I2085" s="2" t="inlineStr"/>
      <c r="J2085" s="2" t="inlineStr">
        <is>
          <t>да</t>
        </is>
      </c>
      <c r="K2085" s="3" t="inlineStr">
        <is>
          <t>18-ая серия альманаха «ВЕСЕЛАЯ КАРУСЕЛЬ»
сюжеты: «РЫЖАЯ ВОРОНА», «НЕДОРАЗУМЕНИЕ», «ПОД ЕЛКОЙ»</t>
        </is>
      </c>
      <c r="L2085" s="2" t="inlineStr">
        <is>
          <t>https://animator.ru/db/?p=show_film&amp;fid=5695</t>
        </is>
      </c>
      <c r="M2085" s="2">
        <f>HYPERLINK("https://ru.wikipedia.org/w/index.php?search=%D0%92%D0%B5%D1%81%D0%B5%D0%BB%D0%B0%D1%8F%20%D0%BA%D0%B0%D1%80%D1%83%D1%81%D0%B5%D0%BB%D1%8C%20n%2018%201983%20%D1%84%D0%B8%D0%BB%D1%8C%D0%BC","искать")</f>
        <v/>
      </c>
      <c r="N2085" s="3" t="n"/>
      <c r="O2085" s="2" t="n"/>
      <c r="P2085" s="2" t="n"/>
    </row>
    <row r="2086">
      <c r="A2086" s="2" t="n">
        <v>2085</v>
      </c>
      <c r="B2086" s="2" t="inlineStr">
        <is>
          <t>не сюжет</t>
        </is>
      </c>
      <c r="C2086" s="2" t="n">
        <v>7996</v>
      </c>
      <c r="D2086" s="3" t="inlineStr">
        <is>
          <t>Неудобный человек</t>
        </is>
      </c>
      <c r="E2086" s="2" t="n">
        <v>1978</v>
      </c>
      <c r="F2086" s="2" t="inlineStr">
        <is>
          <t>телефильм</t>
        </is>
      </c>
      <c r="G2086" s="2" t="n"/>
      <c r="H2086" s="2" t="n">
        <v>94</v>
      </c>
      <c r="I2086" s="2" t="inlineStr"/>
      <c r="J2086" s="2" t="inlineStr">
        <is>
          <t>да</t>
        </is>
      </c>
      <c r="K2086" s="3" t="inlineStr">
        <is>
          <t>О бригаде рабочих, для которых жить и работать с максимальной отдачей - моральная потребность.</t>
        </is>
      </c>
      <c r="L2086" s="2" t="inlineStr">
        <is>
          <t>Кино_СССР сводный каталог.xlsx: список телефильмов</t>
        </is>
      </c>
      <c r="M2086" s="2">
        <f>HYPERLINK("https://ru.wikipedia.org/w/index.php?search=%D0%9D%D0%B5%D1%83%D0%B4%D0%BE%D0%B1%D0%BD%D1%8B%D0%B9%20%D1%87%D0%B5%D0%BB%D0%BE%D0%B2%D0%B5%D0%BA%201978%20%D1%84%D0%B8%D0%BB%D1%8C%D0%BC","искать")</f>
        <v/>
      </c>
      <c r="N2086" s="3" t="n"/>
      <c r="O2086" s="2" t="n"/>
      <c r="P2086" s="2" t="n"/>
    </row>
    <row r="2087">
      <c r="A2087" s="2" t="n">
        <v>2086</v>
      </c>
      <c r="B2087" s="2" t="inlineStr">
        <is>
          <t>не сюжет</t>
        </is>
      </c>
      <c r="C2087" s="2" t="n">
        <v>8347</v>
      </c>
      <c r="D2087" s="3" t="inlineStr">
        <is>
          <t>Сказания городка Кукучяй</t>
        </is>
      </c>
      <c r="E2087" s="2" t="n">
        <v>1987</v>
      </c>
      <c r="F2087" s="2" t="inlineStr">
        <is>
          <t>телефильм</t>
        </is>
      </c>
      <c r="G2087" s="2" t="n"/>
      <c r="H2087" s="2" t="n">
        <v>94</v>
      </c>
      <c r="I2087" s="2" t="inlineStr"/>
      <c r="J2087" s="2" t="inlineStr">
        <is>
          <t>да</t>
        </is>
      </c>
      <c r="K2087" s="3" t="inlineStr">
        <is>
          <t>Фильм поставлен по роману П.Трейниса и рассказывает о довоенной жизни жителей городка Кукучяй.</t>
        </is>
      </c>
      <c r="L2087" s="2" t="inlineStr">
        <is>
          <t>Кино_СССР сводный каталог.xlsx: список телефильмов</t>
        </is>
      </c>
      <c r="M2087" s="2">
        <f>HYPERLINK("https://ru.wikipedia.org/w/index.php?search=%D0%A1%D0%BA%D0%B0%D0%B7%D0%B0%D0%BD%D0%B8%D1%8F%20%D0%B3%D0%BE%D1%80%D0%BE%D0%B4%D0%BA%D0%B0%20%D0%9A%D1%83%D0%BA%D1%83%D1%87%D1%8F%D0%B9%201987%20%D1%84%D0%B8%D0%BB%D1%8C%D0%BC","искать")</f>
        <v/>
      </c>
      <c r="N2087" s="3" t="n"/>
      <c r="O2087" s="2" t="n"/>
      <c r="P2087" s="2" t="n"/>
    </row>
    <row r="2088">
      <c r="A2088" s="2" t="n">
        <v>2087</v>
      </c>
      <c r="B2088" s="2" t="inlineStr">
        <is>
          <t>не сюжет</t>
        </is>
      </c>
      <c r="C2088" s="2" t="n">
        <v>8863</v>
      </c>
      <c r="D2088" s="3" t="inlineStr">
        <is>
          <t>Народный Малахий</t>
        </is>
      </c>
      <c r="E2088" s="2" t="n">
        <v>1991</v>
      </c>
      <c r="F2088" s="2" t="inlineStr">
        <is>
          <t>кинофильм</t>
        </is>
      </c>
      <c r="G2088" s="2" t="n"/>
      <c r="H2088" s="2" t="n">
        <v>94</v>
      </c>
      <c r="I2088" s="2" t="inlineStr"/>
      <c r="J2088" s="2" t="inlineStr">
        <is>
          <t>да</t>
        </is>
      </c>
      <c r="K2088" s="3" t="inlineStr">
        <is>
          <t>Экранизация пьесы Николая Кулеша. О коротком периоде "введения" украинского языка в 20-е годы.</t>
        </is>
      </c>
      <c r="L2088" s="2" t="inlineStr">
        <is>
          <t>Кино_СССР сводный каталог.xlsx: список фильмов (доп.)</t>
        </is>
      </c>
      <c r="M2088" s="2">
        <f>HYPERLINK("https://ru.wikipedia.org/w/index.php?search=%D0%9D%D0%B0%D1%80%D0%BE%D0%B4%D0%BD%D1%8B%D0%B9%20%D0%9C%D0%B0%D0%BB%D0%B0%D1%85%D0%B8%D0%B9%201991%20%D1%84%D0%B8%D0%BB%D1%8C%D0%BC","искать")</f>
        <v/>
      </c>
      <c r="N2088" s="3" t="n"/>
      <c r="O2088" s="2" t="n"/>
      <c r="P2088" s="2" t="n"/>
    </row>
    <row r="2089">
      <c r="A2089" s="2" t="n">
        <v>2088</v>
      </c>
      <c r="B2089" s="2" t="inlineStr">
        <is>
          <t>не сюжет</t>
        </is>
      </c>
      <c r="C2089" s="2" t="n">
        <v>9008</v>
      </c>
      <c r="D2089" s="3" t="inlineStr">
        <is>
          <t>Рассказы о Димке</t>
        </is>
      </c>
      <c r="E2089" s="2" t="n">
        <v>1968</v>
      </c>
      <c r="F2089" s="2" t="inlineStr">
        <is>
          <t>кинофильм</t>
        </is>
      </c>
      <c r="G2089" s="2" t="n"/>
      <c r="H2089" s="2" t="n">
        <v>94</v>
      </c>
      <c r="I2089" s="2" t="inlineStr"/>
      <c r="J2089" s="2" t="inlineStr">
        <is>
          <t>да</t>
        </is>
      </c>
      <c r="K2089" s="3" t="inlineStr">
        <is>
          <t>Телесборник состоит из трех новелл: «Димка рассердился», «Димка велогонщик», «Димкин петушок».</t>
        </is>
      </c>
      <c r="L2089" s="2" t="inlineStr">
        <is>
          <t>Кино_СССР сводный каталог.xlsx: список фильмов (доп.)</t>
        </is>
      </c>
      <c r="M2089" s="2">
        <f>HYPERLINK("https://ru.wikipedia.org/w/index.php?search=%D0%A0%D0%B0%D1%81%D1%81%D0%BA%D0%B0%D0%B7%D1%8B%20%D0%BE%20%D0%94%D0%B8%D0%BC%D0%BA%D0%B5%201968%20%D1%84%D0%B8%D0%BB%D1%8C%D0%BC","искать")</f>
        <v/>
      </c>
      <c r="N2089" s="3" t="n"/>
      <c r="O2089" s="2" t="n"/>
      <c r="P2089" s="2" t="n"/>
    </row>
    <row r="2090">
      <c r="A2090" s="2" t="n">
        <v>2089</v>
      </c>
      <c r="B2090" s="2" t="inlineStr">
        <is>
          <t>не сюжет</t>
        </is>
      </c>
      <c r="C2090" s="2" t="n">
        <v>9650</v>
      </c>
      <c r="D2090" s="3" t="inlineStr">
        <is>
          <t>Слепая</t>
        </is>
      </c>
      <c r="E2090" s="2" t="n">
        <v>1930</v>
      </c>
      <c r="F2090" s="2" t="inlineStr">
        <is>
          <t>кинофильм</t>
        </is>
      </c>
      <c r="G2090" s="2" t="n"/>
      <c r="H2090" s="2" t="n">
        <v>94</v>
      </c>
      <c r="I2090" s="2" t="inlineStr"/>
      <c r="J2090" s="2" t="inlineStr">
        <is>
          <t>да</t>
        </is>
      </c>
      <c r="K2090" s="3" t="inlineStr">
        <is>
          <t>Бытовая драма из жизни сванов. Точный сюжет не установлен... В ГФФ копия фильма не сохранилась</t>
        </is>
      </c>
      <c r="L2090" s="2" t="inlineStr">
        <is>
          <t>Кино_СССР сводный каталог.xlsx: список фильмов (доп.)</t>
        </is>
      </c>
      <c r="M2090" s="2">
        <f>HYPERLINK("https://ru.wikipedia.org/w/index.php?search=%D0%A1%D0%BB%D0%B5%D0%BF%D0%B0%D1%8F%201930%20%D1%84%D0%B8%D0%BB%D1%8C%D0%BC","искать")</f>
        <v/>
      </c>
      <c r="N2090" s="3" t="n"/>
      <c r="O2090" s="2" t="n"/>
      <c r="P2090" s="2" t="n"/>
    </row>
    <row r="2091">
      <c r="A2091" s="2" t="n">
        <v>2090</v>
      </c>
      <c r="B2091" s="2" t="inlineStr">
        <is>
          <t>не сюжет</t>
        </is>
      </c>
      <c r="C2091" s="2" t="n">
        <v>10615</v>
      </c>
      <c r="D2091" s="3" t="inlineStr">
        <is>
          <t>Лес</t>
        </is>
      </c>
      <c r="E2091" s="2" t="n">
        <v>1975</v>
      </c>
      <c r="F2091" s="2" t="inlineStr">
        <is>
          <t>фильм-спектакль</t>
        </is>
      </c>
      <c r="G2091" s="2" t="inlineStr">
        <is>
          <t>ТО Экран</t>
        </is>
      </c>
      <c r="H2091" s="2" t="n">
        <v>94</v>
      </c>
      <c r="I2091" s="2" t="inlineStr"/>
      <c r="J2091" s="2" t="inlineStr">
        <is>
          <t>да</t>
        </is>
      </c>
      <c r="K2091" s="3" t="inlineStr">
        <is>
          <t>По одноименной пьесе А.Островского в постановке Государственного академического Малого театра.</t>
        </is>
      </c>
      <c r="L2091" s="2" t="inlineStr">
        <is>
          <t>https://www.kino-teatr.ru/teatr/movie/15081/annot/</t>
        </is>
      </c>
      <c r="M2091" s="2">
        <f>HYPERLINK("https://ru.wikipedia.org/w/index.php?search=%D0%9B%D0%B5%D1%81%201975%20%D1%84%D0%B8%D0%BB%D1%8C%D0%BC","искать")</f>
        <v/>
      </c>
      <c r="N2091" s="3" t="n"/>
      <c r="O2091" s="2" t="n"/>
      <c r="P2091" s="2" t="n"/>
    </row>
    <row r="2092">
      <c r="A2092" s="2" t="n">
        <v>2091</v>
      </c>
      <c r="B2092" s="2" t="inlineStr">
        <is>
          <t>не сюжет</t>
        </is>
      </c>
      <c r="C2092" s="2" t="n">
        <v>10785</v>
      </c>
      <c r="D2092" s="3" t="inlineStr">
        <is>
          <t>Цирк у меня дома</t>
        </is>
      </c>
      <c r="E2092" s="2" t="n">
        <v>1978</v>
      </c>
      <c r="F2092" s="2" t="inlineStr">
        <is>
          <t>фильм-спектакль</t>
        </is>
      </c>
      <c r="G2092" s="2" t="inlineStr">
        <is>
          <t>Эстонское телевидение (ETV)</t>
        </is>
      </c>
      <c r="H2092" s="2" t="n">
        <v>94</v>
      </c>
      <c r="I2092" s="2" t="inlineStr"/>
      <c r="J2092" s="2" t="inlineStr">
        <is>
          <t>да</t>
        </is>
      </c>
      <c r="K2092" s="3" t="inlineStr">
        <is>
          <t>Поставлен по мотивам повести детского писателя Льва Давыдычева "Лёлишна из третьего подъезда".</t>
        </is>
      </c>
      <c r="L2092" s="2" t="inlineStr">
        <is>
          <t>https://www.kino-teatr.ru/teatr/movie/88955/annot/</t>
        </is>
      </c>
      <c r="M2092" s="2">
        <f>HYPERLINK("https://ru.wikipedia.org/w/index.php?search=%D0%A6%D0%B8%D1%80%D0%BA%20%D1%83%20%D0%BC%D0%B5%D0%BD%D1%8F%20%D0%B4%D0%BE%D0%BC%D0%B0%201978%20%D1%84%D0%B8%D0%BB%D1%8C%D0%BC","искать")</f>
        <v/>
      </c>
      <c r="N2092" s="3" t="n"/>
      <c r="O2092" s="2" t="n"/>
      <c r="P2092" s="2" t="n"/>
    </row>
    <row r="2093">
      <c r="A2093" s="2" t="n">
        <v>2092</v>
      </c>
      <c r="B2093" s="2" t="inlineStr">
        <is>
          <t>не сюжет</t>
        </is>
      </c>
      <c r="C2093" s="2" t="n">
        <v>11592</v>
      </c>
      <c r="D2093" s="3" t="inlineStr">
        <is>
          <t>Калейдоскоп-70. Просмотрел</t>
        </is>
      </c>
      <c r="E2093" s="2" t="n">
        <v>1970</v>
      </c>
      <c r="F2093" s="2" t="inlineStr">
        <is>
          <t>мультфильм</t>
        </is>
      </c>
      <c r="G2093" s="2" t="inlineStr">
        <is>
          <t>Союзмультфильм</t>
        </is>
      </c>
      <c r="H2093" s="2" t="n">
        <v>94</v>
      </c>
      <c r="I2093" s="2" t="inlineStr"/>
      <c r="J2093" s="2" t="inlineStr">
        <is>
          <t>да</t>
        </is>
      </c>
      <c r="K2093" s="3" t="inlineStr">
        <is>
          <t>Сюжет из сериала Калейдоскоп 70. История человека, всю жизнь просидевшего у экрана телевизора.</t>
        </is>
      </c>
      <c r="L2093" s="2" t="inlineStr">
        <is>
          <t>https://animator.ru/db/?p=show_film&amp;fid=2505</t>
        </is>
      </c>
      <c r="M2093" s="2">
        <f>HYPERLINK("https://ru.wikipedia.org/w/index.php?search=%D0%9A%D0%B0%D0%BB%D0%B5%D0%B9%D0%B4%D0%BE%D1%81%D0%BA%D0%BE%D0%BF-70.%20%D0%9F%D1%80%D0%BE%D1%81%D0%BC%D0%BE%D1%82%D1%80%D0%B5%D0%BB%201970%20%D1%84%D0%B8%D0%BB%D1%8C%D0%BC","искать")</f>
        <v/>
      </c>
      <c r="N2093" s="3" t="n"/>
      <c r="O2093" s="2" t="n"/>
      <c r="P2093" s="2" t="n"/>
    </row>
    <row r="2094">
      <c r="A2094" s="2" t="n">
        <v>2093</v>
      </c>
      <c r="B2094" s="2" t="inlineStr">
        <is>
          <t>не сюжет</t>
        </is>
      </c>
      <c r="C2094" s="2" t="n">
        <v>11856</v>
      </c>
      <c r="D2094" s="3" t="inlineStr">
        <is>
          <t>Старый дом</t>
        </is>
      </c>
      <c r="E2094" s="2" t="n">
        <v>1977</v>
      </c>
      <c r="F2094" s="2" t="inlineStr">
        <is>
          <t>мультфильм</t>
        </is>
      </c>
      <c r="G2094" s="2" t="inlineStr">
        <is>
          <t>Союзмультфильм</t>
        </is>
      </c>
      <c r="H2094" s="2" t="n">
        <v>94</v>
      </c>
      <c r="I2094" s="2" t="inlineStr"/>
      <c r="J2094" s="2" t="inlineStr">
        <is>
          <t>да</t>
        </is>
      </c>
      <c r="K2094" s="3" t="inlineStr">
        <is>
          <t>По мотивам одноименной сказки Андерсена. В фильме использованы стихи Андерсена и музыка Грига.</t>
        </is>
      </c>
      <c r="L2094" s="2" t="inlineStr">
        <is>
          <t>2026-10_мультфильмы_список_владельца.xlsx; https://animator.ru/db/?p=show_film&amp;fid=2771</t>
        </is>
      </c>
      <c r="M2094" s="2">
        <f>HYPERLINK("https://ru.wikipedia.org/w/index.php?search=%D0%A1%D1%82%D0%B0%D1%80%D1%8B%D0%B9%20%D0%B4%D0%BE%D0%BC%201977%20%D1%84%D0%B8%D0%BB%D1%8C%D0%BC","искать")</f>
        <v/>
      </c>
      <c r="N2094" s="3" t="n"/>
      <c r="O2094" s="2" t="n"/>
      <c r="P2094" s="2" t="n"/>
    </row>
    <row r="2095">
      <c r="A2095" s="2" t="n">
        <v>2094</v>
      </c>
      <c r="B2095" s="2" t="inlineStr">
        <is>
          <t>не сюжет</t>
        </is>
      </c>
      <c r="C2095" s="2" t="n">
        <v>11858</v>
      </c>
      <c r="D2095" s="3" t="inlineStr">
        <is>
          <t>По рисункам А.С. Пушкина. 1. Я к Вам лечу воспоминаньем...</t>
        </is>
      </c>
      <c r="E2095" s="2" t="n">
        <v>1977</v>
      </c>
      <c r="F2095" s="2" t="inlineStr">
        <is>
          <t>мультфильм</t>
        </is>
      </c>
      <c r="G2095" s="2" t="inlineStr">
        <is>
          <t>Союзмультфильм</t>
        </is>
      </c>
      <c r="H2095" s="2" t="n">
        <v>94</v>
      </c>
      <c r="I2095" s="2" t="inlineStr"/>
      <c r="J2095" s="2" t="inlineStr">
        <is>
          <t>да</t>
        </is>
      </c>
      <c r="K2095" s="3" t="inlineStr">
        <is>
          <t>По рисункам и рукописям Пушкина
В работе над фильмом принимали участие В.Марков и В.Непомнящий</t>
        </is>
      </c>
      <c r="L2095" s="2" t="inlineStr">
        <is>
          <t>https://animator.ru/db/?p=show_film&amp;fid=2773</t>
        </is>
      </c>
      <c r="M2095" s="2">
        <f>HYPERLINK("https://ru.wikipedia.org/w/index.php?search=%D0%9F%D0%BE%20%D1%80%D0%B8%D1%81%D1%83%D0%BD%D0%BA%D0%B0%D0%BC%20%D0%90.%D0%A1.%20%D0%9F%D1%83%D1%88%D0%BA%D0%B8%D0%BD%D0%B0.%201.%20%D0%AF%20%D0%BA%20%D0%92%D0%B0%D0%BC%20%D0%BB%D0%B5%D1%87%D1%83%20%D0%B2%D0%BE%D1%81%D0%BF%D0%BE%D0%BC%D0%B8%D0%BD%D0%B0%D0%BD%D1%8C%D0%B5%D0%BC...%201977%20%D1%84%D0%B8%D0%BB%D1%8C%D0%BC","искать")</f>
        <v/>
      </c>
      <c r="N2095" s="3" t="n"/>
      <c r="O2095" s="2" t="n"/>
      <c r="P2095" s="2" t="n"/>
    </row>
    <row r="2096">
      <c r="A2096" s="2" t="n">
        <v>2095</v>
      </c>
      <c r="B2096" s="2" t="inlineStr">
        <is>
          <t>не сюжет</t>
        </is>
      </c>
      <c r="C2096" s="2" t="n">
        <v>12182</v>
      </c>
      <c r="D2096" s="3" t="inlineStr">
        <is>
          <t>Веселая карусель n 16. Игра</t>
        </is>
      </c>
      <c r="E2096" s="2" t="n">
        <v>1985</v>
      </c>
      <c r="F2096" s="2" t="inlineStr">
        <is>
          <t>мультфильм</t>
        </is>
      </c>
      <c r="G2096" s="2" t="inlineStr">
        <is>
          <t>Союзмультфильм</t>
        </is>
      </c>
      <c r="H2096" s="2" t="n">
        <v>94</v>
      </c>
      <c r="I2096" s="2" t="inlineStr"/>
      <c r="J2096" s="2" t="inlineStr">
        <is>
          <t>да</t>
        </is>
      </c>
      <c r="K2096" s="3" t="inlineStr">
        <is>
          <t>Сюжет из альманаха «ВЕСЕЛАЯ КАРУСЕЛЬ N 16»
Общая длина выпуска - 245 м, продолжительность 854"</t>
        </is>
      </c>
      <c r="L2096" s="2" t="inlineStr">
        <is>
          <t>https://animator.ru/db/?p=show_film&amp;fid=3298</t>
        </is>
      </c>
      <c r="M2096" s="2">
        <f>HYPERLINK("https://ru.wikipedia.org/w/index.php?search=%D0%92%D0%B5%D1%81%D0%B5%D0%BB%D0%B0%D1%8F%20%D0%BA%D0%B0%D1%80%D1%83%D1%81%D0%B5%D0%BB%D1%8C%20n%2016.%20%D0%98%D0%B3%D1%80%D0%B0%201985%20%D1%84%D0%B8%D0%BB%D1%8C%D0%BC","искать")</f>
        <v/>
      </c>
      <c r="N2096" s="3" t="n"/>
      <c r="O2096" s="2" t="n"/>
      <c r="P2096" s="2" t="n"/>
    </row>
    <row r="2097">
      <c r="A2097" s="2" t="n">
        <v>2096</v>
      </c>
      <c r="B2097" s="2" t="inlineStr">
        <is>
          <t>не сюжет</t>
        </is>
      </c>
      <c r="C2097" s="2" t="n">
        <v>13364</v>
      </c>
      <c r="D2097" s="3" t="inlineStr">
        <is>
          <t>КАЛЕЙДОСКОП-71 (вып.1). ПО ГРИБЫ</t>
        </is>
      </c>
      <c r="E2097" s="2" t="n">
        <v>1971</v>
      </c>
      <c r="F2097" s="2" t="inlineStr">
        <is>
          <t>мультфильм</t>
        </is>
      </c>
      <c r="G2097" s="2" t="inlineStr">
        <is>
          <t>Союзмультфильм</t>
        </is>
      </c>
      <c r="H2097" s="2" t="n">
        <v>94</v>
      </c>
      <c r="I2097" s="2" t="inlineStr"/>
      <c r="J2097" s="2" t="inlineStr">
        <is>
          <t>да</t>
        </is>
      </c>
      <c r="K2097" s="3" t="inlineStr">
        <is>
          <t>Для взрослых. Другие сюжеты: "Лев и два быка" и "Крик моды" (см). Общий метраж выпуска 1 часть</t>
        </is>
      </c>
      <c r="L2097" s="2" t="inlineStr">
        <is>
          <t>https://animator.ru/db/?p=show_film&amp;fid=4642</t>
        </is>
      </c>
      <c r="M2097" s="2">
        <f>HYPERLINK("https://ru.wikipedia.org/w/index.php?search=%D0%9A%D0%90%D0%9B%D0%95%D0%99%D0%94%D0%9E%D0%A1%D0%9A%D0%9E%D0%9F-71%20%28%D0%B2%D1%8B%D0%BF.1%29.%20%D0%9F%D0%9E%20%D0%93%D0%A0%D0%98%D0%91%D0%AB%201971%20%D1%84%D0%B8%D0%BB%D1%8C%D0%BC","искать")</f>
        <v/>
      </c>
      <c r="N2097" s="3" t="n"/>
      <c r="O2097" s="2" t="n"/>
      <c r="P2097" s="2" t="n"/>
    </row>
    <row r="2098">
      <c r="A2098" s="2" t="n">
        <v>2097</v>
      </c>
      <c r="B2098" s="2" t="inlineStr">
        <is>
          <t>не сюжет</t>
        </is>
      </c>
      <c r="C2098" s="2" t="n">
        <v>13621</v>
      </c>
      <c r="D2098" s="3" t="inlineStr">
        <is>
          <t>Альпинизм</t>
        </is>
      </c>
      <c r="E2098" s="2" t="n">
        <v>1981</v>
      </c>
      <c r="F2098" s="2" t="inlineStr">
        <is>
          <t>мультфильм</t>
        </is>
      </c>
      <c r="G2098" s="2" t="inlineStr">
        <is>
          <t>ЭКРАН</t>
        </is>
      </c>
      <c r="H2098" s="2" t="n">
        <v>94</v>
      </c>
      <c r="I2098" s="2" t="inlineStr"/>
      <c r="J2098" s="2" t="inlineStr">
        <is>
          <t>да</t>
        </is>
      </c>
      <c r="K2098" s="3" t="inlineStr">
        <is>
          <t>Здесь можно посмотреть онлайн и скачать мультфильм "Альпинизм" (ЭКРАН, 1981 г.) (Олимпиада-80)</t>
        </is>
      </c>
      <c r="L2098" s="2" t="inlineStr">
        <is>
          <t>2026-10_мультфильмы_список_владельца.xlsx; https://animator.ru/db/?p=show_film&amp;fid=5013</t>
        </is>
      </c>
      <c r="M2098" s="2">
        <f>HYPERLINK("https://ru.wikipedia.org/w/index.php?search=%D0%90%D0%BB%D1%8C%D0%BF%D0%B8%D0%BD%D0%B8%D0%B7%D0%BC%201981%20%D1%84%D0%B8%D0%BB%D1%8C%D0%BC","искать")</f>
        <v/>
      </c>
      <c r="N2098" s="3" t="n"/>
      <c r="O2098" s="2" t="n"/>
      <c r="P2098" s="2" t="n"/>
    </row>
    <row r="2099">
      <c r="A2099" s="2" t="n">
        <v>2098</v>
      </c>
      <c r="B2099" s="2" t="inlineStr">
        <is>
          <t>не сюжет</t>
        </is>
      </c>
      <c r="C2099" s="2" t="n">
        <v>14215</v>
      </c>
      <c r="D2099" s="3" t="inlineStr">
        <is>
          <t>Веселая карусель. Выпуск №2</t>
        </is>
      </c>
      <c r="E2099" s="2" t="n">
        <v>1970</v>
      </c>
      <c r="F2099" s="2" t="inlineStr">
        <is>
          <t>мультфильм</t>
        </is>
      </c>
      <c r="G2099" s="2" t="inlineStr">
        <is>
          <t>Союзмультфильм</t>
        </is>
      </c>
      <c r="H2099" s="2" t="n">
        <v>94</v>
      </c>
      <c r="I2099" s="2" t="inlineStr"/>
      <c r="J2099" s="2" t="inlineStr">
        <is>
          <t>да</t>
        </is>
      </c>
      <c r="K2099" s="3" t="inlineStr">
        <is>
          <t>2-ая серия альманаха «ВЕСЕЛАЯ КАРУСЕЛЬ»
сюжеты: «НЕБЫЛИЦЫ», «ДВА ВЕСЕЛЫХ ГУСЯ», «САМЫЙ ПЕРВЫЙ»</t>
        </is>
      </c>
      <c r="L2099" s="2" t="inlineStr">
        <is>
          <t>https://animator.ru/db/?p=show_film&amp;fid=5625</t>
        </is>
      </c>
      <c r="M2099" s="2">
        <f>HYPERLINK("https://ru.wikipedia.org/w/index.php?search=%D0%92%D0%B5%D1%81%D0%B5%D0%BB%D0%B0%D1%8F%20%D0%BA%D0%B0%D1%80%D1%83%D1%81%D0%B5%D0%BB%D1%8C.%20%D0%92%D1%8B%D0%BF%D1%83%D1%81%D0%BA%20%E2%84%962%201970%20%D1%84%D0%B8%D0%BB%D1%8C%D0%BC","искать")</f>
        <v/>
      </c>
      <c r="N2099" s="3" t="n"/>
      <c r="O2099" s="2" t="n"/>
      <c r="P2099" s="2" t="n"/>
    </row>
    <row r="2100">
      <c r="A2100" s="2" t="n">
        <v>2099</v>
      </c>
      <c r="B2100" s="2" t="inlineStr">
        <is>
          <t>не сюжет</t>
        </is>
      </c>
      <c r="C2100" s="2" t="n">
        <v>14260</v>
      </c>
      <c r="D2100" s="3" t="inlineStr">
        <is>
          <t>Веселая карусель. Выпуск №23</t>
        </is>
      </c>
      <c r="E2100" s="2" t="n">
        <v>1991</v>
      </c>
      <c r="F2100" s="2" t="inlineStr">
        <is>
          <t>мультфильм</t>
        </is>
      </c>
      <c r="G2100" s="2" t="inlineStr">
        <is>
          <t>Союзмультфильм</t>
        </is>
      </c>
      <c r="H2100" s="2" t="n">
        <v>94</v>
      </c>
      <c r="I2100" s="2" t="inlineStr"/>
      <c r="J2100" s="2" t="inlineStr">
        <is>
          <t>да</t>
        </is>
      </c>
      <c r="K2100" s="3" t="inlineStr">
        <is>
          <t>23-я серия альманаха «ВЕСЕЛАЯ КАРУСЕЛЬ»
сюжеты: «ДЖО БИЛЛ», «МИССИС ИНК ИЗ МАНИЛЫ», «СТРЕКОЗА»</t>
        </is>
      </c>
      <c r="L2100" s="2" t="inlineStr">
        <is>
          <t>https://animator.ru/db/?p=show_film&amp;fid=5696</t>
        </is>
      </c>
      <c r="M2100" s="2">
        <f>HYPERLINK("https://ru.wikipedia.org/w/index.php?search=%D0%92%D0%B5%D1%81%D0%B5%D0%BB%D0%B0%D1%8F%20%D0%BA%D0%B0%D1%80%D1%83%D1%81%D0%B5%D0%BB%D1%8C.%20%D0%92%D1%8B%D0%BF%D1%83%D1%81%D0%BA%20%E2%84%9623%201991%20%D1%84%D0%B8%D0%BB%D1%8C%D0%BC","искать")</f>
        <v/>
      </c>
      <c r="N2100" s="3" t="n"/>
      <c r="O2100" s="2" t="n"/>
      <c r="P2100" s="2" t="n"/>
    </row>
    <row r="2101">
      <c r="A2101" s="2" t="n">
        <v>2100</v>
      </c>
      <c r="B2101" s="2" t="inlineStr">
        <is>
          <t>не сюжет</t>
        </is>
      </c>
      <c r="C2101" s="2" t="n">
        <v>10091</v>
      </c>
      <c r="D2101" s="3" t="inlineStr">
        <is>
          <t>Ворота славы</t>
        </is>
      </c>
      <c r="E2101" s="2" t="n">
        <v>1962</v>
      </c>
      <c r="F2101" s="2" t="inlineStr">
        <is>
          <t>фильм-спектакль</t>
        </is>
      </c>
      <c r="G2101" s="2" t="inlineStr">
        <is>
          <t>Центральное телевидение</t>
        </is>
      </c>
      <c r="H2101" s="2" t="n">
        <v>95</v>
      </c>
      <c r="I2101" s="2" t="inlineStr"/>
      <c r="J2101" s="2" t="inlineStr">
        <is>
          <t>да</t>
        </is>
      </c>
      <c r="K2101" s="3" t="inlineStr">
        <is>
          <t>Телеспектакль о жизни и творчестве великого австрийского композитора Вольфганга Амадея Моцарта.</t>
        </is>
      </c>
      <c r="L2101" s="2" t="inlineStr">
        <is>
          <t>https://www.kino-teatr.ru/teatr/movie/131711/annot/</t>
        </is>
      </c>
      <c r="M2101" s="2">
        <f>HYPERLINK("https://ru.wikipedia.org/w/index.php?search=%D0%92%D0%BE%D1%80%D0%BE%D1%82%D0%B0%20%D1%81%D0%BB%D0%B0%D0%B2%D1%8B%201962%20%D1%84%D0%B8%D0%BB%D1%8C%D0%BC","искать")</f>
        <v/>
      </c>
      <c r="N2101" s="3" t="n"/>
      <c r="O2101" s="2" t="n"/>
      <c r="P2101" s="2" t="n"/>
    </row>
    <row r="2102">
      <c r="A2102" s="2" t="n">
        <v>2101</v>
      </c>
      <c r="B2102" s="2" t="inlineStr">
        <is>
          <t>не сюжет</t>
        </is>
      </c>
      <c r="C2102" s="2" t="n">
        <v>10208</v>
      </c>
      <c r="D2102" s="3" t="inlineStr">
        <is>
          <t>Мой безумный брат</t>
        </is>
      </c>
      <c r="E2102" s="2" t="n">
        <v>1967</v>
      </c>
      <c r="F2102" s="2" t="inlineStr">
        <is>
          <t>фильм-спектакль</t>
        </is>
      </c>
      <c r="G2102" s="2" t="inlineStr">
        <is>
          <t>Одесская телестудия</t>
        </is>
      </c>
      <c r="H2102" s="2" t="n">
        <v>95</v>
      </c>
      <c r="I2102" s="2" t="inlineStr"/>
      <c r="J2102" s="2" t="inlineStr">
        <is>
          <t>да</t>
        </is>
      </c>
      <c r="K2102" s="3" t="inlineStr">
        <is>
          <t>По одноименной пьесе Е.Шатуновского.
Телеверсия спектакля Одесского театра музыкальной комедии.</t>
        </is>
      </c>
      <c r="L2102" s="2" t="inlineStr">
        <is>
          <t>https://www.kino-teatr.ru/teatr/movie/92849/annot/</t>
        </is>
      </c>
      <c r="M2102" s="2">
        <f>HYPERLINK("https://ru.wikipedia.org/w/index.php?search=%D0%9C%D0%BE%D0%B9%20%D0%B1%D0%B5%D0%B7%D1%83%D0%BC%D0%BD%D1%8B%D0%B9%20%D0%B1%D1%80%D0%B0%D1%82%201967%20%D1%84%D0%B8%D0%BB%D1%8C%D0%BC","искать")</f>
        <v/>
      </c>
      <c r="N2102" s="3" t="n"/>
      <c r="O2102" s="2" t="n"/>
      <c r="P2102" s="2" t="n"/>
    </row>
    <row r="2103">
      <c r="A2103" s="2" t="n">
        <v>2102</v>
      </c>
      <c r="B2103" s="2" t="inlineStr">
        <is>
          <t>не сюжет</t>
        </is>
      </c>
      <c r="C2103" s="2" t="n">
        <v>10371</v>
      </c>
      <c r="D2103" s="3" t="inlineStr">
        <is>
          <t>Солнце на стене</t>
        </is>
      </c>
      <c r="E2103" s="2" t="n">
        <v>1970</v>
      </c>
      <c r="F2103" s="2" t="inlineStr">
        <is>
          <t>фильм-спектакль</t>
        </is>
      </c>
      <c r="G2103" s="2" t="inlineStr">
        <is>
          <t>Центральное телевидение</t>
        </is>
      </c>
      <c r="H2103" s="2" t="n">
        <v>95</v>
      </c>
      <c r="I2103" s="2" t="inlineStr"/>
      <c r="J2103" s="2" t="inlineStr">
        <is>
          <t>да</t>
        </is>
      </c>
      <c r="K2103" s="3" t="inlineStr">
        <is>
          <t>По одноименному роману В.Козлова.
О жизни и труде молодых рабочих паровозостроительного завода.</t>
        </is>
      </c>
      <c r="L2103" s="2" t="inlineStr">
        <is>
          <t>https://www.kino-teatr.ru/teatr/movie/93059/annot/</t>
        </is>
      </c>
      <c r="M2103" s="2">
        <f>HYPERLINK("https://ru.wikipedia.org/w/index.php?search=%D0%A1%D0%BE%D0%BB%D0%BD%D1%86%D0%B5%20%D0%BD%D0%B0%20%D1%81%D1%82%D0%B5%D0%BD%D0%B5%201970%20%D1%84%D0%B8%D0%BB%D1%8C%D0%BC","искать")</f>
        <v/>
      </c>
      <c r="N2103" s="3" t="n"/>
      <c r="O2103" s="2" t="n"/>
      <c r="P2103" s="2" t="n"/>
    </row>
    <row r="2104">
      <c r="A2104" s="2" t="n">
        <v>2103</v>
      </c>
      <c r="B2104" s="2" t="inlineStr">
        <is>
          <t>не сюжет</t>
        </is>
      </c>
      <c r="C2104" s="2" t="n">
        <v>10460</v>
      </c>
      <c r="D2104" s="3" t="inlineStr">
        <is>
          <t>Платон Кречет</t>
        </is>
      </c>
      <c r="E2104" s="2" t="n">
        <v>1972</v>
      </c>
      <c r="F2104" s="2" t="inlineStr">
        <is>
          <t>фильм-спектакль</t>
        </is>
      </c>
      <c r="G2104" s="2" t="inlineStr">
        <is>
          <t>Укртелефильм</t>
        </is>
      </c>
      <c r="H2104" s="2" t="n">
        <v>95</v>
      </c>
      <c r="I2104" s="2" t="inlineStr"/>
      <c r="J2104" s="2" t="inlineStr">
        <is>
          <t>да</t>
        </is>
      </c>
      <c r="K2104" s="3" t="inlineStr">
        <is>
          <t>По одноименной пьесе А.Корнейчука в постановке Харьковского драматического театра им. Шевченко.</t>
        </is>
      </c>
      <c r="L2104" s="2" t="inlineStr">
        <is>
          <t>https://www.kino-teatr.ru/teatr/movie/93019/annot/</t>
        </is>
      </c>
      <c r="M2104" s="2">
        <f>HYPERLINK("https://ru.wikipedia.org/w/index.php?search=%D0%9F%D0%BB%D0%B0%D1%82%D0%BE%D0%BD%20%D0%9A%D1%80%D0%B5%D1%87%D0%B5%D1%82%201972%20%D1%84%D0%B8%D0%BB%D1%8C%D0%BC","искать")</f>
        <v/>
      </c>
      <c r="N2104" s="3" t="n"/>
      <c r="O2104" s="2" t="n"/>
      <c r="P2104" s="2" t="n"/>
    </row>
    <row r="2105">
      <c r="A2105" s="2" t="n">
        <v>2104</v>
      </c>
      <c r="B2105" s="2" t="inlineStr">
        <is>
          <t>не сюжет</t>
        </is>
      </c>
      <c r="C2105" s="2" t="n">
        <v>10609</v>
      </c>
      <c r="D2105" s="3" t="inlineStr">
        <is>
          <t>Достигаев и другие</t>
        </is>
      </c>
      <c r="E2105" s="2" t="n">
        <v>1975</v>
      </c>
      <c r="F2105" s="2" t="inlineStr">
        <is>
          <t>фильм-спектакль</t>
        </is>
      </c>
      <c r="G2105" s="2" t="inlineStr">
        <is>
          <t>ЦТ</t>
        </is>
      </c>
      <c r="H2105" s="2" t="n">
        <v>95</v>
      </c>
      <c r="I2105" s="2" t="inlineStr"/>
      <c r="J2105" s="2" t="inlineStr">
        <is>
          <t>да</t>
        </is>
      </c>
      <c r="K2105" s="3" t="inlineStr">
        <is>
          <t>По одноименной пьесе М. Горького.
В основе — спектакль Малого театра (постановщик Б. Бабочкин).</t>
        </is>
      </c>
      <c r="L2105" s="2" t="inlineStr">
        <is>
          <t>https://www.kino-teatr.ru/teatr/movie/8547/annot/</t>
        </is>
      </c>
      <c r="M2105" s="2">
        <f>HYPERLINK("https://ru.wikipedia.org/w/index.php?search=%D0%94%D0%BE%D1%81%D1%82%D0%B8%D0%B3%D0%B0%D0%B5%D0%B2%20%D0%B8%20%D0%B4%D1%80%D1%83%D0%B3%D0%B8%D0%B5%201975%20%D1%84%D0%B8%D0%BB%D1%8C%D0%BC","искать")</f>
        <v/>
      </c>
      <c r="N2105" s="3" t="n"/>
      <c r="O2105" s="2" t="n"/>
      <c r="P2105" s="2" t="n"/>
    </row>
    <row r="2106">
      <c r="A2106" s="2" t="n">
        <v>2105</v>
      </c>
      <c r="B2106" s="2" t="inlineStr">
        <is>
          <t>не сюжет</t>
        </is>
      </c>
      <c r="C2106" s="2" t="n">
        <v>11170</v>
      </c>
      <c r="D2106" s="3" t="inlineStr">
        <is>
          <t>Мир дому твоему</t>
        </is>
      </c>
      <c r="E2106" s="2" t="n">
        <v>1987</v>
      </c>
      <c r="F2106" s="2" t="inlineStr">
        <is>
          <t>фильм-спектакль</t>
        </is>
      </c>
      <c r="G2106" s="2" t="inlineStr">
        <is>
          <t>ТО "Экран"</t>
        </is>
      </c>
      <c r="H2106" s="2" t="n">
        <v>95</v>
      </c>
      <c r="I2106" s="2" t="inlineStr"/>
      <c r="J2106" s="2" t="inlineStr">
        <is>
          <t>да</t>
        </is>
      </c>
      <c r="K2106" s="3" t="inlineStr">
        <is>
          <t>Сатирические миниатюры на социальные и морально-этические темы в постановке театра "Сатирикон".</t>
        </is>
      </c>
      <c r="L2106" s="2" t="inlineStr">
        <is>
          <t>https://www.kino-teatr.ru/teatr/movie/81201/annot/</t>
        </is>
      </c>
      <c r="M2106" s="2">
        <f>HYPERLINK("https://ru.wikipedia.org/w/index.php?search=%D0%9C%D0%B8%D1%80%20%D0%B4%D0%BE%D0%BC%D1%83%20%D1%82%D0%B2%D0%BE%D0%B5%D0%BC%D1%83%201987%20%D1%84%D0%B8%D0%BB%D1%8C%D0%BC","искать")</f>
        <v/>
      </c>
      <c r="N2106" s="3" t="n"/>
      <c r="O2106" s="2" t="n"/>
      <c r="P2106" s="2" t="n"/>
    </row>
    <row r="2107">
      <c r="A2107" s="2" t="n">
        <v>2106</v>
      </c>
      <c r="B2107" s="2" t="inlineStr">
        <is>
          <t>не сюжет</t>
        </is>
      </c>
      <c r="C2107" s="2" t="n">
        <v>11768</v>
      </c>
      <c r="D2107" s="3" t="inlineStr">
        <is>
          <t>День чудесный</t>
        </is>
      </c>
      <c r="E2107" s="2" t="n">
        <v>1975</v>
      </c>
      <c r="F2107" s="2" t="inlineStr">
        <is>
          <t>мультфильм</t>
        </is>
      </c>
      <c r="G2107" s="2" t="inlineStr">
        <is>
          <t>Союзмультфильм</t>
        </is>
      </c>
      <c r="H2107" s="2" t="n">
        <v>95</v>
      </c>
      <c r="I2107" s="2" t="inlineStr"/>
      <c r="J2107" s="2" t="inlineStr">
        <is>
          <t>да</t>
        </is>
      </c>
      <c r="K2107" s="3" t="inlineStr">
        <is>
          <t>При участии ГМИИ имени Пушкина. Использованы стихи и рисунки с выставки "Пушкин глазами детей".</t>
        </is>
      </c>
      <c r="L2107" s="2" t="inlineStr">
        <is>
          <t>2026-10_мультфильмы_список_владельца.xlsx; https://animator.ru/db/?p=show_film&amp;fid=2682</t>
        </is>
      </c>
      <c r="M2107" s="2">
        <f>HYPERLINK("https://ru.wikipedia.org/w/index.php?search=%D0%94%D0%B5%D0%BD%D1%8C%20%D1%87%D1%83%D0%B4%D0%B5%D1%81%D0%BD%D1%8B%D0%B9%201975%20%D1%84%D0%B8%D0%BB%D1%8C%D0%BC","искать")</f>
        <v/>
      </c>
      <c r="N2107" s="3" t="n"/>
      <c r="O2107" s="2" t="n"/>
      <c r="P2107" s="2" t="n"/>
    </row>
    <row r="2108">
      <c r="A2108" s="2" t="n">
        <v>2107</v>
      </c>
      <c r="B2108" s="2" t="inlineStr">
        <is>
          <t>не сюжет</t>
        </is>
      </c>
      <c r="C2108" s="2" t="n">
        <v>13619</v>
      </c>
      <c r="D2108" s="3" t="inlineStr">
        <is>
          <t>Акробатика</t>
        </is>
      </c>
      <c r="E2108" s="2" t="n">
        <v>1981</v>
      </c>
      <c r="F2108" s="2" t="inlineStr">
        <is>
          <t>мультфильм</t>
        </is>
      </c>
      <c r="G2108" s="2" t="inlineStr">
        <is>
          <t>ЭКРАН</t>
        </is>
      </c>
      <c r="H2108" s="2" t="n">
        <v>95</v>
      </c>
      <c r="I2108" s="2" t="inlineStr"/>
      <c r="J2108" s="2" t="inlineStr">
        <is>
          <t>да</t>
        </is>
      </c>
      <c r="K2108" s="3" t="inlineStr">
        <is>
          <t>Здесь можно посмотреть онлайн и скачать мультфильм "Акробатика" (ЭКРАН, 1981 г.) (Олимпиада-80)</t>
        </is>
      </c>
      <c r="L2108" s="2" t="inlineStr">
        <is>
          <t>2026-10_мультфильмы_список_владельца.xlsx; https://animator.ru/db/?p=show_film&amp;fid=5011</t>
        </is>
      </c>
      <c r="M2108" s="2">
        <f>HYPERLINK("https://ru.wikipedia.org/w/index.php?search=%D0%90%D0%BA%D1%80%D0%BE%D0%B1%D0%B0%D1%82%D0%B8%D0%BA%D0%B0%201981%20%D1%84%D0%B8%D0%BB%D1%8C%D0%BC","искать")</f>
        <v/>
      </c>
      <c r="N2108" s="3" t="n"/>
      <c r="O2108" s="2" t="n"/>
      <c r="P2108" s="2" t="n"/>
    </row>
    <row r="2109">
      <c r="A2109" s="2" t="n">
        <v>2108</v>
      </c>
      <c r="B2109" s="2" t="inlineStr">
        <is>
          <t>не сюжет</t>
        </is>
      </c>
      <c r="C2109" s="2" t="n">
        <v>7453</v>
      </c>
      <c r="D2109" s="3" t="inlineStr">
        <is>
          <t>Городские косари</t>
        </is>
      </c>
      <c r="E2109" s="2" t="n">
        <v>1985</v>
      </c>
      <c r="F2109" s="2" t="inlineStr">
        <is>
          <t>телефильм</t>
        </is>
      </c>
      <c r="G2109" s="2" t="n"/>
      <c r="H2109" s="2" t="n">
        <v>96</v>
      </c>
      <c r="I2109" s="2" t="inlineStr"/>
      <c r="J2109" s="2" t="inlineStr">
        <is>
          <t>да</t>
        </is>
      </c>
      <c r="K2109" s="3" t="inlineStr">
        <is>
          <t>На перекрёстках взаимоотношений отцов и детей, города и деревни раскрываются имеющиеся проблемы.</t>
        </is>
      </c>
      <c r="L2109" s="2" t="inlineStr">
        <is>
          <t>Кино_СССР сводный каталог.xlsx: список телефильмов</t>
        </is>
      </c>
      <c r="M2109" s="2">
        <f>HYPERLINK("https://ru.wikipedia.org/w/index.php?search=%D0%93%D0%BE%D1%80%D0%BE%D0%B4%D1%81%D0%BA%D0%B8%D0%B5%20%D0%BA%D0%BE%D1%81%D0%B0%D1%80%D0%B8%201985%20%D1%84%D0%B8%D0%BB%D1%8C%D0%BC","искать")</f>
        <v/>
      </c>
      <c r="N2109" s="3" t="n"/>
      <c r="O2109" s="2" t="n"/>
      <c r="P2109" s="2" t="n"/>
    </row>
    <row r="2110">
      <c r="A2110" s="2" t="n">
        <v>2109</v>
      </c>
      <c r="B2110" s="2" t="inlineStr">
        <is>
          <t>не сюжет</t>
        </is>
      </c>
      <c r="C2110" s="2" t="n">
        <v>7817</v>
      </c>
      <c r="D2110" s="3" t="inlineStr">
        <is>
          <t>Лобо</t>
        </is>
      </c>
      <c r="E2110" s="2" t="n">
        <v>1978</v>
      </c>
      <c r="F2110" s="2" t="inlineStr">
        <is>
          <t>телефильм</t>
        </is>
      </c>
      <c r="G2110" s="2" t="n"/>
      <c r="H2110" s="2" t="n">
        <v>96</v>
      </c>
      <c r="I2110" s="2" t="inlineStr"/>
      <c r="J2110" s="2" t="inlineStr">
        <is>
          <t>да</t>
        </is>
      </c>
      <c r="K2110" s="3" t="inlineStr">
        <is>
          <t>По мотивам одноименного рассказа канадского писателя Э.Сетона-Томпсона о волке по кличке "Лобо".</t>
        </is>
      </c>
      <c r="L2110" s="2" t="inlineStr">
        <is>
          <t>Кино_СССР сводный каталог.xlsx: список телефильмов</t>
        </is>
      </c>
      <c r="M2110" s="2">
        <f>HYPERLINK("https://ru.wikipedia.org/w/index.php?search=%D0%9B%D0%BE%D0%B1%D0%BE%201978%20%D1%84%D0%B8%D0%BB%D1%8C%D0%BC","искать")</f>
        <v/>
      </c>
      <c r="N2110" s="3" t="n"/>
      <c r="O2110" s="2" t="n"/>
      <c r="P2110" s="2" t="n"/>
    </row>
    <row r="2111">
      <c r="A2111" s="2" t="n">
        <v>2110</v>
      </c>
      <c r="B2111" s="2" t="inlineStr">
        <is>
          <t>не сюжет</t>
        </is>
      </c>
      <c r="C2111" s="2" t="n">
        <v>8124</v>
      </c>
      <c r="D2111" s="3" t="inlineStr">
        <is>
          <t>По следам Чарвадаров</t>
        </is>
      </c>
      <c r="E2111" s="2" t="n">
        <v>1974</v>
      </c>
      <c r="F2111" s="2" t="inlineStr">
        <is>
          <t>телефильм</t>
        </is>
      </c>
      <c r="G2111" s="2" t="n"/>
      <c r="H2111" s="2" t="n">
        <v>96</v>
      </c>
      <c r="I2111" s="2" t="inlineStr"/>
      <c r="J2111" s="2" t="inlineStr">
        <is>
          <t>да</t>
        </is>
      </c>
      <c r="K2111" s="3" t="inlineStr">
        <is>
          <t>Телефильм по мотивам повести Ильяса Эфендиева "Строители мостов". Повествует о строителях дорог.</t>
        </is>
      </c>
      <c r="L2111" s="2" t="inlineStr">
        <is>
          <t>Кино_СССР сводный каталог.xlsx: список телефильмов</t>
        </is>
      </c>
      <c r="M2111" s="2">
        <f>HYPERLINK("https://ru.wikipedia.org/w/index.php?search=%D0%9F%D0%BE%20%D1%81%D0%BB%D0%B5%D0%B4%D0%B0%D0%BC%20%D0%A7%D0%B0%D1%80%D0%B2%D0%B0%D0%B4%D0%B0%D1%80%D0%BE%D0%B2%201974%20%D1%84%D0%B8%D0%BB%D1%8C%D0%BC","искать")</f>
        <v/>
      </c>
      <c r="N2111" s="3" t="n"/>
      <c r="O2111" s="2" t="n"/>
      <c r="P2111" s="2" t="inlineStr">
        <is>
          <t>Википедия: «По следам Чарвадаров» — по сверке другой фильм, не предложено</t>
        </is>
      </c>
    </row>
    <row r="2112">
      <c r="A2112" s="2" t="n">
        <v>2111</v>
      </c>
      <c r="B2112" s="2" t="inlineStr">
        <is>
          <t>не сюжет</t>
        </is>
      </c>
      <c r="C2112" s="2" t="n">
        <v>8213</v>
      </c>
      <c r="D2112" s="3" t="inlineStr">
        <is>
          <t>Примите вызов, синьоры!</t>
        </is>
      </c>
      <c r="E2112" s="2" t="n">
        <v>1982</v>
      </c>
      <c r="F2112" s="2" t="inlineStr">
        <is>
          <t>телефильм</t>
        </is>
      </c>
      <c r="G2112" s="2" t="inlineStr">
        <is>
          <t>Грузия-фильм</t>
        </is>
      </c>
      <c r="H2112" s="2" t="n">
        <v>96</v>
      </c>
      <c r="I2112" s="2" t="inlineStr"/>
      <c r="J2112" s="2" t="inlineStr">
        <is>
          <t>да</t>
        </is>
      </c>
      <c r="K2112" s="3" t="inlineStr">
        <is>
          <t>მიიღეთ გამოწვევა სენიორებო! Телефильм. по мотивам знаменитой пьесы Карло Гольдони «Трактирщица».</t>
        </is>
      </c>
      <c r="L2112" s="2" t="inlineStr">
        <is>
          <t>Кино_СССР сводный каталог.xlsx: список телефильмов</t>
        </is>
      </c>
      <c r="M2112" s="2">
        <f>HYPERLINK("https://ru.wikipedia.org/w/index.php?search=%D0%9F%D1%80%D0%B8%D0%BC%D0%B8%D1%82%D0%B5%20%D0%B2%D1%8B%D0%B7%D0%BE%D0%B2%2C%20%D1%81%D0%B8%D0%BD%D1%8C%D0%BE%D1%80%D1%8B%21%201982%20%D1%84%D0%B8%D0%BB%D1%8C%D0%BC","искать")</f>
        <v/>
      </c>
      <c r="N2112" s="3" t="n"/>
      <c r="O2112" s="2" t="n"/>
      <c r="P2112" s="2" t="n"/>
    </row>
    <row r="2113">
      <c r="A2113" s="2" t="n">
        <v>2112</v>
      </c>
      <c r="B2113" s="2" t="inlineStr">
        <is>
          <t>не сюжет</t>
        </is>
      </c>
      <c r="C2113" s="2" t="n">
        <v>8641</v>
      </c>
      <c r="D2113" s="3" t="inlineStr">
        <is>
          <t>В западне</t>
        </is>
      </c>
      <c r="E2113" s="2" t="n">
        <v>1967</v>
      </c>
      <c r="F2113" s="2" t="inlineStr">
        <is>
          <t>кинофильм</t>
        </is>
      </c>
      <c r="G2113" s="2" t="n"/>
      <c r="H2113" s="2" t="n">
        <v>96</v>
      </c>
      <c r="I2113" s="2" t="inlineStr"/>
      <c r="J2113" s="2" t="inlineStr">
        <is>
          <t>да</t>
        </is>
      </c>
      <c r="K2113" s="3" t="inlineStr">
        <is>
          <t>О дружбе советского и венгерского народов, об их общей борьбе в годы Великой Отечественной войны</t>
        </is>
      </c>
      <c r="L2113" s="2" t="inlineStr">
        <is>
          <t>Кино_СССР сводный каталог.xlsx: список фильмов (доп.)</t>
        </is>
      </c>
      <c r="M2113" s="2">
        <f>HYPERLINK("https://ru.wikipedia.org/w/index.php?search=%D0%92%20%D0%B7%D0%B0%D0%BF%D0%B0%D0%B4%D0%BD%D0%B5%201967%20%D1%84%D0%B8%D0%BB%D1%8C%D0%BC","искать")</f>
        <v/>
      </c>
      <c r="N2113" s="3" t="n"/>
      <c r="O2113" s="2" t="n"/>
      <c r="P2113" s="2" t="n"/>
    </row>
    <row r="2114">
      <c r="A2114" s="2" t="n">
        <v>2113</v>
      </c>
      <c r="B2114" s="2" t="inlineStr">
        <is>
          <t>не сюжет</t>
        </is>
      </c>
      <c r="C2114" s="2" t="n">
        <v>10110</v>
      </c>
      <c r="D2114" s="3" t="inlineStr">
        <is>
          <t>Левашов</t>
        </is>
      </c>
      <c r="E2114" s="2" t="n">
        <v>1963</v>
      </c>
      <c r="F2114" s="2" t="inlineStr">
        <is>
          <t>фильм-спектакль</t>
        </is>
      </c>
      <c r="G2114" s="2" t="inlineStr">
        <is>
          <t>Главная редакция литературно-драматических программ ЦТ</t>
        </is>
      </c>
      <c r="H2114" s="2" t="n">
        <v>96</v>
      </c>
      <c r="I2114" s="2" t="inlineStr"/>
      <c r="J2114" s="2" t="inlineStr">
        <is>
          <t>да</t>
        </is>
      </c>
      <c r="K2114" s="3" t="inlineStr">
        <is>
          <t>Действие происходит во время Великой Отечественной войны в одной из дивизий, оборонявших Одессу.</t>
        </is>
      </c>
      <c r="L2114" s="2" t="inlineStr">
        <is>
          <t>https://www.kino-teatr.ru/teatr/movie/80172/annot/</t>
        </is>
      </c>
      <c r="M2114" s="2">
        <f>HYPERLINK("https://ru.wikipedia.org/w/index.php?search=%D0%9B%D0%B5%D0%B2%D0%B0%D1%88%D0%BE%D0%B2%201963%20%D1%84%D0%B8%D0%BB%D1%8C%D0%BC","искать")</f>
        <v/>
      </c>
      <c r="N2114" s="3" t="n"/>
      <c r="O2114" s="2" t="n"/>
      <c r="P2114" s="2" t="n"/>
    </row>
    <row r="2115">
      <c r="A2115" s="2" t="n">
        <v>2114</v>
      </c>
      <c r="B2115" s="2" t="inlineStr">
        <is>
          <t>не сюжет</t>
        </is>
      </c>
      <c r="C2115" s="2" t="n">
        <v>10216</v>
      </c>
      <c r="D2115" s="3" t="inlineStr">
        <is>
          <t>Самая высокая...</t>
        </is>
      </c>
      <c r="E2115" s="2" t="n">
        <v>1967</v>
      </c>
      <c r="F2115" s="2" t="inlineStr">
        <is>
          <t>фильм-спектакль</t>
        </is>
      </c>
      <c r="G2115" s="2" t="inlineStr">
        <is>
          <t>Центральное телевидение СССР</t>
        </is>
      </c>
      <c r="H2115" s="2" t="n">
        <v>96</v>
      </c>
      <c r="I2115" s="2" t="inlineStr"/>
      <c r="J2115" s="2" t="inlineStr">
        <is>
          <t>да</t>
        </is>
      </c>
      <c r="K2115" s="3" t="inlineStr">
        <is>
          <t>Праздничный новогодний Голубой огонек 1967 года с участием звезд советской и зарубежной эстрады.</t>
        </is>
      </c>
      <c r="L2115" s="2" t="inlineStr">
        <is>
          <t>https://www.kino-teatr.ru/teatr/movie/103841/annot/</t>
        </is>
      </c>
      <c r="M2115" s="2">
        <f>HYPERLINK("https://ru.wikipedia.org/w/index.php?search=%D0%A1%D0%B0%D0%BC%D0%B0%D1%8F%20%D0%B2%D1%8B%D1%81%D0%BE%D0%BA%D0%B0%D1%8F...%201967%20%D1%84%D0%B8%D0%BB%D1%8C%D0%BC","искать")</f>
        <v/>
      </c>
      <c r="N2115" s="3" t="n"/>
      <c r="O2115" s="2" t="n"/>
      <c r="P2115" s="2" t="n"/>
    </row>
    <row r="2116">
      <c r="A2116" s="2" t="n">
        <v>2115</v>
      </c>
      <c r="B2116" s="2" t="inlineStr">
        <is>
          <t>не сюжет</t>
        </is>
      </c>
      <c r="C2116" s="2" t="n">
        <v>11032</v>
      </c>
      <c r="D2116" s="3" t="inlineStr">
        <is>
          <t>Оловянные солдатики</t>
        </is>
      </c>
      <c r="E2116" s="2" t="n">
        <v>1984</v>
      </c>
      <c r="F2116" s="2" t="inlineStr">
        <is>
          <t>фильм-спектакль</t>
        </is>
      </c>
      <c r="G2116" s="2" t="n"/>
      <c r="H2116" s="2" t="n">
        <v>96</v>
      </c>
      <c r="I2116" s="2" t="inlineStr"/>
      <c r="J2116" s="2" t="inlineStr">
        <is>
          <t>да</t>
        </is>
      </c>
      <c r="K2116" s="3" t="inlineStr">
        <is>
          <t>Телеспектакль по одноименному роману английского писателя и драматурга Майкла Фрейна (род.1933).</t>
        </is>
      </c>
      <c r="L2116" s="2" t="inlineStr">
        <is>
          <t>https://www.kino-teatr.ru/teatr/movie/101655/annot/</t>
        </is>
      </c>
      <c r="M2116" s="2">
        <f>HYPERLINK("https://ru.wikipedia.org/w/index.php?search=%D0%9E%D0%BB%D0%BE%D0%B2%D1%8F%D0%BD%D0%BD%D1%8B%D0%B5%20%D1%81%D0%BE%D0%BB%D0%B4%D0%B0%D1%82%D0%B8%D0%BA%D0%B8%201984%20%D1%84%D0%B8%D0%BB%D1%8C%D0%BC","искать")</f>
        <v/>
      </c>
      <c r="N2116" s="3" t="n"/>
      <c r="O2116" s="2" t="n"/>
      <c r="P2116" s="2" t="n"/>
    </row>
    <row r="2117">
      <c r="A2117" s="2" t="n">
        <v>2116</v>
      </c>
      <c r="B2117" s="2" t="inlineStr">
        <is>
          <t>не сюжет</t>
        </is>
      </c>
      <c r="C2117" s="2" t="n">
        <v>12264</v>
      </c>
      <c r="D2117" s="3" t="inlineStr">
        <is>
          <t>В поисках Олуэн</t>
        </is>
      </c>
      <c r="E2117" s="2" t="n">
        <v>1990</v>
      </c>
      <c r="F2117" s="2" t="inlineStr">
        <is>
          <t>мультфильм</t>
        </is>
      </c>
      <c r="G2117" s="2" t="inlineStr">
        <is>
          <t>Союзмультфильм, СОВИНТЕРФЕСТ, МЕТТА ПРОДАКШНС ЛТД, HTV, S4C BBC (Уэльс)</t>
        </is>
      </c>
      <c r="H2117" s="2" t="n">
        <v>96</v>
      </c>
      <c r="I2117" s="2" t="inlineStr"/>
      <c r="J2117" s="2" t="inlineStr">
        <is>
          <t>да</t>
        </is>
      </c>
      <c r="K2117" s="3" t="inlineStr">
        <is>
          <t>По мотивам сказки из собрания кельтского фольклора "Мабиногион"
Исполнитель музыки Игорь Назарук</t>
        </is>
      </c>
      <c r="L2117" s="2" t="inlineStr">
        <is>
          <t>https://animator.ru/db/?p=show_film&amp;fid=3381</t>
        </is>
      </c>
      <c r="M2117" s="2">
        <f>HYPERLINK("https://ru.wikipedia.org/w/index.php?search=%D0%92%20%D0%BF%D0%BE%D0%B8%D1%81%D0%BA%D0%B0%D1%85%20%D0%9E%D0%BB%D1%83%D1%8D%D0%BD%201990%20%D1%84%D0%B8%D0%BB%D1%8C%D0%BC","искать")</f>
        <v/>
      </c>
      <c r="N2117" s="3" t="n"/>
      <c r="O2117" s="2" t="n"/>
      <c r="P2117" s="2" t="n"/>
    </row>
    <row r="2118">
      <c r="A2118" s="2" t="n">
        <v>2117</v>
      </c>
      <c r="B2118" s="2" t="inlineStr">
        <is>
          <t>не сюжет</t>
        </is>
      </c>
      <c r="C2118" s="2" t="n">
        <v>13057</v>
      </c>
      <c r="D2118" s="3" t="inlineStr">
        <is>
          <t>Даже коню смешно</t>
        </is>
      </c>
      <c r="E2118" s="2" t="n">
        <v>1980</v>
      </c>
      <c r="F2118" s="2" t="inlineStr">
        <is>
          <t>мультфильм</t>
        </is>
      </c>
      <c r="G2118" s="2" t="inlineStr">
        <is>
          <t>РИЖСКАЯ КИНОСТУДИЯ</t>
        </is>
      </c>
      <c r="H2118" s="2" t="n">
        <v>96</v>
      </c>
      <c r="I2118" s="2" t="inlineStr"/>
      <c r="J2118" s="2" t="inlineStr">
        <is>
          <t>да</t>
        </is>
      </c>
      <c r="K2118" s="3" t="inlineStr">
        <is>
          <t>Музыкальный фильм на основе народных анекдотов о глупых и жадных богачах. XIV ВКФ, 1981 - Диплом</t>
        </is>
      </c>
      <c r="L2118" s="2" t="inlineStr">
        <is>
          <t>https://animator.ru/db/?p=show_film&amp;fid=4289</t>
        </is>
      </c>
      <c r="M2118" s="2">
        <f>HYPERLINK("https://ru.wikipedia.org/w/index.php?search=%D0%94%D0%B0%D0%B6%D0%B5%20%D0%BA%D0%BE%D0%BD%D1%8E%20%D1%81%D0%BC%D0%B5%D1%88%D0%BD%D0%BE%201980%20%D1%84%D0%B8%D0%BB%D1%8C%D0%BC","искать")</f>
        <v/>
      </c>
      <c r="N2118" s="3" t="n"/>
      <c r="O2118" s="2" t="n"/>
      <c r="P2118" s="2" t="n"/>
    </row>
    <row r="2119">
      <c r="A2119" s="2" t="n">
        <v>2118</v>
      </c>
      <c r="B2119" s="2" t="inlineStr">
        <is>
          <t>не сюжет</t>
        </is>
      </c>
      <c r="C2119" s="2" t="n">
        <v>13453</v>
      </c>
      <c r="D2119" s="3" t="inlineStr">
        <is>
          <t>Баллада о формалисте</t>
        </is>
      </c>
      <c r="E2119" s="2" t="n">
        <v>1983</v>
      </c>
      <c r="F2119" s="2" t="inlineStr">
        <is>
          <t>мультфильм</t>
        </is>
      </c>
      <c r="G2119" s="2" t="inlineStr">
        <is>
          <t>ЭКРАН</t>
        </is>
      </c>
      <c r="H2119" s="2" t="n">
        <v>96</v>
      </c>
      <c r="I2119" s="2" t="inlineStr"/>
      <c r="J2119" s="2" t="inlineStr">
        <is>
          <t>да</t>
        </is>
      </c>
      <c r="K2119" s="3" t="inlineStr">
        <is>
          <t>В фильме использована музыка Д.Шостаковича.
Критика формализма в работе чиновников. Для взрослых</t>
        </is>
      </c>
      <c r="L2119" s="2" t="inlineStr">
        <is>
          <t>https://animator.ru/db/?p=show_film&amp;fid=4734</t>
        </is>
      </c>
      <c r="M2119" s="2">
        <f>HYPERLINK("https://ru.wikipedia.org/w/index.php?search=%D0%91%D0%B0%D0%BB%D0%BB%D0%B0%D0%B4%D0%B0%20%D0%BE%20%D1%84%D0%BE%D1%80%D0%BC%D0%B0%D0%BB%D0%B8%D1%81%D1%82%D0%B5%201983%20%D1%84%D0%B8%D0%BB%D1%8C%D0%BC","искать")</f>
        <v/>
      </c>
      <c r="N2119" s="3" t="n"/>
      <c r="O2119" s="2" t="n"/>
      <c r="P2119" s="2" t="n"/>
    </row>
    <row r="2120">
      <c r="A2120" s="2" t="n">
        <v>2119</v>
      </c>
      <c r="B2120" s="2" t="inlineStr">
        <is>
          <t>не сюжет</t>
        </is>
      </c>
      <c r="C2120" s="2" t="n">
        <v>13604</v>
      </c>
      <c r="D2120" s="3" t="inlineStr">
        <is>
          <t>Меткий выстрел</t>
        </is>
      </c>
      <c r="E2120" s="2" t="n">
        <v>1973</v>
      </c>
      <c r="F2120" s="2" t="inlineStr">
        <is>
          <t>мультфильм</t>
        </is>
      </c>
      <c r="G2120" s="2" t="inlineStr">
        <is>
          <t>ЭКРАН</t>
        </is>
      </c>
      <c r="H2120" s="2" t="n">
        <v>96</v>
      </c>
      <c r="I2120" s="2" t="inlineStr"/>
      <c r="J2120" s="2" t="inlineStr">
        <is>
          <t>да</t>
        </is>
      </c>
      <c r="K2120" s="3" t="inlineStr">
        <is>
          <t>Здесь можно посмотреть онлайн и скачать мультфильм "Меткий выстрел" (Экран, 1973 г.) (Мюнхаузен)</t>
        </is>
      </c>
      <c r="L2120" s="2" t="inlineStr">
        <is>
          <t>2026-10_мультфильмы_список_владельца.xlsx; https://animator.ru/db/?p=show_film&amp;fid=4954</t>
        </is>
      </c>
      <c r="M2120" s="2">
        <f>HYPERLINK("https://ru.wikipedia.org/w/index.php?search=%D0%9C%D0%B5%D1%82%D0%BA%D0%B8%D0%B9%20%D0%B2%D1%8B%D1%81%D1%82%D1%80%D0%B5%D0%BB%201973%20%D1%84%D0%B8%D0%BB%D1%8C%D0%BC","искать")</f>
        <v/>
      </c>
      <c r="N2120" s="3" t="n"/>
      <c r="O2120" s="2" t="n"/>
      <c r="P2120" s="2" t="n"/>
    </row>
    <row r="2121">
      <c r="A2121" s="2" t="n">
        <v>2120</v>
      </c>
      <c r="B2121" s="2" t="inlineStr">
        <is>
          <t>не сюжет</t>
        </is>
      </c>
      <c r="C2121" s="2" t="n">
        <v>13783</v>
      </c>
      <c r="D2121" s="3" t="inlineStr">
        <is>
          <t>Не заглушить, не вытоптать года...</t>
        </is>
      </c>
      <c r="E2121" s="2" t="n">
        <v>1981</v>
      </c>
      <c r="F2121" s="2" t="inlineStr">
        <is>
          <t>мультфильм</t>
        </is>
      </c>
      <c r="G2121" s="2" t="inlineStr">
        <is>
          <t>ЭКРАН</t>
        </is>
      </c>
      <c r="H2121" s="2" t="n">
        <v>96</v>
      </c>
      <c r="I2121" s="2" t="inlineStr"/>
      <c r="J2121" s="2" t="inlineStr">
        <is>
          <t>да</t>
        </is>
      </c>
      <c r="K2121" s="3" t="inlineStr">
        <is>
          <t>По моттивам ранней поэзии Николая Тихонова. Фильм посвящен памяти павших за Родину. Для взрослых</t>
        </is>
      </c>
      <c r="L2121" s="2" t="inlineStr">
        <is>
          <t>https://animator.ru/db/?p=show_film&amp;fid=5176</t>
        </is>
      </c>
      <c r="M2121" s="2">
        <f>HYPERLINK("https://ru.wikipedia.org/w/index.php?search=%D0%9D%D0%B5%20%D0%B7%D0%B0%D0%B3%D0%BB%D1%83%D1%88%D0%B8%D1%82%D1%8C%2C%20%D0%BD%D0%B5%20%D0%B2%D1%8B%D1%82%D0%BE%D0%BF%D1%82%D0%B0%D1%82%D1%8C%20%D0%B3%D0%BE%D0%B4%D0%B0...%201981%20%D1%84%D0%B8%D0%BB%D1%8C%D0%BC","искать")</f>
        <v/>
      </c>
      <c r="N2121" s="3" t="n"/>
      <c r="O2121" s="2" t="n"/>
      <c r="P2121" s="2" t="n"/>
    </row>
    <row r="2122">
      <c r="A2122" s="2" t="n">
        <v>2121</v>
      </c>
      <c r="B2122" s="2" t="inlineStr">
        <is>
          <t>не сюжет</t>
        </is>
      </c>
      <c r="C2122" s="2" t="n">
        <v>14039</v>
      </c>
      <c r="D2122" s="3" t="inlineStr">
        <is>
          <t>Небесный дар</t>
        </is>
      </c>
      <c r="E2122" s="2" t="n">
        <v>1989</v>
      </c>
      <c r="F2122" s="2" t="inlineStr">
        <is>
          <t>мультфильм</t>
        </is>
      </c>
      <c r="G2122" s="2" t="inlineStr">
        <is>
          <t>КАЗАХФИЛЬМ</t>
        </is>
      </c>
      <c r="H2122" s="2" t="n">
        <v>96</v>
      </c>
      <c r="I2122" s="2" t="inlineStr"/>
      <c r="J2122" s="2" t="inlineStr">
        <is>
          <t>да</t>
        </is>
      </c>
      <c r="K2122" s="3" t="inlineStr">
        <is>
          <t>По мотивам алтайского фольлора, О том, что жизнь человека - бесценный дар, который нужно беречь.</t>
        </is>
      </c>
      <c r="L2122" s="2" t="inlineStr">
        <is>
          <t>2026-10_мультфильмы_список_владельца.xlsx; https://animator.ru/db/?p=show_film&amp;fid=5435</t>
        </is>
      </c>
      <c r="M2122" s="2">
        <f>HYPERLINK("https://ru.wikipedia.org/w/index.php?search=%D0%9D%D0%B5%D0%B1%D0%B5%D1%81%D0%BD%D1%8B%D0%B9%20%D0%B4%D0%B0%D1%80%201989%20%D1%84%D0%B8%D0%BB%D1%8C%D0%BC","искать")</f>
        <v/>
      </c>
      <c r="N2122" s="3" t="n"/>
      <c r="O2122" s="2" t="n"/>
      <c r="P2122" s="2" t="n"/>
    </row>
    <row r="2123">
      <c r="A2123" s="2" t="n">
        <v>2122</v>
      </c>
      <c r="B2123" s="2" t="inlineStr">
        <is>
          <t>не сюжет</t>
        </is>
      </c>
      <c r="C2123" s="2" t="n">
        <v>7373</v>
      </c>
      <c r="D2123" s="3" t="inlineStr">
        <is>
          <t>Восемнадцатилетние</t>
        </is>
      </c>
      <c r="E2123" s="2" t="n">
        <v>1987</v>
      </c>
      <c r="F2123" s="2" t="inlineStr">
        <is>
          <t>телефильм</t>
        </is>
      </c>
      <c r="G2123" s="2" t="inlineStr">
        <is>
          <t>Укртелефильм</t>
        </is>
      </c>
      <c r="H2123" s="2" t="n">
        <v>97</v>
      </c>
      <c r="I2123" s="2" t="inlineStr"/>
      <c r="J2123" s="2" t="inlineStr">
        <is>
          <t>да</t>
        </is>
      </c>
      <c r="K2123" s="3" t="inlineStr">
        <is>
          <t>По одноименному роману Юрия Смолича о борьбе молодых за установление Советской власти на Украине.</t>
        </is>
      </c>
      <c r="L2123" s="2" t="inlineStr">
        <is>
          <t>Кино_СССР сводный каталог.xlsx: список телефильмов</t>
        </is>
      </c>
      <c r="M2123" s="2">
        <f>HYPERLINK("https://ru.wikipedia.org/w/index.php?search=%D0%92%D0%BE%D1%81%D0%B5%D0%BC%D0%BD%D0%B0%D0%B4%D1%86%D0%B0%D1%82%D0%B8%D0%BB%D0%B5%D1%82%D0%BD%D0%B8%D0%B5%201987%20%D1%84%D0%B8%D0%BB%D1%8C%D0%BC","искать")</f>
        <v/>
      </c>
      <c r="N2123" s="3" t="n"/>
      <c r="O2123" s="2" t="n"/>
      <c r="P2123" s="2" t="n"/>
    </row>
    <row r="2124">
      <c r="A2124" s="2" t="n">
        <v>2123</v>
      </c>
      <c r="B2124" s="2" t="inlineStr">
        <is>
          <t>не сюжет</t>
        </is>
      </c>
      <c r="C2124" s="2" t="n">
        <v>10519</v>
      </c>
      <c r="D2124" s="3" t="inlineStr">
        <is>
          <t>Сказка о рыбаке и рыбке</t>
        </is>
      </c>
      <c r="E2124" s="2" t="n">
        <v>1973</v>
      </c>
      <c r="F2124" s="2" t="inlineStr">
        <is>
          <t>фильм-спектакль</t>
        </is>
      </c>
      <c r="G2124" s="2" t="inlineStr">
        <is>
          <t>Центральное телевидение, Подборки фильмов, экранизации Пушкина</t>
        </is>
      </c>
      <c r="H2124" s="2" t="n">
        <v>97</v>
      </c>
      <c r="I2124" s="2" t="inlineStr"/>
      <c r="J2124" s="2" t="inlineStr">
        <is>
          <t>да</t>
        </is>
      </c>
      <c r="K2124" s="3" t="inlineStr">
        <is>
          <t>Сказку А.С. Пушкина "Сказка о рыбаке и рыбке" читает народная артистка СССР Валентина Сперантова.</t>
        </is>
      </c>
      <c r="L2124" s="2" t="inlineStr">
        <is>
          <t>https://www.kino-teatr.ru/teatr/movie/113553/annot/</t>
        </is>
      </c>
      <c r="M2124" s="2">
        <f>HYPERLINK("https://ru.wikipedia.org/w/index.php?search=%D0%A1%D0%BA%D0%B0%D0%B7%D0%BA%D0%B0%20%D0%BE%20%D1%80%D1%8B%D0%B1%D0%B0%D0%BA%D0%B5%20%D0%B8%20%D1%80%D1%8B%D0%B1%D0%BA%D0%B5%201973%20%D1%84%D0%B8%D0%BB%D1%8C%D0%BC","искать")</f>
        <v/>
      </c>
      <c r="N2124" s="3" t="n"/>
      <c r="O2124" s="2" t="n"/>
      <c r="P2124" s="2" t="n"/>
    </row>
    <row r="2125">
      <c r="A2125" s="2" t="n">
        <v>2124</v>
      </c>
      <c r="B2125" s="2" t="inlineStr">
        <is>
          <t>не сюжет</t>
        </is>
      </c>
      <c r="C2125" s="2" t="n">
        <v>13864</v>
      </c>
      <c r="D2125" s="3" t="inlineStr">
        <is>
          <t>Олимпиада-80. Прыжки с трамплина</t>
        </is>
      </c>
      <c r="E2125" s="2" t="n">
        <v>1981</v>
      </c>
      <c r="F2125" s="2" t="inlineStr">
        <is>
          <t>мультфильм</t>
        </is>
      </c>
      <c r="G2125" s="2" t="inlineStr">
        <is>
          <t>ЭКРАН</t>
        </is>
      </c>
      <c r="H2125" s="2" t="n">
        <v>97</v>
      </c>
      <c r="I2125" s="2" t="inlineStr"/>
      <c r="J2125" s="2" t="inlineStr">
        <is>
          <t>да</t>
        </is>
      </c>
      <c r="K2125" s="3" t="inlineStr">
        <is>
          <t>Из серии микрофильмов о видах спорта к Олимпиаде80. Использована музка И.Дунаевского и Г.Гараняна</t>
        </is>
      </c>
      <c r="L2125" s="2" t="inlineStr">
        <is>
          <t>https://animator.ru/db/?p=show_film&amp;fid=5257</t>
        </is>
      </c>
      <c r="M2125" s="2">
        <f>HYPERLINK("https://ru.wikipedia.org/w/index.php?search=%D0%9E%D0%BB%D0%B8%D0%BC%D0%BF%D0%B8%D0%B0%D0%B4%D0%B0-80.%20%D0%9F%D1%80%D1%8B%D0%B6%D0%BA%D0%B8%20%D1%81%20%D1%82%D1%80%D0%B0%D0%BC%D0%BF%D0%BB%D0%B8%D0%BD%D0%B0%201981%20%D1%84%D0%B8%D0%BB%D1%8C%D0%BC","искать")</f>
        <v/>
      </c>
      <c r="N2125" s="3" t="n"/>
      <c r="O2125" s="2" t="n"/>
      <c r="P2125" s="2" t="n"/>
    </row>
    <row r="2126">
      <c r="A2126" s="2" t="n">
        <v>2125</v>
      </c>
      <c r="B2126" s="2" t="inlineStr">
        <is>
          <t>не сюжет</t>
        </is>
      </c>
      <c r="C2126" s="2" t="n">
        <v>13975</v>
      </c>
      <c r="D2126" s="3" t="inlineStr">
        <is>
          <t>В тишине</t>
        </is>
      </c>
      <c r="E2126" s="2" t="n">
        <v>1989</v>
      </c>
      <c r="F2126" s="2" t="inlineStr">
        <is>
          <t>мультфильм</t>
        </is>
      </c>
      <c r="G2126" s="2" t="inlineStr">
        <is>
          <t>ЭКРАН</t>
        </is>
      </c>
      <c r="H2126" s="2" t="n">
        <v>97</v>
      </c>
      <c r="I2126" s="2" t="inlineStr"/>
      <c r="J2126" s="2" t="inlineStr">
        <is>
          <t>да</t>
        </is>
      </c>
      <c r="K2126" s="3" t="inlineStr">
        <is>
          <t>По мотивам рассказа Х.Кортасара "Заколоченная дверь" о страданиях бездетной женщины. Для взрослых</t>
        </is>
      </c>
      <c r="L2126" s="2" t="inlineStr">
        <is>
          <t>https://animator.ru/db/?p=show_film&amp;fid=5369</t>
        </is>
      </c>
      <c r="M2126" s="2">
        <f>HYPERLINK("https://ru.wikipedia.org/w/index.php?search=%D0%92%20%D1%82%D0%B8%D1%88%D0%B8%D0%BD%D0%B5%201989%20%D1%84%D0%B8%D0%BB%D1%8C%D0%BC","искать")</f>
        <v/>
      </c>
      <c r="N2126" s="3" t="n"/>
      <c r="O2126" s="2" t="n"/>
      <c r="P2126" s="2" t="n"/>
    </row>
    <row r="2127">
      <c r="A2127" s="2" t="n">
        <v>2126</v>
      </c>
      <c r="B2127" s="2" t="inlineStr">
        <is>
          <t>не сюжет</t>
        </is>
      </c>
      <c r="C2127" s="2" t="n">
        <v>14253</v>
      </c>
      <c r="D2127" s="3" t="inlineStr">
        <is>
          <t>Веселая карусель. Выпуск №14</t>
        </is>
      </c>
      <c r="E2127" s="2" t="n">
        <v>1983</v>
      </c>
      <c r="F2127" s="2" t="inlineStr">
        <is>
          <t>мультфильм</t>
        </is>
      </c>
      <c r="G2127" s="2" t="inlineStr">
        <is>
          <t>Союзмультфильм</t>
        </is>
      </c>
      <c r="H2127" s="2" t="n">
        <v>97</v>
      </c>
      <c r="I2127" s="2" t="inlineStr"/>
      <c r="J2127" s="2" t="inlineStr">
        <is>
          <t>да</t>
        </is>
      </c>
      <c r="K2127" s="3" t="inlineStr">
        <is>
          <t>14-ая серия альманаха «ВЕСЕЛАЯ КАРУСЕЛЬ»
сюжеты: «ГДЕ ОБЕДАЛ ВОРОБЕЙ?», «ЛЯГУШОНОК», «И Я БЫ МОГ»</t>
        </is>
      </c>
      <c r="L2127" s="2" t="inlineStr">
        <is>
          <t>https://animator.ru/db/?p=show_film&amp;fid=5689</t>
        </is>
      </c>
      <c r="M2127" s="2">
        <f>HYPERLINK("https://ru.wikipedia.org/w/index.php?search=%D0%92%D0%B5%D1%81%D0%B5%D0%BB%D0%B0%D1%8F%20%D0%BA%D0%B0%D1%80%D1%83%D1%81%D0%B5%D0%BB%D1%8C.%20%D0%92%D1%8B%D0%BF%D1%83%D1%81%D0%BA%20%E2%84%9614%201983%20%D1%84%D0%B8%D0%BB%D1%8C%D0%BC","искать")</f>
        <v/>
      </c>
      <c r="N2127" s="3" t="n"/>
      <c r="O2127" s="2" t="n"/>
      <c r="P2127" s="2" t="n"/>
    </row>
    <row r="2128">
      <c r="A2128" s="2" t="n">
        <v>2127</v>
      </c>
      <c r="B2128" s="2" t="inlineStr">
        <is>
          <t>не сюжет</t>
        </is>
      </c>
      <c r="C2128" s="2" t="n">
        <v>7351</v>
      </c>
      <c r="D2128" s="3" t="inlineStr">
        <is>
          <t>Вода Пабяржиса</t>
        </is>
      </c>
      <c r="E2128" s="2" t="n">
        <v>1982</v>
      </c>
      <c r="F2128" s="2" t="inlineStr">
        <is>
          <t>телефильм</t>
        </is>
      </c>
      <c r="G2128" s="2" t="n"/>
      <c r="H2128" s="2" t="n">
        <v>98</v>
      </c>
      <c r="I2128" s="2" t="inlineStr"/>
      <c r="J2128" s="2" t="inlineStr">
        <is>
          <t>да</t>
        </is>
      </c>
      <c r="K2128" s="3" t="inlineStr">
        <is>
          <t>Военная драма по мотивам новелл Юстинаса Марцинкявичюса "Память не знает срока давности" и "Вода".</t>
        </is>
      </c>
      <c r="L2128" s="2" t="inlineStr">
        <is>
          <t>Кино_СССР сводный каталог.xlsx: список телефильмов</t>
        </is>
      </c>
      <c r="M2128" s="2">
        <f>HYPERLINK("https://ru.wikipedia.org/w/index.php?search=%D0%92%D0%BE%D0%B4%D0%B0%20%D0%9F%D0%B0%D0%B1%D1%8F%D1%80%D0%B6%D0%B8%D1%81%D0%B0%201982%20%D1%84%D0%B8%D0%BB%D1%8C%D0%BC","искать")</f>
        <v/>
      </c>
      <c r="N2128" s="3" t="n"/>
      <c r="O2128" s="2" t="n"/>
      <c r="P2128" s="2" t="n"/>
    </row>
    <row r="2129">
      <c r="A2129" s="2" t="n">
        <v>2128</v>
      </c>
      <c r="B2129" s="2" t="inlineStr">
        <is>
          <t>не сюжет</t>
        </is>
      </c>
      <c r="C2129" s="2" t="n">
        <v>7597</v>
      </c>
      <c r="D2129" s="3" t="inlineStr">
        <is>
          <t>Жизнь Бетховена</t>
        </is>
      </c>
      <c r="E2129" s="2" t="n">
        <v>1978</v>
      </c>
      <c r="F2129" s="2" t="inlineStr">
        <is>
          <t>телефильм</t>
        </is>
      </c>
      <c r="G2129" s="2" t="n"/>
      <c r="H2129" s="2" t="n">
        <v>98</v>
      </c>
      <c r="I2129" s="2" t="inlineStr"/>
      <c r="J2129" s="2" t="inlineStr">
        <is>
          <t>да</t>
        </is>
      </c>
      <c r="K2129" s="3" t="inlineStr">
        <is>
          <t>Воспоминания самых близких людей о жизни и творчестве немецкого композитора Людвига ван Бетховена.</t>
        </is>
      </c>
      <c r="L2129" s="2" t="inlineStr">
        <is>
          <t>https://ru.wikipedia.org/w/index.php?title=%D0%96%D0%B8%D0%B7%D0%BD%D1%8C_%D0%91%D0%B5%D1%82%D1%85%D0%BE%D0%B2%D0%B5%D0%BD%D0%B0&amp;oldid=154695686</t>
        </is>
      </c>
      <c r="M2129" s="2">
        <f>HYPERLINK("https://ru.wikipedia.org/w/index.php?search=%D0%96%D0%B8%D0%B7%D0%BD%D1%8C%20%D0%91%D0%B5%D1%82%D1%85%D0%BE%D0%B2%D0%B5%D0%BD%D0%B0%201978%20%D1%84%D0%B8%D0%BB%D1%8C%D0%BC","искать")</f>
        <v/>
      </c>
      <c r="N2129" s="3" t="n"/>
      <c r="O2129" s="2" t="n"/>
      <c r="P2129" s="2" t="n"/>
    </row>
    <row r="2130">
      <c r="A2130" s="2" t="n">
        <v>2129</v>
      </c>
      <c r="B2130" s="2" t="inlineStr">
        <is>
          <t>не сюжет</t>
        </is>
      </c>
      <c r="C2130" s="2" t="n">
        <v>10258</v>
      </c>
      <c r="D2130" s="3" t="inlineStr">
        <is>
          <t>На полустанке</t>
        </is>
      </c>
      <c r="E2130" s="2" t="n">
        <v>1968</v>
      </c>
      <c r="F2130" s="2" t="inlineStr">
        <is>
          <t>фильм-спектакль</t>
        </is>
      </c>
      <c r="G2130" s="2" t="inlineStr">
        <is>
          <t>Гл. ред. лит.-драм. программ</t>
        </is>
      </c>
      <c r="H2130" s="2" t="n">
        <v>98</v>
      </c>
      <c r="I2130" s="2" t="inlineStr"/>
      <c r="J2130" s="2" t="inlineStr">
        <is>
          <t>да</t>
        </is>
      </c>
      <c r="K2130" s="3" t="inlineStr">
        <is>
          <t>По одноименной повести А.Ульянинского.
Действие телеспектакля происходит в годы гражданской войны.</t>
        </is>
      </c>
      <c r="L2130" s="2" t="inlineStr">
        <is>
          <t>https://www.kino-teatr.ru/teatr/movie/93050/annot/</t>
        </is>
      </c>
      <c r="M2130" s="2">
        <f>HYPERLINK("https://ru.wikipedia.org/w/index.php?search=%D0%9D%D0%B0%20%D0%BF%D0%BE%D0%BB%D1%83%D1%81%D1%82%D0%B0%D0%BD%D0%BA%D0%B5%201968%20%D1%84%D0%B8%D0%BB%D1%8C%D0%BC","искать")</f>
        <v/>
      </c>
      <c r="N2130" s="3" t="n"/>
      <c r="O2130" s="2" t="n"/>
      <c r="P2130" s="2" t="n"/>
    </row>
    <row r="2131">
      <c r="A2131" s="2" t="n">
        <v>2130</v>
      </c>
      <c r="B2131" s="2" t="inlineStr">
        <is>
          <t>не сюжет</t>
        </is>
      </c>
      <c r="C2131" s="2" t="n">
        <v>11053</v>
      </c>
      <c r="D2131" s="3" t="inlineStr">
        <is>
          <t>Будьте как солнце</t>
        </is>
      </c>
      <c r="E2131" s="2" t="n">
        <v>1985</v>
      </c>
      <c r="F2131" s="2" t="inlineStr">
        <is>
          <t>фильм-спектакль</t>
        </is>
      </c>
      <c r="G2131" s="2" t="inlineStr">
        <is>
          <t>Литовская телестудия</t>
        </is>
      </c>
      <c r="H2131" s="2" t="n">
        <v>98</v>
      </c>
      <c r="I2131" s="2" t="inlineStr"/>
      <c r="J2131" s="2" t="inlineStr">
        <is>
          <t>да</t>
        </is>
      </c>
      <c r="K2131" s="3" t="inlineStr">
        <is>
          <t>Телевизионный спектакль по пьесе армянского писателя А.Папаяна о сложных отношениях отцов и детей.</t>
        </is>
      </c>
      <c r="L2131" s="2" t="inlineStr">
        <is>
          <t>https://www.kino-teatr.ru/teatr/movie/103176/annot/</t>
        </is>
      </c>
      <c r="M2131" s="2">
        <f>HYPERLINK("https://ru.wikipedia.org/w/index.php?search=%D0%91%D1%83%D0%B4%D1%8C%D1%82%D0%B5%20%D0%BA%D0%B0%D0%BA%20%D1%81%D0%BE%D0%BB%D0%BD%D1%86%D0%B5%201985%20%D1%84%D0%B8%D0%BB%D1%8C%D0%BC","искать")</f>
        <v/>
      </c>
      <c r="N2131" s="3" t="n"/>
      <c r="O2131" s="2" t="n"/>
      <c r="P2131" s="2" t="n"/>
    </row>
    <row r="2132">
      <c r="A2132" s="2" t="n">
        <v>2131</v>
      </c>
      <c r="B2132" s="2" t="inlineStr">
        <is>
          <t>не сюжет</t>
        </is>
      </c>
      <c r="C2132" s="2" t="n">
        <v>11319</v>
      </c>
      <c r="D2132" s="3" t="inlineStr">
        <is>
          <t>Рассказы из разных карманов</t>
        </is>
      </c>
      <c r="E2132" s="2" t="n">
        <v>1990</v>
      </c>
      <c r="F2132" s="2" t="inlineStr">
        <is>
          <t>фильм-спектакль</t>
        </is>
      </c>
      <c r="G2132" s="2" t="inlineStr">
        <is>
          <t>Главная редакция художественного вещания Ленинградского ТВ</t>
        </is>
      </c>
      <c r="H2132" s="2" t="n">
        <v>98</v>
      </c>
      <c r="I2132" s="2" t="inlineStr"/>
      <c r="J2132" s="2" t="inlineStr">
        <is>
          <t>да</t>
        </is>
      </c>
      <c r="K2132" s="3" t="inlineStr">
        <is>
          <t>По мотивам рассказов Карела Чапека «Поэт», «Исповедь Дона Хуана», «Эксперимент профессора Роусса».</t>
        </is>
      </c>
      <c r="L2132" s="2" t="inlineStr">
        <is>
          <t>https://www.kino-teatr.ru/teatr/movie/5961/annot/</t>
        </is>
      </c>
      <c r="M2132" s="2">
        <f>HYPERLINK("https://ru.wikipedia.org/w/index.php?search=%D0%A0%D0%B0%D1%81%D1%81%D0%BA%D0%B0%D0%B7%D1%8B%20%D0%B8%D0%B7%20%D1%80%D0%B0%D0%B7%D0%BD%D1%8B%D1%85%20%D0%BA%D0%B0%D1%80%D0%BC%D0%B0%D0%BD%D0%BE%D0%B2%201990%20%D1%84%D0%B8%D0%BB%D1%8C%D0%BC","искать")</f>
        <v/>
      </c>
      <c r="N2132" s="3" t="n"/>
      <c r="O2132" s="2" t="n"/>
      <c r="P2132" s="2" t="n"/>
    </row>
    <row r="2133">
      <c r="A2133" s="2" t="n">
        <v>2132</v>
      </c>
      <c r="B2133" s="2" t="inlineStr">
        <is>
          <t>не сюжет</t>
        </is>
      </c>
      <c r="C2133" s="2" t="n">
        <v>11974</v>
      </c>
      <c r="D2133" s="3" t="inlineStr">
        <is>
          <t>Как будто</t>
        </is>
      </c>
      <c r="E2133" s="2" t="n">
        <v>1981</v>
      </c>
      <c r="F2133" s="2" t="inlineStr">
        <is>
          <t>мультфильм</t>
        </is>
      </c>
      <c r="G2133" s="2" t="inlineStr">
        <is>
          <t>Союзмультфильм</t>
        </is>
      </c>
      <c r="H2133" s="2" t="n">
        <v>98</v>
      </c>
      <c r="I2133" s="2" t="inlineStr"/>
      <c r="J2133" s="2" t="inlineStr">
        <is>
          <t>да</t>
        </is>
      </c>
      <c r="K2133" s="3" t="inlineStr">
        <is>
          <t>О детской игре, о том, что нельзя обижать друзей из=за того что они не похожи на тебя. Для малышей</t>
        </is>
      </c>
      <c r="L2133" s="2" t="inlineStr">
        <is>
          <t>https://animator.ru/db/?p=show_film&amp;fid=3088</t>
        </is>
      </c>
      <c r="M2133" s="2">
        <f>HYPERLINK("https://ru.wikipedia.org/w/index.php?search=%D0%9A%D0%B0%D0%BA%20%D0%B1%D1%83%D0%B4%D1%82%D0%BE%201981%20%D1%84%D0%B8%D0%BB%D1%8C%D0%BC","искать")</f>
        <v/>
      </c>
      <c r="N2133" s="3" t="n"/>
      <c r="O2133" s="2" t="n"/>
      <c r="P2133" s="2" t="n"/>
    </row>
    <row r="2134">
      <c r="A2134" s="2" t="n">
        <v>2133</v>
      </c>
      <c r="B2134" s="2" t="inlineStr">
        <is>
          <t>не сюжет</t>
        </is>
      </c>
      <c r="C2134" s="2" t="n">
        <v>11981</v>
      </c>
      <c r="D2134" s="3" t="inlineStr">
        <is>
          <t>Отражение</t>
        </is>
      </c>
      <c r="E2134" s="2" t="n">
        <v>1981</v>
      </c>
      <c r="F2134" s="2" t="inlineStr">
        <is>
          <t>мультфильм</t>
        </is>
      </c>
      <c r="G2134" s="2" t="inlineStr">
        <is>
          <t>Союзмультфильм</t>
        </is>
      </c>
      <c r="H2134" s="2" t="n">
        <v>98</v>
      </c>
      <c r="I2134" s="2" t="inlineStr"/>
      <c r="J2134" s="2" t="inlineStr">
        <is>
          <t>да</t>
        </is>
      </c>
      <c r="K2134" s="3" t="inlineStr">
        <is>
          <t>Три пародийных сюжета: "Пизанская башня", "Вавилонская башня", "Ника Самофракийская". Для взрослых</t>
        </is>
      </c>
      <c r="L2134" s="2" t="inlineStr">
        <is>
          <t>https://animator.ru/db/?p=show_film&amp;fid=3095</t>
        </is>
      </c>
      <c r="M2134" s="2">
        <f>HYPERLINK("https://ru.wikipedia.org/w/index.php?search=%D0%9E%D1%82%D1%80%D0%B0%D0%B6%D0%B5%D0%BD%D0%B8%D0%B5%201981%20%D1%84%D0%B8%D0%BB%D1%8C%D0%BC","искать")</f>
        <v/>
      </c>
      <c r="N2134" s="3" t="n"/>
      <c r="O2134" s="2" t="n"/>
      <c r="P2134" s="2" t="n"/>
    </row>
    <row r="2135">
      <c r="A2135" s="2" t="n">
        <v>2134</v>
      </c>
      <c r="B2135" s="2" t="inlineStr">
        <is>
          <t>не сюжет</t>
        </is>
      </c>
      <c r="C2135" s="2" t="n">
        <v>12001</v>
      </c>
      <c r="D2135" s="3" t="inlineStr">
        <is>
          <t>Веселая карусель n 12. Карандаш и ластик</t>
        </is>
      </c>
      <c r="E2135" s="2" t="n">
        <v>1982</v>
      </c>
      <c r="F2135" s="2" t="inlineStr">
        <is>
          <t>мультфильм</t>
        </is>
      </c>
      <c r="G2135" s="2" t="inlineStr">
        <is>
          <t>Союзмультфильм</t>
        </is>
      </c>
      <c r="H2135" s="2" t="n">
        <v>98</v>
      </c>
      <c r="I2135" s="2" t="inlineStr"/>
      <c r="J2135" s="2" t="inlineStr">
        <is>
          <t>да</t>
        </is>
      </c>
      <c r="K2135" s="3" t="inlineStr">
        <is>
          <t>Сюжет из альманаха «ВЕСЕЛАЯ КАРУСЕЛЬ N 12»
В фильме использованы музыка А.Шнитке и гравюра Д.Хинча</t>
        </is>
      </c>
      <c r="L2135" s="2" t="inlineStr">
        <is>
          <t>https://animator.ru/db/?p=show_film&amp;fid=3115</t>
        </is>
      </c>
      <c r="M2135" s="2">
        <f>HYPERLINK("https://ru.wikipedia.org/w/index.php?search=%D0%92%D0%B5%D1%81%D0%B5%D0%BB%D0%B0%D1%8F%20%D0%BA%D0%B0%D1%80%D1%83%D1%81%D0%B5%D0%BB%D1%8C%20n%2012.%20%D0%9A%D0%B0%D1%80%D0%B0%D0%BD%D0%B4%D0%B0%D1%88%20%D0%B8%20%D0%BB%D0%B0%D1%81%D1%82%D0%B8%D0%BA%201982%20%D1%84%D0%B8%D0%BB%D1%8C%D0%BC","искать")</f>
        <v/>
      </c>
      <c r="N2135" s="3" t="n"/>
      <c r="O2135" s="2" t="n"/>
      <c r="P2135" s="2" t="n"/>
    </row>
    <row r="2136">
      <c r="A2136" s="2" t="n">
        <v>2135</v>
      </c>
      <c r="B2136" s="2" t="inlineStr">
        <is>
          <t>не сюжет</t>
        </is>
      </c>
      <c r="C2136" s="2" t="n">
        <v>12165</v>
      </c>
      <c r="D2136" s="3" t="inlineStr">
        <is>
          <t>Архангельские новеллы</t>
        </is>
      </c>
      <c r="E2136" s="2" t="n">
        <v>1986</v>
      </c>
      <c r="F2136" s="2" t="inlineStr">
        <is>
          <t>мультфильм</t>
        </is>
      </c>
      <c r="G2136" s="2" t="inlineStr">
        <is>
          <t>Союзмультфильм</t>
        </is>
      </c>
      <c r="H2136" s="2" t="n">
        <v>98</v>
      </c>
      <c r="I2136" s="2" t="inlineStr"/>
      <c r="J2136" s="2" t="inlineStr">
        <is>
          <t>да</t>
        </is>
      </c>
      <c r="K2136" s="3" t="inlineStr">
        <is>
          <t>По сказкам Сергея Писахова.Два сюжета - "Перепелиха" и "Апельсин".Ансамбль "Московские рожечники".</t>
        </is>
      </c>
      <c r="L2136" s="2" t="inlineStr">
        <is>
          <t>2026-10_мультфильмы_список_владельца.xlsx; https://animator.ru/db/?p=show_film&amp;fid=3281</t>
        </is>
      </c>
      <c r="M2136" s="2">
        <f>HYPERLINK("https://ru.wikipedia.org/w/index.php?search=%D0%90%D1%80%D1%85%D0%B0%D0%BD%D0%B3%D0%B5%D0%BB%D1%8C%D1%81%D0%BA%D0%B8%D0%B5%20%D0%BD%D0%BE%D0%B2%D0%B5%D0%BB%D0%BB%D1%8B%201986%20%D1%84%D0%B8%D0%BB%D1%8C%D0%BC","искать")</f>
        <v/>
      </c>
      <c r="N2136" s="3" t="n"/>
      <c r="O2136" s="2" t="n"/>
      <c r="P2136" s="2" t="n"/>
    </row>
    <row r="2137">
      <c r="A2137" s="2" t="n">
        <v>2136</v>
      </c>
      <c r="B2137" s="2" t="inlineStr">
        <is>
          <t>не сюжет</t>
        </is>
      </c>
      <c r="C2137" s="2" t="n">
        <v>12412</v>
      </c>
      <c r="D2137" s="3" t="inlineStr">
        <is>
          <t>Как мужья жен проучили</t>
        </is>
      </c>
      <c r="E2137" s="2" t="n">
        <v>1976</v>
      </c>
      <c r="F2137" s="2" t="inlineStr">
        <is>
          <t>мультфильм</t>
        </is>
      </c>
      <c r="G2137" s="2" t="inlineStr">
        <is>
          <t>КИЕВНАУЧФИЛЬМ</t>
        </is>
      </c>
      <c r="H2137" s="2" t="n">
        <v>98</v>
      </c>
      <c r="I2137" s="2" t="inlineStr"/>
      <c r="J2137" s="2" t="inlineStr">
        <is>
          <t>да</t>
        </is>
      </c>
      <c r="K2137" s="3" t="inlineStr">
        <is>
          <t>По сюжету шуточной народной песни. В изобразительном решении использованы мотивы народных вышивок.</t>
        </is>
      </c>
      <c r="L2137" s="2" t="inlineStr">
        <is>
          <t>2026-10_мультфильмы_список_владельца.xlsx; https://animator.ru/db/?p=show_film&amp;fid=3583</t>
        </is>
      </c>
      <c r="M2137" s="2">
        <f>HYPERLINK("https://ru.wikipedia.org/w/index.php?search=%D0%9A%D0%B0%D0%BA%20%D0%BC%D1%83%D0%B6%D1%8C%D1%8F%20%D0%B6%D0%B5%D0%BD%20%D0%BF%D1%80%D0%BE%D1%83%D1%87%D0%B8%D0%BB%D0%B8%201976%20%D1%84%D0%B8%D0%BB%D1%8C%D0%BC","искать")</f>
        <v/>
      </c>
      <c r="N2137" s="3" t="n"/>
      <c r="O2137" s="2" t="n"/>
      <c r="P2137" s="2" t="n"/>
    </row>
    <row r="2138">
      <c r="A2138" s="2" t="n">
        <v>2137</v>
      </c>
      <c r="B2138" s="2" t="inlineStr">
        <is>
          <t>не сюжет</t>
        </is>
      </c>
      <c r="C2138" s="2" t="n">
        <v>13080</v>
      </c>
      <c r="D2138" s="3" t="inlineStr">
        <is>
          <t>Заячья банька</t>
        </is>
      </c>
      <c r="E2138" s="2" t="n">
        <v>1979</v>
      </c>
      <c r="F2138" s="2" t="inlineStr">
        <is>
          <t>мультфильм</t>
        </is>
      </c>
      <c r="G2138" s="2" t="inlineStr">
        <is>
          <t>ГОСТЕЛЕРАДИО ЛАТВ. ССР ("ТЕЛЕФИЛЬМ-РИГА")</t>
        </is>
      </c>
      <c r="H2138" s="2" t="n">
        <v>98</v>
      </c>
      <c r="I2138" s="2" t="inlineStr"/>
      <c r="J2138" s="2" t="inlineStr">
        <is>
          <t>да</t>
        </is>
      </c>
      <c r="K2138" s="3" t="inlineStr">
        <is>
          <t>По мотивам стихотворениий В.Плудониса. При участии ансамбля "Менуэт" под управлением Яниса Блюмса.</t>
        </is>
      </c>
      <c r="L2138" s="2" t="inlineStr">
        <is>
          <t>2026-10_мультфильмы_список_владельца.xlsx; https://animator.ru/db/?p=show_film&amp;fid=4312</t>
        </is>
      </c>
      <c r="M2138" s="2">
        <f>HYPERLINK("https://ru.wikipedia.org/w/index.php?search=%D0%97%D0%B0%D1%8F%D1%87%D1%8C%D1%8F%20%D0%B1%D0%B0%D0%BD%D1%8C%D0%BA%D0%B0%201979%20%D1%84%D0%B8%D0%BB%D1%8C%D0%BC","искать")</f>
        <v/>
      </c>
      <c r="N2138" s="3" t="n"/>
      <c r="O2138" s="2" t="n"/>
      <c r="P2138" s="2" t="n"/>
    </row>
    <row r="2139">
      <c r="A2139" s="2" t="n">
        <v>2138</v>
      </c>
      <c r="B2139" s="2" t="inlineStr">
        <is>
          <t>не сюжет</t>
        </is>
      </c>
      <c r="C2139" s="2" t="n">
        <v>13442</v>
      </c>
      <c r="D2139" s="3" t="inlineStr">
        <is>
          <t>Девочка + дракон</t>
        </is>
      </c>
      <c r="E2139" s="2" t="n">
        <v>1983</v>
      </c>
      <c r="F2139" s="2" t="inlineStr">
        <is>
          <t>мультфильм</t>
        </is>
      </c>
      <c r="G2139" s="2" t="inlineStr">
        <is>
          <t>ЭКРАН</t>
        </is>
      </c>
      <c r="H2139" s="2" t="n">
        <v>98</v>
      </c>
      <c r="I2139" s="2" t="inlineStr"/>
      <c r="J2139" s="2" t="inlineStr">
        <is>
          <t>да</t>
        </is>
      </c>
      <c r="K2139" s="3" t="inlineStr">
        <is>
          <t>Кукольный мульт по мотивам сказок английского писателя Дональда Биссета "О Дракоше и его друзьях".</t>
        </is>
      </c>
      <c r="L2139" s="2" t="inlineStr">
        <is>
          <t>2026-10_мультфильмы_список_владельца.xlsx; https://animator.ru/db/?p=show_film&amp;fid=4723</t>
        </is>
      </c>
      <c r="M2139" s="2">
        <f>HYPERLINK("https://ru.wikipedia.org/w/index.php?search=%D0%94%D0%B5%D0%B2%D0%BE%D1%87%D0%BA%D0%B0%20%2B%20%D0%B4%D1%80%D0%B0%D0%BA%D0%BE%D0%BD%201983%20%D1%84%D0%B8%D0%BB%D1%8C%D0%BC","искать")</f>
        <v/>
      </c>
      <c r="N2139" s="3" t="n"/>
      <c r="O2139" s="2" t="n"/>
      <c r="P2139" s="2" t="n"/>
    </row>
    <row r="2140">
      <c r="A2140" s="2" t="n">
        <v>2139</v>
      </c>
      <c r="B2140" s="2" t="inlineStr">
        <is>
          <t>не сюжет</t>
        </is>
      </c>
      <c r="C2140" s="2" t="n">
        <v>13449</v>
      </c>
      <c r="D2140" s="3" t="inlineStr">
        <is>
          <t>Малиновое варенье</t>
        </is>
      </c>
      <c r="E2140" s="2" t="n">
        <v>1983</v>
      </c>
      <c r="F2140" s="2" t="inlineStr">
        <is>
          <t>мультфильм</t>
        </is>
      </c>
      <c r="G2140" s="2" t="inlineStr">
        <is>
          <t>ЭКРАН</t>
        </is>
      </c>
      <c r="H2140" s="2" t="n">
        <v>98</v>
      </c>
      <c r="I2140" s="2" t="inlineStr"/>
      <c r="J2140" s="2" t="inlineStr">
        <is>
          <t>да</t>
        </is>
      </c>
      <c r="K2140" s="3" t="inlineStr">
        <is>
          <t>Кукольный мульт по мотивам сказок английского писателя Дональда Биссета "О Дракоше и его друзьях".</t>
        </is>
      </c>
      <c r="L2140" s="2" t="inlineStr">
        <is>
          <t>2026-10_мультфильмы_список_владельца.xlsx; https://animator.ru/db/?p=show_film&amp;fid=4730</t>
        </is>
      </c>
      <c r="M2140" s="2">
        <f>HYPERLINK("https://ru.wikipedia.org/w/index.php?search=%D0%9C%D0%B0%D0%BB%D0%B8%D0%BD%D0%BE%D0%B2%D0%BE%D0%B5%20%D0%B2%D0%B0%D1%80%D0%B5%D0%BD%D1%8C%D0%B5%201983%20%D1%84%D0%B8%D0%BB%D1%8C%D0%BC","искать")</f>
        <v/>
      </c>
      <c r="N2140" s="3" t="n"/>
      <c r="O2140" s="2" t="n"/>
      <c r="P2140" s="2" t="n"/>
    </row>
    <row r="2141">
      <c r="A2141" s="2" t="n">
        <v>2140</v>
      </c>
      <c r="B2141" s="2" t="inlineStr">
        <is>
          <t>не сюжет</t>
        </is>
      </c>
      <c r="C2141" s="2" t="n">
        <v>14318</v>
      </c>
      <c r="D2141" s="3" t="inlineStr">
        <is>
          <t>Памятник</t>
        </is>
      </c>
      <c r="E2141" s="2" t="n">
        <v>1991</v>
      </c>
      <c r="F2141" s="2" t="inlineStr">
        <is>
          <t>мультфильм</t>
        </is>
      </c>
      <c r="G2141" s="2" t="inlineStr">
        <is>
          <t>РИЖСКАЯ КИНОСТУДИЯ</t>
        </is>
      </c>
      <c r="H2141" s="2" t="n">
        <v>98</v>
      </c>
      <c r="I2141" s="2" t="inlineStr"/>
      <c r="J2141" s="2" t="inlineStr">
        <is>
          <t>да</t>
        </is>
      </c>
      <c r="K2141" s="3" t="inlineStr">
        <is>
          <t>Здесь можно посмотреть онлайн и скачать мультфильм "Памятник" (DAUKA, 1991 г.) (Аварийная бригада)</t>
        </is>
      </c>
      <c r="L2141" s="2" t="inlineStr">
        <is>
          <t>2026-10_мультфильмы_список_владельца.xlsx; https://animator.ru/db/?p=show_film&amp;fid=5864</t>
        </is>
      </c>
      <c r="M2141" s="2">
        <f>HYPERLINK("https://ru.wikipedia.org/w/index.php?search=%D0%9F%D0%B0%D0%BC%D1%8F%D1%82%D0%BD%D0%B8%D0%BA%201991%20%D1%84%D0%B8%D0%BB%D1%8C%D0%BC","искать")</f>
        <v/>
      </c>
      <c r="N2141" s="3" t="n"/>
      <c r="O2141" s="2" t="n"/>
      <c r="P2141" s="2" t="n"/>
    </row>
    <row r="2142">
      <c r="A2142" s="2" t="n">
        <v>2141</v>
      </c>
      <c r="B2142" s="2" t="inlineStr">
        <is>
          <t>не сюжет</t>
        </is>
      </c>
      <c r="C2142" s="2" t="n">
        <v>7770</v>
      </c>
      <c r="D2142" s="3" t="inlineStr">
        <is>
          <t>Красный дипломат. Страницы жизни Леонида Красина</t>
        </is>
      </c>
      <c r="E2142" s="2" t="n">
        <v>1971</v>
      </c>
      <c r="F2142" s="2" t="inlineStr">
        <is>
          <t>телефильм</t>
        </is>
      </c>
      <c r="G2142" s="2" t="n"/>
      <c r="H2142" s="2" t="n">
        <v>99</v>
      </c>
      <c r="I2142" s="2" t="inlineStr"/>
      <c r="J2142" s="2" t="inlineStr">
        <is>
          <t>да</t>
        </is>
      </c>
      <c r="K2142" s="3" t="inlineStr">
        <is>
          <t>В основе телефильма — несколько драматических эпизодов из жизни красного дипломата Леонида Красина.</t>
        </is>
      </c>
      <c r="L2142" s="2" t="inlineStr">
        <is>
          <t>Кино_СССР сводный каталог.xlsx: список телефильмов</t>
        </is>
      </c>
      <c r="M2142" s="2">
        <f>HYPERLINK("https://ru.wikipedia.org/w/index.php?search=%D0%9A%D1%80%D0%B0%D1%81%D0%BD%D1%8B%D0%B9%20%D0%B4%D0%B8%D0%BF%D0%BB%D0%BE%D0%BC%D0%B0%D1%82.%20%D0%A1%D1%82%D1%80%D0%B0%D0%BD%D0%B8%D1%86%D1%8B%20%D0%B6%D0%B8%D0%B7%D0%BD%D0%B8%20%D0%9B%D0%B5%D0%BE%D0%BD%D0%B8%D0%B4%D0%B0%20%D0%9A%D1%80%D0%B0%D1%81%D0%B8%D0%BD%D0%B0%201971%20%D1%84%D0%B8%D0%BB%D1%8C%D0%BC","искать")</f>
        <v/>
      </c>
      <c r="N2142" s="3" t="n"/>
      <c r="O2142" s="2" t="n"/>
      <c r="P2142" s="2" t="n"/>
    </row>
    <row r="2143">
      <c r="A2143" s="2" t="n">
        <v>2142</v>
      </c>
      <c r="B2143" s="2" t="inlineStr">
        <is>
          <t>не сюжет</t>
        </is>
      </c>
      <c r="C2143" s="2" t="n">
        <v>10414</v>
      </c>
      <c r="D2143" s="3" t="inlineStr">
        <is>
          <t>Поднятая целина</t>
        </is>
      </c>
      <c r="E2143" s="2" t="n">
        <v>1971</v>
      </c>
      <c r="F2143" s="2" t="inlineStr">
        <is>
          <t>фильм-спектакль</t>
        </is>
      </c>
      <c r="G2143" s="2" t="n"/>
      <c r="H2143" s="2" t="n">
        <v>99</v>
      </c>
      <c r="I2143" s="2" t="inlineStr"/>
      <c r="J2143" s="2" t="inlineStr">
        <is>
          <t>да</t>
        </is>
      </c>
      <c r="K2143" s="3" t="inlineStr">
        <is>
          <t>По одноименному роману М.Шолохова в постановке Московского драматического театра имени А.С.Пушкина.</t>
        </is>
      </c>
      <c r="L2143" s="2" t="inlineStr">
        <is>
          <t>https://www.kino-teatr.ru/teatr/movie/81602/annot/</t>
        </is>
      </c>
      <c r="M2143" s="2">
        <f>HYPERLINK("https://ru.wikipedia.org/w/index.php?search=%D0%9F%D0%BE%D0%B4%D0%BD%D1%8F%D1%82%D0%B0%D1%8F%20%D1%86%D0%B5%D0%BB%D0%B8%D0%BD%D0%B0%201971%20%D1%84%D0%B8%D0%BB%D1%8C%D0%BC","искать")</f>
        <v/>
      </c>
      <c r="N2143" s="3" t="n"/>
      <c r="O2143" s="2" t="n"/>
      <c r="P2143" s="2" t="n"/>
    </row>
    <row r="2144">
      <c r="A2144" s="2" t="n">
        <v>2143</v>
      </c>
      <c r="B2144" s="2" t="inlineStr">
        <is>
          <t>не сюжет</t>
        </is>
      </c>
      <c r="C2144" s="2" t="n">
        <v>10464</v>
      </c>
      <c r="D2144" s="3" t="inlineStr">
        <is>
          <t>Привидение</t>
        </is>
      </c>
      <c r="E2144" s="2" t="n">
        <v>1972</v>
      </c>
      <c r="F2144" s="2" t="inlineStr">
        <is>
          <t>фильм-спектакль</t>
        </is>
      </c>
      <c r="G2144" s="2" t="n"/>
      <c r="H2144" s="2" t="n">
        <v>99</v>
      </c>
      <c r="I2144" s="2" t="inlineStr"/>
      <c r="J2144" s="2" t="inlineStr">
        <is>
          <t>да</t>
        </is>
      </c>
      <c r="K2144" s="3" t="inlineStr">
        <is>
          <t>По одноимённой драме Г.Ибсена в постановке Государственного академического Малого театра Союза ССР.</t>
        </is>
      </c>
      <c r="L2144" s="2" t="inlineStr">
        <is>
          <t>https://www.kino-teatr.ru/teatr/movie/81788/annot/</t>
        </is>
      </c>
      <c r="M2144" s="2">
        <f>HYPERLINK("https://ru.wikipedia.org/w/index.php?search=%D0%9F%D1%80%D0%B8%D0%B2%D0%B8%D0%B4%D0%B5%D0%BD%D0%B8%D0%B5%201972%20%D1%84%D0%B8%D0%BB%D1%8C%D0%BC","искать")</f>
        <v/>
      </c>
      <c r="N2144" s="3" t="n"/>
      <c r="O2144" s="2" t="n"/>
      <c r="P2144" s="2" t="n"/>
    </row>
    <row r="2145">
      <c r="A2145" s="2" t="n">
        <v>2144</v>
      </c>
      <c r="B2145" s="2" t="inlineStr">
        <is>
          <t>не сюжет</t>
        </is>
      </c>
      <c r="C2145" s="2" t="n">
        <v>11131</v>
      </c>
      <c r="D2145" s="3" t="inlineStr">
        <is>
          <t>Революцией призванный</t>
        </is>
      </c>
      <c r="E2145" s="2" t="n">
        <v>1986</v>
      </c>
      <c r="F2145" s="2" t="inlineStr">
        <is>
          <t>фильм-спектакль</t>
        </is>
      </c>
      <c r="G2145" s="2" t="inlineStr">
        <is>
          <t>Главная редакция литературно-драматических программ ЦТ</t>
        </is>
      </c>
      <c r="H2145" s="2" t="n">
        <v>99</v>
      </c>
      <c r="I2145" s="2" t="inlineStr"/>
      <c r="J2145" s="2" t="inlineStr">
        <is>
          <t>да</t>
        </is>
      </c>
      <c r="K2145" s="3" t="inlineStr">
        <is>
          <t>Фильм-спектакль о жизни и творчестве Владимира Маяковского.
Стихи, письма, документы, воспоминания.</t>
        </is>
      </c>
      <c r="L2145" s="2" t="inlineStr">
        <is>
          <t>https://www.kino-teatr.ru/teatr/movie/16317/annot/</t>
        </is>
      </c>
      <c r="M2145" s="2">
        <f>HYPERLINK("https://ru.wikipedia.org/w/index.php?search=%D0%A0%D0%B5%D0%B2%D0%BE%D0%BB%D1%8E%D1%86%D0%B8%D0%B5%D0%B9%20%D0%BF%D1%80%D0%B8%D0%B7%D0%B2%D0%B0%D0%BD%D0%BD%D1%8B%D0%B9%201986%20%D1%84%D0%B8%D0%BB%D1%8C%D0%BC","искать")</f>
        <v/>
      </c>
      <c r="N2145" s="3" t="n"/>
      <c r="O2145" s="2" t="n"/>
      <c r="P2145" s="2" t="n"/>
    </row>
    <row r="2146">
      <c r="A2146" s="2" t="n">
        <v>2145</v>
      </c>
      <c r="B2146" s="2" t="inlineStr">
        <is>
          <t>не сюжет</t>
        </is>
      </c>
      <c r="C2146" s="2" t="n">
        <v>11652</v>
      </c>
      <c r="D2146" s="3" t="inlineStr">
        <is>
          <t>Урок не впрок</t>
        </is>
      </c>
      <c r="E2146" s="2" t="n">
        <v>1971</v>
      </c>
      <c r="F2146" s="2" t="inlineStr">
        <is>
          <t>мультфильм</t>
        </is>
      </c>
      <c r="G2146" s="2" t="inlineStr">
        <is>
          <t>Союзмультфильм</t>
        </is>
      </c>
      <c r="H2146" s="2" t="n">
        <v>99</v>
      </c>
      <c r="I2146" s="2" t="inlineStr"/>
      <c r="J2146" s="2" t="inlineStr">
        <is>
          <t>да</t>
        </is>
      </c>
      <c r="K2146" s="3" t="inlineStr">
        <is>
          <t>Фильм-плакат по каррикатурам Бориса Ефимова, в сатирической форме обличающий современный реваншизм.</t>
        </is>
      </c>
      <c r="L2146" s="2" t="inlineStr">
        <is>
          <t>2026-10_мультфильмы_список_владельца.xlsx; https://animator.ru/db/?p=show_film&amp;fid=2566</t>
        </is>
      </c>
      <c r="M2146" s="2">
        <f>HYPERLINK("https://ru.wikipedia.org/w/index.php?search=%D0%A3%D1%80%D0%BE%D0%BA%20%D0%BD%D0%B5%20%D0%B2%D0%BF%D1%80%D0%BE%D0%BA%201971%20%D1%84%D0%B8%D0%BB%D1%8C%D0%BC","искать")</f>
        <v/>
      </c>
      <c r="N2146" s="3" t="n"/>
      <c r="O2146" s="2" t="n"/>
      <c r="P2146" s="2" t="n"/>
    </row>
    <row r="2147">
      <c r="A2147" s="2" t="n">
        <v>2146</v>
      </c>
      <c r="B2147" s="2" t="inlineStr">
        <is>
          <t>не сюжет</t>
        </is>
      </c>
      <c r="C2147" s="2" t="n">
        <v>11985</v>
      </c>
      <c r="D2147" s="3" t="inlineStr">
        <is>
          <t>Приключение на плоту</t>
        </is>
      </c>
      <c r="E2147" s="2" t="n">
        <v>1981</v>
      </c>
      <c r="F2147" s="2" t="inlineStr">
        <is>
          <t>мультфильм</t>
        </is>
      </c>
      <c r="G2147" s="2" t="inlineStr">
        <is>
          <t>Союзмультфильм</t>
        </is>
      </c>
      <c r="H2147" s="2" t="n">
        <v>99</v>
      </c>
      <c r="I2147" s="2" t="inlineStr"/>
      <c r="J2147" s="2" t="inlineStr">
        <is>
          <t>да</t>
        </is>
      </c>
      <c r="K2147" s="3" t="inlineStr">
        <is>
          <t>В нём компании озорников, шалящей от безделья, противопоставляется дружный, трудолюбивый коллектив.</t>
        </is>
      </c>
      <c r="L2147" s="2" t="inlineStr">
        <is>
          <t>https://animator.ru/db/?p=show_film&amp;fid=3099</t>
        </is>
      </c>
      <c r="M2147" s="2">
        <f>HYPERLINK("https://ru.wikipedia.org/w/index.php?search=%D0%9F%D1%80%D0%B8%D0%BA%D0%BB%D1%8E%D1%87%D0%B5%D0%BD%D0%B8%D0%B5%20%D0%BD%D0%B0%20%D0%BF%D0%BB%D0%BE%D1%82%D1%83%201981%20%D1%84%D0%B8%D0%BB%D1%8C%D0%BC","искать")</f>
        <v/>
      </c>
      <c r="N2147" s="3" t="n"/>
      <c r="O2147" s="2" t="n"/>
      <c r="P2147" s="2" t="n"/>
    </row>
    <row r="2148">
      <c r="A2148" s="2" t="n">
        <v>2147</v>
      </c>
      <c r="B2148" s="2" t="inlineStr">
        <is>
          <t>не сюжет</t>
        </is>
      </c>
      <c r="C2148" s="2" t="n">
        <v>12369</v>
      </c>
      <c r="D2148" s="3" t="inlineStr">
        <is>
          <t>Жили-были матрешки</t>
        </is>
      </c>
      <c r="E2148" s="2" t="n">
        <v>1981</v>
      </c>
      <c r="F2148" s="2" t="inlineStr">
        <is>
          <t>мультфильм</t>
        </is>
      </c>
      <c r="G2148" s="2" t="inlineStr">
        <is>
          <t>КИЕВНАУЧФИЛЬМ</t>
        </is>
      </c>
      <c r="H2148" s="2" t="n">
        <v>99</v>
      </c>
      <c r="I2148" s="2" t="inlineStr"/>
      <c r="J2148" s="2" t="inlineStr">
        <is>
          <t>да</t>
        </is>
      </c>
      <c r="K2148" s="3" t="inlineStr">
        <is>
          <t>Персонажи фильма - народные деревянные и глиняные игрушки. Музыка на основе руских народных мелодий</t>
        </is>
      </c>
      <c r="L2148" s="2" t="inlineStr">
        <is>
          <t>https://animator.ru/db/?p=show_film&amp;fid=3537</t>
        </is>
      </c>
      <c r="M2148" s="2">
        <f>HYPERLINK("https://ru.wikipedia.org/w/index.php?search=%D0%96%D0%B8%D0%BB%D0%B8-%D0%B1%D1%8B%D0%BB%D0%B8%20%D0%BC%D0%B0%D1%82%D1%80%D0%B5%D1%88%D0%BA%D0%B8%201981%20%D1%84%D0%B8%D0%BB%D1%8C%D0%BC","искать")</f>
        <v/>
      </c>
      <c r="N2148" s="3" t="n"/>
      <c r="O2148" s="2" t="n"/>
      <c r="P2148" s="2" t="n"/>
    </row>
    <row r="2149">
      <c r="A2149" s="2" t="n">
        <v>2148</v>
      </c>
      <c r="B2149" s="2" t="inlineStr">
        <is>
          <t>не сюжет</t>
        </is>
      </c>
      <c r="C2149" s="2" t="n">
        <v>12578</v>
      </c>
      <c r="D2149" s="3" t="inlineStr">
        <is>
          <t>Тайна черного короля</t>
        </is>
      </c>
      <c r="E2149" s="2" t="n">
        <v>1965</v>
      </c>
      <c r="F2149" s="2" t="inlineStr">
        <is>
          <t>мультфильм</t>
        </is>
      </c>
      <c r="G2149" s="2" t="inlineStr">
        <is>
          <t>КИЕВНАУЧФИЛЬМ</t>
        </is>
      </c>
      <c r="H2149" s="2" t="n">
        <v>99</v>
      </c>
      <c r="I2149" s="2" t="inlineStr"/>
      <c r="J2149" s="2" t="inlineStr">
        <is>
          <t>да</t>
        </is>
      </c>
      <c r="K2149" s="3" t="inlineStr">
        <is>
          <t>Заказной фильм-плакат о противопожарной безопасности. МКФ в Мамайе, Румыния, Приз "За лучший дебют"</t>
        </is>
      </c>
      <c r="L2149" s="2" t="inlineStr">
        <is>
          <t>https://animator.ru/db/?p=show_film&amp;fid=3758</t>
        </is>
      </c>
      <c r="M2149" s="2">
        <f>HYPERLINK("https://ru.wikipedia.org/w/index.php?search=%D0%A2%D0%B0%D0%B9%D0%BD%D0%B0%20%D1%87%D0%B5%D1%80%D0%BD%D0%BE%D0%B3%D0%BE%20%D0%BA%D0%BE%D1%80%D0%BE%D0%BB%D1%8F%201965%20%D1%84%D0%B8%D0%BB%D1%8C%D0%BC","искать")</f>
        <v/>
      </c>
      <c r="N2149" s="3" t="n"/>
      <c r="O2149" s="2" t="n"/>
      <c r="P2149" s="2" t="n"/>
    </row>
    <row r="2150">
      <c r="A2150" s="2" t="n">
        <v>2149</v>
      </c>
      <c r="B2150" s="2" t="inlineStr">
        <is>
          <t>не сюжет</t>
        </is>
      </c>
      <c r="C2150" s="2" t="n">
        <v>12599</v>
      </c>
      <c r="D2150" s="3" t="inlineStr">
        <is>
          <t>Человек и слово</t>
        </is>
      </c>
      <c r="E2150" s="2" t="n">
        <v>1973</v>
      </c>
      <c r="F2150" s="2" t="inlineStr">
        <is>
          <t>мультфильм</t>
        </is>
      </c>
      <c r="G2150" s="2" t="inlineStr">
        <is>
          <t>КИЕВНАУЧФИЛЬМ</t>
        </is>
      </c>
      <c r="H2150" s="2" t="n">
        <v>99</v>
      </c>
      <c r="I2150" s="2" t="inlineStr"/>
      <c r="J2150" s="2" t="inlineStr">
        <is>
          <t>да</t>
        </is>
      </c>
      <c r="K2150" s="3" t="inlineStr">
        <is>
          <t>Пять новелл для взрослых
VII ВКФ, Баку, 1974 -- Вторая премия по разделу мультипликационных фильмов</t>
        </is>
      </c>
      <c r="L2150" s="2" t="inlineStr">
        <is>
          <t>https://animator.ru/db/?p=show_film&amp;fid=3779</t>
        </is>
      </c>
      <c r="M2150" s="2">
        <f>HYPERLINK("https://ru.wikipedia.org/w/index.php?search=%D0%A7%D0%B5%D0%BB%D0%BE%D0%B2%D0%B5%D0%BA%20%D0%B8%20%D1%81%D0%BB%D0%BE%D0%B2%D0%BE%201973%20%D1%84%D0%B8%D0%BB%D1%8C%D0%BC","искать")</f>
        <v/>
      </c>
      <c r="N2150" s="3" t="n"/>
      <c r="O2150" s="2" t="n"/>
      <c r="P2150" s="2" t="n"/>
    </row>
    <row r="2151">
      <c r="A2151" s="2" t="n">
        <v>2150</v>
      </c>
      <c r="B2151" s="2" t="inlineStr">
        <is>
          <t>не сюжет</t>
        </is>
      </c>
      <c r="C2151" s="2" t="n">
        <v>13139</v>
      </c>
      <c r="D2151" s="3" t="inlineStr">
        <is>
          <t>Хлеб</t>
        </is>
      </c>
      <c r="E2151" s="2" t="n">
        <v>1984</v>
      </c>
      <c r="F2151" s="2" t="inlineStr">
        <is>
          <t>мультфильм</t>
        </is>
      </c>
      <c r="G2151" s="2" t="inlineStr">
        <is>
          <t>БЕЛАРУСЬФИЛЬМ НАЦИОНАЛЬНАЯ КИНОСТУДИЯ - ГП</t>
        </is>
      </c>
      <c r="H2151" s="2" t="n">
        <v>99</v>
      </c>
      <c r="I2151" s="2" t="inlineStr"/>
      <c r="J2151" s="2" t="inlineStr">
        <is>
          <t>да</t>
        </is>
      </c>
      <c r="K2151" s="3" t="inlineStr">
        <is>
          <t>Фильм рассказывает детям о цене выращенного хлеба, о том, каким нелегким трудом он достается людям.</t>
        </is>
      </c>
      <c r="L2151" s="2" t="inlineStr">
        <is>
          <t>2026-10_мультфильмы_список_владельца.xlsx; https://animator.ru/db/?p=show_film&amp;fid=4371</t>
        </is>
      </c>
      <c r="M2151" s="2">
        <f>HYPERLINK("https://ru.wikipedia.org/w/index.php?search=%D0%A5%D0%BB%D0%B5%D0%B1%201984%20%D1%84%D0%B8%D0%BB%D1%8C%D0%BC","искать")</f>
        <v/>
      </c>
      <c r="N2151" s="3" t="n"/>
      <c r="O2151" s="2" t="n"/>
      <c r="P2151" s="2" t="n"/>
    </row>
    <row r="2152">
      <c r="A2152" s="2" t="n">
        <v>2151</v>
      </c>
      <c r="B2152" s="2" t="inlineStr">
        <is>
          <t>не сюжет</t>
        </is>
      </c>
      <c r="C2152" s="2" t="n">
        <v>13763</v>
      </c>
      <c r="D2152" s="3" t="inlineStr">
        <is>
          <t>Метание молота</t>
        </is>
      </c>
      <c r="E2152" s="2" t="n">
        <v>1980</v>
      </c>
      <c r="F2152" s="2" t="inlineStr">
        <is>
          <t>мультфильм</t>
        </is>
      </c>
      <c r="G2152" s="2" t="inlineStr">
        <is>
          <t>ЭКРАН</t>
        </is>
      </c>
      <c r="H2152" s="2" t="n">
        <v>99</v>
      </c>
      <c r="I2152" s="2" t="inlineStr"/>
      <c r="J2152" s="2" t="inlineStr">
        <is>
          <t>да</t>
        </is>
      </c>
      <c r="K2152" s="3" t="inlineStr">
        <is>
          <t>Здесь можно посмотреть онлайн и скачать мультфильм "Метание молота" (ЭКРАН, 1980 г.) (Олимпиада-80)</t>
        </is>
      </c>
      <c r="L2152" s="2" t="inlineStr">
        <is>
          <t>2026-10_мультфильмы_список_владельца.xlsx; https://animator.ru/db/?p=show_film&amp;fid=5156</t>
        </is>
      </c>
      <c r="M2152" s="2">
        <f>HYPERLINK("https://ru.wikipedia.org/w/index.php?search=%D0%9C%D0%B5%D1%82%D0%B0%D0%BD%D0%B8%D0%B5%20%D0%BC%D0%BE%D0%BB%D0%BE%D1%82%D0%B0%201980%20%D1%84%D0%B8%D0%BB%D1%8C%D0%BC","искать")</f>
        <v/>
      </c>
      <c r="N2152" s="3" t="n"/>
      <c r="O2152" s="2" t="n"/>
      <c r="P2152" s="2" t="n"/>
    </row>
    <row r="2153">
      <c r="A2153" s="2" t="n">
        <v>2152</v>
      </c>
      <c r="B2153" s="2" t="inlineStr">
        <is>
          <t>не сюжет</t>
        </is>
      </c>
      <c r="C2153" s="2" t="n">
        <v>13885</v>
      </c>
      <c r="D2153" s="3" t="inlineStr">
        <is>
          <t>Самоконтроль</t>
        </is>
      </c>
      <c r="E2153" s="2" t="n">
        <v>1989</v>
      </c>
      <c r="F2153" s="2" t="inlineStr">
        <is>
          <t>мультфильм</t>
        </is>
      </c>
      <c r="G2153" s="2" t="inlineStr">
        <is>
          <t>ЭКРАН</t>
        </is>
      </c>
      <c r="H2153" s="2" t="n">
        <v>99</v>
      </c>
      <c r="I2153" s="2" t="inlineStr"/>
      <c r="J2153" s="2" t="inlineStr">
        <is>
          <t>да</t>
        </is>
      </c>
      <c r="K2153" s="3" t="inlineStr">
        <is>
          <t>О том, как жесткий самоконтроль может помешать развитию личности и полнокровной жизни. Для взрослых</t>
        </is>
      </c>
      <c r="L2153" s="2" t="inlineStr">
        <is>
          <t>https://animator.ru/db/?p=show_film&amp;fid=5278</t>
        </is>
      </c>
      <c r="M2153" s="2">
        <f>HYPERLINK("https://ru.wikipedia.org/w/index.php?search=%D0%A1%D0%B0%D0%BC%D0%BE%D0%BA%D0%BE%D0%BD%D1%82%D1%80%D0%BE%D0%BB%D1%8C%201989%20%D1%84%D0%B8%D0%BB%D1%8C%D0%BC","искать")</f>
        <v/>
      </c>
      <c r="N2153" s="3" t="n"/>
      <c r="O2153" s="2" t="n"/>
      <c r="P2153" s="2" t="n"/>
    </row>
    <row r="2154">
      <c r="A2154" s="2" t="n">
        <v>2153</v>
      </c>
      <c r="B2154" s="2" t="inlineStr">
        <is>
          <t>не сюжет</t>
        </is>
      </c>
      <c r="C2154" s="2" t="n">
        <v>13979</v>
      </c>
      <c r="D2154" s="3" t="inlineStr">
        <is>
          <t>Гордиев узел</t>
        </is>
      </c>
      <c r="E2154" s="2" t="n">
        <v>1989</v>
      </c>
      <c r="F2154" s="2" t="inlineStr">
        <is>
          <t>мультфильм</t>
        </is>
      </c>
      <c r="G2154" s="2" t="inlineStr">
        <is>
          <t>ЭКРАН</t>
        </is>
      </c>
      <c r="H2154" s="2" t="n">
        <v>99</v>
      </c>
      <c r="I2154" s="2" t="inlineStr"/>
      <c r="J2154" s="2" t="inlineStr">
        <is>
          <t>да</t>
        </is>
      </c>
      <c r="K2154" s="3" t="inlineStr">
        <is>
          <t>Фельетон о "бесхозяйственности в сельском хозяйстве". Ипользована музыка С?Прокофьева. Для взрослых</t>
        </is>
      </c>
      <c r="L2154" s="2" t="inlineStr">
        <is>
          <t>https://animator.ru/db/?p=show_film&amp;fid=5373</t>
        </is>
      </c>
      <c r="M2154" s="2">
        <f>HYPERLINK("https://ru.wikipedia.org/w/index.php?search=%D0%93%D0%BE%D1%80%D0%B4%D0%B8%D0%B5%D0%B2%20%D1%83%D0%B7%D0%B5%D0%BB%201989%20%D1%84%D0%B8%D0%BB%D1%8C%D0%BC","искать")</f>
        <v/>
      </c>
      <c r="N2154" s="3" t="n"/>
      <c r="O2154" s="2" t="n"/>
      <c r="P2154" s="2" t="n"/>
    </row>
    <row r="2155">
      <c r="A2155" s="2" t="n">
        <v>2154</v>
      </c>
      <c r="B2155" s="2" t="inlineStr">
        <is>
          <t>не сюжет</t>
        </is>
      </c>
      <c r="C2155" s="2" t="n">
        <v>7573</v>
      </c>
      <c r="D2155" s="3" t="inlineStr">
        <is>
          <t>Её домбры был верен звук</t>
        </is>
      </c>
      <c r="E2155" s="2" t="n">
        <v>1983</v>
      </c>
      <c r="F2155" s="2" t="inlineStr">
        <is>
          <t>телефильм</t>
        </is>
      </c>
      <c r="G2155" s="2" t="n"/>
      <c r="H2155" s="2" t="n">
        <v>100</v>
      </c>
      <c r="I2155" s="2" t="inlineStr"/>
      <c r="J2155" s="2" t="inlineStr">
        <is>
          <t>да</t>
        </is>
      </c>
      <c r="K2155" s="3" t="inlineStr">
        <is>
          <t>Фильм о жизни и творчестве выдающейся казахской домбристки и народного композитора Дины Нурпеисовой.</t>
        </is>
      </c>
      <c r="L2155" s="2" t="inlineStr">
        <is>
          <t>Кино_СССР сводный каталог.xlsx: список телефильмов</t>
        </is>
      </c>
      <c r="M2155" s="2">
        <f>HYPERLINK("https://ru.wikipedia.org/w/index.php?search=%D0%95%D1%91%20%D0%B4%D0%BE%D0%BC%D0%B1%D1%80%D1%8B%20%D0%B1%D1%8B%D0%BB%20%D0%B2%D0%B5%D1%80%D0%B5%D0%BD%20%D0%B7%D0%B2%D1%83%D0%BA%201983%20%D1%84%D0%B8%D0%BB%D1%8C%D0%BC","искать")</f>
        <v/>
      </c>
      <c r="N2155" s="3" t="n"/>
      <c r="O2155" s="2" t="n"/>
      <c r="P2155" s="2" t="n"/>
    </row>
    <row r="2156">
      <c r="A2156" s="2" t="n">
        <v>2155</v>
      </c>
      <c r="B2156" s="2" t="inlineStr">
        <is>
          <t>не сюжет</t>
        </is>
      </c>
      <c r="C2156" s="2" t="n">
        <v>8303</v>
      </c>
      <c r="D2156" s="3" t="inlineStr">
        <is>
          <t>Свадьба в лесу</t>
        </is>
      </c>
      <c r="E2156" s="2" t="n">
        <v>1984</v>
      </c>
      <c r="F2156" s="2" t="inlineStr">
        <is>
          <t>телефильм</t>
        </is>
      </c>
      <c r="G2156" s="2" t="n"/>
      <c r="H2156" s="2" t="n">
        <v>100</v>
      </c>
      <c r="I2156" s="2" t="inlineStr"/>
      <c r="J2156" s="2" t="inlineStr">
        <is>
          <t>да</t>
        </is>
      </c>
      <c r="K2156" s="3" t="inlineStr">
        <is>
          <t>Художественный фильм по мотивам романа Й.Хорвата "Ни сон, ни явь" об отношениях человека  и природы.</t>
        </is>
      </c>
      <c r="L2156" s="2" t="inlineStr">
        <is>
          <t>Кино_СССР сводный каталог.xlsx: список телефильмов</t>
        </is>
      </c>
      <c r="M2156" s="2">
        <f>HYPERLINK("https://ru.wikipedia.org/w/index.php?search=%D0%A1%D0%B2%D0%B0%D0%B4%D1%8C%D0%B1%D0%B0%20%D0%B2%20%D0%BB%D0%B5%D1%81%D1%83%201984%20%D1%84%D0%B8%D0%BB%D1%8C%D0%BC","искать")</f>
        <v/>
      </c>
      <c r="N2156" s="3" t="n"/>
      <c r="O2156" s="2" t="n"/>
      <c r="P2156" s="2" t="n"/>
    </row>
    <row r="2157">
      <c r="A2157" s="2" t="n">
        <v>2156</v>
      </c>
      <c r="B2157" s="2" t="inlineStr">
        <is>
          <t>не сюжет</t>
        </is>
      </c>
      <c r="C2157" s="2" t="n">
        <v>10421</v>
      </c>
      <c r="D2157" s="3" t="inlineStr">
        <is>
          <t>Таланты и поклонники</t>
        </is>
      </c>
      <c r="E2157" s="2" t="n">
        <v>1971</v>
      </c>
      <c r="F2157" s="2" t="inlineStr">
        <is>
          <t>фильм-спектакль</t>
        </is>
      </c>
      <c r="G2157" s="2" t="inlineStr">
        <is>
          <t>Главная редакция литературно-драматических программ Центрального телевидения</t>
        </is>
      </c>
      <c r="H2157" s="2" t="n">
        <v>100</v>
      </c>
      <c r="I2157" s="2" t="inlineStr"/>
      <c r="J2157" s="2" t="inlineStr">
        <is>
          <t>да</t>
        </is>
      </c>
      <c r="K2157" s="3" t="inlineStr">
        <is>
          <t>По пьесе А. Н. Островского.
Спектакль Московского театра им. Маяковского (постановщик М.И. Кнебель).</t>
        </is>
      </c>
      <c r="L2157" s="2" t="inlineStr">
        <is>
          <t>https://www.kino-teatr.ru/teatr/movie/9283/annot/</t>
        </is>
      </c>
      <c r="M2157" s="2">
        <f>HYPERLINK("https://ru.wikipedia.org/w/index.php?search=%D0%A2%D0%B0%D0%BB%D0%B0%D0%BD%D1%82%D1%8B%20%D0%B8%20%D0%BF%D0%BE%D0%BA%D0%BB%D0%BE%D0%BD%D0%BD%D0%B8%D0%BA%D0%B8%201971%20%D1%84%D0%B8%D0%BB%D1%8C%D0%BC","искать")</f>
        <v/>
      </c>
      <c r="N2157" s="3" t="n"/>
      <c r="O2157" s="2" t="n"/>
      <c r="P2157" s="2" t="n"/>
    </row>
    <row r="2158">
      <c r="A2158" s="2" t="n">
        <v>2157</v>
      </c>
      <c r="B2158" s="2" t="inlineStr">
        <is>
          <t>не сюжет</t>
        </is>
      </c>
      <c r="C2158" s="2" t="n">
        <v>11556</v>
      </c>
      <c r="D2158" s="3" t="inlineStr">
        <is>
          <t>СОГЛАСОВАННЫЙ ПИДЖАК ("Фитиль" N 50)</t>
        </is>
      </c>
      <c r="E2158" s="2" t="n">
        <v>1969</v>
      </c>
      <c r="F2158" s="2" t="inlineStr">
        <is>
          <t>мультфильм</t>
        </is>
      </c>
      <c r="G2158" s="2" t="inlineStr">
        <is>
          <t>Союзмультфильм</t>
        </is>
      </c>
      <c r="H2158" s="2" t="n">
        <v>100</v>
      </c>
      <c r="I2158" s="2" t="inlineStr"/>
      <c r="J2158" s="2" t="inlineStr">
        <is>
          <t>да</t>
        </is>
      </c>
      <c r="K2158" s="3" t="inlineStr">
        <is>
          <t>Фильм для журнала Фитиль №50. Это сатирический фильм о проблемах современной швейной промышленности.</t>
        </is>
      </c>
      <c r="L2158" s="2" t="inlineStr">
        <is>
          <t>https://animator.ru/db/?p=show_film&amp;fid=2391</t>
        </is>
      </c>
      <c r="M2158" s="2">
        <f>HYPERLINK("https://ru.wikipedia.org/w/index.php?search=%D0%A1%D0%9E%D0%93%D0%9B%D0%90%D0%A1%D0%9E%D0%92%D0%90%D0%9D%D0%9D%D0%AB%D0%99%20%D0%9F%D0%98%D0%94%D0%96%D0%90%D0%9A%20%28%22%D0%A4%D0%B8%D1%82%D0%B8%D0%BB%D1%8C%22%20N%2050%29%201969%20%D1%84%D0%B8%D0%BB%D1%8C%D0%BC","искать")</f>
        <v/>
      </c>
      <c r="N2158" s="3" t="n"/>
      <c r="O2158" s="2" t="n"/>
      <c r="P2158" s="2" t="n"/>
    </row>
    <row r="2159">
      <c r="A2159" s="2" t="n">
        <v>2158</v>
      </c>
      <c r="B2159" s="2" t="inlineStr">
        <is>
          <t>не сюжет</t>
        </is>
      </c>
      <c r="C2159" s="2" t="n">
        <v>12093</v>
      </c>
      <c r="D2159" s="3" t="inlineStr">
        <is>
          <t>Про шмелей и королей</t>
        </is>
      </c>
      <c r="E2159" s="2" t="n">
        <v>1984</v>
      </c>
      <c r="F2159" s="2" t="inlineStr">
        <is>
          <t>мультфильм</t>
        </is>
      </c>
      <c r="G2159" s="2" t="inlineStr">
        <is>
          <t>Союзмультфильм</t>
        </is>
      </c>
      <c r="H2159" s="2" t="n">
        <v>100</v>
      </c>
      <c r="I2159" s="2" t="inlineStr"/>
      <c r="J2159" s="2" t="inlineStr">
        <is>
          <t>да</t>
        </is>
      </c>
      <c r="K2159" s="3" t="inlineStr">
        <is>
          <t>По мотивам сказки Казиса Сая. Музыка в исполнении фольклорного ансамбля под руководством В.Назарова.</t>
        </is>
      </c>
      <c r="L2159" s="2" t="inlineStr">
        <is>
          <t>2026-10_мультфильмы_список_владельца.xlsx; https://animator.ru/db/?p=show_film&amp;fid=3209</t>
        </is>
      </c>
      <c r="M2159" s="2">
        <f>HYPERLINK("https://ru.wikipedia.org/w/index.php?search=%D0%9F%D1%80%D0%BE%20%D1%88%D0%BC%D0%B5%D0%BB%D0%B5%D0%B9%20%D0%B8%20%D0%BA%D0%BE%D1%80%D0%BE%D0%BB%D0%B5%D0%B9%201984%20%D1%84%D0%B8%D0%BB%D1%8C%D0%BC","искать")</f>
        <v/>
      </c>
      <c r="N2159" s="3" t="n"/>
      <c r="O2159" s="2" t="n"/>
      <c r="P2159" s="2" t="n"/>
    </row>
    <row r="2160">
      <c r="A2160" s="2" t="n">
        <v>2159</v>
      </c>
      <c r="B2160" s="2" t="inlineStr">
        <is>
          <t>не сюжет</t>
        </is>
      </c>
      <c r="C2160" s="2" t="n">
        <v>12766</v>
      </c>
      <c r="D2160" s="3" t="inlineStr">
        <is>
          <t>Кто покрасил Красное море</t>
        </is>
      </c>
      <c r="E2160" s="2" t="n">
        <v>1986</v>
      </c>
      <c r="F2160" s="2" t="inlineStr">
        <is>
          <t>мультфильм</t>
        </is>
      </c>
      <c r="G2160" s="2" t="inlineStr">
        <is>
          <t>АРМЕНФИЛЬМ</t>
        </is>
      </c>
      <c r="H2160" s="2" t="n">
        <v>100</v>
      </c>
      <c r="I2160" s="2" t="inlineStr"/>
      <c r="J2160" s="2" t="inlineStr">
        <is>
          <t>да</t>
        </is>
      </c>
      <c r="K2160" s="3" t="inlineStr">
        <is>
          <t>Здесь можно посмотреть онлайн и скачать мультфильм "Кто покрасил Красное море" (АРМЕНФИЛЬМ, 1986 г.)</t>
        </is>
      </c>
      <c r="L2160" s="2" t="inlineStr">
        <is>
          <t>2026-10_мультфильмы_список_владельца.xlsx; https://animator.ru/db/?p=show_film&amp;fid=3975</t>
        </is>
      </c>
      <c r="M2160" s="2">
        <f>HYPERLINK("https://ru.wikipedia.org/w/index.php?search=%D0%9A%D1%82%D0%BE%20%D0%BF%D0%BE%D0%BA%D1%80%D0%B0%D1%81%D0%B8%D0%BB%20%D0%9A%D1%80%D0%B0%D1%81%D0%BD%D0%BE%D0%B5%20%D0%BC%D0%BE%D1%80%D0%B5%201986%20%D1%84%D0%B8%D0%BB%D1%8C%D0%BC","искать")</f>
        <v/>
      </c>
      <c r="N2160" s="3" t="n"/>
      <c r="O2160" s="2" t="n"/>
      <c r="P2160" s="2" t="n"/>
    </row>
    <row r="2161">
      <c r="A2161" s="2" t="n">
        <v>2160</v>
      </c>
      <c r="B2161" s="2" t="inlineStr">
        <is>
          <t>не сюжет</t>
        </is>
      </c>
      <c r="C2161" s="2" t="n">
        <v>13416</v>
      </c>
      <c r="D2161" s="3" t="inlineStr">
        <is>
          <t>Ушастик и его друзья</t>
        </is>
      </c>
      <c r="E2161" s="2" t="n">
        <v>1981</v>
      </c>
      <c r="F2161" s="2" t="inlineStr">
        <is>
          <t>мультфильм</t>
        </is>
      </c>
      <c r="G2161" s="2" t="inlineStr">
        <is>
          <t>ЭКРАН</t>
        </is>
      </c>
      <c r="H2161" s="2" t="n">
        <v>100</v>
      </c>
      <c r="I2161" s="2" t="inlineStr"/>
      <c r="J2161" s="2" t="inlineStr">
        <is>
          <t>да</t>
        </is>
      </c>
      <c r="K2161" s="3" t="inlineStr">
        <is>
          <t>Здесь можно посмотреть онлайн и скачать мультфильм "Ушастик и его друзья" (Экран, 1981 г.) (Ушастик)</t>
        </is>
      </c>
      <c r="L2161" s="2" t="inlineStr">
        <is>
          <t>2026-10_мультфильмы_список_владельца.xlsx; https://animator.ru/db/?p=show_film&amp;fid=4697</t>
        </is>
      </c>
      <c r="M2161" s="2">
        <f>HYPERLINK("https://ru.wikipedia.org/w/index.php?search=%D0%A3%D1%88%D0%B0%D1%81%D1%82%D0%B8%D0%BA%20%D0%B8%20%D0%B5%D0%B3%D0%BE%20%D0%B4%D1%80%D1%83%D0%B7%D1%8C%D1%8F%201981%20%D1%84%D0%B8%D0%BB%D1%8C%D0%BC","искать")</f>
        <v/>
      </c>
      <c r="N2161" s="3" t="n"/>
      <c r="O2161" s="2" t="n"/>
      <c r="P2161" s="2" t="n"/>
    </row>
    <row r="2162">
      <c r="A2162" s="2" t="n">
        <v>2161</v>
      </c>
      <c r="B2162" s="2" t="inlineStr">
        <is>
          <t>не сюжет</t>
        </is>
      </c>
      <c r="C2162" s="2" t="n">
        <v>13870</v>
      </c>
      <c r="D2162" s="3" t="inlineStr">
        <is>
          <t>Разрешите пройти</t>
        </is>
      </c>
      <c r="E2162" s="2" t="n">
        <v>1987</v>
      </c>
      <c r="F2162" s="2" t="inlineStr">
        <is>
          <t>мультфильм</t>
        </is>
      </c>
      <c r="G2162" s="2" t="inlineStr">
        <is>
          <t>ЭКРАН</t>
        </is>
      </c>
      <c r="H2162" s="2" t="n">
        <v>100</v>
      </c>
      <c r="I2162" s="2" t="inlineStr"/>
      <c r="J2162" s="2" t="inlineStr">
        <is>
          <t>да</t>
        </is>
      </c>
      <c r="K2162" s="3" t="inlineStr">
        <is>
          <t>По мотивам рассказа эстонского писателя А. Валтона "Проток". "Производственная" сатира. Для взрослых</t>
        </is>
      </c>
      <c r="L2162" s="2" t="inlineStr">
        <is>
          <t>https://animator.ru/db/?p=show_film&amp;fid=5263</t>
        </is>
      </c>
      <c r="M2162" s="2">
        <f>HYPERLINK("https://ru.wikipedia.org/w/index.php?search=%D0%A0%D0%B0%D0%B7%D1%80%D0%B5%D1%88%D0%B8%D1%82%D0%B5%20%D0%BF%D1%80%D0%BE%D0%B9%D1%82%D0%B8%201987%20%D1%84%D0%B8%D0%BB%D1%8C%D0%BC","искать")</f>
        <v/>
      </c>
      <c r="N2162" s="3" t="n"/>
      <c r="O2162" s="2" t="n"/>
      <c r="P2162" s="2" t="n"/>
    </row>
    <row r="2163">
      <c r="A2163" s="2" t="n">
        <v>2162</v>
      </c>
      <c r="B2163" s="2" t="inlineStr">
        <is>
          <t>не сюжет</t>
        </is>
      </c>
      <c r="C2163" s="2" t="n">
        <v>13980</v>
      </c>
      <c r="D2163" s="3" t="inlineStr">
        <is>
          <t>Гребля на каноэ</t>
        </is>
      </c>
      <c r="E2163" s="2" t="n">
        <v>1980</v>
      </c>
      <c r="F2163" s="2" t="inlineStr">
        <is>
          <t>мультфильм</t>
        </is>
      </c>
      <c r="G2163" s="2" t="inlineStr">
        <is>
          <t>ЭКРАН</t>
        </is>
      </c>
      <c r="H2163" s="2" t="n">
        <v>100</v>
      </c>
      <c r="I2163" s="2" t="inlineStr"/>
      <c r="J2163" s="2" t="inlineStr">
        <is>
          <t>да</t>
        </is>
      </c>
      <c r="K2163" s="3" t="inlineStr">
        <is>
          <t>Здесь можно посмотреть онлайн и скачать мультфильм "Гребля на каноэ" (ЭКРАН, 1980 г.) (Олимпиада-80)</t>
        </is>
      </c>
      <c r="L2163" s="2" t="inlineStr">
        <is>
          <t>2026-10_мультфильмы_список_владельца.xlsx; https://animator.ru/db/?p=show_film&amp;fid=5374</t>
        </is>
      </c>
      <c r="M2163" s="2">
        <f>HYPERLINK("https://ru.wikipedia.org/w/index.php?search=%D0%93%D1%80%D0%B5%D0%B1%D0%BB%D1%8F%20%D0%BD%D0%B0%20%D0%BA%D0%B0%D0%BD%D0%BE%D1%8D%201980%20%D1%84%D0%B8%D0%BB%D1%8C%D0%BC","искать")</f>
        <v/>
      </c>
      <c r="N2163" s="3" t="n"/>
      <c r="O2163" s="2" t="n"/>
      <c r="P2163" s="2" t="n"/>
    </row>
    <row r="2164">
      <c r="A2164" s="2" t="n">
        <v>2163</v>
      </c>
      <c r="B2164" s="2" t="inlineStr">
        <is>
          <t>не сюжет</t>
        </is>
      </c>
      <c r="C2164" s="2" t="n">
        <v>13993</v>
      </c>
      <c r="D2164" s="3" t="inlineStr">
        <is>
          <t>Чудесное яблоко</t>
        </is>
      </c>
      <c r="E2164" s="2" t="n">
        <v>1988</v>
      </c>
      <c r="F2164" s="2" t="inlineStr">
        <is>
          <t>мультфильм</t>
        </is>
      </c>
      <c r="G2164" s="2" t="inlineStr">
        <is>
          <t>ЭКРАН</t>
        </is>
      </c>
      <c r="H2164" s="2" t="n">
        <v>100</v>
      </c>
      <c r="I2164" s="2" t="inlineStr"/>
      <c r="J2164" s="2" t="inlineStr">
        <is>
          <t>да</t>
        </is>
      </c>
      <c r="K2164" s="3" t="inlineStr">
        <is>
          <t>По мотивам сказки Е.Честнякова о чудо-яблоке, огромном, как чудо-репка в известной сказке. Для детей</t>
        </is>
      </c>
      <c r="L2164" s="2" t="inlineStr">
        <is>
          <t>https://animator.ru/db/?p=show_film&amp;fid=5387</t>
        </is>
      </c>
      <c r="M2164" s="2">
        <f>HYPERLINK("https://ru.wikipedia.org/w/index.php?search=%D0%A7%D1%83%D0%B4%D0%B5%D1%81%D0%BD%D0%BE%D0%B5%20%D1%8F%D0%B1%D0%BB%D0%BE%D0%BA%D0%BE%201988%20%D1%84%D0%B8%D0%BB%D1%8C%D0%BC","искать")</f>
        <v/>
      </c>
      <c r="N2164" s="3" t="n"/>
      <c r="O2164" s="2" t="n"/>
      <c r="P2164" s="2" t="n"/>
    </row>
    <row r="2165">
      <c r="A2165" s="2" t="n">
        <v>2164</v>
      </c>
      <c r="B2165" s="2" t="inlineStr">
        <is>
          <t>не сюжет</t>
        </is>
      </c>
      <c r="C2165" s="2" t="n">
        <v>7287</v>
      </c>
      <c r="D2165" s="3" t="inlineStr">
        <is>
          <t>Быть братом</t>
        </is>
      </c>
      <c r="E2165" s="2" t="n">
        <v>1976</v>
      </c>
      <c r="F2165" s="2" t="inlineStr">
        <is>
          <t>телефильм</t>
        </is>
      </c>
      <c r="G2165" s="2" t="inlineStr">
        <is>
          <t>к/с им. Довженко</t>
        </is>
      </c>
      <c r="H2165" s="2" t="n">
        <v>101</v>
      </c>
      <c r="I2165" s="2" t="inlineStr"/>
      <c r="J2165" s="2" t="inlineStr">
        <is>
          <t>да</t>
        </is>
      </c>
      <c r="K2165" s="3" t="inlineStr">
        <is>
          <t>Телевизионный фильм. О рабочих, чья судьба неразрывно связана с заводом и проблемами заводской жизни.</t>
        </is>
      </c>
      <c r="L2165" s="2" t="inlineStr">
        <is>
          <t>Кино_СССР сводный каталог.xlsx: список телефильмов</t>
        </is>
      </c>
      <c r="M2165" s="2">
        <f>HYPERLINK("https://ru.wikipedia.org/w/index.php?search=%D0%91%D1%8B%D1%82%D1%8C%20%D0%B1%D1%80%D0%B0%D1%82%D0%BE%D0%BC%201976%20%D1%84%D0%B8%D0%BB%D1%8C%D0%BC","искать")</f>
        <v/>
      </c>
      <c r="N2165" s="3" t="n"/>
      <c r="O2165" s="2" t="n"/>
      <c r="P2165" s="2" t="inlineStr">
        <is>
          <t>Википедия: «Быть братом» — по сверке другой фильм, не предложено</t>
        </is>
      </c>
    </row>
    <row r="2166">
      <c r="A2166" s="2" t="n">
        <v>2165</v>
      </c>
      <c r="B2166" s="2" t="inlineStr">
        <is>
          <t>не сюжет</t>
        </is>
      </c>
      <c r="C2166" s="2" t="n">
        <v>8047</v>
      </c>
      <c r="D2166" s="3" t="inlineStr">
        <is>
          <t>Опровержение</t>
        </is>
      </c>
      <c r="E2166" s="2" t="n">
        <v>1976</v>
      </c>
      <c r="F2166" s="2" t="inlineStr">
        <is>
          <t>телефильм</t>
        </is>
      </c>
      <c r="G2166" s="2" t="n"/>
      <c r="H2166" s="2" t="n">
        <v>101</v>
      </c>
      <c r="I2166" s="2" t="inlineStr"/>
      <c r="J2166" s="2" t="inlineStr">
        <is>
          <t>да</t>
        </is>
      </c>
      <c r="K2166" s="3" t="inlineStr">
        <is>
          <t>Герои проблемного фильма о колхозном строительстве — журналисты одной из районных газет Нечерноземья.</t>
        </is>
      </c>
      <c r="L2166" s="2" t="inlineStr">
        <is>
          <t>Кино_СССР сводный каталог.xlsx: список телефильмов</t>
        </is>
      </c>
      <c r="M2166" s="2">
        <f>HYPERLINK("https://ru.wikipedia.org/w/index.php?search=%D0%9E%D0%BF%D1%80%D0%BE%D0%B2%D0%B5%D1%80%D0%B6%D0%B5%D0%BD%D0%B8%D0%B5%201976%20%D1%84%D0%B8%D0%BB%D1%8C%D0%BC","искать")</f>
        <v/>
      </c>
      <c r="N2166" s="3" t="n"/>
      <c r="O2166" s="2" t="n"/>
      <c r="P2166" s="2" t="n"/>
    </row>
    <row r="2167">
      <c r="A2167" s="2" t="n">
        <v>2166</v>
      </c>
      <c r="B2167" s="2" t="inlineStr">
        <is>
          <t>не сюжет</t>
        </is>
      </c>
      <c r="C2167" s="2" t="n">
        <v>10455</v>
      </c>
      <c r="D2167" s="3" t="inlineStr">
        <is>
          <t>На дне</t>
        </is>
      </c>
      <c r="E2167" s="2" t="n">
        <v>1972</v>
      </c>
      <c r="F2167" s="2" t="inlineStr">
        <is>
          <t>фильм-спектакль</t>
        </is>
      </c>
      <c r="G2167" s="2" t="inlineStr">
        <is>
          <t>ТО "Экран"</t>
        </is>
      </c>
      <c r="H2167" s="2" t="n">
        <v>101</v>
      </c>
      <c r="I2167" s="2" t="inlineStr"/>
      <c r="J2167" s="2" t="inlineStr">
        <is>
          <t>да</t>
        </is>
      </c>
      <c r="K2167" s="3" t="inlineStr">
        <is>
          <t>Экранизация пьесы "На дне" М.Горького. Фильм-спектакль в постановке Московского театра "Современник".</t>
        </is>
      </c>
      <c r="L2167" s="2" t="inlineStr">
        <is>
          <t>https://www.kino-teatr.ru/teatr/movie/4163/annot/</t>
        </is>
      </c>
      <c r="M2167" s="2">
        <f>HYPERLINK("https://ru.wikipedia.org/w/index.php?search=%D0%9D%D0%B0%20%D0%B4%D0%BD%D0%B5%201972%20%D1%84%D0%B8%D0%BB%D1%8C%D0%BC","искать")</f>
        <v/>
      </c>
      <c r="N2167" s="3" t="n"/>
      <c r="O2167" s="2" t="n"/>
      <c r="P2167" s="2" t="n"/>
    </row>
    <row r="2168">
      <c r="A2168" s="2" t="n">
        <v>2167</v>
      </c>
      <c r="B2168" s="2" t="inlineStr">
        <is>
          <t>не сюжет</t>
        </is>
      </c>
      <c r="C2168" s="2" t="n">
        <v>10610</v>
      </c>
      <c r="D2168" s="3" t="inlineStr">
        <is>
          <t>Золотая стена</t>
        </is>
      </c>
      <c r="E2168" s="2" t="n">
        <v>1975</v>
      </c>
      <c r="F2168" s="2" t="inlineStr">
        <is>
          <t>фильм-спектакль</t>
        </is>
      </c>
      <c r="G2168" s="2" t="n"/>
      <c r="H2168" s="2" t="n">
        <v>101</v>
      </c>
      <c r="I2168" s="2" t="inlineStr"/>
      <c r="J2168" s="2" t="inlineStr">
        <is>
          <t>да</t>
        </is>
      </c>
      <c r="K2168" s="3" t="inlineStr">
        <is>
          <t>Фильм снят по одноименной пьесе известного узбекского поэта и драматурга Эркина Вахидова (1936-2016).</t>
        </is>
      </c>
      <c r="L2168" s="2" t="inlineStr">
        <is>
          <t>https://www.kino-teatr.ru/teatr/movie/191010/annot/</t>
        </is>
      </c>
      <c r="M2168" s="2">
        <f>HYPERLINK("https://ru.wikipedia.org/w/index.php?search=%D0%97%D0%BE%D0%BB%D0%BE%D1%82%D0%B0%D1%8F%20%D1%81%D1%82%D0%B5%D0%BD%D0%B0%201975%20%D1%84%D0%B8%D0%BB%D1%8C%D0%BC","искать")</f>
        <v/>
      </c>
      <c r="N2168" s="3" t="n"/>
      <c r="O2168" s="2" t="n"/>
      <c r="P2168" s="2" t="n"/>
    </row>
    <row r="2169">
      <c r="A2169" s="2" t="n">
        <v>2168</v>
      </c>
      <c r="B2169" s="2" t="inlineStr">
        <is>
          <t>не сюжет</t>
        </is>
      </c>
      <c r="C2169" s="2" t="n">
        <v>11335</v>
      </c>
      <c r="D2169" s="3" t="inlineStr">
        <is>
          <t>В салоне и в клетке</t>
        </is>
      </c>
      <c r="E2169" s="2" t="n">
        <v>1991</v>
      </c>
      <c r="F2169" s="2" t="inlineStr">
        <is>
          <t>фильм-спектакль</t>
        </is>
      </c>
      <c r="G2169" s="2" t="inlineStr">
        <is>
          <t>ETV teleteater</t>
        </is>
      </c>
      <c r="H2169" s="2" t="n">
        <v>101</v>
      </c>
      <c r="I2169" s="2" t="inlineStr"/>
      <c r="J2169" s="2" t="inlineStr">
        <is>
          <t>да</t>
        </is>
      </c>
      <c r="K2169" s="3" t="inlineStr">
        <is>
          <t>Спектакль поставлен по одноименной пьесе эстонского писателя и драматурга Хуго Раудсеппа (1887-1951).</t>
        </is>
      </c>
      <c r="L2169" s="2" t="inlineStr">
        <is>
          <t>https://www.kino-teatr.ru/teatr/movie/89050/annot/</t>
        </is>
      </c>
      <c r="M2169" s="2">
        <f>HYPERLINK("https://ru.wikipedia.org/w/index.php?search=%D0%92%20%D1%81%D0%B0%D0%BB%D0%BE%D0%BD%D0%B5%20%D0%B8%20%D0%B2%20%D0%BA%D0%BB%D0%B5%D1%82%D0%BA%D0%B5%201991%20%D1%84%D0%B8%D0%BB%D1%8C%D0%BC","искать")</f>
        <v/>
      </c>
      <c r="N2169" s="3" t="n"/>
      <c r="O2169" s="2" t="n"/>
      <c r="P2169" s="2" t="n"/>
    </row>
    <row r="2170">
      <c r="A2170" s="2" t="n">
        <v>2169</v>
      </c>
      <c r="B2170" s="2" t="inlineStr">
        <is>
          <t>не сюжет</t>
        </is>
      </c>
      <c r="C2170" s="2" t="n">
        <v>11454</v>
      </c>
      <c r="D2170" s="3" t="inlineStr">
        <is>
          <t>Песня о Соколе</t>
        </is>
      </c>
      <c r="E2170" s="2" t="n">
        <v>1967</v>
      </c>
      <c r="F2170" s="2" t="inlineStr">
        <is>
          <t>мультфильм</t>
        </is>
      </c>
      <c r="G2170" s="2" t="inlineStr">
        <is>
          <t>Союзмультфильм</t>
        </is>
      </c>
      <c r="H2170" s="2" t="n">
        <v>101</v>
      </c>
      <c r="I2170" s="2" t="inlineStr"/>
      <c r="J2170" s="2" t="inlineStr">
        <is>
          <t>да</t>
        </is>
      </c>
      <c r="K2170" s="3" t="inlineStr">
        <is>
          <t>По стихотворению Горького. На музыку из произведений Скрябина. Выполнен в технике живописи по стеклу.</t>
        </is>
      </c>
      <c r="L2170" s="2" t="inlineStr">
        <is>
          <t>https://animator.ru/db/?p=show_film&amp;fid=2225</t>
        </is>
      </c>
      <c r="M2170" s="2">
        <f>HYPERLINK("https://ru.wikipedia.org/w/index.php?search=%D0%9F%D0%B5%D1%81%D0%BD%D1%8F%20%D0%BE%20%D0%A1%D0%BE%D0%BA%D0%BE%D0%BB%D0%B5%201967%20%D1%84%D0%B8%D0%BB%D1%8C%D0%BC","искать")</f>
        <v/>
      </c>
      <c r="N2170" s="3" t="n"/>
      <c r="O2170" s="2" t="n"/>
      <c r="P2170" s="2" t="n"/>
    </row>
    <row r="2171">
      <c r="A2171" s="2" t="n">
        <v>2170</v>
      </c>
      <c r="B2171" s="2" t="inlineStr">
        <is>
          <t>не сюжет</t>
        </is>
      </c>
      <c r="C2171" s="2" t="n">
        <v>12283</v>
      </c>
      <c r="D2171" s="3" t="inlineStr">
        <is>
          <t>От дождя до дождя</t>
        </is>
      </c>
      <c r="E2171" s="2" t="n">
        <v>1990</v>
      </c>
      <c r="F2171" s="2" t="inlineStr">
        <is>
          <t>мультфильм</t>
        </is>
      </c>
      <c r="G2171" s="2" t="inlineStr">
        <is>
          <t>Союзмультфильм</t>
        </is>
      </c>
      <c r="H2171" s="2" t="n">
        <v>101</v>
      </c>
      <c r="I2171" s="2" t="inlineStr"/>
      <c r="J2171" s="2" t="inlineStr">
        <is>
          <t>да</t>
        </is>
      </c>
      <c r="K2171" s="3" t="inlineStr">
        <is>
          <t>По мотивам корейской сказки "Тысяченожка и червяк" Музыка записана Б. Венгеровским на к/ст "Мосфильм"</t>
        </is>
      </c>
      <c r="L2171" s="2" t="inlineStr">
        <is>
          <t>https://animator.ru/db/?p=show_film&amp;fid=3400</t>
        </is>
      </c>
      <c r="M2171" s="2">
        <f>HYPERLINK("https://ru.wikipedia.org/w/index.php?search=%D0%9E%D1%82%20%D0%B4%D0%BE%D0%B6%D0%B4%D1%8F%20%D0%B4%D0%BE%20%D0%B4%D0%BE%D0%B6%D0%B4%D1%8F%201990%20%D1%84%D0%B8%D0%BB%D1%8C%D0%BC","искать")</f>
        <v/>
      </c>
      <c r="N2171" s="3" t="n"/>
      <c r="O2171" s="2" t="n"/>
      <c r="P2171" s="2" t="n"/>
    </row>
    <row r="2172">
      <c r="A2172" s="2" t="n">
        <v>2171</v>
      </c>
      <c r="B2172" s="2" t="inlineStr">
        <is>
          <t>не сюжет</t>
        </is>
      </c>
      <c r="C2172" s="2" t="n">
        <v>13409</v>
      </c>
      <c r="D2172" s="3" t="inlineStr">
        <is>
          <t>Пиф-паф, ой-ой-ой!</t>
        </is>
      </c>
      <c r="E2172" s="2" t="n">
        <v>1980</v>
      </c>
      <c r="F2172" s="2" t="inlineStr">
        <is>
          <t>мультфильм</t>
        </is>
      </c>
      <c r="G2172" s="2" t="inlineStr">
        <is>
          <t>ЭКРАН</t>
        </is>
      </c>
      <c r="H2172" s="2" t="n">
        <v>101</v>
      </c>
      <c r="I2172" s="2" t="inlineStr"/>
      <c r="J2172" s="2" t="inlineStr">
        <is>
          <t>да</t>
        </is>
      </c>
      <c r="K2172" s="3" t="inlineStr">
        <is>
          <t>Пародия на театральные штампы, разыгранная на сюжет популярного шуточного стихотворения. Для взрослых</t>
        </is>
      </c>
      <c r="L2172" s="2" t="inlineStr">
        <is>
          <t>https://animator.ru/db/?p=show_film&amp;fid=4689</t>
        </is>
      </c>
      <c r="M2172" s="2">
        <f>HYPERLINK("https://ru.wikipedia.org/w/index.php?search=%D0%9F%D0%B8%D1%84-%D0%BF%D0%B0%D1%84%2C%20%D0%BE%D0%B9-%D0%BE%D0%B9-%D0%BE%D0%B9%21%201980%20%D1%84%D0%B8%D0%BB%D1%8C%D0%BC","искать")</f>
        <v/>
      </c>
      <c r="N2172" s="3" t="n"/>
      <c r="O2172" s="2" t="n"/>
      <c r="P2172" s="2" t="n"/>
    </row>
    <row r="2173">
      <c r="A2173" s="2" t="n">
        <v>2172</v>
      </c>
      <c r="B2173" s="2" t="inlineStr">
        <is>
          <t>не сюжет</t>
        </is>
      </c>
      <c r="C2173" s="2" t="n">
        <v>14262</v>
      </c>
      <c r="D2173" s="3" t="inlineStr">
        <is>
          <t>Веселая карусель n 17. Вредный совет</t>
        </is>
      </c>
      <c r="E2173" s="2" t="n">
        <v>1980</v>
      </c>
      <c r="F2173" s="2" t="inlineStr">
        <is>
          <t>мультфильм</t>
        </is>
      </c>
      <c r="G2173" s="2" t="inlineStr">
        <is>
          <t>Союзмультфильм</t>
        </is>
      </c>
      <c r="H2173" s="2" t="n">
        <v>101</v>
      </c>
      <c r="I2173" s="2" t="inlineStr"/>
      <c r="J2173" s="2" t="inlineStr">
        <is>
          <t>да</t>
        </is>
      </c>
      <c r="K2173" s="3" t="inlineStr">
        <is>
          <t>Сюжет из альманаха «ВЕСЕЛАЯ КАРУСЕЛЬ N 17»
По стихотворению из цикла "Вредные советы" Григория Остера</t>
        </is>
      </c>
      <c r="L2173" s="2" t="inlineStr">
        <is>
          <t>https://animator.ru/db/?p=show_film&amp;fid=5704</t>
        </is>
      </c>
      <c r="M2173" s="2">
        <f>HYPERLINK("https://ru.wikipedia.org/w/index.php?search=%D0%92%D0%B5%D1%81%D0%B5%D0%BB%D0%B0%D1%8F%20%D0%BA%D0%B0%D1%80%D1%83%D1%81%D0%B5%D0%BB%D1%8C%20n%2017.%20%D0%92%D1%80%D0%B5%D0%B4%D0%BD%D1%8B%D0%B9%20%D1%81%D0%BE%D0%B2%D0%B5%D1%82%201980%20%D1%84%D0%B8%D0%BB%D1%8C%D0%BC","искать")</f>
        <v/>
      </c>
      <c r="N2173" s="3" t="n"/>
      <c r="O2173" s="2" t="n"/>
      <c r="P2173" s="2" t="n"/>
    </row>
    <row r="2174">
      <c r="A2174" s="2" t="n">
        <v>2173</v>
      </c>
      <c r="B2174" s="2" t="inlineStr">
        <is>
          <t>не сюжет</t>
        </is>
      </c>
      <c r="C2174" s="2" t="n">
        <v>14342</v>
      </c>
      <c r="D2174" s="3" t="inlineStr">
        <is>
          <t>Последний</t>
        </is>
      </c>
      <c r="E2174" s="2" t="n">
        <v>1991</v>
      </c>
      <c r="F2174" s="2" t="inlineStr">
        <is>
          <t>мультфильм</t>
        </is>
      </c>
      <c r="G2174" s="2" t="inlineStr">
        <is>
          <t>Пилот, ВИДЕОФИЛЬМ - дистрибюторская компания</t>
        </is>
      </c>
      <c r="H2174" s="2" t="n">
        <v>101</v>
      </c>
      <c r="I2174" s="2" t="inlineStr"/>
      <c r="J2174" s="2" t="inlineStr">
        <is>
          <t>да</t>
        </is>
      </c>
      <c r="K2174" s="3" t="inlineStr">
        <is>
          <t>История тоски птицы по полету и невозможности взлететь...Он был последним из тех, кто хотел улететь..</t>
        </is>
      </c>
      <c r="L2174" s="2" t="inlineStr">
        <is>
          <t>https://gosfilmofond.ru/films/256071/</t>
        </is>
      </c>
      <c r="M2174" s="2">
        <f>HYPERLINK("https://ru.wikipedia.org/w/index.php?search=%D0%9F%D0%BE%D1%81%D0%BB%D0%B5%D0%B4%D0%BD%D0%B8%D0%B9%201991%20%D1%84%D0%B8%D0%BB%D1%8C%D0%BC","искать")</f>
        <v/>
      </c>
      <c r="N2174" s="3" t="n"/>
      <c r="O2174" s="2" t="n"/>
      <c r="P2174" s="2" t="n"/>
    </row>
    <row r="2175">
      <c r="A2175" s="2" t="n">
        <v>2174</v>
      </c>
      <c r="B2175" s="2" t="inlineStr">
        <is>
          <t>не сюжет</t>
        </is>
      </c>
      <c r="C2175" s="2" t="n">
        <v>14414</v>
      </c>
      <c r="D2175" s="3" t="inlineStr">
        <is>
          <t>Диссонанс</t>
        </is>
      </c>
      <c r="E2175" s="2" t="n">
        <v>1991</v>
      </c>
      <c r="F2175" s="2" t="inlineStr">
        <is>
          <t>мультфильм</t>
        </is>
      </c>
      <c r="G2175" s="2" t="inlineStr">
        <is>
          <t>СОЮЗТЕЛЕФИЛЬМ</t>
        </is>
      </c>
      <c r="H2175" s="2" t="n">
        <v>101</v>
      </c>
      <c r="I2175" s="2" t="inlineStr"/>
      <c r="J2175" s="2" t="inlineStr">
        <is>
          <t>да</t>
        </is>
      </c>
      <c r="K2175" s="3" t="inlineStr">
        <is>
          <t>Фильм-притча о конфликте личности с обществом, который мешает ей испытать истинные свободу и счастье.</t>
        </is>
      </c>
      <c r="L2175" s="2" t="inlineStr">
        <is>
          <t>https://animator.ru/db/?p=show_film&amp;fid=6650</t>
        </is>
      </c>
      <c r="M2175" s="2">
        <f>HYPERLINK("https://ru.wikipedia.org/w/index.php?search=%D0%94%D0%B8%D1%81%D1%81%D0%BE%D0%BD%D0%B0%D0%BD%D1%81%201991%20%D1%84%D0%B8%D0%BB%D1%8C%D0%BC","искать")</f>
        <v/>
      </c>
      <c r="N2175" s="3" t="n"/>
      <c r="O2175" s="2" t="n"/>
      <c r="P2175" s="2" t="n"/>
    </row>
    <row r="2176">
      <c r="A2176" s="2" t="n">
        <v>2175</v>
      </c>
      <c r="B2176" s="2" t="inlineStr">
        <is>
          <t>не сюжет</t>
        </is>
      </c>
      <c r="C2176" s="2" t="n">
        <v>8211</v>
      </c>
      <c r="D2176" s="3" t="inlineStr">
        <is>
          <t>Приключения Шерлока Холмса и доктора Ватсона</t>
        </is>
      </c>
      <c r="E2176" s="2" t="n">
        <v>1979</v>
      </c>
      <c r="F2176" s="2" t="inlineStr">
        <is>
          <t>телефильм</t>
        </is>
      </c>
      <c r="G2176" s="2" t="n"/>
      <c r="H2176" s="2" t="n">
        <v>102</v>
      </c>
      <c r="I2176" s="2" t="inlineStr"/>
      <c r="J2176" s="2" t="inlineStr">
        <is>
          <t>да</t>
        </is>
      </c>
      <c r="K2176" s="3" t="inlineStr">
        <is>
          <t>Классическая экранизация избранных произведений Артура Конан Дойля о Шерлоке Холмсе и докторе Ватсоне.</t>
        </is>
      </c>
      <c r="L2176" s="2" t="inlineStr">
        <is>
          <t>Кино_СССР сводный каталог.xlsx: список телефильмов</t>
        </is>
      </c>
      <c r="M2176" s="2">
        <f>HYPERLINK("https://ru.wikipedia.org/w/index.php?search=%D0%9F%D1%80%D0%B8%D0%BA%D0%BB%D1%8E%D1%87%D0%B5%D0%BD%D0%B8%D1%8F%20%D0%A8%D0%B5%D1%80%D0%BB%D0%BE%D0%BA%D0%B0%20%D0%A5%D0%BE%D0%BB%D0%BC%D1%81%D0%B0%20%D0%B8%20%D0%B4%D0%BE%D0%BA%D1%82%D0%BE%D1%80%D0%B0%20%D0%92%D0%B0%D1%82%D1%81%D0%BE%D0%BD%D0%B0%201979%20%D1%84%D0%B8%D0%BB%D1%8C%D0%BC","искать")</f>
        <v/>
      </c>
      <c r="N2176" s="3" t="n"/>
      <c r="O2176" s="2" t="n"/>
      <c r="P2176" s="2" t="n"/>
    </row>
    <row r="2177">
      <c r="A2177" s="2" t="n">
        <v>2176</v>
      </c>
      <c r="B2177" s="2" t="inlineStr">
        <is>
          <t>не сюжет</t>
        </is>
      </c>
      <c r="C2177" s="2" t="n">
        <v>8300</v>
      </c>
      <c r="D2177" s="3" t="inlineStr">
        <is>
          <t>Саят-Нова</t>
        </is>
      </c>
      <c r="E2177" s="2" t="n">
        <v>1960</v>
      </c>
      <c r="F2177" s="2" t="inlineStr">
        <is>
          <t>телефильм</t>
        </is>
      </c>
      <c r="G2177" s="2" t="n"/>
      <c r="H2177" s="2" t="n">
        <v>102</v>
      </c>
      <c r="I2177" s="2" t="inlineStr"/>
      <c r="J2177" s="2" t="inlineStr">
        <is>
          <t>да</t>
        </is>
      </c>
      <c r="K2177" s="3" t="inlineStr">
        <is>
          <t>Սայաթ Նովա Телефильм. О любви и творчестве великого армянского поэта позднего средневековья Саят-Нова.</t>
        </is>
      </c>
      <c r="L2177" s="2" t="inlineStr">
        <is>
          <t>Кино_СССР сводный каталог.xlsx: список телефильмов</t>
        </is>
      </c>
      <c r="M2177" s="2">
        <f>HYPERLINK("https://ru.wikipedia.org/w/index.php?search=%D0%A1%D0%B0%D1%8F%D1%82-%D0%9D%D0%BE%D0%B2%D0%B0%201960%20%D1%84%D0%B8%D0%BB%D1%8C%D0%BC","искать")</f>
        <v/>
      </c>
      <c r="N2177" s="3" t="n"/>
      <c r="O2177" s="2" t="n"/>
      <c r="P2177" s="2" t="n"/>
    </row>
    <row r="2178">
      <c r="A2178" s="2" t="n">
        <v>2177</v>
      </c>
      <c r="B2178" s="2" t="inlineStr">
        <is>
          <t>не сюжет</t>
        </is>
      </c>
      <c r="C2178" s="2" t="n">
        <v>8653</v>
      </c>
      <c r="D2178" s="3" t="inlineStr">
        <is>
          <t>Весна, цветы и, конечно... любовь</t>
        </is>
      </c>
      <c r="E2178" s="2" t="n">
        <v>1961</v>
      </c>
      <c r="F2178" s="2" t="inlineStr">
        <is>
          <t>кинофильм</t>
        </is>
      </c>
      <c r="G2178" s="2" t="n"/>
      <c r="H2178" s="2" t="n">
        <v>102</v>
      </c>
      <c r="I2178" s="2" t="inlineStr"/>
      <c r="J2178" s="2" t="inlineStr">
        <is>
          <t>да</t>
        </is>
      </c>
      <c r="K2178" s="3" t="inlineStr">
        <is>
          <t>Романтическая музыкальная комедия о весне - поре светлых надежд, цветения молодости и, конечно, любви.</t>
        </is>
      </c>
      <c r="L2178" s="2" t="inlineStr">
        <is>
          <t>Кино_СССР сводный каталог.xlsx: список фильмов (доп.)</t>
        </is>
      </c>
      <c r="M2178" s="2">
        <f>HYPERLINK("https://ru.wikipedia.org/w/index.php?search=%D0%92%D0%B5%D1%81%D0%BD%D0%B0%2C%20%D1%86%D0%B2%D0%B5%D1%82%D1%8B%20%D0%B8%2C%20%D0%BA%D0%BE%D0%BD%D0%B5%D1%87%D0%BD%D0%BE...%20%D0%BB%D1%8E%D0%B1%D0%BE%D0%B2%D1%8C%201961%20%D1%84%D0%B8%D0%BB%D1%8C%D0%BC","искать")</f>
        <v/>
      </c>
      <c r="N2178" s="3" t="n"/>
      <c r="O2178" s="2" t="n"/>
      <c r="P2178" s="2" t="n"/>
    </row>
    <row r="2179">
      <c r="A2179" s="2" t="n">
        <v>2178</v>
      </c>
      <c r="B2179" s="2" t="inlineStr">
        <is>
          <t>не сюжет</t>
        </is>
      </c>
      <c r="C2179" s="2" t="n">
        <v>10239</v>
      </c>
      <c r="D2179" s="3" t="inlineStr">
        <is>
          <t>Воскресение в понедельник</t>
        </is>
      </c>
      <c r="E2179" s="2" t="n">
        <v>1968</v>
      </c>
      <c r="F2179" s="2" t="inlineStr">
        <is>
          <t>фильм-спектакль</t>
        </is>
      </c>
      <c r="G2179" s="2" t="inlineStr">
        <is>
          <t>Ленинградское ТВ</t>
        </is>
      </c>
      <c r="H2179" s="2" t="n">
        <v>102</v>
      </c>
      <c r="I2179" s="2" t="inlineStr"/>
      <c r="J2179" s="2" t="inlineStr">
        <is>
          <t>да</t>
        </is>
      </c>
      <c r="K2179" s="3" t="inlineStr">
        <is>
          <t>Фильм-спектакль по одноименной пьесе В.Дыховичного и М.Слободского высмеивает формализм и бюрократизм.</t>
        </is>
      </c>
      <c r="L2179" s="2" t="inlineStr">
        <is>
          <t>https://www.kino-teatr.ru/teatr/movie/92880/annot/</t>
        </is>
      </c>
      <c r="M2179" s="2">
        <f>HYPERLINK("https://ru.wikipedia.org/w/index.php?search=%D0%92%D0%BE%D1%81%D0%BA%D1%80%D0%B5%D1%81%D0%B5%D0%BD%D0%B8%D0%B5%20%D0%B2%20%D0%BF%D0%BE%D0%BD%D0%B5%D0%B4%D0%B5%D0%BB%D1%8C%D0%BD%D0%B8%D0%BA%201968%20%D1%84%D0%B8%D0%BB%D1%8C%D0%BC","искать")</f>
        <v/>
      </c>
      <c r="N2179" s="3" t="n"/>
      <c r="O2179" s="2" t="n"/>
      <c r="P2179" s="2" t="n"/>
    </row>
    <row r="2180">
      <c r="A2180" s="2" t="n">
        <v>2179</v>
      </c>
      <c r="B2180" s="2" t="inlineStr">
        <is>
          <t>не сюжет</t>
        </is>
      </c>
      <c r="C2180" s="2" t="n">
        <v>10290</v>
      </c>
      <c r="D2180" s="3" t="inlineStr">
        <is>
          <t>Баллада о Сирано</t>
        </is>
      </c>
      <c r="E2180" s="2" t="n">
        <v>1969</v>
      </c>
      <c r="F2180" s="2" t="inlineStr">
        <is>
          <t>фильм-спектакль</t>
        </is>
      </c>
      <c r="G2180" s="2" t="inlineStr">
        <is>
          <t>Ленинградское телевидение</t>
        </is>
      </c>
      <c r="H2180" s="2" t="n">
        <v>102</v>
      </c>
      <c r="I2180" s="2" t="inlineStr"/>
      <c r="J2180" s="2" t="inlineStr">
        <is>
          <t>да</t>
        </is>
      </c>
      <c r="K2180" s="3" t="inlineStr">
        <is>
          <t>Композиция по спектаклю Ленинградского театра им. Ленинского Комсомола "Сирано де Бержерак" Э.Ростана.</t>
        </is>
      </c>
      <c r="L2180" s="2" t="inlineStr">
        <is>
          <t>https://www.kino-teatr.ru/teatr/movie/86317/annot/</t>
        </is>
      </c>
      <c r="M2180" s="2">
        <f>HYPERLINK("https://ru.wikipedia.org/w/index.php?search=%D0%91%D0%B0%D0%BB%D0%BB%D0%B0%D0%B4%D0%B0%20%D0%BE%20%D0%A1%D0%B8%D1%80%D0%B0%D0%BD%D0%BE%201969%20%D1%84%D0%B8%D0%BB%D1%8C%D0%BC","искать")</f>
        <v/>
      </c>
      <c r="N2180" s="3" t="n"/>
      <c r="O2180" s="2" t="n"/>
      <c r="P2180" s="2" t="n"/>
    </row>
    <row r="2181">
      <c r="A2181" s="2" t="n">
        <v>2180</v>
      </c>
      <c r="B2181" s="2" t="inlineStr">
        <is>
          <t>не сюжет</t>
        </is>
      </c>
      <c r="C2181" s="2" t="n">
        <v>10515</v>
      </c>
      <c r="D2181" s="3" t="inlineStr">
        <is>
          <t>Рассказы А.П. Чехова исполняет Игорь Ильинский</t>
        </is>
      </c>
      <c r="E2181" s="2" t="n">
        <v>1973</v>
      </c>
      <c r="F2181" s="2" t="inlineStr">
        <is>
          <t>фильм-спектакль</t>
        </is>
      </c>
      <c r="G2181" s="2" t="inlineStr">
        <is>
          <t>Центральное телевидение, Подборки фильмов, экранизации Чехова</t>
        </is>
      </c>
      <c r="H2181" s="2" t="n">
        <v>102</v>
      </c>
      <c r="I2181" s="2" t="inlineStr"/>
      <c r="J2181" s="2" t="inlineStr">
        <is>
          <t>да</t>
        </is>
      </c>
      <c r="K2181" s="3" t="inlineStr">
        <is>
          <t>Рассказы А.П. Чехова "Душечка", "Горе", "Лев и солнце" исполняет народный артист СССР Игорь Ильинский.</t>
        </is>
      </c>
      <c r="L2181" s="2" t="inlineStr">
        <is>
          <t>https://www.kino-teatr.ru/teatr/movie/113668/annot/</t>
        </is>
      </c>
      <c r="M2181" s="2">
        <f>HYPERLINK("https://ru.wikipedia.org/w/index.php?search=%D0%A0%D0%B0%D1%81%D1%81%D0%BA%D0%B0%D0%B7%D1%8B%20%D0%90.%D0%9F.%20%D0%A7%D0%B5%D1%85%D0%BE%D0%B2%D0%B0%20%D0%B8%D1%81%D0%BF%D0%BE%D0%BB%D0%BD%D1%8F%D0%B5%D1%82%20%D0%98%D0%B3%D0%BE%D1%80%D1%8C%20%D0%98%D0%BB%D1%8C%D0%B8%D0%BD%D1%81%D0%BA%D0%B8%D0%B9%201973%20%D1%84%D0%B8%D0%BB%D1%8C%D0%BC","искать")</f>
        <v/>
      </c>
      <c r="N2181" s="3" t="n"/>
      <c r="O2181" s="2" t="n"/>
      <c r="P2181" s="2" t="n"/>
    </row>
    <row r="2182">
      <c r="A2182" s="2" t="n">
        <v>2181</v>
      </c>
      <c r="B2182" s="2" t="inlineStr">
        <is>
          <t>не сюжет</t>
        </is>
      </c>
      <c r="C2182" s="2" t="n">
        <v>11117</v>
      </c>
      <c r="D2182" s="3" t="inlineStr">
        <is>
          <t>Мы - цыгане</t>
        </is>
      </c>
      <c r="E2182" s="2" t="n">
        <v>1986</v>
      </c>
      <c r="F2182" s="2" t="inlineStr">
        <is>
          <t>фильм-спектакль</t>
        </is>
      </c>
      <c r="G2182" s="2" t="inlineStr">
        <is>
          <t>ТО "Экран"</t>
        </is>
      </c>
      <c r="H2182" s="2" t="n">
        <v>102</v>
      </c>
      <c r="I2182" s="2" t="inlineStr"/>
      <c r="J2182" s="2" t="inlineStr">
        <is>
          <t>да</t>
        </is>
      </c>
      <c r="K2182" s="3" t="inlineStr">
        <is>
          <t>По спектаклю Московского цыганского театра "Ромэн".
Об истории цыганского народа, его песнях и танцах.</t>
        </is>
      </c>
      <c r="L2182" s="2" t="inlineStr">
        <is>
          <t>https://www.kino-teatr.ru/teatr/movie/81256/annot/</t>
        </is>
      </c>
      <c r="M2182" s="2">
        <f>HYPERLINK("https://ru.wikipedia.org/w/index.php?search=%D0%9C%D1%8B%20-%20%D1%86%D1%8B%D0%B3%D0%B0%D0%BD%D0%B5%201986%20%D1%84%D0%B8%D0%BB%D1%8C%D0%BC","искать")</f>
        <v/>
      </c>
      <c r="N2182" s="3" t="n"/>
      <c r="O2182" s="2" t="n"/>
      <c r="P2182" s="2" t="n"/>
    </row>
    <row r="2183">
      <c r="A2183" s="2" t="n">
        <v>2182</v>
      </c>
      <c r="B2183" s="2" t="inlineStr">
        <is>
          <t>не сюжет</t>
        </is>
      </c>
      <c r="C2183" s="2" t="n">
        <v>11412</v>
      </c>
      <c r="D2183" s="3" t="inlineStr">
        <is>
          <t>ДВА КРЫЛЬЦА - ДВА КОНЦА ("Фитиль" N 32)</t>
        </is>
      </c>
      <c r="E2183" s="2" t="n">
        <v>1965</v>
      </c>
      <c r="F2183" s="2" t="inlineStr">
        <is>
          <t>мультфильм</t>
        </is>
      </c>
      <c r="G2183" s="2" t="inlineStr">
        <is>
          <t>Союзмультфильм</t>
        </is>
      </c>
      <c r="H2183" s="2" t="n">
        <v>102</v>
      </c>
      <c r="I2183" s="2" t="inlineStr"/>
      <c r="J2183" s="2" t="inlineStr">
        <is>
          <t>да</t>
        </is>
      </c>
      <c r="K2183" s="3" t="inlineStr">
        <is>
          <t>О том, что ссора между соседями может начаться из-за пустяка и привести к очень серьезным последствиям</t>
        </is>
      </c>
      <c r="L2183" s="2" t="inlineStr">
        <is>
          <t>https://animator.ru/db/?p=show_film&amp;fid=2182</t>
        </is>
      </c>
      <c r="M2183" s="2">
        <f>HYPERLINK("https://ru.wikipedia.org/w/index.php?search=%D0%94%D0%92%D0%90%20%D0%9A%D0%A0%D0%AB%D0%9B%D0%AC%D0%A6%D0%90%20-%20%D0%94%D0%92%D0%90%20%D0%9A%D0%9E%D0%9D%D0%A6%D0%90%20%28%22%D0%A4%D0%B8%D1%82%D0%B8%D0%BB%D1%8C%22%20N%2032%29%201965%20%D1%84%D0%B8%D0%BB%D1%8C%D0%BC","искать")</f>
        <v/>
      </c>
      <c r="N2183" s="3" t="n"/>
      <c r="O2183" s="2" t="n"/>
      <c r="P2183" s="2" t="n"/>
    </row>
    <row r="2184">
      <c r="A2184" s="2" t="n">
        <v>2183</v>
      </c>
      <c r="B2184" s="2" t="inlineStr">
        <is>
          <t>не сюжет</t>
        </is>
      </c>
      <c r="C2184" s="2" t="n">
        <v>13123</v>
      </c>
      <c r="D2184" s="3" t="inlineStr">
        <is>
          <t>Каприччио</t>
        </is>
      </c>
      <c r="E2184" s="2" t="n">
        <v>1986</v>
      </c>
      <c r="F2184" s="2" t="inlineStr">
        <is>
          <t>мультфильм</t>
        </is>
      </c>
      <c r="G2184" s="2" t="inlineStr">
        <is>
          <t>БЕЛАРУСЬФИЛЬМ НАЦИОНАЛЬНАЯ КИНОСТУДИЯ - ГП</t>
        </is>
      </c>
      <c r="H2184" s="2" t="n">
        <v>102</v>
      </c>
      <c r="I2184" s="2" t="inlineStr"/>
      <c r="J2184" s="2" t="inlineStr">
        <is>
          <t>да</t>
        </is>
      </c>
      <c r="K2184" s="3" t="inlineStr">
        <is>
          <t>Этюд о смысле жизни, о трансформации личности с возратом. Для взрослых . Главный приз, Варна, Болгария</t>
        </is>
      </c>
      <c r="L2184" s="2" t="inlineStr">
        <is>
          <t>https://animator.ru/db/?p=show_film&amp;fid=4355</t>
        </is>
      </c>
      <c r="M2184" s="2">
        <f>HYPERLINK("https://ru.wikipedia.org/w/index.php?search=%D0%9A%D0%B0%D0%BF%D1%80%D0%B8%D1%87%D1%87%D0%B8%D0%BE%201986%20%D1%84%D0%B8%D0%BB%D1%8C%D0%BC","искать")</f>
        <v/>
      </c>
      <c r="N2184" s="3" t="n"/>
      <c r="O2184" s="2" t="n"/>
      <c r="P2184" s="2" t="n"/>
    </row>
    <row r="2185">
      <c r="A2185" s="2" t="n">
        <v>2184</v>
      </c>
      <c r="B2185" s="2" t="inlineStr">
        <is>
          <t>не сюжет</t>
        </is>
      </c>
      <c r="C2185" s="2" t="n">
        <v>7207</v>
      </c>
      <c r="D2185" s="3" t="inlineStr">
        <is>
          <t>Алымкан</t>
        </is>
      </c>
      <c r="E2185" s="2" t="n">
        <v>1965</v>
      </c>
      <c r="F2185" s="2" t="inlineStr">
        <is>
          <t>телефильм</t>
        </is>
      </c>
      <c r="G2185" s="2" t="n"/>
      <c r="H2185" s="2" t="n">
        <v>103</v>
      </c>
      <c r="I2185" s="2" t="inlineStr"/>
      <c r="J2185" s="2" t="inlineStr">
        <is>
          <t>да</t>
        </is>
      </c>
      <c r="K2185" s="3" t="inlineStr">
        <is>
          <t>Экранизация лирической поэмы Тологона Касымбекова "Алымкан" о возлюбленной акына Токтогула Сатылганова.</t>
        </is>
      </c>
      <c r="L2185" s="2" t="inlineStr">
        <is>
          <t>Кино_СССР сводный каталог.xlsx: список телефильмов</t>
        </is>
      </c>
      <c r="M2185" s="2">
        <f>HYPERLINK("https://ru.wikipedia.org/w/index.php?search=%D0%90%D0%BB%D1%8B%D0%BC%D0%BA%D0%B0%D0%BD%201965%20%D1%84%D0%B8%D0%BB%D1%8C%D0%BC","искать")</f>
        <v/>
      </c>
      <c r="N2185" s="3" t="n"/>
      <c r="O2185" s="2" t="n"/>
      <c r="P2185" s="2" t="n"/>
    </row>
    <row r="2186">
      <c r="A2186" s="2" t="n">
        <v>2185</v>
      </c>
      <c r="B2186" s="2" t="inlineStr">
        <is>
          <t>не сюжет</t>
        </is>
      </c>
      <c r="C2186" s="2" t="n">
        <v>8763</v>
      </c>
      <c r="D2186" s="3" t="inlineStr">
        <is>
          <t>Кербез. Неистовый беглец</t>
        </is>
      </c>
      <c r="E2186" s="2" t="n">
        <v>1989</v>
      </c>
      <c r="F2186" s="2" t="inlineStr">
        <is>
          <t>кинофильм</t>
        </is>
      </c>
      <c r="G2186" s="2" t="n"/>
      <c r="H2186" s="2" t="n">
        <v>103</v>
      </c>
      <c r="I2186" s="2" t="inlineStr"/>
      <c r="J2186" s="2" t="inlineStr">
        <is>
          <t>да</t>
        </is>
      </c>
      <c r="K2186" s="3" t="inlineStr">
        <is>
          <t>Фильм посвящен 125-летию со дня рождения киргизского певца-импровизатора и поэта Токтогула Сатылганова.</t>
        </is>
      </c>
      <c r="L2186" s="2" t="inlineStr">
        <is>
          <t>Кино_СССР сводный каталог.xlsx: список фильмов (доп.)</t>
        </is>
      </c>
      <c r="M2186" s="2">
        <f>HYPERLINK("https://ru.wikipedia.org/w/index.php?search=%D0%9A%D0%B5%D1%80%D0%B1%D0%B5%D0%B7.%20%D0%9D%D0%B5%D0%B8%D1%81%D1%82%D0%BE%D0%B2%D1%8B%D0%B9%20%D0%B1%D0%B5%D0%B3%D0%BB%D0%B5%D1%86%201989%20%D1%84%D0%B8%D0%BB%D1%8C%D0%BC","искать")</f>
        <v/>
      </c>
      <c r="N2186" s="3" t="n"/>
      <c r="O2186" s="2" t="n"/>
      <c r="P2186" s="2" t="n"/>
    </row>
    <row r="2187">
      <c r="A2187" s="2" t="n">
        <v>2186</v>
      </c>
      <c r="B2187" s="2" t="inlineStr">
        <is>
          <t>не сюжет</t>
        </is>
      </c>
      <c r="C2187" s="2" t="n">
        <v>8972</v>
      </c>
      <c r="D2187" s="3" t="inlineStr">
        <is>
          <t>Предупреждение</t>
        </is>
      </c>
      <c r="E2187" s="2" t="n">
        <v>1982</v>
      </c>
      <c r="F2187" s="2" t="inlineStr">
        <is>
          <t>кинофильм</t>
        </is>
      </c>
      <c r="G2187" s="2" t="n"/>
      <c r="H2187" s="2" t="n">
        <v>103</v>
      </c>
      <c r="I2187" s="2" t="inlineStr"/>
      <c r="J2187" s="2" t="inlineStr">
        <is>
          <t>да</t>
        </is>
      </c>
      <c r="K2187" s="3" t="inlineStr">
        <is>
          <t>Несколько страниц из жизни видного деятеля международного коммунистического движения Георгия Димитрова.</t>
        </is>
      </c>
      <c r="L2187" s="2" t="inlineStr">
        <is>
          <t>Кино_СССР сводный каталог.xlsx: список фильмов (доп.)</t>
        </is>
      </c>
      <c r="M2187" s="2">
        <f>HYPERLINK("https://ru.wikipedia.org/w/index.php?search=%D0%9F%D1%80%D0%B5%D0%B4%D1%83%D0%BF%D1%80%D0%B5%D0%B6%D0%B4%D0%B5%D0%BD%D0%B8%D0%B5%201982%20%D1%84%D0%B8%D0%BB%D1%8C%D0%BC","искать")</f>
        <v/>
      </c>
      <c r="N2187" s="3" t="n"/>
      <c r="O2187" s="2" t="n"/>
      <c r="P2187" s="2" t="n"/>
    </row>
    <row r="2188">
      <c r="A2188" s="2" t="n">
        <v>2187</v>
      </c>
      <c r="B2188" s="2" t="inlineStr">
        <is>
          <t>не сюжет</t>
        </is>
      </c>
      <c r="C2188" s="2" t="n">
        <v>10353</v>
      </c>
      <c r="D2188" s="3" t="inlineStr">
        <is>
          <t>Двадцать седьмой неполный</t>
        </is>
      </c>
      <c r="E2188" s="2" t="n">
        <v>1970</v>
      </c>
      <c r="F2188" s="2" t="inlineStr">
        <is>
          <t>фильм-спектакль</t>
        </is>
      </c>
      <c r="G2188" s="2" t="inlineStr">
        <is>
          <t>Ленинградское ТВ</t>
        </is>
      </c>
      <c r="H2188" s="2" t="n">
        <v>103</v>
      </c>
      <c r="I2188" s="2" t="inlineStr"/>
      <c r="J2188" s="2" t="inlineStr">
        <is>
          <t>да</t>
        </is>
      </c>
      <c r="K2188" s="3" t="inlineStr">
        <is>
          <t>Спектакль из репертуара БДТ им.Товстоногова по пьесе Ю. Принцева. О жизни и творчестве Аркадия Гайдара.</t>
        </is>
      </c>
      <c r="L2188" s="2" t="inlineStr">
        <is>
          <t>https://www.kino-teatr.ru/teatr/movie/17236/annot/</t>
        </is>
      </c>
      <c r="M2188" s="2">
        <f>HYPERLINK("https://ru.wikipedia.org/w/index.php?search=%D0%94%D0%B2%D0%B0%D0%B4%D1%86%D0%B0%D1%82%D1%8C%20%D1%81%D0%B5%D0%B4%D1%8C%D0%BC%D0%BE%D0%B9%20%D0%BD%D0%B5%D0%BF%D0%BE%D0%BB%D0%BD%D1%8B%D0%B9%201970%20%D1%84%D0%B8%D0%BB%D1%8C%D0%BC","искать")</f>
        <v/>
      </c>
      <c r="N2188" s="3" t="n"/>
      <c r="O2188" s="2" t="n"/>
      <c r="P2188" s="2" t="n"/>
    </row>
    <row r="2189">
      <c r="A2189" s="2" t="n">
        <v>2188</v>
      </c>
      <c r="B2189" s="2" t="inlineStr">
        <is>
          <t>не сюжет</t>
        </is>
      </c>
      <c r="C2189" s="2" t="n">
        <v>11423</v>
      </c>
      <c r="D2189" s="3" t="inlineStr">
        <is>
          <t>Иван Иваныч заболел</t>
        </is>
      </c>
      <c r="E2189" s="2" t="n">
        <v>1966</v>
      </c>
      <c r="F2189" s="2" t="inlineStr">
        <is>
          <t>мультфильм</t>
        </is>
      </c>
      <c r="G2189" s="2" t="inlineStr">
        <is>
          <t>Союзмультфильм</t>
        </is>
      </c>
      <c r="H2189" s="2" t="n">
        <v>103</v>
      </c>
      <c r="I2189" s="2" t="inlineStr"/>
      <c r="J2189" s="2" t="inlineStr">
        <is>
          <t>да</t>
        </is>
      </c>
      <c r="K2189" s="3" t="inlineStr">
        <is>
          <t>По эскизам М.Цехановского
По басням С.Михалкова "Иван Иванович заболел" и "Осел в обойме". Для взрослых</t>
        </is>
      </c>
      <c r="L2189" s="2" t="inlineStr">
        <is>
          <t>https://animator.ru/db/?p=show_film&amp;fid=2193</t>
        </is>
      </c>
      <c r="M2189" s="2">
        <f>HYPERLINK("https://ru.wikipedia.org/w/index.php?search=%D0%98%D0%B2%D0%B0%D0%BD%20%D0%98%D0%B2%D0%B0%D0%BD%D1%8B%D1%87%20%D0%B7%D0%B0%D0%B1%D0%BE%D0%BB%D0%B5%D0%BB%201966%20%D1%84%D0%B8%D0%BB%D1%8C%D0%BC","искать")</f>
        <v/>
      </c>
      <c r="N2189" s="3" t="n"/>
      <c r="O2189" s="2" t="n"/>
      <c r="P2189" s="2" t="n"/>
    </row>
    <row r="2190">
      <c r="A2190" s="2" t="n">
        <v>2189</v>
      </c>
      <c r="B2190" s="2" t="inlineStr">
        <is>
          <t>не сюжет</t>
        </is>
      </c>
      <c r="C2190" s="2" t="n">
        <v>11498</v>
      </c>
      <c r="D2190" s="3" t="inlineStr">
        <is>
          <t>Черт попутал</t>
        </is>
      </c>
      <c r="E2190" s="2" t="n">
        <v>1968</v>
      </c>
      <c r="F2190" s="2" t="inlineStr">
        <is>
          <t>мультфильм</t>
        </is>
      </c>
      <c r="G2190" s="2" t="inlineStr">
        <is>
          <t>Союзмультфильм</t>
        </is>
      </c>
      <c r="H2190" s="2" t="n">
        <v>103</v>
      </c>
      <c r="I2190" s="2" t="inlineStr"/>
      <c r="J2190" s="2" t="inlineStr">
        <is>
          <t>да</t>
        </is>
      </c>
      <c r="K2190" s="3" t="inlineStr">
        <is>
          <t>Заказной фильм о правилах уличного движения и о том, к каим опасным последствиям приводит их нарушение.</t>
        </is>
      </c>
      <c r="L2190" s="2" t="inlineStr">
        <is>
          <t>https://animator.ru/db/?p=show_film&amp;fid=2269</t>
        </is>
      </c>
      <c r="M2190" s="2">
        <f>HYPERLINK("https://ru.wikipedia.org/w/index.php?search=%D0%A7%D0%B5%D1%80%D1%82%20%D0%BF%D0%BE%D0%BF%D1%83%D1%82%D0%B0%D0%BB%201968%20%D1%84%D0%B8%D0%BB%D1%8C%D0%BC","искать")</f>
        <v/>
      </c>
      <c r="N2190" s="3" t="n"/>
      <c r="O2190" s="2" t="n"/>
      <c r="P2190" s="2" t="n"/>
    </row>
    <row r="2191">
      <c r="A2191" s="2" t="n">
        <v>2190</v>
      </c>
      <c r="B2191" s="2" t="inlineStr">
        <is>
          <t>не сюжет</t>
        </is>
      </c>
      <c r="C2191" s="2" t="n">
        <v>12019</v>
      </c>
      <c r="D2191" s="3" t="inlineStr">
        <is>
          <t>Прежде мы были птицами</t>
        </is>
      </c>
      <c r="E2191" s="2" t="n">
        <v>1982</v>
      </c>
      <c r="F2191" s="2" t="inlineStr">
        <is>
          <t>мультфильм</t>
        </is>
      </c>
      <c r="G2191" s="2" t="inlineStr">
        <is>
          <t>Союзмультфильм</t>
        </is>
      </c>
      <c r="H2191" s="2" t="n">
        <v>103</v>
      </c>
      <c r="I2191" s="2" t="inlineStr"/>
      <c r="J2191" s="2" t="inlineStr">
        <is>
          <t>да</t>
        </is>
      </c>
      <c r="K2191" s="3" t="inlineStr">
        <is>
          <t>По мотивам цыганской притчи. Использован фрагмент "Цыганских напевов" Сарасате. Участие ансамбля "Джан"</t>
        </is>
      </c>
      <c r="L2191" s="2" t="inlineStr">
        <is>
          <t>https://animator.ru/db/?p=show_film&amp;fid=3133</t>
        </is>
      </c>
      <c r="M2191" s="2">
        <f>HYPERLINK("https://ru.wikipedia.org/w/index.php?search=%D0%9F%D1%80%D0%B5%D0%B6%D0%B4%D0%B5%20%D0%BC%D1%8B%20%D0%B1%D1%8B%D0%BB%D0%B8%20%D0%BF%D1%82%D0%B8%D1%86%D0%B0%D0%BC%D0%B8%201982%20%D1%84%D0%B8%D0%BB%D1%8C%D0%BC","искать")</f>
        <v/>
      </c>
      <c r="N2191" s="3" t="n"/>
      <c r="O2191" s="2" t="n"/>
      <c r="P2191" s="2" t="n"/>
    </row>
    <row r="2192">
      <c r="A2192" s="2" t="n">
        <v>2191</v>
      </c>
      <c r="B2192" s="2" t="inlineStr">
        <is>
          <t>не сюжет</t>
        </is>
      </c>
      <c r="C2192" s="2" t="n">
        <v>13798</v>
      </c>
      <c r="D2192" s="3" t="inlineStr">
        <is>
          <t>Новоселье у Братца Кролика</t>
        </is>
      </c>
      <c r="E2192" s="2" t="n">
        <v>1986</v>
      </c>
      <c r="F2192" s="2" t="inlineStr">
        <is>
          <t>мультфильм</t>
        </is>
      </c>
      <c r="G2192" s="2" t="inlineStr">
        <is>
          <t>ЭКРАН</t>
        </is>
      </c>
      <c r="H2192" s="2" t="n">
        <v>103</v>
      </c>
      <c r="I2192" s="2" t="inlineStr"/>
      <c r="J2192" s="2" t="inlineStr">
        <is>
          <t>да</t>
        </is>
      </c>
      <c r="K2192" s="3" t="inlineStr">
        <is>
          <t>По мотивам книги Дж.Харриса "Сказки дядюшки Римуса", основанной на народных сказках американских негров</t>
        </is>
      </c>
      <c r="L2192" s="2" t="inlineStr">
        <is>
          <t>https://animator.ru/db/?p=show_film&amp;fid=5191</t>
        </is>
      </c>
      <c r="M2192" s="2">
        <f>HYPERLINK("https://ru.wikipedia.org/w/index.php?search=%D0%9D%D0%BE%D0%B2%D0%BE%D1%81%D0%B5%D0%BB%D1%8C%D0%B5%20%D1%83%20%D0%91%D1%80%D0%B0%D1%82%D1%86%D0%B0%20%D0%9A%D1%80%D0%BE%D0%BB%D0%B8%D0%BA%D0%B0%201986%20%D1%84%D0%B8%D0%BB%D1%8C%D0%BC","искать")</f>
        <v/>
      </c>
      <c r="N2192" s="3" t="n"/>
      <c r="O2192" s="2" t="n"/>
      <c r="P2192" s="2" t="n"/>
    </row>
    <row r="2193">
      <c r="A2193" s="2" t="n">
        <v>2192</v>
      </c>
      <c r="B2193" s="2" t="inlineStr">
        <is>
          <t>не сюжет</t>
        </is>
      </c>
      <c r="C2193" s="2" t="n">
        <v>9282</v>
      </c>
      <c r="D2193" s="3" t="inlineStr">
        <is>
          <t>Восстание камней</t>
        </is>
      </c>
      <c r="E2193" s="2" t="n">
        <v>1935</v>
      </c>
      <c r="F2193" s="2" t="inlineStr">
        <is>
          <t>кинофильм</t>
        </is>
      </c>
      <c r="G2193" s="2" t="n"/>
      <c r="H2193" s="2" t="n">
        <v>104</v>
      </c>
      <c r="I2193" s="2" t="inlineStr"/>
      <c r="J2193" s="2" t="inlineStr">
        <is>
          <t>да</t>
        </is>
      </c>
      <c r="K2193" s="3" t="inlineStr">
        <is>
          <t>По роману Овчаренко "В огненном кольце". О событиях гражданской войны в Керчи. Съёмки не были завершены.</t>
        </is>
      </c>
      <c r="L2193" s="2" t="inlineStr">
        <is>
          <t>Кино_СССР сводный каталог.xlsx: список фильмов (доп.)</t>
        </is>
      </c>
      <c r="M2193" s="2">
        <f>HYPERLINK("https://ru.wikipedia.org/w/index.php?search=%D0%92%D0%BE%D1%81%D1%81%D1%82%D0%B0%D0%BD%D0%B8%D0%B5%20%D0%BA%D0%B0%D0%BC%D0%BD%D0%B5%D0%B9%201935%20%D1%84%D0%B8%D0%BB%D1%8C%D0%BC","искать")</f>
        <v/>
      </c>
      <c r="N2193" s="3" t="n"/>
      <c r="O2193" s="2" t="n"/>
      <c r="P2193" s="2" t="n"/>
    </row>
    <row r="2194">
      <c r="A2194" s="2" t="n">
        <v>2193</v>
      </c>
      <c r="B2194" s="2" t="inlineStr">
        <is>
          <t>не сюжет</t>
        </is>
      </c>
      <c r="C2194" s="2" t="n">
        <v>9692</v>
      </c>
      <c r="D2194" s="3" t="inlineStr">
        <is>
          <t>Тисса горит</t>
        </is>
      </c>
      <c r="E2194" s="2" t="n">
        <v>1933</v>
      </c>
      <c r="F2194" s="2" t="inlineStr">
        <is>
          <t>кинофильм</t>
        </is>
      </c>
      <c r="G2194" s="2" t="n"/>
      <c r="H2194" s="2" t="n">
        <v>104</v>
      </c>
      <c r="I2194" s="2" t="inlineStr"/>
      <c r="J2194" s="2" t="inlineStr">
        <is>
          <t>да</t>
        </is>
      </c>
      <c r="K2194" s="3" t="inlineStr">
        <is>
          <t>Экранизация романа Белы Иллеша «Тисса горит» о венгерской революции 1919 года. Фильм на экраны не вышел.</t>
        </is>
      </c>
      <c r="L2194" s="2" t="inlineStr">
        <is>
          <t>Кино_СССР сводный каталог.xlsx: список фильмов (доп.)</t>
        </is>
      </c>
      <c r="M2194" s="2">
        <f>HYPERLINK("https://ru.wikipedia.org/w/index.php?search=%D0%A2%D0%B8%D1%81%D1%81%D0%B0%20%D0%B3%D0%BE%D1%80%D0%B8%D1%82%201933%20%D1%84%D0%B8%D0%BB%D1%8C%D0%BC","искать")</f>
        <v/>
      </c>
      <c r="N2194" s="3" t="n"/>
      <c r="O2194" s="2" t="n"/>
      <c r="P2194" s="2" t="n"/>
    </row>
    <row r="2195">
      <c r="A2195" s="2" t="n">
        <v>2194</v>
      </c>
      <c r="B2195" s="2" t="inlineStr">
        <is>
          <t>не сюжет</t>
        </is>
      </c>
      <c r="C2195" s="2" t="n">
        <v>9872</v>
      </c>
      <c r="D2195" s="3" t="inlineStr">
        <is>
          <t>Голубое и зелёное</t>
        </is>
      </c>
      <c r="E2195" s="2" t="n">
        <v>1970</v>
      </c>
      <c r="F2195" s="2" t="inlineStr">
        <is>
          <t>телефильм</t>
        </is>
      </c>
      <c r="G2195" s="2" t="inlineStr">
        <is>
          <t>Киностудия им. А.Довженко</t>
        </is>
      </c>
      <c r="H2195" s="2" t="n">
        <v>104</v>
      </c>
      <c r="I2195" s="2" t="inlineStr"/>
      <c r="J2195" s="2" t="inlineStr">
        <is>
          <t>да</t>
        </is>
      </c>
      <c r="K2195" s="3" t="inlineStr">
        <is>
          <t>Телефильм. Экранизация одноименного рассказа Юрия Казакова: о любви, о юности и грустном прощании с ней.</t>
        </is>
      </c>
      <c r="L2195" s="2" t="inlineStr">
        <is>
          <t>https://www.kino-teatr.ru/short/movie/sov/12579/annot/</t>
        </is>
      </c>
      <c r="M2195" s="2">
        <f>HYPERLINK("https://ru.wikipedia.org/w/index.php?search=%D0%93%D0%BE%D0%BB%D1%83%D0%B1%D0%BE%D0%B5%20%D0%B8%20%D0%B7%D0%B5%D0%BB%D1%91%D0%BD%D0%BE%D0%B5%201970%20%D1%84%D0%B8%D0%BB%D1%8C%D0%BC","искать")</f>
        <v/>
      </c>
      <c r="N2195" s="3" t="n"/>
      <c r="O2195" s="2" t="n"/>
      <c r="P2195" s="2" t="n"/>
    </row>
    <row r="2196">
      <c r="A2196" s="2" t="n">
        <v>2195</v>
      </c>
      <c r="B2196" s="2" t="inlineStr">
        <is>
          <t>не сюжет</t>
        </is>
      </c>
      <c r="C2196" s="2" t="n">
        <v>11402</v>
      </c>
      <c r="D2196" s="3" t="inlineStr">
        <is>
          <t>Мук (Мультипликационный крокодил) n 2</t>
        </is>
      </c>
      <c r="E2196" s="2" t="n">
        <v>1960</v>
      </c>
      <c r="F2196" s="2" t="inlineStr">
        <is>
          <t>мультфильм</t>
        </is>
      </c>
      <c r="G2196" s="2" t="inlineStr">
        <is>
          <t>Союзмультфильм</t>
        </is>
      </c>
      <c r="H2196" s="2" t="n">
        <v>104</v>
      </c>
      <c r="I2196" s="2" t="inlineStr"/>
      <c r="J2196" s="2" t="inlineStr">
        <is>
          <t>да</t>
        </is>
      </c>
      <c r="K2196" s="3" t="inlineStr">
        <is>
          <t>Сатирический мультжурнал для взрослых (3 сюжета: охрана природы, подхалимы и плохое качество ширпотреба)</t>
        </is>
      </c>
      <c r="L2196" s="2" t="inlineStr">
        <is>
          <t>https://animator.ru/db/?p=show_film&amp;fid=2057</t>
        </is>
      </c>
      <c r="M2196" s="2">
        <f>HYPERLINK("https://ru.wikipedia.org/w/index.php?search=%D0%9C%D1%83%D0%BA%20%28%D0%9C%D1%83%D0%BB%D1%8C%D1%82%D0%B8%D0%BF%D0%BB%D0%B8%D0%BA%D0%B0%D1%86%D0%B8%D0%BE%D0%BD%D0%BD%D1%8B%D0%B9%20%D0%BA%D1%80%D0%BE%D0%BA%D0%BE%D0%B4%D0%B8%D0%BB%29%20n%202%201960%20%D1%84%D0%B8%D0%BB%D1%8C%D0%BC","искать")</f>
        <v/>
      </c>
      <c r="N2196" s="3" t="n"/>
      <c r="O2196" s="2" t="n"/>
      <c r="P2196" s="2" t="n"/>
    </row>
    <row r="2197">
      <c r="A2197" s="2" t="n">
        <v>2196</v>
      </c>
      <c r="B2197" s="2" t="inlineStr">
        <is>
          <t>не сюжет</t>
        </is>
      </c>
      <c r="C2197" s="2" t="n">
        <v>11660</v>
      </c>
      <c r="D2197" s="3" t="inlineStr">
        <is>
          <t>Веселая карусель n 4. Про чудака-лягушенка</t>
        </is>
      </c>
      <c r="E2197" s="2" t="n">
        <v>1972</v>
      </c>
      <c r="F2197" s="2" t="inlineStr">
        <is>
          <t>мультфильм</t>
        </is>
      </c>
      <c r="G2197" s="2" t="inlineStr">
        <is>
          <t>Союзмультфильм</t>
        </is>
      </c>
      <c r="H2197" s="2" t="n">
        <v>104</v>
      </c>
      <c r="I2197" s="2" t="inlineStr"/>
      <c r="J2197" s="2" t="inlineStr">
        <is>
          <t>да</t>
        </is>
      </c>
      <c r="K2197" s="3" t="inlineStr">
        <is>
          <t>Сюжет из альманаха «ВЕСЕЛАЯ КАРУСЕЛЬ N 4»
По сказке Геннадия Цыферова о чувстве собственного достоинства</t>
        </is>
      </c>
      <c r="L2197" s="2" t="inlineStr">
        <is>
          <t>https://animator.ru/db/?p=show_film&amp;fid=2574</t>
        </is>
      </c>
      <c r="M2197" s="2">
        <f>HYPERLINK("https://ru.wikipedia.org/w/index.php?search=%D0%92%D0%B5%D1%81%D0%B5%D0%BB%D0%B0%D1%8F%20%D0%BA%D0%B0%D1%80%D1%83%D1%81%D0%B5%D0%BB%D1%8C%20n%204.%20%D0%9F%D1%80%D0%BE%20%D1%87%D1%83%D0%B4%D0%B0%D0%BA%D0%B0-%D0%BB%D1%8F%D0%B3%D1%83%D1%88%D0%B5%D0%BD%D0%BA%D0%B0%201972%20%D1%84%D0%B8%D0%BB%D1%8C%D0%BC","искать")</f>
        <v/>
      </c>
      <c r="N2197" s="3" t="n"/>
      <c r="O2197" s="2" t="n"/>
      <c r="P2197" s="2" t="n"/>
    </row>
    <row r="2198">
      <c r="A2198" s="2" t="n">
        <v>2197</v>
      </c>
      <c r="B2198" s="2" t="inlineStr">
        <is>
          <t>не сюжет</t>
        </is>
      </c>
      <c r="C2198" s="2" t="n">
        <v>13860</v>
      </c>
      <c r="D2198" s="3" t="inlineStr">
        <is>
          <t>Про Матвея Кузьмича</t>
        </is>
      </c>
      <c r="E2198" s="2" t="n">
        <v>1990</v>
      </c>
      <c r="F2198" s="2" t="inlineStr">
        <is>
          <t>мультфильм</t>
        </is>
      </c>
      <c r="G2198" s="2" t="inlineStr">
        <is>
          <t>СОЮЗТЕЛЕФИЛЬМ</t>
        </is>
      </c>
      <c r="H2198" s="2" t="n">
        <v>104</v>
      </c>
      <c r="I2198" s="2" t="inlineStr"/>
      <c r="J2198" s="2" t="inlineStr">
        <is>
          <t>да</t>
        </is>
      </c>
      <c r="K2198" s="3" t="inlineStr">
        <is>
          <t>Мультипликационный фильмдля взрослыхоб одном дне председателя колхоза в эпоху "перестройки и гласности".</t>
        </is>
      </c>
      <c r="L2198" s="2" t="inlineStr">
        <is>
          <t>2026-10_мультфильмы_список_владельца.xlsx; https://animator.ru/db/?p=show_film&amp;fid=5253</t>
        </is>
      </c>
      <c r="M2198" s="2">
        <f>HYPERLINK("https://ru.wikipedia.org/w/index.php?search=%D0%9F%D1%80%D0%BE%20%D0%9C%D0%B0%D1%82%D0%B2%D0%B5%D1%8F%20%D0%9A%D1%83%D0%B7%D1%8C%D0%BC%D0%B8%D1%87%D0%B0%201990%20%D1%84%D0%B8%D0%BB%D1%8C%D0%BC","искать")</f>
        <v/>
      </c>
      <c r="N2198" s="3" t="n"/>
      <c r="O2198" s="2" t="n"/>
      <c r="P2198" s="2" t="n"/>
    </row>
    <row r="2199">
      <c r="A2199" s="2" t="n">
        <v>2198</v>
      </c>
      <c r="B2199" s="2" t="inlineStr">
        <is>
          <t>не сюжет</t>
        </is>
      </c>
      <c r="C2199" s="2" t="n">
        <v>7530</v>
      </c>
      <c r="D2199" s="3" t="inlineStr">
        <is>
          <t>Долгая память</t>
        </is>
      </c>
      <c r="E2199" s="2" t="n">
        <v>1985</v>
      </c>
      <c r="F2199" s="2" t="inlineStr">
        <is>
          <t>телефильм</t>
        </is>
      </c>
      <c r="G2199" s="2" t="inlineStr">
        <is>
          <t>Одесская к/с</t>
        </is>
      </c>
      <c r="H2199" s="2" t="n">
        <v>105</v>
      </c>
      <c r="I2199" s="2" t="inlineStr"/>
      <c r="J2199" s="2" t="inlineStr">
        <is>
          <t>да</t>
        </is>
      </c>
      <c r="K2199" s="3" t="inlineStr">
        <is>
          <t>Телефильм о пионере-герое, разведчике Володе Дубинине, погибшем в бою с немецко-фашистскими захватчиками.</t>
        </is>
      </c>
      <c r="L2199" s="2" t="inlineStr">
        <is>
          <t>Кино_СССР сводный каталог.xlsx: список телефильмов</t>
        </is>
      </c>
      <c r="M2199" s="2">
        <f>HYPERLINK("https://ru.wikipedia.org/w/index.php?search=%D0%94%D0%BE%D0%BB%D0%B3%D0%B0%D1%8F%20%D0%BF%D0%B0%D0%BC%D1%8F%D1%82%D1%8C%201985%20%D1%84%D0%B8%D0%BB%D1%8C%D0%BC","искать")</f>
        <v/>
      </c>
      <c r="N2199" s="3" t="n"/>
      <c r="O2199" s="2" t="n"/>
      <c r="P2199" s="2" t="n"/>
    </row>
    <row r="2200">
      <c r="A2200" s="2" t="n">
        <v>2199</v>
      </c>
      <c r="B2200" s="2" t="inlineStr">
        <is>
          <t>не сюжет</t>
        </is>
      </c>
      <c r="C2200" s="2" t="n">
        <v>9841</v>
      </c>
      <c r="D2200" s="3" t="inlineStr">
        <is>
          <t>Происшествие</t>
        </is>
      </c>
      <c r="E2200" s="2" t="n">
        <v>1967</v>
      </c>
      <c r="F2200" s="2" t="inlineStr">
        <is>
          <t>кинофильм</t>
        </is>
      </c>
      <c r="G2200" s="2" t="inlineStr">
        <is>
          <t>Мосфильм</t>
        </is>
      </c>
      <c r="H2200" s="2" t="n">
        <v>105</v>
      </c>
      <c r="I2200" s="2" t="inlineStr"/>
      <c r="J2200" s="2" t="inlineStr">
        <is>
          <t>да</t>
        </is>
      </c>
      <c r="K2200" s="3" t="inlineStr">
        <is>
          <t>Игровой киноплакат призывает взрослых к ответственности за недисциплинированное поведение детей на улице.</t>
        </is>
      </c>
      <c r="L2200" s="2" t="inlineStr">
        <is>
          <t>https://www.kino-teatr.ru/short/movie/sov/86232/annot/</t>
        </is>
      </c>
      <c r="M2200" s="2">
        <f>HYPERLINK("https://ru.wikipedia.org/w/index.php?search=%D0%9F%D1%80%D0%BE%D0%B8%D1%81%D1%88%D0%B5%D1%81%D1%82%D0%B2%D0%B8%D0%B5%201967%20%D1%84%D0%B8%D0%BB%D1%8C%D0%BC","искать")</f>
        <v/>
      </c>
      <c r="N2200" s="3" t="n"/>
      <c r="O2200" s="2" t="n"/>
      <c r="P2200" s="2" t="n"/>
    </row>
    <row r="2201">
      <c r="A2201" s="2" t="n">
        <v>2200</v>
      </c>
      <c r="B2201" s="2" t="inlineStr">
        <is>
          <t>не сюжет</t>
        </is>
      </c>
      <c r="C2201" s="2" t="n">
        <v>10943</v>
      </c>
      <c r="D2201" s="3" t="inlineStr">
        <is>
          <t>Кориолан</t>
        </is>
      </c>
      <c r="E2201" s="2" t="n">
        <v>1982</v>
      </c>
      <c r="F2201" s="2" t="inlineStr">
        <is>
          <t>фильм-спектакль</t>
        </is>
      </c>
      <c r="G2201" s="2" t="inlineStr">
        <is>
          <t>студия т/ф “Ереван”</t>
        </is>
      </c>
      <c r="H2201" s="2" t="n">
        <v>105</v>
      </c>
      <c r="I2201" s="2" t="inlineStr"/>
      <c r="J2201" s="2" t="inlineStr">
        <is>
          <t>да</t>
        </is>
      </c>
      <c r="K2201" s="3" t="inlineStr">
        <is>
          <t>Телевизионная версия спектакля Государственного театра имени Г.Сундукяна, удостоенного Госпремии Армении.</t>
        </is>
      </c>
      <c r="L2201" s="2" t="inlineStr">
        <is>
          <t>https://www.kino-teatr.ru/teatr/movie/10902/annot/</t>
        </is>
      </c>
      <c r="M2201" s="2">
        <f>HYPERLINK("https://ru.wikipedia.org/w/index.php?search=%D0%9A%D0%BE%D1%80%D0%B8%D0%BE%D0%BB%D0%B0%D0%BD%201982%20%D1%84%D0%B8%D0%BB%D1%8C%D0%BC","искать")</f>
        <v/>
      </c>
      <c r="N2201" s="3" t="n"/>
      <c r="O2201" s="2" t="n"/>
      <c r="P2201" s="2" t="n"/>
    </row>
    <row r="2202">
      <c r="A2202" s="2" t="n">
        <v>2201</v>
      </c>
      <c r="B2202" s="2" t="inlineStr">
        <is>
          <t>не сюжет</t>
        </is>
      </c>
      <c r="C2202" s="2" t="n">
        <v>12154</v>
      </c>
      <c r="D2202" s="3" t="inlineStr">
        <is>
          <t>Перфил и Фома</t>
        </is>
      </c>
      <c r="E2202" s="2" t="n">
        <v>1985</v>
      </c>
      <c r="F2202" s="2" t="inlineStr">
        <is>
          <t>мультфильм</t>
        </is>
      </c>
      <c r="G2202" s="2" t="inlineStr">
        <is>
          <t>Союзмультфильм</t>
        </is>
      </c>
      <c r="H2202" s="2" t="n">
        <v>105</v>
      </c>
      <c r="I2202" s="2" t="inlineStr"/>
      <c r="J2202" s="2" t="inlineStr">
        <is>
          <t>да</t>
        </is>
      </c>
      <c r="K2202" s="3" t="inlineStr">
        <is>
          <t>По мотивам сатирических сказок народов Сибири.
Музыкальное оформление - ВИА "Каникулы" под.упр.Ю.Моисеева</t>
        </is>
      </c>
      <c r="L2202" s="2" t="inlineStr">
        <is>
          <t>https://animator.ru/db/?p=show_film&amp;fid=3270</t>
        </is>
      </c>
      <c r="M2202" s="2">
        <f>HYPERLINK("https://ru.wikipedia.org/w/index.php?search=%D0%9F%D0%B5%D1%80%D1%84%D0%B8%D0%BB%20%D0%B8%20%D0%A4%D0%BE%D0%BC%D0%B0%201985%20%D1%84%D0%B8%D0%BB%D1%8C%D0%BC","искать")</f>
        <v/>
      </c>
      <c r="N2202" s="3" t="n"/>
      <c r="O2202" s="2" t="n"/>
      <c r="P2202" s="2" t="n"/>
    </row>
    <row r="2203">
      <c r="A2203" s="2" t="n">
        <v>2202</v>
      </c>
      <c r="B2203" s="2" t="inlineStr">
        <is>
          <t>не сюжет</t>
        </is>
      </c>
      <c r="C2203" s="2" t="n">
        <v>13617</v>
      </c>
      <c r="D2203" s="3" t="inlineStr">
        <is>
          <t>Академическая гребля</t>
        </is>
      </c>
      <c r="E2203" s="2" t="n">
        <v>1980</v>
      </c>
      <c r="F2203" s="2" t="inlineStr">
        <is>
          <t>мультфильм</t>
        </is>
      </c>
      <c r="G2203" s="2" t="inlineStr">
        <is>
          <t>ЭКРАН</t>
        </is>
      </c>
      <c r="H2203" s="2" t="n">
        <v>105</v>
      </c>
      <c r="I2203" s="2" t="inlineStr"/>
      <c r="J2203" s="2" t="inlineStr">
        <is>
          <t>да</t>
        </is>
      </c>
      <c r="K2203" s="3" t="inlineStr">
        <is>
          <t>Здесь можно посмотреть онлайн и скачать мультфильм "Академическая гребля" (ЭКРАН, 1980 г.) (Олимпиада-80)</t>
        </is>
      </c>
      <c r="L2203" s="2" t="inlineStr">
        <is>
          <t>2026-10_мультфильмы_список_владельца.xlsx; https://animator.ru/db/?p=show_film&amp;fid=5009</t>
        </is>
      </c>
      <c r="M2203" s="2">
        <f>HYPERLINK("https://ru.wikipedia.org/w/index.php?search=%D0%90%D0%BA%D0%B0%D0%B4%D0%B5%D0%BC%D0%B8%D1%87%D0%B5%D1%81%D0%BA%D0%B0%D1%8F%20%D0%B3%D1%80%D0%B5%D0%B1%D0%BB%D1%8F%201980%20%D1%84%D0%B8%D0%BB%D1%8C%D0%BC","искать")</f>
        <v/>
      </c>
      <c r="N2203" s="3" t="n"/>
      <c r="O2203" s="2" t="n"/>
      <c r="P2203" s="2" t="n"/>
    </row>
    <row r="2204">
      <c r="A2204" s="2" t="n">
        <v>2203</v>
      </c>
      <c r="B2204" s="2" t="inlineStr">
        <is>
          <t>не сюжет</t>
        </is>
      </c>
      <c r="C2204" s="2" t="n">
        <v>13755</v>
      </c>
      <c r="D2204" s="3" t="inlineStr">
        <is>
          <t>Маленькие чудеса</t>
        </is>
      </c>
      <c r="E2204" s="2" t="n">
        <v>1986</v>
      </c>
      <c r="F2204" s="2" t="inlineStr">
        <is>
          <t>мультфильм</t>
        </is>
      </c>
      <c r="G2204" s="2" t="inlineStr">
        <is>
          <t>МУЛЬТТЕЛЕФИЛЬМ ("Экран")</t>
        </is>
      </c>
      <c r="H2204" s="2" t="n">
        <v>105</v>
      </c>
      <c r="I2204" s="2" t="inlineStr"/>
      <c r="J2204" s="2" t="inlineStr">
        <is>
          <t>да</t>
        </is>
      </c>
      <c r="K2204" s="3" t="inlineStr">
        <is>
          <t>О современном доме, в котором еще существуют сапоги-скороходы, шапка-невидимка и ковер-самолет. Для детей</t>
        </is>
      </c>
      <c r="L2204" s="2" t="inlineStr">
        <is>
          <t>https://animator.ru/db/?p=show_film&amp;fid=5148</t>
        </is>
      </c>
      <c r="M2204" s="2">
        <f>HYPERLINK("https://ru.wikipedia.org/w/index.php?search=%D0%9C%D0%B0%D0%BB%D0%B5%D0%BD%D1%8C%D0%BA%D0%B8%D0%B5%20%D1%87%D1%83%D0%B4%D0%B5%D1%81%D0%B0%201986%20%D1%84%D0%B8%D0%BB%D1%8C%D0%BC","искать")</f>
        <v/>
      </c>
      <c r="N2204" s="3" t="n"/>
      <c r="O2204" s="2" t="n"/>
      <c r="P2204" s="2" t="n"/>
    </row>
    <row r="2205">
      <c r="A2205" s="2" t="n">
        <v>2204</v>
      </c>
      <c r="B2205" s="2" t="inlineStr">
        <is>
          <t>не сюжет</t>
        </is>
      </c>
      <c r="C2205" s="2" t="n">
        <v>14371</v>
      </c>
      <c r="D2205" s="3" t="inlineStr">
        <is>
          <t>Вампиры Геоны</t>
        </is>
      </c>
      <c r="E2205" s="2" t="n">
        <v>1991</v>
      </c>
      <c r="F2205" s="2" t="inlineStr">
        <is>
          <t>мультфильм</t>
        </is>
      </c>
      <c r="G2205" s="2" t="inlineStr">
        <is>
          <t>СОЮЗТЕЛЕФИЛЬМ</t>
        </is>
      </c>
      <c r="H2205" s="2" t="n">
        <v>105</v>
      </c>
      <c r="I2205" s="2" t="inlineStr"/>
      <c r="J2205" s="2" t="inlineStr">
        <is>
          <t>да</t>
        </is>
      </c>
      <c r="K2205" s="3" t="inlineStr">
        <is>
          <t>Фантастический мультфильм, рассказывающий об удивительных существах и вампирах, населявших планету Геону.</t>
        </is>
      </c>
      <c r="L2205" s="2" t="inlineStr">
        <is>
          <t>https://animator.ru/db/?p=show_film&amp;fid=6264</t>
        </is>
      </c>
      <c r="M2205" s="2">
        <f>HYPERLINK("https://ru.wikipedia.org/w/index.php?search=%D0%92%D0%B0%D0%BC%D0%BF%D0%B8%D1%80%D1%8B%20%D0%93%D0%B5%D0%BE%D0%BD%D1%8B%201991%20%D1%84%D0%B8%D0%BB%D1%8C%D0%BC","искать")</f>
        <v/>
      </c>
      <c r="N2205" s="3" t="n"/>
      <c r="O2205" s="2" t="n"/>
      <c r="P2205" s="2" t="n"/>
    </row>
    <row r="2206">
      <c r="A2206" s="2" t="n">
        <v>2205</v>
      </c>
      <c r="B2206" s="2" t="inlineStr">
        <is>
          <t>не сюжет</t>
        </is>
      </c>
      <c r="C2206" s="2" t="n">
        <v>7687</v>
      </c>
      <c r="D2206" s="3" t="inlineStr">
        <is>
          <t>Исключения без правил (киноальманах)</t>
        </is>
      </c>
      <c r="E2206" s="2" t="n">
        <v>1986</v>
      </c>
      <c r="F2206" s="2" t="inlineStr">
        <is>
          <t>телефильм</t>
        </is>
      </c>
      <c r="G2206" s="2" t="n"/>
      <c r="H2206" s="2" t="n">
        <v>106</v>
      </c>
      <c r="I2206" s="2" t="inlineStr"/>
      <c r="J2206" s="2" t="inlineStr">
        <is>
          <t>да</t>
        </is>
      </c>
      <c r="K2206" s="3" t="inlineStr">
        <is>
          <t>Альманах короткометражных художественных фильмов по рассказам Михаила Мишина из сборника "Пауза в мажоре".</t>
        </is>
      </c>
      <c r="L2206" s="2" t="inlineStr">
        <is>
          <t>Кино_СССР сводный каталог.xlsx: список телефильмов</t>
        </is>
      </c>
      <c r="M2206" s="2">
        <f>HYPERLINK("https://ru.wikipedia.org/w/index.php?search=%D0%98%D1%81%D0%BA%D0%BB%D1%8E%D1%87%D0%B5%D0%BD%D0%B8%D1%8F%20%D0%B1%D0%B5%D0%B7%20%D0%BF%D1%80%D0%B0%D0%B2%D0%B8%D0%BB%20%28%D0%BA%D0%B8%D0%BD%D0%BE%D0%B0%D0%BB%D1%8C%D0%BC%D0%B0%D0%BD%D0%B0%D1%85%29%201986%20%D1%84%D0%B8%D0%BB%D1%8C%D0%BC","искать")</f>
        <v/>
      </c>
      <c r="N2206" s="3" t="n"/>
      <c r="O2206" s="2" t="n"/>
      <c r="P2206" s="2" t="n"/>
    </row>
    <row r="2207">
      <c r="A2207" s="2" t="n">
        <v>2206</v>
      </c>
      <c r="B2207" s="2" t="inlineStr">
        <is>
          <t>не сюжет</t>
        </is>
      </c>
      <c r="C2207" s="2" t="n">
        <v>8308</v>
      </c>
      <c r="D2207" s="3" t="inlineStr">
        <is>
          <t>Свеаборг</t>
        </is>
      </c>
      <c r="E2207" s="2" t="n">
        <v>1972</v>
      </c>
      <c r="F2207" s="2" t="inlineStr">
        <is>
          <t>телефильм</t>
        </is>
      </c>
      <c r="G2207" s="2" t="n"/>
      <c r="H2207" s="2" t="n">
        <v>106</v>
      </c>
      <c r="I2207" s="2" t="inlineStr"/>
      <c r="J2207" s="2" t="inlineStr">
        <is>
          <t>да</t>
        </is>
      </c>
      <c r="K2207" s="3" t="inlineStr">
        <is>
          <t>Телефильм о восстании русских солдат, офицеров и финских красногвардейцев в крепости Свеаборг в 1906 году.</t>
        </is>
      </c>
      <c r="L2207" s="2" t="inlineStr">
        <is>
          <t>Кино_СССР сводный каталог.xlsx: список телефильмов</t>
        </is>
      </c>
      <c r="M2207" s="2">
        <f>HYPERLINK("https://ru.wikipedia.org/w/index.php?search=%D0%A1%D0%B2%D0%B5%D0%B0%D0%B1%D0%BE%D1%80%D0%B3%201972%20%D1%84%D0%B8%D0%BB%D1%8C%D0%BC","искать")</f>
        <v/>
      </c>
      <c r="N2207" s="3" t="n"/>
      <c r="O2207" s="2" t="n"/>
      <c r="P2207" s="2" t="n"/>
    </row>
    <row r="2208">
      <c r="A2208" s="2" t="n">
        <v>2207</v>
      </c>
      <c r="B2208" s="2" t="inlineStr">
        <is>
          <t>не сюжет</t>
        </is>
      </c>
      <c r="C2208" s="2" t="n">
        <v>10235</v>
      </c>
      <c r="D2208" s="3" t="inlineStr">
        <is>
          <t>Верю в тебя</t>
        </is>
      </c>
      <c r="E2208" s="2" t="n">
        <v>1968</v>
      </c>
      <c r="F2208" s="2" t="inlineStr">
        <is>
          <t>фильм-спектакль</t>
        </is>
      </c>
      <c r="G2208" s="2" t="inlineStr">
        <is>
          <t>Ленинградское телевидение</t>
        </is>
      </c>
      <c r="H2208" s="2" t="n">
        <v>106</v>
      </c>
      <c r="I2208" s="2" t="inlineStr"/>
      <c r="J2208" s="2" t="inlineStr">
        <is>
          <t>да</t>
        </is>
      </c>
      <c r="K2208" s="3" t="inlineStr">
        <is>
          <t>По пьесе В.Коростылева.
О том, как вера в человека делает его более смелым, целеустремленным, талантливым.</t>
        </is>
      </c>
      <c r="L2208" s="2" t="inlineStr">
        <is>
          <t>https://www.kino-teatr.ru/teatr/movie/92968/annot/</t>
        </is>
      </c>
      <c r="M2208" s="2">
        <f>HYPERLINK("https://ru.wikipedia.org/w/index.php?search=%D0%92%D0%B5%D1%80%D1%8E%20%D0%B2%20%D1%82%D0%B5%D0%B1%D1%8F%201968%20%D1%84%D0%B8%D0%BB%D1%8C%D0%BC","искать")</f>
        <v/>
      </c>
      <c r="N2208" s="3" t="n"/>
      <c r="O2208" s="2" t="n"/>
      <c r="P2208" s="2" t="n"/>
    </row>
    <row r="2209">
      <c r="A2209" s="2" t="n">
        <v>2208</v>
      </c>
      <c r="B2209" s="2" t="inlineStr">
        <is>
          <t>не сюжет</t>
        </is>
      </c>
      <c r="C2209" s="2" t="n">
        <v>10318</v>
      </c>
      <c r="D2209" s="3" t="inlineStr">
        <is>
          <t>Министры и сыщики</t>
        </is>
      </c>
      <c r="E2209" s="2" t="n">
        <v>1969</v>
      </c>
      <c r="F2209" s="2" t="inlineStr">
        <is>
          <t>фильм-спектакль</t>
        </is>
      </c>
      <c r="G2209" s="2" t="inlineStr">
        <is>
          <t>Центральное телевидение</t>
        </is>
      </c>
      <c r="H2209" s="2" t="n">
        <v>106</v>
      </c>
      <c r="I2209" s="2" t="inlineStr"/>
      <c r="J2209" s="2" t="inlineStr">
        <is>
          <t>да</t>
        </is>
      </c>
      <c r="K2209" s="3" t="inlineStr">
        <is>
          <t>Телеспектакль по рассказу Артура Конан Дойла "Второе пятно" и произведению Агаты Кристи "Авгиевы конюшни".</t>
        </is>
      </c>
      <c r="L2209" s="2" t="inlineStr">
        <is>
          <t>https://www.kino-teatr.ru/teatr/movie/111624/annot/</t>
        </is>
      </c>
      <c r="M2209" s="2">
        <f>HYPERLINK("https://ru.wikipedia.org/w/index.php?search=%D0%9C%D0%B8%D0%BD%D0%B8%D1%81%D1%82%D1%80%D1%8B%20%D0%B8%20%D1%81%D1%8B%D1%89%D0%B8%D0%BA%D0%B8%201969%20%D1%84%D0%B8%D0%BB%D1%8C%D0%BC","искать")</f>
        <v/>
      </c>
      <c r="N2209" s="3" t="n"/>
      <c r="O2209" s="2" t="n"/>
      <c r="P2209" s="2" t="n"/>
    </row>
    <row r="2210">
      <c r="A2210" s="2" t="n">
        <v>2209</v>
      </c>
      <c r="B2210" s="2" t="inlineStr">
        <is>
          <t>не сюжет</t>
        </is>
      </c>
      <c r="C2210" s="2" t="n">
        <v>10871</v>
      </c>
      <c r="D2210" s="3" t="inlineStr">
        <is>
          <t>Этот фантастический мир. Выпуск 3</t>
        </is>
      </c>
      <c r="E2210" s="2" t="n">
        <v>1980</v>
      </c>
      <c r="F2210" s="2" t="inlineStr">
        <is>
          <t>фильм-спектакль</t>
        </is>
      </c>
      <c r="G2210" s="2" t="inlineStr">
        <is>
          <t>Главная редакция программ для детей и юношества ЦТ</t>
        </is>
      </c>
      <c r="H2210" s="2" t="n">
        <v>106</v>
      </c>
      <c r="I2210" s="2" t="inlineStr"/>
      <c r="J2210" s="2" t="inlineStr">
        <is>
          <t>да</t>
        </is>
      </c>
      <c r="K2210" s="3" t="inlineStr">
        <is>
          <t>В этом выпуске были инсценированы "Блистающий мир" Александра Грина и "Малыш" Аркадия и Бориса Стругацких.</t>
        </is>
      </c>
      <c r="L2210" s="2" t="inlineStr">
        <is>
          <t>https://www.kino-teatr.ru/teatr/movie/16824/annot/</t>
        </is>
      </c>
      <c r="M2210" s="2">
        <f>HYPERLINK("https://ru.wikipedia.org/w/index.php?search=%D0%AD%D1%82%D0%BE%D1%82%20%D1%84%D0%B0%D0%BD%D1%82%D0%B0%D1%81%D1%82%D0%B8%D1%87%D0%B5%D1%81%D0%BA%D0%B8%D0%B9%20%D0%BC%D0%B8%D1%80.%20%D0%92%D1%8B%D0%BF%D1%83%D1%81%D0%BA%203%201980%20%D1%84%D0%B8%D0%BB%D1%8C%D0%BC","искать")</f>
        <v/>
      </c>
      <c r="N2210" s="3" t="n"/>
      <c r="O2210" s="2" t="n"/>
      <c r="P2210" s="2" t="n"/>
    </row>
    <row r="2211">
      <c r="A2211" s="2" t="n">
        <v>2210</v>
      </c>
      <c r="B2211" s="2" t="inlineStr">
        <is>
          <t>не сюжет</t>
        </is>
      </c>
      <c r="C2211" s="2" t="n">
        <v>11391</v>
      </c>
      <c r="D2211" s="3" t="inlineStr">
        <is>
          <t>Прости, народ православный!</t>
        </is>
      </c>
      <c r="E2211" s="2" t="n">
        <v>1990</v>
      </c>
      <c r="F2211" s="2" t="inlineStr">
        <is>
          <t>фильм-опера/балет</t>
        </is>
      </c>
      <c r="G2211" s="2" t="n"/>
      <c r="H2211" s="2" t="n">
        <v>106</v>
      </c>
      <c r="I2211" s="2" t="inlineStr"/>
      <c r="J2211" s="2" t="inlineStr">
        <is>
          <t>да</t>
        </is>
      </c>
      <c r="K2211" s="3" t="inlineStr">
        <is>
          <t>Фильм-балет о Иване Грозном по либретто и хореографии руководителя театра 'Золотой балет' Виктора Шкилько.</t>
        </is>
      </c>
      <c r="L2211" s="2" t="inlineStr">
        <is>
          <t>Кино_СССР телефильмы и пропуски включить в базу.xlsx</t>
        </is>
      </c>
      <c r="M2211" s="2">
        <f>HYPERLINK("https://ru.wikipedia.org/w/index.php?search=%D0%9F%D1%80%D0%BE%D1%81%D1%82%D0%B8%2C%20%D0%BD%D0%B0%D1%80%D0%BE%D0%B4%20%D0%BF%D1%80%D0%B0%D0%B2%D0%BE%D1%81%D0%BB%D0%B0%D0%B2%D0%BD%D1%8B%D0%B9%21%201990%20%D1%84%D0%B8%D0%BB%D1%8C%D0%BC","искать")</f>
        <v/>
      </c>
      <c r="N2211" s="3" t="n"/>
      <c r="O2211" s="2" t="n"/>
      <c r="P2211" s="2" t="n"/>
    </row>
    <row r="2212">
      <c r="A2212" s="2" t="n">
        <v>2211</v>
      </c>
      <c r="B2212" s="2" t="inlineStr">
        <is>
          <t>не сюжет</t>
        </is>
      </c>
      <c r="C2212" s="2" t="n">
        <v>11844</v>
      </c>
      <c r="D2212" s="3" t="inlineStr">
        <is>
          <t>Не любо - не слушай</t>
        </is>
      </c>
      <c r="E2212" s="2" t="n">
        <v>1977</v>
      </c>
      <c r="F2212" s="2" t="inlineStr">
        <is>
          <t>мультфильм</t>
        </is>
      </c>
      <c r="G2212" s="2" t="inlineStr">
        <is>
          <t>Союзмультфильм</t>
        </is>
      </c>
      <c r="H2212" s="2" t="n">
        <v>106</v>
      </c>
      <c r="I2212" s="2" t="inlineStr"/>
      <c r="J2212" s="2" t="inlineStr">
        <is>
          <t>да</t>
        </is>
      </c>
      <c r="K2212" s="3" t="inlineStr">
        <is>
          <t>По мотивам северных сказок Степана Писахова. Состоит из сюжетов Вечны льдины, Морожены песни, Про медведя.</t>
        </is>
      </c>
      <c r="L2212" s="2" t="inlineStr">
        <is>
          <t>2026-10_мультфильмы_список_владельца.xlsx; https://animator.ru/db/?p=show_film&amp;fid=2759</t>
        </is>
      </c>
      <c r="M2212" s="2">
        <f>HYPERLINK("https://ru.wikipedia.org/w/index.php?search=%D0%9D%D0%B5%20%D0%BB%D1%8E%D0%B1%D0%BE%20-%20%D0%BD%D0%B5%20%D1%81%D0%BB%D1%83%D1%88%D0%B0%D0%B9%201977%20%D1%84%D0%B8%D0%BB%D1%8C%D0%BC","искать")</f>
        <v/>
      </c>
      <c r="N2212" s="3" t="n"/>
      <c r="O2212" s="2" t="n"/>
      <c r="P2212" s="2" t="n"/>
    </row>
    <row r="2213">
      <c r="A2213" s="2" t="n">
        <v>2212</v>
      </c>
      <c r="B2213" s="2" t="inlineStr">
        <is>
          <t>не сюжет</t>
        </is>
      </c>
      <c r="C2213" s="2" t="n">
        <v>13040</v>
      </c>
      <c r="D2213" s="3" t="inlineStr">
        <is>
          <t>Рогатая глина</t>
        </is>
      </c>
      <c r="E2213" s="2" t="n">
        <v>1971</v>
      </c>
      <c r="F2213" s="2" t="inlineStr">
        <is>
          <t>мультфильм</t>
        </is>
      </c>
      <c r="G2213" s="2" t="inlineStr">
        <is>
          <t>РИЖСКАЯ КИНОСТУДИЯ</t>
        </is>
      </c>
      <c r="H2213" s="2" t="n">
        <v>106</v>
      </c>
      <c r="I2213" s="2" t="inlineStr"/>
      <c r="J2213" s="2" t="inlineStr">
        <is>
          <t>да</t>
        </is>
      </c>
      <c r="K2213" s="3" t="inlineStr">
        <is>
          <t>Герои фильма -- художник-гончар и ожившие глиняные чертенята, традиционные для народной латышской керамики</t>
        </is>
      </c>
      <c r="L2213" s="2" t="inlineStr">
        <is>
          <t>https://animator.ru/db/?p=show_film&amp;fid=4272</t>
        </is>
      </c>
      <c r="M2213" s="2">
        <f>HYPERLINK("https://ru.wikipedia.org/w/index.php?search=%D0%A0%D0%BE%D0%B3%D0%B0%D1%82%D0%B0%D1%8F%20%D0%B3%D0%BB%D0%B8%D0%BD%D0%B0%201971%20%D1%84%D0%B8%D0%BB%D1%8C%D0%BC","искать")</f>
        <v/>
      </c>
      <c r="N2213" s="3" t="n"/>
      <c r="O2213" s="2" t="n"/>
      <c r="P2213" s="2" t="n"/>
    </row>
    <row r="2214">
      <c r="A2214" s="2" t="n">
        <v>2213</v>
      </c>
      <c r="B2214" s="2" t="inlineStr">
        <is>
          <t>не сюжет</t>
        </is>
      </c>
      <c r="C2214" s="2" t="n">
        <v>13505</v>
      </c>
      <c r="D2214" s="3" t="inlineStr">
        <is>
          <t>Сказки-невелички</t>
        </is>
      </c>
      <c r="E2214" s="2" t="n">
        <v>1979</v>
      </c>
      <c r="F2214" s="2" t="inlineStr">
        <is>
          <t>мультфильм</t>
        </is>
      </c>
      <c r="G2214" s="2" t="inlineStr">
        <is>
          <t>САРАТОВТЕЛЕФИЛЬМ</t>
        </is>
      </c>
      <c r="H2214" s="2" t="n">
        <v>106</v>
      </c>
      <c r="I2214" s="2" t="inlineStr"/>
      <c r="J2214" s="2" t="inlineStr">
        <is>
          <t>да</t>
        </is>
      </c>
      <c r="K2214" s="3" t="inlineStr">
        <is>
          <t>Включает три сюжета: "Медвежка-сладкоежка", "Зайчишка-хвастунишка" и "Неблагодарный козленок". Для малышей</t>
        </is>
      </c>
      <c r="L2214" s="2" t="inlineStr">
        <is>
          <t>https://animator.ru/db/?p=show_film&amp;fid=4795</t>
        </is>
      </c>
      <c r="M2214" s="2">
        <f>HYPERLINK("https://ru.wikipedia.org/w/index.php?search=%D0%A1%D0%BA%D0%B0%D0%B7%D0%BA%D0%B8-%D0%BD%D0%B5%D0%B2%D0%B5%D0%BB%D0%B8%D1%87%D0%BA%D0%B8%201979%20%D1%84%D0%B8%D0%BB%D1%8C%D0%BC","искать")</f>
        <v/>
      </c>
      <c r="N2214" s="3" t="n"/>
      <c r="O2214" s="2" t="n"/>
      <c r="P2214" s="2" t="n"/>
    </row>
    <row r="2215">
      <c r="A2215" s="2" t="n">
        <v>2214</v>
      </c>
      <c r="B2215" s="2" t="inlineStr">
        <is>
          <t>не сюжет</t>
        </is>
      </c>
      <c r="C2215" s="2" t="n">
        <v>13606</v>
      </c>
      <c r="D2215" s="3" t="inlineStr">
        <is>
          <t>Между крокодилом и львом</t>
        </is>
      </c>
      <c r="E2215" s="2" t="n">
        <v>1973</v>
      </c>
      <c r="F2215" s="2" t="inlineStr">
        <is>
          <t>мультфильм</t>
        </is>
      </c>
      <c r="G2215" s="2" t="inlineStr">
        <is>
          <t>ЭКРАН</t>
        </is>
      </c>
      <c r="H2215" s="2" t="n">
        <v>106</v>
      </c>
      <c r="I2215" s="2" t="inlineStr"/>
      <c r="J2215" s="2" t="inlineStr">
        <is>
          <t>да</t>
        </is>
      </c>
      <c r="K2215" s="3" t="inlineStr">
        <is>
          <t>Здесь можно посмотреть онлайн и скачать мультфильм "Между крокодилом и львом" (Экран, 1973 г.) (Мюнхаузен)</t>
        </is>
      </c>
      <c r="L2215" s="2" t="inlineStr">
        <is>
          <t>2026-10_мультфильмы_список_владельца.xlsx; https://animator.ru/db/?p=show_film&amp;fid=4956</t>
        </is>
      </c>
      <c r="M2215" s="2">
        <f>HYPERLINK("https://ru.wikipedia.org/w/index.php?search=%D0%9C%D0%B5%D0%B6%D0%B4%D1%83%20%D0%BA%D1%80%D0%BE%D0%BA%D0%BE%D0%B4%D0%B8%D0%BB%D0%BE%D0%BC%20%D0%B8%20%D0%BB%D1%8C%D0%B2%D0%BE%D0%BC%201973%20%D1%84%D0%B8%D0%BB%D1%8C%D0%BC","искать")</f>
        <v/>
      </c>
      <c r="N2215" s="3" t="n"/>
      <c r="O2215" s="2" t="n"/>
      <c r="P2215" s="2" t="n"/>
    </row>
    <row r="2216">
      <c r="A2216" s="2" t="n">
        <v>2215</v>
      </c>
      <c r="B2216" s="2" t="inlineStr">
        <is>
          <t>не сюжет</t>
        </is>
      </c>
      <c r="C2216" s="2" t="n">
        <v>14356</v>
      </c>
      <c r="D2216" s="3" t="inlineStr">
        <is>
          <t>Тихо! Идет операция</t>
        </is>
      </c>
      <c r="E2216" s="2" t="n">
        <v>1986</v>
      </c>
      <c r="F2216" s="2" t="inlineStr">
        <is>
          <t>мультфильм</t>
        </is>
      </c>
      <c r="G2216" s="2" t="inlineStr">
        <is>
          <t>МУЛЬТТЕЛЕФИЛЬМ ("Экран")</t>
        </is>
      </c>
      <c r="H2216" s="2" t="n">
        <v>106</v>
      </c>
      <c r="I2216" s="2" t="inlineStr"/>
      <c r="J2216" s="2" t="inlineStr">
        <is>
          <t>да</t>
        </is>
      </c>
      <c r="K2216" s="3" t="inlineStr">
        <is>
          <t>Микромультфильм посвящен проблеме бережного отношения к окружающим людям, необходимости соблюдения тишины.</t>
        </is>
      </c>
      <c r="L2216" s="2" t="inlineStr">
        <is>
          <t>https://animator.ru/db/?p=show_film&amp;fid=5937</t>
        </is>
      </c>
      <c r="M2216" s="2">
        <f>HYPERLINK("https://ru.wikipedia.org/w/index.php?search=%D0%A2%D0%B8%D1%85%D0%BE%21%20%D0%98%D0%B4%D0%B5%D1%82%20%D0%BE%D0%BF%D0%B5%D1%80%D0%B0%D1%86%D0%B8%D1%8F%201986%20%D1%84%D0%B8%D0%BB%D1%8C%D0%BC","искать")</f>
        <v/>
      </c>
      <c r="N2216" s="3" t="n"/>
      <c r="O2216" s="2" t="n"/>
      <c r="P2216" s="2" t="n"/>
    </row>
    <row r="2217">
      <c r="A2217" s="2" t="n">
        <v>2216</v>
      </c>
      <c r="B2217" s="2" t="inlineStr">
        <is>
          <t>не сюжет</t>
        </is>
      </c>
      <c r="C2217" s="2" t="n">
        <v>7604</v>
      </c>
      <c r="D2217" s="3" t="inlineStr">
        <is>
          <t>Жил-был настройщик</t>
        </is>
      </c>
      <c r="E2217" s="2" t="n">
        <v>1979</v>
      </c>
      <c r="F2217" s="2" t="inlineStr">
        <is>
          <t>телефильм</t>
        </is>
      </c>
      <c r="G2217" s="2" t="n"/>
      <c r="H2217" s="2" t="n">
        <v>107</v>
      </c>
      <c r="I2217" s="2" t="inlineStr"/>
      <c r="J2217" s="2" t="inlineStr">
        <is>
          <t>да</t>
        </is>
      </c>
      <c r="K2217" s="3" t="inlineStr">
        <is>
          <t>Фильм повествует о двух днях из жизни скромного, немного чудаковатого настройщика музыкальных инструментов.</t>
        </is>
      </c>
      <c r="L2217" s="2" t="inlineStr">
        <is>
          <t>Кино_СССР сводный каталог.xlsx: список телефильмов</t>
        </is>
      </c>
      <c r="M2217" s="2">
        <f>HYPERLINK("https://ru.wikipedia.org/w/index.php?search=%D0%96%D0%B8%D0%BB-%D0%B1%D1%8B%D0%BB%20%D0%BD%D0%B0%D1%81%D1%82%D1%80%D0%BE%D0%B9%D1%89%D0%B8%D0%BA%201979%20%D1%84%D0%B8%D0%BB%D1%8C%D0%BC","искать")</f>
        <v/>
      </c>
      <c r="N2217" s="3" t="n"/>
      <c r="O2217" s="2" t="n"/>
      <c r="P2217" s="2" t="n"/>
    </row>
    <row r="2218">
      <c r="A2218" s="2" t="n">
        <v>2217</v>
      </c>
      <c r="B2218" s="2" t="inlineStr">
        <is>
          <t>не сюжет</t>
        </is>
      </c>
      <c r="C2218" s="2" t="n">
        <v>7826</v>
      </c>
      <c r="D2218" s="3" t="inlineStr">
        <is>
          <t>Любимые роли</t>
        </is>
      </c>
      <c r="E2218" s="2" t="n">
        <v>1974</v>
      </c>
      <c r="F2218" s="2" t="inlineStr">
        <is>
          <t>телефильм</t>
        </is>
      </c>
      <c r="G2218" s="2" t="n"/>
      <c r="H2218" s="2" t="n">
        <v>107</v>
      </c>
      <c r="I2218" s="2" t="inlineStr"/>
      <c r="J2218" s="2" t="inlineStr">
        <is>
          <t>да</t>
        </is>
      </c>
      <c r="K2218" s="3" t="inlineStr">
        <is>
          <t>Телевизионный фильм, посвященный творчеству Народной артистке СССР Анастасии Платоновне Зуевой (1896-1986).</t>
        </is>
      </c>
      <c r="L2218" s="2" t="inlineStr">
        <is>
          <t>Кино_СССР сводный каталог.xlsx: список телефильмов</t>
        </is>
      </c>
      <c r="M2218" s="2">
        <f>HYPERLINK("https://ru.wikipedia.org/w/index.php?search=%D0%9B%D1%8E%D0%B1%D0%B8%D0%BC%D1%8B%D0%B5%20%D1%80%D0%BE%D0%BB%D0%B8%201974%20%D1%84%D0%B8%D0%BB%D1%8C%D0%BC","искать")</f>
        <v/>
      </c>
      <c r="N2218" s="3" t="n"/>
      <c r="O2218" s="2" t="n"/>
      <c r="P2218" s="2" t="n"/>
    </row>
    <row r="2219">
      <c r="A2219" s="2" t="n">
        <v>2218</v>
      </c>
      <c r="B2219" s="2" t="inlineStr">
        <is>
          <t>не сюжет</t>
        </is>
      </c>
      <c r="C2219" s="2" t="n">
        <v>8712</v>
      </c>
      <c r="D2219" s="3" t="inlineStr">
        <is>
          <t>Дорога в Парадиз</t>
        </is>
      </c>
      <c r="E2219" s="2" t="n">
        <v>1991</v>
      </c>
      <c r="F2219" s="2" t="inlineStr">
        <is>
          <t>кинофильм</t>
        </is>
      </c>
      <c r="G2219" s="2" t="n"/>
      <c r="H2219" s="2" t="n">
        <v>107</v>
      </c>
      <c r="I2219" s="2" t="inlineStr"/>
      <c r="J2219" s="2" t="inlineStr">
        <is>
          <t>да</t>
        </is>
      </c>
      <c r="K2219" s="3" t="inlineStr">
        <is>
          <t>Главный герой хочет осчастливить всех людей разом, не замечая, что делает несчастным каждого в отдельности.</t>
        </is>
      </c>
      <c r="L2219" s="2" t="inlineStr">
        <is>
          <t>Кино_СССР сводный каталог.xlsx: список фильмов (доп.)</t>
        </is>
      </c>
      <c r="M2219" s="2">
        <f>HYPERLINK("https://ru.wikipedia.org/w/index.php?search=%D0%94%D0%BE%D1%80%D0%BE%D0%B3%D0%B0%20%D0%B2%20%D0%9F%D0%B0%D1%80%D0%B0%D0%B4%D0%B8%D0%B7%201991%20%D1%84%D0%B8%D0%BB%D1%8C%D0%BC","искать")</f>
        <v/>
      </c>
      <c r="N2219" s="3" t="n"/>
      <c r="O2219" s="2" t="n"/>
      <c r="P2219" s="2" t="n"/>
    </row>
    <row r="2220">
      <c r="A2220" s="2" t="n">
        <v>2219</v>
      </c>
      <c r="B2220" s="2" t="inlineStr">
        <is>
          <t>не сюжет</t>
        </is>
      </c>
      <c r="C2220" s="2" t="n">
        <v>10012</v>
      </c>
      <c r="D2220" s="3" t="inlineStr">
        <is>
          <t>Жажда</t>
        </is>
      </c>
      <c r="E2220" s="2" t="n">
        <v>1986</v>
      </c>
      <c r="F2220" s="2" t="inlineStr">
        <is>
          <t>телефильм</t>
        </is>
      </c>
      <c r="G2220" s="2" t="inlineStr">
        <is>
          <t>Пермтелефильм</t>
        </is>
      </c>
      <c r="H2220" s="2" t="n">
        <v>107</v>
      </c>
      <c r="I2220" s="2" t="inlineStr"/>
      <c r="J2220" s="2" t="inlineStr">
        <is>
          <t>да</t>
        </is>
      </c>
      <c r="K2220" s="3" t="inlineStr">
        <is>
          <t>18-минутная кинофантасмагория о тлетворном влиянии "зеленого змия".
Курсовая работа Сергея Лепихина (ВГИК).</t>
        </is>
      </c>
      <c r="L2220" s="2" t="inlineStr">
        <is>
          <t>https://www.kino-teatr.ru/short/movie/sov/16975/annot/</t>
        </is>
      </c>
      <c r="M2220" s="2">
        <f>HYPERLINK("https://ru.wikipedia.org/w/index.php?search=%D0%96%D0%B0%D0%B6%D0%B4%D0%B0%201986%20%D1%84%D0%B8%D0%BB%D1%8C%D0%BC","искать")</f>
        <v/>
      </c>
      <c r="N2220" s="3" t="n"/>
      <c r="O2220" s="2" t="n"/>
      <c r="P2220" s="2" t="n"/>
    </row>
    <row r="2221">
      <c r="A2221" s="2" t="n">
        <v>2220</v>
      </c>
      <c r="B2221" s="2" t="inlineStr">
        <is>
          <t>не сюжет</t>
        </is>
      </c>
      <c r="C2221" s="2" t="n">
        <v>10332</v>
      </c>
      <c r="D2221" s="3" t="inlineStr">
        <is>
          <t>Страницы живые</t>
        </is>
      </c>
      <c r="E2221" s="2" t="n">
        <v>1969</v>
      </c>
      <c r="F2221" s="2" t="inlineStr">
        <is>
          <t>фильм-спектакль</t>
        </is>
      </c>
      <c r="G2221" s="2" t="inlineStr">
        <is>
          <t>Гл. ред. лит.-драм. программ</t>
        </is>
      </c>
      <c r="H2221" s="2" t="n">
        <v>107</v>
      </c>
      <c r="I2221" s="2" t="inlineStr"/>
      <c r="J2221" s="2" t="inlineStr">
        <is>
          <t>да</t>
        </is>
      </c>
      <c r="K2221" s="3" t="inlineStr">
        <is>
          <t>Драматическая композиция по переписке К.Маркса и Ф.Энгельса. Включены воспоминания о К.Марксе и Ф.Энгельсе.</t>
        </is>
      </c>
      <c r="L2221" s="2" t="inlineStr">
        <is>
          <t>https://www.kino-teatr.ru/teatr/movie/93061/annot/</t>
        </is>
      </c>
      <c r="M2221" s="2">
        <f>HYPERLINK("https://ru.wikipedia.org/w/index.php?search=%D0%A1%D1%82%D1%80%D0%B0%D0%BD%D0%B8%D1%86%D1%8B%20%D0%B6%D0%B8%D0%B2%D1%8B%D0%B5%201969%20%D1%84%D0%B8%D0%BB%D1%8C%D0%BC","искать")</f>
        <v/>
      </c>
      <c r="N2221" s="3" t="n"/>
      <c r="O2221" s="2" t="n"/>
      <c r="P2221" s="2" t="n"/>
    </row>
    <row r="2222">
      <c r="A2222" s="2" t="n">
        <v>2221</v>
      </c>
      <c r="B2222" s="2" t="inlineStr">
        <is>
          <t>не сюжет</t>
        </is>
      </c>
      <c r="C2222" s="2" t="n">
        <v>10500</v>
      </c>
      <c r="D2222" s="3" t="inlineStr">
        <is>
          <t>Звёздный час</t>
        </is>
      </c>
      <c r="E2222" s="2" t="n">
        <v>1973</v>
      </c>
      <c r="F2222" s="2" t="inlineStr">
        <is>
          <t>фильм-спектакль</t>
        </is>
      </c>
      <c r="G2222" s="2" t="inlineStr">
        <is>
          <t>Центральное телевидение</t>
        </is>
      </c>
      <c r="H2222" s="2" t="n">
        <v>107</v>
      </c>
      <c r="I2222" s="2" t="inlineStr"/>
      <c r="J2222" s="2" t="inlineStr">
        <is>
          <t>да</t>
        </is>
      </c>
      <c r="K2222" s="3" t="inlineStr">
        <is>
          <t>По пьесе эстонского драматурга Ханса Луйка.
Действие происходит в Петрограде в канун Октябрьской революции.</t>
        </is>
      </c>
      <c r="L2222" s="2" t="inlineStr">
        <is>
          <t>https://www.kino-teatr.ru/teatr/movie/16366/annot/</t>
        </is>
      </c>
      <c r="M2222" s="2">
        <f>HYPERLINK("https://ru.wikipedia.org/w/index.php?search=%D0%97%D0%B2%D1%91%D0%B7%D0%B4%D0%BD%D1%8B%D0%B9%20%D1%87%D0%B0%D1%81%201973%20%D1%84%D0%B8%D0%BB%D1%8C%D0%BC","искать")</f>
        <v/>
      </c>
      <c r="N2222" s="3" t="n"/>
      <c r="O2222" s="2" t="n"/>
      <c r="P2222" s="2" t="n"/>
    </row>
    <row r="2223">
      <c r="A2223" s="2" t="n">
        <v>2222</v>
      </c>
      <c r="B2223" s="2" t="inlineStr">
        <is>
          <t>не сюжет</t>
        </is>
      </c>
      <c r="C2223" s="2" t="n">
        <v>11760</v>
      </c>
      <c r="D2223" s="3" t="inlineStr">
        <is>
          <t>ЮМОРЕСКИ (Выпуск 2)</t>
        </is>
      </c>
      <c r="E2223" s="2" t="n">
        <v>1974</v>
      </c>
      <c r="F2223" s="2" t="inlineStr">
        <is>
          <t>мультфильм</t>
        </is>
      </c>
      <c r="G2223" s="2" t="inlineStr">
        <is>
          <t>Союзмультфильм</t>
        </is>
      </c>
      <c r="H2223" s="2" t="n">
        <v>107</v>
      </c>
      <c r="I2223" s="2" t="inlineStr"/>
      <c r="J2223" s="2" t="inlineStr">
        <is>
          <t>да</t>
        </is>
      </c>
      <c r="K2223" s="3" t="inlineStr">
        <is>
          <t>Три сюжета на тему взаимоотношений человека и природы: "Пауза", "Открытие", "Оглянись вперед". Для взрослых</t>
        </is>
      </c>
      <c r="L2223" s="2" t="inlineStr">
        <is>
          <t>https://animator.ru/db/?p=show_film&amp;fid=2674</t>
        </is>
      </c>
      <c r="M2223" s="2">
        <f>HYPERLINK("https://ru.wikipedia.org/w/index.php?search=%D0%AE%D0%9C%D0%9E%D0%A0%D0%95%D0%A1%D0%9A%D0%98%20%28%D0%92%D1%8B%D0%BF%D1%83%D1%81%D0%BA%202%29%201974%20%D1%84%D0%B8%D0%BB%D1%8C%D0%BC","искать")</f>
        <v/>
      </c>
      <c r="N2223" s="3" t="n"/>
      <c r="O2223" s="2" t="n"/>
      <c r="P2223" s="2" t="n"/>
    </row>
    <row r="2224">
      <c r="A2224" s="2" t="n">
        <v>2223</v>
      </c>
      <c r="B2224" s="2" t="inlineStr">
        <is>
          <t>не сюжет</t>
        </is>
      </c>
      <c r="C2224" s="2" t="n">
        <v>12275</v>
      </c>
      <c r="D2224" s="3" t="inlineStr">
        <is>
          <t>Как Ниночка царицей стала</t>
        </is>
      </c>
      <c r="E2224" s="2" t="n">
        <v>1990</v>
      </c>
      <c r="F2224" s="2" t="inlineStr">
        <is>
          <t>мультфильм</t>
        </is>
      </c>
      <c r="G2224" s="2" t="inlineStr">
        <is>
          <t>Союзмультфильм</t>
        </is>
      </c>
      <c r="H2224" s="2" t="n">
        <v>107</v>
      </c>
      <c r="I2224" s="2" t="inlineStr"/>
      <c r="J2224" s="2" t="inlineStr">
        <is>
          <t>да</t>
        </is>
      </c>
      <c r="K2224" s="3" t="inlineStr">
        <is>
          <t>По мотивам сказки Н.Гарина-Михайловского "История одной девочки" о дружбе маленькой Ниночки и старого Волка</t>
        </is>
      </c>
      <c r="L2224" s="2" t="inlineStr">
        <is>
          <t>https://animator.ru/db/?p=show_film&amp;fid=3392</t>
        </is>
      </c>
      <c r="M2224" s="2">
        <f>HYPERLINK("https://ru.wikipedia.org/w/index.php?search=%D0%9A%D0%B0%D0%BA%20%D0%9D%D0%B8%D0%BD%D0%BE%D1%87%D0%BA%D0%B0%20%D1%86%D0%B0%D1%80%D0%B8%D1%86%D0%B5%D0%B9%20%D1%81%D1%82%D0%B0%D0%BB%D0%B0%201990%20%D1%84%D0%B8%D0%BB%D1%8C%D0%BC","искать")</f>
        <v/>
      </c>
      <c r="N2224" s="3" t="n"/>
      <c r="O2224" s="2" t="n"/>
      <c r="P2224" s="2" t="n"/>
    </row>
    <row r="2225">
      <c r="A2225" s="2" t="n">
        <v>2224</v>
      </c>
      <c r="B2225" s="2" t="inlineStr">
        <is>
          <t>не сюжет</t>
        </is>
      </c>
      <c r="C2225" s="2" t="n">
        <v>12303</v>
      </c>
      <c r="D2225" s="3" t="inlineStr">
        <is>
          <t>Ненаглядное пособие</t>
        </is>
      </c>
      <c r="E2225" s="2" t="n">
        <v>1991</v>
      </c>
      <c r="F2225" s="2" t="inlineStr">
        <is>
          <t>мультфильм</t>
        </is>
      </c>
      <c r="G2225" s="2" t="inlineStr">
        <is>
          <t>Союзмультфильм</t>
        </is>
      </c>
      <c r="H2225" s="2" t="n">
        <v>107</v>
      </c>
      <c r="I2225" s="2" t="inlineStr"/>
      <c r="J2225" s="2" t="inlineStr">
        <is>
          <t>да</t>
        </is>
      </c>
      <c r="K2225" s="3" t="inlineStr">
        <is>
          <t>Очередной фильм из серии картин с учестием Мартышки, Слоненка, Удава и Попугая - героев ленты "38 попугаев"</t>
        </is>
      </c>
      <c r="L2225" s="2" t="inlineStr">
        <is>
          <t>https://gosfilmofond.ru/films/249446/</t>
        </is>
      </c>
      <c r="M2225" s="2">
        <f>HYPERLINK("https://ru.wikipedia.org/w/index.php?search=%D0%9D%D0%B5%D0%BD%D0%B0%D0%B3%D0%BB%D1%8F%D0%B4%D0%BD%D0%BE%D0%B5%20%D0%BF%D0%BE%D1%81%D0%BE%D0%B1%D0%B8%D0%B5%201991%20%D1%84%D0%B8%D0%BB%D1%8C%D0%BC","искать")</f>
        <v/>
      </c>
      <c r="N2225" s="3" t="n"/>
      <c r="O2225" s="2" t="n"/>
      <c r="P2225" s="2" t="n"/>
    </row>
    <row r="2226">
      <c r="A2226" s="2" t="n">
        <v>2225</v>
      </c>
      <c r="B2226" s="2" t="inlineStr">
        <is>
          <t>не сюжет</t>
        </is>
      </c>
      <c r="C2226" s="2" t="n">
        <v>13727</v>
      </c>
      <c r="D2226" s="3" t="inlineStr">
        <is>
          <t>Конный спорт (выездка)</t>
        </is>
      </c>
      <c r="E2226" s="2" t="n">
        <v>1980</v>
      </c>
      <c r="F2226" s="2" t="inlineStr">
        <is>
          <t>мультфильм</t>
        </is>
      </c>
      <c r="G2226" s="2" t="inlineStr">
        <is>
          <t>ЭКРАН</t>
        </is>
      </c>
      <c r="H2226" s="2" t="n">
        <v>107</v>
      </c>
      <c r="I2226" s="2" t="inlineStr"/>
      <c r="J2226" s="2" t="inlineStr">
        <is>
          <t>да</t>
        </is>
      </c>
      <c r="K2226" s="3" t="inlineStr">
        <is>
          <t>Здесь можно посмотреть онлайн и скачать мультфильм "Конный спорт (выездка)" (ЭКРАН, 1980 г.) (Олимпиада-80)</t>
        </is>
      </c>
      <c r="L2226" s="2" t="inlineStr">
        <is>
          <t>2026-10_мультфильмы_список_владельца.xlsx; https://animator.ru/db/?p=show_film&amp;fid=5120</t>
        </is>
      </c>
      <c r="M2226" s="2">
        <f>HYPERLINK("https://ru.wikipedia.org/w/index.php?search=%D0%9A%D0%BE%D0%BD%D0%BD%D1%8B%D0%B9%20%D1%81%D0%BF%D0%BE%D1%80%D1%82%20%28%D0%B2%D1%8B%D0%B5%D0%B7%D0%B4%D0%BA%D0%B0%29%201980%20%D1%84%D0%B8%D0%BB%D1%8C%D0%BC","искать")</f>
        <v/>
      </c>
      <c r="N2226" s="3" t="n"/>
      <c r="O2226" s="2" t="n"/>
      <c r="P2226" s="2" t="n"/>
    </row>
    <row r="2227">
      <c r="A2227" s="2" t="n">
        <v>2226</v>
      </c>
      <c r="B2227" s="2" t="inlineStr">
        <is>
          <t>не сюжет</t>
        </is>
      </c>
      <c r="C2227" s="2" t="n">
        <v>7470</v>
      </c>
      <c r="D2227" s="3" t="inlineStr">
        <is>
          <t>Далёкий голос кукушки</t>
        </is>
      </c>
      <c r="E2227" s="2" t="n">
        <v>1985</v>
      </c>
      <c r="F2227" s="2" t="inlineStr">
        <is>
          <t>телефильм</t>
        </is>
      </c>
      <c r="G2227" s="2" t="n"/>
      <c r="H2227" s="2" t="n">
        <v>108</v>
      </c>
      <c r="I2227" s="2" t="inlineStr"/>
      <c r="J2227" s="2" t="inlineStr">
        <is>
          <t>да</t>
        </is>
      </c>
      <c r="K2227" s="3" t="inlineStr">
        <is>
          <t>По новеллам Анатолия Колесниченко. Драматические, лирические и производственные проблемы в жизни людей села.</t>
        </is>
      </c>
      <c r="L2227" s="2" t="inlineStr">
        <is>
          <t>Кино_СССР сводный каталог.xlsx: список телефильмов</t>
        </is>
      </c>
      <c r="M2227" s="2">
        <f>HYPERLINK("https://ru.wikipedia.org/w/index.php?search=%D0%94%D0%B0%D0%BB%D1%91%D0%BA%D0%B8%D0%B9%20%D0%B3%D0%BE%D0%BB%D0%BE%D1%81%20%D0%BA%D1%83%D0%BA%D1%83%D1%88%D0%BA%D0%B8%201985%20%D1%84%D0%B8%D0%BB%D1%8C%D0%BC","искать")</f>
        <v/>
      </c>
      <c r="N2227" s="3" t="n"/>
      <c r="O2227" s="2" t="n"/>
      <c r="P2227" s="2" t="n"/>
    </row>
    <row r="2228">
      <c r="A2228" s="2" t="n">
        <v>2227</v>
      </c>
      <c r="B2228" s="2" t="inlineStr">
        <is>
          <t>не сюжет</t>
        </is>
      </c>
      <c r="C2228" s="2" t="n">
        <v>7540</v>
      </c>
      <c r="D2228" s="3" t="inlineStr">
        <is>
          <t>Дом отца твоего</t>
        </is>
      </c>
      <c r="E2228" s="2" t="n">
        <v>1986</v>
      </c>
      <c r="F2228" s="2" t="inlineStr">
        <is>
          <t>телефильм</t>
        </is>
      </c>
      <c r="G2228" s="2" t="n"/>
      <c r="H2228" s="2" t="n">
        <v>108</v>
      </c>
      <c r="I2228" s="2" t="inlineStr"/>
      <c r="J2228" s="2" t="inlineStr">
        <is>
          <t>да</t>
        </is>
      </c>
      <c r="K2228" s="3" t="inlineStr">
        <is>
          <t>О большой семье, отношения в которой регулируются отцом, человеком честным, но иногда слишком прямолинейным.</t>
        </is>
      </c>
      <c r="L2228" s="2" t="inlineStr">
        <is>
          <t>Кино_СССР сводный каталог.xlsx: список телефильмов</t>
        </is>
      </c>
      <c r="M2228" s="2">
        <f>HYPERLINK("https://ru.wikipedia.org/w/index.php?search=%D0%94%D0%BE%D0%BC%20%D0%BE%D1%82%D1%86%D0%B0%20%D1%82%D0%B2%D0%BE%D0%B5%D0%B3%D0%BE%201986%20%D1%84%D0%B8%D0%BB%D1%8C%D0%BC","искать")</f>
        <v/>
      </c>
      <c r="N2228" s="3" t="n"/>
      <c r="O2228" s="2" t="n"/>
      <c r="P2228" s="2" t="n"/>
    </row>
    <row r="2229">
      <c r="A2229" s="2" t="n">
        <v>2228</v>
      </c>
      <c r="B2229" s="2" t="inlineStr">
        <is>
          <t>не сюжет</t>
        </is>
      </c>
      <c r="C2229" s="2" t="n">
        <v>8650</v>
      </c>
      <c r="D2229" s="3" t="inlineStr">
        <is>
          <t>Вершины не спят</t>
        </is>
      </c>
      <c r="E2229" s="2" t="n">
        <v>1987</v>
      </c>
      <c r="F2229" s="2" t="inlineStr">
        <is>
          <t>кинофильм</t>
        </is>
      </c>
      <c r="G2229" s="2" t="n"/>
      <c r="H2229" s="2" t="n">
        <v>108</v>
      </c>
      <c r="I2229" s="2" t="inlineStr"/>
      <c r="J2229" s="2" t="inlineStr">
        <is>
          <t>да</t>
        </is>
      </c>
      <c r="K2229" s="3" t="inlineStr">
        <is>
          <t>Экранизация одноимённого романа Алима Кешокова. Действие картины происходит до и во время Гражданской войны.</t>
        </is>
      </c>
      <c r="L2229" s="2" t="inlineStr">
        <is>
          <t>Кино_СССР сводный каталог.xlsx: список фильмов (доп.)</t>
        </is>
      </c>
      <c r="M2229" s="2">
        <f>HYPERLINK("https://ru.wikipedia.org/w/index.php?search=%D0%92%D0%B5%D1%80%D1%88%D0%B8%D0%BD%D1%8B%20%D0%BD%D0%B5%20%D1%81%D0%BF%D1%8F%D1%82%201987%20%D1%84%D0%B8%D0%BB%D1%8C%D0%BC","искать")</f>
        <v/>
      </c>
      <c r="N2229" s="3" t="n"/>
      <c r="O2229" s="2" t="n"/>
      <c r="P2229" s="2" t="n"/>
    </row>
    <row r="2230">
      <c r="A2230" s="2" t="n">
        <v>2229</v>
      </c>
      <c r="B2230" s="2" t="inlineStr">
        <is>
          <t>не сюжет</t>
        </is>
      </c>
      <c r="C2230" s="2" t="n">
        <v>8965</v>
      </c>
      <c r="D2230" s="3" t="inlineStr">
        <is>
          <t>Посредине мира</t>
        </is>
      </c>
      <c r="E2230" s="2" t="n">
        <v>1990</v>
      </c>
      <c r="F2230" s="2" t="inlineStr">
        <is>
          <t>кинофильм</t>
        </is>
      </c>
      <c r="G2230" s="2" t="n"/>
      <c r="H2230" s="2" t="n">
        <v>108</v>
      </c>
      <c r="I2230" s="2" t="inlineStr"/>
      <c r="J2230" s="2" t="inlineStr">
        <is>
          <t>да</t>
        </is>
      </c>
      <c r="K2230" s="3" t="inlineStr">
        <is>
          <t>Фильм о ценности семьи, о традициях, которые надо беречь и передавать. Консультант фильма Марина Тарковская.</t>
        </is>
      </c>
      <c r="L2230" s="2" t="inlineStr">
        <is>
          <t>Кино_СССР сводный каталог.xlsx: список фильмов (доп.)</t>
        </is>
      </c>
      <c r="M2230" s="2">
        <f>HYPERLINK("https://ru.wikipedia.org/w/index.php?search=%D0%9F%D0%BE%D1%81%D1%80%D0%B5%D0%B4%D0%B8%D0%BD%D0%B5%20%D0%BC%D0%B8%D1%80%D0%B0%201990%20%D1%84%D0%B8%D0%BB%D1%8C%D0%BC","искать")</f>
        <v/>
      </c>
      <c r="N2230" s="3" t="n"/>
      <c r="O2230" s="2" t="n"/>
      <c r="P2230" s="2" t="n"/>
    </row>
    <row r="2231">
      <c r="A2231" s="2" t="n">
        <v>2230</v>
      </c>
      <c r="B2231" s="2" t="inlineStr">
        <is>
          <t>не сюжет</t>
        </is>
      </c>
      <c r="C2231" s="2" t="n">
        <v>10471</v>
      </c>
      <c r="D2231" s="3" t="inlineStr">
        <is>
          <t>Стихи о Прекрасной даме</t>
        </is>
      </c>
      <c r="E2231" s="2" t="n">
        <v>1972</v>
      </c>
      <c r="F2231" s="2" t="inlineStr">
        <is>
          <t>фильм-спектакль</t>
        </is>
      </c>
      <c r="G2231" s="2" t="n"/>
      <c r="H2231" s="2" t="n">
        <v>108</v>
      </c>
      <c r="I2231" s="2" t="inlineStr"/>
      <c r="J2231" s="2" t="inlineStr">
        <is>
          <t>да</t>
        </is>
      </c>
      <c r="K2231" s="3" t="inlineStr">
        <is>
          <t>Звучат стихи А.Блока, письма и воспоминания Л.Д.менделеевой-Блок, отрывки из книги В.Орлова "Пути и судьбы".</t>
        </is>
      </c>
      <c r="L2231" s="2" t="inlineStr">
        <is>
          <t>https://www.kino-teatr.ru/teatr/movie/93062/annot/</t>
        </is>
      </c>
      <c r="M2231" s="2">
        <f>HYPERLINK("https://ru.wikipedia.org/w/index.php?search=%D0%A1%D1%82%D0%B8%D1%85%D0%B8%20%D0%BE%20%D0%9F%D1%80%D0%B5%D0%BA%D1%80%D0%B0%D1%81%D0%BD%D0%BE%D0%B9%20%D0%B4%D0%B0%D0%BC%D0%B5%201972%20%D1%84%D0%B8%D0%BB%D1%8C%D0%BC","искать")</f>
        <v/>
      </c>
      <c r="N2231" s="3" t="n"/>
      <c r="O2231" s="2" t="n"/>
      <c r="P2231" s="2" t="n"/>
    </row>
    <row r="2232">
      <c r="A2232" s="2" t="n">
        <v>2231</v>
      </c>
      <c r="B2232" s="2" t="inlineStr">
        <is>
          <t>не сюжет</t>
        </is>
      </c>
      <c r="C2232" s="2" t="n">
        <v>10494</v>
      </c>
      <c r="D2232" s="3" t="inlineStr">
        <is>
          <t>Детство. Отрочество. Юность</t>
        </is>
      </c>
      <c r="E2232" s="2" t="n">
        <v>1973</v>
      </c>
      <c r="F2232" s="2" t="inlineStr">
        <is>
          <t>фильм-спектакль</t>
        </is>
      </c>
      <c r="G2232" s="2" t="n"/>
      <c r="H2232" s="2" t="n">
        <v>108</v>
      </c>
      <c r="I2232" s="2" t="inlineStr"/>
      <c r="J2232" s="2" t="inlineStr">
        <is>
          <t>да</t>
        </is>
      </c>
      <c r="K2232" s="3" t="inlineStr">
        <is>
          <t>По одноименной повести Л.Н. Толстого.
1-я часть — «Детство», 2-я часть — «Отрочество», 3-я часть — «Юность».</t>
        </is>
      </c>
      <c r="L2232" s="2" t="inlineStr">
        <is>
          <t>https://www.kino-teatr.ru/teatr/movie/1810/annot/</t>
        </is>
      </c>
      <c r="M2232" s="2">
        <f>HYPERLINK("https://ru.wikipedia.org/w/index.php?search=%D0%94%D0%B5%D1%82%D1%81%D1%82%D0%B2%D0%BE.%20%D0%9E%D1%82%D1%80%D0%BE%D1%87%D0%B5%D1%81%D1%82%D0%B2%D0%BE.%20%D0%AE%D0%BD%D0%BE%D1%81%D1%82%D1%8C%201973%20%D1%84%D0%B8%D0%BB%D1%8C%D0%BC","искать")</f>
        <v/>
      </c>
      <c r="N2232" s="3" t="n"/>
      <c r="O2232" s="2" t="n"/>
      <c r="P2232" s="2" t="n"/>
    </row>
    <row r="2233">
      <c r="A2233" s="2" t="n">
        <v>2232</v>
      </c>
      <c r="B2233" s="2" t="inlineStr">
        <is>
          <t>не сюжет</t>
        </is>
      </c>
      <c r="C2233" s="2" t="n">
        <v>10948</v>
      </c>
      <c r="D2233" s="3" t="inlineStr">
        <is>
          <t>Мистерия Буфф</t>
        </is>
      </c>
      <c r="E2233" s="2" t="n">
        <v>1982</v>
      </c>
      <c r="F2233" s="2" t="inlineStr">
        <is>
          <t>фильм-спектакль</t>
        </is>
      </c>
      <c r="G2233" s="2" t="inlineStr">
        <is>
          <t>Экран</t>
        </is>
      </c>
      <c r="H2233" s="2" t="n">
        <v>108</v>
      </c>
      <c r="I2233" s="2" t="inlineStr"/>
      <c r="J2233" s="2" t="inlineStr">
        <is>
          <t>да</t>
        </is>
      </c>
      <c r="K2233" s="3" t="inlineStr">
        <is>
          <t>По одноименной пьесе В.Маяковского в постановке Государственного академического театра имени Евг.Вахтангова.</t>
        </is>
      </c>
      <c r="L2233" s="2" t="inlineStr">
        <is>
          <t>https://www.kino-teatr.ru/teatr/movie/81569/annot/</t>
        </is>
      </c>
      <c r="M2233" s="2">
        <f>HYPERLINK("https://ru.wikipedia.org/w/index.php?search=%D0%9C%D0%B8%D1%81%D1%82%D0%B5%D1%80%D0%B8%D1%8F%20%D0%91%D1%83%D1%84%D1%84%201982%20%D1%84%D0%B8%D0%BB%D1%8C%D0%BC","искать")</f>
        <v/>
      </c>
      <c r="N2233" s="3" t="n"/>
      <c r="O2233" s="2" t="n"/>
      <c r="P2233" s="2" t="n"/>
    </row>
    <row r="2234">
      <c r="A2234" s="2" t="n">
        <v>2233</v>
      </c>
      <c r="B2234" s="2" t="inlineStr">
        <is>
          <t>не сюжет</t>
        </is>
      </c>
      <c r="C2234" s="2" t="n">
        <v>11938</v>
      </c>
      <c r="D2234" s="3" t="inlineStr">
        <is>
          <t>Камаринская</t>
        </is>
      </c>
      <c r="E2234" s="2" t="n">
        <v>1980</v>
      </c>
      <c r="F2234" s="2" t="inlineStr">
        <is>
          <t>мультфильм</t>
        </is>
      </c>
      <c r="G2234" s="2" t="inlineStr">
        <is>
          <t>Союзмультфильм</t>
        </is>
      </c>
      <c r="H2234" s="2" t="n">
        <v>108</v>
      </c>
      <c r="I2234" s="2" t="inlineStr"/>
      <c r="J2234" s="2" t="inlineStr">
        <is>
          <t>да</t>
        </is>
      </c>
      <c r="K2234" s="3" t="inlineStr">
        <is>
          <t>Фантазия на музыку Глинки. Государственный симфонический оркестр Министерства кинематографии п/у В.Васильева</t>
        </is>
      </c>
      <c r="L2234" s="2" t="inlineStr">
        <is>
          <t>https://animator.ru/db/?p=show_film&amp;fid=2854</t>
        </is>
      </c>
      <c r="M2234" s="2">
        <f>HYPERLINK("https://ru.wikipedia.org/w/index.php?search=%D0%9A%D0%B0%D0%BC%D0%B0%D1%80%D0%B8%D0%BD%D1%81%D0%BA%D0%B0%D1%8F%201980%20%D1%84%D0%B8%D0%BB%D1%8C%D0%BC","искать")</f>
        <v/>
      </c>
      <c r="N2234" s="3" t="n"/>
      <c r="O2234" s="2" t="n"/>
      <c r="P2234" s="2" t="n"/>
    </row>
    <row r="2235">
      <c r="A2235" s="2" t="n">
        <v>2234</v>
      </c>
      <c r="B2235" s="2" t="inlineStr">
        <is>
          <t>не сюжет</t>
        </is>
      </c>
      <c r="C2235" s="2" t="n">
        <v>12055</v>
      </c>
      <c r="D2235" s="3" t="inlineStr">
        <is>
          <t>Путешествие муравья</t>
        </is>
      </c>
      <c r="E2235" s="2" t="n">
        <v>1983</v>
      </c>
      <c r="F2235" s="2" t="inlineStr">
        <is>
          <t>мультфильм</t>
        </is>
      </c>
      <c r="G2235" s="2" t="inlineStr">
        <is>
          <t>Союзмультфильм</t>
        </is>
      </c>
      <c r="H2235" s="2" t="n">
        <v>108</v>
      </c>
      <c r="I2235" s="2" t="inlineStr"/>
      <c r="J2235" s="2" t="inlineStr">
        <is>
          <t>да</t>
        </is>
      </c>
      <c r="K2235" s="3" t="inlineStr">
        <is>
          <t>По мотивам сказки В.Бианки. VI МФ анимационных фильмов в Загребе - Первая премия в категории детских фильмов</t>
        </is>
      </c>
      <c r="L2235" s="2" t="inlineStr">
        <is>
          <t>https://animator.ru/db/?p=show_film&amp;fid=3170</t>
        </is>
      </c>
      <c r="M2235" s="2">
        <f>HYPERLINK("https://ru.wikipedia.org/w/index.php?search=%D0%9F%D1%83%D1%82%D0%B5%D1%88%D0%B5%D1%81%D1%82%D0%B2%D0%B8%D0%B5%20%D0%BC%D1%83%D1%80%D0%B0%D0%B2%D1%8C%D1%8F%201983%20%D1%84%D0%B8%D0%BB%D1%8C%D0%BC","искать")</f>
        <v/>
      </c>
      <c r="N2235" s="3" t="n"/>
      <c r="O2235" s="2" t="n"/>
      <c r="P2235" s="2" t="n"/>
    </row>
    <row r="2236">
      <c r="A2236" s="2" t="n">
        <v>2235</v>
      </c>
      <c r="B2236" s="2" t="inlineStr">
        <is>
          <t>не сюжет</t>
        </is>
      </c>
      <c r="C2236" s="2" t="n">
        <v>12933</v>
      </c>
      <c r="D2236" s="3" t="inlineStr">
        <is>
          <t>Приключения саламуры</t>
        </is>
      </c>
      <c r="E2236" s="2" t="n">
        <v>1979</v>
      </c>
      <c r="F2236" s="2" t="inlineStr">
        <is>
          <t>мультфильм</t>
        </is>
      </c>
      <c r="G2236" s="2" t="inlineStr">
        <is>
          <t>ГРУЗИЯ-ФИЛЬМ - АО</t>
        </is>
      </c>
      <c r="H2236" s="2" t="n">
        <v>108</v>
      </c>
      <c r="I2236" s="2" t="inlineStr"/>
      <c r="J2236" s="2" t="inlineStr">
        <is>
          <t>да</t>
        </is>
      </c>
      <c r="K2236" s="3" t="inlineStr">
        <is>
          <t>Монтажный фильм на грузинском языке на основе одноименного сериала. По заказу Главкинопроката ГОСКИНО Грузии</t>
        </is>
      </c>
      <c r="L2236" s="2" t="inlineStr">
        <is>
          <t>https://animator.ru/db/?p=show_film&amp;fid=4163</t>
        </is>
      </c>
      <c r="M2236" s="2">
        <f>HYPERLINK("https://ru.wikipedia.org/w/index.php?search=%D0%9F%D1%80%D0%B8%D0%BA%D0%BB%D1%8E%D1%87%D0%B5%D0%BD%D0%B8%D1%8F%20%D1%81%D0%B0%D0%BB%D0%B0%D0%BC%D1%83%D1%80%D1%8B%201979%20%D1%84%D0%B8%D0%BB%D1%8C%D0%BC","искать")</f>
        <v/>
      </c>
      <c r="N2236" s="3" t="n"/>
      <c r="O2236" s="2" t="n"/>
      <c r="P2236" s="2" t="n"/>
    </row>
    <row r="2237">
      <c r="A2237" s="2" t="n">
        <v>2236</v>
      </c>
      <c r="B2237" s="2" t="inlineStr">
        <is>
          <t>не сюжет</t>
        </is>
      </c>
      <c r="C2237" s="2" t="n">
        <v>13042</v>
      </c>
      <c r="D2237" s="3" t="inlineStr">
        <is>
          <t>Sos (Электробытовые товары)</t>
        </is>
      </c>
      <c r="E2237" s="2" t="n">
        <v>1967</v>
      </c>
      <c r="F2237" s="2" t="inlineStr">
        <is>
          <t>мультфильм</t>
        </is>
      </c>
      <c r="G2237" s="2" t="inlineStr">
        <is>
          <t>РИЖСКАЯ КИНОСТУДИЯ</t>
        </is>
      </c>
      <c r="H2237" s="2" t="n">
        <v>108</v>
      </c>
      <c r="I2237" s="2" t="inlineStr"/>
      <c r="J2237" s="2" t="inlineStr">
        <is>
          <t>да</t>
        </is>
      </c>
      <c r="K2237" s="3" t="inlineStr">
        <is>
          <t>Рекламный фильм
Диплом СК СССР за лучший рекламный фильм на зональном смотре фильмов Прибалтики и Белоруссии</t>
        </is>
      </c>
      <c r="L2237" s="2" t="inlineStr">
        <is>
          <t>https://animator.ru/db/?p=show_film&amp;fid=4274</t>
        </is>
      </c>
      <c r="M2237" s="2">
        <f>HYPERLINK("https://ru.wikipedia.org/w/index.php?search=Sos%20%28%D0%AD%D0%BB%D0%B5%D0%BA%D1%82%D1%80%D0%BE%D0%B1%D1%8B%D1%82%D0%BE%D0%B2%D1%8B%D0%B5%20%D1%82%D0%BE%D0%B2%D0%B0%D1%80%D1%8B%29%201967%20%D1%84%D0%B8%D0%BB%D1%8C%D0%BC","искать")</f>
        <v/>
      </c>
      <c r="N2237" s="3" t="n"/>
      <c r="O2237" s="2" t="n"/>
      <c r="P2237" s="2" t="n"/>
    </row>
    <row r="2238">
      <c r="A2238" s="2" t="n">
        <v>2237</v>
      </c>
      <c r="B2238" s="2" t="inlineStr">
        <is>
          <t>не сюжет</t>
        </is>
      </c>
      <c r="C2238" s="2" t="n">
        <v>13536</v>
      </c>
      <c r="D2238" s="3" t="inlineStr">
        <is>
          <t>В синем море, в белой пене...</t>
        </is>
      </c>
      <c r="E2238" s="2" t="n">
        <v>1984</v>
      </c>
      <c r="F2238" s="2" t="inlineStr">
        <is>
          <t>мультфильм</t>
        </is>
      </c>
      <c r="G2238" s="2" t="inlineStr">
        <is>
          <t>АРМЕНФИЛЬМ</t>
        </is>
      </c>
      <c r="H2238" s="2" t="n">
        <v>108</v>
      </c>
      <c r="I2238" s="2" t="inlineStr"/>
      <c r="J2238" s="2" t="inlineStr">
        <is>
          <t>да</t>
        </is>
      </c>
      <c r="K2238" s="3" t="inlineStr">
        <is>
          <t>«Оставайся, мальчик, с нами, будешь нашим королем…»Музыка из мультфильма:В синем море, в белой пене(3.63 Мб)</t>
        </is>
      </c>
      <c r="L2238" s="2" t="inlineStr">
        <is>
          <t>2026-10_мультфильмы_список_владельца.xlsx; https://animator.ru/db/?p=show_film&amp;fid=4856</t>
        </is>
      </c>
      <c r="M2238" s="2">
        <f>HYPERLINK("https://ru.wikipedia.org/w/index.php?search=%D0%92%20%D1%81%D0%B8%D0%BD%D0%B5%D0%BC%20%D0%BC%D0%BE%D1%80%D0%B5%2C%20%D0%B2%20%D0%B1%D0%B5%D0%BB%D0%BE%D0%B9%20%D0%BF%D0%B5%D0%BD%D0%B5...%201984%20%D1%84%D0%B8%D0%BB%D1%8C%D0%BC","искать")</f>
        <v/>
      </c>
      <c r="N2238" s="3" t="n"/>
      <c r="O2238" s="2" t="n"/>
      <c r="P2238" s="2" t="n"/>
    </row>
    <row r="2239">
      <c r="A2239" s="2" t="n">
        <v>2238</v>
      </c>
      <c r="B2239" s="2" t="inlineStr">
        <is>
          <t>не сюжет</t>
        </is>
      </c>
      <c r="C2239" s="2" t="n">
        <v>13723</v>
      </c>
      <c r="D2239" s="3" t="inlineStr">
        <is>
          <t>Колыбельная</t>
        </is>
      </c>
      <c r="E2239" s="2" t="n">
        <v>1986</v>
      </c>
      <c r="F2239" s="2" t="inlineStr">
        <is>
          <t>мультфильм</t>
        </is>
      </c>
      <c r="G2239" s="2" t="inlineStr">
        <is>
          <t>ЭКРАН</t>
        </is>
      </c>
      <c r="H2239" s="2" t="n">
        <v>108</v>
      </c>
      <c r="I2239" s="2" t="inlineStr"/>
      <c r="J2239" s="2" t="inlineStr">
        <is>
          <t>да</t>
        </is>
      </c>
      <c r="K2239" s="3" t="inlineStr">
        <is>
          <t>Заставка к передаче "Спокойной ночи, малыши". На основе "Колыбельной" Моцарта в исполнении Елекны Камбуровой</t>
        </is>
      </c>
      <c r="L2239" s="2" t="inlineStr">
        <is>
          <t>https://animator.ru/db/?p=show_film&amp;fid=5116</t>
        </is>
      </c>
      <c r="M2239" s="2">
        <f>HYPERLINK("https://ru.wikipedia.org/w/index.php?search=%D0%9A%D0%BE%D0%BB%D1%8B%D0%B1%D0%B5%D0%BB%D1%8C%D0%BD%D0%B0%D1%8F%201986%20%D1%84%D0%B8%D0%BB%D1%8C%D0%BC","искать")</f>
        <v/>
      </c>
      <c r="N2239" s="3" t="n"/>
      <c r="O2239" s="2" t="n"/>
      <c r="P2239" s="2" t="n"/>
    </row>
    <row r="2240">
      <c r="A2240" s="2" t="n">
        <v>2239</v>
      </c>
      <c r="B2240" s="2" t="inlineStr">
        <is>
          <t>не сюжет</t>
        </is>
      </c>
      <c r="C2240" s="2" t="n">
        <v>7217</v>
      </c>
      <c r="D2240" s="3" t="inlineStr">
        <is>
          <t>Аптекарша</t>
        </is>
      </c>
      <c r="E2240" s="2" t="n">
        <v>1963</v>
      </c>
      <c r="F2240" s="2" t="inlineStr">
        <is>
          <t>телефильм</t>
        </is>
      </c>
      <c r="G2240" s="2" t="n"/>
      <c r="H2240" s="2" t="n">
        <v>109</v>
      </c>
      <c r="I2240" s="2" t="inlineStr"/>
      <c r="J2240" s="2" t="inlineStr">
        <is>
          <t>да</t>
        </is>
      </c>
      <c r="K2240" s="3" t="inlineStr">
        <is>
          <t>По мотивам рассказа Владимира Амлинского. О девушке Лене, приехавшей на северную стройку работать аптекаршей.</t>
        </is>
      </c>
      <c r="L2240" s="2" t="inlineStr">
        <is>
          <t>Кино_СССР сводный каталог.xlsx: список телефильмов</t>
        </is>
      </c>
      <c r="M2240" s="2">
        <f>HYPERLINK("https://ru.wikipedia.org/w/index.php?search=%D0%90%D0%BF%D1%82%D0%B5%D0%BA%D0%B0%D1%80%D1%88%D0%B0%201963%20%D1%84%D0%B8%D0%BB%D1%8C%D0%BC","искать")</f>
        <v/>
      </c>
      <c r="N2240" s="3" t="n"/>
      <c r="O2240" s="2" t="n"/>
      <c r="P2240" s="2" t="n"/>
    </row>
    <row r="2241">
      <c r="A2241" s="2" t="n">
        <v>2240</v>
      </c>
      <c r="B2241" s="2" t="inlineStr">
        <is>
          <t>не сюжет</t>
        </is>
      </c>
      <c r="C2241" s="2" t="n">
        <v>7554</v>
      </c>
      <c r="D2241" s="3" t="inlineStr">
        <is>
          <t>Дорога через руины</t>
        </is>
      </c>
      <c r="E2241" s="2" t="n">
        <v>1989</v>
      </c>
      <c r="F2241" s="2" t="inlineStr">
        <is>
          <t>телефильм</t>
        </is>
      </c>
      <c r="G2241" s="2" t="n"/>
      <c r="H2241" s="2" t="n">
        <v>109</v>
      </c>
      <c r="I2241" s="2" t="inlineStr"/>
      <c r="J2241" s="2" t="inlineStr">
        <is>
          <t>да</t>
        </is>
      </c>
      <c r="K2241" s="3" t="inlineStr">
        <is>
          <t>О драматических событиях на Украине в первые дни чернобыльской трагедии. По мотивам повести Михаила Шевченко.</t>
        </is>
      </c>
      <c r="L2241" s="2" t="inlineStr">
        <is>
          <t>Кино_СССР сводный каталог.xlsx: список телефильмов</t>
        </is>
      </c>
      <c r="M2241" s="2">
        <f>HYPERLINK("https://ru.wikipedia.org/w/index.php?search=%D0%94%D0%BE%D1%80%D0%BE%D0%B3%D0%B0%20%D1%87%D0%B5%D1%80%D0%B5%D0%B7%20%D1%80%D1%83%D0%B8%D0%BD%D1%8B%201989%20%D1%84%D0%B8%D0%BB%D1%8C%D0%BC","искать")</f>
        <v/>
      </c>
      <c r="N2241" s="3" t="n"/>
      <c r="O2241" s="2" t="n"/>
      <c r="P2241" s="2" t="n"/>
    </row>
    <row r="2242">
      <c r="A2242" s="2" t="n">
        <v>2241</v>
      </c>
      <c r="B2242" s="2" t="inlineStr">
        <is>
          <t>не сюжет</t>
        </is>
      </c>
      <c r="C2242" s="2" t="n">
        <v>10132</v>
      </c>
      <c r="D2242" s="3" t="inlineStr">
        <is>
          <t>Укрощение строптивой</t>
        </is>
      </c>
      <c r="E2242" s="2" t="n">
        <v>1964</v>
      </c>
      <c r="F2242" s="2" t="inlineStr">
        <is>
          <t>фильм-спектакль</t>
        </is>
      </c>
      <c r="G2242" s="2" t="inlineStr">
        <is>
          <t>Главная редакция музыкальных программ ЦТ, Подборки фильмов, экранизации Шекспира</t>
        </is>
      </c>
      <c r="H2242" s="2" t="n">
        <v>109</v>
      </c>
      <c r="I2242" s="2" t="inlineStr"/>
      <c r="J2242" s="2" t="inlineStr">
        <is>
          <t>да</t>
        </is>
      </c>
      <c r="K2242" s="3" t="inlineStr">
        <is>
          <t>Музыкально-драматическая постановка. В основе - фрагменты оперы В.Шебалина по одноименной комедии В.Шекспира.</t>
        </is>
      </c>
      <c r="L2242" s="2" t="inlineStr">
        <is>
          <t>https://www.kino-teatr.ru/teatr/movie/82997/annot/</t>
        </is>
      </c>
      <c r="M2242" s="2">
        <f>HYPERLINK("https://ru.wikipedia.org/w/index.php?search=%D0%A3%D0%BA%D1%80%D0%BE%D1%89%D0%B5%D0%BD%D0%B8%D0%B5%20%D1%81%D1%82%D1%80%D0%BE%D0%BF%D1%82%D0%B8%D0%B2%D0%BE%D0%B9%201964%20%D1%84%D0%B8%D0%BB%D1%8C%D0%BC","искать")</f>
        <v/>
      </c>
      <c r="N2242" s="3" t="n"/>
      <c r="O2242" s="2" t="n"/>
      <c r="P2242" s="2" t="n"/>
    </row>
    <row r="2243">
      <c r="A2243" s="2" t="n">
        <v>2242</v>
      </c>
      <c r="B2243" s="2" t="inlineStr">
        <is>
          <t>не сюжет</t>
        </is>
      </c>
      <c r="C2243" s="2" t="n">
        <v>10964</v>
      </c>
      <c r="D2243" s="3" t="inlineStr">
        <is>
          <t>Ричард III</t>
        </is>
      </c>
      <c r="E2243" s="2" t="n">
        <v>1982</v>
      </c>
      <c r="F2243" s="2" t="inlineStr">
        <is>
          <t>фильм-спектакль</t>
        </is>
      </c>
      <c r="G2243" s="2" t="inlineStr">
        <is>
          <t>Главная редакция литературно-драматических программ ЦТ</t>
        </is>
      </c>
      <c r="H2243" s="2" t="n">
        <v>109</v>
      </c>
      <c r="I2243" s="2" t="inlineStr"/>
      <c r="J2243" s="2" t="inlineStr">
        <is>
          <t>да</t>
        </is>
      </c>
      <c r="K2243" s="3" t="inlineStr">
        <is>
          <t>Телеспектакль по одноименной пьесе В.Шекспира; перевод - М.Донской.
В основе спектакль театра им. Вахтангова.</t>
        </is>
      </c>
      <c r="L2243" s="2" t="inlineStr">
        <is>
          <t>https://www.kino-teatr.ru/teatr/movie/6012/annot/</t>
        </is>
      </c>
      <c r="M2243" s="2">
        <f>HYPERLINK("https://ru.wikipedia.org/w/index.php?search=%D0%A0%D0%B8%D1%87%D0%B0%D1%80%D0%B4%20III%201982%20%D1%84%D0%B8%D0%BB%D1%8C%D0%BC","искать")</f>
        <v/>
      </c>
      <c r="N2243" s="3" t="n"/>
      <c r="O2243" s="2" t="n"/>
      <c r="P2243" s="2" t="n"/>
    </row>
    <row r="2244">
      <c r="A2244" s="2" t="n">
        <v>2243</v>
      </c>
      <c r="B2244" s="2" t="inlineStr">
        <is>
          <t>не сюжет</t>
        </is>
      </c>
      <c r="C2244" s="2" t="n">
        <v>11767</v>
      </c>
      <c r="D2244" s="3" t="inlineStr">
        <is>
          <t>В порту</t>
        </is>
      </c>
      <c r="E2244" s="2" t="n">
        <v>1975</v>
      </c>
      <c r="F2244" s="2" t="inlineStr">
        <is>
          <t>мультфильм</t>
        </is>
      </c>
      <c r="G2244" s="2" t="inlineStr">
        <is>
          <t>Союзмультфильм</t>
        </is>
      </c>
      <c r="H2244" s="2" t="n">
        <v>109</v>
      </c>
      <c r="I2244" s="2" t="inlineStr"/>
      <c r="J2244" s="2" t="inlineStr">
        <is>
          <t>да</t>
        </is>
      </c>
      <c r="K2244" s="3" t="inlineStr">
        <is>
          <t>Детский мульти-мюзикл о жизни большого морского портаМузыка из мультфильма:Вся музыка из мультфильма(17.5 Мб)</t>
        </is>
      </c>
      <c r="L2244" s="2" t="inlineStr">
        <is>
          <t>2026-10_мультфильмы_список_владельца.xlsx; https://animator.ru/db/?p=show_film&amp;fid=2681</t>
        </is>
      </c>
      <c r="M2244" s="2">
        <f>HYPERLINK("https://ru.wikipedia.org/w/index.php?search=%D0%92%20%D0%BF%D0%BE%D1%80%D1%82%D1%83%201975%20%D1%84%D0%B8%D0%BB%D1%8C%D0%BC","искать")</f>
        <v/>
      </c>
      <c r="N2244" s="3" t="n"/>
      <c r="O2244" s="2" t="n"/>
      <c r="P2244" s="2" t="n"/>
    </row>
    <row r="2245">
      <c r="A2245" s="2" t="n">
        <v>2244</v>
      </c>
      <c r="B2245" s="2" t="inlineStr">
        <is>
          <t>не сюжет</t>
        </is>
      </c>
      <c r="C2245" s="2" t="n">
        <v>14310</v>
      </c>
      <c r="D2245" s="3" t="inlineStr">
        <is>
          <t>Школа изящных искусств</t>
        </is>
      </c>
      <c r="E2245" s="2" t="n">
        <v>1990</v>
      </c>
      <c r="F2245" s="2" t="inlineStr">
        <is>
          <t>мультфильм</t>
        </is>
      </c>
      <c r="G2245" s="2" t="n"/>
      <c r="H2245" s="2" t="n">
        <v>109</v>
      </c>
      <c r="I2245" s="2" t="inlineStr"/>
      <c r="J2245" s="2" t="inlineStr">
        <is>
          <t>да</t>
        </is>
      </c>
      <c r="K2245" s="3" t="inlineStr">
        <is>
          <t>Новая версия на базе двух фильмов - «Школа искусств. Возвращение» и «Школа искусств. Пейзаж с можжевельником»</t>
        </is>
      </c>
      <c r="L2245" s="2" t="inlineStr">
        <is>
          <t>https://animator.ru/db/?p=show_film&amp;fid=5856</t>
        </is>
      </c>
      <c r="M2245" s="2">
        <f>HYPERLINK("https://ru.wikipedia.org/w/index.php?search=%D0%A8%D0%BA%D0%BE%D0%BB%D0%B0%20%D0%B8%D0%B7%D1%8F%D1%89%D0%BD%D1%8B%D1%85%20%D0%B8%D1%81%D0%BA%D1%83%D1%81%D1%81%D1%82%D0%B2%201990%20%D1%84%D0%B8%D0%BB%D1%8C%D0%BC","искать")</f>
        <v/>
      </c>
      <c r="N2245" s="3" t="n"/>
      <c r="O2245" s="2" t="n"/>
      <c r="P2245" s="2" t="n"/>
    </row>
    <row r="2246">
      <c r="A2246" s="2" t="n">
        <v>2245</v>
      </c>
      <c r="B2246" s="2" t="inlineStr">
        <is>
          <t>не сюжет</t>
        </is>
      </c>
      <c r="C2246" s="2" t="n">
        <v>7367</v>
      </c>
      <c r="D2246" s="3" t="inlineStr">
        <is>
          <t>Волшебная сила (киноальманах)</t>
        </is>
      </c>
      <c r="E2246" s="2" t="n">
        <v>1970</v>
      </c>
      <c r="F2246" s="2" t="inlineStr">
        <is>
          <t>телефильм</t>
        </is>
      </c>
      <c r="G2246" s="2" t="inlineStr">
        <is>
          <t>Ленфильм</t>
        </is>
      </c>
      <c r="H2246" s="2" t="n">
        <v>110</v>
      </c>
      <c r="I2246" s="2" t="inlineStr"/>
      <c r="J2246" s="2" t="inlineStr">
        <is>
          <t>да</t>
        </is>
      </c>
      <c r="K2246" s="3" t="inlineStr">
        <is>
          <t>Телевизионный фильм в трех новеллах: "Мстители из 2-го "В", "Здравствуй, Пушкин!", "Волшебная сила искусства".</t>
        </is>
      </c>
      <c r="L2246" s="2" t="inlineStr">
        <is>
          <t>Кино_СССР сводный каталог.xlsx: список телефильмов</t>
        </is>
      </c>
      <c r="M2246" s="2">
        <f>HYPERLINK("https://ru.wikipedia.org/w/index.php?search=%D0%92%D0%BE%D0%BB%D1%88%D0%B5%D0%B1%D0%BD%D0%B0%D1%8F%20%D1%81%D0%B8%D0%BB%D0%B0%20%28%D0%BA%D0%B8%D0%BD%D0%BE%D0%B0%D0%BB%D1%8C%D0%BC%D0%B0%D0%BD%D0%B0%D1%85%29%201970%20%D1%84%D0%B8%D0%BB%D1%8C%D0%BC","искать")</f>
        <v/>
      </c>
      <c r="N2246" s="3" t="n"/>
      <c r="O2246" s="2" t="n"/>
      <c r="P2246" s="2" t="n"/>
    </row>
    <row r="2247">
      <c r="A2247" s="2" t="n">
        <v>2246</v>
      </c>
      <c r="B2247" s="2" t="inlineStr">
        <is>
          <t>не сюжет</t>
        </is>
      </c>
      <c r="C2247" s="2" t="n">
        <v>8284</v>
      </c>
      <c r="D2247" s="3" t="inlineStr">
        <is>
          <t>Россия молодая</t>
        </is>
      </c>
      <c r="E2247" s="2" t="n">
        <v>1981</v>
      </c>
      <c r="F2247" s="2" t="inlineStr">
        <is>
          <t>телефильм</t>
        </is>
      </c>
      <c r="G2247" s="2" t="n"/>
      <c r="H2247" s="2" t="n">
        <v>110</v>
      </c>
      <c r="I2247" s="2" t="inlineStr"/>
      <c r="J2247" s="2" t="inlineStr">
        <is>
          <t>да</t>
        </is>
      </c>
      <c r="K2247" s="3" t="inlineStr">
        <is>
          <t>Экранизация исторического романа Ю. Германа. Телесериал посвящён созданию русского флота на рубеже XVIII века.</t>
        </is>
      </c>
      <c r="L2247" s="2" t="inlineStr">
        <is>
          <t>Кино_СССР сводный каталог.xlsx: список телефильмов</t>
        </is>
      </c>
      <c r="M2247" s="2">
        <f>HYPERLINK("https://ru.wikipedia.org/w/index.php?search=%D0%A0%D0%BE%D1%81%D1%81%D0%B8%D1%8F%20%D0%BC%D0%BE%D0%BB%D0%BE%D0%B4%D0%B0%D1%8F%201981%20%D1%84%D0%B8%D0%BB%D1%8C%D0%BC","искать")</f>
        <v/>
      </c>
      <c r="N2247" s="3" t="n"/>
      <c r="O2247" s="2" t="n"/>
      <c r="P2247" s="2" t="n"/>
    </row>
    <row r="2248">
      <c r="A2248" s="2" t="n">
        <v>2247</v>
      </c>
      <c r="B2248" s="2" t="inlineStr">
        <is>
          <t>не сюжет</t>
        </is>
      </c>
      <c r="C2248" s="2" t="n">
        <v>10600</v>
      </c>
      <c r="D2248" s="3" t="inlineStr">
        <is>
          <t>Винсент</t>
        </is>
      </c>
      <c r="E2248" s="2" t="n">
        <v>1975</v>
      </c>
      <c r="F2248" s="2" t="inlineStr">
        <is>
          <t>фильм-спектакль</t>
        </is>
      </c>
      <c r="G2248" s="2" t="n"/>
      <c r="H2248" s="2" t="n">
        <v>110</v>
      </c>
      <c r="I2248" s="2" t="inlineStr"/>
      <c r="J2248" s="2" t="inlineStr">
        <is>
          <t>да</t>
        </is>
      </c>
      <c r="K2248" s="3" t="inlineStr">
        <is>
          <t>Спектакль по роману Ирвинга Стоуна "Жажда жизни" рассказывает о жизни знаменитого художника Винсента ван Гога.</t>
        </is>
      </c>
      <c r="L2248" s="2" t="inlineStr">
        <is>
          <t>https://www.kino-teatr.ru/teatr/movie/100597/annot/</t>
        </is>
      </c>
      <c r="M2248" s="2">
        <f>HYPERLINK("https://ru.wikipedia.org/w/index.php?search=%D0%92%D0%B8%D0%BD%D1%81%D0%B5%D0%BD%D1%82%201975%20%D1%84%D0%B8%D0%BB%D1%8C%D0%BC","искать")</f>
        <v/>
      </c>
      <c r="N2248" s="3" t="n"/>
      <c r="O2248" s="2" t="n"/>
      <c r="P2248" s="2" t="n"/>
    </row>
    <row r="2249">
      <c r="A2249" s="2" t="n">
        <v>2248</v>
      </c>
      <c r="B2249" s="2" t="inlineStr">
        <is>
          <t>не сюжет</t>
        </is>
      </c>
      <c r="C2249" s="2" t="n">
        <v>11649</v>
      </c>
      <c r="D2249" s="3" t="inlineStr">
        <is>
          <t>Терем-теремок</t>
        </is>
      </c>
      <c r="E2249" s="2" t="n">
        <v>1971</v>
      </c>
      <c r="F2249" s="2" t="inlineStr">
        <is>
          <t>мультфильм</t>
        </is>
      </c>
      <c r="G2249" s="2" t="inlineStr">
        <is>
          <t>Союзмультфильм</t>
        </is>
      </c>
      <c r="H2249" s="2" t="n">
        <v>110</v>
      </c>
      <c r="I2249" s="2" t="inlineStr"/>
      <c r="J2249" s="2" t="inlineStr">
        <is>
          <t>да</t>
        </is>
      </c>
      <c r="K2249" s="3" t="inlineStr">
        <is>
          <t>Известная и популярная народная сказка о дружбе и взаимовыручке разных зверей по мотивам рисунков Ю.Васнецова.</t>
        </is>
      </c>
      <c r="L2249" s="2" t="inlineStr">
        <is>
          <t>2026-10_мультфильмы_список_владельца.xlsx; https://animator.ru/db/?p=show_film&amp;fid=2563</t>
        </is>
      </c>
      <c r="M2249" s="2">
        <f>HYPERLINK("https://ru.wikipedia.org/w/index.php?search=%D0%A2%D0%B5%D1%80%D0%B5%D0%BC-%D1%82%D0%B5%D1%80%D0%B5%D0%BC%D0%BE%D0%BA%201971%20%D1%84%D0%B8%D0%BB%D1%8C%D0%BC","искать")</f>
        <v/>
      </c>
      <c r="N2249" s="3" t="n"/>
      <c r="O2249" s="2" t="n"/>
      <c r="P2249" s="2" t="n"/>
    </row>
    <row r="2250">
      <c r="A2250" s="2" t="n">
        <v>2249</v>
      </c>
      <c r="B2250" s="2" t="inlineStr">
        <is>
          <t>не сюжет</t>
        </is>
      </c>
      <c r="C2250" s="2" t="n">
        <v>11742</v>
      </c>
      <c r="D2250" s="3" t="inlineStr">
        <is>
          <t>Ну, Погоди! ч.8</t>
        </is>
      </c>
      <c r="E2250" s="2" t="n">
        <v>1974</v>
      </c>
      <c r="F2250" s="2" t="inlineStr">
        <is>
          <t>мультфильм</t>
        </is>
      </c>
      <c r="G2250" s="2" t="inlineStr">
        <is>
          <t>Союзмультфильм</t>
        </is>
      </c>
      <c r="H2250" s="2" t="n">
        <v>110</v>
      </c>
      <c r="I2250" s="2" t="inlineStr"/>
      <c r="J2250" s="2" t="inlineStr">
        <is>
          <t>да</t>
        </is>
      </c>
      <c r="K2250" s="3" t="inlineStr">
        <is>
          <t>Новогодняя песенка - Геннадия Гладкова на стихи Юрия ЭнтинаМузыка из мультфильма:Расскажи, снегурочка(1.84 Мб)</t>
        </is>
      </c>
      <c r="L2250" s="2" t="inlineStr">
        <is>
          <t>2026-10_мультфильмы_список_владельца.xlsx; https://animator.ru/db/?p=show_film&amp;fid=2656</t>
        </is>
      </c>
      <c r="M2250" s="2">
        <f>HYPERLINK("https://ru.wikipedia.org/w/index.php?search=%D0%9D%D1%83%2C%20%D0%9F%D0%BE%D0%B3%D0%BE%D0%B4%D0%B8%21%20%D1%87.8%201974%20%D1%84%D0%B8%D0%BB%D1%8C%D0%BC","искать")</f>
        <v/>
      </c>
      <c r="N2250" s="3" t="n"/>
      <c r="O2250" s="2" t="n"/>
      <c r="P2250" s="2" t="n"/>
    </row>
    <row r="2251">
      <c r="A2251" s="2" t="n">
        <v>2250</v>
      </c>
      <c r="B2251" s="2" t="inlineStr">
        <is>
          <t>не сюжет</t>
        </is>
      </c>
      <c r="C2251" s="2" t="n">
        <v>13443</v>
      </c>
      <c r="D2251" s="3" t="inlineStr">
        <is>
          <t>Маленький рыжик (ч.1)</t>
        </is>
      </c>
      <c r="E2251" s="2" t="n">
        <v>1982</v>
      </c>
      <c r="F2251" s="2" t="inlineStr">
        <is>
          <t>мультфильм</t>
        </is>
      </c>
      <c r="G2251" s="2" t="inlineStr">
        <is>
          <t>ЭКРАН</t>
        </is>
      </c>
      <c r="H2251" s="2" t="n">
        <v>110</v>
      </c>
      <c r="I2251" s="2" t="inlineStr"/>
      <c r="J2251" s="2" t="inlineStr">
        <is>
          <t>да</t>
        </is>
      </c>
      <c r="K2251" s="3" t="inlineStr">
        <is>
          <t>Состоит из двух серий. По мотивам сказки шведского писателя Я.Экхольма "Тутта Карлсон - первая и единственная"</t>
        </is>
      </c>
      <c r="L2251" s="2" t="inlineStr">
        <is>
          <t>https://animator.ru/db/?p=show_film&amp;fid=4724</t>
        </is>
      </c>
      <c r="M2251" s="2">
        <f>HYPERLINK("https://ru.wikipedia.org/w/index.php?search=%D0%9C%D0%B0%D0%BB%D0%B5%D0%BD%D1%8C%D0%BA%D0%B8%D0%B9%20%D1%80%D1%8B%D0%B6%D0%B8%D0%BA%20%28%D1%87.1%29%201982%20%D1%84%D0%B8%D0%BB%D1%8C%D0%BC","искать")</f>
        <v/>
      </c>
      <c r="N2251" s="3" t="n"/>
      <c r="O2251" s="2" t="n"/>
      <c r="P2251" s="2" t="n"/>
    </row>
    <row r="2252">
      <c r="A2252" s="2" t="n">
        <v>2251</v>
      </c>
      <c r="B2252" s="2" t="inlineStr">
        <is>
          <t>не сюжет</t>
        </is>
      </c>
      <c r="C2252" s="2" t="n">
        <v>7707</v>
      </c>
      <c r="D2252" s="3" t="inlineStr">
        <is>
          <t>Кандидат</t>
        </is>
      </c>
      <c r="E2252" s="2" t="n">
        <v>1989</v>
      </c>
      <c r="F2252" s="2" t="inlineStr">
        <is>
          <t>телефильм</t>
        </is>
      </c>
      <c r="G2252" s="2" t="n"/>
      <c r="H2252" s="2" t="n">
        <v>111</v>
      </c>
      <c r="I2252" s="2" t="inlineStr"/>
      <c r="J2252" s="2" t="inlineStr">
        <is>
          <t>да</t>
        </is>
      </c>
      <c r="K2252" s="3" t="inlineStr">
        <is>
          <t>Фильм рассказывает, как власть и богатство развращает человека, и в итого он теряет все нравственные ориентиры.</t>
        </is>
      </c>
      <c r="L2252" s="2" t="inlineStr">
        <is>
          <t>Кино_СССР сводный каталог.xlsx: список телефильмов</t>
        </is>
      </c>
      <c r="M2252" s="2">
        <f>HYPERLINK("https://ru.wikipedia.org/w/index.php?search=%D0%9A%D0%B0%D0%BD%D0%B4%D0%B8%D0%B4%D0%B0%D1%82%201989%20%D1%84%D0%B8%D0%BB%D1%8C%D0%BC","искать")</f>
        <v/>
      </c>
      <c r="N2252" s="3" t="n"/>
      <c r="O2252" s="2" t="n"/>
      <c r="P2252" s="2" t="n"/>
    </row>
    <row r="2253">
      <c r="A2253" s="2" t="n">
        <v>2252</v>
      </c>
      <c r="B2253" s="2" t="inlineStr">
        <is>
          <t>не сюжет</t>
        </is>
      </c>
      <c r="C2253" s="2" t="n">
        <v>9006</v>
      </c>
      <c r="D2253" s="3" t="inlineStr">
        <is>
          <t>Райская птичка</t>
        </is>
      </c>
      <c r="E2253" s="2" t="n">
        <v>1991</v>
      </c>
      <c r="F2253" s="2" t="inlineStr">
        <is>
          <t>кинофильм</t>
        </is>
      </c>
      <c r="G2253" s="2" t="n"/>
      <c r="H2253" s="2" t="n">
        <v>111</v>
      </c>
      <c r="I2253" s="2" t="inlineStr"/>
      <c r="J2253" s="2" t="inlineStr">
        <is>
          <t>да</t>
        </is>
      </c>
      <c r="K2253" s="3" t="inlineStr">
        <is>
          <t>О попытке юной сельской красавицы вырваться из привычного традиционного уклада предопределенной женской судьбы.</t>
        </is>
      </c>
      <c r="L2253" s="2" t="inlineStr">
        <is>
          <t>Кино_СССР сводный каталог.xlsx: список фильмов (доп.)</t>
        </is>
      </c>
      <c r="M2253" s="2">
        <f>HYPERLINK("https://ru.wikipedia.org/w/index.php?search=%D0%A0%D0%B0%D0%B9%D1%81%D0%BA%D0%B0%D1%8F%20%D0%BF%D1%82%D0%B8%D1%87%D0%BA%D0%B0%201991%20%D1%84%D0%B8%D0%BB%D1%8C%D0%BC","искать")</f>
        <v/>
      </c>
      <c r="N2253" s="3" t="n"/>
      <c r="O2253" s="2" t="n"/>
      <c r="P2253" s="2" t="n"/>
    </row>
    <row r="2254">
      <c r="A2254" s="2" t="n">
        <v>2253</v>
      </c>
      <c r="B2254" s="2" t="inlineStr">
        <is>
          <t>не сюжет</t>
        </is>
      </c>
      <c r="C2254" s="2" t="n">
        <v>10145</v>
      </c>
      <c r="D2254" s="3" t="inlineStr">
        <is>
          <t>Мещане</t>
        </is>
      </c>
      <c r="E2254" s="2" t="n">
        <v>1965</v>
      </c>
      <c r="F2254" s="2" t="inlineStr">
        <is>
          <t>фильм-спектакль</t>
        </is>
      </c>
      <c r="G2254" s="2" t="inlineStr">
        <is>
          <t>Главная редакция литературно-драматических программ ЦТ</t>
        </is>
      </c>
      <c r="H2254" s="2" t="n">
        <v>111</v>
      </c>
      <c r="I2254" s="2" t="inlineStr"/>
      <c r="J2254" s="2" t="inlineStr">
        <is>
          <t>да</t>
        </is>
      </c>
      <c r="K2254" s="3" t="inlineStr">
        <is>
          <t>Фильм-спектакль по одноименной пьесе М.Горького в постановке Московского Художественного академического театра.</t>
        </is>
      </c>
      <c r="L2254" s="2" t="inlineStr">
        <is>
          <t>https://www.kino-teatr.ru/teatr/movie/37662/annot/</t>
        </is>
      </c>
      <c r="M2254" s="2">
        <f>HYPERLINK("https://ru.wikipedia.org/w/index.php?search=%D0%9C%D0%B5%D1%89%D0%B0%D0%BD%D0%B5%201965%20%D1%84%D0%B8%D0%BB%D1%8C%D0%BC","искать")</f>
        <v/>
      </c>
      <c r="N2254" s="3" t="n"/>
      <c r="O2254" s="2" t="n"/>
      <c r="P2254" s="2" t="n"/>
    </row>
    <row r="2255">
      <c r="A2255" s="2" t="n">
        <v>2254</v>
      </c>
      <c r="B2255" s="2" t="inlineStr">
        <is>
          <t>не сюжет</t>
        </is>
      </c>
      <c r="C2255" s="2" t="n">
        <v>10442</v>
      </c>
      <c r="D2255" s="3" t="inlineStr">
        <is>
          <t>Западня</t>
        </is>
      </c>
      <c r="E2255" s="2" t="n">
        <v>1972</v>
      </c>
      <c r="F2255" s="2" t="inlineStr">
        <is>
          <t>фильм-спектакль</t>
        </is>
      </c>
      <c r="G2255" s="2" t="inlineStr">
        <is>
          <t>Главная редакция лит-драматических программ</t>
        </is>
      </c>
      <c r="H2255" s="2" t="n">
        <v>111</v>
      </c>
      <c r="I2255" s="2" t="inlineStr"/>
      <c r="J2255" s="2" t="inlineStr">
        <is>
          <t>да</t>
        </is>
      </c>
      <c r="K2255" s="3" t="inlineStr">
        <is>
          <t>По мотивам одноименного романа Э.Золя в постановке Государственного академического театра имени Евг.Вахтангова.</t>
        </is>
      </c>
      <c r="L2255" s="2" t="inlineStr">
        <is>
          <t>https://www.kino-teatr.ru/teatr/movie/81431/annot/</t>
        </is>
      </c>
      <c r="M2255" s="2">
        <f>HYPERLINK("https://ru.wikipedia.org/w/index.php?search=%D0%97%D0%B0%D0%BF%D0%B0%D0%B4%D0%BD%D1%8F%201972%20%D1%84%D0%B8%D0%BB%D1%8C%D0%BC","искать")</f>
        <v/>
      </c>
      <c r="N2255" s="3" t="n"/>
      <c r="O2255" s="2" t="n"/>
      <c r="P2255" s="2" t="n"/>
    </row>
    <row r="2256">
      <c r="A2256" s="2" t="n">
        <v>2255</v>
      </c>
      <c r="B2256" s="2" t="inlineStr">
        <is>
          <t>не сюжет</t>
        </is>
      </c>
      <c r="C2256" s="2" t="n">
        <v>10521</v>
      </c>
      <c r="D2256" s="3" t="inlineStr">
        <is>
          <t>Сказки наших дней</t>
        </is>
      </c>
      <c r="E2256" s="2" t="n">
        <v>1973</v>
      </c>
      <c r="F2256" s="2" t="inlineStr">
        <is>
          <t>фильм-спектакль</t>
        </is>
      </c>
      <c r="G2256" s="2" t="inlineStr">
        <is>
          <t>Литовское телевидение</t>
        </is>
      </c>
      <c r="H2256" s="2" t="n">
        <v>111</v>
      </c>
      <c r="I2256" s="2" t="inlineStr"/>
      <c r="J2256" s="2" t="inlineStr">
        <is>
          <t>да</t>
        </is>
      </c>
      <c r="K2256" s="3" t="inlineStr">
        <is>
          <t>Три юмористические картинки из жизни: "Почему у аиста чёрная спина"; "Лягушка-путешественница", "Человек-чёрт".</t>
        </is>
      </c>
      <c r="L2256" s="2" t="inlineStr">
        <is>
          <t>https://www.kino-teatr.ru/teatr/movie/106370/annot/</t>
        </is>
      </c>
      <c r="M2256" s="2">
        <f>HYPERLINK("https://ru.wikipedia.org/w/index.php?search=%D0%A1%D0%BA%D0%B0%D0%B7%D0%BA%D0%B8%20%D0%BD%D0%B0%D1%88%D0%B8%D1%85%20%D0%B4%D0%BD%D0%B5%D0%B9%201973%20%D1%84%D0%B8%D0%BB%D1%8C%D0%BC","искать")</f>
        <v/>
      </c>
      <c r="N2256" s="3" t="n"/>
      <c r="O2256" s="2" t="n"/>
      <c r="P2256" s="2" t="n"/>
    </row>
    <row r="2257">
      <c r="A2257" s="2" t="n">
        <v>2256</v>
      </c>
      <c r="B2257" s="2" t="inlineStr">
        <is>
          <t>не сюжет</t>
        </is>
      </c>
      <c r="C2257" s="2" t="n">
        <v>10774</v>
      </c>
      <c r="D2257" s="3" t="inlineStr">
        <is>
          <t>Сладкоголосая птица юности</t>
        </is>
      </c>
      <c r="E2257" s="2" t="n">
        <v>1978</v>
      </c>
      <c r="F2257" s="2" t="inlineStr">
        <is>
          <t>фильм-спектакль</t>
        </is>
      </c>
      <c r="G2257" s="2" t="inlineStr">
        <is>
          <t>ТО "Экран"</t>
        </is>
      </c>
      <c r="H2257" s="2" t="n">
        <v>111</v>
      </c>
      <c r="I2257" s="2" t="inlineStr"/>
      <c r="J2257" s="2" t="inlineStr">
        <is>
          <t>да</t>
        </is>
      </c>
      <c r="K2257" s="3" t="inlineStr">
        <is>
          <t>Фильм-спектакль по одноименной пьесе Т.Уильямса в постановке Московского Художественного академического театра.</t>
        </is>
      </c>
      <c r="L2257" s="2" t="inlineStr">
        <is>
          <t>https://www.kino-teatr.ru/teatr/movie/17143/annot/</t>
        </is>
      </c>
      <c r="M2257" s="2">
        <f>HYPERLINK("https://ru.wikipedia.org/w/index.php?search=%D0%A1%D0%BB%D0%B0%D0%B4%D0%BA%D0%BE%D0%B3%D0%BE%D0%BB%D0%BE%D1%81%D0%B0%D1%8F%20%D0%BF%D1%82%D0%B8%D1%86%D0%B0%20%D1%8E%D0%BD%D0%BE%D1%81%D1%82%D0%B8%201978%20%D1%84%D0%B8%D0%BB%D1%8C%D0%BC","искать")</f>
        <v/>
      </c>
      <c r="N2257" s="3" t="n"/>
      <c r="O2257" s="2" t="n"/>
      <c r="P2257" s="2" t="n"/>
    </row>
    <row r="2258">
      <c r="A2258" s="2" t="n">
        <v>2257</v>
      </c>
      <c r="B2258" s="2" t="inlineStr">
        <is>
          <t>не сюжет</t>
        </is>
      </c>
      <c r="C2258" s="2" t="n">
        <v>10801</v>
      </c>
      <c r="D2258" s="3" t="inlineStr">
        <is>
          <t>Дефицит на Мазаева</t>
        </is>
      </c>
      <c r="E2258" s="2" t="n">
        <v>1979</v>
      </c>
      <c r="F2258" s="2" t="inlineStr">
        <is>
          <t>фильм-спектакль</t>
        </is>
      </c>
      <c r="G2258" s="2" t="inlineStr">
        <is>
          <t>Главная редакция литературно-драматический программ ЦТ</t>
        </is>
      </c>
      <c r="H2258" s="2" t="n">
        <v>111</v>
      </c>
      <c r="I2258" s="2" t="inlineStr"/>
      <c r="J2258" s="2" t="inlineStr">
        <is>
          <t>да</t>
        </is>
      </c>
      <c r="K2258" s="3" t="inlineStr">
        <is>
          <t>Герой - переводчик Мазаев, одинокий чудак, добрый и отзывчивый человек, живущий по законам романтика-идеалиста.</t>
        </is>
      </c>
      <c r="L2258" s="2" t="inlineStr">
        <is>
          <t>https://www.kino-teatr.ru/teatr/movie/1811/annot/</t>
        </is>
      </c>
      <c r="M2258" s="2">
        <f>HYPERLINK("https://ru.wikipedia.org/w/index.php?search=%D0%94%D0%B5%D1%84%D0%B8%D1%86%D0%B8%D1%82%20%D0%BD%D0%B0%20%D0%9C%D0%B0%D0%B7%D0%B0%D0%B5%D0%B2%D0%B0%201979%20%D1%84%D0%B8%D0%BB%D1%8C%D0%BC","искать")</f>
        <v/>
      </c>
      <c r="N2258" s="3" t="n"/>
      <c r="O2258" s="2" t="n"/>
      <c r="P2258" s="2" t="n"/>
    </row>
    <row r="2259">
      <c r="A2259" s="2" t="n">
        <v>2258</v>
      </c>
      <c r="B2259" s="2" t="inlineStr">
        <is>
          <t>не сюжет</t>
        </is>
      </c>
      <c r="C2259" s="2" t="n">
        <v>11817</v>
      </c>
      <c r="D2259" s="3" t="inlineStr">
        <is>
          <t>Стойкий оловянный солдатик</t>
        </is>
      </c>
      <c r="E2259" s="2" t="n">
        <v>1976</v>
      </c>
      <c r="F2259" s="2" t="inlineStr">
        <is>
          <t>мультфильм</t>
        </is>
      </c>
      <c r="G2259" s="2" t="inlineStr">
        <is>
          <t>Союзмультфильм</t>
        </is>
      </c>
      <c r="H2259" s="2" t="n">
        <v>111</v>
      </c>
      <c r="I2259" s="2" t="inlineStr"/>
      <c r="J2259" s="2" t="inlineStr">
        <is>
          <t>да</t>
        </is>
      </c>
      <c r="K2259" s="3" t="inlineStr">
        <is>
          <t>Здесь можно посмотреть онлайн и скачать мультфильм "Стойкий оловянный солдатик" (СПК, 2010 г.) (Сказки на ночь)</t>
        </is>
      </c>
      <c r="L2259" s="2" t="inlineStr">
        <is>
          <t>2026-10_мультфильмы_список_владельца.xlsx; https://animator.ru/db/?p=show_film&amp;fid=2731</t>
        </is>
      </c>
      <c r="M2259" s="2">
        <f>HYPERLINK("https://ru.wikipedia.org/w/index.php?search=%D0%A1%D1%82%D0%BE%D0%B9%D0%BA%D0%B8%D0%B9%20%D0%BE%D0%BB%D0%BE%D0%B2%D1%8F%D0%BD%D0%BD%D1%8B%D0%B9%20%D1%81%D0%BE%D0%BB%D0%B4%D0%B0%D1%82%D0%B8%D0%BA%201976%20%D1%84%D0%B8%D0%BB%D1%8C%D0%BC","искать")</f>
        <v/>
      </c>
      <c r="N2259" s="3" t="n"/>
      <c r="O2259" s="2" t="n"/>
      <c r="P2259" s="2" t="n"/>
    </row>
    <row r="2260">
      <c r="A2260" s="2" t="n">
        <v>2259</v>
      </c>
      <c r="B2260" s="2" t="inlineStr">
        <is>
          <t>не сюжет</t>
        </is>
      </c>
      <c r="C2260" s="2" t="n">
        <v>11890</v>
      </c>
      <c r="D2260" s="3" t="inlineStr">
        <is>
          <t>Метеор и другие. 7. Талант и поклонники</t>
        </is>
      </c>
      <c r="E2260" s="2" t="n">
        <v>1978</v>
      </c>
      <c r="F2260" s="2" t="inlineStr">
        <is>
          <t>мультфильм</t>
        </is>
      </c>
      <c r="G2260" s="2" t="inlineStr">
        <is>
          <t>Союзмультфильм</t>
        </is>
      </c>
      <c r="H2260" s="2" t="n">
        <v>111</v>
      </c>
      <c r="I2260" s="2" t="inlineStr"/>
      <c r="J2260" s="2" t="inlineStr">
        <is>
          <t>да</t>
        </is>
      </c>
      <c r="K2260" s="3" t="inlineStr">
        <is>
          <t>В комедийной форме создатели фильма рассказывают к чему приводит спортсменов чрезмерное восхваление их успехов.</t>
        </is>
      </c>
      <c r="L2260" s="2" t="inlineStr">
        <is>
          <t>https://animator.ru/db/?p=show_film&amp;fid=2805</t>
        </is>
      </c>
      <c r="M2260" s="2">
        <f>HYPERLINK("https://ru.wikipedia.org/w/index.php?search=%D0%9C%D0%B5%D1%82%D0%B5%D0%BE%D1%80%20%D0%B8%20%D0%B4%D1%80%D1%83%D0%B3%D0%B8%D0%B5.%207.%20%D0%A2%D0%B0%D0%BB%D0%B0%D0%BD%D1%82%20%D0%B8%20%D0%BF%D0%BE%D0%BA%D0%BB%D0%BE%D0%BD%D0%BD%D0%B8%D0%BA%D0%B8%201978%20%D1%84%D0%B8%D0%BB%D1%8C%D0%BC","искать")</f>
        <v/>
      </c>
      <c r="N2260" s="3" t="n"/>
      <c r="O2260" s="2" t="n"/>
      <c r="P2260" s="2" t="n"/>
    </row>
    <row r="2261">
      <c r="A2261" s="2" t="n">
        <v>2260</v>
      </c>
      <c r="B2261" s="2" t="inlineStr">
        <is>
          <t>не сюжет</t>
        </is>
      </c>
      <c r="C2261" s="2" t="n">
        <v>12342</v>
      </c>
      <c r="D2261" s="3" t="inlineStr">
        <is>
          <t>Десять (Десять лет)</t>
        </is>
      </c>
      <c r="E2261" s="2" t="n">
        <v>1927</v>
      </c>
      <c r="F2261" s="2" t="inlineStr">
        <is>
          <t>мультфильм</t>
        </is>
      </c>
      <c r="G2261" s="2" t="n"/>
      <c r="H2261" s="2" t="n">
        <v>111</v>
      </c>
      <c r="I2261" s="2" t="inlineStr"/>
      <c r="J2261" s="2" t="inlineStr">
        <is>
          <t>да</t>
        </is>
      </c>
      <c r="K2261" s="3" t="inlineStr">
        <is>
          <t>Ожившие диаграммы, планы и свершения советской власти за десять лет. Агитфильм на экран не вышел. Не сохранился</t>
        </is>
      </c>
      <c r="L2261" s="2" t="inlineStr">
        <is>
          <t>https://animator.ru/db/?p=show_film&amp;fid=3509</t>
        </is>
      </c>
      <c r="M2261" s="2">
        <f>HYPERLINK("https://ru.wikipedia.org/w/index.php?search=%D0%94%D0%B5%D1%81%D1%8F%D1%82%D1%8C%20%28%D0%94%D0%B5%D1%81%D1%8F%D1%82%D1%8C%20%D0%BB%D0%B5%D1%82%29%201927%20%D1%84%D0%B8%D0%BB%D1%8C%D0%BC","искать")</f>
        <v/>
      </c>
      <c r="N2261" s="3" t="n"/>
      <c r="O2261" s="2" t="n"/>
      <c r="P2261" s="2" t="n"/>
    </row>
    <row r="2262">
      <c r="A2262" s="2" t="n">
        <v>2261</v>
      </c>
      <c r="B2262" s="2" t="inlineStr">
        <is>
          <t>не сюжет</t>
        </is>
      </c>
      <c r="C2262" s="2" t="n">
        <v>14255</v>
      </c>
      <c r="D2262" s="3" t="inlineStr">
        <is>
          <t>Веселая карусель. Выпуск №15</t>
        </is>
      </c>
      <c r="E2262" s="2" t="n">
        <v>1983</v>
      </c>
      <c r="F2262" s="2" t="inlineStr">
        <is>
          <t>мультфильм</t>
        </is>
      </c>
      <c r="G2262" s="2" t="inlineStr">
        <is>
          <t>Союзмультфильм</t>
        </is>
      </c>
      <c r="H2262" s="2" t="n">
        <v>111</v>
      </c>
      <c r="I2262" s="2" t="inlineStr"/>
      <c r="J2262" s="2" t="inlineStr">
        <is>
          <t>да</t>
        </is>
      </c>
      <c r="K2262" s="3" t="inlineStr">
        <is>
          <t>15-ая серия альманаха «ВЕСЕЛАЯ КАРУСЕЛЬ»
сюжеты: «ВСЕ ДЛЯ ВСЕХ», «ДЕВОЧКА И ПИРАТЫ», «ПОЧЕМУ МНЕ НРАВИТСЯ СЛОН»</t>
        </is>
      </c>
      <c r="L2262" s="2" t="inlineStr">
        <is>
          <t>https://animator.ru/db/?p=show_film&amp;fid=5691</t>
        </is>
      </c>
      <c r="M2262" s="2">
        <f>HYPERLINK("https://ru.wikipedia.org/w/index.php?search=%D0%92%D0%B5%D1%81%D0%B5%D0%BB%D0%B0%D1%8F%20%D0%BA%D0%B0%D1%80%D1%83%D1%81%D0%B5%D0%BB%D1%8C.%20%D0%92%D1%8B%D0%BF%D1%83%D1%81%D0%BA%20%E2%84%9615%201983%20%D1%84%D0%B8%D0%BB%D1%8C%D0%BC","искать")</f>
        <v/>
      </c>
      <c r="N2262" s="3" t="n"/>
      <c r="O2262" s="2" t="n"/>
      <c r="P2262" s="2" t="n"/>
    </row>
    <row r="2263">
      <c r="A2263" s="2" t="n">
        <v>2262</v>
      </c>
      <c r="B2263" s="2" t="inlineStr">
        <is>
          <t>не сюжет</t>
        </is>
      </c>
      <c r="C2263" s="2" t="n">
        <v>7598</v>
      </c>
      <c r="D2263" s="3" t="inlineStr">
        <is>
          <t>Жизнь и бессмертие Сергея Лазо</t>
        </is>
      </c>
      <c r="E2263" s="2" t="n">
        <v>1985</v>
      </c>
      <c r="F2263" s="2" t="inlineStr">
        <is>
          <t>телефильм</t>
        </is>
      </c>
      <c r="G2263" s="2" t="n"/>
      <c r="H2263" s="2" t="n">
        <v>112</v>
      </c>
      <c r="I2263" s="2" t="inlineStr"/>
      <c r="J2263" s="2" t="inlineStr">
        <is>
          <t>да</t>
        </is>
      </c>
      <c r="K2263" s="3" t="inlineStr">
        <is>
          <t>Сериал рассказывает о жизненном пути героя гражданской войны Сергея Лазо, со дня крещения и до последней минуты.</t>
        </is>
      </c>
      <c r="L2263" s="2" t="inlineStr">
        <is>
          <t>Кино_СССР сводный каталог.xlsx: список телефильмов</t>
        </is>
      </c>
      <c r="M2263" s="2">
        <f>HYPERLINK("https://ru.wikipedia.org/w/index.php?search=%D0%96%D0%B8%D0%B7%D0%BD%D1%8C%20%D0%B8%20%D0%B1%D0%B5%D1%81%D1%81%D0%BC%D0%B5%D1%80%D1%82%D0%B8%D0%B5%20%D0%A1%D0%B5%D1%80%D0%B3%D0%B5%D1%8F%20%D0%9B%D0%B0%D0%B7%D0%BE%201985%20%D1%84%D0%B8%D0%BB%D1%8C%D0%BC","искать")</f>
        <v/>
      </c>
      <c r="N2263" s="3" t="n"/>
      <c r="O2263" s="2" t="n"/>
      <c r="P2263" s="2" t="n"/>
    </row>
    <row r="2264">
      <c r="A2264" s="2" t="n">
        <v>2263</v>
      </c>
      <c r="B2264" s="2" t="inlineStr">
        <is>
          <t>не сюжет</t>
        </is>
      </c>
      <c r="C2264" s="2" t="n">
        <v>8634</v>
      </c>
      <c r="D2264" s="3" t="inlineStr">
        <is>
          <t>Боль любви</t>
        </is>
      </c>
      <c r="E2264" s="2" t="n">
        <v>1989</v>
      </c>
      <c r="F2264" s="2" t="inlineStr">
        <is>
          <t>кинофильм</t>
        </is>
      </c>
      <c r="G2264" s="2" t="n"/>
      <c r="H2264" s="2" t="n">
        <v>112</v>
      </c>
      <c r="I2264" s="2" t="inlineStr"/>
      <c r="J2264" s="2" t="inlineStr">
        <is>
          <t>да</t>
        </is>
      </c>
      <c r="K2264" s="3" t="inlineStr">
        <is>
          <t>По мотивам одноименной повести Караматулло Мирзоева. История любви, рассказанная таджикскими кинематографистами.</t>
        </is>
      </c>
      <c r="L2264" s="2" t="inlineStr">
        <is>
          <t>Кино_СССР сводный каталог.xlsx: список фильмов (доп.)</t>
        </is>
      </c>
      <c r="M2264" s="2">
        <f>HYPERLINK("https://ru.wikipedia.org/w/index.php?search=%D0%91%D0%BE%D0%BB%D1%8C%20%D0%BB%D1%8E%D0%B1%D0%B2%D0%B8%201989%20%D1%84%D0%B8%D0%BB%D1%8C%D0%BC","искать")</f>
        <v/>
      </c>
      <c r="N2264" s="3" t="n"/>
      <c r="O2264" s="2" t="n"/>
      <c r="P2264" s="2" t="n"/>
    </row>
    <row r="2265">
      <c r="A2265" s="2" t="n">
        <v>2264</v>
      </c>
      <c r="B2265" s="2" t="inlineStr">
        <is>
          <t>не сюжет</t>
        </is>
      </c>
      <c r="C2265" s="2" t="n">
        <v>8789</v>
      </c>
      <c r="D2265" s="3" t="inlineStr">
        <is>
          <t>Лампа Аладдина</t>
        </is>
      </c>
      <c r="E2265" s="2" t="n">
        <v>1938</v>
      </c>
      <c r="F2265" s="2" t="inlineStr">
        <is>
          <t>кинофильм</t>
        </is>
      </c>
      <c r="G2265" s="2" t="n"/>
      <c r="H2265" s="2" t="n">
        <v>112</v>
      </c>
      <c r="I2265" s="2" t="inlineStr"/>
      <c r="J2265" s="2" t="inlineStr">
        <is>
          <t>да</t>
        </is>
      </c>
      <c r="K2265" s="3" t="inlineStr">
        <is>
          <t>По мотивам сказок "1001 ночи". Фильм снимался в цвете. Незакончен в связи с ориентацией на современную тематику.</t>
        </is>
      </c>
      <c r="L2265" s="2" t="inlineStr">
        <is>
          <t>Кино_СССР сводный каталог.xlsx: список фильмов (доп.)</t>
        </is>
      </c>
      <c r="M2265" s="2">
        <f>HYPERLINK("https://ru.wikipedia.org/w/index.php?search=%D0%9B%D0%B0%D0%BC%D0%BF%D0%B0%20%D0%90%D0%BB%D0%B0%D0%B4%D0%B4%D0%B8%D0%BD%D0%B0%201938%20%D1%84%D0%B8%D0%BB%D1%8C%D0%BC","искать")</f>
        <v/>
      </c>
      <c r="N2265" s="3" t="n"/>
      <c r="O2265" s="2" t="n"/>
      <c r="P2265" s="2" t="n"/>
    </row>
    <row r="2266">
      <c r="A2266" s="2" t="n">
        <v>2265</v>
      </c>
      <c r="B2266" s="2" t="inlineStr">
        <is>
          <t>не сюжет</t>
        </is>
      </c>
      <c r="C2266" s="2" t="n">
        <v>9291</v>
      </c>
      <c r="D2266" s="3" t="inlineStr">
        <is>
          <t>Второй караван</t>
        </is>
      </c>
      <c r="E2266" s="2" t="n">
        <v>1950</v>
      </c>
      <c r="F2266" s="2" t="inlineStr">
        <is>
          <t>кинофильм</t>
        </is>
      </c>
      <c r="G2266" s="2" t="n"/>
      <c r="H2266" s="2" t="n">
        <v>112</v>
      </c>
      <c r="I2266" s="2" t="inlineStr"/>
      <c r="J2266" s="2" t="inlineStr">
        <is>
          <t>да</t>
        </is>
      </c>
      <c r="K2266" s="3" t="inlineStr">
        <is>
          <t>Незавершенный производством фильм о репатриации зарубежных армян в Советскую Армению после Второй мировой войны.</t>
        </is>
      </c>
      <c r="L2266" s="2" t="inlineStr">
        <is>
          <t>Кино_СССР сводный каталог.xlsx: список фильмов (доп.)</t>
        </is>
      </c>
      <c r="M2266" s="2">
        <f>HYPERLINK("https://ru.wikipedia.org/w/index.php?search=%D0%92%D1%82%D0%BE%D1%80%D0%BE%D0%B9%20%D0%BA%D0%B0%D1%80%D0%B0%D0%B2%D0%B0%D0%BD%201950%20%D1%84%D0%B8%D0%BB%D1%8C%D0%BC","искать")</f>
        <v/>
      </c>
      <c r="N2266" s="3" t="n"/>
      <c r="O2266" s="2" t="n"/>
      <c r="P2266" s="2" t="n"/>
    </row>
    <row r="2267">
      <c r="A2267" s="2" t="n">
        <v>2266</v>
      </c>
      <c r="B2267" s="2" t="inlineStr">
        <is>
          <t>не сюжет</t>
        </is>
      </c>
      <c r="C2267" s="2" t="n">
        <v>10441</v>
      </c>
      <c r="D2267" s="3" t="inlineStr">
        <is>
          <t>Жизнь Сент-Экзюпери</t>
        </is>
      </c>
      <c r="E2267" s="2" t="n">
        <v>1972</v>
      </c>
      <c r="F2267" s="2" t="inlineStr">
        <is>
          <t>фильм-спектакль</t>
        </is>
      </c>
      <c r="G2267" s="2" t="inlineStr">
        <is>
          <t>Ленинградское телевидение</t>
        </is>
      </c>
      <c r="H2267" s="2" t="n">
        <v>112</v>
      </c>
      <c r="I2267" s="2" t="inlineStr"/>
      <c r="J2267" s="2" t="inlineStr">
        <is>
          <t>да</t>
        </is>
      </c>
      <c r="K2267" s="3" t="inlineStr">
        <is>
          <t>Сцены из спектакля Ленинградского Академического театра имени Пушкина о жизни писателя Антуана де Сент-Экзюпери.</t>
        </is>
      </c>
      <c r="L2267" s="2" t="inlineStr">
        <is>
          <t>https://www.kino-teatr.ru/teatr/movie/83210/annot/</t>
        </is>
      </c>
      <c r="M2267" s="2">
        <f>HYPERLINK("https://ru.wikipedia.org/w/index.php?search=%D0%96%D0%B8%D0%B7%D0%BD%D1%8C%20%D0%A1%D0%B5%D0%BD%D1%82-%D0%AD%D0%BA%D0%B7%D1%8E%D0%BF%D0%B5%D1%80%D0%B8%201972%20%D1%84%D0%B8%D0%BB%D1%8C%D0%BC","искать")</f>
        <v/>
      </c>
      <c r="N2267" s="3" t="n"/>
      <c r="O2267" s="2" t="n"/>
      <c r="P2267" s="2" t="n"/>
    </row>
    <row r="2268">
      <c r="A2268" s="2" t="n">
        <v>2267</v>
      </c>
      <c r="B2268" s="2" t="inlineStr">
        <is>
          <t>не сюжет</t>
        </is>
      </c>
      <c r="C2268" s="2" t="n">
        <v>10482</v>
      </c>
      <c r="D2268" s="3" t="inlineStr">
        <is>
          <t>12 писем из Дальногорска</t>
        </is>
      </c>
      <c r="E2268" s="2" t="n">
        <v>1973</v>
      </c>
      <c r="F2268" s="2" t="inlineStr">
        <is>
          <t>фильм-спектакль</t>
        </is>
      </c>
      <c r="G2268" s="2" t="inlineStr">
        <is>
          <t>Ленинградское ТВ</t>
        </is>
      </c>
      <c r="H2268" s="2" t="n">
        <v>112</v>
      </c>
      <c r="I2268" s="2" t="inlineStr"/>
      <c r="J2268" s="2" t="inlineStr">
        <is>
          <t>да</t>
        </is>
      </c>
      <c r="K2268" s="3" t="inlineStr">
        <is>
          <t>Музыкальный телеспектакль по оперетте Андрея Петрова (либретто Б.Рацера и В.Константинова) "Мы хотим танцевать".</t>
        </is>
      </c>
      <c r="L2268" s="2" t="inlineStr">
        <is>
          <t>https://www.kino-teatr.ru/teatr/movie/121571/annot/</t>
        </is>
      </c>
      <c r="M2268" s="2">
        <f>HYPERLINK("https://ru.wikipedia.org/w/index.php?search=12%20%D0%BF%D0%B8%D1%81%D0%B5%D0%BC%20%D0%B8%D0%B7%20%D0%94%D0%B0%D0%BB%D1%8C%D0%BD%D0%BE%D0%B3%D0%BE%D1%80%D1%81%D0%BA%D0%B0%201973%20%D1%84%D0%B8%D0%BB%D1%8C%D0%BC","искать")</f>
        <v/>
      </c>
      <c r="N2268" s="3" t="n"/>
      <c r="O2268" s="2" t="n"/>
      <c r="P2268" s="2" t="n"/>
    </row>
    <row r="2269">
      <c r="A2269" s="2" t="n">
        <v>2268</v>
      </c>
      <c r="B2269" s="2" t="inlineStr">
        <is>
          <t>не сюжет</t>
        </is>
      </c>
      <c r="C2269" s="2" t="n">
        <v>12050</v>
      </c>
      <c r="D2269" s="3" t="inlineStr">
        <is>
          <t>От двух до пяти</t>
        </is>
      </c>
      <c r="E2269" s="2" t="n">
        <v>1983</v>
      </c>
      <c r="F2269" s="2" t="inlineStr">
        <is>
          <t>мультфильм</t>
        </is>
      </c>
      <c r="G2269" s="2" t="inlineStr">
        <is>
          <t>Союзмультфильм</t>
        </is>
      </c>
      <c r="H2269" s="2" t="n">
        <v>112</v>
      </c>
      <c r="I2269" s="2" t="inlineStr"/>
      <c r="J2269" s="2" t="inlineStr">
        <is>
          <t>да</t>
        </is>
      </c>
      <c r="K2269" s="3" t="inlineStr">
        <is>
          <t>По книге Чуковского.В фильме использованы рисунки Ю.Анненкова, С.Чехонина, В.Конашевича, Н.Радлова, Кукрыниксов.</t>
        </is>
      </c>
      <c r="L2269" s="2" t="inlineStr">
        <is>
          <t>2026-10_мультфильмы_список_владельца.xlsx; https://animator.ru/db/?p=show_film&amp;fid=3165</t>
        </is>
      </c>
      <c r="M2269" s="2">
        <f>HYPERLINK("https://ru.wikipedia.org/w/index.php?search=%D0%9E%D1%82%20%D0%B4%D0%B2%D1%83%D1%85%20%D0%B4%D0%BE%20%D0%BF%D1%8F%D1%82%D0%B8%201983%20%D1%84%D0%B8%D0%BB%D1%8C%D0%BC","искать")</f>
        <v/>
      </c>
      <c r="N2269" s="3" t="n"/>
      <c r="O2269" s="2" t="n"/>
      <c r="P2269" s="2" t="n"/>
    </row>
    <row r="2270">
      <c r="A2270" s="2" t="n">
        <v>2269</v>
      </c>
      <c r="B2270" s="2" t="inlineStr">
        <is>
          <t>не сюжет</t>
        </is>
      </c>
      <c r="C2270" s="2" t="n">
        <v>12246</v>
      </c>
      <c r="D2270" s="3" t="inlineStr">
        <is>
          <t>Сон</t>
        </is>
      </c>
      <c r="E2270" s="2" t="n">
        <v>1988</v>
      </c>
      <c r="F2270" s="2" t="inlineStr">
        <is>
          <t>мультфильм</t>
        </is>
      </c>
      <c r="G2270" s="2" t="inlineStr">
        <is>
          <t>Союзмультфильм</t>
        </is>
      </c>
      <c r="H2270" s="2" t="n">
        <v>112</v>
      </c>
      <c r="I2270" s="2" t="inlineStr"/>
      <c r="J2270" s="2" t="inlineStr">
        <is>
          <t>да</t>
        </is>
      </c>
      <c r="K2270" s="3" t="inlineStr">
        <is>
          <t>Авторская фантазия на темы русской классической литературы Девятнадцатого века (Достоевский, Гончаров, Тургенев)</t>
        </is>
      </c>
      <c r="L2270" s="2" t="inlineStr">
        <is>
          <t>https://animator.ru/db/?p=show_film&amp;fid=3363</t>
        </is>
      </c>
      <c r="M2270" s="2">
        <f>HYPERLINK("https://ru.wikipedia.org/w/index.php?search=%D0%A1%D0%BE%D0%BD%201988%20%D1%84%D0%B8%D0%BB%D1%8C%D0%BC","искать")</f>
        <v/>
      </c>
      <c r="N2270" s="3" t="n"/>
      <c r="O2270" s="2" t="n"/>
      <c r="P2270" s="2" t="n"/>
    </row>
    <row r="2271">
      <c r="A2271" s="2" t="n">
        <v>2270</v>
      </c>
      <c r="B2271" s="2" t="inlineStr">
        <is>
          <t>не сюжет</t>
        </is>
      </c>
      <c r="C2271" s="2" t="n">
        <v>13275</v>
      </c>
      <c r="D2271" s="3" t="inlineStr">
        <is>
          <t>Пир у дядюшки Крота</t>
        </is>
      </c>
      <c r="E2271" s="2" t="n">
        <v>1985</v>
      </c>
      <c r="F2271" s="2" t="inlineStr">
        <is>
          <t>мультфильм</t>
        </is>
      </c>
      <c r="G2271" s="2" t="inlineStr">
        <is>
          <t>ТАЛЛИННФИЛЬМ</t>
        </is>
      </c>
      <c r="H2271" s="2" t="n">
        <v>112</v>
      </c>
      <c r="I2271" s="2" t="inlineStr"/>
      <c r="J2271" s="2" t="inlineStr">
        <is>
          <t>да</t>
        </is>
      </c>
      <c r="K2271" s="3" t="inlineStr">
        <is>
          <t>На основе эстонских шуточных песен: "Лапоть, Пузырь и Соломинка" А.Пирикиви и "Пир у дядюшки Крота" А.Дальберга.</t>
        </is>
      </c>
      <c r="L2271" s="2" t="inlineStr">
        <is>
          <t>2026-10_мультфильмы_список_владельца.xlsx; https://animator.ru/db/?p=show_film&amp;fid=4532</t>
        </is>
      </c>
      <c r="M2271" s="2">
        <f>HYPERLINK("https://ru.wikipedia.org/w/index.php?search=%D0%9F%D0%B8%D1%80%20%D1%83%20%D0%B4%D1%8F%D0%B4%D1%8E%D1%88%D0%BA%D0%B8%20%D0%9A%D1%80%D0%BE%D1%82%D0%B0%201985%20%D1%84%D0%B8%D0%BB%D1%8C%D0%BC","искать")</f>
        <v/>
      </c>
      <c r="N2271" s="3" t="n"/>
      <c r="O2271" s="2" t="n"/>
      <c r="P2271" s="2" t="n"/>
    </row>
    <row r="2272">
      <c r="A2272" s="2" t="n">
        <v>2271</v>
      </c>
      <c r="B2272" s="2" t="inlineStr">
        <is>
          <t>не сюжет</t>
        </is>
      </c>
      <c r="C2272" s="2" t="n">
        <v>7524</v>
      </c>
      <c r="D2272" s="3" t="inlineStr">
        <is>
          <t>Доверие</t>
        </is>
      </c>
      <c r="E2272" s="2" t="n">
        <v>1972</v>
      </c>
      <c r="F2272" s="2" t="inlineStr">
        <is>
          <t>телефильм</t>
        </is>
      </c>
      <c r="G2272" s="2" t="n"/>
      <c r="H2272" s="2" t="n">
        <v>113</v>
      </c>
      <c r="I2272" s="2" t="inlineStr"/>
      <c r="J2272" s="2" t="inlineStr">
        <is>
          <t>да</t>
        </is>
      </c>
      <c r="K2272" s="3" t="inlineStr">
        <is>
          <t>Телефильм. Деревенская история. В центре сюжета - проблемы современного села и хозяйственное использование земли.</t>
        </is>
      </c>
      <c r="L2272" s="2" t="inlineStr">
        <is>
          <t>Кино_СССР сводный каталог.xlsx: список телефильмов</t>
        </is>
      </c>
      <c r="M2272" s="2">
        <f>HYPERLINK("https://ru.wikipedia.org/w/index.php?search=%D0%94%D0%BE%D0%B2%D0%B5%D1%80%D0%B8%D0%B5%201972%20%D1%84%D0%B8%D0%BB%D1%8C%D0%BC","искать")</f>
        <v/>
      </c>
      <c r="N2272" s="3" t="n"/>
      <c r="O2272" s="2" t="n"/>
      <c r="P2272" s="2" t="n"/>
    </row>
    <row r="2273">
      <c r="A2273" s="2" t="n">
        <v>2272</v>
      </c>
      <c r="B2273" s="2" t="inlineStr">
        <is>
          <t>не сюжет</t>
        </is>
      </c>
      <c r="C2273" s="2" t="n">
        <v>7974</v>
      </c>
      <c r="D2273" s="3" t="inlineStr">
        <is>
          <t>Незавершённые шедевры</t>
        </is>
      </c>
      <c r="E2273" s="2" t="n">
        <v>1984</v>
      </c>
      <c r="F2273" s="2" t="inlineStr">
        <is>
          <t>телефильм</t>
        </is>
      </c>
      <c r="G2273" s="2" t="n"/>
      <c r="H2273" s="2" t="n">
        <v>113</v>
      </c>
      <c r="I2273" s="2" t="inlineStr"/>
      <c r="J2273" s="2" t="inlineStr">
        <is>
          <t>да</t>
        </is>
      </c>
      <c r="K2273" s="3" t="inlineStr">
        <is>
          <t>Телевизионный фильм о жизни и творчестве великого русского композитора Модеста Петровича Мусоргского (1839-1881).</t>
        </is>
      </c>
      <c r="L2273" s="2" t="inlineStr">
        <is>
          <t>Кино_СССР сводный каталог.xlsx: список телефильмов</t>
        </is>
      </c>
      <c r="M2273" s="2">
        <f>HYPERLINK("https://ru.wikipedia.org/w/index.php?search=%D0%9D%D0%B5%D0%B7%D0%B0%D0%B2%D0%B5%D1%80%D1%88%D1%91%D0%BD%D0%BD%D1%8B%D0%B5%20%D1%88%D0%B5%D0%B4%D0%B5%D0%B2%D1%80%D1%8B%201984%20%D1%84%D0%B8%D0%BB%D1%8C%D0%BC","искать")</f>
        <v/>
      </c>
      <c r="N2273" s="3" t="n"/>
      <c r="O2273" s="2" t="n"/>
      <c r="P2273" s="2" t="n"/>
    </row>
    <row r="2274">
      <c r="A2274" s="2" t="n">
        <v>2273</v>
      </c>
      <c r="B2274" s="2" t="inlineStr">
        <is>
          <t>не сюжет</t>
        </is>
      </c>
      <c r="C2274" s="2" t="n">
        <v>9129</v>
      </c>
      <c r="D2274" s="3" t="inlineStr">
        <is>
          <t>Улыбка актрисы</t>
        </is>
      </c>
      <c r="E2274" s="2" t="n">
        <v>1974</v>
      </c>
      <c r="F2274" s="2" t="inlineStr">
        <is>
          <t>кинофильм</t>
        </is>
      </c>
      <c r="G2274" s="2" t="n"/>
      <c r="H2274" s="2" t="n">
        <v>113</v>
      </c>
      <c r="I2274" s="2" t="inlineStr"/>
      <c r="J2274" s="2" t="inlineStr">
        <is>
          <t>да</t>
        </is>
      </c>
      <c r="K2274" s="3" t="inlineStr">
        <is>
          <t>Фильм посвящен выдающейся актрисе, народной артистке республики Насибе Зейналовой и ее богатому творческому пути.</t>
        </is>
      </c>
      <c r="L2274" s="2" t="inlineStr">
        <is>
          <t>Кино_СССР сводный каталог.xlsx: список фильмов (доп.)</t>
        </is>
      </c>
      <c r="M2274" s="2">
        <f>HYPERLINK("https://ru.wikipedia.org/w/index.php?search=%D0%A3%D0%BB%D1%8B%D0%B1%D0%BA%D0%B0%20%D0%B0%D0%BA%D1%82%D1%80%D0%B8%D1%81%D1%8B%201974%20%D1%84%D0%B8%D0%BB%D1%8C%D0%BC","искать")</f>
        <v/>
      </c>
      <c r="N2274" s="3" t="n"/>
      <c r="O2274" s="2" t="n"/>
      <c r="P2274" s="2" t="n"/>
    </row>
    <row r="2275">
      <c r="A2275" s="2" t="n">
        <v>2274</v>
      </c>
      <c r="B2275" s="2" t="inlineStr">
        <is>
          <t>не сюжет</t>
        </is>
      </c>
      <c r="C2275" s="2" t="n">
        <v>9185</v>
      </c>
      <c r="D2275" s="3" t="inlineStr">
        <is>
          <t>Этот чудак Андерсен</t>
        </is>
      </c>
      <c r="E2275" s="2" t="n">
        <v>1974</v>
      </c>
      <c r="F2275" s="2" t="inlineStr">
        <is>
          <t>кинофильм</t>
        </is>
      </c>
      <c r="G2275" s="2" t="n"/>
      <c r="H2275" s="2" t="n">
        <v>113</v>
      </c>
      <c r="I2275" s="2" t="inlineStr"/>
      <c r="J2275" s="2" t="inlineStr">
        <is>
          <t>да</t>
        </is>
      </c>
      <c r="K2275" s="3" t="inlineStr">
        <is>
          <t>Состоит из четырех новелл: "Ночной дилижанс", "Ах, мой милый Августин", "Андерсен и тень", "Этот чудак Андерсен".</t>
        </is>
      </c>
      <c r="L2275" s="2" t="inlineStr">
        <is>
          <t>Кино_СССР сводный каталог.xlsx: список фильмов (доп.)</t>
        </is>
      </c>
      <c r="M2275" s="2">
        <f>HYPERLINK("https://ru.wikipedia.org/w/index.php?search=%D0%AD%D1%82%D0%BE%D1%82%20%D1%87%D1%83%D0%B4%D0%B0%D0%BA%20%D0%90%D0%BD%D0%B4%D0%B5%D1%80%D1%81%D0%B5%D0%BD%201974%20%D1%84%D0%B8%D0%BB%D1%8C%D0%BC","искать")</f>
        <v/>
      </c>
      <c r="N2275" s="3" t="n"/>
      <c r="O2275" s="2" t="n"/>
      <c r="P2275" s="2" t="n"/>
    </row>
    <row r="2276">
      <c r="A2276" s="2" t="n">
        <v>2275</v>
      </c>
      <c r="B2276" s="2" t="inlineStr">
        <is>
          <t>не сюжет</t>
        </is>
      </c>
      <c r="C2276" s="2" t="n">
        <v>9662</v>
      </c>
      <c r="D2276" s="3" t="inlineStr">
        <is>
          <t>Солнце на повороте</t>
        </is>
      </c>
      <c r="E2276" s="2" t="n">
        <v>1929</v>
      </c>
      <c r="F2276" s="2" t="inlineStr">
        <is>
          <t>кинофильм</t>
        </is>
      </c>
      <c r="G2276" s="2" t="inlineStr">
        <is>
          <t>Арменкино</t>
        </is>
      </c>
      <c r="H2276" s="2" t="n">
        <v>113</v>
      </c>
      <c r="I2276" s="2" t="inlineStr"/>
      <c r="J2276" s="2" t="inlineStr">
        <is>
          <t>да</t>
        </is>
      </c>
      <c r="K2276" s="3" t="inlineStr">
        <is>
          <t>Агитпропфильм о политике коллективизации. Заключение ГРК разыскать не удалось. В ГФФ копия фильма не сохранилась.</t>
        </is>
      </c>
      <c r="L2276" s="2" t="inlineStr">
        <is>
          <t>Кино_СССР сводный каталог.xlsx: список фильмов (доп.)</t>
        </is>
      </c>
      <c r="M2276" s="2">
        <f>HYPERLINK("https://ru.wikipedia.org/w/index.php?search=%D0%A1%D0%BE%D0%BB%D0%BD%D1%86%D0%B5%20%D0%BD%D0%B0%20%D0%BF%D0%BE%D0%B2%D0%BE%D1%80%D0%BE%D1%82%D0%B5%201929%20%D1%84%D0%B8%D0%BB%D1%8C%D0%BC","искать")</f>
        <v/>
      </c>
      <c r="N2276" s="3" t="n"/>
      <c r="O2276" s="2" t="n"/>
      <c r="P2276" s="2" t="n"/>
    </row>
    <row r="2277">
      <c r="A2277" s="2" t="n">
        <v>2276</v>
      </c>
      <c r="B2277" s="2" t="inlineStr">
        <is>
          <t>не сюжет</t>
        </is>
      </c>
      <c r="C2277" s="2" t="n">
        <v>10127</v>
      </c>
      <c r="D2277" s="3" t="inlineStr">
        <is>
          <t>Порт-Артур</t>
        </is>
      </c>
      <c r="E2277" s="2" t="n">
        <v>1964</v>
      </c>
      <c r="F2277" s="2" t="inlineStr">
        <is>
          <t>фильм-спектакль</t>
        </is>
      </c>
      <c r="G2277" s="2" t="n"/>
      <c r="H2277" s="2" t="n">
        <v>113</v>
      </c>
      <c r="I2277" s="2" t="inlineStr"/>
      <c r="J2277" s="2" t="inlineStr">
        <is>
          <t>да</t>
        </is>
      </c>
      <c r="K2277" s="3" t="inlineStr">
        <is>
          <t>По одноименной пьесе И.Попова и Л.Степанова в постановке Государственного академического Малого театра Союза ССР.</t>
        </is>
      </c>
      <c r="L2277" s="2" t="inlineStr">
        <is>
          <t>https://www.kino-teatr.ru/teatr/movie/80981/annot/</t>
        </is>
      </c>
      <c r="M2277" s="2">
        <f>HYPERLINK("https://ru.wikipedia.org/w/index.php?search=%D0%9F%D0%BE%D1%80%D1%82-%D0%90%D1%80%D1%82%D1%83%D1%80%201964%20%D1%84%D0%B8%D0%BB%D1%8C%D0%BC","искать")</f>
        <v/>
      </c>
      <c r="N2277" s="3" t="n"/>
      <c r="O2277" s="2" t="n"/>
      <c r="P2277" s="2" t="n"/>
    </row>
    <row r="2278">
      <c r="A2278" s="2" t="n">
        <v>2277</v>
      </c>
      <c r="B2278" s="2" t="inlineStr">
        <is>
          <t>не сюжет</t>
        </is>
      </c>
      <c r="C2278" s="2" t="n">
        <v>10350</v>
      </c>
      <c r="D2278" s="3" t="inlineStr">
        <is>
          <t>Боян Чонос</t>
        </is>
      </c>
      <c r="E2278" s="2" t="n">
        <v>1970</v>
      </c>
      <c r="F2278" s="2" t="inlineStr">
        <is>
          <t>фильм-спектакль</t>
        </is>
      </c>
      <c r="G2278" s="2" t="inlineStr">
        <is>
          <t>Центральное телевидение</t>
        </is>
      </c>
      <c r="H2278" s="2" t="n">
        <v>113</v>
      </c>
      <c r="I2278" s="2" t="inlineStr"/>
      <c r="J2278" s="2" t="inlineStr">
        <is>
          <t>да</t>
        </is>
      </c>
      <c r="K2278" s="3" t="inlineStr">
        <is>
          <t>О жизни и деятельности болгарского героя-партизана Бояна Чоноса.
Действие происходит в годы второй мировой войны.</t>
        </is>
      </c>
      <c r="L2278" s="2" t="inlineStr">
        <is>
          <t>https://www.kino-teatr.ru/teatr/movie/107238/annot/</t>
        </is>
      </c>
      <c r="M2278" s="2">
        <f>HYPERLINK("https://ru.wikipedia.org/w/index.php?search=%D0%91%D0%BE%D1%8F%D0%BD%20%D0%A7%D0%BE%D0%BD%D0%BE%D1%81%201970%20%D1%84%D0%B8%D0%BB%D1%8C%D0%BC","искать")</f>
        <v/>
      </c>
      <c r="N2278" s="3" t="n"/>
      <c r="O2278" s="2" t="n"/>
      <c r="P2278" s="2" t="n"/>
    </row>
    <row r="2279">
      <c r="A2279" s="2" t="n">
        <v>2278</v>
      </c>
      <c r="B2279" s="2" t="inlineStr">
        <is>
          <t>не сюжет</t>
        </is>
      </c>
      <c r="C2279" s="2" t="n">
        <v>10379</v>
      </c>
      <c r="D2279" s="3" t="inlineStr">
        <is>
          <t>Алексей и Ольга</t>
        </is>
      </c>
      <c r="E2279" s="2" t="n">
        <v>1971</v>
      </c>
      <c r="F2279" s="2" t="inlineStr">
        <is>
          <t>фильм-спектакль</t>
        </is>
      </c>
      <c r="G2279" s="2" t="inlineStr">
        <is>
          <t>Ленинградское телевидение</t>
        </is>
      </c>
      <c r="H2279" s="2" t="n">
        <v>113</v>
      </c>
      <c r="I2279" s="2" t="inlineStr"/>
      <c r="J2279" s="2" t="inlineStr">
        <is>
          <t>да</t>
        </is>
      </c>
      <c r="K2279" s="3" t="inlineStr">
        <is>
          <t>Спектакль ленинградского театра им. Ленинского Комсомола по повести о войне Иосифа Герасимова "Пять дней отдыха".</t>
        </is>
      </c>
      <c r="L2279" s="2" t="inlineStr">
        <is>
          <t>https://www.kino-teatr.ru/teatr/movie/136434/annot/</t>
        </is>
      </c>
      <c r="M2279" s="2">
        <f>HYPERLINK("https://ru.wikipedia.org/w/index.php?search=%D0%90%D0%BB%D0%B5%D0%BA%D1%81%D0%B5%D0%B9%20%D0%B8%20%D0%9E%D0%BB%D1%8C%D0%B3%D0%B0%201971%20%D1%84%D0%B8%D0%BB%D1%8C%D0%BC","искать")</f>
        <v/>
      </c>
      <c r="N2279" s="3" t="n"/>
      <c r="O2279" s="2" t="n"/>
      <c r="P2279" s="2" t="n"/>
    </row>
    <row r="2280">
      <c r="A2280" s="2" t="n">
        <v>2279</v>
      </c>
      <c r="B2280" s="2" t="inlineStr">
        <is>
          <t>не сюжет</t>
        </is>
      </c>
      <c r="C2280" s="2" t="n">
        <v>10729</v>
      </c>
      <c r="D2280" s="3" t="inlineStr">
        <is>
          <t>Васса Железнова</t>
        </is>
      </c>
      <c r="E2280" s="2" t="n">
        <v>1978</v>
      </c>
      <c r="F2280" s="2" t="inlineStr">
        <is>
          <t>фильм-спектакль</t>
        </is>
      </c>
      <c r="G2280" s="2" t="inlineStr">
        <is>
          <t>Центральный Академический Театр Советской армии и Творческое объединение "Экран"</t>
        </is>
      </c>
      <c r="H2280" s="2" t="n">
        <v>113</v>
      </c>
      <c r="I2280" s="2" t="inlineStr"/>
      <c r="J2280" s="2" t="inlineStr">
        <is>
          <t>да</t>
        </is>
      </c>
      <c r="K2280" s="3" t="inlineStr">
        <is>
          <t>Фильм-спектакль по одноименной пьесе М.Горького, в постановке Центрального академического театра Советской армии.</t>
        </is>
      </c>
      <c r="L2280" s="2" t="inlineStr">
        <is>
          <t>https://www.kino-teatr.ru/teatr/movie/81386/annot/</t>
        </is>
      </c>
      <c r="M2280" s="2">
        <f>HYPERLINK("https://ru.wikipedia.org/w/index.php?search=%D0%92%D0%B0%D1%81%D1%81%D0%B0%20%D0%96%D0%B5%D0%BB%D0%B5%D0%B7%D0%BD%D0%BE%D0%B2%D0%B0%201978%20%D1%84%D0%B8%D0%BB%D1%8C%D0%BC","искать")</f>
        <v/>
      </c>
      <c r="N2280" s="3" t="n"/>
      <c r="O2280" s="2" t="n"/>
      <c r="P2280" s="2" t="n"/>
    </row>
    <row r="2281">
      <c r="A2281" s="2" t="n">
        <v>2280</v>
      </c>
      <c r="B2281" s="2" t="inlineStr">
        <is>
          <t>не сюжет</t>
        </is>
      </c>
      <c r="C2281" s="2" t="n">
        <v>10913</v>
      </c>
      <c r="D2281" s="3" t="inlineStr">
        <is>
          <t>Сказку эту поведаю теперь я свету...</t>
        </is>
      </c>
      <c r="E2281" s="2" t="n">
        <v>1981</v>
      </c>
      <c r="F2281" s="2" t="inlineStr">
        <is>
          <t>фильм-спектакль</t>
        </is>
      </c>
      <c r="G2281" s="2" t="inlineStr">
        <is>
          <t>Лентелефильм</t>
        </is>
      </c>
      <c r="H2281" s="2" t="n">
        <v>113</v>
      </c>
      <c r="I2281" s="2" t="inlineStr"/>
      <c r="J2281" s="2" t="inlineStr">
        <is>
          <t>да</t>
        </is>
      </c>
      <c r="K2281" s="3" t="inlineStr">
        <is>
          <t>Музыкальная композиция по поэме А.С.Пушкина "Руслан и Людмила", звучат фрагменты из одноименной оперы М.И.Глинки.</t>
        </is>
      </c>
      <c r="L2281" s="2" t="inlineStr">
        <is>
          <t>https://www.kino-teatr.ru/teatr/movie/114002/annot/</t>
        </is>
      </c>
      <c r="M2281" s="2">
        <f>HYPERLINK("https://ru.wikipedia.org/w/index.php?search=%D0%A1%D0%BA%D0%B0%D0%B7%D0%BA%D1%83%20%D1%8D%D1%82%D1%83%20%D0%BF%D0%BE%D0%B2%D0%B5%D0%B4%D0%B0%D1%8E%20%D1%82%D0%B5%D0%BF%D0%B5%D1%80%D1%8C%20%D1%8F%20%D1%81%D0%B2%D0%B5%D1%82%D1%83...%201981%20%D1%84%D0%B8%D0%BB%D1%8C%D0%BC","искать")</f>
        <v/>
      </c>
      <c r="N2281" s="3" t="n"/>
      <c r="O2281" s="2" t="n"/>
      <c r="P2281" s="2" t="n"/>
    </row>
    <row r="2282">
      <c r="A2282" s="2" t="n">
        <v>2281</v>
      </c>
      <c r="B2282" s="2" t="inlineStr">
        <is>
          <t>не сюжет</t>
        </is>
      </c>
      <c r="C2282" s="2" t="n">
        <v>11136</v>
      </c>
      <c r="D2282" s="3" t="inlineStr">
        <is>
          <t>Театр И.С. Тургенева</t>
        </is>
      </c>
      <c r="E2282" s="2" t="n">
        <v>1986</v>
      </c>
      <c r="F2282" s="2" t="inlineStr">
        <is>
          <t>фильм-спектакль</t>
        </is>
      </c>
      <c r="G2282" s="2" t="inlineStr">
        <is>
          <t>Главная редакция научно-популярных и учебных программ ЦТ</t>
        </is>
      </c>
      <c r="H2282" s="2" t="n">
        <v>113</v>
      </c>
      <c r="I2282" s="2" t="inlineStr"/>
      <c r="J2282" s="2" t="inlineStr">
        <is>
          <t>да</t>
        </is>
      </c>
      <c r="K2282" s="3" t="inlineStr">
        <is>
          <t>Из цикла "Драматургия и театр".
О своеобразии и значении театра И.С. Тургенева, о связи его драматургии с прозой.</t>
        </is>
      </c>
      <c r="L2282" s="2" t="inlineStr">
        <is>
          <t>https://www.kino-teatr.ru/teatr/movie/82955/annot/</t>
        </is>
      </c>
      <c r="M2282" s="2">
        <f>HYPERLINK("https://ru.wikipedia.org/w/index.php?search=%D0%A2%D0%B5%D0%B0%D1%82%D1%80%20%D0%98.%D0%A1.%20%D0%A2%D1%83%D1%80%D0%B3%D0%B5%D0%BD%D0%B5%D0%B2%D0%B0%201986%20%D1%84%D0%B8%D0%BB%D1%8C%D0%BC","искать")</f>
        <v/>
      </c>
      <c r="N2282" s="3" t="n"/>
      <c r="O2282" s="2" t="n"/>
      <c r="P2282" s="2" t="n"/>
    </row>
    <row r="2283">
      <c r="A2283" s="2" t="n">
        <v>2282</v>
      </c>
      <c r="B2283" s="2" t="inlineStr">
        <is>
          <t>не сюжет</t>
        </is>
      </c>
      <c r="C2283" s="2" t="n">
        <v>13773</v>
      </c>
      <c r="D2283" s="3" t="inlineStr">
        <is>
          <t>Мук-скороход</t>
        </is>
      </c>
      <c r="E2283" s="2" t="n">
        <v>1975</v>
      </c>
      <c r="F2283" s="2" t="inlineStr">
        <is>
          <t>мультфильм</t>
        </is>
      </c>
      <c r="G2283" s="2" t="inlineStr">
        <is>
          <t>ЭКРАН</t>
        </is>
      </c>
      <c r="H2283" s="2" t="n">
        <v>113</v>
      </c>
      <c r="I2283" s="2" t="inlineStr"/>
      <c r="J2283" s="2" t="inlineStr">
        <is>
          <t>да</t>
        </is>
      </c>
      <c r="K2283" s="3" t="inlineStr">
        <is>
          <t>По мотивам сказки В.Гауфа "Маленький Мук""— В желтой футболке, зеленых трусах, на первой дорожке - сам падишах! "</t>
        </is>
      </c>
      <c r="L2283" s="2" t="inlineStr">
        <is>
          <t>2026-10_мультфильмы_список_владельца.xlsx; https://animator.ru/db/?p=show_film&amp;fid=5166</t>
        </is>
      </c>
      <c r="M2283" s="2">
        <f>HYPERLINK("https://ru.wikipedia.org/w/index.php?search=%D0%9C%D1%83%D0%BA-%D1%81%D0%BA%D0%BE%D1%80%D0%BE%D1%85%D0%BE%D0%B4%201975%20%D1%84%D0%B8%D0%BB%D1%8C%D0%BC","искать")</f>
        <v/>
      </c>
      <c r="N2283" s="3" t="n"/>
      <c r="O2283" s="2" t="n"/>
      <c r="P2283" s="2" t="n"/>
    </row>
    <row r="2284">
      <c r="A2284" s="2" t="n">
        <v>2283</v>
      </c>
      <c r="B2284" s="2" t="inlineStr">
        <is>
          <t>не сюжет</t>
        </is>
      </c>
      <c r="C2284" s="2" t="n">
        <v>13777</v>
      </c>
      <c r="D2284" s="3" t="inlineStr">
        <is>
          <t>Найда</t>
        </is>
      </c>
      <c r="E2284" s="2" t="n">
        <v>1984</v>
      </c>
      <c r="F2284" s="2" t="inlineStr">
        <is>
          <t>мультфильм</t>
        </is>
      </c>
      <c r="G2284" s="2" t="inlineStr">
        <is>
          <t>ЭКРАН</t>
        </is>
      </c>
      <c r="H2284" s="2" t="n">
        <v>113</v>
      </c>
      <c r="I2284" s="2" t="inlineStr"/>
      <c r="J2284" s="2" t="inlineStr">
        <is>
          <t>да</t>
        </is>
      </c>
      <c r="K2284" s="3" t="inlineStr">
        <is>
          <t>Об ответственности за "братьев меньших", о том, что нельзя бросать своих маленьких четвероногих друзей. Для детей</t>
        </is>
      </c>
      <c r="L2284" s="2" t="inlineStr">
        <is>
          <t>https://animator.ru/db/?p=show_film&amp;fid=5170</t>
        </is>
      </c>
      <c r="M2284" s="2">
        <f>HYPERLINK("https://ru.wikipedia.org/w/index.php?search=%D0%9D%D0%B0%D0%B9%D0%B4%D0%B0%201984%20%D1%84%D0%B8%D0%BB%D1%8C%D0%BC","искать")</f>
        <v/>
      </c>
      <c r="N2284" s="3" t="n"/>
      <c r="O2284" s="2" t="n"/>
      <c r="P2284" s="2" t="n"/>
    </row>
    <row r="2285">
      <c r="A2285" s="2" t="n">
        <v>2284</v>
      </c>
      <c r="B2285" s="2" t="inlineStr">
        <is>
          <t>не сюжет</t>
        </is>
      </c>
      <c r="C2285" s="2" t="n">
        <v>7754</v>
      </c>
      <c r="D2285" s="3" t="inlineStr">
        <is>
          <t>Корни травы</t>
        </is>
      </c>
      <c r="E2285" s="2" t="n">
        <v>1988</v>
      </c>
      <c r="F2285" s="2" t="inlineStr">
        <is>
          <t>телефильм</t>
        </is>
      </c>
      <c r="G2285" s="2" t="n"/>
      <c r="H2285" s="2" t="n">
        <v>114</v>
      </c>
      <c r="I2285" s="2" t="inlineStr"/>
      <c r="J2285" s="2" t="inlineStr">
        <is>
          <t>да</t>
        </is>
      </c>
      <c r="K2285" s="3" t="inlineStr">
        <is>
          <t>По мотивам одноименного произведения литовской писательницы Видманте Ясукайтите о судьбах женщин в конце XIX века.</t>
        </is>
      </c>
      <c r="L2285" s="2" t="inlineStr">
        <is>
          <t>Кино_СССР сводный каталог.xlsx: список телефильмов</t>
        </is>
      </c>
      <c r="M2285" s="2">
        <f>HYPERLINK("https://ru.wikipedia.org/w/index.php?search=%D0%9A%D0%BE%D1%80%D0%BD%D0%B8%20%D1%82%D1%80%D0%B0%D0%B2%D1%8B%201988%20%D1%84%D0%B8%D0%BB%D1%8C%D0%BC","искать")</f>
        <v/>
      </c>
      <c r="N2285" s="3" t="n"/>
      <c r="O2285" s="2" t="n"/>
      <c r="P2285" s="2" t="n"/>
    </row>
    <row r="2286">
      <c r="A2286" s="2" t="n">
        <v>2285</v>
      </c>
      <c r="B2286" s="2" t="inlineStr">
        <is>
          <t>не сюжет</t>
        </is>
      </c>
      <c r="C2286" s="2" t="n">
        <v>10227</v>
      </c>
      <c r="D2286" s="3" t="inlineStr">
        <is>
          <t>Астронавты</t>
        </is>
      </c>
      <c r="E2286" s="2" t="n">
        <v>1968</v>
      </c>
      <c r="F2286" s="2" t="inlineStr">
        <is>
          <t>фильм-спектакль</t>
        </is>
      </c>
      <c r="G2286" s="2" t="inlineStr">
        <is>
          <t>Центральное телевидение</t>
        </is>
      </c>
      <c r="H2286" s="2" t="n">
        <v>114</v>
      </c>
      <c r="I2286" s="2" t="inlineStr"/>
      <c r="J2286" s="2" t="inlineStr">
        <is>
          <t>да</t>
        </is>
      </c>
      <c r="K2286" s="3" t="inlineStr">
        <is>
          <t>Телеспектакль состоит из фантастических рассказов В.Журавлевой "Астронавты" и Г.Альтова "Полигон "Звездная река"".</t>
        </is>
      </c>
      <c r="L2286" s="2" t="inlineStr">
        <is>
          <t>https://www.kino-teatr.ru/teatr/movie/136480/annot/</t>
        </is>
      </c>
      <c r="M2286" s="2">
        <f>HYPERLINK("https://ru.wikipedia.org/w/index.php?search=%D0%90%D1%81%D1%82%D1%80%D0%BE%D0%BD%D0%B0%D0%B2%D1%82%D1%8B%201968%20%D1%84%D0%B8%D0%BB%D1%8C%D0%BC","искать")</f>
        <v/>
      </c>
      <c r="N2286" s="3" t="n"/>
      <c r="O2286" s="2" t="n"/>
      <c r="P2286" s="2" t="n"/>
    </row>
    <row r="2287">
      <c r="A2287" s="2" t="n">
        <v>2286</v>
      </c>
      <c r="B2287" s="2" t="inlineStr">
        <is>
          <t>не сюжет</t>
        </is>
      </c>
      <c r="C2287" s="2" t="n">
        <v>10327</v>
      </c>
      <c r="D2287" s="3" t="inlineStr">
        <is>
          <t>С первого взгляда</t>
        </is>
      </c>
      <c r="E2287" s="2" t="n">
        <v>1969</v>
      </c>
      <c r="F2287" s="2" t="inlineStr">
        <is>
          <t>фильм-спектакль</t>
        </is>
      </c>
      <c r="G2287" s="2" t="inlineStr">
        <is>
          <t>Центральное телевидение</t>
        </is>
      </c>
      <c r="H2287" s="2" t="n">
        <v>114</v>
      </c>
      <c r="I2287" s="2" t="inlineStr"/>
      <c r="J2287" s="2" t="inlineStr">
        <is>
          <t>да</t>
        </is>
      </c>
      <c r="K2287" s="3" t="inlineStr">
        <is>
          <t>Телеспектакль в жанре ревю-балет поставлен по песням из музыкальной комедии Виктора Купревича "С первого взгляда".</t>
        </is>
      </c>
      <c r="L2287" s="2" t="inlineStr">
        <is>
          <t>https://www.kino-teatr.ru/teatr/movie/107846/annot/</t>
        </is>
      </c>
      <c r="M2287" s="2">
        <f>HYPERLINK("https://ru.wikipedia.org/w/index.php?search=%D0%A1%20%D0%BF%D0%B5%D1%80%D0%B2%D0%BE%D0%B3%D0%BE%20%D0%B2%D0%B7%D0%B3%D0%BB%D1%8F%D0%B4%D0%B0%201969%20%D1%84%D0%B8%D0%BB%D1%8C%D0%BC","искать")</f>
        <v/>
      </c>
      <c r="N2287" s="3" t="n"/>
      <c r="O2287" s="2" t="n"/>
      <c r="P2287" s="2" t="n"/>
    </row>
    <row r="2288">
      <c r="A2288" s="2" t="n">
        <v>2287</v>
      </c>
      <c r="B2288" s="2" t="inlineStr">
        <is>
          <t>не сюжет</t>
        </is>
      </c>
      <c r="C2288" s="2" t="n">
        <v>11471</v>
      </c>
      <c r="D2288" s="3" t="inlineStr">
        <is>
          <t>Калейдоскоп-68. Велосипедист</t>
        </is>
      </c>
      <c r="E2288" s="2" t="n">
        <v>1968</v>
      </c>
      <c r="F2288" s="2" t="inlineStr">
        <is>
          <t>мультфильм</t>
        </is>
      </c>
      <c r="G2288" s="2" t="inlineStr">
        <is>
          <t>Союзмультфильм</t>
        </is>
      </c>
      <c r="H2288" s="2" t="n">
        <v>114</v>
      </c>
      <c r="I2288" s="2" t="inlineStr"/>
      <c r="J2288" s="2" t="inlineStr">
        <is>
          <t>да</t>
        </is>
      </c>
      <c r="K2288" s="3" t="inlineStr">
        <is>
          <t>Для взрослых. Притча о том, как пристрастие к современной машинной цивилизации губит человека. На музыку Вивальди.</t>
        </is>
      </c>
      <c r="L2288" s="2" t="inlineStr">
        <is>
          <t>https://animator.ru/db/?p=show_film&amp;fid=2242</t>
        </is>
      </c>
      <c r="M2288" s="2">
        <f>HYPERLINK("https://ru.wikipedia.org/w/index.php?search=%D0%9A%D0%B0%D0%BB%D0%B5%D0%B9%D0%B4%D0%BE%D1%81%D0%BA%D0%BE%D0%BF-68.%20%D0%92%D0%B5%D0%BB%D0%BE%D1%81%D0%B8%D0%BF%D0%B5%D0%B4%D0%B8%D1%81%D1%82%201968%20%D1%84%D0%B8%D0%BB%D1%8C%D0%BC","искать")</f>
        <v/>
      </c>
      <c r="N2288" s="3" t="n"/>
      <c r="O2288" s="2" t="n"/>
      <c r="P2288" s="2" t="n"/>
    </row>
    <row r="2289">
      <c r="A2289" s="2" t="n">
        <v>2288</v>
      </c>
      <c r="B2289" s="2" t="inlineStr">
        <is>
          <t>не сюжет</t>
        </is>
      </c>
      <c r="C2289" s="2" t="n">
        <v>12234</v>
      </c>
      <c r="D2289" s="3" t="inlineStr">
        <is>
          <t>Веселая карусель n 19. Загадка</t>
        </is>
      </c>
      <c r="E2289" s="2" t="n">
        <v>1988</v>
      </c>
      <c r="F2289" s="2" t="inlineStr">
        <is>
          <t>мультфильм</t>
        </is>
      </c>
      <c r="G2289" s="2" t="inlineStr">
        <is>
          <t>Союзмультфильм</t>
        </is>
      </c>
      <c r="H2289" s="2" t="n">
        <v>114</v>
      </c>
      <c r="I2289" s="2" t="inlineStr"/>
      <c r="J2289" s="2" t="inlineStr">
        <is>
          <t>да</t>
        </is>
      </c>
      <c r="K2289" s="3" t="inlineStr">
        <is>
          <t>Сюжет из альманаха «ВЕСЕЛАЯ КАРУСЕЛЬ N 19»
В сюжете предстоит разгадать загадку-шутку.
Общая длина выпуска - 295 м</t>
        </is>
      </c>
      <c r="L2289" s="2" t="inlineStr">
        <is>
          <t>https://animator.ru/db/?p=show_film&amp;fid=3351</t>
        </is>
      </c>
      <c r="M2289" s="2">
        <f>HYPERLINK("https://ru.wikipedia.org/w/index.php?search=%D0%92%D0%B5%D1%81%D0%B5%D0%BB%D0%B0%D1%8F%20%D0%BA%D0%B0%D1%80%D1%83%D1%81%D0%B5%D0%BB%D1%8C%20n%2019.%20%D0%97%D0%B0%D0%B3%D0%B0%D0%B4%D0%BA%D0%B0%201988%20%D1%84%D0%B8%D0%BB%D1%8C%D0%BC","искать")</f>
        <v/>
      </c>
      <c r="N2289" s="3" t="n"/>
      <c r="O2289" s="2" t="n"/>
      <c r="P2289" s="2" t="n"/>
    </row>
    <row r="2290">
      <c r="A2290" s="2" t="n">
        <v>2289</v>
      </c>
      <c r="B2290" s="2" t="inlineStr">
        <is>
          <t>не сюжет</t>
        </is>
      </c>
      <c r="C2290" s="2" t="n">
        <v>12678</v>
      </c>
      <c r="D2290" s="3" t="inlineStr">
        <is>
          <t>Лафертовская маковница</t>
        </is>
      </c>
      <c r="E2290" s="2" t="n">
        <v>1986</v>
      </c>
      <c r="F2290" s="2" t="inlineStr">
        <is>
          <t>мультфильм</t>
        </is>
      </c>
      <c r="G2290" s="2" t="inlineStr">
        <is>
          <t>БЕЛАРУСЬФИЛЬМ НАЦИОНАЛЬНАЯ КИНОСТУДИЯ - ГП</t>
        </is>
      </c>
      <c r="H2290" s="2" t="n">
        <v>114</v>
      </c>
      <c r="I2290" s="2" t="inlineStr"/>
      <c r="J2290" s="2" t="inlineStr">
        <is>
          <t>да</t>
        </is>
      </c>
      <c r="K2290" s="3" t="inlineStr">
        <is>
          <t>По мотивам повести А.Погорельского.
Исполнено в оригинальной технике движения песка. Главный приз, Анесси, Франция</t>
        </is>
      </c>
      <c r="L2290" s="2" t="inlineStr">
        <is>
          <t>https://animator.ru/db/?p=show_film&amp;fid=3873</t>
        </is>
      </c>
      <c r="M2290" s="2">
        <f>HYPERLINK("https://ru.wikipedia.org/w/index.php?search=%D0%9B%D0%B0%D1%84%D0%B5%D1%80%D1%82%D0%BE%D0%B2%D1%81%D0%BA%D0%B0%D1%8F%20%D0%BC%D0%B0%D0%BA%D0%BE%D0%B2%D0%BD%D0%B8%D1%86%D0%B0%201986%20%D1%84%D0%B8%D0%BB%D1%8C%D0%BC","искать")</f>
        <v/>
      </c>
      <c r="N2290" s="3" t="n"/>
      <c r="O2290" s="2" t="n"/>
      <c r="P2290" s="2" t="n"/>
    </row>
    <row r="2291">
      <c r="A2291" s="2" t="n">
        <v>2290</v>
      </c>
      <c r="B2291" s="2" t="inlineStr">
        <is>
          <t>не сюжет</t>
        </is>
      </c>
      <c r="C2291" s="2" t="n">
        <v>8024</v>
      </c>
      <c r="D2291" s="3" t="inlineStr">
        <is>
          <t>Объективные обстоятельства</t>
        </is>
      </c>
      <c r="E2291" s="2" t="n">
        <v>1988</v>
      </c>
      <c r="F2291" s="2" t="inlineStr">
        <is>
          <t>телефильм</t>
        </is>
      </c>
      <c r="G2291" s="2" t="n"/>
      <c r="H2291" s="2" t="n">
        <v>115</v>
      </c>
      <c r="I2291" s="2" t="inlineStr"/>
      <c r="J2291" s="2" t="inlineStr">
        <is>
          <t>да</t>
        </is>
      </c>
      <c r="K2291" s="3" t="inlineStr">
        <is>
          <t>Телевизионный фильм по одноименной пьесе Александра Борина о проблемах теплоснабжения в одном из небольших городов.</t>
        </is>
      </c>
      <c r="L2291" s="2" t="inlineStr">
        <is>
          <t>Кино_СССР сводный каталог.xlsx: список телефильмов</t>
        </is>
      </c>
      <c r="M2291" s="2">
        <f>HYPERLINK("https://ru.wikipedia.org/w/index.php?search=%D0%9E%D0%B1%D1%8A%D0%B5%D0%BA%D1%82%D0%B8%D0%B2%D0%BD%D1%8B%D0%B5%20%D0%BE%D0%B1%D1%81%D1%82%D0%BE%D1%8F%D1%82%D0%B5%D0%BB%D1%8C%D1%81%D1%82%D0%B2%D0%B0%201988%20%D1%84%D0%B8%D0%BB%D1%8C%D0%BC","искать")</f>
        <v/>
      </c>
      <c r="N2291" s="3" t="n"/>
      <c r="O2291" s="2" t="n"/>
      <c r="P2291" s="2" t="n"/>
    </row>
    <row r="2292">
      <c r="A2292" s="2" t="n">
        <v>2291</v>
      </c>
      <c r="B2292" s="2" t="inlineStr">
        <is>
          <t>не сюжет</t>
        </is>
      </c>
      <c r="C2292" s="2" t="n">
        <v>10842</v>
      </c>
      <c r="D2292" s="3" t="inlineStr">
        <is>
          <t>Дон Карлос</t>
        </is>
      </c>
      <c r="E2292" s="2" t="n">
        <v>1980</v>
      </c>
      <c r="F2292" s="2" t="inlineStr">
        <is>
          <t>фильм-спектакль</t>
        </is>
      </c>
      <c r="G2292" s="2" t="inlineStr">
        <is>
          <t>ТО "Экран"</t>
        </is>
      </c>
      <c r="H2292" s="2" t="n">
        <v>115</v>
      </c>
      <c r="I2292" s="2" t="inlineStr"/>
      <c r="J2292" s="2" t="inlineStr">
        <is>
          <t>да</t>
        </is>
      </c>
      <c r="K2292" s="3" t="inlineStr">
        <is>
          <t>Фильм-спектакль по одноименной драме Ф.Шиллера в постановке Государственного академического театра имени Моссовета.</t>
        </is>
      </c>
      <c r="L2292" s="2" t="inlineStr">
        <is>
          <t>https://www.kino-teatr.ru/teatr/movie/79963/annot/</t>
        </is>
      </c>
      <c r="M2292" s="2">
        <f>HYPERLINK("https://ru.wikipedia.org/w/index.php?search=%D0%94%D0%BE%D0%BD%20%D0%9A%D0%B0%D1%80%D0%BB%D0%BE%D1%81%201980%20%D1%84%D0%B8%D0%BB%D1%8C%D0%BC","искать")</f>
        <v/>
      </c>
      <c r="N2292" s="3" t="n"/>
      <c r="O2292" s="2" t="n"/>
      <c r="P2292" s="2" t="n"/>
    </row>
    <row r="2293">
      <c r="A2293" s="2" t="n">
        <v>2292</v>
      </c>
      <c r="B2293" s="2" t="inlineStr">
        <is>
          <t>не сюжет</t>
        </is>
      </c>
      <c r="C2293" s="2" t="n">
        <v>10858</v>
      </c>
      <c r="D2293" s="3" t="inlineStr">
        <is>
          <t>Перед ужином</t>
        </is>
      </c>
      <c r="E2293" s="2" t="n">
        <v>1980</v>
      </c>
      <c r="F2293" s="2" t="inlineStr">
        <is>
          <t>фильм-спектакль</t>
        </is>
      </c>
      <c r="G2293" s="2" t="inlineStr">
        <is>
          <t>Главная редакция литературно-драматических программ ЦТ</t>
        </is>
      </c>
      <c r="H2293" s="2" t="n">
        <v>115</v>
      </c>
      <c r="I2293" s="2" t="inlineStr"/>
      <c r="J2293" s="2" t="inlineStr">
        <is>
          <t>да</t>
        </is>
      </c>
      <c r="K2293" s="3" t="inlineStr">
        <is>
          <t>Телеэкранизация одноименной пьесы Виктора Розова.Один день из общественной и личной жизни главного инженера завода.</t>
        </is>
      </c>
      <c r="L2293" s="2" t="inlineStr">
        <is>
          <t>https://www.kino-teatr.ru/teatr/movie/13854/annot/</t>
        </is>
      </c>
      <c r="M2293" s="2">
        <f>HYPERLINK("https://ru.wikipedia.org/w/index.php?search=%D0%9F%D0%B5%D1%80%D0%B5%D0%B4%20%D1%83%D0%B6%D0%B8%D0%BD%D0%BE%D0%BC%201980%20%D1%84%D0%B8%D0%BB%D1%8C%D0%BC","искать")</f>
        <v/>
      </c>
      <c r="N2293" s="3" t="n"/>
      <c r="O2293" s="2" t="n"/>
      <c r="P2293" s="2" t="n"/>
    </row>
    <row r="2294">
      <c r="A2294" s="2" t="n">
        <v>2293</v>
      </c>
      <c r="B2294" s="2" t="inlineStr">
        <is>
          <t>не сюжет</t>
        </is>
      </c>
      <c r="C2294" s="2" t="n">
        <v>11819</v>
      </c>
      <c r="D2294" s="3" t="inlineStr">
        <is>
          <t>Чудеса в решете</t>
        </is>
      </c>
      <c r="E2294" s="2" t="n">
        <v>1978</v>
      </c>
      <c r="F2294" s="2" t="inlineStr">
        <is>
          <t>мультфильм</t>
        </is>
      </c>
      <c r="G2294" s="2" t="inlineStr">
        <is>
          <t>Союзмультфильм</t>
        </is>
      </c>
      <c r="H2294" s="2" t="n">
        <v>115</v>
      </c>
      <c r="I2294" s="2" t="inlineStr"/>
      <c r="J2294" s="2" t="inlineStr">
        <is>
          <t>да</t>
        </is>
      </c>
      <c r="K2294" s="3" t="inlineStr">
        <is>
          <t>По детским английским стихам в переводе Маршака.Музыка в исполнении вокально-инструментального ансамбля "Мадригал".</t>
        </is>
      </c>
      <c r="L2294" s="2" t="inlineStr">
        <is>
          <t>2026-10_мультфильмы_список_владельца.xlsx; https://animator.ru/db/?p=show_film&amp;fid=2734</t>
        </is>
      </c>
      <c r="M2294" s="2">
        <f>HYPERLINK("https://ru.wikipedia.org/w/index.php?search=%D0%A7%D1%83%D0%B4%D0%B5%D1%81%D0%B0%20%D0%B2%20%D1%80%D0%B5%D1%88%D0%B5%D1%82%D0%B5%201978%20%D1%84%D0%B8%D0%BB%D1%8C%D0%BC","искать")</f>
        <v/>
      </c>
      <c r="N2294" s="3" t="n"/>
      <c r="O2294" s="2" t="n"/>
      <c r="P2294" s="2" t="n"/>
    </row>
    <row r="2295">
      <c r="A2295" s="2" t="n">
        <v>2294</v>
      </c>
      <c r="B2295" s="2" t="inlineStr">
        <is>
          <t>не сюжет</t>
        </is>
      </c>
      <c r="C2295" s="2" t="n">
        <v>7523</v>
      </c>
      <c r="D2295" s="3" t="inlineStr">
        <is>
          <t>До свидания, лето...</t>
        </is>
      </c>
      <c r="E2295" s="2" t="n">
        <v>1980</v>
      </c>
      <c r="F2295" s="2" t="inlineStr">
        <is>
          <t>телефильм</t>
        </is>
      </c>
      <c r="G2295" s="2" t="n"/>
      <c r="H2295" s="2" t="n">
        <v>116</v>
      </c>
      <c r="I2295" s="2" t="inlineStr"/>
      <c r="J2295" s="2" t="inlineStr">
        <is>
          <t>да</t>
        </is>
      </c>
      <c r="K2295" s="3" t="inlineStr">
        <is>
          <t>Учебно-видовой телефильм, производства Гостелерадио СССР и ВВС ТV для англоязычных зрителей, изучающих русский язык.</t>
        </is>
      </c>
      <c r="L2295" s="2" t="inlineStr">
        <is>
          <t>Кино_СССР сводный каталог.xlsx: список телефильмов</t>
        </is>
      </c>
      <c r="M2295" s="2">
        <f>HYPERLINK("https://ru.wikipedia.org/w/index.php?search=%D0%94%D0%BE%20%D1%81%D0%B2%D0%B8%D0%B4%D0%B0%D0%BD%D0%B8%D1%8F%2C%20%D0%BB%D0%B5%D1%82%D0%BE...%201980%20%D1%84%D0%B8%D0%BB%D1%8C%D0%BC","искать")</f>
        <v/>
      </c>
      <c r="N2295" s="3" t="n"/>
      <c r="O2295" s="2" t="n"/>
      <c r="P2295" s="2" t="n"/>
    </row>
    <row r="2296">
      <c r="A2296" s="2" t="n">
        <v>2295</v>
      </c>
      <c r="B2296" s="2" t="inlineStr">
        <is>
          <t>не сюжет</t>
        </is>
      </c>
      <c r="C2296" s="2" t="n">
        <v>7909</v>
      </c>
      <c r="D2296" s="3" t="inlineStr">
        <is>
          <t>Мужчина в доме</t>
        </is>
      </c>
      <c r="E2296" s="2" t="n">
        <v>1978</v>
      </c>
      <c r="F2296" s="2" t="inlineStr">
        <is>
          <t>телефильм</t>
        </is>
      </c>
      <c r="G2296" s="2" t="n"/>
      <c r="H2296" s="2" t="n">
        <v>116</v>
      </c>
      <c r="I2296" s="2" t="inlineStr"/>
      <c r="J2296" s="2" t="inlineStr">
        <is>
          <t>да</t>
        </is>
      </c>
      <c r="K2296" s="3" t="inlineStr">
        <is>
          <t>Телевизионный фильм. Повествует о формировании молодого человека, как личность на фоне социальных проблем в деревне.</t>
        </is>
      </c>
      <c r="L2296" s="2" t="inlineStr">
        <is>
          <t>Кино_СССР сводный каталог.xlsx: список телефильмов</t>
        </is>
      </c>
      <c r="M2296" s="2">
        <f>HYPERLINK("https://ru.wikipedia.org/w/index.php?search=%D0%9C%D1%83%D0%B6%D1%87%D0%B8%D0%BD%D0%B0%20%D0%B2%20%D0%B4%D0%BE%D0%BC%D0%B5%201978%20%D1%84%D0%B8%D0%BB%D1%8C%D0%BC","искать")</f>
        <v/>
      </c>
      <c r="N2296" s="3" t="n"/>
      <c r="O2296" s="2" t="n"/>
      <c r="P2296" s="2" t="n"/>
    </row>
    <row r="2297">
      <c r="A2297" s="2" t="n">
        <v>2296</v>
      </c>
      <c r="B2297" s="2" t="inlineStr">
        <is>
          <t>не сюжет</t>
        </is>
      </c>
      <c r="C2297" s="2" t="n">
        <v>8437</v>
      </c>
      <c r="D2297" s="3" t="inlineStr">
        <is>
          <t>Такая короткая долгая жизнь</t>
        </is>
      </c>
      <c r="E2297" s="2" t="n">
        <v>1975</v>
      </c>
      <c r="F2297" s="2" t="inlineStr">
        <is>
          <t>телефильм</t>
        </is>
      </c>
      <c r="G2297" s="2" t="n"/>
      <c r="H2297" s="2" t="n">
        <v>116</v>
      </c>
      <c r="I2297" s="2" t="inlineStr"/>
      <c r="J2297" s="2" t="inlineStr">
        <is>
          <t>да</t>
        </is>
      </c>
      <c r="K2297" s="3" t="inlineStr">
        <is>
          <t>По роману Иосифа Ольшанского. История нескольких семей, начиная с предвоенных лет и заканчивая 60-ми годами ХХ века.</t>
        </is>
      </c>
      <c r="L2297" s="2" t="inlineStr">
        <is>
          <t>Кино_СССР сводный каталог.xlsx: список телефильмов</t>
        </is>
      </c>
      <c r="M2297" s="2">
        <f>HYPERLINK("https://ru.wikipedia.org/w/index.php?search=%D0%A2%D0%B0%D0%BA%D0%B0%D1%8F%20%D0%BA%D0%BE%D1%80%D0%BE%D1%82%D0%BA%D0%B0%D1%8F%20%D0%B4%D0%BE%D0%BB%D0%B3%D0%B0%D1%8F%20%D0%B6%D0%B8%D0%B7%D0%BD%D1%8C%201975%20%D1%84%D0%B8%D0%BB%D1%8C%D0%BC","искать")</f>
        <v/>
      </c>
      <c r="N2297" s="3" t="n"/>
      <c r="O2297" s="2" t="n"/>
      <c r="P2297" s="2" t="n"/>
    </row>
    <row r="2298">
      <c r="A2298" s="2" t="n">
        <v>2297</v>
      </c>
      <c r="B2298" s="2" t="inlineStr">
        <is>
          <t>не сюжет</t>
        </is>
      </c>
      <c r="C2298" s="2" t="n">
        <v>8724</v>
      </c>
      <c r="D2298" s="3" t="inlineStr">
        <is>
          <t>Жизнь как она есть</t>
        </is>
      </c>
      <c r="E2298" s="2" t="n">
        <v>1925</v>
      </c>
      <c r="F2298" s="2" t="inlineStr">
        <is>
          <t>кинофильм</t>
        </is>
      </c>
      <c r="G2298" s="2" t="n"/>
      <c r="H2298" s="2" t="n">
        <v>116</v>
      </c>
      <c r="I2298" s="2" t="inlineStr"/>
      <c r="J2298" s="2" t="inlineStr">
        <is>
          <t>да</t>
        </is>
      </c>
      <c r="K2298" s="3" t="inlineStr">
        <is>
          <t>Научно-художественный фильм о борьбе с туберкулёзом. Картина снята в естественно обстановке без актёров и декораций.</t>
        </is>
      </c>
      <c r="L2298" s="2" t="inlineStr">
        <is>
          <t>Кино_СССР сводный каталог.xlsx: список фильмов (доп.)</t>
        </is>
      </c>
      <c r="M2298" s="2">
        <f>HYPERLINK("https://ru.wikipedia.org/w/index.php?search=%D0%96%D0%B8%D0%B7%D0%BD%D1%8C%20%D0%BA%D0%B0%D0%BA%20%D0%BE%D0%BD%D0%B0%20%D0%B5%D1%81%D1%82%D1%8C%201925%20%D1%84%D0%B8%D0%BB%D1%8C%D0%BC","искать")</f>
        <v/>
      </c>
      <c r="N2298" s="3" t="n"/>
      <c r="O2298" s="2" t="n"/>
      <c r="P2298" s="2" t="n"/>
    </row>
    <row r="2299">
      <c r="A2299" s="2" t="n">
        <v>2298</v>
      </c>
      <c r="B2299" s="2" t="inlineStr">
        <is>
          <t>не сюжет</t>
        </is>
      </c>
      <c r="C2299" s="2" t="n">
        <v>10426</v>
      </c>
      <c r="D2299" s="3" t="inlineStr">
        <is>
          <t>Френсис Дрейк</t>
        </is>
      </c>
      <c r="E2299" s="2" t="n">
        <v>1971</v>
      </c>
      <c r="F2299" s="2" t="inlineStr">
        <is>
          <t>фильм-спектакль</t>
        </is>
      </c>
      <c r="G2299" s="2" t="inlineStr">
        <is>
          <t>Центральное телевидение СССР</t>
        </is>
      </c>
      <c r="H2299" s="2" t="n">
        <v>116</v>
      </c>
      <c r="I2299" s="2" t="inlineStr"/>
      <c r="J2299" s="2" t="inlineStr">
        <is>
          <t>да</t>
        </is>
      </c>
      <c r="K2299" s="3" t="inlineStr">
        <is>
          <t>О борьбе Англии и Испании за морское владычество. Главный герой телеспектакля - английский флибустьер Френсис Дрейк.</t>
        </is>
      </c>
      <c r="L2299" s="2" t="inlineStr">
        <is>
          <t>https://www.kino-teatr.ru/teatr/movie/104166/annot/</t>
        </is>
      </c>
      <c r="M2299" s="2">
        <f>HYPERLINK("https://ru.wikipedia.org/w/index.php?search=%D0%A4%D1%80%D0%B5%D0%BD%D1%81%D0%B8%D1%81%20%D0%94%D1%80%D0%B5%D0%B9%D0%BA%201971%20%D1%84%D0%B8%D0%BB%D1%8C%D0%BC","искать")</f>
        <v/>
      </c>
      <c r="N2299" s="3" t="n"/>
      <c r="O2299" s="2" t="n"/>
      <c r="P2299" s="2" t="n"/>
    </row>
    <row r="2300">
      <c r="A2300" s="2" t="n">
        <v>2299</v>
      </c>
      <c r="B2300" s="2" t="inlineStr">
        <is>
          <t>не сюжет</t>
        </is>
      </c>
      <c r="C2300" s="2" t="n">
        <v>10813</v>
      </c>
      <c r="D2300" s="3" t="inlineStr">
        <is>
          <t>Мэри Поппинс</t>
        </is>
      </c>
      <c r="E2300" s="2" t="n">
        <v>1979</v>
      </c>
      <c r="F2300" s="2" t="inlineStr">
        <is>
          <t>фильм-спектакль</t>
        </is>
      </c>
      <c r="G2300" s="2" t="inlineStr">
        <is>
          <t>ТО "Экран"</t>
        </is>
      </c>
      <c r="H2300" s="2" t="n">
        <v>116</v>
      </c>
      <c r="I2300" s="2" t="inlineStr"/>
      <c r="J2300" s="2" t="inlineStr">
        <is>
          <t>да</t>
        </is>
      </c>
      <c r="K2300" s="3" t="inlineStr">
        <is>
          <t>По мотивам сказок П.Трэверс (авторы пьесы Б.Заходер и В.Климовский) в постановке Московского театра имени Ермоловой.</t>
        </is>
      </c>
      <c r="L2300" s="2" t="inlineStr">
        <is>
          <t>https://www.kino-teatr.ru/teatr/movie/93013/annot/</t>
        </is>
      </c>
      <c r="M2300" s="2">
        <f>HYPERLINK("https://ru.wikipedia.org/w/index.php?search=%D0%9C%D1%8D%D1%80%D0%B8%20%D0%9F%D0%BE%D0%BF%D0%BF%D0%B8%D0%BD%D1%81%201979%20%D1%84%D0%B8%D0%BB%D1%8C%D0%BC","искать")</f>
        <v/>
      </c>
      <c r="N2300" s="3" t="n"/>
      <c r="O2300" s="2" t="n"/>
      <c r="P2300" s="2" t="n"/>
    </row>
    <row r="2301">
      <c r="A2301" s="2" t="n">
        <v>2300</v>
      </c>
      <c r="B2301" s="2" t="inlineStr">
        <is>
          <t>не сюжет</t>
        </is>
      </c>
      <c r="C2301" s="2" t="n">
        <v>11484</v>
      </c>
      <c r="D2301" s="3" t="inlineStr">
        <is>
          <t>Ничто не забыто</t>
        </is>
      </c>
      <c r="E2301" s="2" t="n">
        <v>1968</v>
      </c>
      <c r="F2301" s="2" t="inlineStr">
        <is>
          <t>мультфильм</t>
        </is>
      </c>
      <c r="G2301" s="2" t="inlineStr">
        <is>
          <t>Союзмультфильм</t>
        </is>
      </c>
      <c r="H2301" s="2" t="n">
        <v>116</v>
      </c>
      <c r="I2301" s="2" t="inlineStr"/>
      <c r="J2301" s="2" t="inlineStr">
        <is>
          <t>да</t>
        </is>
      </c>
      <c r="K2301" s="3" t="inlineStr">
        <is>
          <t>Киноплакат, посвященный людям, отстоявшим свою Родину от фашистских захватчиков во время Великой Отечественной войны</t>
        </is>
      </c>
      <c r="L2301" s="2" t="inlineStr">
        <is>
          <t>https://gosfilmofond.ru/films/254320/</t>
        </is>
      </c>
      <c r="M2301" s="2">
        <f>HYPERLINK("https://ru.wikipedia.org/w/index.php?search=%D0%9D%D0%B8%D1%87%D1%82%D0%BE%20%D0%BD%D0%B5%20%D0%B7%D0%B0%D0%B1%D1%8B%D1%82%D0%BE%201968%20%D1%84%D0%B8%D0%BB%D1%8C%D0%BC","искать")</f>
        <v/>
      </c>
      <c r="N2301" s="3" t="n"/>
      <c r="O2301" s="2" t="n"/>
      <c r="P2301" s="2" t="n"/>
    </row>
    <row r="2302">
      <c r="A2302" s="2" t="n">
        <v>2301</v>
      </c>
      <c r="B2302" s="2" t="inlineStr">
        <is>
          <t>не сюжет</t>
        </is>
      </c>
      <c r="C2302" s="2" t="n">
        <v>11799</v>
      </c>
      <c r="D2302" s="3" t="inlineStr">
        <is>
          <t>Икар и мудрецы</t>
        </is>
      </c>
      <c r="E2302" s="2" t="n">
        <v>1976</v>
      </c>
      <c r="F2302" s="2" t="inlineStr">
        <is>
          <t>мультфильм</t>
        </is>
      </c>
      <c r="G2302" s="2" t="inlineStr">
        <is>
          <t>Союзмультфильм</t>
        </is>
      </c>
      <c r="H2302" s="2" t="n">
        <v>116</v>
      </c>
      <c r="I2302" s="2" t="inlineStr"/>
      <c r="J2302" s="2" t="inlineStr">
        <is>
          <t>да</t>
        </is>
      </c>
      <c r="K2302" s="3" t="inlineStr">
        <is>
          <t>Притча о житейской мудрости и "безумстве храбрых", которые готовы рисковать жизнью ради новых открытий. Для взрослых</t>
        </is>
      </c>
      <c r="L2302" s="2" t="inlineStr">
        <is>
          <t>https://animator.ru/db/?p=show_film&amp;fid=2713</t>
        </is>
      </c>
      <c r="M2302" s="2">
        <f>HYPERLINK("https://ru.wikipedia.org/w/index.php?search=%D0%98%D0%BA%D0%B0%D1%80%20%D0%B8%20%D0%BC%D1%83%D0%B4%D1%80%D0%B5%D1%86%D1%8B%201976%20%D1%84%D0%B8%D0%BB%D1%8C%D0%BC","искать")</f>
        <v/>
      </c>
      <c r="N2302" s="3" t="n"/>
      <c r="O2302" s="2" t="n"/>
      <c r="P2302" s="2" t="n"/>
    </row>
    <row r="2303">
      <c r="A2303" s="2" t="n">
        <v>2302</v>
      </c>
      <c r="B2303" s="2" t="inlineStr">
        <is>
          <t>не сюжет</t>
        </is>
      </c>
      <c r="C2303" s="2" t="n">
        <v>14313</v>
      </c>
      <c r="D2303" s="3" t="inlineStr">
        <is>
          <t>Восемь лепестков хризантемы</t>
        </is>
      </c>
      <c r="E2303" s="2" t="n">
        <v>1989</v>
      </c>
      <c r="F2303" s="2" t="inlineStr">
        <is>
          <t>мультфильм</t>
        </is>
      </c>
      <c r="G2303" s="2" t="inlineStr">
        <is>
          <t>АЗЕРБАЙДЖАНФИЛЬМ</t>
        </is>
      </c>
      <c r="H2303" s="2" t="n">
        <v>116</v>
      </c>
      <c r="I2303" s="2" t="inlineStr"/>
      <c r="J2303" s="2" t="inlineStr">
        <is>
          <t>да</t>
        </is>
      </c>
      <c r="K2303" s="3" t="inlineStr">
        <is>
          <t>Лирические зарисовки на мотивы японских трехстиший. В фильме использована традиционная японская музыка.Для взрослых.</t>
        </is>
      </c>
      <c r="L2303" s="2" t="inlineStr">
        <is>
          <t>2026-10_мультфильмы_список_владельца.xlsx; https://animator.ru/db/?p=show_film&amp;fid=5859</t>
        </is>
      </c>
      <c r="M2303" s="2">
        <f>HYPERLINK("https://ru.wikipedia.org/w/index.php?search=%D0%92%D0%BE%D1%81%D0%B5%D0%BC%D1%8C%20%D0%BB%D0%B5%D0%BF%D0%B5%D1%81%D1%82%D0%BA%D0%BE%D0%B2%20%D1%85%D1%80%D0%B8%D0%B7%D0%B0%D0%BD%D1%82%D0%B5%D0%BC%D1%8B%201989%20%D1%84%D0%B8%D0%BB%D1%8C%D0%BC","искать")</f>
        <v/>
      </c>
      <c r="N2303" s="3" t="n"/>
      <c r="O2303" s="2" t="n"/>
      <c r="P2303" s="2" t="n"/>
    </row>
    <row r="2304">
      <c r="A2304" s="2" t="n">
        <v>2303</v>
      </c>
      <c r="B2304" s="2" t="inlineStr">
        <is>
          <t>не сюжет</t>
        </is>
      </c>
      <c r="C2304" s="2" t="n">
        <v>7794</v>
      </c>
      <c r="D2304" s="3" t="inlineStr">
        <is>
          <t>Ленин в Швейцарии</t>
        </is>
      </c>
      <c r="E2304" s="2" t="n">
        <v>1965</v>
      </c>
      <c r="F2304" s="2" t="inlineStr">
        <is>
          <t>телефильм</t>
        </is>
      </c>
      <c r="G2304" s="2" t="n"/>
      <c r="H2304" s="2" t="n">
        <v>117</v>
      </c>
      <c r="I2304" s="2" t="inlineStr"/>
      <c r="J2304" s="2" t="inlineStr">
        <is>
          <t>да</t>
        </is>
      </c>
      <c r="K2304" s="3" t="inlineStr">
        <is>
          <t>Телефильм. Художественно - документальное повествование о пребывании Владимира Ильича Ленина в эмиграции в Швейцарии.</t>
        </is>
      </c>
      <c r="L2304" s="2" t="inlineStr">
        <is>
          <t>Кино_СССР сводный каталог.xlsx: список телефильмов</t>
        </is>
      </c>
      <c r="M2304" s="2">
        <f>HYPERLINK("https://ru.wikipedia.org/w/index.php?search=%D0%9B%D0%B5%D0%BD%D0%B8%D0%BD%20%D0%B2%20%D0%A8%D0%B2%D0%B5%D0%B9%D1%86%D0%B0%D1%80%D0%B8%D0%B8%201965%20%D1%84%D0%B8%D0%BB%D1%8C%D0%BC","искать")</f>
        <v/>
      </c>
      <c r="N2304" s="3" t="n"/>
      <c r="O2304" s="2" t="n"/>
      <c r="P2304" s="2" t="n"/>
    </row>
    <row r="2305">
      <c r="A2305" s="2" t="n">
        <v>2304</v>
      </c>
      <c r="B2305" s="2" t="inlineStr">
        <is>
          <t>не сюжет</t>
        </is>
      </c>
      <c r="C2305" s="2" t="n">
        <v>9016</v>
      </c>
      <c r="D2305" s="3" t="inlineStr">
        <is>
          <t>Родимые пятна (киноальманах)</t>
        </is>
      </c>
      <c r="E2305" s="2" t="n">
        <v>1954</v>
      </c>
      <c r="F2305" s="2" t="inlineStr">
        <is>
          <t>кинофильм</t>
        </is>
      </c>
      <c r="G2305" s="2" t="n"/>
      <c r="H2305" s="2" t="n">
        <v>117</v>
      </c>
      <c r="I2305" s="2" t="inlineStr"/>
      <c r="J2305" s="2" t="inlineStr">
        <is>
          <t>да</t>
        </is>
      </c>
      <c r="K2305" s="3" t="inlineStr">
        <is>
          <t>Альманах состоит из новелл: "Ревизоры поневоле","Я ничего не помню", "Злодейка с наклейкой" и "Подпись неразборчива".</t>
        </is>
      </c>
      <c r="L2305" s="2" t="inlineStr">
        <is>
          <t>Кино_СССР сводный каталог.xlsx: список фильмов (доп.)</t>
        </is>
      </c>
      <c r="M2305" s="2">
        <f>HYPERLINK("https://ru.wikipedia.org/w/index.php?search=%D0%A0%D0%BE%D0%B4%D0%B8%D0%BC%D1%8B%D0%B5%20%D0%BF%D1%8F%D1%82%D0%BD%D0%B0%20%28%D0%BA%D0%B8%D0%BD%D0%BE%D0%B0%D0%BB%D1%8C%D0%BC%D0%B0%D0%BD%D0%B0%D1%85%29%201954%20%D1%84%D0%B8%D0%BB%D1%8C%D0%BC","искать")</f>
        <v/>
      </c>
      <c r="N2305" s="3" t="n"/>
      <c r="O2305" s="2" t="n"/>
      <c r="P2305" s="2" t="n"/>
    </row>
    <row r="2306">
      <c r="A2306" s="2" t="n">
        <v>2305</v>
      </c>
      <c r="B2306" s="2" t="inlineStr">
        <is>
          <t>не сюжет</t>
        </is>
      </c>
      <c r="C2306" s="2" t="n">
        <v>10060</v>
      </c>
      <c r="D2306" s="3" t="inlineStr">
        <is>
          <t>Варвары. Сцены в уездном городе</t>
        </is>
      </c>
      <c r="E2306" s="2" t="n">
        <v>1953</v>
      </c>
      <c r="F2306" s="2" t="inlineStr">
        <is>
          <t>фильм-спектакль</t>
        </is>
      </c>
      <c r="G2306" s="2" t="inlineStr">
        <is>
          <t>К/ст им. Горького</t>
        </is>
      </c>
      <c r="H2306" s="2" t="n">
        <v>117</v>
      </c>
      <c r="I2306" s="2" t="inlineStr"/>
      <c r="J2306" s="2" t="inlineStr">
        <is>
          <t>да</t>
        </is>
      </c>
      <c r="K2306" s="3" t="inlineStr">
        <is>
          <t>Фильм-спектакль по одноименной пьесе М.Горького.
Спектакль Малого театра СССР. Режиссер спектакля — Константин Зубов.</t>
        </is>
      </c>
      <c r="L2306" s="2" t="inlineStr">
        <is>
          <t>https://www.kino-teatr.ru/teatr/movie/8821/annot/</t>
        </is>
      </c>
      <c r="M2306" s="2">
        <f>HYPERLINK("https://ru.wikipedia.org/w/index.php?search=%D0%92%D0%B0%D1%80%D0%B2%D0%B0%D1%80%D1%8B.%20%D0%A1%D1%86%D0%B5%D0%BD%D1%8B%20%D0%B2%20%D1%83%D0%B5%D0%B7%D0%B4%D0%BD%D0%BE%D0%BC%20%D0%B3%D0%BE%D1%80%D0%BE%D0%B4%D0%B5%201953%20%D1%84%D0%B8%D0%BB%D1%8C%D0%BC","искать")</f>
        <v/>
      </c>
      <c r="N2306" s="3" t="n"/>
      <c r="O2306" s="2" t="n"/>
      <c r="P2306" s="2" t="n"/>
    </row>
    <row r="2307">
      <c r="A2307" s="2" t="n">
        <v>2306</v>
      </c>
      <c r="B2307" s="2" t="inlineStr">
        <is>
          <t>не сюжет</t>
        </is>
      </c>
      <c r="C2307" s="2" t="n">
        <v>10370</v>
      </c>
      <c r="D2307" s="3" t="inlineStr">
        <is>
          <t>Сказка о четырёх близнецах</t>
        </is>
      </c>
      <c r="E2307" s="2" t="n">
        <v>1970</v>
      </c>
      <c r="F2307" s="2" t="inlineStr">
        <is>
          <t>фильм-спектакль</t>
        </is>
      </c>
      <c r="G2307" s="2" t="inlineStr">
        <is>
          <t>Ленинградское телевидение</t>
        </is>
      </c>
      <c r="H2307" s="2" t="n">
        <v>117</v>
      </c>
      <c r="I2307" s="2" t="inlineStr"/>
      <c r="J2307" s="2" t="inlineStr">
        <is>
          <t>да</t>
        </is>
      </c>
      <c r="K2307" s="3" t="inlineStr">
        <is>
          <t>По пьесе Панчо Панчева.
Ленинградский театр им. Комиссаржевской был первым в СССР, поставившим эту пьесу в 1968 году.</t>
        </is>
      </c>
      <c r="L2307" s="2" t="inlineStr">
        <is>
          <t>https://www.kino-teatr.ru/teatr/movie/137009/annot/</t>
        </is>
      </c>
      <c r="M2307" s="2">
        <f>HYPERLINK("https://ru.wikipedia.org/w/index.php?search=%D0%A1%D0%BA%D0%B0%D0%B7%D0%BA%D0%B0%20%D0%BE%20%D1%87%D0%B5%D1%82%D1%8B%D1%80%D1%91%D1%85%20%D0%B1%D0%BB%D0%B8%D0%B7%D0%BD%D0%B5%D1%86%D0%B0%D1%85%201970%20%D1%84%D0%B8%D0%BB%D1%8C%D0%BC","искать")</f>
        <v/>
      </c>
      <c r="N2307" s="3" t="n"/>
      <c r="O2307" s="2" t="n"/>
      <c r="P2307" s="2" t="n"/>
    </row>
    <row r="2308">
      <c r="A2308" s="2" t="n">
        <v>2307</v>
      </c>
      <c r="B2308" s="2" t="inlineStr">
        <is>
          <t>не сюжет</t>
        </is>
      </c>
      <c r="C2308" s="2" t="n">
        <v>10928</v>
      </c>
      <c r="D2308" s="3" t="inlineStr">
        <is>
          <t>Этот фантастический мир. Выпуск 6</t>
        </is>
      </c>
      <c r="E2308" s="2" t="n">
        <v>1981</v>
      </c>
      <c r="F2308" s="2" t="inlineStr">
        <is>
          <t>фильм-спектакль</t>
        </is>
      </c>
      <c r="G2308" s="2" t="inlineStr">
        <is>
          <t>Главная редакция программ для детей и юношества ЦТ</t>
        </is>
      </c>
      <c r="H2308" s="2" t="n">
        <v>117</v>
      </c>
      <c r="I2308" s="2" t="inlineStr"/>
      <c r="J2308" s="2" t="inlineStr">
        <is>
          <t>да</t>
        </is>
      </c>
      <c r="K2308" s="3" t="inlineStr">
        <is>
          <t>Экранизация двух произведений писателей-фантастов: "Уровень шума" Раймонда Джоунса и "Тень минувшего" Ивана Ефремова.</t>
        </is>
      </c>
      <c r="L2308" s="2" t="inlineStr">
        <is>
          <t>https://www.kino-teatr.ru/teatr/movie/16962/annot/</t>
        </is>
      </c>
      <c r="M2308" s="2">
        <f>HYPERLINK("https://ru.wikipedia.org/w/index.php?search=%D0%AD%D1%82%D0%BE%D1%82%20%D1%84%D0%B0%D0%BD%D1%82%D0%B0%D1%81%D1%82%D0%B8%D1%87%D0%B5%D1%81%D0%BA%D0%B8%D0%B9%20%D0%BC%D0%B8%D1%80.%20%D0%92%D1%8B%D0%BF%D1%83%D1%81%D0%BA%206%201981%20%D1%84%D0%B8%D0%BB%D1%8C%D0%BC","искать")</f>
        <v/>
      </c>
      <c r="N2308" s="3" t="n"/>
      <c r="O2308" s="2" t="n"/>
      <c r="P2308" s="2" t="n"/>
    </row>
    <row r="2309">
      <c r="A2309" s="2" t="n">
        <v>2308</v>
      </c>
      <c r="B2309" s="2" t="inlineStr">
        <is>
          <t>не сюжет</t>
        </is>
      </c>
      <c r="C2309" s="2" t="n">
        <v>12211</v>
      </c>
      <c r="D2309" s="3" t="inlineStr">
        <is>
          <t>Любимое мое время</t>
        </is>
      </c>
      <c r="E2309" s="2" t="n">
        <v>1987</v>
      </c>
      <c r="F2309" s="2" t="inlineStr">
        <is>
          <t>мультфильм</t>
        </is>
      </c>
      <c r="G2309" s="2" t="inlineStr">
        <is>
          <t>Союзмультфильм</t>
        </is>
      </c>
      <c r="H2309" s="2" t="n">
        <v>117</v>
      </c>
      <c r="I2309" s="2" t="inlineStr"/>
      <c r="J2309" s="2" t="inlineStr">
        <is>
          <t>да</t>
        </is>
      </c>
      <c r="K2309" s="3" t="inlineStr">
        <is>
          <t>Своеобразное поэтическое произведение мультипликационного искусства, цель которого познакомить с творчеством Пушкина.</t>
        </is>
      </c>
      <c r="L2309" s="2" t="inlineStr">
        <is>
          <t>https://animator.ru/db/?p=show_film&amp;fid=3328</t>
        </is>
      </c>
      <c r="M2309" s="2">
        <f>HYPERLINK("https://ru.wikipedia.org/w/index.php?search=%D0%9B%D1%8E%D0%B1%D0%B8%D0%BC%D0%BE%D0%B5%20%D0%BC%D0%BE%D0%B5%20%D0%B2%D1%80%D0%B5%D0%BC%D1%8F%201987%20%D1%84%D0%B8%D0%BB%D1%8C%D0%BC","искать")</f>
        <v/>
      </c>
      <c r="N2309" s="3" t="n"/>
      <c r="O2309" s="2" t="n"/>
      <c r="P2309" s="2" t="n"/>
    </row>
    <row r="2310">
      <c r="A2310" s="2" t="n">
        <v>2309</v>
      </c>
      <c r="B2310" s="2" t="inlineStr">
        <is>
          <t>не сюжет</t>
        </is>
      </c>
      <c r="C2310" s="2" t="n">
        <v>14193</v>
      </c>
      <c r="D2310" s="3" t="inlineStr">
        <is>
          <t>Фантадром 2. Соль</t>
        </is>
      </c>
      <c r="E2310" s="2" t="n">
        <v>1985</v>
      </c>
      <c r="F2310" s="2" t="inlineStr">
        <is>
          <t>мультфильм</t>
        </is>
      </c>
      <c r="G2310" s="2" t="inlineStr">
        <is>
          <t>ГОСТЕЛЕРАДИО ЛАТВ. ССР ("ТЕЛЕФИЛЬМ-РИГА")</t>
        </is>
      </c>
      <c r="H2310" s="2" t="n">
        <v>117</v>
      </c>
      <c r="I2310" s="2" t="inlineStr"/>
      <c r="J2310" s="2" t="inlineStr">
        <is>
          <t>да</t>
        </is>
      </c>
      <c r="K2310" s="3" t="inlineStr">
        <is>
          <t>Приз "Больщой Кристап" - за лучший мультипликационный фильм 1985 года. Приз "Большой Кристап" - художнику А.Рушманису</t>
        </is>
      </c>
      <c r="L2310" s="2" t="inlineStr">
        <is>
          <t>https://animator.ru/db/?p=show_film&amp;fid=5591</t>
        </is>
      </c>
      <c r="M2310" s="2">
        <f>HYPERLINK("https://ru.wikipedia.org/w/index.php?search=%D0%A4%D0%B0%D0%BD%D1%82%D0%B0%D0%B4%D1%80%D0%BE%D0%BC%202.%20%D0%A1%D0%BE%D0%BB%D1%8C%201985%20%D1%84%D0%B8%D0%BB%D1%8C%D0%BC","искать")</f>
        <v/>
      </c>
      <c r="N2310" s="3" t="n"/>
      <c r="O2310" s="2" t="n"/>
      <c r="P2310" s="2" t="n"/>
    </row>
    <row r="2311">
      <c r="A2311" s="2" t="n">
        <v>2310</v>
      </c>
      <c r="B2311" s="2" t="inlineStr">
        <is>
          <t>не сюжет</t>
        </is>
      </c>
      <c r="C2311" s="2" t="n">
        <v>14274</v>
      </c>
      <c r="D2311" s="3" t="inlineStr">
        <is>
          <t>Mister Пронька</t>
        </is>
      </c>
      <c r="E2311" s="2" t="n">
        <v>1991</v>
      </c>
      <c r="F2311" s="2" t="inlineStr">
        <is>
          <t>мультфильм</t>
        </is>
      </c>
      <c r="G2311" s="2" t="inlineStr">
        <is>
          <t>Союзмультфильм</t>
        </is>
      </c>
      <c r="H2311" s="2" t="n">
        <v>117</v>
      </c>
      <c r="I2311" s="2" t="inlineStr"/>
      <c r="J2311" s="2" t="inlineStr">
        <is>
          <t>да</t>
        </is>
      </c>
      <c r="K2311" s="3" t="inlineStr">
        <is>
          <t>По сказке Б.Шергина "Пронька Грязной". Цыганская музыка и хор А.Квик, Ал.Бузылева, Ан.Бузылева, Р.Вербицкий, Е.Сыркин</t>
        </is>
      </c>
      <c r="L2311" s="2" t="inlineStr">
        <is>
          <t>https://animator.ru/db/?p=show_film&amp;fid=5744</t>
        </is>
      </c>
      <c r="M2311" s="2">
        <f>HYPERLINK("https://ru.wikipedia.org/w/index.php?search=Mister%20%D0%9F%D1%80%D0%BE%D0%BD%D1%8C%D0%BA%D0%B0%201991%20%D1%84%D0%B8%D0%BB%D1%8C%D0%BC","искать")</f>
        <v/>
      </c>
      <c r="N2311" s="3" t="n"/>
      <c r="O2311" s="2" t="n"/>
      <c r="P2311" s="2" t="n"/>
    </row>
    <row r="2312">
      <c r="A2312" s="2" t="n">
        <v>2311</v>
      </c>
      <c r="B2312" s="2" t="inlineStr">
        <is>
          <t>не сюжет</t>
        </is>
      </c>
      <c r="C2312" s="2" t="n">
        <v>14463</v>
      </c>
      <c r="D2312" s="3" t="inlineStr">
        <is>
          <t>Коллаж</t>
        </is>
      </c>
      <c r="E2312" s="2" t="n">
        <v>1990</v>
      </c>
      <c r="F2312" s="2" t="inlineStr">
        <is>
          <t>мультфильм</t>
        </is>
      </c>
      <c r="G2312" s="2" t="n"/>
      <c r="H2312" s="2" t="n">
        <v>117</v>
      </c>
      <c r="I2312" s="2" t="inlineStr"/>
      <c r="J2312" s="2" t="inlineStr">
        <is>
          <t>да</t>
        </is>
      </c>
      <c r="K2312" s="3" t="inlineStr">
        <is>
          <t>Фильм в целом отражает тематическое, жанровое и стилистическое разнообразие продукции студии выпуска 1989-1990 годов.</t>
        </is>
      </c>
      <c r="L2312" s="2" t="inlineStr">
        <is>
          <t>https://animator.ru/db/?p=show_film&amp;fid=6723</t>
        </is>
      </c>
      <c r="M2312" s="2">
        <f>HYPERLINK("https://ru.wikipedia.org/w/index.php?search=%D0%9A%D0%BE%D0%BB%D0%BB%D0%B0%D0%B6%201990%20%D1%84%D0%B8%D0%BB%D1%8C%D0%BC","искать")</f>
        <v/>
      </c>
      <c r="N2312" s="3" t="n"/>
      <c r="O2312" s="2" t="n"/>
      <c r="P2312" s="2" t="n"/>
    </row>
    <row r="2313">
      <c r="A2313" s="2" t="n">
        <v>2312</v>
      </c>
      <c r="B2313" s="2" t="inlineStr">
        <is>
          <t>не сюжет</t>
        </is>
      </c>
      <c r="C2313" s="2" t="n">
        <v>7458</v>
      </c>
      <c r="D2313" s="3" t="inlineStr">
        <is>
          <t>Госпожа министерша</t>
        </is>
      </c>
      <c r="E2313" s="2" t="n">
        <v>1984</v>
      </c>
      <c r="F2313" s="2" t="inlineStr">
        <is>
          <t>телефильм</t>
        </is>
      </c>
      <c r="G2313" s="2" t="inlineStr">
        <is>
          <t>Ленинградское телевидение, главная редакция музыкальных программ</t>
        </is>
      </c>
      <c r="H2313" s="2" t="n">
        <v>118</v>
      </c>
      <c r="I2313" s="2" t="inlineStr"/>
      <c r="J2313" s="2" t="inlineStr">
        <is>
          <t>да</t>
        </is>
      </c>
      <c r="K2313" s="3" t="inlineStr">
        <is>
          <t>По мотивам одноименной комедии сербского писателя Бронислава Нушича. Действие происходит на рубеже 19-го и 20-го веков</t>
        </is>
      </c>
      <c r="L2313" s="2" t="inlineStr">
        <is>
          <t>Кино_СССР сводный каталог.xlsx: список телефильмов</t>
        </is>
      </c>
      <c r="M2313" s="2">
        <f>HYPERLINK("https://ru.wikipedia.org/w/index.php?search=%D0%93%D0%BE%D1%81%D0%BF%D0%BE%D0%B6%D0%B0%20%D0%BC%D0%B8%D0%BD%D0%B8%D1%81%D1%82%D0%B5%D1%80%D1%88%D0%B0%201984%20%D1%84%D0%B8%D0%BB%D1%8C%D0%BC","искать")</f>
        <v/>
      </c>
      <c r="N2313" s="3" t="n"/>
      <c r="O2313" s="2" t="n"/>
      <c r="P2313" s="2" t="n"/>
    </row>
    <row r="2314">
      <c r="A2314" s="2" t="n">
        <v>2313</v>
      </c>
      <c r="B2314" s="2" t="inlineStr">
        <is>
          <t>не сюжет</t>
        </is>
      </c>
      <c r="C2314" s="2" t="n">
        <v>8287</v>
      </c>
      <c r="D2314" s="3" t="inlineStr">
        <is>
          <t>Русалочьи отмели</t>
        </is>
      </c>
      <c r="E2314" s="2" t="n">
        <v>1987</v>
      </c>
      <c r="F2314" s="2" t="inlineStr">
        <is>
          <t>телефильм</t>
        </is>
      </c>
      <c r="G2314" s="2" t="n"/>
      <c r="H2314" s="2" t="n">
        <v>118</v>
      </c>
      <c r="I2314" s="2" t="inlineStr"/>
      <c r="J2314" s="2" t="inlineStr">
        <is>
          <t>да</t>
        </is>
      </c>
      <c r="K2314" s="3" t="inlineStr">
        <is>
          <t>Историко-приключенческий фильм по мотивам одноименного романа Хермана Серго, события которого происходят в XVIII веке.</t>
        </is>
      </c>
      <c r="L2314" s="2" t="inlineStr">
        <is>
          <t>Кино_СССР сводный каталог.xlsx: список телефильмов</t>
        </is>
      </c>
      <c r="M2314" s="2">
        <f>HYPERLINK("https://ru.wikipedia.org/w/index.php?search=%D0%A0%D1%83%D1%81%D0%B0%D0%BB%D0%BE%D1%87%D1%8C%D0%B8%20%D0%BE%D1%82%D0%BC%D0%B5%D0%BB%D0%B8%201987%20%D1%84%D0%B8%D0%BB%D1%8C%D0%BC","искать")</f>
        <v/>
      </c>
      <c r="N2314" s="3" t="n"/>
      <c r="O2314" s="2" t="n"/>
      <c r="P2314" s="2" t="n"/>
    </row>
    <row r="2315">
      <c r="A2315" s="2" t="n">
        <v>2314</v>
      </c>
      <c r="B2315" s="2" t="inlineStr">
        <is>
          <t>не сюжет</t>
        </is>
      </c>
      <c r="C2315" s="2" t="n">
        <v>9973</v>
      </c>
      <c r="D2315" s="3" t="inlineStr">
        <is>
          <t>Отель «Бабушка»</t>
        </is>
      </c>
      <c r="E2315" s="2" t="n">
        <v>1981</v>
      </c>
      <c r="F2315" s="2" t="inlineStr">
        <is>
          <t>кинофильм</t>
        </is>
      </c>
      <c r="G2315" s="2" t="inlineStr">
        <is>
          <t>Арменфильм</t>
        </is>
      </c>
      <c r="H2315" s="2" t="n">
        <v>118</v>
      </c>
      <c r="I2315" s="2" t="inlineStr"/>
      <c r="J2315" s="2" t="inlineStr">
        <is>
          <t>да</t>
        </is>
      </c>
      <c r="K2315" s="3" t="inlineStr">
        <is>
          <t>Герой фильма – “белая ворона” среди сверстников-студентов, живущих в мире ложных ценностей и сиюминутных удовольствий.</t>
        </is>
      </c>
      <c r="L2315" s="2" t="inlineStr">
        <is>
          <t>https://www.kino-teatr.ru/short/movie/sov/14435/annot/</t>
        </is>
      </c>
      <c r="M2315" s="2">
        <f>HYPERLINK("https://ru.wikipedia.org/w/index.php?search=%D0%9E%D1%82%D0%B5%D0%BB%D1%8C%20%C2%AB%D0%91%D0%B0%D0%B1%D1%83%D1%88%D0%BA%D0%B0%C2%BB%201981%20%D1%84%D0%B8%D0%BB%D1%8C%D0%BC","искать")</f>
        <v/>
      </c>
      <c r="N2315" s="3" t="n"/>
      <c r="O2315" s="2" t="n"/>
      <c r="P2315" s="2" t="n"/>
    </row>
    <row r="2316">
      <c r="A2316" s="2" t="n">
        <v>2315</v>
      </c>
      <c r="B2316" s="2" t="inlineStr">
        <is>
          <t>не сюжет</t>
        </is>
      </c>
      <c r="C2316" s="2" t="n">
        <v>10056</v>
      </c>
      <c r="D2316" s="3" t="inlineStr">
        <is>
          <t>Последние</t>
        </is>
      </c>
      <c r="E2316" s="2" t="n">
        <v>1991</v>
      </c>
      <c r="F2316" s="2" t="inlineStr">
        <is>
          <t>кинофильм</t>
        </is>
      </c>
      <c r="G2316" s="2" t="inlineStr">
        <is>
          <t>Мосфильм</t>
        </is>
      </c>
      <c r="H2316" s="2" t="n">
        <v>118</v>
      </c>
      <c r="I2316" s="2" t="inlineStr"/>
      <c r="J2316" s="2" t="inlineStr">
        <is>
          <t>да</t>
        </is>
      </c>
      <c r="K2316" s="3" t="inlineStr">
        <is>
          <t>Философский этюд об ушедшем поколении. Фильм воспроизводит эстетику фотографий семейных альбомов дореволюционной поры.</t>
        </is>
      </c>
      <c r="L2316" s="2" t="inlineStr">
        <is>
          <t>https://www.kino-teatr.ru/short/movie/sov/10139/annot/</t>
        </is>
      </c>
      <c r="M2316" s="2">
        <f>HYPERLINK("https://ru.wikipedia.org/w/index.php?search=%D0%9F%D0%BE%D1%81%D0%BB%D0%B5%D0%B4%D0%BD%D0%B8%D0%B5%201991%20%D1%84%D0%B8%D0%BB%D1%8C%D0%BC","искать")</f>
        <v/>
      </c>
      <c r="N2316" s="3" t="n"/>
      <c r="O2316" s="2" t="n"/>
      <c r="P2316" s="2" t="n"/>
    </row>
    <row r="2317">
      <c r="A2317" s="2" t="n">
        <v>2316</v>
      </c>
      <c r="B2317" s="2" t="inlineStr">
        <is>
          <t>не сюжет</t>
        </is>
      </c>
      <c r="C2317" s="2" t="n">
        <v>10063</v>
      </c>
      <c r="D2317" s="3" t="inlineStr">
        <is>
          <t>Любовь на рассвете</t>
        </is>
      </c>
      <c r="E2317" s="2" t="n">
        <v>1957</v>
      </c>
      <c r="F2317" s="2" t="inlineStr">
        <is>
          <t>фильм-спектакль</t>
        </is>
      </c>
      <c r="G2317" s="2" t="inlineStr">
        <is>
          <t>Киевская киностудия</t>
        </is>
      </c>
      <c r="H2317" s="2" t="n">
        <v>118</v>
      </c>
      <c r="I2317" s="2" t="inlineStr"/>
      <c r="J2317" s="2" t="inlineStr">
        <is>
          <t>да</t>
        </is>
      </c>
      <c r="K2317" s="3" t="inlineStr">
        <is>
          <t>Фильм-спектакль по пьесе Ярослава Галана в постановке Харьковского украинского драматического театра им. Т.Г.Шевченко.</t>
        </is>
      </c>
      <c r="L2317" s="2" t="inlineStr">
        <is>
          <t>https://www.kino-teatr.ru/teatr/movie/13392/annot/</t>
        </is>
      </c>
      <c r="M2317" s="2">
        <f>HYPERLINK("https://ru.wikipedia.org/w/index.php?search=%D0%9B%D1%8E%D0%B1%D0%BE%D0%B2%D1%8C%20%D0%BD%D0%B0%20%D1%80%D0%B0%D1%81%D1%81%D0%B2%D0%B5%D1%82%D0%B5%201957%20%D1%84%D0%B8%D0%BB%D1%8C%D0%BC","искать")</f>
        <v/>
      </c>
      <c r="N2317" s="3" t="n"/>
      <c r="O2317" s="2" t="n"/>
      <c r="P2317" s="2" t="n"/>
    </row>
    <row r="2318">
      <c r="A2318" s="2" t="n">
        <v>2317</v>
      </c>
      <c r="B2318" s="2" t="inlineStr">
        <is>
          <t>не сюжет</t>
        </is>
      </c>
      <c r="C2318" s="2" t="n">
        <v>11111</v>
      </c>
      <c r="D2318" s="3" t="inlineStr">
        <is>
          <t>Жизнь Клима Самгина</t>
        </is>
      </c>
      <c r="E2318" s="2" t="n">
        <v>1986</v>
      </c>
      <c r="F2318" s="2" t="inlineStr">
        <is>
          <t>фильм-спектакль</t>
        </is>
      </c>
      <c r="G2318" s="2" t="inlineStr">
        <is>
          <t>Главная редакция литературно-драматических программ ЦТ</t>
        </is>
      </c>
      <c r="H2318" s="2" t="n">
        <v>118</v>
      </c>
      <c r="I2318" s="2" t="inlineStr"/>
      <c r="J2318" s="2" t="inlineStr">
        <is>
          <t>да</t>
        </is>
      </c>
      <c r="K2318" s="3" t="inlineStr">
        <is>
          <t>Телеспектакль по одноимённому роману М. Горького в постановке Московского академического театра имени Вл. Маяковского.</t>
        </is>
      </c>
      <c r="L2318" s="2" t="inlineStr">
        <is>
          <t>https://www.kino-teatr.ru/teatr/movie/12120/annot/</t>
        </is>
      </c>
      <c r="M2318" s="2">
        <f>HYPERLINK("https://ru.wikipedia.org/w/index.php?search=%D0%96%D0%B8%D0%B7%D0%BD%D1%8C%20%D0%9A%D0%BB%D0%B8%D0%BC%D0%B0%20%D0%A1%D0%B0%D0%BC%D0%B3%D0%B8%D0%BD%D0%B0%201986%20%D1%84%D0%B8%D0%BB%D1%8C%D0%BC","искать")</f>
        <v/>
      </c>
      <c r="N2318" s="3" t="n"/>
      <c r="O2318" s="2" t="n"/>
      <c r="P2318" s="2" t="n"/>
    </row>
    <row r="2319">
      <c r="A2319" s="2" t="n">
        <v>2318</v>
      </c>
      <c r="B2319" s="2" t="inlineStr">
        <is>
          <t>не сюжет</t>
        </is>
      </c>
      <c r="C2319" s="2" t="n">
        <v>11860</v>
      </c>
      <c r="D2319" s="3" t="inlineStr">
        <is>
          <t>Алим и его ослик</t>
        </is>
      </c>
      <c r="E2319" s="2" t="n">
        <v>1978</v>
      </c>
      <c r="F2319" s="2" t="inlineStr">
        <is>
          <t>мультфильм</t>
        </is>
      </c>
      <c r="G2319" s="2" t="inlineStr">
        <is>
          <t>УЗБЕКФИЛЬМ, Союзмультфильм</t>
        </is>
      </c>
      <c r="H2319" s="2" t="n">
        <v>118</v>
      </c>
      <c r="I2319" s="2" t="inlineStr"/>
      <c r="J2319" s="2" t="inlineStr">
        <is>
          <t>да</t>
        </is>
      </c>
      <c r="K2319" s="3" t="inlineStr">
        <is>
          <t>Сказка о том, что добрым словом и ласковым отношением скорее победишь упрямство и непослушание, чем грубостью и силой.</t>
        </is>
      </c>
      <c r="L2319" s="2" t="inlineStr">
        <is>
          <t>https://gosfilmofond.ru/films/236073/</t>
        </is>
      </c>
      <c r="M2319" s="2">
        <f>HYPERLINK("https://ru.wikipedia.org/w/index.php?search=%D0%90%D0%BB%D0%B8%D0%BC%20%D0%B8%20%D0%B5%D0%B3%D0%BE%20%D0%BE%D1%81%D0%BB%D0%B8%D0%BA%201978%20%D1%84%D0%B8%D0%BB%D1%8C%D0%BC","искать")</f>
        <v/>
      </c>
      <c r="N2319" s="3" t="n"/>
      <c r="O2319" s="2" t="n"/>
      <c r="P2319" s="2" t="n"/>
    </row>
    <row r="2320">
      <c r="A2320" s="2" t="n">
        <v>2319</v>
      </c>
      <c r="B2320" s="2" t="inlineStr">
        <is>
          <t>не сюжет</t>
        </is>
      </c>
      <c r="C2320" s="2" t="n">
        <v>13484</v>
      </c>
      <c r="D2320" s="3" t="inlineStr">
        <is>
          <t>Благоприятные обстоятельства</t>
        </is>
      </c>
      <c r="E2320" s="2" t="n">
        <v>1989</v>
      </c>
      <c r="F2320" s="2" t="inlineStr">
        <is>
          <t>мультфильм</t>
        </is>
      </c>
      <c r="G2320" s="2" t="inlineStr">
        <is>
          <t>ЛИТОВСКАЯ КИНОСТУДИЯ</t>
        </is>
      </c>
      <c r="H2320" s="2" t="n">
        <v>118</v>
      </c>
      <c r="I2320" s="2" t="inlineStr"/>
      <c r="J2320" s="2" t="inlineStr">
        <is>
          <t>да</t>
        </is>
      </c>
      <c r="K2320" s="3" t="inlineStr">
        <is>
          <t>А.Янаускас принимал учатие в написании сценария.
Два сюжета о человеке, который всегда находит выход из любой ситуации</t>
        </is>
      </c>
      <c r="L2320" s="2" t="inlineStr">
        <is>
          <t>https://animator.ru/db/?p=show_film&amp;fid=4774</t>
        </is>
      </c>
      <c r="M2320" s="2">
        <f>HYPERLINK("https://ru.wikipedia.org/w/index.php?search=%D0%91%D0%BB%D0%B0%D0%B3%D0%BE%D0%BF%D1%80%D0%B8%D1%8F%D1%82%D0%BD%D1%8B%D0%B5%20%D0%BE%D0%B1%D1%81%D1%82%D0%BE%D1%8F%D1%82%D0%B5%D0%BB%D1%8C%D1%81%D1%82%D0%B2%D0%B0%201989%20%D1%84%D0%B8%D0%BB%D1%8C%D0%BC","искать")</f>
        <v/>
      </c>
      <c r="N2320" s="3" t="n"/>
      <c r="O2320" s="2" t="n"/>
      <c r="P2320" s="2" t="n"/>
    </row>
    <row r="2321">
      <c r="A2321" s="2" t="n">
        <v>2320</v>
      </c>
      <c r="B2321" s="2" t="inlineStr">
        <is>
          <t>не сюжет</t>
        </is>
      </c>
      <c r="C2321" s="2" t="n">
        <v>9891</v>
      </c>
      <c r="D2321" s="3" t="inlineStr">
        <is>
          <t>Хлеб</t>
        </is>
      </c>
      <c r="E2321" s="2" t="n">
        <v>1971</v>
      </c>
      <c r="F2321" s="2" t="inlineStr">
        <is>
          <t>телефильм</t>
        </is>
      </c>
      <c r="G2321" s="2" t="inlineStr">
        <is>
          <t>Ереванское ТВ</t>
        </is>
      </c>
      <c r="H2321" s="2" t="n">
        <v>119</v>
      </c>
      <c r="I2321" s="2" t="inlineStr"/>
      <c r="J2321" s="2" t="inlineStr">
        <is>
          <t>да</t>
        </is>
      </c>
      <c r="K2321" s="3" t="inlineStr">
        <is>
          <t>Фильм о дружбе армянина, обремененного большой семьей, и русского, которая помогла им выстоять в голодные военные годы.</t>
        </is>
      </c>
      <c r="L2321" s="2" t="inlineStr">
        <is>
          <t>https://www.kino-teatr.ru/short/movie/sov/85312/annot/</t>
        </is>
      </c>
      <c r="M2321" s="2">
        <f>HYPERLINK("https://ru.wikipedia.org/w/index.php?search=%D0%A5%D0%BB%D0%B5%D0%B1%201971%20%D1%84%D0%B8%D0%BB%D1%8C%D0%BC","искать")</f>
        <v/>
      </c>
      <c r="N2321" s="3" t="n"/>
      <c r="O2321" s="2" t="n"/>
      <c r="P2321" s="2" t="n"/>
    </row>
    <row r="2322">
      <c r="A2322" s="2" t="n">
        <v>2321</v>
      </c>
      <c r="B2322" s="2" t="inlineStr">
        <is>
          <t>не сюжет</t>
        </is>
      </c>
      <c r="C2322" s="2" t="n">
        <v>10490</v>
      </c>
      <c r="D2322" s="3" t="inlineStr">
        <is>
          <t>Во весь голос</t>
        </is>
      </c>
      <c r="E2322" s="2" t="n">
        <v>1973</v>
      </c>
      <c r="F2322" s="2" t="inlineStr">
        <is>
          <t>фильм-спектакль</t>
        </is>
      </c>
      <c r="G2322" s="2" t="inlineStr">
        <is>
          <t>Центральное телевидение</t>
        </is>
      </c>
      <c r="H2322" s="2" t="n">
        <v>119</v>
      </c>
      <c r="I2322" s="2" t="inlineStr"/>
      <c r="J2322" s="2" t="inlineStr">
        <is>
          <t>да</t>
        </is>
      </c>
      <c r="K2322" s="3" t="inlineStr">
        <is>
          <t>По одноименной поэме В.В. Маяковского.
В телеспектакле использованы стихотворения, письма, фрагменты поэм и пьес поэта.</t>
        </is>
      </c>
      <c r="L2322" s="2" t="inlineStr">
        <is>
          <t>https://www.kino-teatr.ru/teatr/movie/79964/annot/</t>
        </is>
      </c>
      <c r="M2322" s="2">
        <f>HYPERLINK("https://ru.wikipedia.org/w/index.php?search=%D0%92%D0%BE%20%D0%B2%D0%B5%D1%81%D1%8C%20%D0%B3%D0%BE%D0%BB%D0%BE%D1%81%201973%20%D1%84%D0%B8%D0%BB%D1%8C%D0%BC","искать")</f>
        <v/>
      </c>
      <c r="N2322" s="3" t="n"/>
      <c r="O2322" s="2" t="n"/>
      <c r="P2322" s="2" t="n"/>
    </row>
    <row r="2323">
      <c r="A2323" s="2" t="n">
        <v>2322</v>
      </c>
      <c r="B2323" s="2" t="inlineStr">
        <is>
          <t>не сюжет</t>
        </is>
      </c>
      <c r="C2323" s="2" t="n">
        <v>10656</v>
      </c>
      <c r="D2323" s="3" t="inlineStr">
        <is>
          <t>Милый лжец</t>
        </is>
      </c>
      <c r="E2323" s="2" t="n">
        <v>1976</v>
      </c>
      <c r="F2323" s="2" t="inlineStr">
        <is>
          <t>фильм-спектакль</t>
        </is>
      </c>
      <c r="G2323" s="2" t="inlineStr">
        <is>
          <t>Главная редакция лит-драм. программ ЦТ</t>
        </is>
      </c>
      <c r="H2323" s="2" t="n">
        <v>119</v>
      </c>
      <c r="I2323" s="2" t="inlineStr"/>
      <c r="J2323" s="2" t="inlineStr">
        <is>
          <t>да</t>
        </is>
      </c>
      <c r="K2323" s="3" t="inlineStr">
        <is>
          <t>Лирическая драма, телеспектакль по одноименной пьесе Джерома Килти.
В основе — спектакль МХАТ (постановщик И.Раевский).</t>
        </is>
      </c>
      <c r="L2323" s="2" t="inlineStr">
        <is>
          <t>https://www.kino-teatr.ru/teatr/movie/3885/annot/</t>
        </is>
      </c>
      <c r="M2323" s="2">
        <f>HYPERLINK("https://ru.wikipedia.org/w/index.php?search=%D0%9C%D0%B8%D0%BB%D1%8B%D0%B9%20%D0%BB%D0%B6%D0%B5%D1%86%201976%20%D1%84%D0%B8%D0%BB%D1%8C%D0%BC","искать")</f>
        <v/>
      </c>
      <c r="N2323" s="3" t="n"/>
      <c r="O2323" s="2" t="n"/>
      <c r="P2323" s="2" t="n"/>
    </row>
    <row r="2324">
      <c r="A2324" s="2" t="n">
        <v>2323</v>
      </c>
      <c r="B2324" s="2" t="inlineStr">
        <is>
          <t>не сюжет</t>
        </is>
      </c>
      <c r="C2324" s="2" t="n">
        <v>11112</v>
      </c>
      <c r="D2324" s="3" t="inlineStr">
        <is>
          <t>И дольше века длится день</t>
        </is>
      </c>
      <c r="E2324" s="2" t="n">
        <v>1986</v>
      </c>
      <c r="F2324" s="2" t="inlineStr">
        <is>
          <t>фильм-спектакль</t>
        </is>
      </c>
      <c r="G2324" s="2" t="inlineStr">
        <is>
          <t>СИНТЕЗ, СОЮЗТЕАТР, ФОНД СТД СССР, Подборки фильмов, экранизации Чингиза Айтматова</t>
        </is>
      </c>
      <c r="H2324" s="2" t="n">
        <v>119</v>
      </c>
      <c r="I2324" s="2" t="inlineStr"/>
      <c r="J2324" s="2" t="inlineStr">
        <is>
          <t>да</t>
        </is>
      </c>
      <c r="K2324" s="3" t="inlineStr">
        <is>
          <t>Спектакль по одноименному роману Ч.Айтматова.
Видеозапись спектакля Государственного молодежного театра Литовской СССР.</t>
        </is>
      </c>
      <c r="L2324" s="2" t="inlineStr">
        <is>
          <t>https://www.kino-teatr.ru/teatr/movie/12046/annot/</t>
        </is>
      </c>
      <c r="M2324" s="2">
        <f>HYPERLINK("https://ru.wikipedia.org/w/index.php?search=%D0%98%20%D0%B4%D0%BE%D0%BB%D1%8C%D1%88%D0%B5%20%D0%B2%D0%B5%D0%BA%D0%B0%20%D0%B4%D0%BB%D0%B8%D1%82%D1%81%D1%8F%20%D0%B4%D0%B5%D0%BD%D1%8C%201986%20%D1%84%D0%B8%D0%BB%D1%8C%D0%BC","искать")</f>
        <v/>
      </c>
      <c r="N2324" s="3" t="n"/>
      <c r="O2324" s="2" t="n"/>
      <c r="P2324" s="2" t="n"/>
    </row>
    <row r="2325">
      <c r="A2325" s="2" t="n">
        <v>2324</v>
      </c>
      <c r="B2325" s="2" t="inlineStr">
        <is>
          <t>не сюжет</t>
        </is>
      </c>
      <c r="C2325" s="2" t="n">
        <v>11998</v>
      </c>
      <c r="D2325" s="3" t="inlineStr">
        <is>
          <t>Будь здоров!</t>
        </is>
      </c>
      <c r="E2325" s="2" t="n">
        <v>1982</v>
      </c>
      <c r="F2325" s="2" t="inlineStr">
        <is>
          <t>мультфильм</t>
        </is>
      </c>
      <c r="G2325" s="2" t="inlineStr">
        <is>
          <t>Союзмультфильм</t>
        </is>
      </c>
      <c r="H2325" s="2" t="n">
        <v>119</v>
      </c>
      <c r="I2325" s="2" t="inlineStr"/>
      <c r="J2325" s="2" t="inlineStr">
        <is>
          <t>да</t>
        </is>
      </c>
      <c r="K2325" s="3" t="inlineStr">
        <is>
          <t>По сказке Г.Ландау. Для малышей. Актер в кадре (рассказчик) - Сергей Никоненко. Мягкие куклы (на руках) сняты на скорую</t>
        </is>
      </c>
      <c r="L2325" s="2" t="inlineStr">
        <is>
          <t>https://animator.ru/db/?p=show_film&amp;fid=3112</t>
        </is>
      </c>
      <c r="M2325" s="2">
        <f>HYPERLINK("https://ru.wikipedia.org/w/index.php?search=%D0%91%D1%83%D0%B4%D1%8C%20%D0%B7%D0%B4%D0%BE%D1%80%D0%BE%D0%B2%21%201982%20%D1%84%D0%B8%D0%BB%D1%8C%D0%BC","искать")</f>
        <v/>
      </c>
      <c r="N2325" s="3" t="n"/>
      <c r="O2325" s="2" t="n"/>
      <c r="P2325" s="2" t="n"/>
    </row>
    <row r="2326">
      <c r="A2326" s="2" t="n">
        <v>2325</v>
      </c>
      <c r="B2326" s="2" t="inlineStr">
        <is>
          <t>не сюжет</t>
        </is>
      </c>
      <c r="C2326" s="2" t="n">
        <v>13934</v>
      </c>
      <c r="D2326" s="3" t="inlineStr">
        <is>
          <t>Удивительная бочка</t>
        </is>
      </c>
      <c r="E2326" s="2" t="n">
        <v>1983</v>
      </c>
      <c r="F2326" s="2" t="inlineStr">
        <is>
          <t>мультфильм</t>
        </is>
      </c>
      <c r="G2326" s="2" t="inlineStr">
        <is>
          <t>ЭКРАН</t>
        </is>
      </c>
      <c r="H2326" s="2" t="n">
        <v>119</v>
      </c>
      <c r="I2326" s="2" t="inlineStr"/>
      <c r="J2326" s="2" t="inlineStr">
        <is>
          <t>да</t>
        </is>
      </c>
      <c r="K2326" s="3" t="inlineStr">
        <is>
          <t>Помните мультик про забавных друзей из "Трям! Здравствуйте!"?Наверняка Вам понравится и этот такой весенний мультфильм!</t>
        </is>
      </c>
      <c r="L2326" s="2" t="inlineStr">
        <is>
          <t>2026-10_мультфильмы_список_владельца.xlsx; https://animator.ru/db/?p=show_film&amp;fid=5328</t>
        </is>
      </c>
      <c r="M2326" s="2">
        <f>HYPERLINK("https://ru.wikipedia.org/w/index.php?search=%D0%A3%D0%B4%D0%B8%D0%B2%D0%B8%D1%82%D0%B5%D0%BB%D1%8C%D0%BD%D0%B0%D1%8F%20%D0%B1%D0%BE%D1%87%D0%BA%D0%B0%201983%20%D1%84%D0%B8%D0%BB%D1%8C%D0%BC","искать")</f>
        <v/>
      </c>
      <c r="N2326" s="3" t="n"/>
      <c r="O2326" s="2" t="n"/>
      <c r="P2326" s="2" t="n"/>
    </row>
    <row r="2327">
      <c r="A2327" s="2" t="n">
        <v>2326</v>
      </c>
      <c r="B2327" s="2" t="inlineStr">
        <is>
          <t>не сюжет</t>
        </is>
      </c>
      <c r="C2327" s="2" t="n">
        <v>9848</v>
      </c>
      <c r="D2327" s="3" t="inlineStr">
        <is>
          <t>Испытание</t>
        </is>
      </c>
      <c r="E2327" s="2" t="n">
        <v>1968</v>
      </c>
      <c r="F2327" s="2" t="inlineStr">
        <is>
          <t>кинофильм</t>
        </is>
      </c>
      <c r="G2327" s="2" t="inlineStr">
        <is>
          <t>Центрнаучфильм, Подборки фильмов, экранизации Станислава Лема</t>
        </is>
      </c>
      <c r="H2327" s="2" t="n">
        <v>120</v>
      </c>
      <c r="I2327" s="2" t="inlineStr"/>
      <c r="J2327" s="2" t="inlineStr">
        <is>
          <t>да</t>
        </is>
      </c>
      <c r="K2327" s="3" t="inlineStr">
        <is>
          <t>Короткометражный фильм в выпуске киножурнала «Горизонт» № 3.
По одноименному рассказу писателя-фантаста Станислава Лема.</t>
        </is>
      </c>
      <c r="L2327" s="2" t="inlineStr">
        <is>
          <t>https://www.kino-teatr.ru/short/movie/sov/86563/annot/</t>
        </is>
      </c>
      <c r="M2327" s="2">
        <f>HYPERLINK("https://ru.wikipedia.org/w/index.php?search=%D0%98%D1%81%D0%BF%D1%8B%D1%82%D0%B0%D0%BD%D0%B8%D0%B5%201968%20%D1%84%D0%B8%D0%BB%D1%8C%D0%BC","искать")</f>
        <v/>
      </c>
      <c r="N2327" s="3" t="n"/>
      <c r="O2327" s="2" t="n"/>
      <c r="P2327" s="2" t="n"/>
    </row>
    <row r="2328">
      <c r="A2328" s="2" t="n">
        <v>2327</v>
      </c>
      <c r="B2328" s="2" t="inlineStr">
        <is>
          <t>не сюжет</t>
        </is>
      </c>
      <c r="C2328" s="2" t="n">
        <v>10453</v>
      </c>
      <c r="D2328" s="3" t="inlineStr">
        <is>
          <t>Морская душа</t>
        </is>
      </c>
      <c r="E2328" s="2" t="n">
        <v>1972</v>
      </c>
      <c r="F2328" s="2" t="inlineStr">
        <is>
          <t>фильм-спектакль</t>
        </is>
      </c>
      <c r="G2328" s="2" t="inlineStr">
        <is>
          <t>Гл. ред. лит.-драм. программ</t>
        </is>
      </c>
      <c r="H2328" s="2" t="n">
        <v>120</v>
      </c>
      <c r="I2328" s="2" t="inlineStr"/>
      <c r="J2328" s="2" t="inlineStr">
        <is>
          <t>да</t>
        </is>
      </c>
      <c r="K2328" s="3" t="inlineStr">
        <is>
          <t>Литературная композиция по рассказам Леонида Соболева.
О стойкости советских моряков в годы Великой Отечественной войны.</t>
        </is>
      </c>
      <c r="L2328" s="2" t="inlineStr">
        <is>
          <t>https://www.kino-teatr.ru/teatr/movie/93051/annot/</t>
        </is>
      </c>
      <c r="M2328" s="2">
        <f>HYPERLINK("https://ru.wikipedia.org/w/index.php?search=%D0%9C%D0%BE%D1%80%D1%81%D0%BA%D0%B0%D1%8F%20%D0%B4%D1%83%D1%88%D0%B0%201972%20%D1%84%D0%B8%D0%BB%D1%8C%D0%BC","искать")</f>
        <v/>
      </c>
      <c r="N2328" s="3" t="n"/>
      <c r="O2328" s="2" t="n"/>
      <c r="P2328" s="2" t="n"/>
    </row>
    <row r="2329">
      <c r="A2329" s="2" t="n">
        <v>2328</v>
      </c>
      <c r="B2329" s="2" t="inlineStr">
        <is>
          <t>не сюжет</t>
        </is>
      </c>
      <c r="C2329" s="2" t="n">
        <v>10578</v>
      </c>
      <c r="D2329" s="3" t="inlineStr">
        <is>
          <t>Отцы и дети</t>
        </is>
      </c>
      <c r="E2329" s="2" t="n">
        <v>1974</v>
      </c>
      <c r="F2329" s="2" t="inlineStr">
        <is>
          <t>фильм-спектакль</t>
        </is>
      </c>
      <c r="G2329" s="2" t="inlineStr">
        <is>
          <t>Гл. ред. литературно-драматических программ, Подборки фильмов, экранизации Тургенева</t>
        </is>
      </c>
      <c r="H2329" s="2" t="n">
        <v>120</v>
      </c>
      <c r="I2329" s="2" t="inlineStr"/>
      <c r="J2329" s="2" t="inlineStr">
        <is>
          <t>да</t>
        </is>
      </c>
      <c r="K2329" s="3" t="inlineStr">
        <is>
          <t>Фильм-спектакль оо одноименному роману И.Тургенева в постановке Государственного академического Малого театра Союза ССР.</t>
        </is>
      </c>
      <c r="L2329" s="2" t="inlineStr">
        <is>
          <t>https://www.kino-teatr.ru/teatr/movie/15074/annot/</t>
        </is>
      </c>
      <c r="M2329" s="2">
        <f>HYPERLINK("https://ru.wikipedia.org/w/index.php?search=%D0%9E%D1%82%D1%86%D1%8B%20%D0%B8%20%D0%B4%D0%B5%D1%82%D0%B8%201974%20%D1%84%D0%B8%D0%BB%D1%8C%D0%BC","искать")</f>
        <v/>
      </c>
      <c r="N2329" s="3" t="n"/>
      <c r="O2329" s="2" t="n"/>
      <c r="P2329" s="2" t="n"/>
    </row>
    <row r="2330">
      <c r="A2330" s="2" t="n">
        <v>2329</v>
      </c>
      <c r="B2330" s="2" t="inlineStr">
        <is>
          <t>не сюжет</t>
        </is>
      </c>
      <c r="C2330" s="2" t="n">
        <v>11653</v>
      </c>
      <c r="D2330" s="3" t="inlineStr">
        <is>
          <t>Чебурашка. 2. Чебурашка</t>
        </is>
      </c>
      <c r="E2330" s="2" t="n">
        <v>1971</v>
      </c>
      <c r="F2330" s="2" t="inlineStr">
        <is>
          <t>мультфильм</t>
        </is>
      </c>
      <c r="G2330" s="2" t="inlineStr">
        <is>
          <t>Союзмультфильм</t>
        </is>
      </c>
      <c r="H2330" s="2" t="n">
        <v>120</v>
      </c>
      <c r="I2330" s="2" t="inlineStr"/>
      <c r="J2330" s="2" t="inlineStr">
        <is>
          <t>да</t>
        </is>
      </c>
      <c r="K2330" s="3" t="inlineStr">
        <is>
          <t>Следующая история про Чебурашку и крокодила Гену
V ВКФ, Тбилиси 1972 -- Приз и премия за лучший мультипликационный фильм</t>
        </is>
      </c>
      <c r="L2330" s="2" t="inlineStr">
        <is>
          <t>https://animator.ru/db/?p=show_film&amp;fid=2567</t>
        </is>
      </c>
      <c r="M2330" s="2">
        <f>HYPERLINK("https://ru.wikipedia.org/w/index.php?search=%D0%A7%D0%B5%D0%B1%D1%83%D1%80%D0%B0%D1%88%D0%BA%D0%B0.%202.%20%D0%A7%D0%B5%D0%B1%D1%83%D1%80%D0%B0%D1%88%D0%BA%D0%B0%201971%20%D1%84%D0%B8%D0%BB%D1%8C%D0%BC","искать")</f>
        <v/>
      </c>
      <c r="N2330" s="3" t="n"/>
      <c r="O2330" s="2" t="n"/>
      <c r="P2330" s="2" t="n"/>
    </row>
    <row r="2331">
      <c r="A2331" s="2" t="n">
        <v>2330</v>
      </c>
      <c r="B2331" s="2" t="inlineStr">
        <is>
          <t>не сюжет</t>
        </is>
      </c>
      <c r="C2331" s="2" t="n">
        <v>8032</v>
      </c>
      <c r="D2331" s="3" t="inlineStr">
        <is>
          <t>Огненные дороги</t>
        </is>
      </c>
      <c r="E2331" s="2" t="n">
        <v>1977</v>
      </c>
      <c r="F2331" s="2" t="inlineStr">
        <is>
          <t>телефильм</t>
        </is>
      </c>
      <c r="G2331" s="2" t="n"/>
      <c r="H2331" s="2" t="n">
        <v>121</v>
      </c>
      <c r="I2331" s="2" t="inlineStr"/>
      <c r="J2331" s="2" t="inlineStr">
        <is>
          <t>да</t>
        </is>
      </c>
      <c r="K2331" s="3" t="inlineStr">
        <is>
          <t>Сериал о жизни и деятельности узбекского писателя, композитора, музыканта, просветителя и революционера Хамзы Хаким-заде.</t>
        </is>
      </c>
      <c r="L2331" s="2" t="inlineStr">
        <is>
          <t>Кино_СССР сводный каталог.xlsx: список телефильмов</t>
        </is>
      </c>
      <c r="M2331" s="2">
        <f>HYPERLINK("https://ru.wikipedia.org/w/index.php?search=%D0%9E%D0%B3%D0%BD%D0%B5%D0%BD%D0%BD%D1%8B%D0%B5%20%D0%B4%D0%BE%D1%80%D0%BE%D0%B3%D0%B8%201977%20%D1%84%D0%B8%D0%BB%D1%8C%D0%BC","искать")</f>
        <v/>
      </c>
      <c r="N2331" s="3" t="n"/>
      <c r="O2331" s="2" t="n"/>
      <c r="P2331" s="2" t="n"/>
    </row>
    <row r="2332">
      <c r="A2332" s="2" t="n">
        <v>2331</v>
      </c>
      <c r="B2332" s="2" t="inlineStr">
        <is>
          <t>не сюжет</t>
        </is>
      </c>
      <c r="C2332" s="2" t="n">
        <v>9661</v>
      </c>
      <c r="D2332" s="3" t="inlineStr">
        <is>
          <t>Солнечной тропой</t>
        </is>
      </c>
      <c r="E2332" s="2" t="n">
        <v>1932</v>
      </c>
      <c r="F2332" s="2" t="inlineStr">
        <is>
          <t>кинофильм</t>
        </is>
      </c>
      <c r="G2332" s="2" t="inlineStr">
        <is>
          <t>Госкинпром Грузии</t>
        </is>
      </c>
      <c r="H2332" s="2" t="n">
        <v>121</v>
      </c>
      <c r="I2332" s="2" t="inlineStr"/>
      <c r="J2332" s="2" t="inlineStr">
        <is>
          <t>да</t>
        </is>
      </c>
      <c r="K2332" s="3" t="inlineStr">
        <is>
          <t>Агитпропфильм о воспитательной роли Красной Армии. Заключение ГРК разыскать не удалось. В ГФФ копия фильма не сохранилась</t>
        </is>
      </c>
      <c r="L2332" s="2" t="inlineStr">
        <is>
          <t>Кино_СССР сводный каталог.xlsx: список фильмов (доп.)</t>
        </is>
      </c>
      <c r="M2332" s="2">
        <f>HYPERLINK("https://ru.wikipedia.org/w/index.php?search=%D0%A1%D0%BE%D0%BB%D0%BD%D0%B5%D1%87%D0%BD%D0%BE%D0%B9%20%D1%82%D1%80%D0%BE%D0%BF%D0%BE%D0%B9%201932%20%D1%84%D0%B8%D0%BB%D1%8C%D0%BC","искать")</f>
        <v/>
      </c>
      <c r="N2332" s="3" t="n"/>
      <c r="O2332" s="2" t="n"/>
      <c r="P2332" s="2" t="n"/>
    </row>
    <row r="2333">
      <c r="A2333" s="2" t="n">
        <v>2332</v>
      </c>
      <c r="B2333" s="2" t="inlineStr">
        <is>
          <t>не сюжет</t>
        </is>
      </c>
      <c r="C2333" s="2" t="n">
        <v>10474</v>
      </c>
      <c r="D2333" s="3" t="inlineStr">
        <is>
          <t>Том Кенти</t>
        </is>
      </c>
      <c r="E2333" s="2" t="n">
        <v>1972</v>
      </c>
      <c r="F2333" s="2" t="inlineStr">
        <is>
          <t>фильм-спектакль</t>
        </is>
      </c>
      <c r="G2333" s="2" t="inlineStr">
        <is>
          <t>Главная редакция программ для детей и юношества ЦТ</t>
        </is>
      </c>
      <c r="H2333" s="2" t="n">
        <v>121</v>
      </c>
      <c r="I2333" s="2" t="inlineStr"/>
      <c r="J2333" s="2" t="inlineStr">
        <is>
          <t>да</t>
        </is>
      </c>
      <c r="K2333" s="3" t="inlineStr">
        <is>
          <t>По мотивам повести американского писателя М.Твена “Принц и нищий” в исполнении артистов Московского театра юного зрителя.</t>
        </is>
      </c>
      <c r="L2333" s="2" t="inlineStr">
        <is>
          <t>https://www.kino-teatr.ru/teatr/movie/94549/annot/</t>
        </is>
      </c>
      <c r="M2333" s="2">
        <f>HYPERLINK("https://ru.wikipedia.org/w/index.php?search=%D0%A2%D0%BE%D0%BC%20%D0%9A%D0%B5%D0%BD%D1%82%D0%B8%201972%20%D1%84%D0%B8%D0%BB%D1%8C%D0%BC","искать")</f>
        <v/>
      </c>
      <c r="N2333" s="3" t="n"/>
      <c r="O2333" s="2" t="n"/>
      <c r="P2333" s="2" t="n"/>
    </row>
    <row r="2334">
      <c r="A2334" s="2" t="n">
        <v>2333</v>
      </c>
      <c r="B2334" s="2" t="inlineStr">
        <is>
          <t>не сюжет</t>
        </is>
      </c>
      <c r="C2334" s="2" t="n">
        <v>12415</v>
      </c>
      <c r="D2334" s="3" t="inlineStr">
        <is>
          <t>Какого рожна хочется?</t>
        </is>
      </c>
      <c r="E2334" s="2" t="n">
        <v>1975</v>
      </c>
      <c r="F2334" s="2" t="inlineStr">
        <is>
          <t>мультфильм</t>
        </is>
      </c>
      <c r="G2334" s="2" t="inlineStr">
        <is>
          <t>КИЕВНАУЧФИЛЬМ</t>
        </is>
      </c>
      <c r="H2334" s="2" t="n">
        <v>121</v>
      </c>
      <c r="I2334" s="2" t="inlineStr"/>
      <c r="J2334" s="2" t="inlineStr">
        <is>
          <t>да</t>
        </is>
      </c>
      <c r="K2334" s="3" t="inlineStr">
        <is>
          <t>XIII МФ к/ф в Кракове, 1976 -- Почетный диплом и приз Фипресси; ВКФ Киев, 1976, Приз "За лучший мультипликационный фильм"</t>
        </is>
      </c>
      <c r="L2334" s="2" t="inlineStr">
        <is>
          <t>https://animator.ru/db/?p=show_film&amp;fid=3586</t>
        </is>
      </c>
      <c r="M2334" s="2">
        <f>HYPERLINK("https://ru.wikipedia.org/w/index.php?search=%D0%9A%D0%B0%D0%BA%D0%BE%D0%B3%D0%BE%20%D1%80%D0%BE%D0%B6%D0%BD%D0%B0%20%D1%85%D0%BE%D1%87%D0%B5%D1%82%D1%81%D1%8F%3F%201975%20%D1%84%D0%B8%D0%BB%D1%8C%D0%BC","искать")</f>
        <v/>
      </c>
      <c r="N2334" s="3" t="n"/>
      <c r="O2334" s="2" t="n"/>
      <c r="P2334" s="2" t="n"/>
    </row>
    <row r="2335">
      <c r="A2335" s="2" t="n">
        <v>2334</v>
      </c>
      <c r="B2335" s="2" t="inlineStr">
        <is>
          <t>не сюжет</t>
        </is>
      </c>
      <c r="C2335" s="2" t="n">
        <v>14159</v>
      </c>
      <c r="D2335" s="3" t="inlineStr">
        <is>
          <t>Представление начинается</t>
        </is>
      </c>
      <c r="E2335" s="2" t="n">
        <v>1966</v>
      </c>
      <c r="F2335" s="2" t="inlineStr">
        <is>
          <t>мультфильм</t>
        </is>
      </c>
      <c r="G2335" s="2" t="inlineStr">
        <is>
          <t>ЛЕНТЕЛЕФИЛЬМ - ГП</t>
        </is>
      </c>
      <c r="H2335" s="2" t="n">
        <v>121</v>
      </c>
      <c r="I2335" s="2" t="inlineStr"/>
      <c r="J2335" s="2" t="inlineStr">
        <is>
          <t>да</t>
        </is>
      </c>
      <c r="K2335" s="3" t="inlineStr">
        <is>
          <t>Съемки "на скорую" спектакля самодеятельного кукольного театра Ленинградского кораблестроительного института. Черно-белый</t>
        </is>
      </c>
      <c r="L2335" s="2" t="inlineStr">
        <is>
          <t>https://animator.ru/db/?p=show_film&amp;fid=5557</t>
        </is>
      </c>
      <c r="M2335" s="2">
        <f>HYPERLINK("https://ru.wikipedia.org/w/index.php?search=%D0%9F%D1%80%D0%B5%D0%B4%D1%81%D1%82%D0%B0%D0%B2%D0%BB%D0%B5%D0%BD%D0%B8%D0%B5%20%D0%BD%D0%B0%D1%87%D0%B8%D0%BD%D0%B0%D0%B5%D1%82%D1%81%D1%8F%201966%20%D1%84%D0%B8%D0%BB%D1%8C%D0%BC","искать")</f>
        <v/>
      </c>
      <c r="N2335" s="3" t="n"/>
      <c r="O2335" s="2" t="n"/>
      <c r="P2335" s="2" t="n"/>
    </row>
    <row r="2336">
      <c r="A2336" s="2" t="n">
        <v>2335</v>
      </c>
      <c r="B2336" s="2" t="inlineStr">
        <is>
          <t>не сюжет</t>
        </is>
      </c>
      <c r="C2336" s="2" t="n">
        <v>7804</v>
      </c>
      <c r="D2336" s="3" t="inlineStr">
        <is>
          <t>Лето на память</t>
        </is>
      </c>
      <c r="E2336" s="2" t="n">
        <v>1987</v>
      </c>
      <c r="F2336" s="2" t="inlineStr">
        <is>
          <t>телефильм</t>
        </is>
      </c>
      <c r="G2336" s="2" t="n"/>
      <c r="H2336" s="2" t="n">
        <v>122</v>
      </c>
      <c r="I2336" s="2" t="inlineStr"/>
      <c r="J2336" s="2" t="inlineStr">
        <is>
          <t>да</t>
        </is>
      </c>
      <c r="K2336" s="3" t="inlineStr">
        <is>
          <t>По мотивам рассказов Аркадия Гайдара "Голубая чашка", "Четвертый блиндаж", "Горячий камень", дневникам и письмам писателя.</t>
        </is>
      </c>
      <c r="L2336" s="2" t="inlineStr">
        <is>
          <t>Кино_СССР сводный каталог.xlsx: список телефильмов</t>
        </is>
      </c>
      <c r="M2336" s="2">
        <f>HYPERLINK("https://ru.wikipedia.org/w/index.php?search=%D0%9B%D0%B5%D1%82%D0%BE%20%D0%BD%D0%B0%20%D0%BF%D0%B0%D0%BC%D1%8F%D1%82%D1%8C%201987%20%D1%84%D0%B8%D0%BB%D1%8C%D0%BC","искать")</f>
        <v/>
      </c>
      <c r="N2336" s="3" t="n"/>
      <c r="O2336" s="2" t="n"/>
      <c r="P2336" s="2" t="n"/>
    </row>
    <row r="2337">
      <c r="A2337" s="2" t="n">
        <v>2336</v>
      </c>
      <c r="B2337" s="2" t="inlineStr">
        <is>
          <t>не сюжет</t>
        </is>
      </c>
      <c r="C2337" s="2" t="n">
        <v>7947</v>
      </c>
      <c r="D2337" s="3" t="inlineStr">
        <is>
          <t>Нам здесь жить</t>
        </is>
      </c>
      <c r="E2337" s="2" t="n">
        <v>1982</v>
      </c>
      <c r="F2337" s="2" t="inlineStr">
        <is>
          <t>телефильм</t>
        </is>
      </c>
      <c r="G2337" s="2" t="n"/>
      <c r="H2337" s="2" t="n">
        <v>122</v>
      </c>
      <c r="I2337" s="2" t="inlineStr"/>
      <c r="J2337" s="2" t="inlineStr">
        <is>
          <t>да</t>
        </is>
      </c>
      <c r="K2337" s="3" t="inlineStr">
        <is>
          <t>Телефильм, события которого разворачиваются на БАМе в изыскательской партии и в поселке, по которому должна пройти трасса.</t>
        </is>
      </c>
      <c r="L2337" s="2" t="inlineStr">
        <is>
          <t>Кино_СССР сводный каталог.xlsx: список телефильмов</t>
        </is>
      </c>
      <c r="M2337" s="2">
        <f>HYPERLINK("https://ru.wikipedia.org/w/index.php?search=%D0%9D%D0%B0%D0%BC%20%D0%B7%D0%B4%D0%B5%D1%81%D1%8C%20%D0%B6%D0%B8%D1%82%D1%8C%201982%20%D1%84%D0%B8%D0%BB%D1%8C%D0%BC","искать")</f>
        <v/>
      </c>
      <c r="N2337" s="3" t="n"/>
      <c r="O2337" s="2" t="n"/>
      <c r="P2337" s="2" t="n"/>
    </row>
    <row r="2338">
      <c r="A2338" s="2" t="n">
        <v>2337</v>
      </c>
      <c r="B2338" s="2" t="inlineStr">
        <is>
          <t>не сюжет</t>
        </is>
      </c>
      <c r="C2338" s="2" t="n">
        <v>8111</v>
      </c>
      <c r="D2338" s="3" t="inlineStr">
        <is>
          <t>Печники</t>
        </is>
      </c>
      <c r="E2338" s="2" t="n">
        <v>1982</v>
      </c>
      <c r="F2338" s="2" t="inlineStr">
        <is>
          <t>телефильм</t>
        </is>
      </c>
      <c r="G2338" s="2" t="n"/>
      <c r="H2338" s="2" t="n">
        <v>122</v>
      </c>
      <c r="I2338" s="2" t="inlineStr"/>
      <c r="J2338" s="2" t="inlineStr">
        <is>
          <t>да</t>
        </is>
      </c>
      <c r="K2338" s="3" t="inlineStr">
        <is>
          <t>По мотивам рассказов А.Т.Твардовского. В фильме использованы рассказы "Погляжу, какой ты милый", "Возвращение", "Печники".</t>
        </is>
      </c>
      <c r="L2338" s="2" t="inlineStr">
        <is>
          <t>Кино_СССР сводный каталог.xlsx: список телефильмов</t>
        </is>
      </c>
      <c r="M2338" s="2">
        <f>HYPERLINK("https://ru.wikipedia.org/w/index.php?search=%D0%9F%D0%B5%D1%87%D0%BD%D0%B8%D0%BA%D0%B8%201982%20%D1%84%D0%B8%D0%BB%D1%8C%D0%BC","искать")</f>
        <v/>
      </c>
      <c r="N2338" s="3" t="n"/>
      <c r="O2338" s="2" t="n"/>
      <c r="P2338" s="2" t="n"/>
    </row>
    <row r="2339">
      <c r="A2339" s="2" t="n">
        <v>2338</v>
      </c>
      <c r="B2339" s="2" t="inlineStr">
        <is>
          <t>не сюжет</t>
        </is>
      </c>
      <c r="C2339" s="2" t="n">
        <v>10565</v>
      </c>
      <c r="D2339" s="3" t="inlineStr">
        <is>
          <t>Лунная соната</t>
        </is>
      </c>
      <c r="E2339" s="2" t="n">
        <v>1974</v>
      </c>
      <c r="F2339" s="2" t="inlineStr">
        <is>
          <t>фильм-спектакль</t>
        </is>
      </c>
      <c r="G2339" s="2" t="n"/>
      <c r="H2339" s="2" t="n">
        <v>122</v>
      </c>
      <c r="I2339" s="2" t="inlineStr"/>
      <c r="J2339" s="2" t="inlineStr">
        <is>
          <t>да</t>
        </is>
      </c>
      <c r="K2339" s="3" t="inlineStr">
        <is>
          <t>По пьесе Ариадны Тур "Лунная соната" ("Я ищу отца").
Фильм-спектакль Московского драматического театра имени М.Н.Ермоловой</t>
        </is>
      </c>
      <c r="L2339" s="2" t="inlineStr">
        <is>
          <t>https://www.kino-teatr.ru/teatr/movie/104099/annot/</t>
        </is>
      </c>
      <c r="M2339" s="2">
        <f>HYPERLINK("https://ru.wikipedia.org/w/index.php?search=%D0%9B%D1%83%D0%BD%D0%BD%D0%B0%D1%8F%20%D1%81%D0%BE%D0%BD%D0%B0%D1%82%D0%B0%201974%20%D1%84%D0%B8%D0%BB%D1%8C%D0%BC","искать")</f>
        <v/>
      </c>
      <c r="N2339" s="3" t="n"/>
      <c r="O2339" s="2" t="n"/>
      <c r="P2339" s="2" t="n"/>
    </row>
    <row r="2340">
      <c r="A2340" s="2" t="n">
        <v>2339</v>
      </c>
      <c r="B2340" s="2" t="inlineStr">
        <is>
          <t>не сюжет</t>
        </is>
      </c>
      <c r="C2340" s="2" t="n">
        <v>10717</v>
      </c>
      <c r="D2340" s="3" t="inlineStr">
        <is>
          <t>Спартак (фильм-балет)</t>
        </is>
      </c>
      <c r="E2340" s="2" t="n">
        <v>1977</v>
      </c>
      <c r="F2340" s="2" t="inlineStr">
        <is>
          <t>фильм-спектакль</t>
        </is>
      </c>
      <c r="G2340" s="2" t="inlineStr">
        <is>
          <t>Мосфильм</t>
        </is>
      </c>
      <c r="H2340" s="2" t="n">
        <v>122</v>
      </c>
      <c r="I2340" s="2" t="inlineStr"/>
      <c r="J2340" s="2" t="inlineStr">
        <is>
          <t>да</t>
        </is>
      </c>
      <c r="K2340" s="3" t="inlineStr">
        <is>
          <t>Фильм по одноименному балету А.Хачатуряна в исполнении артистов Государственного академического Большого театра Союза ССР.</t>
        </is>
      </c>
      <c r="L2340" s="2" t="inlineStr">
        <is>
          <t>https://www.kino-teatr.ru/teatr/movie/10040/annot/</t>
        </is>
      </c>
      <c r="M2340" s="2">
        <f>HYPERLINK("https://ru.wikipedia.org/w/index.php?search=%D0%A1%D0%BF%D0%B0%D1%80%D1%82%D0%B0%D0%BA%20%28%D1%84%D0%B8%D0%BB%D1%8C%D0%BC-%D0%B1%D0%B0%D0%BB%D0%B5%D1%82%29%201977%20%D1%84%D0%B8%D0%BB%D1%8C%D0%BC","искать")</f>
        <v/>
      </c>
      <c r="N2340" s="3" t="n"/>
      <c r="O2340" s="2" t="n"/>
      <c r="P2340" s="2" t="n"/>
    </row>
    <row r="2341">
      <c r="A2341" s="2" t="n">
        <v>2340</v>
      </c>
      <c r="B2341" s="2" t="inlineStr">
        <is>
          <t>не сюжет</t>
        </is>
      </c>
      <c r="C2341" s="2" t="n">
        <v>11137</v>
      </c>
      <c r="D2341" s="3" t="inlineStr">
        <is>
          <t>Мизантроп (1986-1987)</t>
        </is>
      </c>
      <c r="E2341" s="2" t="n">
        <v>1986</v>
      </c>
      <c r="F2341" s="2" t="inlineStr">
        <is>
          <t>фильм-спектакль</t>
        </is>
      </c>
      <c r="G2341" s="2" t="n"/>
      <c r="H2341" s="2" t="n">
        <v>122</v>
      </c>
      <c r="I2341" s="2" t="inlineStr"/>
      <c r="J2341" s="2" t="inlineStr">
        <is>
          <t>да</t>
        </is>
      </c>
      <c r="K2341" s="3" t="inlineStr">
        <is>
          <t>Спектакль театра на Таганке по пьесе Мольера.
Последняя работа Анатолия Эфроса.
В спектакле звучит музыка Дюка Эллингтона.</t>
        </is>
      </c>
      <c r="L2341" s="2" t="inlineStr">
        <is>
          <t>https://www.kino-teatr.ru/teatr/movie/138495/annot/</t>
        </is>
      </c>
      <c r="M2341" s="2">
        <f>HYPERLINK("https://ru.wikipedia.org/w/index.php?search=%D0%9C%D0%B8%D0%B7%D0%B0%D0%BD%D1%82%D1%80%D0%BE%D0%BF%20%281986-1987%29%201986%20%D1%84%D0%B8%D0%BB%D1%8C%D0%BC","искать")</f>
        <v/>
      </c>
      <c r="N2341" s="3" t="n"/>
      <c r="O2341" s="2" t="n"/>
      <c r="P2341" s="2" t="n"/>
    </row>
    <row r="2342">
      <c r="A2342" s="2" t="n">
        <v>2341</v>
      </c>
      <c r="B2342" s="2" t="inlineStr">
        <is>
          <t>не сюжет</t>
        </is>
      </c>
      <c r="C2342" s="2" t="n">
        <v>13151</v>
      </c>
      <c r="D2342" s="3" t="inlineStr">
        <is>
          <t>Взвейтесь соколы орлами! (фантазии Сидорова)</t>
        </is>
      </c>
      <c r="E2342" s="2" t="n">
        <v>1991</v>
      </c>
      <c r="F2342" s="2" t="inlineStr">
        <is>
          <t>мультфильм</t>
        </is>
      </c>
      <c r="G2342" s="2" t="inlineStr">
        <is>
          <t>БЕЛАРУСЬФИЛЬМ НАЦИОНАЛЬНАЯ КИНОСТУДИЯ - ГП</t>
        </is>
      </c>
      <c r="H2342" s="2" t="n">
        <v>122</v>
      </c>
      <c r="I2342" s="2" t="inlineStr"/>
      <c r="J2342" s="2" t="inlineStr">
        <is>
          <t>да</t>
        </is>
      </c>
      <c r="K2342" s="3" t="inlineStr">
        <is>
          <t>Здесь можно посмотреть онлайн и скачать мультфильм "Взвейтесь соколы орлами! (фантазии Сидорова)" (БЕЛАРУСЬФИЛЬМ, 1991 г.)</t>
        </is>
      </c>
      <c r="L2342" s="2" t="inlineStr">
        <is>
          <t>2026-10_мультфильмы_список_владельца.xlsx; https://animator.ru/db/?p=show_film&amp;fid=4383</t>
        </is>
      </c>
      <c r="M2342" s="2">
        <f>HYPERLINK("https://ru.wikipedia.org/w/index.php?search=%D0%92%D0%B7%D0%B2%D0%B5%D0%B9%D1%82%D0%B5%D1%81%D1%8C%20%D1%81%D0%BE%D0%BA%D0%BE%D0%BB%D1%8B%20%D0%BE%D1%80%D0%BB%D0%B0%D0%BC%D0%B8%21%20%28%D1%84%D0%B0%D0%BD%D1%82%D0%B0%D0%B7%D0%B8%D0%B8%20%D0%A1%D0%B8%D0%B4%D0%BE%D1%80%D0%BE%D0%B2%D0%B0%29%201991%20%D1%84%D0%B8%D0%BB%D1%8C%D0%BC","искать")</f>
        <v/>
      </c>
      <c r="N2342" s="3" t="n"/>
      <c r="O2342" s="2" t="n"/>
      <c r="P2342" s="2" t="n"/>
    </row>
    <row r="2343">
      <c r="A2343" s="2" t="n">
        <v>2342</v>
      </c>
      <c r="B2343" s="2" t="inlineStr">
        <is>
          <t>не сюжет</t>
        </is>
      </c>
      <c r="C2343" s="2" t="n">
        <v>13288</v>
      </c>
      <c r="D2343" s="3" t="inlineStr">
        <is>
          <t>Театр папы Карло</t>
        </is>
      </c>
      <c r="E2343" s="2" t="n">
        <v>1988</v>
      </c>
      <c r="F2343" s="2" t="inlineStr">
        <is>
          <t>мультфильм</t>
        </is>
      </c>
      <c r="G2343" s="2" t="inlineStr">
        <is>
          <t>ТАЛЛИННФИЛЬМ</t>
        </is>
      </c>
      <c r="H2343" s="2" t="n">
        <v>122</v>
      </c>
      <c r="I2343" s="2" t="inlineStr"/>
      <c r="J2343" s="2" t="inlineStr">
        <is>
          <t>да</t>
        </is>
      </c>
      <c r="K2343" s="3" t="inlineStr">
        <is>
          <t>Жизнь - спектакль театра марионеток, но всегда есть люди, вырывающиеся из пут. Для взрослых. Гран-При, Эшпиньо, Португалия</t>
        </is>
      </c>
      <c r="L2343" s="2" t="inlineStr">
        <is>
          <t>https://animator.ru/db/?p=show_film&amp;fid=4545</t>
        </is>
      </c>
      <c r="M2343" s="2">
        <f>HYPERLINK("https://ru.wikipedia.org/w/index.php?search=%D0%A2%D0%B5%D0%B0%D1%82%D1%80%20%D0%BF%D0%B0%D0%BF%D1%8B%20%D0%9A%D0%B0%D1%80%D0%BB%D0%BE%201988%20%D1%84%D0%B8%D0%BB%D1%8C%D0%BC","искать")</f>
        <v/>
      </c>
      <c r="N2343" s="3" t="n"/>
      <c r="O2343" s="2" t="n"/>
      <c r="P2343" s="2" t="n"/>
    </row>
    <row r="2344">
      <c r="A2344" s="2" t="n">
        <v>2343</v>
      </c>
      <c r="B2344" s="2" t="inlineStr">
        <is>
          <t>не сюжет</t>
        </is>
      </c>
      <c r="C2344" s="2" t="n">
        <v>13553</v>
      </c>
      <c r="D2344" s="3" t="inlineStr">
        <is>
          <t>Маугли</t>
        </is>
      </c>
      <c r="E2344" s="2" t="n">
        <v>1973</v>
      </c>
      <c r="F2344" s="2" t="inlineStr">
        <is>
          <t>мультфильм</t>
        </is>
      </c>
      <c r="G2344" s="2" t="inlineStr">
        <is>
          <t>Союзмультфильм</t>
        </is>
      </c>
      <c r="H2344" s="2" t="n">
        <v>122</v>
      </c>
      <c r="I2344" s="2" t="inlineStr"/>
      <c r="J2344" s="2" t="inlineStr">
        <is>
          <t>да</t>
        </is>
      </c>
      <c r="K2344" s="3" t="inlineStr">
        <is>
          <t>Монтажный фильм на основе пяти фильмов: "Ракша", "Похищение", "Последняя охота Акелы", "Битва", "Возвращение к людям" (см)</t>
        </is>
      </c>
      <c r="L2344" s="2" t="inlineStr">
        <is>
          <t>https://animator.ru/db/?p=show_film&amp;fid=4873</t>
        </is>
      </c>
      <c r="M2344" s="2">
        <f>HYPERLINK("https://ru.wikipedia.org/w/index.php?search=%D0%9C%D0%B0%D1%83%D0%B3%D0%BB%D0%B8%201973%20%D1%84%D0%B8%D0%BB%D1%8C%D0%BC","искать")</f>
        <v/>
      </c>
      <c r="N2344" s="3" t="n"/>
      <c r="O2344" s="2" t="n"/>
      <c r="P2344" s="2" t="n"/>
    </row>
    <row r="2345">
      <c r="A2345" s="2" t="n">
        <v>2344</v>
      </c>
      <c r="B2345" s="2" t="inlineStr">
        <is>
          <t>не сюжет</t>
        </is>
      </c>
      <c r="C2345" s="2" t="n">
        <v>7300</v>
      </c>
      <c r="D2345" s="3" t="inlineStr">
        <is>
          <t>В семье Пятрайтисов</t>
        </is>
      </c>
      <c r="E2345" s="2" t="n">
        <v>1964</v>
      </c>
      <c r="F2345" s="2" t="inlineStr">
        <is>
          <t>телефильм</t>
        </is>
      </c>
      <c r="G2345" s="2" t="n"/>
      <c r="H2345" s="2" t="n">
        <v>123</v>
      </c>
      <c r="I2345" s="2" t="inlineStr"/>
      <c r="J2345" s="2" t="inlineStr">
        <is>
          <t>да</t>
        </is>
      </c>
      <c r="K2345" s="3" t="inlineStr">
        <is>
          <t>Первый многосерийный литовский телевизионный фильм. Рассказывает в комическом ключе о буднях семьи Пятрайтисов и их друзей.</t>
        </is>
      </c>
      <c r="L2345" s="2" t="inlineStr">
        <is>
          <t>Кино_СССР сводный каталог.xlsx: список телефильмов</t>
        </is>
      </c>
      <c r="M2345" s="2">
        <f>HYPERLINK("https://ru.wikipedia.org/w/index.php?search=%D0%92%20%D1%81%D0%B5%D0%BC%D1%8C%D0%B5%20%D0%9F%D1%8F%D1%82%D1%80%D0%B0%D0%B9%D1%82%D0%B8%D1%81%D0%BE%D0%B2%201964%20%D1%84%D0%B8%D0%BB%D1%8C%D0%BC","искать")</f>
        <v/>
      </c>
      <c r="N2345" s="3" t="n"/>
      <c r="O2345" s="2" t="n"/>
      <c r="P2345" s="2" t="n"/>
    </row>
    <row r="2346">
      <c r="A2346" s="2" t="n">
        <v>2345</v>
      </c>
      <c r="B2346" s="2" t="inlineStr">
        <is>
          <t>не сюжет</t>
        </is>
      </c>
      <c r="C2346" s="2" t="n">
        <v>9878</v>
      </c>
      <c r="D2346" s="3" t="inlineStr">
        <is>
          <t>На даче</t>
        </is>
      </c>
      <c r="E2346" s="2" t="n">
        <v>1970</v>
      </c>
      <c r="F2346" s="2" t="inlineStr">
        <is>
          <t>телефильм</t>
        </is>
      </c>
      <c r="G2346" s="2" t="inlineStr">
        <is>
          <t>Ленинградское телевидение</t>
        </is>
      </c>
      <c r="H2346" s="2" t="n">
        <v>123</v>
      </c>
      <c r="I2346" s="2" t="inlineStr"/>
      <c r="J2346" s="2" t="inlineStr">
        <is>
          <t>да</t>
        </is>
      </c>
      <c r="K2346" s="3" t="inlineStr">
        <is>
          <t>По одноименному рассказу А.П.Чехова.
Входит в состав трилогии "Чеховские рассказы" ("На даче", "Экзамен на чин", "Юбилей").</t>
        </is>
      </c>
      <c r="L2346" s="2" t="inlineStr">
        <is>
          <t>https://www.kino-teatr.ru/short/movie/sov/9043/annot/</t>
        </is>
      </c>
      <c r="M2346" s="2">
        <f>HYPERLINK("https://ru.wikipedia.org/w/index.php?search=%D0%9D%D0%B0%20%D0%B4%D0%B0%D1%87%D0%B5%201970%20%D1%84%D0%B8%D0%BB%D1%8C%D0%BC","искать")</f>
        <v/>
      </c>
      <c r="N2346" s="3" t="n"/>
      <c r="O2346" s="2" t="n"/>
      <c r="P2346" s="2" t="n"/>
    </row>
    <row r="2347">
      <c r="A2347" s="2" t="n">
        <v>2346</v>
      </c>
      <c r="B2347" s="2" t="inlineStr">
        <is>
          <t>не сюжет</t>
        </is>
      </c>
      <c r="C2347" s="2" t="n">
        <v>10088</v>
      </c>
      <c r="D2347" s="3" t="inlineStr">
        <is>
          <t>Пёстрые рассказы</t>
        </is>
      </c>
      <c r="E2347" s="2" t="n">
        <v>1961</v>
      </c>
      <c r="F2347" s="2" t="inlineStr">
        <is>
          <t>фильм-спектакль</t>
        </is>
      </c>
      <c r="G2347" s="2" t="inlineStr">
        <is>
          <t>Ленфильм, Центральное телевидение</t>
        </is>
      </c>
      <c r="H2347" s="2" t="n">
        <v>123</v>
      </c>
      <c r="I2347" s="2" t="inlineStr"/>
      <c r="J2347" s="2" t="inlineStr">
        <is>
          <t>да</t>
        </is>
      </c>
      <c r="K2347" s="3" t="inlineStr">
        <is>
          <t>По рассказам А.П.Чехова.
Телеэкранизация спектакля Ленинградского театра комедии в постановке и декорациях Николая Акимова.</t>
        </is>
      </c>
      <c r="L2347" s="2" t="inlineStr">
        <is>
          <t>https://www.kino-teatr.ru/teatr/movie/5102/annot/</t>
        </is>
      </c>
      <c r="M2347" s="2">
        <f>HYPERLINK("https://ru.wikipedia.org/w/index.php?search=%D0%9F%D1%91%D1%81%D1%82%D1%80%D1%8B%D0%B5%20%D1%80%D0%B0%D1%81%D1%81%D0%BA%D0%B0%D0%B7%D1%8B%201961%20%D1%84%D0%B8%D0%BB%D1%8C%D0%BC","искать")</f>
        <v/>
      </c>
      <c r="N2347" s="3" t="n"/>
      <c r="O2347" s="2" t="n"/>
      <c r="P2347" s="2" t="n"/>
    </row>
    <row r="2348">
      <c r="A2348" s="2" t="n">
        <v>2347</v>
      </c>
      <c r="B2348" s="2" t="inlineStr">
        <is>
          <t>не сюжет</t>
        </is>
      </c>
      <c r="C2348" s="2" t="n">
        <v>10289</v>
      </c>
      <c r="D2348" s="3" t="inlineStr">
        <is>
          <t>Бабье лето 1918 года</t>
        </is>
      </c>
      <c r="E2348" s="2" t="n">
        <v>1969</v>
      </c>
      <c r="F2348" s="2" t="inlineStr">
        <is>
          <t>фильм-спектакль</t>
        </is>
      </c>
      <c r="G2348" s="2" t="inlineStr">
        <is>
          <t>Центральное телевидение</t>
        </is>
      </c>
      <c r="H2348" s="2" t="n">
        <v>123</v>
      </c>
      <c r="I2348" s="2" t="inlineStr"/>
      <c r="J2348" s="2" t="inlineStr">
        <is>
          <t>да</t>
        </is>
      </c>
      <c r="K2348" s="3" t="inlineStr">
        <is>
          <t>Сценарист Алексей Леонтьев посвятил эту пьесу памяти Маши Путиловой, ценой жизни раскрывшей офицерский заговор в 1918 году.</t>
        </is>
      </c>
      <c r="L2348" s="2" t="inlineStr">
        <is>
          <t>https://www.kino-teatr.ru/teatr/movie/136793/annot/</t>
        </is>
      </c>
      <c r="M2348" s="2">
        <f>HYPERLINK("https://ru.wikipedia.org/w/index.php?search=%D0%91%D0%B0%D0%B1%D1%8C%D0%B5%20%D0%BB%D0%B5%D1%82%D0%BE%201918%20%D0%B3%D0%BE%D0%B4%D0%B0%201969%20%D1%84%D0%B8%D0%BB%D1%8C%D0%BC","искать")</f>
        <v/>
      </c>
      <c r="N2348" s="3" t="n"/>
      <c r="O2348" s="2" t="n"/>
      <c r="P2348" s="2" t="n"/>
    </row>
    <row r="2349">
      <c r="A2349" s="2" t="n">
        <v>2348</v>
      </c>
      <c r="B2349" s="2" t="inlineStr">
        <is>
          <t>не сюжет</t>
        </is>
      </c>
      <c r="C2349" s="2" t="n">
        <v>10444</v>
      </c>
      <c r="D2349" s="3" t="inlineStr">
        <is>
          <t>Золото, золото - сердце народное</t>
        </is>
      </c>
      <c r="E2349" s="2" t="n">
        <v>1972</v>
      </c>
      <c r="F2349" s="2" t="inlineStr">
        <is>
          <t>фильм-спектакль</t>
        </is>
      </c>
      <c r="G2349" s="2" t="inlineStr">
        <is>
          <t>Гл. ред. лит-драм программ</t>
        </is>
      </c>
      <c r="H2349" s="2" t="n">
        <v>123</v>
      </c>
      <c r="I2349" s="2" t="inlineStr"/>
      <c r="J2349" s="2" t="inlineStr">
        <is>
          <t>да</t>
        </is>
      </c>
      <c r="K2349" s="3" t="inlineStr">
        <is>
          <t>Литературная композиция по произведениям Н.А.Некрасова в постановке Государственного академического театра имени Моссовета.</t>
        </is>
      </c>
      <c r="L2349" s="2" t="inlineStr">
        <is>
          <t>https://www.kino-teatr.ru/teatr/movie/15394/annot/</t>
        </is>
      </c>
      <c r="M2349" s="2">
        <f>HYPERLINK("https://ru.wikipedia.org/w/index.php?search=%D0%97%D0%BE%D0%BB%D0%BE%D1%82%D0%BE%2C%20%D0%B7%D0%BE%D0%BB%D0%BE%D1%82%D0%BE%20-%20%D1%81%D0%B5%D1%80%D0%B4%D1%86%D0%B5%20%D0%BD%D0%B0%D1%80%D0%BE%D0%B4%D0%BD%D0%BE%D0%B5%201972%20%D1%84%D0%B8%D0%BB%D1%8C%D0%BC","искать")</f>
        <v/>
      </c>
      <c r="N2349" s="3" t="n"/>
      <c r="O2349" s="2" t="n"/>
      <c r="P2349" s="2" t="n"/>
    </row>
    <row r="2350">
      <c r="A2350" s="2" t="n">
        <v>2349</v>
      </c>
      <c r="B2350" s="2" t="inlineStr">
        <is>
          <t>не сюжет</t>
        </is>
      </c>
      <c r="C2350" s="2" t="n">
        <v>10831</v>
      </c>
      <c r="D2350" s="3" t="inlineStr">
        <is>
          <t>Антоний и Клеопатра</t>
        </is>
      </c>
      <c r="E2350" s="2" t="n">
        <v>1980</v>
      </c>
      <c r="F2350" s="2" t="inlineStr">
        <is>
          <t>фильм-спектакль</t>
        </is>
      </c>
      <c r="G2350" s="2" t="inlineStr">
        <is>
          <t>Творческое объединение «Экран»</t>
        </is>
      </c>
      <c r="H2350" s="2" t="n">
        <v>123</v>
      </c>
      <c r="I2350" s="2" t="inlineStr"/>
      <c r="J2350" s="2" t="inlineStr">
        <is>
          <t>да</t>
        </is>
      </c>
      <c r="K2350" s="3" t="inlineStr">
        <is>
          <t>Фильм - спектакль по одноименной драме У.Шекспира в постановке Государственного академического театра имени Евг.Вахтангова.</t>
        </is>
      </c>
      <c r="L2350" s="2" t="inlineStr">
        <is>
          <t>https://www.kino-teatr.ru/teatr/movie/11419/annot/</t>
        </is>
      </c>
      <c r="M2350" s="2">
        <f>HYPERLINK("https://ru.wikipedia.org/w/index.php?search=%D0%90%D0%BD%D1%82%D0%BE%D0%BD%D0%B8%D0%B9%20%D0%B8%20%D0%9A%D0%BB%D0%B5%D0%BE%D0%BF%D0%B0%D1%82%D1%80%D0%B0%201980%20%D1%84%D0%B8%D0%BB%D1%8C%D0%BC","искать")</f>
        <v/>
      </c>
      <c r="N2350" s="3" t="n"/>
      <c r="O2350" s="2" t="n"/>
      <c r="P2350" s="2" t="n"/>
    </row>
    <row r="2351">
      <c r="A2351" s="2" t="n">
        <v>2350</v>
      </c>
      <c r="B2351" s="2" t="inlineStr">
        <is>
          <t>не сюжет</t>
        </is>
      </c>
      <c r="C2351" s="2" t="n">
        <v>11685</v>
      </c>
      <c r="D2351" s="3" t="inlineStr">
        <is>
          <t>Русские напевы</t>
        </is>
      </c>
      <c r="E2351" s="2" t="n">
        <v>1972</v>
      </c>
      <c r="F2351" s="2" t="inlineStr">
        <is>
          <t>мультфильм</t>
        </is>
      </c>
      <c r="G2351" s="2" t="inlineStr">
        <is>
          <t>Союзмультфильм</t>
        </is>
      </c>
      <c r="H2351" s="2" t="n">
        <v>123</v>
      </c>
      <c r="I2351" s="2" t="inlineStr"/>
      <c r="J2351" s="2" t="inlineStr">
        <is>
          <t>да</t>
        </is>
      </c>
      <c r="K2351" s="3" t="inlineStr">
        <is>
          <t>По мотивам русских песен "Во деревне то было в Ольховке", "Вставала я ранешенько", "Метелица". Для взрослых. Широкоэкранный</t>
        </is>
      </c>
      <c r="L2351" s="2" t="inlineStr">
        <is>
          <t>https://animator.ru/db/?p=show_film&amp;fid=2599</t>
        </is>
      </c>
      <c r="M2351" s="2">
        <f>HYPERLINK("https://ru.wikipedia.org/w/index.php?search=%D0%A0%D1%83%D1%81%D1%81%D0%BA%D0%B8%D0%B5%20%D0%BD%D0%B0%D0%BF%D0%B5%D0%B2%D1%8B%201972%20%D1%84%D0%B8%D0%BB%D1%8C%D0%BC","искать")</f>
        <v/>
      </c>
      <c r="N2351" s="3" t="n"/>
      <c r="O2351" s="2" t="n"/>
      <c r="P2351" s="2" t="n"/>
    </row>
    <row r="2352">
      <c r="A2352" s="2" t="n">
        <v>2351</v>
      </c>
      <c r="B2352" s="2" t="inlineStr">
        <is>
          <t>не сюжет</t>
        </is>
      </c>
      <c r="C2352" s="2" t="n">
        <v>11962</v>
      </c>
      <c r="D2352" s="3" t="inlineStr">
        <is>
          <t>Ежик плюс черепаха</t>
        </is>
      </c>
      <c r="E2352" s="2" t="n">
        <v>1981</v>
      </c>
      <c r="F2352" s="2" t="inlineStr">
        <is>
          <t>мультфильм</t>
        </is>
      </c>
      <c r="G2352" s="2" t="inlineStr">
        <is>
          <t>Союзмультфильм</t>
        </is>
      </c>
      <c r="H2352" s="2" t="n">
        <v>123</v>
      </c>
      <c r="I2352" s="2" t="inlineStr"/>
      <c r="J2352" s="2" t="inlineStr">
        <is>
          <t>да</t>
        </is>
      </c>
      <c r="K2352" s="3" t="inlineStr">
        <is>
          <t>По мотивам сказки Киплинга "Откуда взялись броненосцы".
Песню В.Берковского и М.Синельникова поют Татьяна и Сергей Никитины</t>
        </is>
      </c>
      <c r="L2352" s="2" t="inlineStr">
        <is>
          <t>https://animator.ru/db/?p=show_film&amp;fid=2878</t>
        </is>
      </c>
      <c r="M2352" s="2">
        <f>HYPERLINK("https://ru.wikipedia.org/w/index.php?search=%D0%95%D0%B6%D0%B8%D0%BA%20%D0%BF%D0%BB%D1%8E%D1%81%20%D1%87%D0%B5%D1%80%D0%B5%D0%BF%D0%B0%D1%85%D0%B0%201981%20%D1%84%D0%B8%D0%BB%D1%8C%D0%BC","искать")</f>
        <v/>
      </c>
      <c r="N2352" s="3" t="n"/>
      <c r="O2352" s="2" t="n"/>
      <c r="P2352" s="2" t="n"/>
    </row>
    <row r="2353">
      <c r="A2353" s="2" t="n">
        <v>2352</v>
      </c>
      <c r="B2353" s="2" t="inlineStr">
        <is>
          <t>не сюжет</t>
        </is>
      </c>
      <c r="C2353" s="2" t="n">
        <v>12127</v>
      </c>
      <c r="D2353" s="3" t="inlineStr">
        <is>
          <t>Фру-89. Жертва</t>
        </is>
      </c>
      <c r="E2353" s="2" t="n">
        <v>1989</v>
      </c>
      <c r="F2353" s="2" t="inlineStr">
        <is>
          <t>мультфильм</t>
        </is>
      </c>
      <c r="G2353" s="2" t="inlineStr">
        <is>
          <t>Союзмультфильм</t>
        </is>
      </c>
      <c r="H2353" s="2" t="n">
        <v>123</v>
      </c>
      <c r="I2353" s="2" t="inlineStr"/>
      <c r="J2353" s="2" t="inlineStr">
        <is>
          <t>да</t>
        </is>
      </c>
      <c r="K2353" s="3" t="inlineStr">
        <is>
          <t>Для взрослых. "Фрустрация" -- состояние подавленных потребностей. Сюжет о чиновнике, которого одолевали эротические видения</t>
        </is>
      </c>
      <c r="L2353" s="2" t="inlineStr">
        <is>
          <t>https://animator.ru/db/?p=show_film&amp;fid=3243</t>
        </is>
      </c>
      <c r="M2353" s="2">
        <f>HYPERLINK("https://ru.wikipedia.org/w/index.php?search=%D0%A4%D1%80%D1%83-89.%20%D0%96%D0%B5%D1%80%D1%82%D0%B2%D0%B0%201989%20%D1%84%D0%B8%D0%BB%D1%8C%D0%BC","искать")</f>
        <v/>
      </c>
      <c r="N2353" s="3" t="n"/>
      <c r="O2353" s="2" t="n"/>
      <c r="P2353" s="2" t="n"/>
    </row>
    <row r="2354">
      <c r="A2354" s="2" t="n">
        <v>2353</v>
      </c>
      <c r="B2354" s="2" t="inlineStr">
        <is>
          <t>не сюжет</t>
        </is>
      </c>
      <c r="C2354" s="2" t="n">
        <v>12546</v>
      </c>
      <c r="D2354" s="3" t="inlineStr">
        <is>
          <t>Сказание про Игорев поход</t>
        </is>
      </c>
      <c r="E2354" s="2" t="n">
        <v>1972</v>
      </c>
      <c r="F2354" s="2" t="inlineStr">
        <is>
          <t>мультфильм</t>
        </is>
      </c>
      <c r="G2354" s="2" t="inlineStr">
        <is>
          <t>КИЕВНАУЧФИЛЬМ</t>
        </is>
      </c>
      <c r="H2354" s="2" t="n">
        <v>123</v>
      </c>
      <c r="I2354" s="2" t="inlineStr"/>
      <c r="J2354" s="2" t="inlineStr">
        <is>
          <t>да</t>
        </is>
      </c>
      <c r="K2354" s="3" t="inlineStr">
        <is>
          <t>По мотивам "Слова о полку Игореве".
V МФ документальных и к/м фильмов в Нионе (Швейцария), 1972 -- Специальная премия жюри</t>
        </is>
      </c>
      <c r="L2354" s="2" t="inlineStr">
        <is>
          <t>2026-10_мультфильмы_список_владельца.xlsx; https://animator.ru/db/?p=show_film&amp;fid=3725</t>
        </is>
      </c>
      <c r="M2354" s="2">
        <f>HYPERLINK("https://ru.wikipedia.org/w/index.php?search=%D0%A1%D0%BA%D0%B0%D0%B7%D0%B0%D0%BD%D0%B8%D0%B5%20%D0%BF%D1%80%D0%BE%20%D0%98%D0%B3%D0%BE%D1%80%D0%B5%D0%B2%20%D0%BF%D0%BE%D1%85%D0%BE%D0%B4%201972%20%D1%84%D0%B8%D0%BB%D1%8C%D0%BC","искать")</f>
        <v/>
      </c>
      <c r="N2354" s="3" t="n"/>
      <c r="O2354" s="2" t="n"/>
      <c r="P2354" s="2" t="n"/>
    </row>
    <row r="2355">
      <c r="A2355" s="2" t="n">
        <v>2354</v>
      </c>
      <c r="B2355" s="2" t="inlineStr">
        <is>
          <t>не сюжет</t>
        </is>
      </c>
      <c r="C2355" s="2" t="n">
        <v>12655</v>
      </c>
      <c r="D2355" s="3" t="inlineStr">
        <is>
          <t>Кубороид</t>
        </is>
      </c>
      <c r="E2355" s="2" t="n">
        <v>1991</v>
      </c>
      <c r="F2355" s="2" t="inlineStr">
        <is>
          <t>мультфильм</t>
        </is>
      </c>
      <c r="G2355" s="2" t="inlineStr">
        <is>
          <t>ПАНОРАМА ЛО КИНОФОНДА СССР</t>
        </is>
      </c>
      <c r="H2355" s="2" t="n">
        <v>123</v>
      </c>
      <c r="I2355" s="2" t="inlineStr"/>
      <c r="J2355" s="2" t="inlineStr">
        <is>
          <t>да</t>
        </is>
      </c>
      <c r="K2355" s="3" t="inlineStr">
        <is>
          <t>О странных, фантастических превращениях, которые происходят с человеком, посвятившим свою жизнь борьбе за место под солнцем</t>
        </is>
      </c>
      <c r="L2355" s="2" t="inlineStr">
        <is>
          <t>https://gosfilmofond.ru/films/255990/</t>
        </is>
      </c>
      <c r="M2355" s="2">
        <f>HYPERLINK("https://ru.wikipedia.org/w/index.php?search=%D0%9A%D1%83%D0%B1%D0%BE%D1%80%D0%BE%D0%B8%D0%B4%201991%20%D1%84%D0%B8%D0%BB%D1%8C%D0%BC","искать")</f>
        <v/>
      </c>
      <c r="N2355" s="3" t="n"/>
      <c r="O2355" s="2" t="n"/>
      <c r="P2355" s="2" t="n"/>
    </row>
    <row r="2356">
      <c r="A2356" s="2" t="n">
        <v>2355</v>
      </c>
      <c r="B2356" s="2" t="inlineStr">
        <is>
          <t>не сюжет</t>
        </is>
      </c>
      <c r="C2356" s="2" t="n">
        <v>13725</v>
      </c>
      <c r="D2356" s="3" t="inlineStr">
        <is>
          <t>Конный спорт (преодоление препятствий)</t>
        </is>
      </c>
      <c r="E2356" s="2" t="n">
        <v>1980</v>
      </c>
      <c r="F2356" s="2" t="inlineStr">
        <is>
          <t>мультфильм</t>
        </is>
      </c>
      <c r="G2356" s="2" t="inlineStr">
        <is>
          <t>ЭКРАН</t>
        </is>
      </c>
      <c r="H2356" s="2" t="n">
        <v>123</v>
      </c>
      <c r="I2356" s="2" t="inlineStr"/>
      <c r="J2356" s="2" t="inlineStr">
        <is>
          <t>да</t>
        </is>
      </c>
      <c r="K2356" s="3" t="inlineStr">
        <is>
          <t>Здесь можно посмотреть онлайн и скачать мультфильм "Конный спорт (преодоление препятствий)" (ЭКРАН, 1980 г.) (Олимпиада-80)</t>
        </is>
      </c>
      <c r="L2356" s="2" t="inlineStr">
        <is>
          <t>2026-10_мультфильмы_список_владельца.xlsx; https://animator.ru/db/?p=show_film&amp;fid=5118</t>
        </is>
      </c>
      <c r="M2356" s="2">
        <f>HYPERLINK("https://ru.wikipedia.org/w/index.php?search=%D0%9A%D0%BE%D0%BD%D0%BD%D1%8B%D0%B9%20%D1%81%D0%BF%D0%BE%D1%80%D1%82%20%28%D0%BF%D1%80%D0%B5%D0%BE%D0%B4%D0%BE%D0%BB%D0%B5%D0%BD%D0%B8%D0%B5%20%D0%BF%D1%80%D0%B5%D0%BF%D1%8F%D1%82%D1%81%D1%82%D0%B2%D0%B8%D0%B9%29%201980%20%D1%84%D0%B8%D0%BB%D1%8C%D0%BC","искать")</f>
        <v/>
      </c>
      <c r="N2356" s="3" t="n"/>
      <c r="O2356" s="2" t="n"/>
      <c r="P2356" s="2" t="n"/>
    </row>
    <row r="2357">
      <c r="A2357" s="2" t="n">
        <v>2356</v>
      </c>
      <c r="B2357" s="2" t="inlineStr">
        <is>
          <t>не сюжет</t>
        </is>
      </c>
      <c r="C2357" s="2" t="n">
        <v>7827</v>
      </c>
      <c r="D2357" s="3" t="inlineStr">
        <is>
          <t>Любовь к ближнему</t>
        </is>
      </c>
      <c r="E2357" s="2" t="n">
        <v>1988</v>
      </c>
      <c r="F2357" s="2" t="inlineStr">
        <is>
          <t>телефильм</t>
        </is>
      </c>
      <c r="G2357" s="2" t="n"/>
      <c r="H2357" s="2" t="n">
        <v>124</v>
      </c>
      <c r="I2357" s="2" t="inlineStr"/>
      <c r="J2357" s="2" t="inlineStr">
        <is>
          <t>да</t>
        </is>
      </c>
      <c r="K2357" s="3" t="inlineStr">
        <is>
          <t>По мотивам пьес Л.Андреева "Монумент" и "Любовь к ближнему". Фильм состоит их двух новелл: «Монумент» и «Любовь к ближнему».</t>
        </is>
      </c>
      <c r="L2357" s="2" t="inlineStr">
        <is>
          <t>Кино_СССР сводный каталог.xlsx: список телефильмов</t>
        </is>
      </c>
      <c r="M2357" s="2">
        <f>HYPERLINK("https://ru.wikipedia.org/w/index.php?search=%D0%9B%D1%8E%D0%B1%D0%BE%D0%B2%D1%8C%20%D0%BA%20%D0%B1%D0%BB%D0%B8%D0%B6%D0%BD%D0%B5%D0%BC%D1%83%201988%20%D1%84%D0%B8%D0%BB%D1%8C%D0%BC","искать")</f>
        <v/>
      </c>
      <c r="N2357" s="3" t="n"/>
      <c r="O2357" s="2" t="n"/>
      <c r="P2357" s="2" t="n"/>
    </row>
    <row r="2358">
      <c r="A2358" s="2" t="n">
        <v>2357</v>
      </c>
      <c r="B2358" s="2" t="inlineStr">
        <is>
          <t>не сюжет</t>
        </is>
      </c>
      <c r="C2358" s="2" t="n">
        <v>8355</v>
      </c>
      <c r="D2358" s="3" t="inlineStr">
        <is>
          <t>Славные шутники</t>
        </is>
      </c>
      <c r="E2358" s="2" t="n">
        <v>1982</v>
      </c>
      <c r="F2358" s="2" t="inlineStr">
        <is>
          <t>телефильм</t>
        </is>
      </c>
      <c r="G2358" s="2" t="n"/>
      <c r="H2358" s="2" t="n">
        <v>124</v>
      </c>
      <c r="I2358" s="2" t="inlineStr"/>
      <c r="J2358" s="2" t="inlineStr">
        <is>
          <t>да</t>
        </is>
      </c>
      <c r="K2358" s="3" t="inlineStr">
        <is>
          <t>Фильм снят по фельетону эстонского писателя Эдуарда Борнхэе "Таллинские шутки и розыгрыши", который был написан в 1892 году.</t>
        </is>
      </c>
      <c r="L2358" s="2" t="inlineStr">
        <is>
          <t>Кино_СССР сводный каталог.xlsx: список телефильмов</t>
        </is>
      </c>
      <c r="M2358" s="2">
        <f>HYPERLINK("https://ru.wikipedia.org/w/index.php?search=%D0%A1%D0%BB%D0%B0%D0%B2%D0%BD%D1%8B%D0%B5%20%D1%88%D1%83%D1%82%D0%BD%D0%B8%D0%BA%D0%B8%201982%20%D1%84%D0%B8%D0%BB%D1%8C%D0%BC","искать")</f>
        <v/>
      </c>
      <c r="N2358" s="3" t="n"/>
      <c r="O2358" s="2" t="n"/>
      <c r="P2358" s="2" t="n"/>
    </row>
    <row r="2359">
      <c r="A2359" s="2" t="n">
        <v>2358</v>
      </c>
      <c r="B2359" s="2" t="inlineStr">
        <is>
          <t>не сюжет</t>
        </is>
      </c>
      <c r="C2359" s="2" t="n">
        <v>10146</v>
      </c>
      <c r="D2359" s="3" t="inlineStr">
        <is>
          <t>Мятеж неизвестных</t>
        </is>
      </c>
      <c r="E2359" s="2" t="n">
        <v>1965</v>
      </c>
      <c r="F2359" s="2" t="inlineStr">
        <is>
          <t>фильм-спектакль</t>
        </is>
      </c>
      <c r="G2359" s="2" t="inlineStr">
        <is>
          <t>Ленинградское телевидение</t>
        </is>
      </c>
      <c r="H2359" s="2" t="n">
        <v>124</v>
      </c>
      <c r="I2359" s="2" t="inlineStr"/>
      <c r="J2359" s="2" t="inlineStr">
        <is>
          <t>да</t>
        </is>
      </c>
      <c r="K2359" s="3" t="inlineStr">
        <is>
          <t>Спектакль Ленинградского театра им. Комиссаржевской по пьесе Генриха Боровика.
О борьбе за независимость небольшого острова.</t>
        </is>
      </c>
      <c r="L2359" s="2" t="inlineStr">
        <is>
          <t>https://www.kino-teatr.ru/teatr/movie/136482/annot/</t>
        </is>
      </c>
      <c r="M2359" s="2">
        <f>HYPERLINK("https://ru.wikipedia.org/w/index.php?search=%D0%9C%D1%8F%D1%82%D0%B5%D0%B6%20%D0%BD%D0%B5%D0%B8%D0%B7%D0%B2%D0%B5%D1%81%D1%82%D0%BD%D1%8B%D1%85%201965%20%D1%84%D0%B8%D0%BB%D1%8C%D0%BC","искать")</f>
        <v/>
      </c>
      <c r="N2359" s="3" t="n"/>
      <c r="O2359" s="2" t="n"/>
      <c r="P2359" s="2" t="n"/>
    </row>
    <row r="2360">
      <c r="A2360" s="2" t="n">
        <v>2359</v>
      </c>
      <c r="B2360" s="2" t="inlineStr">
        <is>
          <t>не сюжет</t>
        </is>
      </c>
      <c r="C2360" s="2" t="n">
        <v>11394</v>
      </c>
      <c r="D2360" s="3" t="inlineStr">
        <is>
          <t>Шутите? (киноальманах)</t>
        </is>
      </c>
      <c r="E2360" s="2" t="n">
        <v>1971</v>
      </c>
      <c r="F2360" s="2" t="inlineStr">
        <is>
          <t>телефильм</t>
        </is>
      </c>
      <c r="G2360" s="2" t="n"/>
      <c r="H2360" s="2" t="n">
        <v>124</v>
      </c>
      <c r="I2360" s="2" t="inlineStr"/>
      <c r="J2360" s="2" t="inlineStr">
        <is>
          <t>да</t>
        </is>
      </c>
      <c r="K2360" s="3" t="inlineStr">
        <is>
          <t>Киноальманах выпукников ВГИКа, состоящий из фильмов для детей:"Иначе мы пропали", "Вандербуль бежит за горизонт" и "Шутите?"</t>
        </is>
      </c>
      <c r="L2360" s="2" t="inlineStr">
        <is>
          <t>Кино_СССР телефильмы и пропуски включить в базу.xlsx</t>
        </is>
      </c>
      <c r="M2360" s="2">
        <f>HYPERLINK("https://ru.wikipedia.org/w/index.php?search=%D0%A8%D1%83%D1%82%D0%B8%D1%82%D0%B5%3F%20%28%D0%BA%D0%B8%D0%BD%D0%BE%D0%B0%D0%BB%D1%8C%D0%BC%D0%B0%D0%BD%D0%B0%D1%85%29%201971%20%D1%84%D0%B8%D0%BB%D1%8C%D0%BC","искать")</f>
        <v/>
      </c>
      <c r="N2360" s="3" t="n"/>
      <c r="O2360" s="2" t="n"/>
      <c r="P2360" s="2" t="n"/>
    </row>
    <row r="2361">
      <c r="A2361" s="2" t="n">
        <v>2360</v>
      </c>
      <c r="B2361" s="2" t="inlineStr">
        <is>
          <t>не сюжет</t>
        </is>
      </c>
      <c r="C2361" s="2" t="n">
        <v>12024</v>
      </c>
      <c r="D2361" s="3" t="inlineStr">
        <is>
          <t>Рыбья упряжка</t>
        </is>
      </c>
      <c r="E2361" s="2" t="n">
        <v>1982</v>
      </c>
      <c r="F2361" s="2" t="inlineStr">
        <is>
          <t>мультфильм</t>
        </is>
      </c>
      <c r="G2361" s="2" t="inlineStr">
        <is>
          <t>Союзмультфильм</t>
        </is>
      </c>
      <c r="H2361" s="2" t="n">
        <v>124</v>
      </c>
      <c r="I2361" s="2" t="inlineStr"/>
      <c r="J2361" s="2" t="inlineStr">
        <is>
          <t>да</t>
        </is>
      </c>
      <c r="K2361" s="3" t="inlineStr">
        <is>
          <t>Сюжеты: "Ворон Кутх" (ительментская сказка), "Букашка путешественница" (эскимосская сказка), "Улитка" (ительменская сказка).</t>
        </is>
      </c>
      <c r="L2361" s="2" t="inlineStr">
        <is>
          <t>2026-10_мультфильмы_список_владельца.xlsx; https://animator.ru/db/?p=show_film&amp;fid=3138</t>
        </is>
      </c>
      <c r="M2361" s="2">
        <f>HYPERLINK("https://ru.wikipedia.org/w/index.php?search=%D0%A0%D1%8B%D0%B1%D1%8C%D1%8F%20%D1%83%D0%BF%D1%80%D1%8F%D0%B6%D0%BA%D0%B0%201982%20%D1%84%D0%B8%D0%BB%D1%8C%D0%BC","искать")</f>
        <v/>
      </c>
      <c r="N2361" s="3" t="n"/>
      <c r="O2361" s="2" t="n"/>
      <c r="P2361" s="2" t="n"/>
    </row>
    <row r="2362">
      <c r="A2362" s="2" t="n">
        <v>2361</v>
      </c>
      <c r="B2362" s="2" t="inlineStr">
        <is>
          <t>не сюжет</t>
        </is>
      </c>
      <c r="C2362" s="2" t="n">
        <v>12066</v>
      </c>
      <c r="D2362" s="3" t="inlineStr">
        <is>
          <t>А что ты умеешь?</t>
        </is>
      </c>
      <c r="E2362" s="2" t="n">
        <v>1984</v>
      </c>
      <c r="F2362" s="2" t="inlineStr">
        <is>
          <t>мультфильм</t>
        </is>
      </c>
      <c r="G2362" s="2" t="inlineStr">
        <is>
          <t>Союзмультфильм</t>
        </is>
      </c>
      <c r="H2362" s="2" t="n">
        <v>124</v>
      </c>
      <c r="I2362" s="2" t="inlineStr"/>
      <c r="J2362" s="2" t="inlineStr">
        <is>
          <t>да</t>
        </is>
      </c>
      <c r="K2362" s="3" t="inlineStr">
        <is>
          <t>О том, что друзей нужно выбирать, руководствуясь не корыстными побуждениями, а тех, кто никогда не предаст в трудную минуту.</t>
        </is>
      </c>
      <c r="L2362" s="2" t="inlineStr">
        <is>
          <t>2026-10_мультфильмы_список_владельца.xlsx; https://animator.ru/db/?p=show_film&amp;fid=3181</t>
        </is>
      </c>
      <c r="M2362" s="2">
        <f>HYPERLINK("https://ru.wikipedia.org/w/index.php?search=%D0%90%20%D1%87%D1%82%D0%BE%20%D1%82%D1%8B%20%D1%83%D0%BC%D0%B5%D0%B5%D1%88%D1%8C%3F%201984%20%D1%84%D0%B8%D0%BB%D1%8C%D0%BC","искать")</f>
        <v/>
      </c>
      <c r="N2362" s="3" t="n"/>
      <c r="O2362" s="2" t="n"/>
      <c r="P2362" s="2" t="n"/>
    </row>
    <row r="2363">
      <c r="A2363" s="2" t="n">
        <v>2362</v>
      </c>
      <c r="B2363" s="2" t="inlineStr">
        <is>
          <t>не сюжет</t>
        </is>
      </c>
      <c r="C2363" s="2" t="n">
        <v>12456</v>
      </c>
      <c r="D2363" s="3" t="inlineStr">
        <is>
          <t>Мистерия-Буфф</t>
        </is>
      </c>
      <c r="E2363" s="2" t="n">
        <v>1969</v>
      </c>
      <c r="F2363" s="2" t="inlineStr">
        <is>
          <t>мультфильм</t>
        </is>
      </c>
      <c r="G2363" s="2" t="inlineStr">
        <is>
          <t>КИЕВНАУЧФИЛЬМ</t>
        </is>
      </c>
      <c r="H2363" s="2" t="n">
        <v>124</v>
      </c>
      <c r="I2363" s="2" t="inlineStr"/>
      <c r="J2363" s="2" t="inlineStr">
        <is>
          <t>да</t>
        </is>
      </c>
      <c r="K2363" s="3" t="inlineStr">
        <is>
          <t>По одноименной пьесе Владимира Маяковского.
Фильм создан в новаторской технике — сочетание актёров с перекладкой и рисунком.</t>
        </is>
      </c>
      <c r="L2363" s="2" t="inlineStr">
        <is>
          <t>https://gosfilmofond.ru/films/254757/</t>
        </is>
      </c>
      <c r="M2363" s="2">
        <f>HYPERLINK("https://ru.wikipedia.org/w/index.php?search=%D0%9C%D0%B8%D1%81%D1%82%D0%B5%D1%80%D0%B8%D1%8F-%D0%91%D1%83%D1%84%D1%84%201969%20%D1%84%D0%B8%D0%BB%D1%8C%D0%BC","искать")</f>
        <v/>
      </c>
      <c r="N2363" s="3" t="n"/>
      <c r="O2363" s="2" t="n"/>
      <c r="P2363" s="2" t="n"/>
    </row>
    <row r="2364">
      <c r="A2364" s="2" t="n">
        <v>2363</v>
      </c>
      <c r="B2364" s="2" t="inlineStr">
        <is>
          <t>не сюжет</t>
        </is>
      </c>
      <c r="C2364" s="2" t="n">
        <v>7399</v>
      </c>
      <c r="D2364" s="3" t="inlineStr">
        <is>
          <t>Всё сначала!.. (киноальманах)</t>
        </is>
      </c>
      <c r="E2364" s="2" t="n">
        <v>1975</v>
      </c>
      <c r="F2364" s="2" t="inlineStr">
        <is>
          <t>телефильм</t>
        </is>
      </c>
      <c r="G2364" s="2" t="n"/>
      <c r="H2364" s="2" t="n">
        <v>125</v>
      </c>
      <c r="I2364" s="2" t="inlineStr"/>
      <c r="J2364" s="2" t="inlineStr">
        <is>
          <t>да</t>
        </is>
      </c>
      <c r="K2364" s="3" t="inlineStr">
        <is>
          <t>Фильм состоит из двух комедийных новелл "Последние каникулы" и "Сюрприз". Художественный руководитель фильма Тенгиз Абуладзе.</t>
        </is>
      </c>
      <c r="L2364" s="2" t="inlineStr">
        <is>
          <t>Кино_СССР сводный каталог.xlsx: список телефильмов</t>
        </is>
      </c>
      <c r="M2364" s="2">
        <f>HYPERLINK("https://ru.wikipedia.org/w/index.php?search=%D0%92%D1%81%D1%91%20%D1%81%D0%BD%D0%B0%D1%87%D0%B0%D0%BB%D0%B0%21..%20%28%D0%BA%D0%B8%D0%BD%D0%BE%D0%B0%D0%BB%D1%8C%D0%BC%D0%B0%D0%BD%D0%B0%D1%85%29%201975%20%D1%84%D0%B8%D0%BB%D1%8C%D0%BC","искать")</f>
        <v/>
      </c>
      <c r="N2364" s="3" t="n"/>
      <c r="O2364" s="2" t="n"/>
      <c r="P2364" s="2" t="n"/>
    </row>
    <row r="2365">
      <c r="A2365" s="2" t="n">
        <v>2364</v>
      </c>
      <c r="B2365" s="2" t="inlineStr">
        <is>
          <t>не сюжет</t>
        </is>
      </c>
      <c r="C2365" s="2" t="n">
        <v>9533</v>
      </c>
      <c r="D2365" s="3" t="inlineStr">
        <is>
          <t>Отец и сын</t>
        </is>
      </c>
      <c r="E2365" s="2" t="n">
        <v>1941</v>
      </c>
      <c r="F2365" s="2" t="inlineStr">
        <is>
          <t>кинофильм</t>
        </is>
      </c>
      <c r="G2365" s="2" t="n"/>
      <c r="H2365" s="2" t="n">
        <v>125</v>
      </c>
      <c r="I2365" s="2" t="inlineStr"/>
      <c r="J2365" s="2" t="inlineStr">
        <is>
          <t>да</t>
        </is>
      </c>
      <c r="K2365" s="3" t="inlineStr">
        <is>
          <t>О соперничестве между отцом — приверженцем традиционных методов плавки металла и сыном-новатором. Фильм на экраны не выпущен.</t>
        </is>
      </c>
      <c r="L2365" s="2" t="inlineStr">
        <is>
          <t>Кино_СССР сводный каталог.xlsx: список фильмов (доп.)</t>
        </is>
      </c>
      <c r="M2365" s="2">
        <f>HYPERLINK("https://ru.wikipedia.org/w/index.php?search=%D0%9E%D1%82%D0%B5%D1%86%20%D0%B8%20%D1%81%D1%8B%D0%BD%201941%20%D1%84%D0%B8%D0%BB%D1%8C%D0%BC","искать")</f>
        <v/>
      </c>
      <c r="N2365" s="3" t="n"/>
      <c r="O2365" s="2" t="n"/>
      <c r="P2365" s="2" t="n"/>
    </row>
    <row r="2366">
      <c r="A2366" s="2" t="n">
        <v>2365</v>
      </c>
      <c r="B2366" s="2" t="inlineStr">
        <is>
          <t>не сюжет</t>
        </is>
      </c>
      <c r="C2366" s="2" t="n">
        <v>10316</v>
      </c>
      <c r="D2366" s="3" t="inlineStr">
        <is>
          <t>Марки, йоги и 7-а</t>
        </is>
      </c>
      <c r="E2366" s="2" t="n">
        <v>1969</v>
      </c>
      <c r="F2366" s="2" t="inlineStr">
        <is>
          <t>фильм-спектакль</t>
        </is>
      </c>
      <c r="G2366" s="2" t="inlineStr">
        <is>
          <t>Ленинградское телевидение</t>
        </is>
      </c>
      <c r="H2366" s="2" t="n">
        <v>125</v>
      </c>
      <c r="I2366" s="2" t="inlineStr"/>
      <c r="J2366" s="2" t="inlineStr">
        <is>
          <t>да</t>
        </is>
      </c>
      <c r="K2366" s="3" t="inlineStr">
        <is>
          <t>Лирическая комедия из школьной жизни на основе трех рассказов детского писателя Н.Внукова: "Розовая гвиана", "Взрыв", "Йоги".</t>
        </is>
      </c>
      <c r="L2366" s="2" t="inlineStr">
        <is>
          <t>https://www.kino-teatr.ru/teatr/movie/119027/annot/</t>
        </is>
      </c>
      <c r="M2366" s="2">
        <f>HYPERLINK("https://ru.wikipedia.org/w/index.php?search=%D0%9C%D0%B0%D1%80%D0%BA%D0%B8%2C%20%D0%B9%D0%BE%D0%B3%D0%B8%20%D0%B8%207-%D0%B0%201969%20%D1%84%D0%B8%D0%BB%D1%8C%D0%BC","искать")</f>
        <v/>
      </c>
      <c r="N2366" s="3" t="n"/>
      <c r="O2366" s="2" t="n"/>
      <c r="P2366" s="2" t="n"/>
    </row>
    <row r="2367">
      <c r="A2367" s="2" t="n">
        <v>2366</v>
      </c>
      <c r="B2367" s="2" t="inlineStr">
        <is>
          <t>не сюжет</t>
        </is>
      </c>
      <c r="C2367" s="2" t="n">
        <v>10341</v>
      </c>
      <c r="D2367" s="3" t="inlineStr">
        <is>
          <t>Франсуаза</t>
        </is>
      </c>
      <c r="E2367" s="2" t="n">
        <v>1969</v>
      </c>
      <c r="F2367" s="2" t="inlineStr">
        <is>
          <t>фильм-спектакль</t>
        </is>
      </c>
      <c r="G2367" s="2" t="inlineStr">
        <is>
          <t>Телевизионный театр</t>
        </is>
      </c>
      <c r="H2367" s="2" t="n">
        <v>125</v>
      </c>
      <c r="I2367" s="2" t="inlineStr"/>
      <c r="J2367" s="2" t="inlineStr">
        <is>
          <t>да</t>
        </is>
      </c>
      <c r="K2367" s="3" t="inlineStr">
        <is>
          <t>Оперетта Олега Хромушина о французском движении Сопротивления в годы Второй мировой войны.
Пьеса Р.Немчиновой и Г.Орлеанской.</t>
        </is>
      </c>
      <c r="L2367" s="2" t="inlineStr">
        <is>
          <t>https://www.kino-teatr.ru/teatr/movie/109778/annot/</t>
        </is>
      </c>
      <c r="M2367" s="2">
        <f>HYPERLINK("https://ru.wikipedia.org/w/index.php?search=%D0%A4%D1%80%D0%B0%D0%BD%D1%81%D1%83%D0%B0%D0%B7%D0%B0%201969%20%D1%84%D0%B8%D0%BB%D1%8C%D0%BC","искать")</f>
        <v/>
      </c>
      <c r="N2367" s="3" t="n"/>
      <c r="O2367" s="2" t="n"/>
      <c r="P2367" s="2" t="n"/>
    </row>
    <row r="2368">
      <c r="A2368" s="2" t="n">
        <v>2367</v>
      </c>
      <c r="B2368" s="2" t="inlineStr">
        <is>
          <t>не сюжет</t>
        </is>
      </c>
      <c r="C2368" s="2" t="n">
        <v>10757</v>
      </c>
      <c r="D2368" s="3" t="inlineStr">
        <is>
          <t>Митрофан и Дормидольский</t>
        </is>
      </c>
      <c r="E2368" s="2" t="n">
        <v>1978</v>
      </c>
      <c r="F2368" s="2" t="inlineStr">
        <is>
          <t>фильм-спектакль</t>
        </is>
      </c>
      <c r="G2368" s="2" t="inlineStr">
        <is>
          <t>Болгарское ТВ</t>
        </is>
      </c>
      <c r="H2368" s="2" t="n">
        <v>125</v>
      </c>
      <c r="I2368" s="2" t="inlineStr"/>
      <c r="J2368" s="2" t="inlineStr">
        <is>
          <t>да</t>
        </is>
      </c>
      <c r="K2368" s="3" t="inlineStr">
        <is>
          <t>Телеспектакль по повести Ивана Вазова "Митрофан и Дормидольский". Впервые повесть опубликована в журнале "Наука" за 1881 год.</t>
        </is>
      </c>
      <c r="L2368" s="2" t="inlineStr">
        <is>
          <t>https://www.kino-teatr.ru/teatr/movie/172550/annot/</t>
        </is>
      </c>
      <c r="M2368" s="2">
        <f>HYPERLINK("https://ru.wikipedia.org/w/index.php?search=%D0%9C%D0%B8%D1%82%D1%80%D0%BE%D1%84%D0%B0%D0%BD%20%D0%B8%20%D0%94%D0%BE%D1%80%D0%BC%D0%B8%D0%B4%D0%BE%D0%BB%D1%8C%D1%81%D0%BA%D0%B8%D0%B9%201978%20%D1%84%D0%B8%D0%BB%D1%8C%D0%BC","искать")</f>
        <v/>
      </c>
      <c r="N2368" s="3" t="n"/>
      <c r="O2368" s="2" t="n"/>
      <c r="P2368" s="2" t="n"/>
    </row>
    <row r="2369">
      <c r="A2369" s="2" t="n">
        <v>2368</v>
      </c>
      <c r="B2369" s="2" t="inlineStr">
        <is>
          <t>не сюжет</t>
        </is>
      </c>
      <c r="C2369" s="2" t="n">
        <v>13608</v>
      </c>
      <c r="D2369" s="3" t="inlineStr">
        <is>
          <t>Домовые или сон в зимнюю ночь</t>
        </is>
      </c>
      <c r="E2369" s="2" t="n">
        <v>1987</v>
      </c>
      <c r="F2369" s="2" t="inlineStr">
        <is>
          <t>мультфильм</t>
        </is>
      </c>
      <c r="G2369" s="2" t="inlineStr">
        <is>
          <t>ЭКРАН</t>
        </is>
      </c>
      <c r="H2369" s="2" t="n">
        <v>125</v>
      </c>
      <c r="I2369" s="2" t="inlineStr"/>
      <c r="J2369" s="2" t="inlineStr">
        <is>
          <t>да</t>
        </is>
      </c>
      <c r="K2369" s="3" t="inlineStr">
        <is>
          <t>Текст песен М.Каневского, исполнители - ансамбль "Добры молодцы", солист Павел Смеян. Призыв к экономии энергоресурсов и воды</t>
        </is>
      </c>
      <c r="L2369" s="2" t="inlineStr">
        <is>
          <t>https://animator.ru/db/?p=show_film&amp;fid=4958</t>
        </is>
      </c>
      <c r="M2369" s="2">
        <f>HYPERLINK("https://ru.wikipedia.org/w/index.php?search=%D0%94%D0%BE%D0%BC%D0%BE%D0%B2%D1%8B%D0%B5%20%D0%B8%D0%BB%D0%B8%20%D1%81%D0%BE%D0%BD%20%D0%B2%20%D0%B7%D0%B8%D0%BC%D0%BD%D1%8E%D1%8E%20%D0%BD%D0%BE%D1%87%D1%8C%201987%20%D1%84%D0%B8%D0%BB%D1%8C%D0%BC","искать")</f>
        <v/>
      </c>
      <c r="N2369" s="3" t="n"/>
      <c r="O2369" s="2" t="n"/>
      <c r="P2369" s="2" t="n"/>
    </row>
    <row r="2370">
      <c r="A2370" s="2" t="n">
        <v>2369</v>
      </c>
      <c r="B2370" s="2" t="inlineStr">
        <is>
          <t>не сюжет</t>
        </is>
      </c>
      <c r="C2370" s="2" t="n">
        <v>9066</v>
      </c>
      <c r="D2370" s="3" t="inlineStr">
        <is>
          <t>Старик</t>
        </is>
      </c>
      <c r="E2370" s="2" t="n">
        <v>1968</v>
      </c>
      <c r="F2370" s="2" t="inlineStr">
        <is>
          <t>кинофильм</t>
        </is>
      </c>
      <c r="G2370" s="2" t="n"/>
      <c r="H2370" s="2" t="n">
        <v>126</v>
      </c>
      <c r="I2370" s="2" t="inlineStr"/>
      <c r="J2370" s="2" t="inlineStr">
        <is>
          <t>да</t>
        </is>
      </c>
      <c r="K2370" s="3" t="inlineStr">
        <is>
          <t>По мотивам одноименного рассказа Константина Федина, написанного на основе воспоминаний Николая Чернышевского и его набросков.</t>
        </is>
      </c>
      <c r="L2370" s="2" t="inlineStr">
        <is>
          <t>Кино_СССР сводный каталог.xlsx: список фильмов (доп.)</t>
        </is>
      </c>
      <c r="M2370" s="2">
        <f>HYPERLINK("https://ru.wikipedia.org/w/index.php?search=%D0%A1%D1%82%D0%B0%D1%80%D0%B8%D0%BA%201968%20%D1%84%D0%B8%D0%BB%D1%8C%D0%BC","искать")</f>
        <v/>
      </c>
      <c r="N2370" s="3" t="n"/>
      <c r="O2370" s="2" t="n"/>
      <c r="P2370" s="2" t="n"/>
    </row>
    <row r="2371">
      <c r="A2371" s="2" t="n">
        <v>2370</v>
      </c>
      <c r="B2371" s="2" t="inlineStr">
        <is>
          <t>не сюжет</t>
        </is>
      </c>
      <c r="C2371" s="2" t="n">
        <v>10537</v>
      </c>
      <c r="D2371" s="3" t="inlineStr">
        <is>
          <t>Аистёнок и пугало</t>
        </is>
      </c>
      <c r="E2371" s="2" t="n">
        <v>1974</v>
      </c>
      <c r="F2371" s="2" t="inlineStr">
        <is>
          <t>фильм-спектакль</t>
        </is>
      </c>
      <c r="G2371" s="2" t="inlineStr">
        <is>
          <t>Ленинградское телевидение</t>
        </is>
      </c>
      <c r="H2371" s="2" t="n">
        <v>126</v>
      </c>
      <c r="I2371" s="2" t="inlineStr"/>
      <c r="J2371" s="2" t="inlineStr">
        <is>
          <t>да</t>
        </is>
      </c>
      <c r="K2371" s="3" t="inlineStr">
        <is>
          <t>Кукольная телевизионная постановка Большого театра кукол в Ленинграде.
По пьесе чешских писательниц Л.Лопейской и Г.Крчуловой.</t>
        </is>
      </c>
      <c r="L2371" s="2" t="inlineStr">
        <is>
          <t>https://www.kino-teatr.ru/teatr/movie/103193/annot/</t>
        </is>
      </c>
      <c r="M2371" s="2">
        <f>HYPERLINK("https://ru.wikipedia.org/w/index.php?search=%D0%90%D0%B8%D1%81%D1%82%D1%91%D0%BD%D0%BE%D0%BA%20%D0%B8%20%D0%BF%D1%83%D0%B3%D0%B0%D0%BB%D0%BE%201974%20%D1%84%D0%B8%D0%BB%D1%8C%D0%BC","искать")</f>
        <v/>
      </c>
      <c r="N2371" s="3" t="n"/>
      <c r="O2371" s="2" t="n"/>
      <c r="P2371" s="2" t="n"/>
    </row>
    <row r="2372">
      <c r="A2372" s="2" t="n">
        <v>2371</v>
      </c>
      <c r="B2372" s="2" t="inlineStr">
        <is>
          <t>не сюжет</t>
        </is>
      </c>
      <c r="C2372" s="2" t="n">
        <v>10738</v>
      </c>
      <c r="D2372" s="3" t="inlineStr">
        <is>
          <t>Двенадцатая ночь</t>
        </is>
      </c>
      <c r="E2372" s="2" t="n">
        <v>1978</v>
      </c>
      <c r="F2372" s="2" t="inlineStr">
        <is>
          <t>фильм-спектакль</t>
        </is>
      </c>
      <c r="G2372" s="2" t="inlineStr">
        <is>
          <t>ТО ЭКРАН</t>
        </is>
      </c>
      <c r="H2372" s="2" t="n">
        <v>126</v>
      </c>
      <c r="I2372" s="2" t="inlineStr"/>
      <c r="J2372" s="2" t="inlineStr">
        <is>
          <t>да</t>
        </is>
      </c>
      <c r="K2372" s="3" t="inlineStr">
        <is>
          <t>Экранизация спектакля "Двенадцатая ночь" Вильяма Шекспира в постановке московского театра "Современник" (перевод Д.Самойлова).</t>
        </is>
      </c>
      <c r="L2372" s="2" t="inlineStr">
        <is>
          <t>https://www.kino-teatr.ru/teatr/movie/1658/annot/</t>
        </is>
      </c>
      <c r="M2372" s="2">
        <f>HYPERLINK("https://ru.wikipedia.org/w/index.php?search=%D0%94%D0%B2%D0%B5%D0%BD%D0%B0%D0%B4%D1%86%D0%B0%D1%82%D0%B0%D1%8F%20%D0%BD%D0%BE%D1%87%D1%8C%201978%20%D1%84%D0%B8%D0%BB%D1%8C%D0%BC","искать")</f>
        <v/>
      </c>
      <c r="N2372" s="3" t="n"/>
      <c r="O2372" s="2" t="n"/>
      <c r="P2372" s="2" t="n"/>
    </row>
    <row r="2373">
      <c r="A2373" s="2" t="n">
        <v>2372</v>
      </c>
      <c r="B2373" s="2" t="inlineStr">
        <is>
          <t>не сюжет</t>
        </is>
      </c>
      <c r="C2373" s="2" t="n">
        <v>11246</v>
      </c>
      <c r="D2373" s="3" t="inlineStr">
        <is>
          <t>Алкмена и Амфитрион</t>
        </is>
      </c>
      <c r="E2373" s="2" t="n">
        <v>1989</v>
      </c>
      <c r="F2373" s="2" t="inlineStr">
        <is>
          <t>фильм-спектакль</t>
        </is>
      </c>
      <c r="G2373" s="2" t="inlineStr">
        <is>
          <t>Ленинградское ТВ</t>
        </is>
      </c>
      <c r="H2373" s="2" t="n">
        <v>126</v>
      </c>
      <c r="I2373" s="2" t="inlineStr"/>
      <c r="J2373" s="2" t="inlineStr">
        <is>
          <t>да</t>
        </is>
      </c>
      <c r="K2373" s="3" t="inlineStr">
        <is>
          <t>Мюзикл по мотивам комедии Жана Жироду «Амфитрион-38».
Балетмейстер Юрий Астахов.
В записи песен участвовал ансамбль "Савояры".</t>
        </is>
      </c>
      <c r="L2373" s="2" t="inlineStr">
        <is>
          <t>https://www.kino-teatr.ru/teatr/movie/97008/annot/</t>
        </is>
      </c>
      <c r="M2373" s="2">
        <f>HYPERLINK("https://ru.wikipedia.org/w/index.php?search=%D0%90%D0%BB%D0%BA%D0%BC%D0%B5%D0%BD%D0%B0%20%D0%B8%20%D0%90%D0%BC%D1%84%D0%B8%D1%82%D1%80%D0%B8%D0%BE%D0%BD%201989%20%D1%84%D0%B8%D0%BB%D1%8C%D0%BC","искать")</f>
        <v/>
      </c>
      <c r="N2373" s="3" t="n"/>
      <c r="O2373" s="2" t="n"/>
      <c r="P2373" s="2" t="n"/>
    </row>
    <row r="2374">
      <c r="A2374" s="2" t="n">
        <v>2373</v>
      </c>
      <c r="B2374" s="2" t="inlineStr">
        <is>
          <t>не сюжет</t>
        </is>
      </c>
      <c r="C2374" s="2" t="n">
        <v>11254</v>
      </c>
      <c r="D2374" s="3" t="inlineStr">
        <is>
          <t>Двойник</t>
        </is>
      </c>
      <c r="E2374" s="2" t="n">
        <v>1989</v>
      </c>
      <c r="F2374" s="2" t="inlineStr">
        <is>
          <t>фильм-спектакль</t>
        </is>
      </c>
      <c r="G2374" s="2" t="inlineStr">
        <is>
          <t>Ленинградское ТВ</t>
        </is>
      </c>
      <c r="H2374" s="2" t="n">
        <v>126</v>
      </c>
      <c r="I2374" s="2" t="inlineStr"/>
      <c r="J2374" s="2" t="inlineStr">
        <is>
          <t>да</t>
        </is>
      </c>
      <c r="K2374" s="3" t="inlineStr">
        <is>
          <t>Телеспектакль по повести Ф.Достоевского "Двойник. Петербургская поэма". В фильме использована музыка из произведений А.Шнитке.</t>
        </is>
      </c>
      <c r="L2374" s="2" t="inlineStr">
        <is>
          <t>https://www.kino-teatr.ru/teatr/movie/119472/annot/</t>
        </is>
      </c>
      <c r="M2374" s="2">
        <f>HYPERLINK("https://ru.wikipedia.org/w/index.php?search=%D0%94%D0%B2%D0%BE%D0%B9%D0%BD%D0%B8%D0%BA%201989%20%D1%84%D0%B8%D0%BB%D1%8C%D0%BC","искать")</f>
        <v/>
      </c>
      <c r="N2374" s="3" t="n"/>
      <c r="O2374" s="2" t="n"/>
      <c r="P2374" s="2" t="n"/>
    </row>
    <row r="2375">
      <c r="A2375" s="2" t="n">
        <v>2374</v>
      </c>
      <c r="B2375" s="2" t="inlineStr">
        <is>
          <t>не сюжет</t>
        </is>
      </c>
      <c r="C2375" s="2" t="n">
        <v>11372</v>
      </c>
      <c r="D2375" s="3" t="inlineStr">
        <is>
          <t>Женитьба Бальзаминова</t>
        </is>
      </c>
      <c r="E2375" s="2" t="n">
        <v>1989</v>
      </c>
      <c r="F2375" s="2" t="inlineStr">
        <is>
          <t>фильм-опера/балет</t>
        </is>
      </c>
      <c r="G2375" s="2" t="inlineStr">
        <is>
          <t>Ленфильм</t>
        </is>
      </c>
      <c r="H2375" s="2" t="n">
        <v>126</v>
      </c>
      <c r="I2375" s="2" t="inlineStr"/>
      <c r="J2375" s="2" t="inlineStr">
        <is>
          <t>да</t>
        </is>
      </c>
      <c r="K2375" s="3" t="inlineStr">
        <is>
          <t>Фильм-балет. Хореографическая фантазия, музыкальная комедия. По мотивам трилогии А.Н.Островского. Хореография Олега Тимуршина.</t>
        </is>
      </c>
      <c r="L2375" s="2" t="inlineStr">
        <is>
          <t>Кино_СССР телефильмы и пропуски включить в базу.xlsx</t>
        </is>
      </c>
      <c r="M2375" s="2">
        <f>HYPERLINK("https://ru.wikipedia.org/w/index.php?search=%D0%96%D0%B5%D0%BD%D0%B8%D1%82%D1%8C%D0%B1%D0%B0%20%D0%91%D0%B0%D0%BB%D1%8C%D0%B7%D0%B0%D0%BC%D0%B8%D0%BD%D0%BE%D0%B2%D0%B0%201989%20%D1%84%D0%B8%D0%BB%D1%8C%D0%BC","искать")</f>
        <v/>
      </c>
      <c r="N2375" s="3" t="n"/>
      <c r="O2375" s="2" t="n"/>
      <c r="P2375" s="2" t="n"/>
    </row>
    <row r="2376">
      <c r="A2376" s="2" t="n">
        <v>2375</v>
      </c>
      <c r="B2376" s="2" t="inlineStr">
        <is>
          <t>не сюжет</t>
        </is>
      </c>
      <c r="C2376" s="2" t="n">
        <v>9162</v>
      </c>
      <c r="D2376" s="3" t="inlineStr">
        <is>
          <t>Что-то произошло</t>
        </is>
      </c>
      <c r="E2376" s="2" t="n">
        <v>1986</v>
      </c>
      <c r="F2376" s="2" t="inlineStr">
        <is>
          <t>кинофильм</t>
        </is>
      </c>
      <c r="G2376" s="2" t="n"/>
      <c r="H2376" s="2" t="n">
        <v>127</v>
      </c>
      <c r="I2376" s="2" t="inlineStr"/>
      <c r="J2376" s="2" t="inlineStr">
        <is>
          <t>да</t>
        </is>
      </c>
      <c r="K2376" s="3" t="inlineStr">
        <is>
          <t>Культовый музыкальный фильм, в основу которого положены десять клипов популярных в 80-ые годы групп "Фойе", "Антис" и "Артель".</t>
        </is>
      </c>
      <c r="L2376" s="2" t="inlineStr">
        <is>
          <t>Кино_СССР сводный каталог.xlsx: список фильмов (доп.)</t>
        </is>
      </c>
      <c r="M2376" s="2">
        <f>HYPERLINK("https://ru.wikipedia.org/w/index.php?search=%D0%A7%D1%82%D0%BE-%D1%82%D0%BE%20%D0%BF%D1%80%D0%BE%D0%B8%D0%B7%D0%BE%D1%88%D0%BB%D0%BE%201986%20%D1%84%D0%B8%D0%BB%D1%8C%D0%BC","искать")</f>
        <v/>
      </c>
      <c r="N2376" s="3" t="n"/>
      <c r="O2376" s="2" t="n"/>
      <c r="P2376" s="2" t="n"/>
    </row>
    <row r="2377">
      <c r="A2377" s="2" t="n">
        <v>2376</v>
      </c>
      <c r="B2377" s="2" t="inlineStr">
        <is>
          <t>не сюжет</t>
        </is>
      </c>
      <c r="C2377" s="2" t="n">
        <v>10770</v>
      </c>
      <c r="D2377" s="3" t="inlineStr">
        <is>
          <t>Последняя ночь уходящего года</t>
        </is>
      </c>
      <c r="E2377" s="2" t="n">
        <v>1978</v>
      </c>
      <c r="F2377" s="2" t="inlineStr">
        <is>
          <t>фильм-спектакль</t>
        </is>
      </c>
      <c r="G2377" s="2" t="n"/>
      <c r="H2377" s="2" t="n">
        <v>127</v>
      </c>
      <c r="I2377" s="2" t="inlineStr"/>
      <c r="J2377" s="2" t="inlineStr">
        <is>
          <t>да</t>
        </is>
      </c>
      <c r="K2377" s="3" t="inlineStr">
        <is>
          <t>По мотивам одноименной пьесы Анара. Фильм посвящается матери, оберегающей тепло своего очага, спокойствие и благополучие семьи.</t>
        </is>
      </c>
      <c r="L2377" s="2" t="inlineStr">
        <is>
          <t>https://www.kino-teatr.ru/teatr/movie/106183/annot/</t>
        </is>
      </c>
      <c r="M2377" s="2">
        <f>HYPERLINK("https://ru.wikipedia.org/w/index.php?search=%D0%9F%D0%BE%D1%81%D0%BB%D0%B5%D0%B4%D0%BD%D1%8F%D1%8F%20%D0%BD%D0%BE%D1%87%D1%8C%20%D1%83%D1%85%D0%BE%D0%B4%D1%8F%D1%89%D0%B5%D0%B3%D0%BE%20%D0%B3%D0%BE%D0%B4%D0%B0%201978%20%D1%84%D0%B8%D0%BB%D1%8C%D0%BC","искать")</f>
        <v/>
      </c>
      <c r="N2377" s="3" t="n"/>
      <c r="O2377" s="2" t="n"/>
      <c r="P2377" s="2" t="n"/>
    </row>
    <row r="2378">
      <c r="A2378" s="2" t="n">
        <v>2377</v>
      </c>
      <c r="B2378" s="2" t="inlineStr">
        <is>
          <t>не сюжет</t>
        </is>
      </c>
      <c r="C2378" s="2" t="n">
        <v>11089</v>
      </c>
      <c r="D2378" s="3" t="inlineStr">
        <is>
          <t>Чукоккала</t>
        </is>
      </c>
      <c r="E2378" s="2" t="n">
        <v>1985</v>
      </c>
      <c r="F2378" s="2" t="inlineStr">
        <is>
          <t>фильм-спектакль</t>
        </is>
      </c>
      <c r="G2378" s="2" t="inlineStr">
        <is>
          <t>Главная редакция литературно-драматических программ ЦТ</t>
        </is>
      </c>
      <c r="H2378" s="2" t="n">
        <v>127</v>
      </c>
      <c r="I2378" s="2" t="inlineStr"/>
      <c r="J2378" s="2" t="inlineStr">
        <is>
          <t>да</t>
        </is>
      </c>
      <c r="K2378" s="3" t="inlineStr">
        <is>
          <t>По стихам и сказкам К.И.Чуковского в постановке Театра юного зрителя имени Ленинского комсомола Латвийской ССР (Рижского ТЮЗа).</t>
        </is>
      </c>
      <c r="L2378" s="2" t="inlineStr">
        <is>
          <t>https://www.kino-teatr.ru/teatr/movie/108512/annot/</t>
        </is>
      </c>
      <c r="M2378" s="2">
        <f>HYPERLINK("https://ru.wikipedia.org/w/index.php?search=%D0%A7%D1%83%D0%BA%D0%BE%D0%BA%D0%BA%D0%B0%D0%BB%D0%B0%201985%20%D1%84%D0%B8%D0%BB%D1%8C%D0%BC","искать")</f>
        <v/>
      </c>
      <c r="N2378" s="3" t="n"/>
      <c r="O2378" s="2" t="n"/>
      <c r="P2378" s="2" t="n"/>
    </row>
    <row r="2379">
      <c r="A2379" s="2" t="n">
        <v>2378</v>
      </c>
      <c r="B2379" s="2" t="inlineStr">
        <is>
          <t>не сюжет</t>
        </is>
      </c>
      <c r="C2379" s="2" t="n">
        <v>11282</v>
      </c>
      <c r="D2379" s="3" t="inlineStr">
        <is>
          <t>Село Степанчиково и его обитатели</t>
        </is>
      </c>
      <c r="E2379" s="2" t="n">
        <v>1989</v>
      </c>
      <c r="F2379" s="2" t="inlineStr">
        <is>
          <t>фильм-спектакль</t>
        </is>
      </c>
      <c r="G2379" s="2" t="inlineStr">
        <is>
          <t>Литовское телевидение, Подборки фильмов, экранизации Достоевского</t>
        </is>
      </c>
      <c r="H2379" s="2" t="n">
        <v>127</v>
      </c>
      <c r="I2379" s="2" t="inlineStr"/>
      <c r="J2379" s="2" t="inlineStr">
        <is>
          <t>да</t>
        </is>
      </c>
      <c r="K2379" s="3" t="inlineStr">
        <is>
          <t>Фильм-спектакль Литовского государственного драматического театра по повести Федора Михайловича Достоевского. Запись 1989 года.</t>
        </is>
      </c>
      <c r="L2379" s="2" t="inlineStr">
        <is>
          <t>https://www.kino-teatr.ru/teatr/movie/108690/annot/</t>
        </is>
      </c>
      <c r="M2379" s="2">
        <f>HYPERLINK("https://ru.wikipedia.org/w/index.php?search=%D0%A1%D0%B5%D0%BB%D0%BE%20%D0%A1%D1%82%D0%B5%D0%BF%D0%B0%D0%BD%D1%87%D0%B8%D0%BA%D0%BE%D0%B2%D0%BE%20%D0%B8%20%D0%B5%D0%B3%D0%BE%20%D0%BE%D0%B1%D0%B8%D1%82%D0%B0%D1%82%D0%B5%D0%BB%D0%B8%201989%20%D1%84%D0%B8%D0%BB%D1%8C%D0%BC","искать")</f>
        <v/>
      </c>
      <c r="N2379" s="3" t="n"/>
      <c r="O2379" s="2" t="n"/>
      <c r="P2379" s="2" t="n"/>
    </row>
    <row r="2380">
      <c r="A2380" s="2" t="n">
        <v>2379</v>
      </c>
      <c r="B2380" s="2" t="inlineStr">
        <is>
          <t>не сюжет</t>
        </is>
      </c>
      <c r="C2380" s="2" t="n">
        <v>13527</v>
      </c>
      <c r="D2380" s="3" t="inlineStr">
        <is>
          <t>Веселая карусель. Выпуск №5</t>
        </is>
      </c>
      <c r="E2380" s="2" t="n">
        <v>1973</v>
      </c>
      <c r="F2380" s="2" t="inlineStr">
        <is>
          <t>мультфильм</t>
        </is>
      </c>
      <c r="G2380" s="2" t="inlineStr">
        <is>
          <t>Союзмультфильм</t>
        </is>
      </c>
      <c r="H2380" s="2" t="n">
        <v>127</v>
      </c>
      <c r="I2380" s="2" t="inlineStr"/>
      <c r="J2380" s="2" t="inlineStr">
        <is>
          <t>да</t>
        </is>
      </c>
      <c r="K2380" s="3" t="inlineStr">
        <is>
          <t>5-ая серия альманаха «ВЕСЕЛАЯ КАРУСЕЛЬ»
сюжеты: «ЧУДО», «НЕ ПРО ТЕБЯ ЛИ ЭТОТ ФИЛЬМ?», «НЕБЫЛИЦЫ В ЛИЦАХ», «КТО ПАСЕТСЯ НА ЛУГУ»</t>
        </is>
      </c>
      <c r="L2380" s="2" t="inlineStr">
        <is>
          <t>https://animator.ru/db/?p=show_film&amp;fid=4846</t>
        </is>
      </c>
      <c r="M2380" s="2">
        <f>HYPERLINK("https://ru.wikipedia.org/w/index.php?search=%D0%92%D0%B5%D1%81%D0%B5%D0%BB%D0%B0%D1%8F%20%D0%BA%D0%B0%D1%80%D1%83%D1%81%D0%B5%D0%BB%D1%8C.%20%D0%92%D1%8B%D0%BF%D1%83%D1%81%D0%BA%20%E2%84%965%201973%20%D1%84%D0%B8%D0%BB%D1%8C%D0%BC","искать")</f>
        <v/>
      </c>
      <c r="N2380" s="3" t="n"/>
      <c r="O2380" s="2" t="n"/>
      <c r="P2380" s="2" t="n"/>
    </row>
    <row r="2381">
      <c r="A2381" s="2" t="n">
        <v>2380</v>
      </c>
      <c r="B2381" s="2" t="inlineStr">
        <is>
          <t>не сюжет</t>
        </is>
      </c>
      <c r="C2381" s="2" t="n">
        <v>8904</v>
      </c>
      <c r="D2381" s="3" t="inlineStr">
        <is>
          <t>Остров 007</t>
        </is>
      </c>
      <c r="E2381" s="2" t="n">
        <v>1991</v>
      </c>
      <c r="F2381" s="2" t="inlineStr">
        <is>
          <t>кинофильм</t>
        </is>
      </c>
      <c r="G2381" s="2" t="n"/>
      <c r="H2381" s="2" t="n">
        <v>128</v>
      </c>
      <c r="I2381" s="2" t="inlineStr"/>
      <c r="J2381" s="2" t="inlineStr">
        <is>
          <t>да</t>
        </is>
      </c>
      <c r="K2381" s="3" t="inlineStr">
        <is>
          <t>"Остров" - это место, где человек приходит к пониманию самого себя и задается вопросом: возможна ли борьба со своим alter ego?..</t>
        </is>
      </c>
      <c r="L2381" s="2" t="inlineStr">
        <is>
          <t>Кино_СССР сводный каталог.xlsx: список фильмов (доп.)</t>
        </is>
      </c>
      <c r="M2381" s="2">
        <f>HYPERLINK("https://ru.wikipedia.org/w/index.php?search=%D0%9E%D1%81%D1%82%D1%80%D0%BE%D0%B2%20007%201991%20%D1%84%D0%B8%D0%BB%D1%8C%D0%BC","искать")</f>
        <v/>
      </c>
      <c r="N2381" s="3" t="n"/>
      <c r="O2381" s="2" t="n"/>
      <c r="P2381" s="2" t="n"/>
    </row>
    <row r="2382">
      <c r="A2382" s="2" t="n">
        <v>2381</v>
      </c>
      <c r="B2382" s="2" t="inlineStr">
        <is>
          <t>не сюжет</t>
        </is>
      </c>
      <c r="C2382" s="2" t="n">
        <v>11057</v>
      </c>
      <c r="D2382" s="3" t="inlineStr">
        <is>
          <t>Диктатура</t>
        </is>
      </c>
      <c r="E2382" s="2" t="n">
        <v>1985</v>
      </c>
      <c r="F2382" s="2" t="inlineStr">
        <is>
          <t>фильм-спектакль</t>
        </is>
      </c>
      <c r="G2382" s="2" t="inlineStr">
        <is>
          <t>Гостелерадио СССР, Укртелефильм</t>
        </is>
      </c>
      <c r="H2382" s="2" t="n">
        <v>128</v>
      </c>
      <c r="I2382" s="2" t="inlineStr"/>
      <c r="J2382" s="2" t="inlineStr">
        <is>
          <t>да</t>
        </is>
      </c>
      <c r="K2382" s="3" t="inlineStr">
        <is>
          <t>Фильм-спектакль по пьесе украинского писателя и драматурга Ивана Микитенко о судьбе украинского крестьянства в конце 20-х годов.</t>
        </is>
      </c>
      <c r="L2382" s="2" t="inlineStr">
        <is>
          <t>https://www.kino-teatr.ru/teatr/movie/96863/annot/</t>
        </is>
      </c>
      <c r="M2382" s="2">
        <f>HYPERLINK("https://ru.wikipedia.org/w/index.php?search=%D0%94%D0%B8%D0%BA%D1%82%D0%B0%D1%82%D1%83%D1%80%D0%B0%201985%20%D1%84%D0%B8%D0%BB%D1%8C%D0%BC","искать")</f>
        <v/>
      </c>
      <c r="N2382" s="3" t="n"/>
      <c r="O2382" s="2" t="n"/>
      <c r="P2382" s="2" t="n"/>
    </row>
    <row r="2383">
      <c r="A2383" s="2" t="n">
        <v>2382</v>
      </c>
      <c r="B2383" s="2" t="inlineStr">
        <is>
          <t>не сюжет</t>
        </is>
      </c>
      <c r="C2383" s="2" t="n">
        <v>11306</v>
      </c>
      <c r="D2383" s="3" t="inlineStr">
        <is>
          <t>Куд-куд-куда?!..</t>
        </is>
      </c>
      <c r="E2383" s="2" t="n">
        <v>1990</v>
      </c>
      <c r="F2383" s="2" t="inlineStr">
        <is>
          <t>фильм-спектакль</t>
        </is>
      </c>
      <c r="G2383" s="2" t="inlineStr">
        <is>
          <t>Главная редакция программ для молодёжи ЦТ; ТПО"Арка",ВПТО"Видеофильм"</t>
        </is>
      </c>
      <c r="H2383" s="2" t="n">
        <v>128</v>
      </c>
      <c r="I2383" s="2" t="inlineStr"/>
      <c r="J2383" s="2" t="inlineStr">
        <is>
          <t>да</t>
        </is>
      </c>
      <c r="K2383" s="3" t="inlineStr">
        <is>
          <t>Провинциальная комедия с буффонадой, поп-музыкой, реминисценцией с участием Игоря Корнелюка и Илоны Броневицкой в городе Угличе.</t>
        </is>
      </c>
      <c r="L2383" s="2" t="inlineStr">
        <is>
          <t>https://www.kino-teatr.ru/teatr/movie/97276/annot/</t>
        </is>
      </c>
      <c r="M2383" s="2">
        <f>HYPERLINK("https://ru.wikipedia.org/w/index.php?search=%D0%9A%D1%83%D0%B4-%D0%BA%D1%83%D0%B4-%D0%BA%D1%83%D0%B4%D0%B0%3F%21..%201990%20%D1%84%D0%B8%D0%BB%D1%8C%D0%BC","искать")</f>
        <v/>
      </c>
      <c r="N2383" s="3" t="n"/>
      <c r="O2383" s="2" t="n"/>
      <c r="P2383" s="2" t="n"/>
    </row>
    <row r="2384">
      <c r="A2384" s="2" t="n">
        <v>2383</v>
      </c>
      <c r="B2384" s="2" t="inlineStr">
        <is>
          <t>не сюжет</t>
        </is>
      </c>
      <c r="C2384" s="2" t="n">
        <v>11955</v>
      </c>
      <c r="D2384" s="3" t="inlineStr">
        <is>
          <t>Балаган</t>
        </is>
      </c>
      <c r="E2384" s="2" t="n">
        <v>1981</v>
      </c>
      <c r="F2384" s="2" t="inlineStr">
        <is>
          <t>мультфильм</t>
        </is>
      </c>
      <c r="G2384" s="2" t="inlineStr">
        <is>
          <t>Союзмультфильм</t>
        </is>
      </c>
      <c r="H2384" s="2" t="n">
        <v>128</v>
      </c>
      <c r="I2384" s="2" t="inlineStr"/>
      <c r="J2384" s="2" t="inlineStr">
        <is>
          <t>да</t>
        </is>
      </c>
      <c r="K2384" s="3" t="inlineStr">
        <is>
          <t>Кукольный мультфильм по мотивам пьес Гарсиа Лорки "Любовь Дона Перлимпина", "Чудесная башмачница", "Балаганчик Дона Кристобаля".</t>
        </is>
      </c>
      <c r="L2384" s="2" t="inlineStr">
        <is>
          <t>2026-10_мультфильмы_список_владельца.xlsx; https://animator.ru/db/?p=show_film&amp;fid=2871</t>
        </is>
      </c>
      <c r="M2384" s="2">
        <f>HYPERLINK("https://ru.wikipedia.org/w/index.php?search=%D0%91%D0%B0%D0%BB%D0%B0%D0%B3%D0%B0%D0%BD%201981%20%D1%84%D0%B8%D0%BB%D1%8C%D0%BC","искать")</f>
        <v/>
      </c>
      <c r="N2384" s="3" t="n"/>
      <c r="O2384" s="2" t="n"/>
      <c r="P2384" s="2" t="n"/>
    </row>
    <row r="2385">
      <c r="A2385" s="2" t="n">
        <v>2384</v>
      </c>
      <c r="B2385" s="2" t="inlineStr">
        <is>
          <t>не сюжет</t>
        </is>
      </c>
      <c r="C2385" s="2" t="n">
        <v>12144</v>
      </c>
      <c r="D2385" s="3" t="inlineStr">
        <is>
          <t>Королевский бутерброд</t>
        </is>
      </c>
      <c r="E2385" s="2" t="n">
        <v>1985</v>
      </c>
      <c r="F2385" s="2" t="inlineStr">
        <is>
          <t>мультфильм</t>
        </is>
      </c>
      <c r="G2385" s="2" t="inlineStr">
        <is>
          <t>Союзмультфильм</t>
        </is>
      </c>
      <c r="H2385" s="2" t="n">
        <v>128</v>
      </c>
      <c r="I2385" s="2" t="inlineStr"/>
      <c r="J2385" s="2" t="inlineStr">
        <is>
          <t>да</t>
        </is>
      </c>
      <c r="K2385" s="3" t="inlineStr">
        <is>
          <t>По мотивам английского стихотворения в переводе Маршака. Музыка В.Шумова в исполнении рок-группы "Центр" и Валентины Пономаревой</t>
        </is>
      </c>
      <c r="L2385" s="2" t="inlineStr">
        <is>
          <t>https://animator.ru/db/?p=show_film&amp;fid=3260</t>
        </is>
      </c>
      <c r="M2385" s="2">
        <f>HYPERLINK("https://ru.wikipedia.org/w/index.php?search=%D0%9A%D0%BE%D1%80%D0%BE%D0%BB%D0%B5%D0%B2%D1%81%D0%BA%D0%B8%D0%B9%20%D0%B1%D1%83%D1%82%D0%B5%D1%80%D0%B1%D1%80%D0%BE%D0%B4%201985%20%D1%84%D0%B8%D0%BB%D1%8C%D0%BC","искать")</f>
        <v/>
      </c>
      <c r="N2385" s="3" t="n"/>
      <c r="O2385" s="2" t="n"/>
      <c r="P2385" s="2" t="n"/>
    </row>
    <row r="2386">
      <c r="A2386" s="2" t="n">
        <v>2385</v>
      </c>
      <c r="B2386" s="2" t="inlineStr">
        <is>
          <t>не сюжет</t>
        </is>
      </c>
      <c r="C2386" s="2" t="n">
        <v>14149</v>
      </c>
      <c r="D2386" s="3" t="inlineStr">
        <is>
          <t>Петушок и подсолнух</t>
        </is>
      </c>
      <c r="E2386" s="2" t="n">
        <v>1969</v>
      </c>
      <c r="F2386" s="2" t="inlineStr">
        <is>
          <t>мультфильм</t>
        </is>
      </c>
      <c r="G2386" s="2" t="inlineStr">
        <is>
          <t>ТЕЛЕФИЛЬМ-КИШИНЕВ</t>
        </is>
      </c>
      <c r="H2386" s="2" t="n">
        <v>128</v>
      </c>
      <c r="I2386" s="2" t="inlineStr"/>
      <c r="J2386" s="2" t="inlineStr">
        <is>
          <t>да</t>
        </is>
      </c>
      <c r="K2386" s="3" t="inlineStr">
        <is>
          <t>По одноименной сказке К.Мешкова в постановке телетеатра кукол "Прикиндел". Снято "на скорую" в черно-белом варианте. Для малышей</t>
        </is>
      </c>
      <c r="L2386" s="2" t="inlineStr">
        <is>
          <t>https://animator.ru/db/?p=show_film&amp;fid=5547</t>
        </is>
      </c>
      <c r="M2386" s="2">
        <f>HYPERLINK("https://ru.wikipedia.org/w/index.php?search=%D0%9F%D0%B5%D1%82%D1%83%D1%88%D0%BE%D0%BA%20%D0%B8%20%D0%BF%D0%BE%D0%B4%D1%81%D0%BE%D0%BB%D0%BD%D1%83%D1%85%201969%20%D1%84%D0%B8%D0%BB%D1%8C%D0%BC","искать")</f>
        <v/>
      </c>
      <c r="N2386" s="3" t="n"/>
      <c r="O2386" s="2" t="n"/>
      <c r="P2386" s="2" t="n"/>
    </row>
    <row r="2387">
      <c r="A2387" s="2" t="n">
        <v>2386</v>
      </c>
      <c r="B2387" s="2" t="inlineStr">
        <is>
          <t>не сюжет</t>
        </is>
      </c>
      <c r="C2387" s="2" t="n">
        <v>14395</v>
      </c>
      <c r="D2387" s="3" t="inlineStr">
        <is>
          <t>Приключения щенка юку</t>
        </is>
      </c>
      <c r="E2387" s="2" t="n">
        <v>1930</v>
      </c>
      <c r="F2387" s="2" t="inlineStr">
        <is>
          <t>мультфильм</t>
        </is>
      </c>
      <c r="G2387" s="2" t="n"/>
      <c r="H2387" s="2" t="n">
        <v>128</v>
      </c>
      <c r="I2387" s="2" t="inlineStr"/>
      <c r="J2387" s="2" t="inlineStr">
        <is>
          <t>да</t>
        </is>
      </c>
      <c r="K2387" s="3" t="inlineStr">
        <is>
          <t>Реставрированный первый эмтонский анимационный фильм 1930 года. Восстановлен в 2000 г. Перевод на цифру - Digital Film (Finlfnd)</t>
        </is>
      </c>
      <c r="L2387" s="2" t="inlineStr">
        <is>
          <t>https://animator.ru/db/?p=show_film&amp;fid=6480</t>
        </is>
      </c>
      <c r="M2387" s="2">
        <f>HYPERLINK("https://ru.wikipedia.org/w/index.php?search=%D0%9F%D1%80%D0%B8%D0%BA%D0%BB%D1%8E%D1%87%D0%B5%D0%BD%D0%B8%D1%8F%20%D1%89%D0%B5%D0%BD%D0%BA%D0%B0%20%D1%8E%D0%BA%D1%83%201930%20%D1%84%D0%B8%D0%BB%D1%8C%D0%BC","искать")</f>
        <v/>
      </c>
      <c r="N2387" s="3" t="n"/>
      <c r="O2387" s="2" t="n"/>
      <c r="P2387" s="2" t="n"/>
    </row>
    <row r="2388">
      <c r="A2388" s="2" t="n">
        <v>2387</v>
      </c>
      <c r="B2388" s="2" t="inlineStr">
        <is>
          <t>не сюжет</t>
        </is>
      </c>
      <c r="C2388" s="2" t="n">
        <v>10452</v>
      </c>
      <c r="D2388" s="3" t="inlineStr">
        <is>
          <t>Мой остров синий...</t>
        </is>
      </c>
      <c r="E2388" s="2" t="n">
        <v>1972</v>
      </c>
      <c r="F2388" s="2" t="inlineStr">
        <is>
          <t>фильм-спектакль</t>
        </is>
      </c>
      <c r="G2388" s="2" t="inlineStr">
        <is>
          <t>Гостелерадио СССР</t>
        </is>
      </c>
      <c r="H2388" s="2" t="n">
        <v>129</v>
      </c>
      <c r="I2388" s="2" t="inlineStr"/>
      <c r="J2388" s="2" t="inlineStr">
        <is>
          <t>да</t>
        </is>
      </c>
      <c r="K2388" s="3" t="inlineStr">
        <is>
          <t>По пьесе итальянских драматургов П.Гаринеи и С.Джованнини "Ты герой, я герой" в постановке Московского цыганского театра "Ромэн".</t>
        </is>
      </c>
      <c r="L2388" s="2" t="inlineStr">
        <is>
          <t>https://www.kino-teatr.ru/teatr/movie/9962/annot/</t>
        </is>
      </c>
      <c r="M2388" s="2">
        <f>HYPERLINK("https://ru.wikipedia.org/w/index.php?search=%D0%9C%D0%BE%D0%B9%20%D0%BE%D1%81%D1%82%D1%80%D0%BE%D0%B2%20%D1%81%D0%B8%D0%BD%D0%B8%D0%B9...%201972%20%D1%84%D0%B8%D0%BB%D1%8C%D0%BC","искать")</f>
        <v/>
      </c>
      <c r="N2388" s="3" t="n"/>
      <c r="O2388" s="2" t="n"/>
      <c r="P2388" s="2" t="n"/>
    </row>
    <row r="2389">
      <c r="A2389" s="2" t="n">
        <v>2388</v>
      </c>
      <c r="B2389" s="2" t="inlineStr">
        <is>
          <t>не сюжет</t>
        </is>
      </c>
      <c r="C2389" s="2" t="n">
        <v>10580</v>
      </c>
      <c r="D2389" s="3" t="inlineStr">
        <is>
          <t>Пир во время чумы</t>
        </is>
      </c>
      <c r="E2389" s="2" t="n">
        <v>1974</v>
      </c>
      <c r="F2389" s="2" t="inlineStr">
        <is>
          <t>фильм-спектакль</t>
        </is>
      </c>
      <c r="G2389" s="2" t="inlineStr">
        <is>
          <t>Центральное телевидение, Подборки фильмов, экранизации Пушкина</t>
        </is>
      </c>
      <c r="H2389" s="2" t="n">
        <v>129</v>
      </c>
      <c r="I2389" s="2" t="inlineStr"/>
      <c r="J2389" s="2" t="inlineStr">
        <is>
          <t>да</t>
        </is>
      </c>
      <c r="K2389" s="3" t="inlineStr">
        <is>
          <t>Телеспектакль по А.С.Пушкину к 175-летию со дня рождения поэта. Из произведений последних лет. Вступительное слово С.Гиацинтовой.</t>
        </is>
      </c>
      <c r="L2389" s="2" t="inlineStr">
        <is>
          <t>https://www.kino-teatr.ru/teatr/movie/5127/annot/</t>
        </is>
      </c>
      <c r="M2389" s="2">
        <f>HYPERLINK("https://ru.wikipedia.org/w/index.php?search=%D0%9F%D0%B8%D1%80%20%D0%B2%D0%BE%20%D0%B2%D1%80%D0%B5%D0%BC%D1%8F%20%D1%87%D1%83%D0%BC%D1%8B%201974%20%D1%84%D0%B8%D0%BB%D1%8C%D0%BC","искать")</f>
        <v/>
      </c>
      <c r="N2389" s="3" t="n"/>
      <c r="O2389" s="2" t="n"/>
      <c r="P2389" s="2" t="n"/>
    </row>
    <row r="2390">
      <c r="A2390" s="2" t="n">
        <v>2389</v>
      </c>
      <c r="B2390" s="2" t="inlineStr">
        <is>
          <t>не сюжет</t>
        </is>
      </c>
      <c r="C2390" s="2" t="n">
        <v>11041</v>
      </c>
      <c r="D2390" s="3" t="inlineStr">
        <is>
          <t>Рудольф и Ирма</t>
        </is>
      </c>
      <c r="E2390" s="2" t="n">
        <v>1984</v>
      </c>
      <c r="F2390" s="2" t="inlineStr">
        <is>
          <t>фильм-спектакль</t>
        </is>
      </c>
      <c r="G2390" s="2" t="n"/>
      <c r="H2390" s="2" t="n">
        <v>129</v>
      </c>
      <c r="I2390" s="2" t="inlineStr"/>
      <c r="J2390" s="2" t="inlineStr">
        <is>
          <t>да</t>
        </is>
      </c>
      <c r="K2390" s="3" t="inlineStr">
        <is>
          <t>Фильм-спектакль поставлен по роману "Жизнь и любовь" классика эстонской литературы, эстонского писателя А.Х.Таммсааре(1878-1940).</t>
        </is>
      </c>
      <c r="L2390" s="2" t="inlineStr">
        <is>
          <t>https://www.kino-teatr.ru/teatr/movie/88944/annot/</t>
        </is>
      </c>
      <c r="M2390" s="2">
        <f>HYPERLINK("https://ru.wikipedia.org/w/index.php?search=%D0%A0%D1%83%D0%B4%D0%BE%D0%BB%D1%8C%D1%84%20%D0%B8%20%D0%98%D1%80%D0%BC%D0%B0%201984%20%D1%84%D0%B8%D0%BB%D1%8C%D0%BC","искать")</f>
        <v/>
      </c>
      <c r="N2390" s="3" t="n"/>
      <c r="O2390" s="2" t="n"/>
      <c r="P2390" s="2" t="n"/>
    </row>
    <row r="2391">
      <c r="A2391" s="2" t="n">
        <v>2390</v>
      </c>
      <c r="B2391" s="2" t="inlineStr">
        <is>
          <t>не сюжет</t>
        </is>
      </c>
      <c r="C2391" s="2" t="n">
        <v>11304</v>
      </c>
      <c r="D2391" s="3" t="inlineStr">
        <is>
          <t>Княжны</t>
        </is>
      </c>
      <c r="E2391" s="2" t="n">
        <v>1990</v>
      </c>
      <c r="F2391" s="2" t="inlineStr">
        <is>
          <t>фильм-спектакль</t>
        </is>
      </c>
      <c r="G2391" s="2" t="n"/>
      <c r="H2391" s="2" t="n">
        <v>129</v>
      </c>
      <c r="I2391" s="2" t="inlineStr"/>
      <c r="J2391" s="2" t="inlineStr">
        <is>
          <t>да</t>
        </is>
      </c>
      <c r="K2391" s="3" t="inlineStr">
        <is>
          <t>Телеспектакль по пьесе А.Мишарина.
Рассказ о двух сестрах, в котором одна была замужем за комиссаром, другая – за белогвардейцем.</t>
        </is>
      </c>
      <c r="L2391" s="2" t="inlineStr">
        <is>
          <t>https://www.kino-teatr.ru/teatr/movie/119936/annot/</t>
        </is>
      </c>
      <c r="M2391" s="2">
        <f>HYPERLINK("https://ru.wikipedia.org/w/index.php?search=%D0%9A%D0%BD%D1%8F%D0%B6%D0%BD%D1%8B%201990%20%D1%84%D0%B8%D0%BB%D1%8C%D0%BC","искать")</f>
        <v/>
      </c>
      <c r="N2391" s="3" t="n"/>
      <c r="O2391" s="2" t="n"/>
      <c r="P2391" s="2" t="n"/>
    </row>
    <row r="2392">
      <c r="A2392" s="2" t="n">
        <v>2391</v>
      </c>
      <c r="B2392" s="2" t="inlineStr">
        <is>
          <t>не сюжет</t>
        </is>
      </c>
      <c r="C2392" s="2" t="n">
        <v>11803</v>
      </c>
      <c r="D2392" s="3" t="inlineStr">
        <is>
          <t>Лоскуток</t>
        </is>
      </c>
      <c r="E2392" s="2" t="n">
        <v>1976</v>
      </c>
      <c r="F2392" s="2" t="inlineStr">
        <is>
          <t>мультфильм</t>
        </is>
      </c>
      <c r="G2392" s="2" t="inlineStr">
        <is>
          <t>Союзмультфильм</t>
        </is>
      </c>
      <c r="H2392" s="2" t="n">
        <v>129</v>
      </c>
      <c r="I2392" s="2" t="inlineStr"/>
      <c r="J2392" s="2" t="inlineStr">
        <is>
          <t>да</t>
        </is>
      </c>
      <c r="K2392" s="3" t="inlineStr">
        <is>
          <t>Мультфильм предназначен детям и призван воспитывать у них такие качества, как верность в дружбе, отзывчивость, душевная щедрость.</t>
        </is>
      </c>
      <c r="L2392" s="2" t="inlineStr">
        <is>
          <t>2026-10_мультфильмы_список_владельца.xlsx; https://animator.ru/db/?p=show_film&amp;fid=2717</t>
        </is>
      </c>
      <c r="M2392" s="2">
        <f>HYPERLINK("https://ru.wikipedia.org/w/index.php?search=%D0%9B%D0%BE%D1%81%D0%BA%D1%83%D1%82%D0%BE%D0%BA%201976%20%D1%84%D0%B8%D0%BB%D1%8C%D0%BC","искать")</f>
        <v/>
      </c>
      <c r="N2392" s="3" t="n"/>
      <c r="O2392" s="2" t="n"/>
      <c r="P2392" s="2" t="n"/>
    </row>
    <row r="2393">
      <c r="A2393" s="2" t="n">
        <v>2392</v>
      </c>
      <c r="B2393" s="2" t="inlineStr">
        <is>
          <t>не сюжет</t>
        </is>
      </c>
      <c r="C2393" s="2" t="n">
        <v>13832</v>
      </c>
      <c r="D2393" s="3" t="inlineStr">
        <is>
          <t>Как передвинуть шкаф</t>
        </is>
      </c>
      <c r="E2393" s="2" t="n">
        <v>1985</v>
      </c>
      <c r="F2393" s="2" t="inlineStr">
        <is>
          <t>мультфильм</t>
        </is>
      </c>
      <c r="G2393" s="2" t="inlineStr">
        <is>
          <t>ЭКРАН</t>
        </is>
      </c>
      <c r="H2393" s="2" t="n">
        <v>129</v>
      </c>
      <c r="I2393" s="2" t="inlineStr"/>
      <c r="J2393" s="2" t="inlineStr">
        <is>
          <t>да</t>
        </is>
      </c>
      <c r="K2393" s="3" t="inlineStr">
        <is>
          <t>Здесь можно посмотреть онлайн и скачать мультфильм "Как передвинуть шкаф" (ЭКРАН, 1985 г.) (Полезные советы профессора Чайникова)</t>
        </is>
      </c>
      <c r="L2393" s="2" t="inlineStr">
        <is>
          <t>2026-10_мультфильмы_список_владельца.xlsx; https://animator.ru/db/?p=show_film&amp;fid=5225</t>
        </is>
      </c>
      <c r="M2393" s="2">
        <f>HYPERLINK("https://ru.wikipedia.org/w/index.php?search=%D0%9A%D0%B0%D0%BA%20%D0%BF%D0%B5%D1%80%D0%B5%D0%B4%D0%B2%D0%B8%D0%BD%D1%83%D1%82%D1%8C%20%D1%88%D0%BA%D0%B0%D1%84%201985%20%D1%84%D0%B8%D0%BB%D1%8C%D0%BC","искать")</f>
        <v/>
      </c>
      <c r="N2393" s="3" t="n"/>
      <c r="O2393" s="2" t="n"/>
      <c r="P2393" s="2" t="n"/>
    </row>
    <row r="2394">
      <c r="A2394" s="2" t="n">
        <v>2393</v>
      </c>
      <c r="B2394" s="2" t="inlineStr">
        <is>
          <t>не сюжет</t>
        </is>
      </c>
      <c r="C2394" s="2" t="n">
        <v>14100</v>
      </c>
      <c r="D2394" s="3" t="inlineStr">
        <is>
          <t>Вот те на!</t>
        </is>
      </c>
      <c r="E2394" s="2" t="n">
        <v>1986</v>
      </c>
      <c r="F2394" s="2" t="inlineStr">
        <is>
          <t>мультфильм</t>
        </is>
      </c>
      <c r="G2394" s="2" t="inlineStr">
        <is>
          <t>ГОСТЕЛЕРАДИО ЛАТВ. ССР ("ТЕЛЕФИЛЬМ-РИГА")</t>
        </is>
      </c>
      <c r="H2394" s="2" t="n">
        <v>129</v>
      </c>
      <c r="I2394" s="2" t="inlineStr"/>
      <c r="J2394" s="2" t="inlineStr">
        <is>
          <t>да</t>
        </is>
      </c>
      <c r="K2394" s="3" t="inlineStr">
        <is>
          <t>По мотивам сказки И.Зиедониса. Для малышей. Приз "Большой Кристап" 1986 года - "за большой вклад в эстетическое воспитание детей"</t>
        </is>
      </c>
      <c r="L2394" s="2" t="inlineStr">
        <is>
          <t>https://animator.ru/db/?p=show_film&amp;fid=5498</t>
        </is>
      </c>
      <c r="M2394" s="2">
        <f>HYPERLINK("https://ru.wikipedia.org/w/index.php?search=%D0%92%D0%BE%D1%82%20%D1%82%D0%B5%20%D0%BD%D0%B0%21%201986%20%D1%84%D0%B8%D0%BB%D1%8C%D0%BC","искать")</f>
        <v/>
      </c>
      <c r="N2394" s="3" t="n"/>
      <c r="O2394" s="2" t="n"/>
      <c r="P2394" s="2" t="n"/>
    </row>
    <row r="2395">
      <c r="A2395" s="2" t="n">
        <v>2394</v>
      </c>
      <c r="B2395" s="2" t="inlineStr">
        <is>
          <t>не сюжет</t>
        </is>
      </c>
      <c r="C2395" s="2" t="n">
        <v>7559</v>
      </c>
      <c r="D2395" s="3" t="inlineStr">
        <is>
          <t>Дрессировщики</t>
        </is>
      </c>
      <c r="E2395" s="2" t="n">
        <v>1975</v>
      </c>
      <c r="F2395" s="2" t="inlineStr">
        <is>
          <t>телефильм</t>
        </is>
      </c>
      <c r="G2395" s="2" t="n"/>
      <c r="H2395" s="2" t="n">
        <v>130</v>
      </c>
      <c r="I2395" s="2" t="inlineStr"/>
      <c r="J2395" s="2" t="inlineStr">
        <is>
          <t>да</t>
        </is>
      </c>
      <c r="K2395" s="3" t="inlineStr">
        <is>
          <t>Дружба, а вовсе не дрессура - лейтмотив многосерийного художественного фильма об общении детей цирковых дрессировщиков и животных.</t>
        </is>
      </c>
      <c r="L2395" s="2" t="inlineStr">
        <is>
          <t>Кино_СССР сводный каталог.xlsx: список телефильмов</t>
        </is>
      </c>
      <c r="M2395" s="2">
        <f>HYPERLINK("https://ru.wikipedia.org/w/index.php?search=%D0%94%D1%80%D0%B5%D1%81%D1%81%D0%B8%D1%80%D0%BE%D0%B2%D1%89%D0%B8%D0%BA%D0%B8%201975%20%D1%84%D0%B8%D0%BB%D1%8C%D0%BC","искать")</f>
        <v/>
      </c>
      <c r="N2395" s="3" t="n"/>
      <c r="O2395" s="2" t="n"/>
      <c r="P2395" s="2" t="n"/>
    </row>
    <row r="2396">
      <c r="A2396" s="2" t="n">
        <v>2395</v>
      </c>
      <c r="B2396" s="2" t="inlineStr">
        <is>
          <t>не сюжет</t>
        </is>
      </c>
      <c r="C2396" s="2" t="n">
        <v>8329</v>
      </c>
      <c r="D2396" s="3" t="inlineStr">
        <is>
          <t>Семь маленьких рассказов о первой любви</t>
        </is>
      </c>
      <c r="E2396" s="2" t="n">
        <v>1981</v>
      </c>
      <c r="F2396" s="2" t="inlineStr">
        <is>
          <t>телефильм</t>
        </is>
      </c>
      <c r="G2396" s="2" t="n"/>
      <c r="H2396" s="2" t="n">
        <v>130</v>
      </c>
      <c r="I2396" s="2" t="inlineStr"/>
      <c r="J2396" s="2" t="inlineStr">
        <is>
          <t>да</t>
        </is>
      </c>
      <c r="K2396" s="3" t="inlineStr">
        <is>
          <t>შვიდი პატარა მოთხრობა პირველ სიყვარულზე Семь лирических новелл о первой любви, о возникновении первого наивного и чистого чувства.</t>
        </is>
      </c>
      <c r="L2396" s="2" t="inlineStr">
        <is>
          <t>Кино_СССР сводный каталог.xlsx: список телефильмов</t>
        </is>
      </c>
      <c r="M2396" s="2">
        <f>HYPERLINK("https://ru.wikipedia.org/w/index.php?search=%D0%A1%D0%B5%D0%BC%D1%8C%20%D0%BC%D0%B0%D0%BB%D0%B5%D0%BD%D1%8C%D0%BA%D0%B8%D1%85%20%D1%80%D0%B0%D1%81%D1%81%D0%BA%D0%B0%D0%B7%D0%BE%D0%B2%20%D0%BE%20%D0%BF%D0%B5%D1%80%D0%B2%D0%BE%D0%B9%20%D0%BB%D1%8E%D0%B1%D0%B2%D0%B8%201981%20%D1%84%D0%B8%D0%BB%D1%8C%D0%BC","искать")</f>
        <v/>
      </c>
      <c r="N2396" s="3" t="n"/>
      <c r="O2396" s="2" t="n"/>
      <c r="P2396" s="2" t="n"/>
    </row>
    <row r="2397">
      <c r="A2397" s="2" t="n">
        <v>2396</v>
      </c>
      <c r="B2397" s="2" t="inlineStr">
        <is>
          <t>не сюжет</t>
        </is>
      </c>
      <c r="C2397" s="2" t="n">
        <v>12728</v>
      </c>
      <c r="D2397" s="3" t="inlineStr">
        <is>
          <t>Композиция на тему. Паршивец</t>
        </is>
      </c>
      <c r="E2397" s="2" t="n">
        <v>1990</v>
      </c>
      <c r="F2397" s="2" t="inlineStr">
        <is>
          <t>мультфильм</t>
        </is>
      </c>
      <c r="G2397" s="2" t="inlineStr">
        <is>
          <t>БИРЛИК</t>
        </is>
      </c>
      <c r="H2397" s="2" t="n">
        <v>130</v>
      </c>
      <c r="I2397" s="2" t="inlineStr"/>
      <c r="J2397" s="2" t="inlineStr">
        <is>
          <t>да</t>
        </is>
      </c>
      <c r="K2397" s="3" t="inlineStr">
        <is>
          <t>По заказу Гостелерадио СССР. Продолжение сериала о Белом и Рыжем клоунах. Использована музыка Раймогда Паулса и Леонида Вайнштейна</t>
        </is>
      </c>
      <c r="L2397" s="2" t="inlineStr">
        <is>
          <t>https://animator.ru/db/?p=show_film&amp;fid=3934</t>
        </is>
      </c>
      <c r="M2397" s="2">
        <f>HYPERLINK("https://ru.wikipedia.org/w/index.php?search=%D0%9A%D0%BE%D0%BC%D0%BF%D0%BE%D0%B7%D0%B8%D1%86%D0%B8%D1%8F%20%D0%BD%D0%B0%20%D1%82%D0%B5%D0%BC%D1%83.%20%D0%9F%D0%B0%D1%80%D1%88%D0%B8%D0%B2%D0%B5%D1%86%201990%20%D1%84%D0%B8%D0%BB%D1%8C%D0%BC","искать")</f>
        <v/>
      </c>
      <c r="N2397" s="3" t="n"/>
      <c r="O2397" s="2" t="n"/>
      <c r="P2397" s="2" t="n"/>
    </row>
    <row r="2398">
      <c r="A2398" s="2" t="n">
        <v>2397</v>
      </c>
      <c r="B2398" s="2" t="inlineStr">
        <is>
          <t>не сюжет</t>
        </is>
      </c>
      <c r="C2398" s="2" t="n">
        <v>7329</v>
      </c>
      <c r="D2398" s="3" t="inlineStr">
        <is>
          <t>Весна поёт</t>
        </is>
      </c>
      <c r="E2398" s="2" t="n">
        <v>1967</v>
      </c>
      <c r="F2398" s="2" t="inlineStr">
        <is>
          <t>телефильм</t>
        </is>
      </c>
      <c r="G2398" s="2" t="n"/>
      <c r="H2398" s="2" t="n">
        <v>131</v>
      </c>
      <c r="I2398" s="2" t="inlineStr"/>
      <c r="J2398" s="2" t="inlineStr">
        <is>
          <t>да</t>
        </is>
      </c>
      <c r="K2398" s="3" t="inlineStr">
        <is>
          <t>Телефильм. Лирическая комедия о любви и счастье... По одноименной оперетте композитора Дмитрия Кабалевского и писателя Ц. Солодаря.</t>
        </is>
      </c>
      <c r="L2398" s="2" t="inlineStr">
        <is>
          <t>Кино_СССР сводный каталог.xlsx: список телефильмов</t>
        </is>
      </c>
      <c r="M2398" s="2">
        <f>HYPERLINK("https://ru.wikipedia.org/w/index.php?search=%D0%92%D0%B5%D1%81%D0%BD%D0%B0%20%D0%BF%D0%BE%D1%91%D1%82%201967%20%D1%84%D0%B8%D0%BB%D1%8C%D0%BC","искать")</f>
        <v/>
      </c>
      <c r="N2398" s="3" t="n"/>
      <c r="O2398" s="2" t="n"/>
      <c r="P2398" s="2" t="n"/>
    </row>
    <row r="2399">
      <c r="A2399" s="2" t="n">
        <v>2398</v>
      </c>
      <c r="B2399" s="2" t="inlineStr">
        <is>
          <t>не сюжет</t>
        </is>
      </c>
      <c r="C2399" s="2" t="n">
        <v>8302</v>
      </c>
      <c r="D2399" s="3" t="inlineStr">
        <is>
          <t>Свадебные колокола</t>
        </is>
      </c>
      <c r="E2399" s="2" t="n">
        <v>1967</v>
      </c>
      <c r="F2399" s="2" t="inlineStr">
        <is>
          <t>телефильм</t>
        </is>
      </c>
      <c r="G2399" s="2" t="n"/>
      <c r="H2399" s="2" t="n">
        <v>131</v>
      </c>
      <c r="I2399" s="2" t="inlineStr"/>
      <c r="J2399" s="2" t="inlineStr">
        <is>
          <t>да</t>
        </is>
      </c>
      <c r="K2399" s="3" t="inlineStr">
        <is>
          <t>Телефильм рассказывает о молодых строителях, которые приехали в Сибирь по зову сердца, чтобы обживать этот знаменитый суровый край.</t>
        </is>
      </c>
      <c r="L2399" s="2" t="inlineStr">
        <is>
          <t>Кино_СССР сводный каталог.xlsx: список телефильмов</t>
        </is>
      </c>
      <c r="M2399" s="2">
        <f>HYPERLINK("https://ru.wikipedia.org/w/index.php?search=%D0%A1%D0%B2%D0%B0%D0%B4%D0%B5%D0%B1%D0%BD%D1%8B%D0%B5%20%D0%BA%D0%BE%D0%BB%D0%BE%D0%BA%D0%BE%D0%BB%D0%B0%201967%20%D1%84%D0%B8%D0%BB%D1%8C%D0%BC","искать")</f>
        <v/>
      </c>
      <c r="N2399" s="3" t="n"/>
      <c r="O2399" s="2" t="n"/>
      <c r="P2399" s="2" t="n"/>
    </row>
    <row r="2400">
      <c r="A2400" s="2" t="n">
        <v>2399</v>
      </c>
      <c r="B2400" s="2" t="inlineStr">
        <is>
          <t>не сюжет</t>
        </is>
      </c>
      <c r="C2400" s="2" t="n">
        <v>8945</v>
      </c>
      <c r="D2400" s="3" t="inlineStr">
        <is>
          <t>Поезд дураков</t>
        </is>
      </c>
      <c r="E2400" s="2" t="n">
        <v>1989</v>
      </c>
      <c r="F2400" s="2" t="inlineStr">
        <is>
          <t>кинофильм</t>
        </is>
      </c>
      <c r="G2400" s="2" t="n"/>
      <c r="H2400" s="2" t="n">
        <v>131</v>
      </c>
      <c r="I2400" s="2" t="inlineStr"/>
      <c r="J2400" s="2" t="inlineStr">
        <is>
          <t>да</t>
        </is>
      </c>
      <c r="K2400" s="3" t="inlineStr">
        <is>
          <t>Философская притча, так можно определить этот фильм, несколько пассажиров несутся в поезде неизвестно куда и каждого свои проблемы.</t>
        </is>
      </c>
      <c r="L2400" s="2" t="inlineStr">
        <is>
          <t>Кино_СССР сводный каталог.xlsx: список фильмов (доп.)</t>
        </is>
      </c>
      <c r="M2400" s="2">
        <f>HYPERLINK("https://ru.wikipedia.org/w/index.php?search=%D0%9F%D0%BE%D0%B5%D0%B7%D0%B4%20%D0%B4%D1%83%D1%80%D0%B0%D0%BA%D0%BE%D0%B2%201989%20%D1%84%D0%B8%D0%BB%D1%8C%D0%BC","искать")</f>
        <v/>
      </c>
      <c r="N2400" s="3" t="n"/>
      <c r="O2400" s="2" t="n"/>
      <c r="P2400" s="2" t="n"/>
    </row>
    <row r="2401">
      <c r="A2401" s="2" t="n">
        <v>2400</v>
      </c>
      <c r="B2401" s="2" t="inlineStr">
        <is>
          <t>не сюжет</t>
        </is>
      </c>
      <c r="C2401" s="2" t="n">
        <v>7258</v>
      </c>
      <c r="D2401" s="3" t="inlineStr">
        <is>
          <t>Богач, бедняк...</t>
        </is>
      </c>
      <c r="E2401" s="2" t="n">
        <v>1982</v>
      </c>
      <c r="F2401" s="2" t="inlineStr">
        <is>
          <t>телефильм</t>
        </is>
      </c>
      <c r="G2401" s="2" t="inlineStr">
        <is>
          <t>Литовская к/с</t>
        </is>
      </c>
      <c r="H2401" s="2" t="n">
        <v>132</v>
      </c>
      <c r="I2401" s="2" t="inlineStr"/>
      <c r="J2401" s="2" t="inlineStr">
        <is>
          <t>да</t>
        </is>
      </c>
      <c r="K2401" s="3" t="inlineStr">
        <is>
          <t>Сериал по роману Ирвина Шоу. Трагическая, почти детективная история семьи немецкого эмигранта в Америке с 1945 года и до наших дней.</t>
        </is>
      </c>
      <c r="L2401" s="2" t="inlineStr">
        <is>
          <t>Кино_СССР сводный каталог.xlsx: список телефильмов</t>
        </is>
      </c>
      <c r="M2401" s="2">
        <f>HYPERLINK("https://ru.wikipedia.org/w/index.php?search=%D0%91%D0%BE%D0%B3%D0%B0%D1%87%2C%20%D0%B1%D0%B5%D0%B4%D0%BD%D1%8F%D0%BA...%201982%20%D1%84%D0%B8%D0%BB%D1%8C%D0%BC","искать")</f>
        <v/>
      </c>
      <c r="N2401" s="3" t="n"/>
      <c r="O2401" s="2" t="n"/>
      <c r="P2401" s="2" t="n"/>
    </row>
    <row r="2402">
      <c r="A2402" s="2" t="n">
        <v>2401</v>
      </c>
      <c r="B2402" s="2" t="inlineStr">
        <is>
          <t>не сюжет</t>
        </is>
      </c>
      <c r="C2402" s="2" t="n">
        <v>7888</v>
      </c>
      <c r="D2402" s="3" t="inlineStr">
        <is>
          <t>Мои люди</t>
        </is>
      </c>
      <c r="E2402" s="2" t="n">
        <v>1990</v>
      </c>
      <c r="F2402" s="2" t="inlineStr">
        <is>
          <t>телефильм</t>
        </is>
      </c>
      <c r="G2402" s="2" t="n"/>
      <c r="H2402" s="2" t="n">
        <v>132</v>
      </c>
      <c r="I2402" s="2" t="inlineStr"/>
      <c r="J2402" s="2" t="inlineStr">
        <is>
          <t>да</t>
        </is>
      </c>
      <c r="K2402" s="3" t="inlineStr">
        <is>
          <t>По одноименному роману Руслана Киреева. Фильм о житейских и семейных проблемах сегодняшнего дня, о вечном конфликте "отцов и детей".</t>
        </is>
      </c>
      <c r="L2402" s="2" t="inlineStr">
        <is>
          <t>Кино_СССР сводный каталог.xlsx: список телефильмов</t>
        </is>
      </c>
      <c r="M2402" s="2">
        <f>HYPERLINK("https://ru.wikipedia.org/w/index.php?search=%D0%9C%D0%BE%D0%B8%20%D0%BB%D1%8E%D0%B4%D0%B8%201990%20%D1%84%D0%B8%D0%BB%D1%8C%D0%BC","искать")</f>
        <v/>
      </c>
      <c r="N2402" s="3" t="n"/>
      <c r="O2402" s="2" t="n"/>
      <c r="P2402" s="2" t="n"/>
    </row>
    <row r="2403">
      <c r="A2403" s="2" t="n">
        <v>2402</v>
      </c>
      <c r="B2403" s="2" t="inlineStr">
        <is>
          <t>не сюжет</t>
        </is>
      </c>
      <c r="C2403" s="2" t="n">
        <v>10862</v>
      </c>
      <c r="D2403" s="3" t="inlineStr">
        <is>
          <t>Полоса допустимого</t>
        </is>
      </c>
      <c r="E2403" s="2" t="n">
        <v>1980</v>
      </c>
      <c r="F2403" s="2" t="inlineStr">
        <is>
          <t>фильм-спектакль</t>
        </is>
      </c>
      <c r="G2403" s="2" t="inlineStr">
        <is>
          <t>Главная редакция литературно-драматических программ ЦТ</t>
        </is>
      </c>
      <c r="H2403" s="2" t="n">
        <v>132</v>
      </c>
      <c r="I2403" s="2" t="inlineStr"/>
      <c r="J2403" s="2" t="inlineStr">
        <is>
          <t>да</t>
        </is>
      </c>
      <c r="K2403" s="3" t="inlineStr">
        <is>
          <t>Действие происходит на сибирской стройке.
События разворачиваются вокруг молодого начальника монтажного участка Александра Смирнова.</t>
        </is>
      </c>
      <c r="L2403" s="2" t="inlineStr">
        <is>
          <t>https://www.kino-teatr.ru/teatr/movie/121026/annot/</t>
        </is>
      </c>
      <c r="M2403" s="2">
        <f>HYPERLINK("https://ru.wikipedia.org/w/index.php?search=%D0%9F%D0%BE%D0%BB%D0%BE%D1%81%D0%B0%20%D0%B4%D0%BE%D0%BF%D1%83%D1%81%D1%82%D0%B8%D0%BC%D0%BE%D0%B3%D0%BE%201980%20%D1%84%D0%B8%D0%BB%D1%8C%D0%BC","искать")</f>
        <v/>
      </c>
      <c r="N2403" s="3" t="n"/>
      <c r="O2403" s="2" t="n"/>
      <c r="P2403" s="2" t="n"/>
    </row>
    <row r="2404">
      <c r="A2404" s="2" t="n">
        <v>2403</v>
      </c>
      <c r="B2404" s="2" t="inlineStr">
        <is>
          <t>не сюжет</t>
        </is>
      </c>
      <c r="C2404" s="2" t="n">
        <v>7764</v>
      </c>
      <c r="D2404" s="3" t="inlineStr">
        <is>
          <t>Красное вино победы</t>
        </is>
      </c>
      <c r="E2404" s="2" t="n">
        <v>1990</v>
      </c>
      <c r="F2404" s="2" t="inlineStr">
        <is>
          <t>телефильм</t>
        </is>
      </c>
      <c r="G2404" s="2" t="n"/>
      <c r="H2404" s="2" t="n">
        <v>133</v>
      </c>
      <c r="I2404" s="2" t="inlineStr"/>
      <c r="J2404" s="2" t="inlineStr">
        <is>
          <t>да</t>
        </is>
      </c>
      <c r="K2404" s="3" t="inlineStr">
        <is>
          <t>Фильм по одноименному рассказу Е.Носова о последних днях Великой Отечественной войны. Действие фильма происходит в военном госпитале.</t>
        </is>
      </c>
      <c r="L2404" s="2" t="inlineStr">
        <is>
          <t>Кино_СССР сводный каталог.xlsx: список телефильмов</t>
        </is>
      </c>
      <c r="M2404" s="2">
        <f>HYPERLINK("https://ru.wikipedia.org/w/index.php?search=%D0%9A%D1%80%D0%B0%D1%81%D0%BD%D0%BE%D0%B5%20%D0%B2%D0%B8%D0%BD%D0%BE%20%D0%BF%D0%BE%D0%B1%D0%B5%D0%B4%D1%8B%201990%20%D1%84%D0%B8%D0%BB%D1%8C%D0%BC","искать")</f>
        <v/>
      </c>
      <c r="N2404" s="3" t="n"/>
      <c r="O2404" s="2" t="n"/>
      <c r="P2404" s="2" t="n"/>
    </row>
    <row r="2405">
      <c r="A2405" s="2" t="n">
        <v>2404</v>
      </c>
      <c r="B2405" s="2" t="inlineStr">
        <is>
          <t>не сюжет</t>
        </is>
      </c>
      <c r="C2405" s="2" t="n">
        <v>10378</v>
      </c>
      <c r="D2405" s="3" t="inlineStr">
        <is>
          <t>Терем-теремок (1970-1971)</t>
        </is>
      </c>
      <c r="E2405" s="2" t="n">
        <v>1970</v>
      </c>
      <c r="F2405" s="2" t="inlineStr">
        <is>
          <t>фильм-спектакль</t>
        </is>
      </c>
      <c r="G2405" s="2" t="inlineStr">
        <is>
          <t>Центральное телевидение</t>
        </is>
      </c>
      <c r="H2405" s="2" t="n">
        <v>133</v>
      </c>
      <c r="I2405" s="2" t="inlineStr"/>
      <c r="J2405" s="2" t="inlineStr">
        <is>
          <t>да</t>
        </is>
      </c>
      <c r="K2405" s="3" t="inlineStr">
        <is>
          <t>Юмористический спектакль. В нем были задействованы ведущие артисты Театра сатиры (кроме тех, что были заняты в "Кабачке 13 стульев").</t>
        </is>
      </c>
      <c r="L2405" s="2" t="inlineStr">
        <is>
          <t>https://www.kino-teatr.ru/teatr/movie/81059/annot/</t>
        </is>
      </c>
      <c r="M2405" s="2">
        <f>HYPERLINK("https://ru.wikipedia.org/w/index.php?search=%D0%A2%D0%B5%D1%80%D0%B5%D0%BC-%D1%82%D0%B5%D1%80%D0%B5%D0%BC%D0%BE%D0%BA%20%281970-1971%29%201970%20%D1%84%D0%B8%D0%BB%D1%8C%D0%BC","искать")</f>
        <v/>
      </c>
      <c r="N2405" s="3" t="n"/>
      <c r="O2405" s="2" t="n"/>
      <c r="P2405" s="2" t="n"/>
    </row>
    <row r="2406">
      <c r="A2406" s="2" t="n">
        <v>2405</v>
      </c>
      <c r="B2406" s="2" t="inlineStr">
        <is>
          <t>не сюжет</t>
        </is>
      </c>
      <c r="C2406" s="2" t="n">
        <v>10765</v>
      </c>
      <c r="D2406" s="3" t="inlineStr">
        <is>
          <t>Острова в океане</t>
        </is>
      </c>
      <c r="E2406" s="2" t="n">
        <v>1978</v>
      </c>
      <c r="F2406" s="2" t="inlineStr">
        <is>
          <t>фильм-спектакль</t>
        </is>
      </c>
      <c r="G2406" s="2" t="inlineStr">
        <is>
          <t>Гл. ред. лит-драм программ</t>
        </is>
      </c>
      <c r="H2406" s="2" t="n">
        <v>133</v>
      </c>
      <c r="I2406" s="2" t="inlineStr"/>
      <c r="J2406" s="2" t="inlineStr">
        <is>
          <t>да</t>
        </is>
      </c>
      <c r="K2406" s="3" t="inlineStr">
        <is>
          <t>По одноименному роману Эрнеста Хэмингуэя. Спектакль построен в форме монолога-воспоминания главного героя - художника Томаса Хадсона.</t>
        </is>
      </c>
      <c r="L2406" s="2" t="inlineStr">
        <is>
          <t>https://www.kino-teatr.ru/teatr/movie/4851/annot/</t>
        </is>
      </c>
      <c r="M2406" s="2">
        <f>HYPERLINK("https://ru.wikipedia.org/w/index.php?search=%D0%9E%D1%81%D1%82%D1%80%D0%BE%D0%B2%D0%B0%20%D0%B2%20%D0%BE%D0%BA%D0%B5%D0%B0%D0%BD%D0%B5%201978%20%D1%84%D0%B8%D0%BB%D1%8C%D0%BC","искать")</f>
        <v/>
      </c>
      <c r="N2406" s="3" t="n"/>
      <c r="O2406" s="2" t="n"/>
      <c r="P2406" s="2" t="n"/>
    </row>
    <row r="2407">
      <c r="A2407" s="2" t="n">
        <v>2406</v>
      </c>
      <c r="B2407" s="2" t="inlineStr">
        <is>
          <t>не сюжет</t>
        </is>
      </c>
      <c r="C2407" s="2" t="n">
        <v>7220</v>
      </c>
      <c r="D2407" s="3" t="inlineStr">
        <is>
          <t>Армянские фрески</t>
        </is>
      </c>
      <c r="E2407" s="2" t="n">
        <v>1972</v>
      </c>
      <c r="F2407" s="2" t="inlineStr">
        <is>
          <t>телефильм</t>
        </is>
      </c>
      <c r="G2407" s="2" t="n"/>
      <c r="H2407" s="2" t="n">
        <v>134</v>
      </c>
      <c r="I2407" s="2" t="inlineStr"/>
      <c r="J2407" s="2" t="inlineStr">
        <is>
          <t>да</t>
        </is>
      </c>
      <c r="K2407" s="3" t="inlineStr">
        <is>
          <t>Фильм составлен из эпизодов национальных армянских балетных спектаклей. Картина снята на фоне армянских пейзажей и древних памятников.</t>
        </is>
      </c>
      <c r="L2407" s="2" t="inlineStr">
        <is>
          <t>Кино_СССР сводный каталог.xlsx: список телефильмов</t>
        </is>
      </c>
      <c r="M2407" s="2">
        <f>HYPERLINK("https://ru.wikipedia.org/w/index.php?search=%D0%90%D1%80%D0%BC%D1%8F%D0%BD%D1%81%D0%BA%D0%B8%D0%B5%20%D1%84%D1%80%D0%B5%D1%81%D0%BA%D0%B8%201972%20%D1%84%D0%B8%D0%BB%D1%8C%D0%BC","искать")</f>
        <v/>
      </c>
      <c r="N2407" s="3" t="n"/>
      <c r="O2407" s="2" t="n"/>
      <c r="P2407" s="2" t="n"/>
    </row>
    <row r="2408">
      <c r="A2408" s="2" t="n">
        <v>2407</v>
      </c>
      <c r="B2408" s="2" t="inlineStr">
        <is>
          <t>не сюжет</t>
        </is>
      </c>
      <c r="C2408" s="2" t="n">
        <v>8585</v>
      </c>
      <c r="D2408" s="3" t="inlineStr">
        <is>
          <t>Щелчки</t>
        </is>
      </c>
      <c r="E2408" s="2" t="n">
        <v>1973</v>
      </c>
      <c r="F2408" s="2" t="inlineStr">
        <is>
          <t>телефильм</t>
        </is>
      </c>
      <c r="G2408" s="2" t="n"/>
      <c r="H2408" s="2" t="n">
        <v>134</v>
      </c>
      <c r="I2408" s="2" t="inlineStr"/>
      <c r="J2408" s="2" t="inlineStr">
        <is>
          <t>да</t>
        </is>
      </c>
      <c r="K2408" s="3" t="inlineStr">
        <is>
          <t>Телефильм. Экранизация сатирических рассказов Ф.Горенштейна: "Человек на дереве", "Непротивленец", "От имени коллектива", "Мыслитель".</t>
        </is>
      </c>
      <c r="L2408" s="2" t="inlineStr">
        <is>
          <t>Кино_СССР сводный каталог.xlsx: список телефильмов</t>
        </is>
      </c>
      <c r="M2408" s="2">
        <f>HYPERLINK("https://ru.wikipedia.org/w/index.php?search=%D0%A9%D0%B5%D0%BB%D1%87%D0%BA%D0%B8%201973%20%D1%84%D0%B8%D0%BB%D1%8C%D0%BC","искать")</f>
        <v/>
      </c>
      <c r="N2408" s="3" t="n"/>
      <c r="O2408" s="2" t="n"/>
      <c r="P2408" s="2" t="n"/>
    </row>
    <row r="2409">
      <c r="A2409" s="2" t="n">
        <v>2408</v>
      </c>
      <c r="B2409" s="2" t="inlineStr">
        <is>
          <t>не сюжет</t>
        </is>
      </c>
      <c r="C2409" s="2" t="n">
        <v>8747</v>
      </c>
      <c r="D2409" s="3" t="inlineStr">
        <is>
          <t>Индраны</t>
        </is>
      </c>
      <c r="E2409" s="2" t="n">
        <v>1991</v>
      </c>
      <c r="F2409" s="2" t="inlineStr">
        <is>
          <t>кинофильм</t>
        </is>
      </c>
      <c r="G2409" s="2" t="n"/>
      <c r="H2409" s="2" t="n">
        <v>134</v>
      </c>
      <c r="I2409" s="2" t="inlineStr"/>
      <c r="J2409" s="2" t="inlineStr">
        <is>
          <t>да</t>
        </is>
      </c>
      <c r="K2409" s="3" t="inlineStr">
        <is>
          <t>По произведениям Рудольфа Блаумана. Фильм исследует истоки конфликта между старым и молодым поколением в латышской крестьянской семье.</t>
        </is>
      </c>
      <c r="L2409" s="2" t="inlineStr">
        <is>
          <t>Кино_СССР сводный каталог.xlsx: список фильмов (доп.)</t>
        </is>
      </c>
      <c r="M2409" s="2">
        <f>HYPERLINK("https://ru.wikipedia.org/w/index.php?search=%D0%98%D0%BD%D0%B4%D1%80%D0%B0%D0%BD%D1%8B%201991%20%D1%84%D0%B8%D0%BB%D1%8C%D0%BC","искать")</f>
        <v/>
      </c>
      <c r="N2409" s="3" t="n"/>
      <c r="O2409" s="2" t="n"/>
      <c r="P2409" s="2" t="n"/>
    </row>
    <row r="2410">
      <c r="A2410" s="2" t="n">
        <v>2409</v>
      </c>
      <c r="B2410" s="2" t="inlineStr">
        <is>
          <t>не сюжет</t>
        </is>
      </c>
      <c r="C2410" s="2" t="n">
        <v>11100</v>
      </c>
      <c r="D2410" s="3" t="inlineStr">
        <is>
          <t>Все клоуны</t>
        </is>
      </c>
      <c r="E2410" s="2" t="n">
        <v>1986</v>
      </c>
      <c r="F2410" s="2" t="inlineStr">
        <is>
          <t>фильм-спектакль</t>
        </is>
      </c>
      <c r="G2410" s="2" t="n"/>
      <c r="H2410" s="2" t="n">
        <v>134</v>
      </c>
      <c r="I2410" s="2" t="inlineStr"/>
      <c r="J2410" s="2" t="inlineStr">
        <is>
          <t>да</t>
        </is>
      </c>
      <c r="K2410" s="3" t="inlineStr">
        <is>
          <t>О дуэте клоунов Екатерины Можаевой и Анатолия Латышева ("Антон и Антошка").
Фильм-концерт снят на манеже и за кулисами Рижского цирка.</t>
        </is>
      </c>
      <c r="L2410" s="2" t="inlineStr">
        <is>
          <t>https://www.kino-teatr.ru/teatr/movie/138359/annot/</t>
        </is>
      </c>
      <c r="M2410" s="2">
        <f>HYPERLINK("https://ru.wikipedia.org/w/index.php?search=%D0%92%D1%81%D0%B5%20%D0%BA%D0%BB%D0%BE%D1%83%D0%BD%D1%8B%201986%20%D1%84%D0%B8%D0%BB%D1%8C%D0%BC","искать")</f>
        <v/>
      </c>
      <c r="N2410" s="3" t="n"/>
      <c r="O2410" s="2" t="n"/>
      <c r="P2410" s="2" t="n"/>
    </row>
    <row r="2411">
      <c r="A2411" s="2" t="n">
        <v>2410</v>
      </c>
      <c r="B2411" s="2" t="inlineStr">
        <is>
          <t>не сюжет</t>
        </is>
      </c>
      <c r="C2411" s="2" t="n">
        <v>11214</v>
      </c>
      <c r="D2411" s="3" t="inlineStr">
        <is>
          <t>Малыш и Карлсон, который живёт на крыше</t>
        </is>
      </c>
      <c r="E2411" s="2" t="n">
        <v>1988</v>
      </c>
      <c r="F2411" s="2" t="inlineStr">
        <is>
          <t>фильм-спектакль</t>
        </is>
      </c>
      <c r="G2411" s="2" t="n"/>
      <c r="H2411" s="2" t="n">
        <v>134</v>
      </c>
      <c r="I2411" s="2" t="inlineStr"/>
      <c r="J2411" s="2" t="inlineStr">
        <is>
          <t>да</t>
        </is>
      </c>
      <c r="K2411" s="3" t="inlineStr">
        <is>
          <t>По мотивам сказки Астрид Линдгрен "Три повести о Малыше и Карлсоне".
Озорной Карлсон и доверчивый Малыш - герои этой известной сказки.</t>
        </is>
      </c>
      <c r="L2411" s="2" t="inlineStr">
        <is>
          <t>https://www.kino-teatr.ru/teatr/movie/89014/annot/</t>
        </is>
      </c>
      <c r="M2411" s="2">
        <f>HYPERLINK("https://ru.wikipedia.org/w/index.php?search=%D0%9C%D0%B0%D0%BB%D1%8B%D1%88%20%D0%B8%20%D0%9A%D0%B0%D1%80%D0%BB%D1%81%D0%BE%D0%BD%2C%20%D0%BA%D0%BE%D1%82%D0%BE%D1%80%D1%8B%D0%B9%20%D0%B6%D0%B8%D0%B2%D1%91%D1%82%20%D0%BD%D0%B0%20%D0%BA%D1%80%D1%8B%D1%88%D0%B5%201988%20%D1%84%D0%B8%D0%BB%D1%8C%D0%BC","искать")</f>
        <v/>
      </c>
      <c r="N2411" s="3" t="n"/>
      <c r="O2411" s="2" t="n"/>
      <c r="P2411" s="2" t="n"/>
    </row>
    <row r="2412">
      <c r="A2412" s="2" t="n">
        <v>2411</v>
      </c>
      <c r="B2412" s="2" t="inlineStr">
        <is>
          <t>не сюжет</t>
        </is>
      </c>
      <c r="C2412" s="2" t="n">
        <v>11577</v>
      </c>
      <c r="D2412" s="3" t="inlineStr">
        <is>
          <t>1905-й ГОД В БУРЖУАЗНОЙ САТИРЕ</t>
        </is>
      </c>
      <c r="E2412" s="2" t="n">
        <v>1930</v>
      </c>
      <c r="F2412" s="2" t="inlineStr">
        <is>
          <t>мультфильм</t>
        </is>
      </c>
      <c r="G2412" s="2" t="inlineStr">
        <is>
          <t>Ленинградская ф-ка СОЮЗКИНО</t>
        </is>
      </c>
      <c r="H2412" s="2" t="n">
        <v>134</v>
      </c>
      <c r="I2412" s="2" t="inlineStr"/>
      <c r="J2412" s="2" t="inlineStr">
        <is>
          <t>да</t>
        </is>
      </c>
      <c r="K2412" s="3" t="inlineStr">
        <is>
          <t>Оживленные каррикатуры дореволюционных журналов. Был озвучен в 1932 г. Режиссер звукового варианта - Г.Римский Корсаков. Не сохранился</t>
        </is>
      </c>
      <c r="L2412" s="2" t="inlineStr">
        <is>
          <t>https://animator.ru/db/?p=show_film&amp;fid=2417</t>
        </is>
      </c>
      <c r="M2412" s="2">
        <f>HYPERLINK("https://ru.wikipedia.org/w/index.php?search=1905-%D0%B9%20%D0%93%D0%9E%D0%94%20%D0%92%20%D0%91%D0%A3%D0%A0%D0%96%D0%A3%D0%90%D0%97%D0%9D%D0%9E%D0%99%20%D0%A1%D0%90%D0%A2%D0%98%D0%A0%D0%95%201930%20%D1%84%D0%B8%D0%BB%D1%8C%D0%BC","искать")</f>
        <v/>
      </c>
      <c r="N2412" s="3" t="n"/>
      <c r="O2412" s="2" t="n"/>
      <c r="P2412" s="2" t="n"/>
    </row>
    <row r="2413">
      <c r="A2413" s="2" t="n">
        <v>2412</v>
      </c>
      <c r="B2413" s="2" t="inlineStr">
        <is>
          <t>не сюжет</t>
        </is>
      </c>
      <c r="C2413" s="2" t="n">
        <v>8493</v>
      </c>
      <c r="D2413" s="3" t="inlineStr">
        <is>
          <t>У нас есть дети..</t>
        </is>
      </c>
      <c r="E2413" s="2" t="n">
        <v>1966</v>
      </c>
      <c r="F2413" s="2" t="inlineStr">
        <is>
          <t>телефильм</t>
        </is>
      </c>
      <c r="G2413" s="2" t="n"/>
      <c r="H2413" s="2" t="n">
        <v>135</v>
      </c>
      <c r="I2413" s="2" t="inlineStr"/>
      <c r="J2413" s="2" t="inlineStr">
        <is>
          <t>да</t>
        </is>
      </c>
      <c r="K2413" s="3" t="inlineStr">
        <is>
          <t>Три новеллы о воспитании детей: "Снегурочка", "Зоолохия" и "Дядя Саша". По рассказам Веры Чубаковой, Марка Бурнесова, Николая Самохина.</t>
        </is>
      </c>
      <c r="L2413" s="2" t="inlineStr">
        <is>
          <t>Кино_СССР сводный каталог.xlsx: список телефильмов</t>
        </is>
      </c>
      <c r="M2413" s="2">
        <f>HYPERLINK("https://ru.wikipedia.org/w/index.php?search=%D0%A3%20%D0%BD%D0%B0%D1%81%20%D0%B5%D1%81%D1%82%D1%8C%20%D0%B4%D0%B5%D1%82%D0%B8..%201966%20%D1%84%D0%B8%D0%BB%D1%8C%D0%BC","искать")</f>
        <v/>
      </c>
      <c r="N2413" s="3" t="n"/>
      <c r="O2413" s="2" t="n"/>
      <c r="P2413" s="2" t="n"/>
    </row>
    <row r="2414">
      <c r="A2414" s="2" t="n">
        <v>2413</v>
      </c>
      <c r="B2414" s="2" t="inlineStr">
        <is>
          <t>не сюжет</t>
        </is>
      </c>
      <c r="C2414" s="2" t="n">
        <v>10339</v>
      </c>
      <c r="D2414" s="3" t="inlineStr">
        <is>
          <t>Фауст</t>
        </is>
      </c>
      <c r="E2414" s="2" t="n">
        <v>1969</v>
      </c>
      <c r="F2414" s="2" t="inlineStr">
        <is>
          <t>фильм-спектакль</t>
        </is>
      </c>
      <c r="G2414" s="2" t="n"/>
      <c r="H2414" s="2" t="n">
        <v>135</v>
      </c>
      <c r="I2414" s="2" t="inlineStr"/>
      <c r="J2414" s="2" t="inlineStr">
        <is>
          <t>да</t>
        </is>
      </c>
      <c r="K2414" s="3" t="inlineStr">
        <is>
          <t>Спектакль театра им. Е.Вахтангова.
По одноименному роману Иоганна Вольфганга Гете в переводе великого русского поэта Бориса Пастернака.</t>
        </is>
      </c>
      <c r="L2414" s="2" t="inlineStr">
        <is>
          <t>https://www.kino-teatr.ru/teatr/movie/81581/annot/</t>
        </is>
      </c>
      <c r="M2414" s="2">
        <f>HYPERLINK("https://ru.wikipedia.org/w/index.php?search=%D0%A4%D0%B0%D1%83%D1%81%D1%82%201969%20%D1%84%D0%B8%D0%BB%D1%8C%D0%BC","искать")</f>
        <v/>
      </c>
      <c r="N2414" s="3" t="n"/>
      <c r="O2414" s="2" t="n"/>
      <c r="P2414" s="2" t="n"/>
    </row>
    <row r="2415">
      <c r="A2415" s="2" t="n">
        <v>2414</v>
      </c>
      <c r="B2415" s="2" t="inlineStr">
        <is>
          <t>не сюжет</t>
        </is>
      </c>
      <c r="C2415" s="2" t="n">
        <v>11084</v>
      </c>
      <c r="D2415" s="3" t="inlineStr">
        <is>
          <t>Стреляй, стреляй, пока не закончатся патроны</t>
        </is>
      </c>
      <c r="E2415" s="2" t="n">
        <v>1985</v>
      </c>
      <c r="F2415" s="2" t="inlineStr">
        <is>
          <t>фильм-спектакль</t>
        </is>
      </c>
      <c r="G2415" s="2" t="inlineStr">
        <is>
          <t>Ares</t>
        </is>
      </c>
      <c r="H2415" s="2" t="n">
        <v>135</v>
      </c>
      <c r="I2415" s="2" t="inlineStr"/>
      <c r="J2415" s="2" t="inlineStr">
        <is>
          <t>да</t>
        </is>
      </c>
      <c r="K2415" s="3" t="inlineStr">
        <is>
          <t>История анатолийских женщин, овдовевших в молодом возрасте. Хедие и Газель — две женщины, несущие свою общую судьбу на шее, как амулет.</t>
        </is>
      </c>
      <c r="L2415" s="2" t="inlineStr">
        <is>
          <t>https://www.kino-teatr.ru/teatr/movie/209721/annot/</t>
        </is>
      </c>
      <c r="M2415" s="2">
        <f>HYPERLINK("https://ru.wikipedia.org/w/index.php?search=%D0%A1%D1%82%D1%80%D0%B5%D0%BB%D1%8F%D0%B9%2C%20%D1%81%D1%82%D1%80%D0%B5%D0%BB%D1%8F%D0%B9%2C%20%D0%BF%D0%BE%D0%BA%D0%B0%20%D0%BD%D0%B5%20%D0%B7%D0%B0%D0%BA%D0%BE%D0%BD%D1%87%D0%B0%D1%82%D1%81%D1%8F%20%D0%BF%D0%B0%D1%82%D1%80%D0%BE%D0%BD%D1%8B%201985%20%D1%84%D0%B8%D0%BB%D1%8C%D0%BC","искать")</f>
        <v/>
      </c>
      <c r="N2415" s="3" t="n"/>
      <c r="O2415" s="2" t="n"/>
      <c r="P2415" s="2" t="n"/>
    </row>
    <row r="2416">
      <c r="A2416" s="2" t="n">
        <v>2415</v>
      </c>
      <c r="B2416" s="2" t="inlineStr">
        <is>
          <t>не сюжет</t>
        </is>
      </c>
      <c r="C2416" s="2" t="n">
        <v>11320</v>
      </c>
      <c r="D2416" s="3" t="inlineStr">
        <is>
          <t>Ревизор</t>
        </is>
      </c>
      <c r="E2416" s="2" t="n">
        <v>1990</v>
      </c>
      <c r="F2416" s="2" t="inlineStr">
        <is>
          <t>фильм-спектакль</t>
        </is>
      </c>
      <c r="G2416" s="2" t="inlineStr">
        <is>
          <t>ETV teleteater</t>
        </is>
      </c>
      <c r="H2416" s="2" t="n">
        <v>135</v>
      </c>
      <c r="I2416" s="2" t="inlineStr"/>
      <c r="J2416" s="2" t="inlineStr">
        <is>
          <t>да</t>
        </is>
      </c>
      <c r="K2416" s="3" t="inlineStr">
        <is>
          <t>Спектакль Таллинского театра-студии Старого города (Vanalinnastuudios).
Современный вариант одноименной пьесы Николая Гоголя "Ревизор".</t>
        </is>
      </c>
      <c r="L2416" s="2" t="inlineStr">
        <is>
          <t>https://www.kino-teatr.ru/teatr/movie/98174/annot/</t>
        </is>
      </c>
      <c r="M2416" s="2">
        <f>HYPERLINK("https://ru.wikipedia.org/w/index.php?search=%D0%A0%D0%B5%D0%B2%D0%B8%D0%B7%D0%BE%D1%80%201990%20%D1%84%D0%B8%D0%BB%D1%8C%D0%BC","искать")</f>
        <v/>
      </c>
      <c r="N2416" s="3" t="n"/>
      <c r="O2416" s="2" t="n"/>
      <c r="P2416" s="2" t="n"/>
    </row>
    <row r="2417">
      <c r="A2417" s="2" t="n">
        <v>2416</v>
      </c>
      <c r="B2417" s="2" t="inlineStr">
        <is>
          <t>не сюжет</t>
        </is>
      </c>
      <c r="C2417" s="2" t="n">
        <v>11953</v>
      </c>
      <c r="D2417" s="3" t="inlineStr">
        <is>
          <t>Илья Муромец</t>
        </is>
      </c>
      <c r="E2417" s="2" t="n">
        <v>1975</v>
      </c>
      <c r="F2417" s="2" t="inlineStr">
        <is>
          <t>мультфильм</t>
        </is>
      </c>
      <c r="G2417" s="2" t="inlineStr">
        <is>
          <t>Союзмультфильм</t>
        </is>
      </c>
      <c r="H2417" s="2" t="n">
        <v>135</v>
      </c>
      <c r="I2417" s="2" t="inlineStr"/>
      <c r="J2417" s="2" t="inlineStr">
        <is>
          <t>да</t>
        </is>
      </c>
      <c r="K2417" s="3" t="inlineStr">
        <is>
          <t>По мотивам русской былины о богатыре Илье Муромце и каликах перехожих. В фильме использована музыка Р.Глиера из симфонии "Илья Муромец"</t>
        </is>
      </c>
      <c r="L2417" s="2" t="inlineStr">
        <is>
          <t>https://animator.ru/db/?p=show_film&amp;fid=2869</t>
        </is>
      </c>
      <c r="M2417" s="2">
        <f>HYPERLINK("https://ru.wikipedia.org/w/index.php?search=%D0%98%D0%BB%D1%8C%D1%8F%20%D0%9C%D1%83%D1%80%D0%BE%D0%BC%D0%B5%D1%86%201975%20%D1%84%D0%B8%D0%BB%D1%8C%D0%BC","искать")</f>
        <v/>
      </c>
      <c r="N2417" s="3" t="n"/>
      <c r="O2417" s="2" t="n"/>
      <c r="P2417" s="2" t="n"/>
    </row>
    <row r="2418">
      <c r="A2418" s="2" t="n">
        <v>2417</v>
      </c>
      <c r="B2418" s="2" t="inlineStr">
        <is>
          <t>не сюжет</t>
        </is>
      </c>
      <c r="C2418" s="2" t="n">
        <v>12023</v>
      </c>
      <c r="D2418" s="3" t="inlineStr">
        <is>
          <t>Робинзон и самолет</t>
        </is>
      </c>
      <c r="E2418" s="2" t="n">
        <v>1982</v>
      </c>
      <c r="F2418" s="2" t="inlineStr">
        <is>
          <t>мультфильм</t>
        </is>
      </c>
      <c r="G2418" s="2" t="inlineStr">
        <is>
          <t>Союзмультфильм</t>
        </is>
      </c>
      <c r="H2418" s="2" t="n">
        <v>135</v>
      </c>
      <c r="I2418" s="2" t="inlineStr"/>
      <c r="J2418" s="2" t="inlineStr">
        <is>
          <t>да</t>
        </is>
      </c>
      <c r="K2418" s="3" t="inlineStr">
        <is>
          <t>Фильм в аллегорической форме проводит мысль о том, что человек зачастую с трудом воспринимает новое, разрушающее привычный уклад жизни.</t>
        </is>
      </c>
      <c r="L2418" s="2" t="inlineStr">
        <is>
          <t>2026-10_мультфильмы_список_владельца.xlsx; https://animator.ru/db/?p=show_film&amp;fid=3137</t>
        </is>
      </c>
      <c r="M2418" s="2">
        <f>HYPERLINK("https://ru.wikipedia.org/w/index.php?search=%D0%A0%D0%BE%D0%B1%D0%B8%D0%BD%D0%B7%D0%BE%D0%BD%20%D0%B8%20%D1%81%D0%B0%D0%BC%D0%BE%D0%BB%D0%B5%D1%82%201982%20%D1%84%D0%B8%D0%BB%D1%8C%D0%BC","искать")</f>
        <v/>
      </c>
      <c r="N2418" s="3" t="n"/>
      <c r="O2418" s="2" t="n"/>
      <c r="P2418" s="2" t="n"/>
    </row>
    <row r="2419">
      <c r="A2419" s="2" t="n">
        <v>2418</v>
      </c>
      <c r="B2419" s="2" t="inlineStr">
        <is>
          <t>не сюжет</t>
        </is>
      </c>
      <c r="C2419" s="2" t="n">
        <v>14214</v>
      </c>
      <c r="D2419" s="3" t="inlineStr">
        <is>
          <t>Веселая карусель. Выпуск №1</t>
        </is>
      </c>
      <c r="E2419" s="2" t="n">
        <v>1969</v>
      </c>
      <c r="F2419" s="2" t="inlineStr">
        <is>
          <t>мультфильм</t>
        </is>
      </c>
      <c r="G2419" s="2" t="inlineStr">
        <is>
          <t>Союзмультфильм</t>
        </is>
      </c>
      <c r="H2419" s="2" t="n">
        <v>135</v>
      </c>
      <c r="I2419" s="2" t="inlineStr"/>
      <c r="J2419" s="2" t="inlineStr">
        <is>
          <t>да</t>
        </is>
      </c>
      <c r="K2419" s="3" t="inlineStr">
        <is>
          <t>Сборник мультов-малометражек.
сюжеты: «НУ, ПОГОДИ!», «РАССЕЯННЫЙ ДЖОВАННИ», «МОЗАИКА», «АНТОШКА»Музыка из мультфильма:Антошка(2.56 Мб)</t>
        </is>
      </c>
      <c r="L2419" s="2" t="inlineStr">
        <is>
          <t>2026-10_мультфильмы_список_владельца.xlsx; https://animator.ru/db/?p=show_film&amp;fid=5623</t>
        </is>
      </c>
      <c r="M2419" s="2">
        <f>HYPERLINK("https://ru.wikipedia.org/w/index.php?search=%D0%92%D0%B5%D1%81%D0%B5%D0%BB%D0%B0%D1%8F%20%D0%BA%D0%B0%D1%80%D1%83%D1%81%D0%B5%D0%BB%D1%8C.%20%D0%92%D1%8B%D0%BF%D1%83%D1%81%D0%BA%20%E2%84%961%201969%20%D1%84%D0%B8%D0%BB%D1%8C%D0%BC","искать")</f>
        <v/>
      </c>
      <c r="N2419" s="3" t="n"/>
      <c r="O2419" s="2" t="n"/>
      <c r="P2419" s="2" t="n"/>
    </row>
    <row r="2420">
      <c r="A2420" s="2" t="n">
        <v>2419</v>
      </c>
      <c r="B2420" s="2" t="inlineStr">
        <is>
          <t>не сюжет</t>
        </is>
      </c>
      <c r="C2420" s="2" t="n">
        <v>7821</v>
      </c>
      <c r="D2420" s="3" t="inlineStr">
        <is>
          <t>Лунный глобус</t>
        </is>
      </c>
      <c r="E2420" s="2" t="n">
        <v>1986</v>
      </c>
      <c r="F2420" s="2" t="inlineStr">
        <is>
          <t>телефильм</t>
        </is>
      </c>
      <c r="G2420" s="2" t="n"/>
      <c r="H2420" s="2" t="n">
        <v>136</v>
      </c>
      <c r="I2420" s="2" t="inlineStr"/>
      <c r="J2420" s="2" t="inlineStr">
        <is>
          <t>да</t>
        </is>
      </c>
      <c r="K2420" s="3" t="inlineStr">
        <is>
          <t>В фильме снимались известные грузинские цирковые артисты - Александр Тедиашвили, Карлен Саркисян, Александр Мчедлидзе, Анзор Пириашвили.</t>
        </is>
      </c>
      <c r="L2420" s="2" t="inlineStr">
        <is>
          <t>Кино_СССР сводный каталог.xlsx: список телефильмов</t>
        </is>
      </c>
      <c r="M2420" s="2">
        <f>HYPERLINK("https://ru.wikipedia.org/w/index.php?search=%D0%9B%D1%83%D0%BD%D0%BD%D1%8B%D0%B9%20%D0%B3%D0%BB%D0%BE%D0%B1%D1%83%D1%81%201986%20%D1%84%D0%B8%D0%BB%D1%8C%D0%BC","искать")</f>
        <v/>
      </c>
      <c r="N2420" s="3" t="n"/>
      <c r="O2420" s="2" t="n"/>
      <c r="P2420" s="2" t="n"/>
    </row>
    <row r="2421">
      <c r="A2421" s="2" t="n">
        <v>2420</v>
      </c>
      <c r="B2421" s="2" t="inlineStr">
        <is>
          <t>не сюжет</t>
        </is>
      </c>
      <c r="C2421" s="2" t="n">
        <v>8019</v>
      </c>
      <c r="D2421" s="3" t="inlineStr">
        <is>
          <t>Обещание счастья</t>
        </is>
      </c>
      <c r="E2421" s="2" t="n">
        <v>1974</v>
      </c>
      <c r="F2421" s="2" t="inlineStr">
        <is>
          <t>телефильм</t>
        </is>
      </c>
      <c r="G2421" s="2" t="inlineStr">
        <is>
          <t>Лентелефильм</t>
        </is>
      </c>
      <c r="H2421" s="2" t="n">
        <v>136</v>
      </c>
      <c r="I2421" s="2" t="inlineStr"/>
      <c r="J2421" s="2" t="inlineStr">
        <is>
          <t>да</t>
        </is>
      </c>
      <c r="K2421" s="3" t="inlineStr">
        <is>
          <t>Экранизация четырёх новелл Константина Паустовского о несостоявшейся любви: «Старый челн», «Бриз», «Дождливый рассвет» и «Белая радуга».</t>
        </is>
      </c>
      <c r="L2421" s="2" t="inlineStr">
        <is>
          <t>Кино_СССР сводный каталог.xlsx: список телефильмов</t>
        </is>
      </c>
      <c r="M2421" s="2">
        <f>HYPERLINK("https://ru.wikipedia.org/w/index.php?search=%D0%9E%D0%B1%D0%B5%D1%89%D0%B0%D0%BD%D0%B8%D0%B5%20%D1%81%D1%87%D0%B0%D1%81%D1%82%D1%8C%D1%8F%201974%20%D1%84%D0%B8%D0%BB%D1%8C%D0%BC","искать")</f>
        <v/>
      </c>
      <c r="N2421" s="3" t="n"/>
      <c r="O2421" s="2" t="n"/>
      <c r="P2421" s="2" t="n"/>
    </row>
    <row r="2422">
      <c r="A2422" s="2" t="n">
        <v>2421</v>
      </c>
      <c r="B2422" s="2" t="inlineStr">
        <is>
          <t>не сюжет</t>
        </is>
      </c>
      <c r="C2422" s="2" t="n">
        <v>9170</v>
      </c>
      <c r="D2422" s="3" t="inlineStr">
        <is>
          <t>Шахта 12-28</t>
        </is>
      </c>
      <c r="E2422" s="2" t="n">
        <v>1931</v>
      </c>
      <c r="F2422" s="2" t="inlineStr">
        <is>
          <t>кинофильм</t>
        </is>
      </c>
      <c r="G2422" s="2" t="n"/>
      <c r="H2422" s="2" t="n">
        <v>136</v>
      </c>
      <c r="I2422" s="2" t="inlineStr"/>
      <c r="J2422" s="2" t="inlineStr">
        <is>
          <t>да</t>
        </is>
      </c>
      <c r="K2422" s="3" t="inlineStr">
        <is>
          <t>Последняя режиссерская работа в игровом кино А.Я.Каплера. Фильм хранится в ГФФ в негативе, поэтому его содержание установить не удалось.</t>
        </is>
      </c>
      <c r="L2422" s="2" t="inlineStr">
        <is>
          <t>Кино_СССР сводный каталог.xlsx: список фильмов (доп.)</t>
        </is>
      </c>
      <c r="M2422" s="2">
        <f>HYPERLINK("https://ru.wikipedia.org/w/index.php?search=%D0%A8%D0%B0%D1%85%D1%82%D0%B0%2012-28%201931%20%D1%84%D0%B8%D0%BB%D1%8C%D0%BC","искать")</f>
        <v/>
      </c>
      <c r="N2422" s="3" t="n"/>
      <c r="O2422" s="2" t="n"/>
      <c r="P2422" s="2" t="n"/>
    </row>
    <row r="2423">
      <c r="A2423" s="2" t="n">
        <v>2422</v>
      </c>
      <c r="B2423" s="2" t="inlineStr">
        <is>
          <t>не сюжет</t>
        </is>
      </c>
      <c r="C2423" s="2" t="n">
        <v>9969</v>
      </c>
      <c r="D2423" s="3" t="inlineStr">
        <is>
          <t>Идиот</t>
        </is>
      </c>
      <c r="E2423" s="2" t="n">
        <v>1981</v>
      </c>
      <c r="F2423" s="2" t="inlineStr">
        <is>
          <t>кинофильм</t>
        </is>
      </c>
      <c r="G2423" s="2" t="inlineStr">
        <is>
          <t>Учебная киностудия ВГИКа</t>
        </is>
      </c>
      <c r="H2423" s="2" t="n">
        <v>136</v>
      </c>
      <c r="I2423" s="2" t="inlineStr"/>
      <c r="J2423" s="2" t="inlineStr">
        <is>
          <t>да</t>
        </is>
      </c>
      <c r="K2423" s="3" t="inlineStr">
        <is>
          <t>Короткометражный фильм по фрагменту одноименного романа Ф. М.
Достоевского (курсовая работа, мастерская М. М. Хуциева, С. К.
Скворцова).</t>
        </is>
      </c>
      <c r="L2423" s="2" t="inlineStr">
        <is>
          <t>https://www.kino-teatr.ru/short/movie/sov/144179/annot/</t>
        </is>
      </c>
      <c r="M2423" s="2">
        <f>HYPERLINK("https://ru.wikipedia.org/w/index.php?search=%D0%98%D0%B4%D0%B8%D0%BE%D1%82%201981%20%D1%84%D0%B8%D0%BB%D1%8C%D0%BC","искать")</f>
        <v/>
      </c>
      <c r="N2423" s="3" t="n"/>
      <c r="O2423" s="2" t="n"/>
      <c r="P2423" s="2" t="n"/>
    </row>
    <row r="2424">
      <c r="A2424" s="2" t="n">
        <v>2423</v>
      </c>
      <c r="B2424" s="2" t="inlineStr">
        <is>
          <t>не сюжет</t>
        </is>
      </c>
      <c r="C2424" s="2" t="n">
        <v>10596</v>
      </c>
      <c r="D2424" s="3" t="inlineStr">
        <is>
          <t>Чайка</t>
        </is>
      </c>
      <c r="E2424" s="2" t="n">
        <v>1974</v>
      </c>
      <c r="F2424" s="2" t="inlineStr">
        <is>
          <t>фильм-спектакль</t>
        </is>
      </c>
      <c r="G2424" s="2" t="inlineStr">
        <is>
          <t>ТО "Экран"</t>
        </is>
      </c>
      <c r="H2424" s="2" t="n">
        <v>136</v>
      </c>
      <c r="I2424" s="2" t="inlineStr"/>
      <c r="J2424" s="2" t="inlineStr">
        <is>
          <t>да</t>
        </is>
      </c>
      <c r="K2424" s="3" t="inlineStr">
        <is>
          <t>Фильм-спектакль по одноименной пьесе А.Чехова в постановке Московского Художественного академического театра Союза ССР имени М.Горького.</t>
        </is>
      </c>
      <c r="L2424" s="2" t="inlineStr">
        <is>
          <t>https://www.kino-teatr.ru/teatr/movie/37777/annot/</t>
        </is>
      </c>
      <c r="M2424" s="2">
        <f>HYPERLINK("https://ru.wikipedia.org/w/index.php?search=%D0%A7%D0%B0%D0%B9%D0%BA%D0%B0%201974%20%D1%84%D0%B8%D0%BB%D1%8C%D0%BC","искать")</f>
        <v/>
      </c>
      <c r="N2424" s="3" t="n"/>
      <c r="O2424" s="2" t="n"/>
      <c r="P2424" s="2" t="n"/>
    </row>
    <row r="2425">
      <c r="A2425" s="2" t="n">
        <v>2424</v>
      </c>
      <c r="B2425" s="2" t="inlineStr">
        <is>
          <t>не сюжет</t>
        </is>
      </c>
      <c r="C2425" s="2" t="n">
        <v>10772</v>
      </c>
      <c r="D2425" s="3" t="inlineStr">
        <is>
          <t>РњРёСЂ Р СЌСЏ Р‘СЂРµРґР±РµСЂРё</t>
        </is>
      </c>
      <c r="E2425" s="2" t="n">
        <v>1978</v>
      </c>
      <c r="F2425" s="2" t="inlineStr">
        <is>
          <t>фильм-спектакль</t>
        </is>
      </c>
      <c r="G2425" s="2" t="n"/>
      <c r="H2425" s="2" t="n">
        <v>136</v>
      </c>
      <c r="I2425" s="2" t="inlineStr"/>
      <c r="J2425" s="2" t="inlineStr">
        <is>
          <t>да</t>
        </is>
      </c>
      <c r="K2425" s="3" t="inlineStr">
        <is>
          <t>Р’ РїРµСЂРµРґР°С‡Рµ Р·РІСѓС‡Р°С‚ РѕС‚СЂС‹РІРєРё РёР· РїСЂРѕРёР·РІРµРґРµРЅРёР№ РїРёСЃР°С‚РµР»СЏ-С„Р°РЅС‚Р°СЃС‚Р° Р СЌСЏ Р‘СЂРµРґР±РµСЂРё.</t>
        </is>
      </c>
      <c r="L2425" s="2" t="inlineStr">
        <is>
          <t>https://www.kino-teatr.ru/teatr/movie/102388/annot/</t>
        </is>
      </c>
      <c r="M2425" s="2">
        <f>HYPERLINK("https://ru.wikipedia.org/w/index.php?search=%D0%A0%D1%9A%D0%A0%D1%91%D0%A1%D0%82%20%D0%A0%20%D0%A1%D0%8C%D0%A1%D0%8F%20%D0%A0%E2%80%98%D0%A1%D0%82%D0%A0%C2%B5%D0%A0%D2%91%D0%A0%C2%B1%D0%A0%C2%B5%D0%A1%D0%82%D0%A0%D1%91%201978%20%D1%84%D0%B8%D0%BB%D1%8C%D0%BC","искать")</f>
        <v/>
      </c>
      <c r="N2425" s="3" t="n"/>
      <c r="O2425" s="2" t="n"/>
      <c r="P2425" s="2" t="n"/>
    </row>
    <row r="2426">
      <c r="A2426" s="2" t="n">
        <v>2425</v>
      </c>
      <c r="B2426" s="2" t="inlineStr">
        <is>
          <t>не сюжет</t>
        </is>
      </c>
      <c r="C2426" s="2" t="n">
        <v>10791</v>
      </c>
      <c r="D2426" s="3" t="inlineStr">
        <is>
          <t>Бал</t>
        </is>
      </c>
      <c r="E2426" s="2" t="n">
        <v>1979</v>
      </c>
      <c r="F2426" s="2" t="inlineStr">
        <is>
          <t>фильм-спектакль</t>
        </is>
      </c>
      <c r="G2426" s="2" t="inlineStr">
        <is>
          <t>Ленинградское ТВ</t>
        </is>
      </c>
      <c r="H2426" s="2" t="n">
        <v>136</v>
      </c>
      <c r="I2426" s="2" t="inlineStr"/>
      <c r="J2426" s="2" t="inlineStr">
        <is>
          <t>да</t>
        </is>
      </c>
      <c r="K2426" s="3" t="inlineStr">
        <is>
          <t>По мотивам произведений А.С.Пушкина («Рославлев», «Повести И.П.Белкина», «Мы проводили вечер на даче...», «Роман в письмах», «Дуэль», ).</t>
        </is>
      </c>
      <c r="L2426" s="2" t="inlineStr">
        <is>
          <t>https://www.kino-teatr.ru/teatr/movie/8621/annot/</t>
        </is>
      </c>
      <c r="M2426" s="2">
        <f>HYPERLINK("https://ru.wikipedia.org/w/index.php?search=%D0%91%D0%B0%D0%BB%201979%20%D1%84%D0%B8%D0%BB%D1%8C%D0%BC","искать")</f>
        <v/>
      </c>
      <c r="N2426" s="3" t="n"/>
      <c r="O2426" s="2" t="n"/>
      <c r="P2426" s="2" t="n"/>
    </row>
    <row r="2427">
      <c r="A2427" s="2" t="n">
        <v>2426</v>
      </c>
      <c r="B2427" s="2" t="inlineStr">
        <is>
          <t>не сюжет</t>
        </is>
      </c>
      <c r="C2427" s="2" t="n">
        <v>10863</v>
      </c>
      <c r="D2427" s="3" t="inlineStr">
        <is>
          <t>Поют петухи</t>
        </is>
      </c>
      <c r="E2427" s="2" t="n">
        <v>1980</v>
      </c>
      <c r="F2427" s="2" t="inlineStr">
        <is>
          <t>фильм-спектакль</t>
        </is>
      </c>
      <c r="G2427" s="2" t="n"/>
      <c r="H2427" s="2" t="n">
        <v>136</v>
      </c>
      <c r="I2427" s="2" t="inlineStr"/>
      <c r="J2427" s="2" t="inlineStr">
        <is>
          <t>да</t>
        </is>
      </c>
      <c r="K2427" s="3" t="inlineStr">
        <is>
          <t>Спектакль поставлен по одноименной пьесе Ю.Балтушиса, в которой показаны классовые противоречия в литовской деревне 20-ых годов XX века.</t>
        </is>
      </c>
      <c r="L2427" s="2" t="inlineStr">
        <is>
          <t>https://www.kino-teatr.ru/teatr/movie/105726/annot/</t>
        </is>
      </c>
      <c r="M2427" s="2">
        <f>HYPERLINK("https://ru.wikipedia.org/w/index.php?search=%D0%9F%D0%BE%D1%8E%D1%82%20%D0%BF%D0%B5%D1%82%D1%83%D1%85%D0%B8%201980%20%D1%84%D0%B8%D0%BB%D1%8C%D0%BC","искать")</f>
        <v/>
      </c>
      <c r="N2427" s="3" t="n"/>
      <c r="O2427" s="2" t="n"/>
      <c r="P2427" s="2" t="n"/>
    </row>
    <row r="2428">
      <c r="A2428" s="2" t="n">
        <v>2427</v>
      </c>
      <c r="B2428" s="2" t="inlineStr">
        <is>
          <t>не сюжет</t>
        </is>
      </c>
      <c r="C2428" s="2" t="n">
        <v>12152</v>
      </c>
      <c r="D2428" s="3" t="inlineStr">
        <is>
          <t>Пантелей и пугало</t>
        </is>
      </c>
      <c r="E2428" s="2" t="n">
        <v>1985</v>
      </c>
      <c r="F2428" s="2" t="inlineStr">
        <is>
          <t>мультфильм</t>
        </is>
      </c>
      <c r="G2428" s="2" t="inlineStr">
        <is>
          <t>Союзмультфильм</t>
        </is>
      </c>
      <c r="H2428" s="2" t="n">
        <v>136</v>
      </c>
      <c r="I2428" s="2" t="inlineStr"/>
      <c r="J2428" s="2" t="inlineStr">
        <is>
          <t>да</t>
        </is>
      </c>
      <c r="K2428" s="3" t="inlineStr">
        <is>
          <t>Эксцентрическая комедия об увлеченном футболом мальчике, не желающем учиться. Песни исполняют Н.Ченчик, Е.Делибад , детский хор "Восход"</t>
        </is>
      </c>
      <c r="L2428" s="2" t="inlineStr">
        <is>
          <t>https://animator.ru/db/?p=show_film&amp;fid=3268</t>
        </is>
      </c>
      <c r="M2428" s="2">
        <f>HYPERLINK("https://ru.wikipedia.org/w/index.php?search=%D0%9F%D0%B0%D0%BD%D1%82%D0%B5%D0%BB%D0%B5%D0%B9%20%D0%B8%20%D0%BF%D1%83%D0%B3%D0%B0%D0%BB%D0%BE%201985%20%D1%84%D0%B8%D0%BB%D1%8C%D0%BC","искать")</f>
        <v/>
      </c>
      <c r="N2428" s="3" t="n"/>
      <c r="O2428" s="2" t="n"/>
      <c r="P2428" s="2" t="n"/>
    </row>
    <row r="2429">
      <c r="A2429" s="2" t="n">
        <v>2428</v>
      </c>
      <c r="B2429" s="2" t="inlineStr">
        <is>
          <t>не сюжет</t>
        </is>
      </c>
      <c r="C2429" s="2" t="n">
        <v>12454</v>
      </c>
      <c r="D2429" s="3" t="inlineStr">
        <is>
          <t>Медвежонок и тот, кто живет в речке</t>
        </is>
      </c>
      <c r="E2429" s="2" t="n">
        <v>1966</v>
      </c>
      <c r="F2429" s="2" t="inlineStr">
        <is>
          <t>мультфильм</t>
        </is>
      </c>
      <c r="G2429" s="2" t="inlineStr">
        <is>
          <t>КИЕВНАУЧФИЛЬМ</t>
        </is>
      </c>
      <c r="H2429" s="2" t="n">
        <v>136</v>
      </c>
      <c r="I2429" s="2" t="inlineStr"/>
      <c r="J2429" s="2" t="inlineStr">
        <is>
          <t>да</t>
        </is>
      </c>
      <c r="K2429" s="3" t="inlineStr">
        <is>
          <t>II МФ детских фильмов в Готвальдове (ЧССР), 1967 -- Гран-При "Золотая туфелька" и премия СИДАЛЬК - Бронзовая медаль за рисованный фильм.</t>
        </is>
      </c>
      <c r="L2429" s="2" t="inlineStr">
        <is>
          <t>https://animator.ru/db/?p=show_film&amp;fid=3625</t>
        </is>
      </c>
      <c r="M2429" s="2">
        <f>HYPERLINK("https://ru.wikipedia.org/w/index.php?search=%D0%9C%D0%B5%D0%B4%D0%B2%D0%B5%D0%B6%D0%BE%D0%BD%D0%BE%D0%BA%20%D0%B8%20%D1%82%D0%BE%D1%82%2C%20%D0%BA%D1%82%D0%BE%20%D0%B6%D0%B8%D0%B2%D0%B5%D1%82%20%D0%B2%20%D1%80%D0%B5%D1%87%D0%BA%D0%B5%201966%20%D1%84%D0%B8%D0%BB%D1%8C%D0%BC","искать")</f>
        <v/>
      </c>
      <c r="N2429" s="3" t="n"/>
      <c r="O2429" s="2" t="n"/>
      <c r="P2429" s="2" t="n"/>
    </row>
    <row r="2430">
      <c r="A2430" s="2" t="n">
        <v>2429</v>
      </c>
      <c r="B2430" s="2" t="inlineStr">
        <is>
          <t>не сюжет</t>
        </is>
      </c>
      <c r="C2430" s="2" t="n">
        <v>12724</v>
      </c>
      <c r="D2430" s="3" t="inlineStr">
        <is>
          <t>Однажды вечером</t>
        </is>
      </c>
      <c r="E2430" s="2" t="n">
        <v>1986</v>
      </c>
      <c r="F2430" s="2" t="inlineStr">
        <is>
          <t>мультфильм</t>
        </is>
      </c>
      <c r="G2430" s="2" t="inlineStr">
        <is>
          <t>АЗЕРБАЙДЖАНФИЛЬМ</t>
        </is>
      </c>
      <c r="H2430" s="2" t="n">
        <v>136</v>
      </c>
      <c r="I2430" s="2" t="inlineStr"/>
      <c r="J2430" s="2" t="inlineStr">
        <is>
          <t>да</t>
        </is>
      </c>
      <c r="K2430" s="3" t="inlineStr">
        <is>
          <t>Техника - двойная экспозиция разных фактур с "живыми" актерами. ВКФ 1986, Алма-Ата - приз жюри "за оригинальное решение актуальной темы"</t>
        </is>
      </c>
      <c r="L2430" s="2" t="inlineStr">
        <is>
          <t>https://animator.ru/db/?p=show_film&amp;fid=3930</t>
        </is>
      </c>
      <c r="M2430" s="2">
        <f>HYPERLINK("https://ru.wikipedia.org/w/index.php?search=%D0%9E%D0%B4%D0%BD%D0%B0%D0%B6%D0%B4%D1%8B%20%D0%B2%D0%B5%D1%87%D0%B5%D1%80%D0%BE%D0%BC%201986%20%D1%84%D0%B8%D0%BB%D1%8C%D0%BC","искать")</f>
        <v/>
      </c>
      <c r="N2430" s="3" t="n"/>
      <c r="O2430" s="2" t="n"/>
      <c r="P2430" s="2" t="n"/>
    </row>
    <row r="2431">
      <c r="A2431" s="2" t="n">
        <v>2430</v>
      </c>
      <c r="B2431" s="2" t="inlineStr">
        <is>
          <t>не сюжет</t>
        </is>
      </c>
      <c r="C2431" s="2" t="n">
        <v>13512</v>
      </c>
      <c r="D2431" s="3" t="inlineStr">
        <is>
          <t>Иван-царевич и серый волк</t>
        </is>
      </c>
      <c r="E2431" s="2" t="n">
        <v>1991</v>
      </c>
      <c r="F2431" s="2" t="inlineStr">
        <is>
          <t>мультфильм</t>
        </is>
      </c>
      <c r="G2431" s="2" t="inlineStr">
        <is>
          <t>Кристмас Филмз</t>
        </is>
      </c>
      <c r="H2431" s="2" t="n">
        <v>136</v>
      </c>
      <c r="I2431" s="2" t="inlineStr"/>
      <c r="J2431" s="2" t="inlineStr">
        <is>
          <t>да</t>
        </is>
      </c>
      <c r="K2431" s="3" t="inlineStr">
        <is>
          <t>По мотивам русской народной сказки и рисункам Ивана Билибина. В фильме использованан музыка Н.Римского-Корсакова, Ш.Каллоша и В.Чернышва</t>
        </is>
      </c>
      <c r="L2431" s="2" t="inlineStr">
        <is>
          <t>https://animator.ru/db/?p=show_film&amp;fid=4803</t>
        </is>
      </c>
      <c r="M2431" s="2">
        <f>HYPERLINK("https://ru.wikipedia.org/w/index.php?search=%D0%98%D0%B2%D0%B0%D0%BD-%D1%86%D0%B0%D1%80%D0%B5%D0%B2%D0%B8%D1%87%20%D0%B8%20%D1%81%D0%B5%D1%80%D1%8B%D0%B9%20%D0%B2%D0%BE%D0%BB%D0%BA%201991%20%D1%84%D0%B8%D0%BB%D1%8C%D0%BC","искать")</f>
        <v/>
      </c>
      <c r="N2431" s="3" t="n"/>
      <c r="O2431" s="2" t="n"/>
      <c r="P2431" s="2" t="n"/>
    </row>
    <row r="2432">
      <c r="A2432" s="2" t="n">
        <v>2431</v>
      </c>
      <c r="B2432" s="2" t="inlineStr">
        <is>
          <t>не сюжет</t>
        </is>
      </c>
      <c r="C2432" s="2" t="n">
        <v>8173</v>
      </c>
      <c r="D2432" s="3" t="inlineStr">
        <is>
          <t>Последняя ночь уходящего года</t>
        </is>
      </c>
      <c r="E2432" s="2" t="n">
        <v>1983</v>
      </c>
      <c r="F2432" s="2" t="inlineStr">
        <is>
          <t>телефильм</t>
        </is>
      </c>
      <c r="G2432" s="2" t="n"/>
      <c r="H2432" s="2" t="n">
        <v>137</v>
      </c>
      <c r="I2432" s="2" t="inlineStr"/>
      <c r="J2432" s="2" t="inlineStr">
        <is>
          <t>да</t>
        </is>
      </c>
      <c r="K2432" s="3" t="inlineStr">
        <is>
          <t>Телефильм по мотивам одноименной пьесы Анара. Фильм посвящается матери, оберегающей тепло своего очага, спокойствие и благополучие семьи.</t>
        </is>
      </c>
      <c r="L2432" s="2" t="inlineStr">
        <is>
          <t>Кино_СССР сводный каталог.xlsx: список телефильмов</t>
        </is>
      </c>
      <c r="M2432" s="2">
        <f>HYPERLINK("https://ru.wikipedia.org/w/index.php?search=%D0%9F%D0%BE%D1%81%D0%BB%D0%B5%D0%B4%D0%BD%D1%8F%D1%8F%20%D0%BD%D0%BE%D1%87%D1%8C%20%D1%83%D1%85%D0%BE%D0%B4%D1%8F%D1%89%D0%B5%D0%B3%D0%BE%20%D0%B3%D0%BE%D0%B4%D0%B0%201983%20%D1%84%D0%B8%D0%BB%D1%8C%D0%BC","искать")</f>
        <v/>
      </c>
      <c r="N2432" s="3" t="n"/>
      <c r="O2432" s="2" t="n"/>
      <c r="P2432" s="2" t="n"/>
    </row>
    <row r="2433">
      <c r="A2433" s="2" t="n">
        <v>2432</v>
      </c>
      <c r="B2433" s="2" t="inlineStr">
        <is>
          <t>не сюжет</t>
        </is>
      </c>
      <c r="C2433" s="2" t="n">
        <v>8350</v>
      </c>
      <c r="D2433" s="3" t="inlineStr">
        <is>
          <t>Сказка старого дуба</t>
        </is>
      </c>
      <c r="E2433" s="2" t="n">
        <v>1984</v>
      </c>
      <c r="F2433" s="2" t="inlineStr">
        <is>
          <t>телефильм</t>
        </is>
      </c>
      <c r="G2433" s="2" t="n"/>
      <c r="H2433" s="2" t="n">
        <v>137</v>
      </c>
      <c r="I2433" s="2" t="inlineStr"/>
      <c r="J2433" s="2" t="inlineStr">
        <is>
          <t>да</t>
        </is>
      </c>
      <c r="K2433" s="3" t="inlineStr">
        <is>
          <t>В фильме поднимается проблема отношения человека к природе, символом которой является старый дуб, охраняемый лесником от корыстных людей.</t>
        </is>
      </c>
      <c r="L2433" s="2" t="inlineStr">
        <is>
          <t>Кино_СССР сводный каталог.xlsx: список телефильмов</t>
        </is>
      </c>
      <c r="M2433" s="2">
        <f>HYPERLINK("https://ru.wikipedia.org/w/index.php?search=%D0%A1%D0%BA%D0%B0%D0%B7%D0%BA%D0%B0%20%D1%81%D1%82%D0%B0%D1%80%D0%BE%D0%B3%D0%BE%20%D0%B4%D1%83%D0%B1%D0%B0%201984%20%D1%84%D0%B8%D0%BB%D1%8C%D0%BC","искать")</f>
        <v/>
      </c>
      <c r="N2433" s="3" t="n"/>
      <c r="O2433" s="2" t="n"/>
      <c r="P2433" s="2" t="n"/>
    </row>
    <row r="2434">
      <c r="A2434" s="2" t="n">
        <v>2433</v>
      </c>
      <c r="B2434" s="2" t="inlineStr">
        <is>
          <t>не сюжет</t>
        </is>
      </c>
      <c r="C2434" s="2" t="n">
        <v>9621</v>
      </c>
      <c r="D2434" s="3" t="inlineStr">
        <is>
          <t>Роза ветров</t>
        </is>
      </c>
      <c r="E2434" s="2" t="n">
        <v>1957</v>
      </c>
      <c r="F2434" s="2" t="inlineStr">
        <is>
          <t>кинофильм</t>
        </is>
      </c>
      <c r="G2434" s="2" t="n"/>
      <c r="H2434" s="2" t="n">
        <v>137</v>
      </c>
      <c r="I2434" s="2" t="inlineStr"/>
      <c r="J2434" s="2" t="inlineStr">
        <is>
          <t>да</t>
        </is>
      </c>
      <c r="K2434" s="3" t="inlineStr">
        <is>
          <t>Фильм о роли женщин в социальной борьбе, состоящий из пяти новелл, действие которых происходит в Бразилии, СССР, Франции, Италии и Китае.</t>
        </is>
      </c>
      <c r="L2434" s="2" t="inlineStr">
        <is>
          <t>Кино_СССР сводный каталог.xlsx: список фильмов (доп.)</t>
        </is>
      </c>
      <c r="M2434" s="2">
        <f>HYPERLINK("https://ru.wikipedia.org/w/index.php?search=%D0%A0%D0%BE%D0%B7%D0%B0%20%D0%B2%D0%B5%D1%82%D1%80%D0%BE%D0%B2%201957%20%D1%84%D0%B8%D0%BB%D1%8C%D0%BC","искать")</f>
        <v/>
      </c>
      <c r="N2434" s="3" t="n"/>
      <c r="O2434" s="2" t="n"/>
      <c r="P2434" s="2" t="n"/>
    </row>
    <row r="2435">
      <c r="A2435" s="2" t="n">
        <v>2434</v>
      </c>
      <c r="B2435" s="2" t="inlineStr">
        <is>
          <t>не сюжет</t>
        </is>
      </c>
      <c r="C2435" s="2" t="n">
        <v>10737</v>
      </c>
      <c r="D2435" s="3" t="inlineStr">
        <is>
          <t>Две семьи</t>
        </is>
      </c>
      <c r="E2435" s="2" t="n">
        <v>1978</v>
      </c>
      <c r="F2435" s="2" t="inlineStr">
        <is>
          <t>фильм-спектакль</t>
        </is>
      </c>
      <c r="G2435" s="2" t="inlineStr">
        <is>
          <t>Укртелефильм</t>
        </is>
      </c>
      <c r="H2435" s="2" t="n">
        <v>137</v>
      </c>
      <c r="I2435" s="2" t="inlineStr"/>
      <c r="J2435" s="2" t="inlineStr">
        <is>
          <t>да</t>
        </is>
      </c>
      <c r="K2435" s="3" t="inlineStr">
        <is>
          <t>Телеверсия спектакля Киевского украинского драматического театра имени Ивана Франко в постановке А.Скибенко по пьесе Марка Кропивницкого.</t>
        </is>
      </c>
      <c r="L2435" s="2" t="inlineStr">
        <is>
          <t>https://www.kino-teatr.ru/teatr/movie/89667/annot/</t>
        </is>
      </c>
      <c r="M2435" s="2">
        <f>HYPERLINK("https://ru.wikipedia.org/w/index.php?search=%D0%94%D0%B2%D0%B5%20%D1%81%D0%B5%D0%BC%D1%8C%D0%B8%201978%20%D1%84%D0%B8%D0%BB%D1%8C%D0%BC","искать")</f>
        <v/>
      </c>
      <c r="N2435" s="3" t="n"/>
      <c r="O2435" s="2" t="n"/>
      <c r="P2435" s="2" t="n"/>
    </row>
    <row r="2436">
      <c r="A2436" s="2" t="n">
        <v>2435</v>
      </c>
      <c r="B2436" s="2" t="inlineStr">
        <is>
          <t>не сюжет</t>
        </is>
      </c>
      <c r="C2436" s="2" t="n">
        <v>12075</v>
      </c>
      <c r="D2436" s="3" t="inlineStr">
        <is>
          <t>История одной куклы</t>
        </is>
      </c>
      <c r="E2436" s="2" t="n">
        <v>1984</v>
      </c>
      <c r="F2436" s="2" t="inlineStr">
        <is>
          <t>мультфильм</t>
        </is>
      </c>
      <c r="G2436" s="2" t="inlineStr">
        <is>
          <t>Союзмультфильм</t>
        </is>
      </c>
      <c r="H2436" s="2" t="n">
        <v>137</v>
      </c>
      <c r="I2436" s="2" t="inlineStr"/>
      <c r="J2436" s="2" t="inlineStr">
        <is>
          <t>да</t>
        </is>
      </c>
      <c r="K2436" s="3" t="inlineStr">
        <is>
          <t>К 40-летию Победы. О силе и стойкости борцов с фашизмом.
XXII МФ к/м фильмов в Кракове - Приз "Серебряный дракон" за лучший детский фильм</t>
        </is>
      </c>
      <c r="L2436" s="2" t="inlineStr">
        <is>
          <t>https://animator.ru/db/?p=show_film&amp;fid=3190</t>
        </is>
      </c>
      <c r="M2436" s="2">
        <f>HYPERLINK("https://ru.wikipedia.org/w/index.php?search=%D0%98%D1%81%D1%82%D0%BE%D1%80%D0%B8%D1%8F%20%D0%BE%D0%B4%D0%BD%D0%BE%D0%B9%20%D0%BA%D1%83%D0%BA%D0%BB%D1%8B%201984%20%D1%84%D0%B8%D0%BB%D1%8C%D0%BC","искать")</f>
        <v/>
      </c>
      <c r="N2436" s="3" t="n"/>
      <c r="O2436" s="2" t="n"/>
      <c r="P2436" s="2" t="n"/>
    </row>
    <row r="2437">
      <c r="A2437" s="2" t="n">
        <v>2436</v>
      </c>
      <c r="B2437" s="2" t="inlineStr">
        <is>
          <t>не сюжет</t>
        </is>
      </c>
      <c r="C2437" s="2" t="n">
        <v>8464</v>
      </c>
      <c r="D2437" s="3" t="inlineStr">
        <is>
          <t>Тот станет всем</t>
        </is>
      </c>
      <c r="E2437" s="2" t="n">
        <v>1975</v>
      </c>
      <c r="F2437" s="2" t="inlineStr">
        <is>
          <t>телефильм</t>
        </is>
      </c>
      <c r="G2437" s="2" t="n"/>
      <c r="H2437" s="2" t="n">
        <v>138</v>
      </c>
      <c r="I2437" s="2" t="inlineStr"/>
      <c r="J2437" s="2" t="inlineStr">
        <is>
          <t>да</t>
        </is>
      </c>
      <c r="K2437" s="3" t="inlineStr">
        <is>
          <t>По мотивам произведений Айни. Второй фильм кинодилогии, начатой фильмом "Кто был ничем...", о становлении Советской власти в Таджикистане.</t>
        </is>
      </c>
      <c r="L2437" s="2" t="inlineStr">
        <is>
          <t>Кино_СССР сводный каталог.xlsx: список телефильмов</t>
        </is>
      </c>
      <c r="M2437" s="2">
        <f>HYPERLINK("https://ru.wikipedia.org/w/index.php?search=%D0%A2%D0%BE%D1%82%20%D1%81%D1%82%D0%B0%D0%BD%D0%B5%D1%82%20%D0%B2%D1%81%D0%B5%D0%BC%201975%20%D1%84%D0%B8%D0%BB%D1%8C%D0%BC","искать")</f>
        <v/>
      </c>
      <c r="N2437" s="3" t="n"/>
      <c r="O2437" s="2" t="n"/>
      <c r="P2437" s="2" t="n"/>
    </row>
    <row r="2438">
      <c r="A2438" s="2" t="n">
        <v>2437</v>
      </c>
      <c r="B2438" s="2" t="inlineStr">
        <is>
          <t>не сюжет</t>
        </is>
      </c>
      <c r="C2438" s="2" t="n">
        <v>9680</v>
      </c>
      <c r="D2438" s="3" t="inlineStr">
        <is>
          <t>Счастлив, кто любил</t>
        </is>
      </c>
      <c r="E2438" s="2" t="n">
        <v>1986</v>
      </c>
      <c r="F2438" s="2" t="inlineStr">
        <is>
          <t>кинофильм</t>
        </is>
      </c>
      <c r="G2438" s="2" t="n"/>
      <c r="H2438" s="2" t="n">
        <v>138</v>
      </c>
      <c r="I2438" s="2" t="inlineStr"/>
      <c r="J2438" s="2" t="inlineStr">
        <is>
          <t>да</t>
        </is>
      </c>
      <c r="K2438" s="3" t="inlineStr">
        <is>
          <t>Лирический рассказ о женщине, которая через долгие годы пронесла любовь к человеку, встреченному на дороге войны, навсегда их разлучившей.</t>
        </is>
      </c>
      <c r="L2438" s="2" t="inlineStr">
        <is>
          <t>Кино_СССР сводный каталог.xlsx: список фильмов (доп.)</t>
        </is>
      </c>
      <c r="M2438" s="2">
        <f>HYPERLINK("https://ru.wikipedia.org/w/index.php?search=%D0%A1%D1%87%D0%B0%D1%81%D1%82%D0%BB%D0%B8%D0%B2%2C%20%D0%BA%D1%82%D0%BE%20%D0%BB%D1%8E%D0%B1%D0%B8%D0%BB%201986%20%D1%84%D0%B8%D0%BB%D1%8C%D0%BC","искать")</f>
        <v/>
      </c>
      <c r="N2438" s="3" t="n"/>
      <c r="O2438" s="2" t="n"/>
      <c r="P2438" s="2" t="n"/>
    </row>
    <row r="2439">
      <c r="A2439" s="2" t="n">
        <v>2438</v>
      </c>
      <c r="B2439" s="2" t="inlineStr">
        <is>
          <t>не сюжет</t>
        </is>
      </c>
      <c r="C2439" s="2" t="n">
        <v>10542</v>
      </c>
      <c r="D2439" s="3" t="inlineStr">
        <is>
          <t>Бенефис Веры Васильевой</t>
        </is>
      </c>
      <c r="E2439" s="2" t="n">
        <v>1974</v>
      </c>
      <c r="F2439" s="2" t="inlineStr">
        <is>
          <t>фильм-спектакль</t>
        </is>
      </c>
      <c r="G2439" s="2" t="inlineStr">
        <is>
          <t>Главная редакция музыкальных программ ЦТ</t>
        </is>
      </c>
      <c r="H2439" s="2" t="n">
        <v>138</v>
      </c>
      <c r="I2439" s="2" t="inlineStr"/>
      <c r="J2439" s="2" t="inlineStr">
        <is>
          <t>да</t>
        </is>
      </c>
      <c r="K2439" s="3" t="inlineStr">
        <is>
          <t>В программе использованы фрагменты спектаклей "Не все коту масленица", "Проснись и пой", оперетт "Белая ночь", "Парижская жизнь" и других.</t>
        </is>
      </c>
      <c r="L2439" s="2" t="inlineStr">
        <is>
          <t>https://www.kino-teatr.ru/teatr/movie/82222/annot/</t>
        </is>
      </c>
      <c r="M2439" s="2">
        <f>HYPERLINK("https://ru.wikipedia.org/w/index.php?search=%D0%91%D0%B5%D0%BD%D0%B5%D1%84%D0%B8%D1%81%20%D0%92%D0%B5%D1%80%D1%8B%20%D0%92%D0%B0%D1%81%D0%B8%D0%BB%D1%8C%D0%B5%D0%B2%D0%BE%D0%B9%201974%20%D1%84%D0%B8%D0%BB%D1%8C%D0%BC","искать")</f>
        <v/>
      </c>
      <c r="N2439" s="3" t="n"/>
      <c r="O2439" s="2" t="n"/>
      <c r="P2439" s="2" t="n"/>
    </row>
    <row r="2440">
      <c r="A2440" s="2" t="n">
        <v>2439</v>
      </c>
      <c r="B2440" s="2" t="inlineStr">
        <is>
          <t>не сюжет</t>
        </is>
      </c>
      <c r="C2440" s="2" t="n">
        <v>10800</v>
      </c>
      <c r="D2440" s="3" t="inlineStr">
        <is>
          <t>Дачники</t>
        </is>
      </c>
      <c r="E2440" s="2" t="n">
        <v>1979</v>
      </c>
      <c r="F2440" s="2" t="inlineStr">
        <is>
          <t>фильм-спектакль</t>
        </is>
      </c>
      <c r="G2440" s="2" t="inlineStr">
        <is>
          <t>Творческое объединение "Экран"</t>
        </is>
      </c>
      <c r="H2440" s="2" t="n">
        <v>138</v>
      </c>
      <c r="I2440" s="2" t="inlineStr"/>
      <c r="J2440" s="2" t="inlineStr">
        <is>
          <t>да</t>
        </is>
      </c>
      <c r="K2440" s="3" t="inlineStr">
        <is>
          <t>Фильм-спектакль по одноименной пьесе М.Горького в постановке Московского Художественного академического театра Союза ССР имени М.Горького.</t>
        </is>
      </c>
      <c r="L2440" s="2" t="inlineStr">
        <is>
          <t>https://www.kino-teatr.ru/teatr/movie/80272/annot/</t>
        </is>
      </c>
      <c r="M2440" s="2">
        <f>HYPERLINK("https://ru.wikipedia.org/w/index.php?search=%D0%94%D0%B0%D1%87%D0%BD%D0%B8%D0%BA%D0%B8%201979%20%D1%84%D0%B8%D0%BB%D1%8C%D0%BC","искать")</f>
        <v/>
      </c>
      <c r="N2440" s="3" t="n"/>
      <c r="O2440" s="2" t="n"/>
      <c r="P2440" s="2" t="n"/>
    </row>
    <row r="2441">
      <c r="A2441" s="2" t="n">
        <v>2440</v>
      </c>
      <c r="B2441" s="2" t="inlineStr">
        <is>
          <t>не сюжет</t>
        </is>
      </c>
      <c r="C2441" s="2" t="n">
        <v>10927</v>
      </c>
      <c r="D2441" s="3" t="inlineStr">
        <is>
          <t>Этот фантастический мир. Выпуск 5</t>
        </is>
      </c>
      <c r="E2441" s="2" t="n">
        <v>1981</v>
      </c>
      <c r="F2441" s="2" t="inlineStr">
        <is>
          <t>фильм-спектакль</t>
        </is>
      </c>
      <c r="G2441" s="2" t="inlineStr">
        <is>
          <t>Главная редакция программ для детей и юношества ЦТ</t>
        </is>
      </c>
      <c r="H2441" s="2" t="n">
        <v>138</v>
      </c>
      <c r="I2441" s="2" t="inlineStr"/>
      <c r="J2441" s="2" t="inlineStr">
        <is>
          <t>да</t>
        </is>
      </c>
      <c r="K2441" s="3" t="inlineStr">
        <is>
          <t>В этой серии популярного телеальманаха были экранизованы произведения "О скитаниях вечных и о Земле" Рэя Брэдбери и "Выбор" Кира Булычева.</t>
        </is>
      </c>
      <c r="L2441" s="2" t="inlineStr">
        <is>
          <t>https://www.kino-teatr.ru/teatr/movie/16961/annot/</t>
        </is>
      </c>
      <c r="M2441" s="2">
        <f>HYPERLINK("https://ru.wikipedia.org/w/index.php?search=%D0%AD%D1%82%D0%BE%D1%82%20%D1%84%D0%B0%D0%BD%D1%82%D0%B0%D1%81%D1%82%D0%B8%D1%87%D0%B5%D1%81%D0%BA%D0%B8%D0%B9%20%D0%BC%D0%B8%D1%80.%20%D0%92%D1%8B%D0%BF%D1%83%D1%81%D0%BA%205%201981%20%D1%84%D0%B8%D0%BB%D1%8C%D0%BC","искать")</f>
        <v/>
      </c>
      <c r="N2441" s="3" t="n"/>
      <c r="O2441" s="2" t="n"/>
      <c r="P2441" s="2" t="n"/>
    </row>
    <row r="2442">
      <c r="A2442" s="2" t="n">
        <v>2441</v>
      </c>
      <c r="B2442" s="2" t="inlineStr">
        <is>
          <t>не сюжет</t>
        </is>
      </c>
      <c r="C2442" s="2" t="n">
        <v>12065</v>
      </c>
      <c r="D2442" s="3" t="inlineStr">
        <is>
          <t>Юбилей</t>
        </is>
      </c>
      <c r="E2442" s="2" t="n">
        <v>1983</v>
      </c>
      <c r="F2442" s="2" t="inlineStr">
        <is>
          <t>мультфильм</t>
        </is>
      </c>
      <c r="G2442" s="2" t="inlineStr">
        <is>
          <t>Союзмультфильм</t>
        </is>
      </c>
      <c r="H2442" s="2" t="n">
        <v>138</v>
      </c>
      <c r="I2442" s="2" t="inlineStr"/>
      <c r="J2442" s="2" t="inlineStr">
        <is>
          <t>да</t>
        </is>
      </c>
      <c r="K2442" s="3" t="inlineStr">
        <is>
          <t>В фильме использована музыка Чайковского и В.Ганелина. Исполнение и аранжировка трио В.Ганелина и группы Стаса Намина. К столетию анимации</t>
        </is>
      </c>
      <c r="L2442" s="2" t="inlineStr">
        <is>
          <t>https://animator.ru/db/?p=show_film&amp;fid=3180</t>
        </is>
      </c>
      <c r="M2442" s="2">
        <f>HYPERLINK("https://ru.wikipedia.org/w/index.php?search=%D0%AE%D0%B1%D0%B8%D0%BB%D0%B5%D0%B9%201983%20%D1%84%D0%B8%D0%BB%D1%8C%D0%BC","искать")</f>
        <v/>
      </c>
      <c r="N2442" s="3" t="n"/>
      <c r="O2442" s="2" t="n"/>
      <c r="P2442" s="2" t="n"/>
    </row>
    <row r="2443">
      <c r="A2443" s="2" t="n">
        <v>2442</v>
      </c>
      <c r="B2443" s="2" t="inlineStr">
        <is>
          <t>не сюжет</t>
        </is>
      </c>
      <c r="C2443" s="2" t="n">
        <v>12726</v>
      </c>
      <c r="D2443" s="3" t="inlineStr">
        <is>
          <t>Сеанс</t>
        </is>
      </c>
      <c r="E2443" s="2" t="n">
        <v>1987</v>
      </c>
      <c r="F2443" s="2" t="inlineStr">
        <is>
          <t>мультфильм</t>
        </is>
      </c>
      <c r="G2443" s="2" t="inlineStr">
        <is>
          <t>АЗЕРБАЙДЖАНФИЛЬМ</t>
        </is>
      </c>
      <c r="H2443" s="2" t="n">
        <v>138</v>
      </c>
      <c r="I2443" s="2" t="inlineStr"/>
      <c r="J2443" s="2" t="inlineStr">
        <is>
          <t>да</t>
        </is>
      </c>
      <c r="K2443" s="3" t="inlineStr">
        <is>
          <t>Техника - двойная экспозиция разных фактур. Использована музыка М.Таривердиева. МКФ в Кракове, 1987 - Диплом; МКФ в Бильбао, 1987 - Диплом</t>
        </is>
      </c>
      <c r="L2443" s="2" t="inlineStr">
        <is>
          <t>https://animator.ru/db/?p=show_film&amp;fid=3932</t>
        </is>
      </c>
      <c r="M2443" s="2">
        <f>HYPERLINK("https://ru.wikipedia.org/w/index.php?search=%D0%A1%D0%B5%D0%B0%D0%BD%D1%81%201987%20%D1%84%D0%B8%D0%BB%D1%8C%D0%BC","искать")</f>
        <v/>
      </c>
      <c r="N2443" s="3" t="n"/>
      <c r="O2443" s="2" t="n"/>
      <c r="P2443" s="2" t="n"/>
    </row>
    <row r="2444">
      <c r="A2444" s="2" t="n">
        <v>2443</v>
      </c>
      <c r="B2444" s="2" t="inlineStr">
        <is>
          <t>не сюжет</t>
        </is>
      </c>
      <c r="C2444" s="2" t="n">
        <v>9052</v>
      </c>
      <c r="D2444" s="3" t="inlineStr">
        <is>
          <t>Снежная королева</t>
        </is>
      </c>
      <c r="E2444" s="2" t="n">
        <v>1941</v>
      </c>
      <c r="F2444" s="2" t="inlineStr">
        <is>
          <t>кинофильм</t>
        </is>
      </c>
      <c r="G2444" s="2" t="n"/>
      <c r="H2444" s="2" t="n">
        <v>139</v>
      </c>
      <c r="I2444" s="2" t="inlineStr"/>
      <c r="J2444" s="2" t="inlineStr">
        <is>
          <t>да</t>
        </is>
      </c>
      <c r="K2444" s="3" t="inlineStr">
        <is>
          <t>Фильм снимался в цвете. Было отснято около половины фильма... Съёмки прервала война, материал погиб, сохранилось лишь несколько фотографий.</t>
        </is>
      </c>
      <c r="L2444" s="2" t="inlineStr">
        <is>
          <t>Кино_СССР сводный каталог.xlsx: список фильмов (доп.)</t>
        </is>
      </c>
      <c r="M2444" s="2">
        <f>HYPERLINK("https://ru.wikipedia.org/w/index.php?search=%D0%A1%D0%BD%D0%B5%D0%B6%D0%BD%D0%B0%D1%8F%20%D0%BA%D0%BE%D1%80%D0%BE%D0%BB%D0%B5%D0%B2%D0%B0%201941%20%D1%84%D0%B8%D0%BB%D1%8C%D0%BC","искать")</f>
        <v/>
      </c>
      <c r="N2444" s="3" t="n"/>
      <c r="O2444" s="2" t="n"/>
      <c r="P2444" s="2" t="n"/>
    </row>
    <row r="2445">
      <c r="A2445" s="2" t="n">
        <v>2444</v>
      </c>
      <c r="B2445" s="2" t="inlineStr">
        <is>
          <t>не сюжет</t>
        </is>
      </c>
      <c r="C2445" s="2" t="n">
        <v>10283</v>
      </c>
      <c r="D2445" s="3" t="inlineStr">
        <is>
          <t>Анекдот</t>
        </is>
      </c>
      <c r="E2445" s="2" t="n">
        <v>1969</v>
      </c>
      <c r="F2445" s="2" t="inlineStr">
        <is>
          <t>фильм-спектакль</t>
        </is>
      </c>
      <c r="G2445" s="2" t="inlineStr">
        <is>
          <t>Центральное телевидение, Подборки фильмов, экранизации Горького</t>
        </is>
      </c>
      <c r="H2445" s="2" t="n">
        <v>139</v>
      </c>
      <c r="I2445" s="2" t="inlineStr"/>
      <c r="J2445" s="2" t="inlineStr">
        <is>
          <t>да</t>
        </is>
      </c>
      <c r="K2445" s="3" t="inlineStr">
        <is>
          <t>Рассказ М.Горького является своеобразным эскизом к пьесе "Егор Булычев".
Спектакль - дебют актера Льва Дурова на телевидении как режиссера.</t>
        </is>
      </c>
      <c r="L2445" s="2" t="inlineStr">
        <is>
          <t>https://www.kino-teatr.ru/teatr/movie/136800/annot/</t>
        </is>
      </c>
      <c r="M2445" s="2">
        <f>HYPERLINK("https://ru.wikipedia.org/w/index.php?search=%D0%90%D0%BD%D0%B5%D0%BA%D0%B4%D0%BE%D1%82%201969%20%D1%84%D0%B8%D0%BB%D1%8C%D0%BC","искать")</f>
        <v/>
      </c>
      <c r="N2445" s="3" t="n"/>
      <c r="O2445" s="2" t="n"/>
      <c r="P2445" s="2" t="n"/>
    </row>
    <row r="2446">
      <c r="A2446" s="2" t="n">
        <v>2445</v>
      </c>
      <c r="B2446" s="2" t="inlineStr">
        <is>
          <t>не сюжет</t>
        </is>
      </c>
      <c r="C2446" s="2" t="n">
        <v>10294</v>
      </c>
      <c r="D2446" s="3" t="inlineStr">
        <is>
          <t>Вам!</t>
        </is>
      </c>
      <c r="E2446" s="2" t="n">
        <v>1969</v>
      </c>
      <c r="F2446" s="2" t="inlineStr">
        <is>
          <t>фильм-спектакль</t>
        </is>
      </c>
      <c r="G2446" s="2" t="inlineStr">
        <is>
          <t>Ленинградское Телевидение</t>
        </is>
      </c>
      <c r="H2446" s="2" t="n">
        <v>139</v>
      </c>
      <c r="I2446" s="2" t="inlineStr"/>
      <c r="J2446" s="2" t="inlineStr">
        <is>
          <t>да</t>
        </is>
      </c>
      <c r="K2446" s="3" t="inlineStr">
        <is>
          <t>В основу телеспектакля легли стихотворения В.Маяковского "Вам!", "Послушайте!", "Разговор с товарищем Лениным" и другие произведения поэта.</t>
        </is>
      </c>
      <c r="L2446" s="2" t="inlineStr">
        <is>
          <t>https://www.kino-teatr.ru/teatr/movie/8778/annot/</t>
        </is>
      </c>
      <c r="M2446" s="2">
        <f>HYPERLINK("https://ru.wikipedia.org/w/index.php?search=%D0%92%D0%B0%D0%BC%21%201969%20%D1%84%D0%B8%D0%BB%D1%8C%D0%BC","искать")</f>
        <v/>
      </c>
      <c r="N2446" s="3" t="n"/>
      <c r="O2446" s="2" t="n"/>
      <c r="P2446" s="2" t="n"/>
    </row>
    <row r="2447">
      <c r="A2447" s="2" t="n">
        <v>2446</v>
      </c>
      <c r="B2447" s="2" t="inlineStr">
        <is>
          <t>не сюжет</t>
        </is>
      </c>
      <c r="C2447" s="2" t="n">
        <v>7691</v>
      </c>
      <c r="D2447" s="3" t="inlineStr">
        <is>
          <t>История чудес</t>
        </is>
      </c>
      <c r="E2447" s="2" t="n">
        <v>1977</v>
      </c>
      <c r="F2447" s="2" t="inlineStr">
        <is>
          <t>телефильм</t>
        </is>
      </c>
      <c r="G2447" s="2" t="n"/>
      <c r="H2447" s="2" t="n">
        <v>140</v>
      </c>
      <c r="I2447" s="2" t="inlineStr"/>
      <c r="J2447" s="2" t="inlineStr">
        <is>
          <t>да</t>
        </is>
      </c>
      <c r="K2447" s="3" t="inlineStr">
        <is>
          <t>Музыкальный фильм по одноименной опере Раймо Кангро и Кульно Сухалепа. Оригинальная идея из рассказа Джованни Боккаччо "Декамерон" глава ХХ.</t>
        </is>
      </c>
      <c r="L2447" s="2" t="inlineStr">
        <is>
          <t>Кино_СССР сводный каталог.xlsx: список телефильмов</t>
        </is>
      </c>
      <c r="M2447" s="2">
        <f>HYPERLINK("https://ru.wikipedia.org/w/index.php?search=%D0%98%D1%81%D1%82%D0%BE%D1%80%D0%B8%D1%8F%20%D1%87%D1%83%D0%B4%D0%B5%D1%81%201977%20%D1%84%D0%B8%D0%BB%D1%8C%D0%BC","искать")</f>
        <v/>
      </c>
      <c r="N2447" s="3" t="n"/>
      <c r="O2447" s="2" t="n"/>
      <c r="P2447" s="2" t="n"/>
    </row>
    <row r="2448">
      <c r="A2448" s="2" t="n">
        <v>2447</v>
      </c>
      <c r="B2448" s="2" t="inlineStr">
        <is>
          <t>не сюжет</t>
        </is>
      </c>
      <c r="C2448" s="2" t="n">
        <v>10767</v>
      </c>
      <c r="D2448" s="3" t="inlineStr">
        <is>
          <t>Пока бьётся сердце</t>
        </is>
      </c>
      <c r="E2448" s="2" t="n">
        <v>1978</v>
      </c>
      <c r="F2448" s="2" t="inlineStr">
        <is>
          <t>фильм-спектакль</t>
        </is>
      </c>
      <c r="G2448" s="2" t="inlineStr">
        <is>
          <t>Центральное телевидение</t>
        </is>
      </c>
      <c r="H2448" s="2" t="n">
        <v>140</v>
      </c>
      <c r="I2448" s="2" t="inlineStr"/>
      <c r="J2448" s="2" t="inlineStr">
        <is>
          <t>да</t>
        </is>
      </c>
      <c r="K2448" s="3" t="inlineStr">
        <is>
          <t>Постановка Ленинградского государственного академического театра драмы имени А.С. Пушкина.
В центре спектакля - образ врача-хирурга Крымова.</t>
        </is>
      </c>
      <c r="L2448" s="2" t="inlineStr">
        <is>
          <t>https://www.kino-teatr.ru/teatr/movie/104341/annot/</t>
        </is>
      </c>
      <c r="M2448" s="2">
        <f>HYPERLINK("https://ru.wikipedia.org/w/index.php?search=%D0%9F%D0%BE%D0%BA%D0%B0%20%D0%B1%D1%8C%D1%91%D1%82%D1%81%D1%8F%20%D1%81%D0%B5%D1%80%D0%B4%D1%86%D0%B5%201978%20%D1%84%D0%B8%D0%BB%D1%8C%D0%BC","искать")</f>
        <v/>
      </c>
      <c r="N2448" s="3" t="n"/>
      <c r="O2448" s="2" t="n"/>
      <c r="P2448" s="2" t="n"/>
    </row>
    <row r="2449">
      <c r="A2449" s="2" t="n">
        <v>2448</v>
      </c>
      <c r="B2449" s="2" t="inlineStr">
        <is>
          <t>не сюжет</t>
        </is>
      </c>
      <c r="C2449" s="2" t="n">
        <v>11220</v>
      </c>
      <c r="D2449" s="3" t="inlineStr">
        <is>
          <t>Пиковая дама</t>
        </is>
      </c>
      <c r="E2449" s="2" t="n">
        <v>1988</v>
      </c>
      <c r="F2449" s="2" t="inlineStr">
        <is>
          <t>фильм-спектакль</t>
        </is>
      </c>
      <c r="G2449" s="2" t="inlineStr">
        <is>
          <t>Главная редакция научно-популярных и учебных программ ЦТ</t>
        </is>
      </c>
      <c r="H2449" s="2" t="n">
        <v>140</v>
      </c>
      <c r="I2449" s="2" t="inlineStr"/>
      <c r="J2449" s="2" t="inlineStr">
        <is>
          <t>да</t>
        </is>
      </c>
      <c r="K2449" s="3" t="inlineStr">
        <is>
          <t>По повести Александра Сергеевича Пушкина.
Дипломный спектакль курса ГИТИСа (руководитель П.Н.Фоменко). Съемки проходили в музее им. Пушкина.</t>
        </is>
      </c>
      <c r="L2449" s="2" t="inlineStr">
        <is>
          <t>https://www.kino-teatr.ru/teatr/movie/128318/annot/</t>
        </is>
      </c>
      <c r="M2449" s="2">
        <f>HYPERLINK("https://ru.wikipedia.org/w/index.php?search=%D0%9F%D0%B8%D0%BA%D0%BE%D0%B2%D0%B0%D1%8F%20%D0%B4%D0%B0%D0%BC%D0%B0%201988%20%D1%84%D0%B8%D0%BB%D1%8C%D0%BC","искать")</f>
        <v/>
      </c>
      <c r="N2449" s="3" t="n"/>
      <c r="O2449" s="2" t="n"/>
      <c r="P2449" s="2" t="n"/>
    </row>
    <row r="2450">
      <c r="A2450" s="2" t="n">
        <v>2449</v>
      </c>
      <c r="B2450" s="2" t="inlineStr">
        <is>
          <t>не сюжет</t>
        </is>
      </c>
      <c r="C2450" s="2" t="n">
        <v>11355</v>
      </c>
      <c r="D2450" s="3" t="inlineStr">
        <is>
          <t>Алмаст</t>
        </is>
      </c>
      <c r="E2450" s="2" t="n">
        <v>1985</v>
      </c>
      <c r="F2450" s="2" t="inlineStr">
        <is>
          <t>фильм-опера/балет</t>
        </is>
      </c>
      <c r="G2450" s="2" t="n"/>
      <c r="H2450" s="2" t="n">
        <v>140</v>
      </c>
      <c r="I2450" s="2" t="inlineStr"/>
      <c r="J2450" s="2" t="inlineStr">
        <is>
          <t>да</t>
        </is>
      </c>
      <c r="K2450" s="3" t="inlineStr">
        <is>
          <t>Ալմաստ Телефильм. Опера Александра Спендиарова по мотивам поэмы армянского поэта Ованеса Туманяна "Взятие Тмкаберта". Либретто Софьи Парнок.</t>
        </is>
      </c>
      <c r="L2450" s="2" t="inlineStr">
        <is>
          <t>Кино_СССР телефильмы и пропуски включить в базу.xlsx</t>
        </is>
      </c>
      <c r="M2450" s="2">
        <f>HYPERLINK("https://ru.wikipedia.org/w/index.php?search=%D0%90%D0%BB%D0%BC%D0%B0%D1%81%D1%82%201985%20%D1%84%D0%B8%D0%BB%D1%8C%D0%BC","искать")</f>
        <v/>
      </c>
      <c r="N2450" s="3" t="n"/>
      <c r="O2450" s="2" t="n"/>
      <c r="P2450" s="2" t="n"/>
    </row>
    <row r="2451">
      <c r="A2451" s="2" t="n">
        <v>2450</v>
      </c>
      <c r="B2451" s="2" t="inlineStr">
        <is>
          <t>не сюжет</t>
        </is>
      </c>
      <c r="C2451" s="2" t="n">
        <v>11541</v>
      </c>
      <c r="D2451" s="3" t="inlineStr">
        <is>
          <t>Реваншист</t>
        </is>
      </c>
      <c r="E2451" s="2" t="n">
        <v>1962</v>
      </c>
      <c r="F2451" s="2" t="inlineStr">
        <is>
          <t>мультфильм</t>
        </is>
      </c>
      <c r="G2451" s="2" t="inlineStr">
        <is>
          <t>Союзмультфильм</t>
        </is>
      </c>
      <c r="H2451" s="2" t="n">
        <v>140</v>
      </c>
      <c r="I2451" s="2" t="inlineStr"/>
      <c r="J2451" s="2" t="inlineStr">
        <is>
          <t>да</t>
        </is>
      </c>
      <c r="K2451" s="3" t="inlineStr">
        <is>
          <t>Вирус равнодушия - мультипликационный плакат о равнодушном отношении сельхозруководителей к кукурузным полям. Реваншист - антивоенный плакат</t>
        </is>
      </c>
      <c r="L2451" s="2" t="inlineStr">
        <is>
          <t>https://animator.ru/db/?p=show_film&amp;fid=2373</t>
        </is>
      </c>
      <c r="M2451" s="2">
        <f>HYPERLINK("https://ru.wikipedia.org/w/index.php?search=%D0%A0%D0%B5%D0%B2%D0%B0%D0%BD%D1%88%D0%B8%D1%81%D1%82%201962%20%D1%84%D0%B8%D0%BB%D1%8C%D0%BC","искать")</f>
        <v/>
      </c>
      <c r="N2451" s="3" t="n"/>
      <c r="O2451" s="2" t="n"/>
      <c r="P2451" s="2" t="n"/>
    </row>
    <row r="2452">
      <c r="A2452" s="2" t="n">
        <v>2451</v>
      </c>
      <c r="B2452" s="2" t="inlineStr">
        <is>
          <t>не сюжет</t>
        </is>
      </c>
      <c r="C2452" s="2" t="n">
        <v>12281</v>
      </c>
      <c r="D2452" s="3" t="inlineStr">
        <is>
          <t>Лапландские сказки</t>
        </is>
      </c>
      <c r="E2452" s="2" t="n">
        <v>1990</v>
      </c>
      <c r="F2452" s="2" t="inlineStr">
        <is>
          <t>мультфильм</t>
        </is>
      </c>
      <c r="G2452" s="2" t="inlineStr">
        <is>
          <t>Союзмультфильм</t>
        </is>
      </c>
      <c r="H2452" s="2" t="n">
        <v>140</v>
      </c>
      <c r="I2452" s="2" t="inlineStr"/>
      <c r="J2452" s="2" t="inlineStr">
        <is>
          <t>да</t>
        </is>
      </c>
      <c r="K2452" s="3" t="inlineStr">
        <is>
          <t>Сборник фильмов по мотивам сказок северных народов выпуска прошлых лет ("Гадкий утенок", "Королевские зайцы", "Заколдованный мальчик" - см.)</t>
        </is>
      </c>
      <c r="L2452" s="2" t="inlineStr">
        <is>
          <t>https://animator.ru/db/?p=show_film&amp;fid=3398</t>
        </is>
      </c>
      <c r="M2452" s="2">
        <f>HYPERLINK("https://ru.wikipedia.org/w/index.php?search=%D0%9B%D0%B0%D0%BF%D0%BB%D0%B0%D0%BD%D0%B4%D1%81%D0%BA%D0%B8%D0%B5%20%D1%81%D0%BA%D0%B0%D0%B7%D0%BA%D0%B8%201990%20%D1%84%D0%B8%D0%BB%D1%8C%D0%BC","искать")</f>
        <v/>
      </c>
      <c r="N2452" s="3" t="n"/>
      <c r="O2452" s="2" t="n"/>
      <c r="P2452" s="2" t="n"/>
    </row>
    <row r="2453">
      <c r="A2453" s="2" t="n">
        <v>2452</v>
      </c>
      <c r="B2453" s="2" t="inlineStr">
        <is>
          <t>не сюжет</t>
        </is>
      </c>
      <c r="C2453" s="2" t="n">
        <v>7301</v>
      </c>
      <c r="D2453" s="3" t="inlineStr">
        <is>
          <t>В стремнине бешеной реки</t>
        </is>
      </c>
      <c r="E2453" s="2" t="n">
        <v>1980</v>
      </c>
      <c r="F2453" s="2" t="inlineStr">
        <is>
          <t>телефильм</t>
        </is>
      </c>
      <c r="G2453" s="2" t="n"/>
      <c r="H2453" s="2" t="n">
        <v>141</v>
      </c>
      <c r="I2453" s="2" t="inlineStr"/>
      <c r="J2453" s="2" t="inlineStr">
        <is>
          <t>да</t>
        </is>
      </c>
      <c r="K2453" s="3" t="inlineStr">
        <is>
          <t>Телефильм. Баллада о любви, о красоте природы, о человеческих отношениях. Фильм был дважды показан по Центральному телевидению в начале 80-х.</t>
        </is>
      </c>
      <c r="L2453" s="2" t="inlineStr">
        <is>
          <t>Кино_СССР сводный каталог.xlsx: список телефильмов</t>
        </is>
      </c>
      <c r="M2453" s="2">
        <f>HYPERLINK("https://ru.wikipedia.org/w/index.php?search=%D0%92%20%D1%81%D1%82%D1%80%D0%B5%D0%BC%D0%BD%D0%B8%D0%BD%D0%B5%20%D0%B1%D0%B5%D1%88%D0%B5%D0%BD%D0%BE%D0%B9%20%D1%80%D0%B5%D0%BA%D0%B8%201980%20%D1%84%D0%B8%D0%BB%D1%8C%D0%BC","искать")</f>
        <v/>
      </c>
      <c r="N2453" s="3" t="n"/>
      <c r="O2453" s="2" t="n"/>
      <c r="P2453" s="2" t="n"/>
    </row>
    <row r="2454">
      <c r="A2454" s="2" t="n">
        <v>2453</v>
      </c>
      <c r="B2454" s="2" t="inlineStr">
        <is>
          <t>не сюжет</t>
        </is>
      </c>
      <c r="C2454" s="2" t="n">
        <v>7823</v>
      </c>
      <c r="D2454" s="3" t="inlineStr">
        <is>
          <t>Лучшая дорога нашей жизни</t>
        </is>
      </c>
      <c r="E2454" s="2" t="n">
        <v>1984</v>
      </c>
      <c r="F2454" s="2" t="inlineStr">
        <is>
          <t>телефильм</t>
        </is>
      </c>
      <c r="G2454" s="2" t="n"/>
      <c r="H2454" s="2" t="n">
        <v>141</v>
      </c>
      <c r="I2454" s="2" t="inlineStr"/>
      <c r="J2454" s="2" t="inlineStr">
        <is>
          <t>да</t>
        </is>
      </c>
      <c r="K2454" s="3" t="inlineStr">
        <is>
          <t>Фильм повествует о начале строительства Байкало-Амурской магистрали. В центре повествования - образ комсомольского вожака Феликса Прудникова.</t>
        </is>
      </c>
      <c r="L2454" s="2" t="inlineStr">
        <is>
          <t>Кино_СССР сводный каталог.xlsx: список телефильмов</t>
        </is>
      </c>
      <c r="M2454" s="2">
        <f>HYPERLINK("https://ru.wikipedia.org/w/index.php?search=%D0%9B%D1%83%D1%87%D1%88%D0%B0%D1%8F%20%D0%B4%D0%BE%D1%80%D0%BE%D0%B3%D0%B0%20%D0%BD%D0%B0%D1%88%D0%B5%D0%B9%20%D0%B6%D0%B8%D0%B7%D0%BD%D0%B8%201984%20%D1%84%D0%B8%D0%BB%D1%8C%D0%BC","искать")</f>
        <v/>
      </c>
      <c r="N2454" s="3" t="n"/>
      <c r="O2454" s="2" t="n"/>
      <c r="P2454" s="2" t="n"/>
    </row>
    <row r="2455">
      <c r="A2455" s="2" t="n">
        <v>2454</v>
      </c>
      <c r="B2455" s="2" t="inlineStr">
        <is>
          <t>не сюжет</t>
        </is>
      </c>
      <c r="C2455" s="2" t="n">
        <v>10260</v>
      </c>
      <c r="D2455" s="3" t="inlineStr">
        <is>
          <t>Неоконченная симфония</t>
        </is>
      </c>
      <c r="E2455" s="2" t="n">
        <v>1968</v>
      </c>
      <c r="F2455" s="2" t="inlineStr">
        <is>
          <t>фильм-спектакль</t>
        </is>
      </c>
      <c r="G2455" s="2" t="n"/>
      <c r="H2455" s="2" t="n">
        <v>141</v>
      </c>
      <c r="I2455" s="2" t="inlineStr"/>
      <c r="J2455" s="2" t="inlineStr">
        <is>
          <t>да</t>
        </is>
      </c>
      <c r="K2455" s="3" t="inlineStr">
        <is>
          <t>О жизни и творчестве выдающегося австрийского композитора Франца Шуберта.
Вокальные партии: А.Ведерников, Е.Шумская, Г.Кузнецова, С.Яковенко.</t>
        </is>
      </c>
      <c r="L2455" s="2" t="inlineStr">
        <is>
          <t>https://www.kino-teatr.ru/teatr/movie/86627/annot/</t>
        </is>
      </c>
      <c r="M2455" s="2">
        <f>HYPERLINK("https://ru.wikipedia.org/w/index.php?search=%D0%9D%D0%B5%D0%BE%D0%BA%D0%BE%D0%BD%D1%87%D0%B5%D0%BD%D0%BD%D0%B0%D1%8F%20%D1%81%D0%B8%D0%BC%D1%84%D0%BE%D0%BD%D0%B8%D1%8F%201968%20%D1%84%D0%B8%D0%BB%D1%8C%D0%BC","искать")</f>
        <v/>
      </c>
      <c r="N2455" s="3" t="n"/>
      <c r="O2455" s="2" t="n"/>
      <c r="P2455" s="2" t="n"/>
    </row>
    <row r="2456">
      <c r="A2456" s="2" t="n">
        <v>2455</v>
      </c>
      <c r="B2456" s="2" t="inlineStr">
        <is>
          <t>не сюжет</t>
        </is>
      </c>
      <c r="C2456" s="2" t="n">
        <v>10878</v>
      </c>
      <c r="D2456" s="3" t="inlineStr">
        <is>
          <t>Вызов</t>
        </is>
      </c>
      <c r="E2456" s="2" t="n">
        <v>1981</v>
      </c>
      <c r="F2456" s="2" t="inlineStr">
        <is>
          <t>фильм-спектакль</t>
        </is>
      </c>
      <c r="G2456" s="2" t="n"/>
      <c r="H2456" s="2" t="n">
        <v>141</v>
      </c>
      <c r="I2456" s="2" t="inlineStr"/>
      <c r="J2456" s="2" t="inlineStr">
        <is>
          <t>да</t>
        </is>
      </c>
      <c r="K2456" s="3" t="inlineStr">
        <is>
          <t>Телеспектакль Малого театра.
По одноименной пьесе Г. Маркова и Э. Шима.
О трудном, но созидательном пути сибирского ученого Алексея Краюхина.</t>
        </is>
      </c>
      <c r="L2456" s="2" t="inlineStr">
        <is>
          <t>https://www.kino-teatr.ru/teatr/movie/94804/annot/</t>
        </is>
      </c>
      <c r="M2456" s="2">
        <f>HYPERLINK("https://ru.wikipedia.org/w/index.php?search=%D0%92%D1%8B%D0%B7%D0%BE%D0%B2%201981%20%D1%84%D0%B8%D0%BB%D1%8C%D0%BC","искать")</f>
        <v/>
      </c>
      <c r="N2456" s="3" t="n"/>
      <c r="O2456" s="2" t="n"/>
      <c r="P2456" s="2" t="n"/>
    </row>
    <row r="2457">
      <c r="A2457" s="2" t="n">
        <v>2456</v>
      </c>
      <c r="B2457" s="2" t="inlineStr">
        <is>
          <t>не сюжет</t>
        </is>
      </c>
      <c r="C2457" s="2" t="n">
        <v>11269</v>
      </c>
      <c r="D2457" s="3" t="inlineStr">
        <is>
          <t>Назар Стодоля</t>
        </is>
      </c>
      <c r="E2457" s="2" t="n">
        <v>1989</v>
      </c>
      <c r="F2457" s="2" t="inlineStr">
        <is>
          <t>фильм-спектакль</t>
        </is>
      </c>
      <c r="G2457" s="2" t="inlineStr">
        <is>
          <t>Укртелефильм</t>
        </is>
      </c>
      <c r="H2457" s="2" t="n">
        <v>141</v>
      </c>
      <c r="I2457" s="2" t="inlineStr"/>
      <c r="J2457" s="2" t="inlineStr">
        <is>
          <t>да</t>
        </is>
      </c>
      <c r="K2457" s="3" t="inlineStr">
        <is>
          <t>По произведению Тараса Шевченко. Чистота, искренность любви Гали и Назара раскрывается в таинственно-сказочной атмосфере рождественской ночи.</t>
        </is>
      </c>
      <c r="L2457" s="2" t="inlineStr">
        <is>
          <t>https://www.kino-teatr.ru/teatr/movie/11509/annot/</t>
        </is>
      </c>
      <c r="M2457" s="2">
        <f>HYPERLINK("https://ru.wikipedia.org/w/index.php?search=%D0%9D%D0%B0%D0%B7%D0%B0%D1%80%20%D0%A1%D1%82%D0%BE%D0%B4%D0%BE%D0%BB%D1%8F%201989%20%D1%84%D0%B8%D0%BB%D1%8C%D0%BC","искать")</f>
        <v/>
      </c>
      <c r="N2457" s="3" t="n"/>
      <c r="O2457" s="2" t="n"/>
      <c r="P2457" s="2" t="n"/>
    </row>
    <row r="2458">
      <c r="A2458" s="2" t="n">
        <v>2457</v>
      </c>
      <c r="B2458" s="2" t="inlineStr">
        <is>
          <t>не сюжет</t>
        </is>
      </c>
      <c r="C2458" s="2" t="n">
        <v>11296</v>
      </c>
      <c r="D2458" s="3" t="inlineStr">
        <is>
          <t>Гадкий утёнок</t>
        </is>
      </c>
      <c r="E2458" s="2" t="n">
        <v>1990</v>
      </c>
      <c r="F2458" s="2" t="inlineStr">
        <is>
          <t>фильм-спектакль</t>
        </is>
      </c>
      <c r="G2458" s="2" t="inlineStr">
        <is>
          <t>Панорама</t>
        </is>
      </c>
      <c r="H2458" s="2" t="n">
        <v>141</v>
      </c>
      <c r="I2458" s="2" t="inlineStr"/>
      <c r="J2458" s="2" t="inlineStr">
        <is>
          <t>да</t>
        </is>
      </c>
      <c r="K2458" s="3" t="inlineStr">
        <is>
          <t>По мотивам одноименной сказки Г.Х.Андерсена в постановке Ленинградского Большого театра кукол. Постановка Т.Жукова. Балетмейстер Г.Абайдулов.</t>
        </is>
      </c>
      <c r="L2458" s="2" t="inlineStr">
        <is>
          <t>https://www.kino-teatr.ru/teatr/movie/85201/annot/</t>
        </is>
      </c>
      <c r="M2458" s="2">
        <f>HYPERLINK("https://ru.wikipedia.org/w/index.php?search=%D0%93%D0%B0%D0%B4%D0%BA%D0%B8%D0%B9%20%D1%83%D1%82%D1%91%D0%BD%D0%BE%D0%BA%201990%20%D1%84%D0%B8%D0%BB%D1%8C%D0%BC","искать")</f>
        <v/>
      </c>
      <c r="N2458" s="3" t="n"/>
      <c r="O2458" s="2" t="n"/>
      <c r="P2458" s="2" t="n"/>
    </row>
    <row r="2459">
      <c r="A2459" s="2" t="n">
        <v>2458</v>
      </c>
      <c r="B2459" s="2" t="inlineStr">
        <is>
          <t>не сюжет</t>
        </is>
      </c>
      <c r="C2459" s="2" t="n">
        <v>9113</v>
      </c>
      <c r="D2459" s="3" t="inlineStr">
        <is>
          <t>Трудная должность</t>
        </is>
      </c>
      <c r="E2459" s="2" t="n">
        <v>1968</v>
      </c>
      <c r="F2459" s="2" t="inlineStr">
        <is>
          <t>кинофильм</t>
        </is>
      </c>
      <c r="G2459" s="2" t="n"/>
      <c r="H2459" s="2" t="n">
        <v>142</v>
      </c>
      <c r="I2459" s="2" t="inlineStr"/>
      <c r="J2459" s="2" t="inlineStr">
        <is>
          <t>да</t>
        </is>
      </c>
      <c r="K2459" s="3" t="inlineStr">
        <is>
          <t>Учебный фильм, снабжённый грифом "секретно", в игровой форме рассказывает о мероприятиях, направленных на борьбу с подростковой преступностью.</t>
        </is>
      </c>
      <c r="L2459" s="2" t="inlineStr">
        <is>
          <t>Кино_СССР сводный каталог.xlsx: список фильмов (доп.)</t>
        </is>
      </c>
      <c r="M2459" s="2">
        <f>HYPERLINK("https://ru.wikipedia.org/w/index.php?search=%D0%A2%D1%80%D1%83%D0%B4%D0%BD%D0%B0%D1%8F%20%D0%B4%D0%BE%D0%BB%D0%B6%D0%BD%D0%BE%D1%81%D1%82%D1%8C%201968%20%D1%84%D0%B8%D0%BB%D1%8C%D0%BC","искать")</f>
        <v/>
      </c>
      <c r="N2459" s="3" t="n"/>
      <c r="O2459" s="2" t="n"/>
      <c r="P2459" s="2" t="n"/>
    </row>
    <row r="2460">
      <c r="A2460" s="2" t="n">
        <v>2459</v>
      </c>
      <c r="B2460" s="2" t="inlineStr">
        <is>
          <t>не сюжет</t>
        </is>
      </c>
      <c r="C2460" s="2" t="n">
        <v>10181</v>
      </c>
      <c r="D2460" s="3" t="inlineStr">
        <is>
          <t>Аглая</t>
        </is>
      </c>
      <c r="E2460" s="2" t="n">
        <v>1967</v>
      </c>
      <c r="F2460" s="2" t="inlineStr">
        <is>
          <t>фильм-спектакль</t>
        </is>
      </c>
      <c r="G2460" s="2" t="inlineStr">
        <is>
          <t>Ленинградское телевидение</t>
        </is>
      </c>
      <c r="H2460" s="2" t="n">
        <v>142</v>
      </c>
      <c r="I2460" s="2" t="inlineStr"/>
      <c r="J2460" s="2" t="inlineStr">
        <is>
          <t>да</t>
        </is>
      </c>
      <c r="K2460" s="3" t="inlineStr">
        <is>
          <t>Телеспектакль по трилогии Ю.П.Германа о враче Владимире Устименко.
Аглая - тетка Владимира.
Спектакль о ее работе подпольщицей во время войны.</t>
        </is>
      </c>
      <c r="L2460" s="2" t="inlineStr">
        <is>
          <t>https://www.kino-teatr.ru/teatr/movie/119870/annot/</t>
        </is>
      </c>
      <c r="M2460" s="2">
        <f>HYPERLINK("https://ru.wikipedia.org/w/index.php?search=%D0%90%D0%B3%D0%BB%D0%B0%D1%8F%201967%20%D1%84%D0%B8%D0%BB%D1%8C%D0%BC","искать")</f>
        <v/>
      </c>
      <c r="N2460" s="3" t="n"/>
      <c r="O2460" s="2" t="n"/>
      <c r="P2460" s="2" t="n"/>
    </row>
    <row r="2461">
      <c r="A2461" s="2" t="n">
        <v>2460</v>
      </c>
      <c r="B2461" s="2" t="inlineStr">
        <is>
          <t>не сюжет</t>
        </is>
      </c>
      <c r="C2461" s="2" t="n">
        <v>10810</v>
      </c>
      <c r="D2461" s="3" t="inlineStr">
        <is>
          <t>Мёртвые души</t>
        </is>
      </c>
      <c r="E2461" s="2" t="n">
        <v>1979</v>
      </c>
      <c r="F2461" s="2" t="inlineStr">
        <is>
          <t>фильм-спектакль</t>
        </is>
      </c>
      <c r="G2461" s="2" t="n"/>
      <c r="H2461" s="2" t="n">
        <v>142</v>
      </c>
      <c r="I2461" s="2" t="inlineStr"/>
      <c r="J2461" s="2" t="inlineStr">
        <is>
          <t>да</t>
        </is>
      </c>
      <c r="K2461" s="3" t="inlineStr">
        <is>
          <t>Сатирическая комедия по одноименной поэме Н.В. Гоголя, исполненная артистами Московского Художественного академического театра им. М.Горького.</t>
        </is>
      </c>
      <c r="L2461" s="2" t="inlineStr">
        <is>
          <t>https://www.kino-teatr.ru/teatr/movie/82784/annot/</t>
        </is>
      </c>
      <c r="M2461" s="2">
        <f>HYPERLINK("https://ru.wikipedia.org/w/index.php?search=%D0%9C%D1%91%D1%80%D1%82%D0%B2%D1%8B%D0%B5%20%D0%B4%D1%83%D1%88%D0%B8%201979%20%D1%84%D0%B8%D0%BB%D1%8C%D0%BC","искать")</f>
        <v/>
      </c>
      <c r="N2461" s="3" t="n"/>
      <c r="O2461" s="2" t="n"/>
      <c r="P2461" s="2" t="n"/>
    </row>
    <row r="2462">
      <c r="A2462" s="2" t="n">
        <v>2461</v>
      </c>
      <c r="B2462" s="2" t="inlineStr">
        <is>
          <t>не сюжет</t>
        </is>
      </c>
      <c r="C2462" s="2" t="n">
        <v>11749</v>
      </c>
      <c r="D2462" s="3" t="inlineStr">
        <is>
          <t>Сказка за сказкой</t>
        </is>
      </c>
      <c r="E2462" s="2" t="n">
        <v>1974</v>
      </c>
      <c r="F2462" s="2" t="inlineStr">
        <is>
          <t>мультфильм</t>
        </is>
      </c>
      <c r="G2462" s="2" t="inlineStr">
        <is>
          <t>Союзмультфильм</t>
        </is>
      </c>
      <c r="H2462" s="2" t="n">
        <v>142</v>
      </c>
      <c r="I2462" s="2" t="inlineStr"/>
      <c r="J2462" s="2" t="inlineStr">
        <is>
          <t>да</t>
        </is>
      </c>
      <c r="K2462" s="3" t="inlineStr">
        <is>
          <t>По мотивам русской сказки "Козел да баран" и венгерской сказки "Петер - веселый обманщик". Совместная постановка со студией ПАННОНИЯ (Венгрия)</t>
        </is>
      </c>
      <c r="L2462" s="2" t="inlineStr">
        <is>
          <t>https://animator.ru/db/?p=show_film&amp;fid=2663</t>
        </is>
      </c>
      <c r="M2462" s="2">
        <f>HYPERLINK("https://ru.wikipedia.org/w/index.php?search=%D0%A1%D0%BA%D0%B0%D0%B7%D0%BA%D0%B0%20%D0%B7%D0%B0%20%D1%81%D0%BA%D0%B0%D0%B7%D0%BA%D0%BE%D0%B9%201974%20%D1%84%D0%B8%D0%BB%D1%8C%D0%BC","искать")</f>
        <v/>
      </c>
      <c r="N2462" s="3" t="n"/>
      <c r="O2462" s="2" t="n"/>
      <c r="P2462" s="2" t="n"/>
    </row>
    <row r="2463">
      <c r="A2463" s="2" t="n">
        <v>2462</v>
      </c>
      <c r="B2463" s="2" t="inlineStr">
        <is>
          <t>не сюжет</t>
        </is>
      </c>
      <c r="C2463" s="2" t="n">
        <v>12286</v>
      </c>
      <c r="D2463" s="3" t="inlineStr">
        <is>
          <t>Подводные береты</t>
        </is>
      </c>
      <c r="E2463" s="2" t="n">
        <v>1991</v>
      </c>
      <c r="F2463" s="2" t="inlineStr">
        <is>
          <t>мультфильм</t>
        </is>
      </c>
      <c r="G2463" s="2" t="inlineStr">
        <is>
          <t>Союзмультфильм, ФОРА ФИЛЬМ ЧП</t>
        </is>
      </c>
      <c r="H2463" s="2" t="n">
        <v>142</v>
      </c>
      <c r="I2463" s="2" t="inlineStr"/>
      <c r="J2463" s="2" t="inlineStr">
        <is>
          <t>да</t>
        </is>
      </c>
      <c r="K2463" s="3" t="inlineStr">
        <is>
          <t>Сборник сюжетов о дельфинах-рейнджерах на основе фильмов: "Секретная океанская помойка", "Надводная часть айсберга", "Озеро на дне моря" и др.</t>
        </is>
      </c>
      <c r="L2463" s="2" t="inlineStr">
        <is>
          <t>https://animator.ru/db/?p=show_film&amp;fid=3403</t>
        </is>
      </c>
      <c r="M2463" s="2">
        <f>HYPERLINK("https://ru.wikipedia.org/w/index.php?search=%D0%9F%D0%BE%D0%B4%D0%B2%D0%BE%D0%B4%D0%BD%D1%8B%D0%B5%20%D0%B1%D0%B5%D1%80%D0%B5%D1%82%D1%8B%201991%20%D1%84%D0%B8%D0%BB%D1%8C%D0%BC","искать")</f>
        <v/>
      </c>
      <c r="N2463" s="3" t="n"/>
      <c r="O2463" s="2" t="n"/>
      <c r="P2463" s="2" t="n"/>
    </row>
    <row r="2464">
      <c r="A2464" s="2" t="n">
        <v>2463</v>
      </c>
      <c r="B2464" s="2" t="inlineStr">
        <is>
          <t>не сюжет</t>
        </is>
      </c>
      <c r="C2464" s="2" t="n">
        <v>7933</v>
      </c>
      <c r="D2464" s="3" t="inlineStr">
        <is>
          <t>На миг оглянуться...</t>
        </is>
      </c>
      <c r="E2464" s="2" t="n">
        <v>1984</v>
      </c>
      <c r="F2464" s="2" t="inlineStr">
        <is>
          <t>телефильм</t>
        </is>
      </c>
      <c r="G2464" s="2" t="n"/>
      <c r="H2464" s="2" t="n">
        <v>143</v>
      </c>
      <c r="I2464" s="2" t="inlineStr"/>
      <c r="J2464" s="2" t="inlineStr">
        <is>
          <t>да</t>
        </is>
      </c>
      <c r="K2464" s="3" t="inlineStr">
        <is>
          <t>Телефильм по мотивам произведений Бориса Житкова и Корнея Чуковского. Посвящен жизни и творчеству писателей Бориса Житкова и Корнея Чуковского.</t>
        </is>
      </c>
      <c r="L2464" s="2" t="inlineStr">
        <is>
          <t>Кино_СССР сводный каталог.xlsx: список телефильмов</t>
        </is>
      </c>
      <c r="M2464" s="2">
        <f>HYPERLINK("https://ru.wikipedia.org/w/index.php?search=%D0%9D%D0%B0%20%D0%BC%D0%B8%D0%B3%20%D0%BE%D0%B3%D0%BB%D1%8F%D0%BD%D1%83%D1%82%D1%8C%D1%81%D1%8F...%201984%20%D1%84%D0%B8%D0%BB%D1%8C%D0%BC","искать")</f>
        <v/>
      </c>
      <c r="N2464" s="3" t="n"/>
      <c r="O2464" s="2" t="n"/>
      <c r="P2464" s="2" t="n"/>
    </row>
    <row r="2465">
      <c r="A2465" s="2" t="n">
        <v>2464</v>
      </c>
      <c r="B2465" s="2" t="inlineStr">
        <is>
          <t>не сюжет</t>
        </is>
      </c>
      <c r="C2465" s="2" t="n">
        <v>8672</v>
      </c>
      <c r="D2465" s="3" t="inlineStr">
        <is>
          <t>Выживший</t>
        </is>
      </c>
      <c r="E2465" s="2" t="n">
        <v>1991</v>
      </c>
      <c r="F2465" s="2" t="inlineStr">
        <is>
          <t>кинофильм</t>
        </is>
      </c>
      <c r="G2465" s="2" t="inlineStr">
        <is>
          <t>КАЗАХФИЛЬМ, Киностудия "МИРАС"</t>
        </is>
      </c>
      <c r="H2465" s="2" t="n">
        <v>143</v>
      </c>
      <c r="I2465" s="2" t="inlineStr"/>
      <c r="J2465" s="2" t="inlineStr">
        <is>
          <t>да</t>
        </is>
      </c>
      <c r="K2465" s="3" t="inlineStr">
        <is>
          <t>Современная трагедия двух пожилых людей, переживших ад войны и сталинских репрессий, но не потерявших надежду и любовь к жизни, к родной земле.</t>
        </is>
      </c>
      <c r="L2465" s="2" t="inlineStr">
        <is>
          <t>Кино_СССР сводный каталог.xlsx: список фильмов (доп.)</t>
        </is>
      </c>
      <c r="M2465" s="2">
        <f>HYPERLINK("https://ru.wikipedia.org/w/index.php?search=%D0%92%D1%8B%D0%B6%D0%B8%D0%B2%D1%88%D0%B8%D0%B9%201991%20%D1%84%D0%B8%D0%BB%D1%8C%D0%BC","искать")</f>
        <v/>
      </c>
      <c r="N2465" s="3" t="n"/>
      <c r="O2465" s="2" t="n"/>
      <c r="P2465" s="2" t="n"/>
    </row>
    <row r="2466">
      <c r="A2466" s="2" t="n">
        <v>2465</v>
      </c>
      <c r="B2466" s="2" t="inlineStr">
        <is>
          <t>не сюжет</t>
        </is>
      </c>
      <c r="C2466" s="2" t="n">
        <v>11206</v>
      </c>
      <c r="D2466" s="3" t="inlineStr">
        <is>
          <t>Кабала святош</t>
        </is>
      </c>
      <c r="E2466" s="2" t="n">
        <v>1988</v>
      </c>
      <c r="F2466" s="2" t="inlineStr">
        <is>
          <t>фильм-спектакль</t>
        </is>
      </c>
      <c r="G2466" s="2" t="inlineStr">
        <is>
          <t>Студия "Искусство"</t>
        </is>
      </c>
      <c r="H2466" s="2" t="n">
        <v>143</v>
      </c>
      <c r="I2466" s="2" t="inlineStr"/>
      <c r="J2466" s="2" t="inlineStr">
        <is>
          <t>да</t>
        </is>
      </c>
      <c r="K2466" s="3" t="inlineStr">
        <is>
          <t>Телеверсия спектакля МХАТа по пьесе Михаила Булгакова.
Спектакль о жизни и смерти Жана-Батиста Мольера, о художнике, уставшем бороться с миром.</t>
        </is>
      </c>
      <c r="L2466" s="2" t="inlineStr">
        <is>
          <t>https://www.kino-teatr.ru/teatr/movie/85196/annot/</t>
        </is>
      </c>
      <c r="M2466" s="2">
        <f>HYPERLINK("https://ru.wikipedia.org/w/index.php?search=%D0%9A%D0%B0%D0%B1%D0%B0%D0%BB%D0%B0%20%D1%81%D0%B2%D1%8F%D1%82%D0%BE%D1%88%201988%20%D1%84%D0%B8%D0%BB%D1%8C%D0%BC","искать")</f>
        <v/>
      </c>
      <c r="N2466" s="3" t="n"/>
      <c r="O2466" s="2" t="n"/>
      <c r="P2466" s="2" t="n"/>
    </row>
    <row r="2467">
      <c r="A2467" s="2" t="n">
        <v>2466</v>
      </c>
      <c r="B2467" s="2" t="inlineStr">
        <is>
          <t>не сюжет</t>
        </is>
      </c>
      <c r="C2467" s="2" t="n">
        <v>11284</v>
      </c>
      <c r="D2467" s="3" t="inlineStr">
        <is>
          <t>Тартюф</t>
        </is>
      </c>
      <c r="E2467" s="2" t="n">
        <v>1989</v>
      </c>
      <c r="F2467" s="2" t="inlineStr">
        <is>
          <t>фильм-спектакль</t>
        </is>
      </c>
      <c r="G2467" s="2" t="inlineStr">
        <is>
          <t>Гл. ред. лит-драм программ</t>
        </is>
      </c>
      <c r="H2467" s="2" t="n">
        <v>143</v>
      </c>
      <c r="I2467" s="2" t="inlineStr"/>
      <c r="J2467" s="2" t="inlineStr">
        <is>
          <t>да</t>
        </is>
      </c>
      <c r="K2467" s="3" t="inlineStr">
        <is>
          <t>Телеспектакль Анатолия Эфроса по одноименной пьесе Ж.Б. Мольера в постановке Московского Художественного академического театра им. М. Горького.</t>
        </is>
      </c>
      <c r="L2467" s="2" t="inlineStr">
        <is>
          <t>https://www.kino-teatr.ru/teatr/movie/7073/annot/</t>
        </is>
      </c>
      <c r="M2467" s="2">
        <f>HYPERLINK("https://ru.wikipedia.org/w/index.php?search=%D0%A2%D0%B0%D1%80%D1%82%D1%8E%D1%84%201989%20%D1%84%D0%B8%D0%BB%D1%8C%D0%BC","искать")</f>
        <v/>
      </c>
      <c r="N2467" s="3" t="n"/>
      <c r="O2467" s="2" t="n"/>
      <c r="P2467" s="2" t="n"/>
    </row>
    <row r="2468">
      <c r="A2468" s="2" t="n">
        <v>2467</v>
      </c>
      <c r="B2468" s="2" t="inlineStr">
        <is>
          <t>не сюжет</t>
        </is>
      </c>
      <c r="C2468" s="2" t="n">
        <v>7740</v>
      </c>
      <c r="D2468" s="3" t="inlineStr">
        <is>
          <t>Кое-что из губернской жизни</t>
        </is>
      </c>
      <c r="E2468" s="2" t="n">
        <v>1983</v>
      </c>
      <c r="F2468" s="2" t="inlineStr">
        <is>
          <t>телефильм</t>
        </is>
      </c>
      <c r="G2468" s="2" t="inlineStr">
        <is>
          <t>Творческое объединение «Экран»</t>
        </is>
      </c>
      <c r="H2468" s="2" t="n">
        <v>144</v>
      </c>
      <c r="I2468" s="2" t="inlineStr"/>
      <c r="J2468" s="2" t="inlineStr">
        <is>
          <t>да</t>
        </is>
      </c>
      <c r="K2468" s="3" t="inlineStr">
        <is>
          <t>Телевизионный фильм по мотивам водевилей и ранних рассказов А.П.Чехова "Предложение", "Свадьба", "Юбилей" и др. Место действия - губернский бал.</t>
        </is>
      </c>
      <c r="L2468" s="2" t="inlineStr">
        <is>
          <t>Кино_СССР сводный каталог.xlsx: список телефильмов</t>
        </is>
      </c>
      <c r="M2468" s="2">
        <f>HYPERLINK("https://ru.wikipedia.org/w/index.php?search=%D0%9A%D0%BE%D0%B5-%D1%87%D1%82%D0%BE%20%D0%B8%D0%B7%20%D0%B3%D1%83%D0%B1%D0%B5%D1%80%D0%BD%D1%81%D0%BA%D0%BE%D0%B9%20%D0%B6%D0%B8%D0%B7%D0%BD%D0%B8%201983%20%D1%84%D0%B8%D0%BB%D1%8C%D0%BC","искать")</f>
        <v/>
      </c>
      <c r="N2468" s="3" t="n"/>
      <c r="O2468" s="2" t="n"/>
      <c r="P2468" s="2" t="n"/>
    </row>
    <row r="2469">
      <c r="A2469" s="2" t="n">
        <v>2468</v>
      </c>
      <c r="B2469" s="2" t="inlineStr">
        <is>
          <t>не сюжет</t>
        </is>
      </c>
      <c r="C2469" s="2" t="n">
        <v>9509</v>
      </c>
      <c r="D2469" s="3" t="inlineStr">
        <is>
          <t>Низами</t>
        </is>
      </c>
      <c r="E2469" s="2" t="n">
        <v>1982</v>
      </c>
      <c r="F2469" s="2" t="inlineStr">
        <is>
          <t>кинофильм</t>
        </is>
      </c>
      <c r="G2469" s="2" t="n"/>
      <c r="H2469" s="2" t="n">
        <v>144</v>
      </c>
      <c r="I2469" s="2" t="inlineStr"/>
      <c r="J2469" s="2" t="inlineStr">
        <is>
          <t>да</t>
        </is>
      </c>
      <c r="K2469" s="3" t="inlineStr">
        <is>
          <t>Историко-биографический кинороман, посвященный великому поэту и философу-гуманисту Востока Низами Гянджеви, жившему на рубеже XII—XIII столетий.</t>
        </is>
      </c>
      <c r="L2469" s="2" t="inlineStr">
        <is>
          <t>https://ru.wikipedia.org/w/index.php?title=%D0%9D%D0%B8%D0%B7%D0%B0%D0%BC%D0%B8_%28%D1%84%D0%B8%D0%BB%D1%8C%D0%BC%29&amp;oldid=155325824</t>
        </is>
      </c>
      <c r="M2469" s="2">
        <f>HYPERLINK("https://ru.wikipedia.org/w/index.php?search=%D0%9D%D0%B8%D0%B7%D0%B0%D0%BC%D0%B8%201982%20%D1%84%D0%B8%D0%BB%D1%8C%D0%BC","искать")</f>
        <v/>
      </c>
      <c r="N2469" s="3" t="n"/>
      <c r="O2469" s="2" t="n"/>
      <c r="P2469" s="2" t="n"/>
    </row>
    <row r="2470">
      <c r="A2470" s="2" t="n">
        <v>2469</v>
      </c>
      <c r="B2470" s="2" t="inlineStr">
        <is>
          <t>не сюжет</t>
        </is>
      </c>
      <c r="C2470" s="2" t="n">
        <v>9923</v>
      </c>
      <c r="D2470" s="3" t="inlineStr">
        <is>
          <t>Флейта</t>
        </is>
      </c>
      <c r="E2470" s="2" t="n">
        <v>1976</v>
      </c>
      <c r="F2470" s="2" t="inlineStr">
        <is>
          <t>кинофильм</t>
        </is>
      </c>
      <c r="G2470" s="2" t="inlineStr">
        <is>
          <t>Грузия-фильм</t>
        </is>
      </c>
      <c r="H2470" s="2" t="n">
        <v>144</v>
      </c>
      <c r="I2470" s="2" t="inlineStr"/>
      <c r="J2470" s="2" t="inlineStr">
        <is>
          <t>да</t>
        </is>
      </c>
      <c r="K2470" s="3" t="inlineStr">
        <is>
          <t>Лирическая новелла о любви юноши-флейтиста к девушке, работающий в цехе по производству хрусталя. В фильме звучит музыка И.-С.Баха и А.Вивальди.</t>
        </is>
      </c>
      <c r="L2470" s="2" t="inlineStr">
        <is>
          <t>https://www.kino-teatr.ru/short/movie/sov/84590/annot/</t>
        </is>
      </c>
      <c r="M2470" s="2">
        <f>HYPERLINK("https://ru.wikipedia.org/w/index.php?search=%D0%A4%D0%BB%D0%B5%D0%B9%D1%82%D0%B0%201976%20%D1%84%D0%B8%D0%BB%D1%8C%D0%BC","искать")</f>
        <v/>
      </c>
      <c r="N2470" s="3" t="n"/>
      <c r="O2470" s="2" t="n"/>
      <c r="P2470" s="2" t="n"/>
    </row>
    <row r="2471">
      <c r="A2471" s="2" t="n">
        <v>2470</v>
      </c>
      <c r="B2471" s="2" t="inlineStr">
        <is>
          <t>не сюжет</t>
        </is>
      </c>
      <c r="C2471" s="2" t="n">
        <v>10412</v>
      </c>
      <c r="D2471" s="3" t="inlineStr">
        <is>
          <t>По страницам любимых опер</t>
        </is>
      </c>
      <c r="E2471" s="2" t="n">
        <v>1971</v>
      </c>
      <c r="F2471" s="2" t="inlineStr">
        <is>
          <t>фильм-спектакль</t>
        </is>
      </c>
      <c r="G2471" s="2" t="n"/>
      <c r="H2471" s="2" t="n">
        <v>144</v>
      </c>
      <c r="I2471" s="2" t="inlineStr"/>
      <c r="J2471" s="2" t="inlineStr">
        <is>
          <t>да</t>
        </is>
      </c>
      <c r="K2471" s="3" t="inlineStr">
        <is>
          <t>Арии из опер исполняют Владимир Атлантов и Мария Биешу.
Оркестр Ленинградской филармонии. Дирижер Эдуард Грикуров.
Текст читал Олег Басилашвили.</t>
        </is>
      </c>
      <c r="L2471" s="2" t="inlineStr">
        <is>
          <t>https://www.kino-teatr.ru/teatr/movie/114055/annot/</t>
        </is>
      </c>
      <c r="M2471" s="2">
        <f>HYPERLINK("https://ru.wikipedia.org/w/index.php?search=%D0%9F%D0%BE%20%D1%81%D1%82%D1%80%D0%B0%D0%BD%D0%B8%D1%86%D0%B0%D0%BC%20%D0%BB%D1%8E%D0%B1%D0%B8%D0%BC%D1%8B%D1%85%20%D0%BE%D0%BF%D0%B5%D1%80%201971%20%D1%84%D0%B8%D0%BB%D1%8C%D0%BC","искать")</f>
        <v/>
      </c>
      <c r="N2471" s="3" t="n"/>
      <c r="O2471" s="2" t="n"/>
      <c r="P2471" s="2" t="n"/>
    </row>
    <row r="2472">
      <c r="A2472" s="2" t="n">
        <v>2471</v>
      </c>
      <c r="B2472" s="2" t="inlineStr">
        <is>
          <t>не сюжет</t>
        </is>
      </c>
      <c r="C2472" s="2" t="n">
        <v>11567</v>
      </c>
      <c r="D2472" s="3" t="inlineStr">
        <is>
          <t>Дважды два</t>
        </is>
      </c>
      <c r="E2472" s="2" t="n">
        <v>1968</v>
      </c>
      <c r="F2472" s="2" t="inlineStr">
        <is>
          <t>мультфильм</t>
        </is>
      </c>
      <c r="G2472" s="2" t="inlineStr">
        <is>
          <t>Союзмультфильм</t>
        </is>
      </c>
      <c r="H2472" s="2" t="n">
        <v>144</v>
      </c>
      <c r="I2472" s="2" t="inlineStr"/>
      <c r="J2472" s="2" t="inlineStr">
        <is>
          <t>да</t>
        </is>
      </c>
      <c r="K2472" s="3" t="inlineStr">
        <is>
          <t>Мультипликационный сюжет о том, как прибывших из вузов молодых специалистов направляют работать на участки, не соответствующие их специальностям</t>
        </is>
      </c>
      <c r="L2472" s="2" t="inlineStr">
        <is>
          <t>https://gosfilmofond.ru/films/251380/</t>
        </is>
      </c>
      <c r="M2472" s="2">
        <f>HYPERLINK("https://ru.wikipedia.org/w/index.php?search=%D0%94%D0%B2%D0%B0%D0%B6%D0%B4%D1%8B%20%D0%B4%D0%B2%D0%B0%201968%20%D1%84%D0%B8%D0%BB%D1%8C%D0%BC","искать")</f>
        <v/>
      </c>
      <c r="N2472" s="3" t="n"/>
      <c r="O2472" s="2" t="n"/>
      <c r="P2472" s="2" t="n"/>
    </row>
    <row r="2473">
      <c r="A2473" s="2" t="n">
        <v>2472</v>
      </c>
      <c r="B2473" s="2" t="inlineStr">
        <is>
          <t>не сюжет</t>
        </is>
      </c>
      <c r="C2473" s="2" t="n">
        <v>13351</v>
      </c>
      <c r="D2473" s="3" t="inlineStr">
        <is>
          <t>Меред и солнышко</t>
        </is>
      </c>
      <c r="E2473" s="2" t="n">
        <v>1979</v>
      </c>
      <c r="F2473" s="2" t="inlineStr">
        <is>
          <t>мультфильм</t>
        </is>
      </c>
      <c r="G2473" s="2" t="inlineStr">
        <is>
          <t>ТУРКМЕНФИЛЬМ</t>
        </is>
      </c>
      <c r="H2473" s="2" t="n">
        <v>144</v>
      </c>
      <c r="I2473" s="2" t="inlineStr"/>
      <c r="J2473" s="2" t="inlineStr">
        <is>
          <t>да</t>
        </is>
      </c>
      <c r="K2473" s="3" t="inlineStr">
        <is>
          <t>О дружбе маленького мальчика Мереда с Солнышком, о пустыне, которая начинает расцветать, когда дети и взрослые уничтожают страшный ветер-суховей</t>
        </is>
      </c>
      <c r="L2473" s="2" t="inlineStr">
        <is>
          <t>https://gosfilmofond.ru/films/250608/</t>
        </is>
      </c>
      <c r="M2473" s="2">
        <f>HYPERLINK("https://ru.wikipedia.org/w/index.php?search=%D0%9C%D0%B5%D1%80%D0%B5%D0%B4%20%D0%B8%20%D1%81%D0%BE%D0%BB%D0%BD%D1%8B%D1%88%D0%BA%D0%BE%201979%20%D1%84%D0%B8%D0%BB%D1%8C%D0%BC","искать")</f>
        <v/>
      </c>
      <c r="N2473" s="3" t="n"/>
      <c r="O2473" s="2" t="n"/>
      <c r="P2473" s="2" t="n"/>
    </row>
    <row r="2474">
      <c r="A2474" s="2" t="n">
        <v>2473</v>
      </c>
      <c r="B2474" s="2" t="inlineStr">
        <is>
          <t>не сюжет</t>
        </is>
      </c>
      <c r="C2474" s="2" t="n">
        <v>8563</v>
      </c>
      <c r="D2474" s="3" t="inlineStr">
        <is>
          <t>Чокан Валиханов</t>
        </is>
      </c>
      <c r="E2474" s="2" t="n">
        <v>1983</v>
      </c>
      <c r="F2474" s="2" t="inlineStr">
        <is>
          <t>телефильм</t>
        </is>
      </c>
      <c r="G2474" s="2" t="n"/>
      <c r="H2474" s="2" t="n">
        <v>145</v>
      </c>
      <c r="I2474" s="2" t="inlineStr"/>
      <c r="J2474" s="2" t="inlineStr">
        <is>
          <t>да</t>
        </is>
      </c>
      <c r="K2474" s="3" t="inlineStr">
        <is>
          <t>О жизни и деятельности Чокана Валиханова - первого казахского ученого-просветителя ХIХ века, историка, путешественника, этнографа и фольклориста.</t>
        </is>
      </c>
      <c r="L2474" s="2" t="inlineStr">
        <is>
          <t>Кино_СССР сводный каталог.xlsx: список телефильмов</t>
        </is>
      </c>
      <c r="M2474" s="2">
        <f>HYPERLINK("https://ru.wikipedia.org/w/index.php?search=%D0%A7%D0%BE%D0%BA%D0%B0%D0%BD%20%D0%92%D0%B0%D0%BB%D0%B8%D1%85%D0%B0%D0%BD%D0%BE%D0%B2%201983%20%D1%84%D0%B8%D0%BB%D1%8C%D0%BC","искать")</f>
        <v/>
      </c>
      <c r="N2474" s="3" t="n"/>
      <c r="O2474" s="2" t="n"/>
      <c r="P2474" s="2" t="n"/>
    </row>
    <row r="2475">
      <c r="A2475" s="2" t="n">
        <v>2474</v>
      </c>
      <c r="B2475" s="2" t="inlineStr">
        <is>
          <t>не сюжет</t>
        </is>
      </c>
      <c r="C2475" s="2" t="n">
        <v>10148</v>
      </c>
      <c r="D2475" s="3" t="inlineStr">
        <is>
          <t>Обещание счастья</t>
        </is>
      </c>
      <c r="E2475" s="2" t="n">
        <v>1965</v>
      </c>
      <c r="F2475" s="2" t="inlineStr">
        <is>
          <t>фильм-спектакль</t>
        </is>
      </c>
      <c r="G2475" s="2" t="inlineStr">
        <is>
          <t>Лентелефильм</t>
        </is>
      </c>
      <c r="H2475" s="2" t="n">
        <v>145</v>
      </c>
      <c r="I2475" s="2" t="inlineStr"/>
      <c r="J2475" s="2" t="inlineStr">
        <is>
          <t>да</t>
        </is>
      </c>
      <c r="K2475" s="3" t="inlineStr">
        <is>
          <t>По новеллам К.Г.Паустовского.
Фильм состоит из четырех новелл о несостоявшейся любви: «Старый челн», «Бриз», «Дождливый рассвет», «Белая радуга».</t>
        </is>
      </c>
      <c r="L2475" s="2" t="inlineStr">
        <is>
          <t>https://www.kino-teatr.ru/teatr/movie/4605/annot/</t>
        </is>
      </c>
      <c r="M2475" s="2">
        <f>HYPERLINK("https://ru.wikipedia.org/w/index.php?search=%D0%9E%D0%B1%D0%B5%D1%89%D0%B0%D0%BD%D0%B8%D0%B5%20%D1%81%D1%87%D0%B0%D1%81%D1%82%D1%8C%D1%8F%201965%20%D1%84%D0%B8%D0%BB%D1%8C%D0%BC","искать")</f>
        <v/>
      </c>
      <c r="N2475" s="3" t="n"/>
      <c r="O2475" s="2" t="n"/>
      <c r="P2475" s="2" t="n"/>
    </row>
    <row r="2476">
      <c r="A2476" s="2" t="n">
        <v>2475</v>
      </c>
      <c r="B2476" s="2" t="inlineStr">
        <is>
          <t>не сюжет</t>
        </is>
      </c>
      <c r="C2476" s="2" t="n">
        <v>10313</v>
      </c>
      <c r="D2476" s="3" t="inlineStr">
        <is>
          <t>Королевская ложа</t>
        </is>
      </c>
      <c r="E2476" s="2" t="n">
        <v>1969</v>
      </c>
      <c r="F2476" s="2" t="inlineStr">
        <is>
          <t>фильм-спектакль</t>
        </is>
      </c>
      <c r="G2476" s="2" t="inlineStr">
        <is>
          <t>ЦТ</t>
        </is>
      </c>
      <c r="H2476" s="2" t="n">
        <v>145</v>
      </c>
      <c r="I2476" s="2" t="inlineStr"/>
      <c r="J2476" s="2" t="inlineStr">
        <is>
          <t>да</t>
        </is>
      </c>
      <c r="K2476" s="3" t="inlineStr">
        <is>
          <t>По оперетте Т.Добжанского.
В исполнении артистов Ленинградского театра музкомедии.
Сатирическая сказка, разоблачающая нравы буржуазного общества.</t>
        </is>
      </c>
      <c r="L2476" s="2" t="inlineStr">
        <is>
          <t>https://www.kino-teatr.ru/teatr/movie/81417/annot/</t>
        </is>
      </c>
      <c r="M2476" s="2">
        <f>HYPERLINK("https://ru.wikipedia.org/w/index.php?search=%D0%9A%D0%BE%D1%80%D0%BE%D0%BB%D0%B5%D0%B2%D1%81%D0%BA%D0%B0%D1%8F%20%D0%BB%D0%BE%D0%B6%D0%B0%201969%20%D1%84%D0%B8%D0%BB%D1%8C%D0%BC","искать")</f>
        <v/>
      </c>
      <c r="N2476" s="3" t="n"/>
      <c r="O2476" s="2" t="n"/>
      <c r="P2476" s="2" t="n"/>
    </row>
    <row r="2477">
      <c r="A2477" s="2" t="n">
        <v>2476</v>
      </c>
      <c r="B2477" s="2" t="inlineStr">
        <is>
          <t>не сюжет</t>
        </is>
      </c>
      <c r="C2477" s="2" t="n">
        <v>10396</v>
      </c>
      <c r="D2477" s="3" t="inlineStr">
        <is>
          <t>Каменный гость</t>
        </is>
      </c>
      <c r="E2477" s="2" t="n">
        <v>1971</v>
      </c>
      <c r="F2477" s="2" t="inlineStr">
        <is>
          <t>фильм-спектакль</t>
        </is>
      </c>
      <c r="G2477" s="2" t="inlineStr">
        <is>
          <t>Творческое объединение "Экран"</t>
        </is>
      </c>
      <c r="H2477" s="2" t="n">
        <v>145</v>
      </c>
      <c r="I2477" s="2" t="inlineStr"/>
      <c r="J2477" s="2" t="inlineStr">
        <is>
          <t>да</t>
        </is>
      </c>
      <c r="K2477" s="3" t="inlineStr">
        <is>
          <t>Телеспектакль по пьесе А.С. Пушкина "Каменный гость" в постановке Ленинградского государственного академического театра драмы имени А.С. Пушкина.</t>
        </is>
      </c>
      <c r="L2477" s="2" t="inlineStr">
        <is>
          <t>https://www.kino-teatr.ru/teatr/movie/111096/annot/</t>
        </is>
      </c>
      <c r="M2477" s="2">
        <f>HYPERLINK("https://ru.wikipedia.org/w/index.php?search=%D0%9A%D0%B0%D0%BC%D0%B5%D0%BD%D0%BD%D1%8B%D0%B9%20%D0%B3%D0%BE%D1%81%D1%82%D1%8C%201971%20%D1%84%D0%B8%D0%BB%D1%8C%D0%BC","искать")</f>
        <v/>
      </c>
      <c r="N2477" s="3" t="n"/>
      <c r="O2477" s="2" t="n"/>
      <c r="P2477" s="2" t="n"/>
    </row>
    <row r="2478">
      <c r="A2478" s="2" t="n">
        <v>2477</v>
      </c>
      <c r="B2478" s="2" t="inlineStr">
        <is>
          <t>не сюжет</t>
        </is>
      </c>
      <c r="C2478" s="2" t="n">
        <v>10733</v>
      </c>
      <c r="D2478" s="3" t="inlineStr">
        <is>
          <t>Власть тьмы</t>
        </is>
      </c>
      <c r="E2478" s="2" t="n">
        <v>1978</v>
      </c>
      <c r="F2478" s="2" t="inlineStr">
        <is>
          <t>фильм-спектакль</t>
        </is>
      </c>
      <c r="G2478" s="2" t="n"/>
      <c r="H2478" s="2" t="n">
        <v>145</v>
      </c>
      <c r="I2478" s="2" t="inlineStr"/>
      <c r="J2478" s="2" t="inlineStr">
        <is>
          <t>да</t>
        </is>
      </c>
      <c r="K2478" s="3" t="inlineStr">
        <is>
          <t>По драме Л.Н.Толстого "Власть тьмы, или Коготок увяз, всей птичке пропасть" в постановке Государственного академического Малого театра Союза ССР.</t>
        </is>
      </c>
      <c r="L2478" s="2" t="inlineStr">
        <is>
          <t>https://www.kino-teatr.ru/teatr/movie/81711/annot/</t>
        </is>
      </c>
      <c r="M2478" s="2">
        <f>HYPERLINK("https://ru.wikipedia.org/w/index.php?search=%D0%92%D0%BB%D0%B0%D1%81%D1%82%D1%8C%20%D1%82%D1%8C%D0%BC%D1%8B%201978%20%D1%84%D0%B8%D0%BB%D1%8C%D0%BC","искать")</f>
        <v/>
      </c>
      <c r="N2478" s="3" t="n"/>
      <c r="O2478" s="2" t="n"/>
      <c r="P2478" s="2" t="n"/>
    </row>
    <row r="2479">
      <c r="A2479" s="2" t="n">
        <v>2478</v>
      </c>
      <c r="B2479" s="2" t="inlineStr">
        <is>
          <t>не сюжет</t>
        </is>
      </c>
      <c r="C2479" s="2" t="n">
        <v>11279</v>
      </c>
      <c r="D2479" s="3" t="inlineStr">
        <is>
          <t>Свет вечерний</t>
        </is>
      </c>
      <c r="E2479" s="2" t="n">
        <v>1989</v>
      </c>
      <c r="F2479" s="2" t="inlineStr">
        <is>
          <t>фильм-спектакль</t>
        </is>
      </c>
      <c r="G2479" s="2" t="inlineStr">
        <is>
          <t>Главная редакция литературно-драматических программ ЦТ</t>
        </is>
      </c>
      <c r="H2479" s="2" t="n">
        <v>145</v>
      </c>
      <c r="I2479" s="2" t="inlineStr"/>
      <c r="J2479" s="2" t="inlineStr">
        <is>
          <t>да</t>
        </is>
      </c>
      <c r="K2479" s="3" t="inlineStr">
        <is>
          <t>По одноименному рассказу Григорий Бакланова, поднимающему проблемы чести, совести и ответственности человека за то, что происходит в нашей жизни.</t>
        </is>
      </c>
      <c r="L2479" s="2" t="inlineStr">
        <is>
          <t>https://www.kino-teatr.ru/teatr/movie/104162/annot/</t>
        </is>
      </c>
      <c r="M2479" s="2">
        <f>HYPERLINK("https://ru.wikipedia.org/w/index.php?search=%D0%A1%D0%B2%D0%B5%D1%82%20%D0%B2%D0%B5%D1%87%D0%B5%D1%80%D0%BD%D0%B8%D0%B9%201989%20%D1%84%D0%B8%D0%BB%D1%8C%D0%BC","искать")</f>
        <v/>
      </c>
      <c r="N2479" s="3" t="n"/>
      <c r="O2479" s="2" t="n"/>
      <c r="P2479" s="2" t="n"/>
    </row>
    <row r="2480">
      <c r="A2480" s="2" t="n">
        <v>2479</v>
      </c>
      <c r="B2480" s="2" t="inlineStr">
        <is>
          <t>не сюжет</t>
        </is>
      </c>
      <c r="C2480" s="2" t="n">
        <v>13914</v>
      </c>
      <c r="D2480" s="3" t="inlineStr">
        <is>
          <t>Спокойной ночи, малыши!</t>
        </is>
      </c>
      <c r="E2480" s="2" t="n">
        <v>1981</v>
      </c>
      <c r="F2480" s="2" t="inlineStr">
        <is>
          <t>мультфильм</t>
        </is>
      </c>
      <c r="G2480" s="2" t="inlineStr">
        <is>
          <t>ЭКРАН</t>
        </is>
      </c>
      <c r="H2480" s="2" t="n">
        <v>145</v>
      </c>
      <c r="I2480" s="2" t="inlineStr"/>
      <c r="J2480" s="2" t="inlineStr">
        <is>
          <t>да</t>
        </is>
      </c>
      <c r="K2480" s="3" t="inlineStr">
        <is>
          <t>Старая заставка к известной детской передаче. Пластилин."Спят усталые игрушки, книжки спят..."Музыка из мультфильма:Спят усталые игрушки(2.86 Мб)</t>
        </is>
      </c>
      <c r="L2480" s="2" t="inlineStr">
        <is>
          <t>2026-10_мультфильмы_список_владельца.xlsx; https://animator.ru/db/?p=show_film&amp;fid=5308</t>
        </is>
      </c>
      <c r="M2480" s="2">
        <f>HYPERLINK("https://ru.wikipedia.org/w/index.php?search=%D0%A1%D0%BF%D0%BE%D0%BA%D0%BE%D0%B9%D0%BD%D0%BE%D0%B9%20%D0%BD%D0%BE%D1%87%D0%B8%2C%20%D0%BC%D0%B0%D0%BB%D1%8B%D1%88%D0%B8%21%201981%20%D1%84%D0%B8%D0%BB%D1%8C%D0%BC","искать")</f>
        <v/>
      </c>
      <c r="N2480" s="3" t="n"/>
      <c r="O2480" s="2" t="n"/>
      <c r="P2480" s="2" t="n"/>
    </row>
    <row r="2481">
      <c r="A2481" s="2" t="n">
        <v>2480</v>
      </c>
      <c r="B2481" s="2" t="inlineStr">
        <is>
          <t>не сюжет</t>
        </is>
      </c>
      <c r="C2481" s="2" t="n">
        <v>10287</v>
      </c>
      <c r="D2481" s="3" t="inlineStr">
        <is>
          <t>Аркадий Бухов</t>
        </is>
      </c>
      <c r="E2481" s="2" t="n">
        <v>1969</v>
      </c>
      <c r="F2481" s="2" t="inlineStr">
        <is>
          <t>фильм-спектакль</t>
        </is>
      </c>
      <c r="G2481" s="2" t="n"/>
      <c r="H2481" s="2" t="n">
        <v>146</v>
      </c>
      <c r="I2481" s="2" t="inlineStr"/>
      <c r="J2481" s="2" t="inlineStr">
        <is>
          <t>да</t>
        </is>
      </c>
      <c r="K2481" s="3" t="inlineStr">
        <is>
          <t>Из рубрики "Энциклопедия смеха".
Ведущий Леонид Ленч.
Инсценировка двух рассказов Аркадия Бухова (1889-1937) - "Эпоха и стиль" и "Страшная месть".</t>
        </is>
      </c>
      <c r="L2481" s="2" t="inlineStr">
        <is>
          <t>https://www.kino-teatr.ru/teatr/movie/140637/annot/</t>
        </is>
      </c>
      <c r="M2481" s="2">
        <f>HYPERLINK("https://ru.wikipedia.org/w/index.php?search=%D0%90%D1%80%D0%BA%D0%B0%D0%B4%D0%B8%D0%B9%20%D0%91%D1%83%D1%85%D0%BE%D0%B2%201969%20%D1%84%D0%B8%D0%BB%D1%8C%D0%BC","искать")</f>
        <v/>
      </c>
      <c r="N2481" s="3" t="n"/>
      <c r="O2481" s="2" t="n"/>
      <c r="P2481" s="2" t="n"/>
    </row>
    <row r="2482">
      <c r="A2482" s="2" t="n">
        <v>2481</v>
      </c>
      <c r="B2482" s="2" t="inlineStr">
        <is>
          <t>не сюжет</t>
        </is>
      </c>
      <c r="C2482" s="2" t="n">
        <v>10700</v>
      </c>
      <c r="D2482" s="3" t="inlineStr">
        <is>
          <t>Мистер-Твистер</t>
        </is>
      </c>
      <c r="E2482" s="2" t="n">
        <v>1977</v>
      </c>
      <c r="F2482" s="2" t="inlineStr">
        <is>
          <t>фильм-спектакль</t>
        </is>
      </c>
      <c r="G2482" s="2" t="inlineStr">
        <is>
          <t>Экран</t>
        </is>
      </c>
      <c r="H2482" s="2" t="n">
        <v>146</v>
      </c>
      <c r="I2482" s="2" t="inlineStr"/>
      <c r="J2482" s="2" t="inlineStr">
        <is>
          <t>да</t>
        </is>
      </c>
      <c r="K2482" s="3" t="inlineStr">
        <is>
          <t>По одноименной повести в стихах С. Маршака в постановке Государственного академического центрального театра кукол под руководством С.В. Образцова.</t>
        </is>
      </c>
      <c r="L2482" s="2" t="inlineStr">
        <is>
          <t>https://www.kino-teatr.ru/teatr/movie/87298/annot/</t>
        </is>
      </c>
      <c r="M2482" s="2">
        <f>HYPERLINK("https://ru.wikipedia.org/w/index.php?search=%D0%9C%D0%B8%D1%81%D1%82%D0%B5%D1%80-%D0%A2%D0%B2%D0%B8%D1%81%D1%82%D0%B5%D1%80%201977%20%D1%84%D0%B8%D0%BB%D1%8C%D0%BC","искать")</f>
        <v/>
      </c>
      <c r="N2482" s="3" t="n"/>
      <c r="O2482" s="2" t="n"/>
      <c r="P2482" s="2" t="n"/>
    </row>
    <row r="2483">
      <c r="A2483" s="2" t="n">
        <v>2482</v>
      </c>
      <c r="B2483" s="2" t="inlineStr">
        <is>
          <t>не сюжет</t>
        </is>
      </c>
      <c r="C2483" s="2" t="n">
        <v>11314</v>
      </c>
      <c r="D2483" s="3" t="inlineStr">
        <is>
          <t>Повести Белкина. Гробовщик</t>
        </is>
      </c>
      <c r="E2483" s="2" t="n">
        <v>1990</v>
      </c>
      <c r="F2483" s="2" t="inlineStr">
        <is>
          <t>фильм-спектакль</t>
        </is>
      </c>
      <c r="G2483" s="2" t="inlineStr">
        <is>
          <t>Главная редакция литературно-драматических программ ЦТ</t>
        </is>
      </c>
      <c r="H2483" s="2" t="n">
        <v>146</v>
      </c>
      <c r="I2483" s="2" t="inlineStr"/>
      <c r="J2483" s="2" t="inlineStr">
        <is>
          <t>да</t>
        </is>
      </c>
      <c r="K2483" s="3" t="inlineStr">
        <is>
          <t>Телеспектакль по фрагменту из «Повести Белкина» А.С.Пушкина.
Актеры студии Петра Фоменко разыгрывают пантомимическое действо под пушкинский текст.</t>
        </is>
      </c>
      <c r="L2483" s="2" t="inlineStr">
        <is>
          <t>https://www.kino-teatr.ru/teatr/movie/1531/annot/</t>
        </is>
      </c>
      <c r="M2483" s="2">
        <f>HYPERLINK("https://ru.wikipedia.org/w/index.php?search=%D0%9F%D0%BE%D0%B2%D0%B5%D1%81%D1%82%D0%B8%20%D0%91%D0%B5%D0%BB%D0%BA%D0%B8%D0%BD%D0%B0.%20%D0%93%D1%80%D0%BE%D0%B1%D0%BE%D0%B2%D1%89%D0%B8%D0%BA%201990%20%D1%84%D0%B8%D0%BB%D1%8C%D0%BC","искать")</f>
        <v/>
      </c>
      <c r="N2483" s="3" t="n"/>
      <c r="O2483" s="2" t="n"/>
      <c r="P2483" s="2" t="n"/>
    </row>
    <row r="2484">
      <c r="A2484" s="2" t="n">
        <v>2483</v>
      </c>
      <c r="B2484" s="2" t="inlineStr">
        <is>
          <t>не сюжет</t>
        </is>
      </c>
      <c r="C2484" s="2" t="n">
        <v>7835</v>
      </c>
      <c r="D2484" s="3" t="inlineStr">
        <is>
          <t>Люди остаются людьми</t>
        </is>
      </c>
      <c r="E2484" s="2" t="n">
        <v>1965</v>
      </c>
      <c r="F2484" s="2" t="inlineStr">
        <is>
          <t>телефильм</t>
        </is>
      </c>
      <c r="G2484" s="2" t="n"/>
      <c r="H2484" s="2" t="n">
        <v>147</v>
      </c>
      <c r="I2484" s="2" t="inlineStr"/>
      <c r="J2484" s="2" t="inlineStr">
        <is>
          <t>да</t>
        </is>
      </c>
      <c r="K2484" s="3" t="inlineStr">
        <is>
          <t>Телевизионный фильм по одноименному роману Юрия Пиляра. Фильм положили "на полку" - на телеэкран он не вышел и с тех пор не издавался на носителях.</t>
        </is>
      </c>
      <c r="L2484" s="2" t="inlineStr">
        <is>
          <t>Кино_СССР сводный каталог.xlsx: список телефильмов</t>
        </is>
      </c>
      <c r="M2484" s="2">
        <f>HYPERLINK("https://ru.wikipedia.org/w/index.php?search=%D0%9B%D1%8E%D0%B4%D0%B8%20%D0%BE%D1%81%D1%82%D0%B0%D1%8E%D1%82%D1%81%D1%8F%20%D0%BB%D1%8E%D0%B4%D1%8C%D0%BC%D0%B8%201965%20%D1%84%D0%B8%D0%BB%D1%8C%D0%BC","искать")</f>
        <v/>
      </c>
      <c r="N2484" s="3" t="n"/>
      <c r="O2484" s="2" t="n"/>
      <c r="P2484" s="2" t="n"/>
    </row>
    <row r="2485">
      <c r="A2485" s="2" t="n">
        <v>2484</v>
      </c>
      <c r="B2485" s="2" t="inlineStr">
        <is>
          <t>не сюжет</t>
        </is>
      </c>
      <c r="C2485" s="2" t="n">
        <v>8939</v>
      </c>
      <c r="D2485" s="3" t="inlineStr">
        <is>
          <t>Повесть об агрономе</t>
        </is>
      </c>
      <c r="E2485" s="2" t="n">
        <v>1955</v>
      </c>
      <c r="F2485" s="2" t="inlineStr">
        <is>
          <t>кинофильм</t>
        </is>
      </c>
      <c r="G2485" s="2" t="n"/>
      <c r="H2485" s="2" t="n">
        <v>147</v>
      </c>
      <c r="I2485" s="2" t="inlineStr"/>
      <c r="J2485" s="2" t="inlineStr">
        <is>
          <t>да</t>
        </is>
      </c>
      <c r="K2485" s="3" t="inlineStr">
        <is>
          <t>По повести Галины Николаевой. Фильм на экраны не вышел, все материалы были уничтожены. В 1959 году по этой повести был снят фильм "В степной тиши".</t>
        </is>
      </c>
      <c r="L2485" s="2" t="inlineStr">
        <is>
          <t>Кино_СССР сводный каталог.xlsx: список фильмов (доп.)</t>
        </is>
      </c>
      <c r="M2485" s="2">
        <f>HYPERLINK("https://ru.wikipedia.org/w/index.php?search=%D0%9F%D0%BE%D0%B2%D0%B5%D1%81%D1%82%D1%8C%20%D0%BE%D0%B1%20%D0%B0%D0%B3%D1%80%D0%BE%D0%BD%D0%BE%D0%BC%D0%B5%201955%20%D1%84%D0%B8%D0%BB%D1%8C%D0%BC","искать")</f>
        <v/>
      </c>
      <c r="N2485" s="3" t="n"/>
      <c r="O2485" s="2" t="n"/>
      <c r="P2485" s="2" t="n"/>
    </row>
    <row r="2486">
      <c r="A2486" s="2" t="n">
        <v>2485</v>
      </c>
      <c r="B2486" s="2" t="inlineStr">
        <is>
          <t>не сюжет</t>
        </is>
      </c>
      <c r="C2486" s="2" t="n">
        <v>10583</v>
      </c>
      <c r="D2486" s="3" t="inlineStr">
        <is>
          <t>Приключение не удалось</t>
        </is>
      </c>
      <c r="E2486" s="2" t="n">
        <v>1974</v>
      </c>
      <c r="F2486" s="2" t="inlineStr">
        <is>
          <t>фильм-спектакль</t>
        </is>
      </c>
      <c r="G2486" s="2" t="inlineStr">
        <is>
          <t>Главная редакция программ для детей и юношества ЦТ</t>
        </is>
      </c>
      <c r="H2486" s="2" t="n">
        <v>147</v>
      </c>
      <c r="I2486" s="2" t="inlineStr"/>
      <c r="J2486" s="2" t="inlineStr">
        <is>
          <t>да</t>
        </is>
      </c>
      <c r="K2486" s="3" t="inlineStr">
        <is>
          <t>О жизни шестиклассников небольшого городка, об их взаимоотношениях друг с другом, о чувстве товарищества, умении прийти на помощь в трудную минуту.</t>
        </is>
      </c>
      <c r="L2486" s="2" t="inlineStr">
        <is>
          <t>https://www.kino-teatr.ru/teatr/movie/79295/annot/</t>
        </is>
      </c>
      <c r="M2486" s="2">
        <f>HYPERLINK("https://ru.wikipedia.org/w/index.php?search=%D0%9F%D1%80%D0%B8%D0%BA%D0%BB%D1%8E%D1%87%D0%B5%D0%BD%D0%B8%D0%B5%20%D0%BD%D0%B5%20%D1%83%D0%B4%D0%B0%D0%BB%D0%BE%D1%81%D1%8C%201974%20%D1%84%D0%B8%D0%BB%D1%8C%D0%BC","искать")</f>
        <v/>
      </c>
      <c r="N2486" s="3" t="n"/>
      <c r="O2486" s="2" t="n"/>
      <c r="P2486" s="2" t="n"/>
    </row>
    <row r="2487">
      <c r="A2487" s="2" t="n">
        <v>2486</v>
      </c>
      <c r="B2487" s="2" t="inlineStr">
        <is>
          <t>не сюжет</t>
        </is>
      </c>
      <c r="C2487" s="2" t="n">
        <v>10929</v>
      </c>
      <c r="D2487" s="3" t="inlineStr">
        <is>
          <t>Алексей Кольцов. Возвыситься до вашей дружбы...</t>
        </is>
      </c>
      <c r="E2487" s="2" t="n">
        <v>1982</v>
      </c>
      <c r="F2487" s="2" t="inlineStr">
        <is>
          <t>фильм-спектакль</t>
        </is>
      </c>
      <c r="G2487" s="2" t="inlineStr">
        <is>
          <t>Главная редакция научно-популярных и учебных программ ЦТ</t>
        </is>
      </c>
      <c r="H2487" s="2" t="n">
        <v>147</v>
      </c>
      <c r="I2487" s="2" t="inlineStr"/>
      <c r="J2487" s="2" t="inlineStr">
        <is>
          <t>да</t>
        </is>
      </c>
      <c r="K2487" s="3" t="inlineStr">
        <is>
          <t>Телепередача о жизни и творчестве поэта Алексея Кольцова критик Виссарион Григорьевич Белинский. Песни на стихи А.Кольцова исполняет Николай Тюрин.</t>
        </is>
      </c>
      <c r="L2487" s="2" t="inlineStr">
        <is>
          <t>https://www.kino-teatr.ru/teatr/movie/101974/annot/</t>
        </is>
      </c>
      <c r="M2487" s="2">
        <f>HYPERLINK("https://ru.wikipedia.org/w/index.php?search=%D0%90%D0%BB%D0%B5%D0%BA%D1%81%D0%B5%D0%B9%20%D0%9A%D0%BE%D0%BB%D1%8C%D1%86%D0%BE%D0%B2.%20%D0%92%D0%BE%D0%B7%D0%B2%D1%8B%D1%81%D0%B8%D1%82%D1%8C%D1%81%D1%8F%20%D0%B4%D0%BE%20%D0%B2%D0%B0%D1%88%D0%B5%D0%B9%20%D0%B4%D1%80%D1%83%D0%B6%D0%B1%D1%8B...%201982%20%D1%84%D0%B8%D0%BB%D1%8C%D0%BC","искать")</f>
        <v/>
      </c>
      <c r="N2487" s="3" t="n"/>
      <c r="O2487" s="2" t="n"/>
      <c r="P2487" s="2" t="n"/>
    </row>
    <row r="2488">
      <c r="A2488" s="2" t="n">
        <v>2487</v>
      </c>
      <c r="B2488" s="2" t="inlineStr">
        <is>
          <t>не сюжет</t>
        </is>
      </c>
      <c r="C2488" s="2" t="n">
        <v>11059</v>
      </c>
      <c r="D2488" s="3" t="inlineStr">
        <is>
          <t>Золушка</t>
        </is>
      </c>
      <c r="E2488" s="2" t="n">
        <v>1985</v>
      </c>
      <c r="F2488" s="2" t="inlineStr">
        <is>
          <t>фильм-спектакль</t>
        </is>
      </c>
      <c r="G2488" s="2" t="inlineStr">
        <is>
          <t>Лентелефильм</t>
        </is>
      </c>
      <c r="H2488" s="2" t="n">
        <v>147</v>
      </c>
      <c r="I2488" s="2" t="inlineStr"/>
      <c r="J2488" s="2" t="inlineStr">
        <is>
          <t>да</t>
        </is>
      </c>
      <c r="K2488" s="3" t="inlineStr">
        <is>
          <t>Телеверсия балета на музыку Сергея Прокофьева в постановке Ленинградского государственного академического театра оперы и балета имени С. М. Кирова.</t>
        </is>
      </c>
      <c r="L2488" s="2" t="inlineStr">
        <is>
          <t>https://www.kino-teatr.ru/teatr/movie/82058/annot/</t>
        </is>
      </c>
      <c r="M2488" s="2">
        <f>HYPERLINK("https://ru.wikipedia.org/w/index.php?search=%D0%97%D0%BE%D0%BB%D1%83%D1%88%D0%BA%D0%B0%201985%20%D1%84%D0%B8%D0%BB%D1%8C%D0%BC","искать")</f>
        <v/>
      </c>
      <c r="N2488" s="3" t="n"/>
      <c r="O2488" s="2" t="n"/>
      <c r="P2488" s="2" t="n"/>
    </row>
    <row r="2489">
      <c r="A2489" s="2" t="n">
        <v>2488</v>
      </c>
      <c r="B2489" s="2" t="inlineStr">
        <is>
          <t>не сюжет</t>
        </is>
      </c>
      <c r="C2489" s="2" t="n">
        <v>11189</v>
      </c>
      <c r="D2489" s="3" t="inlineStr">
        <is>
          <t>Брошь</t>
        </is>
      </c>
      <c r="E2489" s="2" t="n">
        <v>1988</v>
      </c>
      <c r="F2489" s="2" t="inlineStr">
        <is>
          <t>фильм-спектакль</t>
        </is>
      </c>
      <c r="G2489" s="2" t="inlineStr">
        <is>
          <t>Редакция литературно-драматических программ ЦТ</t>
        </is>
      </c>
      <c r="H2489" s="2" t="n">
        <v>147</v>
      </c>
      <c r="I2489" s="2" t="inlineStr"/>
      <c r="J2489" s="2" t="inlineStr">
        <is>
          <t>да</t>
        </is>
      </c>
      <c r="K2489" s="3" t="inlineStr">
        <is>
          <t>Артисты московских театров читают новеллу американского писателя Уильяма Фолкнера "Брошь". Использованы фрагменты книги Бориса Грибанова "Фолкнер".</t>
        </is>
      </c>
      <c r="L2489" s="2" t="inlineStr">
        <is>
          <t>https://www.kino-teatr.ru/teatr/movie/89196/annot/</t>
        </is>
      </c>
      <c r="M2489" s="2">
        <f>HYPERLINK("https://ru.wikipedia.org/w/index.php?search=%D0%91%D1%80%D0%BE%D1%88%D1%8C%201988%20%D1%84%D0%B8%D0%BB%D1%8C%D0%BC","искать")</f>
        <v/>
      </c>
      <c r="N2489" s="3" t="n"/>
      <c r="O2489" s="2" t="n"/>
      <c r="P2489" s="2" t="n"/>
    </row>
    <row r="2490">
      <c r="A2490" s="2" t="n">
        <v>2489</v>
      </c>
      <c r="B2490" s="2" t="inlineStr">
        <is>
          <t>не сюжет</t>
        </is>
      </c>
      <c r="C2490" s="2" t="n">
        <v>12637</v>
      </c>
      <c r="D2490" s="3" t="inlineStr">
        <is>
          <t>ГЛУХАЯ ЗАЩИТА ("Фитиль" N 319)</t>
        </is>
      </c>
      <c r="E2490" s="2" t="n">
        <v>1988</v>
      </c>
      <c r="F2490" s="2" t="inlineStr">
        <is>
          <t>мультфильм</t>
        </is>
      </c>
      <c r="G2490" s="2" t="inlineStr">
        <is>
          <t>Союзмультфильм</t>
        </is>
      </c>
      <c r="H2490" s="2" t="n">
        <v>147</v>
      </c>
      <c r="I2490" s="2" t="inlineStr"/>
      <c r="J2490" s="2" t="inlineStr">
        <is>
          <t>да</t>
        </is>
      </c>
      <c r="K2490" s="3" t="inlineStr">
        <is>
          <t>На примере строительства Ростовской АЭС рассматриваются "взаимоотношения" научно-технического прогресса и экологии. Призыв к защите нашего будущего</t>
        </is>
      </c>
      <c r="L2490" s="2" t="inlineStr">
        <is>
          <t>https://gosfilmofond.ru/films/249361/</t>
        </is>
      </c>
      <c r="M2490" s="2">
        <f>HYPERLINK("https://ru.wikipedia.org/w/index.php?search=%D0%93%D0%9B%D0%A3%D0%A5%D0%90%D0%AF%20%D0%97%D0%90%D0%A9%D0%98%D0%A2%D0%90%20%28%22%D0%A4%D0%B8%D1%82%D0%B8%D0%BB%D1%8C%22%20N%20319%29%201988%20%D1%84%D0%B8%D0%BB%D1%8C%D0%BC","искать")</f>
        <v/>
      </c>
      <c r="N2490" s="3" t="n"/>
      <c r="O2490" s="2" t="n"/>
      <c r="P2490" s="2" t="n"/>
    </row>
    <row r="2491">
      <c r="A2491" s="2" t="n">
        <v>2490</v>
      </c>
      <c r="B2491" s="2" t="inlineStr">
        <is>
          <t>не сюжет</t>
        </is>
      </c>
      <c r="C2491" s="2" t="n">
        <v>14462</v>
      </c>
      <c r="D2491" s="3" t="inlineStr">
        <is>
          <t>Ковбои в городе</t>
        </is>
      </c>
      <c r="E2491" s="2" t="n">
        <v>1973</v>
      </c>
      <c r="F2491" s="2" t="inlineStr">
        <is>
          <t>мультфильм</t>
        </is>
      </c>
      <c r="G2491" s="2" t="inlineStr">
        <is>
          <t>Союзмультфильм</t>
        </is>
      </c>
      <c r="H2491" s="2" t="n">
        <v>147</v>
      </c>
      <c r="I2491" s="2" t="inlineStr"/>
      <c r="J2491" s="2" t="inlineStr">
        <is>
          <t>да</t>
        </is>
      </c>
      <c r="K2491" s="3" t="inlineStr">
        <is>
          <t>Научно-популярный фильм в веселой эксцентрической форме, пародирующей ковбойские фильмы, напоминает зрителям о соблюдении правил уличного движения.</t>
        </is>
      </c>
      <c r="L2491" s="2" t="inlineStr">
        <is>
          <t>https://animator.ru/db/?p=show_film&amp;fid=6722</t>
        </is>
      </c>
      <c r="M2491" s="2">
        <f>HYPERLINK("https://ru.wikipedia.org/w/index.php?search=%D0%9A%D0%BE%D0%B2%D0%B1%D0%BE%D0%B8%20%D0%B2%20%D0%B3%D0%BE%D1%80%D0%BE%D0%B4%D0%B5%201973%20%D1%84%D0%B8%D0%BB%D1%8C%D0%BC","искать")</f>
        <v/>
      </c>
      <c r="N2491" s="3" t="n"/>
      <c r="O2491" s="2" t="n"/>
      <c r="P2491" s="2" t="n"/>
    </row>
    <row r="2492">
      <c r="A2492" s="2" t="n">
        <v>2491</v>
      </c>
      <c r="B2492" s="2" t="inlineStr">
        <is>
          <t>не сюжет</t>
        </is>
      </c>
      <c r="C2492" s="2" t="n">
        <v>14473</v>
      </c>
      <c r="D2492" s="3" t="inlineStr">
        <is>
          <t>Чудо без чудес</t>
        </is>
      </c>
      <c r="E2492" s="2" t="n">
        <v>1973</v>
      </c>
      <c r="F2492" s="2" t="inlineStr">
        <is>
          <t>мультфильм</t>
        </is>
      </c>
      <c r="G2492" s="2" t="n"/>
      <c r="H2492" s="2" t="n">
        <v>147</v>
      </c>
      <c r="I2492" s="2" t="inlineStr"/>
      <c r="J2492" s="2" t="inlineStr">
        <is>
          <t>да</t>
        </is>
      </c>
      <c r="K2492" s="3" t="inlineStr">
        <is>
          <t>Фильм в доходчивой форме пропагандирует среди населения добровольное страхование домашнего имущества на случай гибели его от всевозможных бедствий.</t>
        </is>
      </c>
      <c r="L2492" s="2" t="inlineStr">
        <is>
          <t>https://animator.ru/db/?p=show_film&amp;fid=6741</t>
        </is>
      </c>
      <c r="M2492" s="2">
        <f>HYPERLINK("https://ru.wikipedia.org/w/index.php?search=%D0%A7%D1%83%D0%B4%D0%BE%20%D0%B1%D0%B5%D0%B7%20%D1%87%D1%83%D0%B4%D0%B5%D1%81%201973%20%D1%84%D0%B8%D0%BB%D1%8C%D0%BC","искать")</f>
        <v/>
      </c>
      <c r="N2492" s="3" t="n"/>
      <c r="O2492" s="2" t="n"/>
      <c r="P2492" s="2" t="n"/>
    </row>
    <row r="2493">
      <c r="A2493" s="2" t="n">
        <v>2492</v>
      </c>
      <c r="B2493" s="2" t="inlineStr">
        <is>
          <t>не сюжет</t>
        </is>
      </c>
      <c r="C2493" s="2" t="n">
        <v>7395</v>
      </c>
      <c r="D2493" s="3" t="inlineStr">
        <is>
          <t>Всадник, которого ждут</t>
        </is>
      </c>
      <c r="E2493" s="2" t="n">
        <v>1984</v>
      </c>
      <c r="F2493" s="2" t="inlineStr">
        <is>
          <t>телефильм</t>
        </is>
      </c>
      <c r="G2493" s="2" t="n"/>
      <c r="H2493" s="2" t="n">
        <v>148</v>
      </c>
      <c r="I2493" s="2" t="inlineStr"/>
      <c r="J2493" s="2" t="inlineStr">
        <is>
          <t>да</t>
        </is>
      </c>
      <c r="K2493" s="3" t="inlineStr">
        <is>
          <t>Հեծյալը, որին սպասում էին Телефильм. Приключенческо-романтическая история о “честном разбойнике”, заступнике бедных. Действие происходит в XIX веке.</t>
        </is>
      </c>
      <c r="L2493" s="2" t="inlineStr">
        <is>
          <t>Кино_СССР сводный каталог.xlsx: список телефильмов</t>
        </is>
      </c>
      <c r="M2493" s="2">
        <f>HYPERLINK("https://ru.wikipedia.org/w/index.php?search=%D0%92%D1%81%D0%B0%D0%B4%D0%BD%D0%B8%D0%BA%2C%20%D0%BA%D0%BE%D1%82%D0%BE%D1%80%D0%BE%D0%B3%D0%BE%20%D0%B6%D0%B4%D1%83%D1%82%201984%20%D1%84%D0%B8%D0%BB%D1%8C%D0%BC","искать")</f>
        <v/>
      </c>
      <c r="N2493" s="3" t="n"/>
      <c r="O2493" s="2" t="n"/>
      <c r="P2493" s="2" t="n"/>
    </row>
    <row r="2494">
      <c r="A2494" s="2" t="n">
        <v>2493</v>
      </c>
      <c r="B2494" s="2" t="inlineStr">
        <is>
          <t>не сюжет</t>
        </is>
      </c>
      <c r="C2494" s="2" t="n">
        <v>10466</v>
      </c>
      <c r="D2494" s="3" t="inlineStr">
        <is>
          <t>Развод по-нарымски</t>
        </is>
      </c>
      <c r="E2494" s="2" t="n">
        <v>1972</v>
      </c>
      <c r="F2494" s="2" t="inlineStr">
        <is>
          <t>фильм-спектакль</t>
        </is>
      </c>
      <c r="G2494" s="2" t="inlineStr">
        <is>
          <t>ЦТ</t>
        </is>
      </c>
      <c r="H2494" s="2" t="n">
        <v>148</v>
      </c>
      <c r="I2494" s="2" t="inlineStr"/>
      <c r="J2494" s="2" t="inlineStr">
        <is>
          <t>да</t>
        </is>
      </c>
      <c r="K2494" s="3" t="inlineStr">
        <is>
          <t>По одноименному рассказу В.Липатова.
Об участковом уполномоченном Федоре Ивановиче Анискине, который охраняет порядок и законность в родном колхозе.</t>
        </is>
      </c>
      <c r="L2494" s="2" t="inlineStr">
        <is>
          <t>https://www.kino-teatr.ru/teatr/movie/15845/annot/</t>
        </is>
      </c>
      <c r="M2494" s="2">
        <f>HYPERLINK("https://ru.wikipedia.org/w/index.php?search=%D0%A0%D0%B0%D0%B7%D0%B2%D0%BE%D0%B4%20%D0%BF%D0%BE-%D0%BD%D0%B0%D1%80%D1%8B%D0%BC%D1%81%D0%BA%D0%B8%201972%20%D1%84%D0%B8%D0%BB%D1%8C%D0%BC","искать")</f>
        <v/>
      </c>
      <c r="N2494" s="3" t="n"/>
      <c r="O2494" s="2" t="n"/>
      <c r="P2494" s="2" t="n"/>
    </row>
    <row r="2495">
      <c r="A2495" s="2" t="n">
        <v>2494</v>
      </c>
      <c r="B2495" s="2" t="inlineStr">
        <is>
          <t>не сюжет</t>
        </is>
      </c>
      <c r="C2495" s="2" t="n">
        <v>14248</v>
      </c>
      <c r="D2495" s="3" t="inlineStr">
        <is>
          <t>Молния</t>
        </is>
      </c>
      <c r="E2495" s="2" t="n">
        <v>1991</v>
      </c>
      <c r="F2495" s="2" t="inlineStr">
        <is>
          <t>мультфильм</t>
        </is>
      </c>
      <c r="G2495" s="2" t="inlineStr">
        <is>
          <t>ДАУКА (DAUKA)</t>
        </is>
      </c>
      <c r="H2495" s="2" t="n">
        <v>148</v>
      </c>
      <c r="I2495" s="2" t="inlineStr"/>
      <c r="J2495" s="2" t="inlineStr">
        <is>
          <t>да</t>
        </is>
      </c>
      <c r="K2495" s="3" t="inlineStr">
        <is>
          <t>Сюжеты: "Ведьма и корова" ( реж. С.Баумане - дебют), "Краткий курс" (реж. Я.Карклиньш - дебют) . МК анимационных фильмов в Братиславе, 1991 - диплом</t>
        </is>
      </c>
      <c r="L2495" s="2" t="inlineStr">
        <is>
          <t>https://animator.ru/db/?p=show_film&amp;fid=5671</t>
        </is>
      </c>
      <c r="M2495" s="2">
        <f>HYPERLINK("https://ru.wikipedia.org/w/index.php?search=%D0%9C%D0%BE%D0%BB%D0%BD%D0%B8%D1%8F%201991%20%D1%84%D0%B8%D0%BB%D1%8C%D0%BC","искать")</f>
        <v/>
      </c>
      <c r="N2495" s="3" t="n"/>
      <c r="O2495" s="2" t="n"/>
      <c r="P2495" s="2" t="n"/>
    </row>
    <row r="2496">
      <c r="A2496" s="2" t="n">
        <v>2495</v>
      </c>
      <c r="B2496" s="2" t="inlineStr">
        <is>
          <t>не сюжет</t>
        </is>
      </c>
      <c r="C2496" s="2" t="n">
        <v>7838</v>
      </c>
      <c r="D2496" s="3" t="inlineStr">
        <is>
          <t>Майский снег</t>
        </is>
      </c>
      <c r="E2496" s="2" t="n">
        <v>1989</v>
      </c>
      <c r="F2496" s="2" t="inlineStr">
        <is>
          <t>телефильм</t>
        </is>
      </c>
      <c r="G2496" s="2" t="n"/>
      <c r="H2496" s="2" t="n">
        <v>149</v>
      </c>
      <c r="I2496" s="2" t="inlineStr"/>
      <c r="J2496" s="2" t="inlineStr">
        <is>
          <t>да</t>
        </is>
      </c>
      <c r="K2496" s="3" t="inlineStr">
        <is>
          <t>Начало 1960-х. Персонажами фильма являются дети. В этом фильме выражено стремление подростков добиться своих целей, формирование личности, характера.</t>
        </is>
      </c>
      <c r="L2496" s="2" t="inlineStr">
        <is>
          <t>Кино_СССР сводный каталог.xlsx: список телефильмов</t>
        </is>
      </c>
      <c r="M2496" s="2">
        <f>HYPERLINK("https://ru.wikipedia.org/w/index.php?search=%D0%9C%D0%B0%D0%B9%D1%81%D0%BA%D0%B8%D0%B9%20%D1%81%D0%BD%D0%B5%D0%B3%201989%20%D1%84%D0%B8%D0%BB%D1%8C%D0%BC","искать")</f>
        <v/>
      </c>
      <c r="N2496" s="3" t="n"/>
      <c r="O2496" s="2" t="n"/>
      <c r="P2496" s="2" t="n"/>
    </row>
    <row r="2497">
      <c r="A2497" s="2" t="n">
        <v>2496</v>
      </c>
      <c r="B2497" s="2" t="inlineStr">
        <is>
          <t>не сюжет</t>
        </is>
      </c>
      <c r="C2497" s="2" t="n">
        <v>10256</v>
      </c>
      <c r="D2497" s="3" t="inlineStr">
        <is>
          <t>Мы - мужчины</t>
        </is>
      </c>
      <c r="E2497" s="2" t="n">
        <v>1968</v>
      </c>
      <c r="F2497" s="2" t="inlineStr">
        <is>
          <t>фильм-спектакль</t>
        </is>
      </c>
      <c r="G2497" s="2" t="inlineStr">
        <is>
          <t>Центральное ТВ</t>
        </is>
      </c>
      <c r="H2497" s="2" t="n">
        <v>149</v>
      </c>
      <c r="I2497" s="2" t="inlineStr"/>
      <c r="J2497" s="2" t="inlineStr">
        <is>
          <t>да</t>
        </is>
      </c>
      <c r="K2497" s="3" t="inlineStr">
        <is>
          <t>Фильм-спектакль по трем рассказам австралийских писателей Джона Моррисона ("А утро было прекрасно" и "Мы - мужчины") и Ф. Харди ("Мэбел из Бангари").</t>
        </is>
      </c>
      <c r="L2497" s="2" t="inlineStr">
        <is>
          <t>https://www.kino-teatr.ru/teatr/movie/92889/annot/</t>
        </is>
      </c>
      <c r="M2497" s="2">
        <f>HYPERLINK("https://ru.wikipedia.org/w/index.php?search=%D0%9C%D1%8B%20-%20%D0%BC%D1%83%D0%B6%D1%87%D0%B8%D0%BD%D1%8B%201968%20%D1%84%D0%B8%D0%BB%D1%8C%D0%BC","искать")</f>
        <v/>
      </c>
      <c r="N2497" s="3" t="n"/>
      <c r="O2497" s="2" t="n"/>
      <c r="P2497" s="2" t="n"/>
    </row>
    <row r="2498">
      <c r="A2498" s="2" t="n">
        <v>2497</v>
      </c>
      <c r="B2498" s="2" t="inlineStr">
        <is>
          <t>не сюжет</t>
        </is>
      </c>
      <c r="C2498" s="2" t="n">
        <v>11642</v>
      </c>
      <c r="D2498" s="3" t="inlineStr">
        <is>
          <t>Сердце</t>
        </is>
      </c>
      <c r="E2498" s="2" t="n">
        <v>1971</v>
      </c>
      <c r="F2498" s="2" t="inlineStr">
        <is>
          <t>мультфильм</t>
        </is>
      </c>
      <c r="G2498" s="2" t="inlineStr">
        <is>
          <t>Союзмультфильм</t>
        </is>
      </c>
      <c r="H2498" s="2" t="n">
        <v>149</v>
      </c>
      <c r="I2498" s="2" t="inlineStr"/>
      <c r="J2498" s="2" t="inlineStr">
        <is>
          <t>да</t>
        </is>
      </c>
      <c r="K2498" s="3" t="inlineStr">
        <is>
          <t>По заказу Всемирной организации здравоохранения (ВОЗ). О причинах, вызывающих заболевания средца и о профилактике этих опасных болезней. Для взрослых</t>
        </is>
      </c>
      <c r="L2498" s="2" t="inlineStr">
        <is>
          <t>https://animator.ru/db/?p=show_film&amp;fid=2556</t>
        </is>
      </c>
      <c r="M2498" s="2">
        <f>HYPERLINK("https://ru.wikipedia.org/w/index.php?search=%D0%A1%D0%B5%D1%80%D0%B4%D1%86%D0%B5%201971%20%D1%84%D0%B8%D0%BB%D1%8C%D0%BC","искать")</f>
        <v/>
      </c>
      <c r="N2498" s="3" t="n"/>
      <c r="O2498" s="2" t="n"/>
      <c r="P2498" s="2" t="n"/>
    </row>
    <row r="2499">
      <c r="A2499" s="2" t="n">
        <v>2498</v>
      </c>
      <c r="B2499" s="2" t="inlineStr">
        <is>
          <t>не сюжет</t>
        </is>
      </c>
      <c r="C2499" s="2" t="n">
        <v>11791</v>
      </c>
      <c r="D2499" s="3" t="inlineStr">
        <is>
          <t>Будь здоров, зеленый лес!</t>
        </is>
      </c>
      <c r="E2499" s="2" t="n">
        <v>1976</v>
      </c>
      <c r="F2499" s="2" t="inlineStr">
        <is>
          <t>мультфильм</t>
        </is>
      </c>
      <c r="G2499" s="2" t="inlineStr">
        <is>
          <t>Союзмультфильм</t>
        </is>
      </c>
      <c r="H2499" s="2" t="n">
        <v>149</v>
      </c>
      <c r="I2499" s="2" t="inlineStr"/>
      <c r="J2499" s="2" t="inlineStr">
        <is>
          <t>да</t>
        </is>
      </c>
      <c r="K2499" s="3" t="inlineStr">
        <is>
          <t>Современная приключенческая сказка для школьников о выборе профессии, о том, какое это благородное дело - посвятить себя защите природы, охране леса.</t>
        </is>
      </c>
      <c r="L2499" s="2" t="inlineStr">
        <is>
          <t>2026-10_мультфильмы_список_владельца.xlsx; https://animator.ru/db/?p=show_film&amp;fid=2705</t>
        </is>
      </c>
      <c r="M2499" s="2">
        <f>HYPERLINK("https://ru.wikipedia.org/w/index.php?search=%D0%91%D1%83%D0%B4%D1%8C%20%D0%B7%D0%B4%D0%BE%D1%80%D0%BE%D0%B2%2C%20%D0%B7%D0%B5%D0%BB%D0%B5%D0%BD%D1%8B%D0%B9%20%D0%BB%D0%B5%D1%81%21%201976%20%D1%84%D0%B8%D0%BB%D1%8C%D0%BC","искать")</f>
        <v/>
      </c>
      <c r="N2499" s="3" t="n"/>
      <c r="O2499" s="2" t="n"/>
      <c r="P2499" s="2" t="n"/>
    </row>
    <row r="2500">
      <c r="A2500" s="2" t="n">
        <v>2499</v>
      </c>
      <c r="B2500" s="2" t="inlineStr">
        <is>
          <t>не сюжет</t>
        </is>
      </c>
      <c r="C2500" s="2" t="n">
        <v>13055</v>
      </c>
      <c r="D2500" s="3" t="inlineStr">
        <is>
          <t>Мечта</t>
        </is>
      </c>
      <c r="E2500" s="2" t="n">
        <v>1983</v>
      </c>
      <c r="F2500" s="2" t="inlineStr">
        <is>
          <t>мультфильм</t>
        </is>
      </c>
      <c r="G2500" s="2" t="inlineStr">
        <is>
          <t>РИЖСКАЯ КИНОСТУДИЯ</t>
        </is>
      </c>
      <c r="H2500" s="2" t="n">
        <v>149</v>
      </c>
      <c r="I2500" s="2" t="inlineStr"/>
      <c r="J2500" s="2" t="inlineStr">
        <is>
          <t>да</t>
        </is>
      </c>
      <c r="K2500" s="3" t="inlineStr">
        <is>
          <t>XVII ВКФ, Киев 1984 - Диплолм за музыкальное решение. Медаль СК Латвии "Большой Кристап". Го.премия Латв.ССР за программу фильмов режиссеру А.Буровсу</t>
        </is>
      </c>
      <c r="L2500" s="2" t="inlineStr">
        <is>
          <t>https://animator.ru/db/?p=show_film&amp;fid=4287</t>
        </is>
      </c>
      <c r="M2500" s="2">
        <f>HYPERLINK("https://ru.wikipedia.org/w/index.php?search=%D0%9C%D0%B5%D1%87%D1%82%D0%B0%201983%20%D1%84%D0%B8%D0%BB%D1%8C%D0%BC","искать")</f>
        <v/>
      </c>
      <c r="N2500" s="3" t="n"/>
      <c r="O2500" s="2" t="n"/>
      <c r="P2500" s="2" t="n"/>
    </row>
    <row r="2501">
      <c r="A2501" s="2" t="n">
        <v>2500</v>
      </c>
      <c r="B2501" s="2" t="inlineStr">
        <is>
          <t>не сюжет</t>
        </is>
      </c>
      <c r="C2501" s="2" t="n">
        <v>10173</v>
      </c>
      <c r="D2501" s="3" t="inlineStr">
        <is>
          <t>Симфония, рожденная заново</t>
        </is>
      </c>
      <c r="E2501" s="2" t="n">
        <v>1966</v>
      </c>
      <c r="F2501" s="2" t="inlineStr">
        <is>
          <t>фильм-спектакль</t>
        </is>
      </c>
      <c r="G2501" s="2" t="n"/>
      <c r="H2501" s="2" t="n">
        <v>150</v>
      </c>
      <c r="I2501" s="2" t="inlineStr"/>
      <c r="J2501" s="2" t="inlineStr">
        <is>
          <t>да</t>
        </is>
      </c>
      <c r="K2501" s="3" t="inlineStr">
        <is>
          <t>О судьбе русского композитора, прообразом которого послужил Николай Яковлевич Мясковский. Действие телеспектакля охватывает период с 1912 по 1918 г.г.</t>
        </is>
      </c>
      <c r="L2501" s="2" t="inlineStr">
        <is>
          <t>https://www.kino-teatr.ru/teatr/movie/81258/annot/</t>
        </is>
      </c>
      <c r="M2501" s="2">
        <f>HYPERLINK("https://ru.wikipedia.org/w/index.php?search=%D0%A1%D0%B8%D0%BC%D1%84%D0%BE%D0%BD%D0%B8%D1%8F%2C%20%D1%80%D0%BE%D0%B6%D0%B4%D0%B5%D0%BD%D0%BD%D0%B0%D1%8F%20%D0%B7%D0%B0%D0%BD%D0%BE%D0%B2%D0%BE%201966%20%D1%84%D0%B8%D0%BB%D1%8C%D0%BC","искать")</f>
        <v/>
      </c>
      <c r="N2501" s="3" t="n"/>
      <c r="O2501" s="2" t="n"/>
      <c r="P2501" s="2" t="n"/>
    </row>
    <row r="2502">
      <c r="A2502" s="2" t="n">
        <v>2501</v>
      </c>
      <c r="B2502" s="2" t="inlineStr">
        <is>
          <t>не сюжет</t>
        </is>
      </c>
      <c r="C2502" s="2" t="n">
        <v>10276</v>
      </c>
      <c r="D2502" s="3" t="inlineStr">
        <is>
          <t>Тёмные аллеи</t>
        </is>
      </c>
      <c r="E2502" s="2" t="n">
        <v>1968</v>
      </c>
      <c r="F2502" s="2" t="inlineStr">
        <is>
          <t>фильм-спектакль</t>
        </is>
      </c>
      <c r="G2502" s="2" t="inlineStr">
        <is>
          <t>Ленинградская студия телевидения</t>
        </is>
      </c>
      <c r="H2502" s="2" t="n">
        <v>150</v>
      </c>
      <c r="I2502" s="2" t="inlineStr"/>
      <c r="J2502" s="2" t="inlineStr">
        <is>
          <t>да</t>
        </is>
      </c>
      <c r="K2502" s="3" t="inlineStr">
        <is>
          <t>Инсценировки рассказов И. А. Бунина из сборника "Тёмные аллеи": "Темные аллеи", "Мадрид" и "В Париже". В спектакле использована музыка С. Рахманинова.</t>
        </is>
      </c>
      <c r="L2502" s="2" t="inlineStr">
        <is>
          <t>https://www.kino-teatr.ru/teatr/movie/129331/annot/</t>
        </is>
      </c>
      <c r="M2502" s="2">
        <f>HYPERLINK("https://ru.wikipedia.org/w/index.php?search=%D0%A2%D1%91%D0%BC%D0%BD%D1%8B%D0%B5%20%D0%B0%D0%BB%D0%BB%D0%B5%D0%B8%201968%20%D1%84%D0%B8%D0%BB%D1%8C%D0%BC","искать")</f>
        <v/>
      </c>
      <c r="N2502" s="3" t="n"/>
      <c r="O2502" s="2" t="n"/>
      <c r="P2502" s="2" t="n"/>
    </row>
    <row r="2503">
      <c r="A2503" s="2" t="n">
        <v>2502</v>
      </c>
      <c r="B2503" s="2" t="inlineStr">
        <is>
          <t>не сюжет</t>
        </is>
      </c>
      <c r="C2503" s="2" t="n">
        <v>10963</v>
      </c>
      <c r="D2503" s="3" t="inlineStr">
        <is>
          <t>Ретро</t>
        </is>
      </c>
      <c r="E2503" s="2" t="n">
        <v>1982</v>
      </c>
      <c r="F2503" s="2" t="inlineStr">
        <is>
          <t>фильм-спектакль</t>
        </is>
      </c>
      <c r="G2503" s="2" t="inlineStr">
        <is>
          <t>Укртелефильм, Связанные проекты, Ретро, (1984),, (1984)</t>
        </is>
      </c>
      <c r="H2503" s="2" t="n">
        <v>150</v>
      </c>
      <c r="I2503" s="2" t="inlineStr"/>
      <c r="J2503" s="2" t="inlineStr">
        <is>
          <t>да</t>
        </is>
      </c>
      <c r="K2503" s="3" t="inlineStr">
        <is>
          <t>Фильм-спектакль по пьесе Александра Галина "Ретро" (1979) с участием корифеев киевского академического украинского драматического театра им. И.Франко.</t>
        </is>
      </c>
      <c r="L2503" s="2" t="inlineStr">
        <is>
          <t>https://www.kino-teatr.ru/teatr/movie/88229/annot/</t>
        </is>
      </c>
      <c r="M2503" s="2">
        <f>HYPERLINK("https://ru.wikipedia.org/w/index.php?search=%D0%A0%D0%B5%D1%82%D1%80%D0%BE%201982%20%D1%84%D0%B8%D0%BB%D1%8C%D0%BC","искать")</f>
        <v/>
      </c>
      <c r="N2503" s="3" t="n"/>
      <c r="O2503" s="2" t="n"/>
      <c r="P2503" s="2" t="n"/>
    </row>
    <row r="2504">
      <c r="A2504" s="2" t="n">
        <v>2503</v>
      </c>
      <c r="B2504" s="2" t="inlineStr">
        <is>
          <t>не сюжет</t>
        </is>
      </c>
      <c r="C2504" s="2" t="n">
        <v>10407</v>
      </c>
      <c r="D2504" s="3" t="inlineStr">
        <is>
          <t>На всякого мудреца довольно простоты</t>
        </is>
      </c>
      <c r="E2504" s="2" t="n">
        <v>1971</v>
      </c>
      <c r="F2504" s="2" t="inlineStr">
        <is>
          <t>фильм-спектакль</t>
        </is>
      </c>
      <c r="G2504" s="2" t="inlineStr">
        <is>
          <t>ТО Экран, Подборки фильмов, экранизации Островского</t>
        </is>
      </c>
      <c r="H2504" s="2" t="n">
        <v>151</v>
      </c>
      <c r="I2504" s="2" t="inlineStr"/>
      <c r="J2504" s="2" t="inlineStr">
        <is>
          <t>да</t>
        </is>
      </c>
      <c r="K2504" s="3" t="inlineStr">
        <is>
          <t>Телеверсия спектакля Театра имени Вахтангова по одноименной комедии А.Н.Островского (запись 1971 года).
Режиссеры Александра Ремизова, Борис Ниренбург.</t>
        </is>
      </c>
      <c r="L2504" s="2" t="inlineStr">
        <is>
          <t>https://www.kino-teatr.ru/teatr/movie/4152/annot/</t>
        </is>
      </c>
      <c r="M2504" s="2">
        <f>HYPERLINK("https://ru.wikipedia.org/w/index.php?search=%D0%9D%D0%B0%20%D0%B2%D1%81%D1%8F%D0%BA%D0%BE%D0%B3%D0%BE%20%D0%BC%D1%83%D0%B4%D1%80%D0%B5%D1%86%D0%B0%20%D0%B4%D0%BE%D0%B2%D0%BE%D0%BB%D1%8C%D0%BD%D0%BE%20%D0%BF%D1%80%D0%BE%D1%81%D1%82%D0%BE%D1%82%D1%8B%201971%20%D1%84%D0%B8%D0%BB%D1%8C%D0%BC","искать")</f>
        <v/>
      </c>
      <c r="N2504" s="3" t="n"/>
      <c r="O2504" s="2" t="n"/>
      <c r="P2504" s="2" t="n"/>
    </row>
    <row r="2505">
      <c r="A2505" s="2" t="n">
        <v>2504</v>
      </c>
      <c r="B2505" s="2" t="inlineStr">
        <is>
          <t>не сюжет</t>
        </is>
      </c>
      <c r="C2505" s="2" t="n">
        <v>10511</v>
      </c>
      <c r="D2505" s="3" t="inlineStr">
        <is>
          <t>Плотницкие рассказы</t>
        </is>
      </c>
      <c r="E2505" s="2" t="n">
        <v>1973</v>
      </c>
      <c r="F2505" s="2" t="inlineStr">
        <is>
          <t>фильм-спектакль</t>
        </is>
      </c>
      <c r="G2505" s="2" t="inlineStr">
        <is>
          <t>Гл. ред. лит-драм программ Россия</t>
        </is>
      </c>
      <c r="H2505" s="2" t="n">
        <v>151</v>
      </c>
      <c r="I2505" s="2" t="inlineStr"/>
      <c r="J2505" s="2" t="inlineStr">
        <is>
          <t>да</t>
        </is>
      </c>
      <c r="K2505" s="3" t="inlineStr">
        <is>
          <t>По мотивам одноименной повести Василия Белова. В основе телеспектакля - рассказ старого колхозного плотника Смолина о своей жизни и жизни родного села.</t>
        </is>
      </c>
      <c r="L2505" s="2" t="inlineStr">
        <is>
          <t>https://www.kino-teatr.ru/teatr/movie/14270/annot/</t>
        </is>
      </c>
      <c r="M2505" s="2">
        <f>HYPERLINK("https://ru.wikipedia.org/w/index.php?search=%D0%9F%D0%BB%D0%BE%D1%82%D0%BD%D0%B8%D1%86%D0%BA%D0%B8%D0%B5%20%D1%80%D0%B0%D1%81%D1%81%D0%BA%D0%B0%D0%B7%D1%8B%201973%20%D1%84%D0%B8%D0%BB%D1%8C%D0%BC","искать")</f>
        <v/>
      </c>
      <c r="N2505" s="3" t="n"/>
      <c r="O2505" s="2" t="n"/>
      <c r="P2505" s="2" t="n"/>
    </row>
    <row r="2506">
      <c r="A2506" s="2" t="n">
        <v>2505</v>
      </c>
      <c r="B2506" s="2" t="inlineStr">
        <is>
          <t>не сюжет</t>
        </is>
      </c>
      <c r="C2506" s="2" t="n">
        <v>11115</v>
      </c>
      <c r="D2506" s="3" t="inlineStr">
        <is>
          <t>Маленькая королева и другие</t>
        </is>
      </c>
      <c r="E2506" s="2" t="n">
        <v>1986</v>
      </c>
      <c r="F2506" s="2" t="inlineStr">
        <is>
          <t>фильм-спектакль</t>
        </is>
      </c>
      <c r="G2506" s="2" t="inlineStr">
        <is>
          <t>ОРТ</t>
        </is>
      </c>
      <c r="H2506" s="2" t="n">
        <v>151</v>
      </c>
      <c r="I2506" s="2" t="inlineStr"/>
      <c r="J2506" s="2" t="inlineStr">
        <is>
          <t>да</t>
        </is>
      </c>
      <c r="K2506" s="3" t="inlineStr">
        <is>
          <t>Телеспектакль по произведениям С.Я. Маршака (пьеса «Двенадцать месяцев» и стихотворения «Мистер Твистер», «Кот и лодырь», «Дама сдавала в багаж» и др.)</t>
        </is>
      </c>
      <c r="L2506" s="2" t="inlineStr">
        <is>
          <t>https://www.kino-teatr.ru/teatr/movie/3667/annot/</t>
        </is>
      </c>
      <c r="M2506" s="2">
        <f>HYPERLINK("https://ru.wikipedia.org/w/index.php?search=%D0%9C%D0%B0%D0%BB%D0%B5%D0%BD%D1%8C%D0%BA%D0%B0%D1%8F%20%D0%BA%D0%BE%D1%80%D0%BE%D0%BB%D0%B5%D0%B2%D0%B0%20%D0%B8%20%D0%B4%D1%80%D1%83%D0%B3%D0%B8%D0%B5%201986%20%D1%84%D0%B8%D0%BB%D1%8C%D0%BC","искать")</f>
        <v/>
      </c>
      <c r="N2506" s="3" t="n"/>
      <c r="O2506" s="2" t="n"/>
      <c r="P2506" s="2" t="n"/>
    </row>
    <row r="2507">
      <c r="A2507" s="2" t="n">
        <v>2506</v>
      </c>
      <c r="B2507" s="2" t="inlineStr">
        <is>
          <t>не сюжет</t>
        </is>
      </c>
      <c r="C2507" s="2" t="n">
        <v>11211</v>
      </c>
      <c r="D2507" s="3" t="inlineStr">
        <is>
          <t>Красное вино победы</t>
        </is>
      </c>
      <c r="E2507" s="2" t="n">
        <v>1988</v>
      </c>
      <c r="F2507" s="2" t="inlineStr">
        <is>
          <t>фильм-спектакль</t>
        </is>
      </c>
      <c r="G2507" s="2" t="inlineStr">
        <is>
          <t>Главная редакция литературно-драматических программ ЦТ</t>
        </is>
      </c>
      <c r="H2507" s="2" t="n">
        <v>151</v>
      </c>
      <c r="I2507" s="2" t="inlineStr"/>
      <c r="J2507" s="2" t="inlineStr">
        <is>
          <t>да</t>
        </is>
      </c>
      <c r="K2507" s="3" t="inlineStr">
        <is>
          <t>По рассказу Евгения Носова “Красное вино победы”.
Действие происходит в военном госпитале города Серпухов, в последние дни Великой Отечественной войны.</t>
        </is>
      </c>
      <c r="L2507" s="2" t="inlineStr">
        <is>
          <t>https://www.kino-teatr.ru/teatr/movie/3242/annot/</t>
        </is>
      </c>
      <c r="M2507" s="2">
        <f>HYPERLINK("https://ru.wikipedia.org/w/index.php?search=%D0%9A%D1%80%D0%B0%D1%81%D0%BD%D0%BE%D0%B5%20%D0%B2%D0%B8%D0%BD%D0%BE%20%D0%BF%D0%BE%D0%B1%D0%B5%D0%B4%D1%8B%201988%20%D1%84%D0%B8%D0%BB%D1%8C%D0%BC","искать")</f>
        <v/>
      </c>
      <c r="N2507" s="3" t="n"/>
      <c r="O2507" s="2" t="n"/>
      <c r="P2507" s="2" t="n"/>
    </row>
    <row r="2508">
      <c r="A2508" s="2" t="n">
        <v>2507</v>
      </c>
      <c r="B2508" s="2" t="inlineStr">
        <is>
          <t>не сюжет</t>
        </is>
      </c>
      <c r="C2508" s="2" t="n">
        <v>8472</v>
      </c>
      <c r="D2508" s="3" t="inlineStr">
        <is>
          <t>Третье измерение</t>
        </is>
      </c>
      <c r="E2508" s="2" t="n">
        <v>1981</v>
      </c>
      <c r="F2508" s="2" t="inlineStr">
        <is>
          <t>телефильм</t>
        </is>
      </c>
      <c r="G2508" s="2" t="n"/>
      <c r="H2508" s="2" t="n">
        <v>152</v>
      </c>
      <c r="I2508" s="2" t="inlineStr"/>
      <c r="J2508" s="2" t="inlineStr">
        <is>
          <t>да</t>
        </is>
      </c>
      <c r="K2508" s="3" t="inlineStr">
        <is>
          <t>Телесериал по мотивам одноименной повести Леонида Борича. Остросюжетная киноповесть об экипаже атомной подводной лодки Краснознаменного Северного флота.</t>
        </is>
      </c>
      <c r="L2508" s="2" t="inlineStr">
        <is>
          <t>Кино_СССР сводный каталог.xlsx: список телефильмов</t>
        </is>
      </c>
      <c r="M2508" s="2">
        <f>HYPERLINK("https://ru.wikipedia.org/w/index.php?search=%D0%A2%D1%80%D0%B5%D1%82%D1%8C%D0%B5%20%D0%B8%D0%B7%D0%BC%D0%B5%D1%80%D0%B5%D0%BD%D0%B8%D0%B5%201981%20%D1%84%D0%B8%D0%BB%D1%8C%D0%BC","искать")</f>
        <v/>
      </c>
      <c r="N2508" s="3" t="n"/>
      <c r="O2508" s="2" t="n"/>
      <c r="P2508" s="2" t="n"/>
    </row>
    <row r="2509">
      <c r="A2509" s="2" t="n">
        <v>2508</v>
      </c>
      <c r="B2509" s="2" t="inlineStr">
        <is>
          <t>не сюжет</t>
        </is>
      </c>
      <c r="C2509" s="2" t="n">
        <v>8953</v>
      </c>
      <c r="D2509" s="3" t="inlineStr">
        <is>
          <t>Половодье</t>
        </is>
      </c>
      <c r="E2509" s="2" t="n">
        <v>1936</v>
      </c>
      <c r="F2509" s="2" t="inlineStr">
        <is>
          <t>кинофильм</t>
        </is>
      </c>
      <c r="G2509" s="2" t="n"/>
      <c r="H2509" s="2" t="n">
        <v>152</v>
      </c>
      <c r="I2509" s="2" t="inlineStr"/>
      <c r="J2509" s="2" t="inlineStr">
        <is>
          <t>да</t>
        </is>
      </c>
      <c r="K2509" s="3" t="inlineStr">
        <is>
          <t>Индивидуализм ведет к вредительству, а потом и к убийству. Фильм сохранился в ГФФ в беспорядочном монтаже отдельных фрагментов и дублей в трех коробках.</t>
        </is>
      </c>
      <c r="L2509" s="2" t="inlineStr">
        <is>
          <t>Кино_СССР сводный каталог.xlsx: список фильмов (доп.)</t>
        </is>
      </c>
      <c r="M2509" s="2">
        <f>HYPERLINK("https://ru.wikipedia.org/w/index.php?search=%D0%9F%D0%BE%D0%BB%D0%BE%D0%B2%D0%BE%D0%B4%D1%8C%D0%B5%201936%20%D1%84%D0%B8%D0%BB%D1%8C%D0%BC","искать")</f>
        <v/>
      </c>
      <c r="N2509" s="3" t="n"/>
      <c r="O2509" s="2" t="n"/>
      <c r="P2509" s="2" t="n"/>
    </row>
    <row r="2510">
      <c r="A2510" s="2" t="n">
        <v>2509</v>
      </c>
      <c r="B2510" s="2" t="inlineStr">
        <is>
          <t>не сюжет</t>
        </is>
      </c>
      <c r="C2510" s="2" t="n">
        <v>10742</v>
      </c>
      <c r="D2510" s="3" t="inlineStr">
        <is>
          <t>Дядя Ваня</t>
        </is>
      </c>
      <c r="E2510" s="2" t="n">
        <v>1978</v>
      </c>
      <c r="F2510" s="2" t="inlineStr">
        <is>
          <t>фильм-спектакль</t>
        </is>
      </c>
      <c r="G2510" s="2" t="inlineStr">
        <is>
          <t>Телевидение Армении</t>
        </is>
      </c>
      <c r="H2510" s="2" t="n">
        <v>152</v>
      </c>
      <c r="I2510" s="2" t="inlineStr"/>
      <c r="J2510" s="2" t="inlineStr">
        <is>
          <t>да</t>
        </is>
      </c>
      <c r="K2510" s="3" t="inlineStr">
        <is>
          <t>Քեռի Վանյա
Действие происходит в усадьбе первой жены Серебрякова, где он вынужден жить, не имея возможности позволить себе достойную городскую квартиру.</t>
        </is>
      </c>
      <c r="L2510" s="2" t="inlineStr">
        <is>
          <t>https://www.kino-teatr.ru/teatr/movie/119723/annot/</t>
        </is>
      </c>
      <c r="M2510" s="2">
        <f>HYPERLINK("https://ru.wikipedia.org/w/index.php?search=%D0%94%D1%8F%D0%B4%D1%8F%20%D0%92%D0%B0%D0%BD%D1%8F%201978%20%D1%84%D0%B8%D0%BB%D1%8C%D0%BC","искать")</f>
        <v/>
      </c>
      <c r="N2510" s="3" t="n"/>
      <c r="O2510" s="2" t="n"/>
      <c r="P2510" s="2" t="n"/>
    </row>
    <row r="2511">
      <c r="A2511" s="2" t="n">
        <v>2510</v>
      </c>
      <c r="B2511" s="2" t="inlineStr">
        <is>
          <t>не сюжет</t>
        </is>
      </c>
      <c r="C2511" s="2" t="n">
        <v>11504</v>
      </c>
      <c r="D2511" s="3" t="inlineStr">
        <is>
          <t>Веселая карусель n 1. Антошка</t>
        </is>
      </c>
      <c r="E2511" s="2" t="n">
        <v>1969</v>
      </c>
      <c r="F2511" s="2" t="inlineStr">
        <is>
          <t>мультфильм</t>
        </is>
      </c>
      <c r="G2511" s="2" t="inlineStr">
        <is>
          <t>Союзмультфильм</t>
        </is>
      </c>
      <c r="H2511" s="2" t="n">
        <v>152</v>
      </c>
      <c r="I2511" s="2" t="inlineStr"/>
      <c r="J2511" s="2" t="inlineStr">
        <is>
          <t>да</t>
        </is>
      </c>
      <c r="K2511" s="3" t="inlineStr">
        <is>
          <t>Песенка о рыжем-рыжем, конопатом мальчике Антошке. Сюжет в молодежном альманахе "Веселая карусель N 1". Песню исполняет детская хоровая студия "Спутник"</t>
        </is>
      </c>
      <c r="L2511" s="2" t="inlineStr">
        <is>
          <t>https://animator.ru/db/?p=show_film&amp;fid=2275</t>
        </is>
      </c>
      <c r="M2511" s="2">
        <f>HYPERLINK("https://ru.wikipedia.org/w/index.php?search=%D0%92%D0%B5%D1%81%D0%B5%D0%BB%D0%B0%D1%8F%20%D0%BA%D0%B0%D1%80%D1%83%D1%81%D0%B5%D0%BB%D1%8C%20n%201.%20%D0%90%D0%BD%D1%82%D0%BE%D1%88%D0%BA%D0%B0%201969%20%D1%84%D0%B8%D0%BB%D1%8C%D0%BC","искать")</f>
        <v/>
      </c>
      <c r="N2511" s="3" t="n"/>
      <c r="O2511" s="2" t="n"/>
      <c r="P2511" s="2" t="n"/>
    </row>
    <row r="2512">
      <c r="A2512" s="2" t="n">
        <v>2511</v>
      </c>
      <c r="B2512" s="2" t="inlineStr">
        <is>
          <t>не сюжет</t>
        </is>
      </c>
      <c r="C2512" s="2" t="n">
        <v>7214</v>
      </c>
      <c r="D2512" s="3" t="inlineStr">
        <is>
          <t>Анютины глазки и барские ласки</t>
        </is>
      </c>
      <c r="E2512" s="2" t="n">
        <v>1990</v>
      </c>
      <c r="F2512" s="2" t="inlineStr">
        <is>
          <t>телефильм</t>
        </is>
      </c>
      <c r="G2512" s="2" t="n"/>
      <c r="H2512" s="2" t="n">
        <v>153</v>
      </c>
      <c r="I2512" s="2" t="inlineStr"/>
      <c r="J2512" s="2" t="inlineStr">
        <is>
          <t>да</t>
        </is>
      </c>
      <c r="K2512" s="3" t="inlineStr">
        <is>
          <t>Телефильм, водевиль, музыкальная комедия. По мотивам водевиля Д.Ленского "Барская спесь, или Анютины глазки". Балетмейстер Ольга Всеволодская-Голушкевич.</t>
        </is>
      </c>
      <c r="L2512" s="2" t="inlineStr">
        <is>
          <t>Кино_СССР сводный каталог.xlsx: список телефильмов</t>
        </is>
      </c>
      <c r="M2512" s="2">
        <f>HYPERLINK("https://ru.wikipedia.org/w/index.php?search=%D0%90%D0%BD%D1%8E%D1%82%D0%B8%D0%BD%D1%8B%20%D0%B3%D0%BB%D0%B0%D0%B7%D0%BA%D0%B8%20%D0%B8%20%D0%B1%D0%B0%D1%80%D1%81%D0%BA%D0%B8%D0%B5%20%D0%BB%D0%B0%D1%81%D0%BA%D0%B8%201990%20%D1%84%D0%B8%D0%BB%D1%8C%D0%BC","искать")</f>
        <v/>
      </c>
      <c r="N2512" s="3" t="n"/>
      <c r="O2512" s="2" t="n"/>
      <c r="P2512" s="2" t="n"/>
    </row>
    <row r="2513">
      <c r="A2513" s="2" t="n">
        <v>2512</v>
      </c>
      <c r="B2513" s="2" t="inlineStr">
        <is>
          <t>не сюжет</t>
        </is>
      </c>
      <c r="C2513" s="2" t="n">
        <v>7755</v>
      </c>
      <c r="D2513" s="3" t="inlineStr">
        <is>
          <t>Короли и капуста</t>
        </is>
      </c>
      <c r="E2513" s="2" t="n">
        <v>1978</v>
      </c>
      <c r="F2513" s="2" t="inlineStr">
        <is>
          <t>телефильм</t>
        </is>
      </c>
      <c r="G2513" s="2" t="n"/>
      <c r="H2513" s="2" t="n">
        <v>153</v>
      </c>
      <c r="I2513" s="2" t="inlineStr"/>
      <c r="J2513" s="2" t="inlineStr">
        <is>
          <t>да</t>
        </is>
      </c>
      <c r="K2513" s="3" t="inlineStr">
        <is>
          <t>Телефильм по мотивам одноименного романа О.Генри. Действие фильма разворачивается в условной стране "Анчурия", где каждый год выбирают нового президента.</t>
        </is>
      </c>
      <c r="L2513" s="2" t="inlineStr">
        <is>
          <t>Кино_СССР сводный каталог.xlsx: список телефильмов</t>
        </is>
      </c>
      <c r="M2513" s="2">
        <f>HYPERLINK("https://ru.wikipedia.org/w/index.php?search=%D0%9A%D0%BE%D1%80%D0%BE%D0%BB%D0%B8%20%D0%B8%20%D0%BA%D0%B0%D0%BF%D1%83%D1%81%D1%82%D0%B0%201978%20%D1%84%D0%B8%D0%BB%D1%8C%D0%BC","искать")</f>
        <v/>
      </c>
      <c r="N2513" s="3" t="n"/>
      <c r="O2513" s="2" t="n"/>
      <c r="P2513" s="2" t="n"/>
    </row>
    <row r="2514">
      <c r="A2514" s="2" t="n">
        <v>2513</v>
      </c>
      <c r="B2514" s="2" t="inlineStr">
        <is>
          <t>не сюжет</t>
        </is>
      </c>
      <c r="C2514" s="2" t="n">
        <v>8643</v>
      </c>
      <c r="D2514" s="3" t="inlineStr">
        <is>
          <t>В старой Москве</t>
        </is>
      </c>
      <c r="E2514" s="2" t="n">
        <v>1967</v>
      </c>
      <c r="F2514" s="2" t="inlineStr">
        <is>
          <t>кинофильм</t>
        </is>
      </c>
      <c r="G2514" s="2" t="n"/>
      <c r="H2514" s="2" t="n">
        <v>153</v>
      </c>
      <c r="I2514" s="2" t="inlineStr"/>
      <c r="J2514" s="2" t="inlineStr">
        <is>
          <t>да</t>
        </is>
      </c>
      <c r="K2514" s="3" t="inlineStr">
        <is>
          <t>По пьесе Веры Пановой «В старой Москве. Картины» (1940, опубликована 1957), основанной на произведениях А.М.Горького, а также выдержек из газеты "Искра".</t>
        </is>
      </c>
      <c r="L2514" s="2" t="inlineStr">
        <is>
          <t>Кино_СССР сводный каталог.xlsx: список фильмов (доп.)</t>
        </is>
      </c>
      <c r="M2514" s="2">
        <f>HYPERLINK("https://ru.wikipedia.org/w/index.php?search=%D0%92%20%D1%81%D1%82%D0%B0%D1%80%D0%BE%D0%B9%20%D0%9C%D0%BE%D1%81%D0%BA%D0%B2%D0%B5%201967%20%D1%84%D0%B8%D0%BB%D1%8C%D0%BC","искать")</f>
        <v/>
      </c>
      <c r="N2514" s="3" t="n"/>
      <c r="O2514" s="2" t="n"/>
      <c r="P2514" s="2" t="n"/>
    </row>
    <row r="2515">
      <c r="A2515" s="2" t="n">
        <v>2514</v>
      </c>
      <c r="B2515" s="2" t="inlineStr">
        <is>
          <t>не сюжет</t>
        </is>
      </c>
      <c r="C2515" s="2" t="n">
        <v>10513</v>
      </c>
      <c r="D2515" s="3" t="inlineStr">
        <is>
          <t>Пушкинские сказки</t>
        </is>
      </c>
      <c r="E2515" s="2" t="n">
        <v>1973</v>
      </c>
      <c r="F2515" s="2" t="inlineStr">
        <is>
          <t>фильм-спектакль</t>
        </is>
      </c>
      <c r="G2515" s="2" t="inlineStr">
        <is>
          <t>ТО "Экран"</t>
        </is>
      </c>
      <c r="H2515" s="2" t="n">
        <v>153</v>
      </c>
      <c r="I2515" s="2" t="inlineStr"/>
      <c r="J2515" s="2" t="inlineStr">
        <is>
          <t>да</t>
        </is>
      </c>
      <c r="K2515" s="3" t="inlineStr">
        <is>
          <t>Телеверсия сказок А.С.Пушкина "Сказка о рыбкаке и рыбке" и "Сказка о мертвой царевне и семи богатырях" в постановке актеров Центрального детского театра.</t>
        </is>
      </c>
      <c r="L2515" s="2" t="inlineStr">
        <is>
          <t>https://www.kino-teatr.ru/teatr/movie/90306/annot/</t>
        </is>
      </c>
      <c r="M2515" s="2">
        <f>HYPERLINK("https://ru.wikipedia.org/w/index.php?search=%D0%9F%D1%83%D1%88%D0%BA%D0%B8%D0%BD%D1%81%D0%BA%D0%B8%D0%B5%20%D1%81%D0%BA%D0%B0%D0%B7%D0%BA%D0%B8%201973%20%D1%84%D0%B8%D0%BB%D1%8C%D0%BC","искать")</f>
        <v/>
      </c>
      <c r="N2515" s="3" t="n"/>
      <c r="O2515" s="2" t="n"/>
      <c r="P2515" s="2" t="n"/>
    </row>
    <row r="2516">
      <c r="A2516" s="2" t="n">
        <v>2515</v>
      </c>
      <c r="B2516" s="2" t="inlineStr">
        <is>
          <t>не сюжет</t>
        </is>
      </c>
      <c r="C2516" s="2" t="n">
        <v>14460</v>
      </c>
      <c r="D2516" s="3" t="inlineStr">
        <is>
          <t>Дети и спички</t>
        </is>
      </c>
      <c r="E2516" s="2" t="n">
        <v>1969</v>
      </c>
      <c r="F2516" s="2" t="inlineStr">
        <is>
          <t>мультфильм</t>
        </is>
      </c>
      <c r="G2516" s="2" t="inlineStr">
        <is>
          <t>Союзмультфильм</t>
        </is>
      </c>
      <c r="H2516" s="2" t="n">
        <v>153</v>
      </c>
      <c r="I2516" s="2" t="inlineStr"/>
      <c r="J2516" s="2" t="inlineStr">
        <is>
          <t>да</t>
        </is>
      </c>
      <c r="K2516" s="3" t="inlineStr">
        <is>
          <t>Короткометражный, мультипликационный фильм, состоит из трех сюжетов-миниатюр, объединенных общей темой-предупреждение пожаров от детской шалости с огнем.</t>
        </is>
      </c>
      <c r="L2516" s="2" t="inlineStr">
        <is>
          <t>https://animator.ru/db/?p=show_film&amp;fid=6718</t>
        </is>
      </c>
      <c r="M2516" s="2">
        <f>HYPERLINK("https://ru.wikipedia.org/w/index.php?search=%D0%94%D0%B5%D1%82%D0%B8%20%D0%B8%20%D1%81%D0%BF%D0%B8%D1%87%D0%BA%D0%B8%201969%20%D1%84%D0%B8%D0%BB%D1%8C%D0%BC","искать")</f>
        <v/>
      </c>
      <c r="N2516" s="3" t="n"/>
      <c r="O2516" s="2" t="n"/>
      <c r="P2516" s="2" t="n"/>
    </row>
    <row r="2517">
      <c r="A2517" s="2" t="n">
        <v>2516</v>
      </c>
      <c r="B2517" s="2" t="inlineStr">
        <is>
          <t>не сюжет</t>
        </is>
      </c>
      <c r="C2517" s="2" t="n">
        <v>7739</v>
      </c>
      <c r="D2517" s="3" t="inlineStr">
        <is>
          <t>Кодры</t>
        </is>
      </c>
      <c r="E2517" s="2" t="n">
        <v>1990</v>
      </c>
      <c r="F2517" s="2" t="inlineStr">
        <is>
          <t>телефильм</t>
        </is>
      </c>
      <c r="G2517" s="2" t="n"/>
      <c r="H2517" s="2" t="n">
        <v>154</v>
      </c>
      <c r="I2517" s="2" t="inlineStr"/>
      <c r="J2517" s="2" t="inlineStr">
        <is>
          <t>да</t>
        </is>
      </c>
      <c r="K2517" s="3" t="inlineStr">
        <is>
          <t>По мотивам романов Иона Чобану "Кодры", "Мосты" и "Кукоара". Телесериал "Кодры" стал своего рода панорамой жизни молдавского села второй половины ХХ века.</t>
        </is>
      </c>
      <c r="L2517" s="2" t="inlineStr">
        <is>
          <t>Кино_СССР сводный каталог.xlsx: список телефильмов</t>
        </is>
      </c>
      <c r="M2517" s="2">
        <f>HYPERLINK("https://ru.wikipedia.org/w/index.php?search=%D0%9A%D0%BE%D0%B4%D1%80%D1%8B%201990%20%D1%84%D0%B8%D0%BB%D1%8C%D0%BC","искать")</f>
        <v/>
      </c>
      <c r="N2517" s="3" t="n"/>
      <c r="O2517" s="2" t="n"/>
      <c r="P2517" s="2" t="n"/>
    </row>
    <row r="2518">
      <c r="A2518" s="2" t="n">
        <v>2517</v>
      </c>
      <c r="B2518" s="2" t="inlineStr">
        <is>
          <t>не сюжет</t>
        </is>
      </c>
      <c r="C2518" s="2" t="n">
        <v>10046</v>
      </c>
      <c r="D2518" s="3" t="inlineStr">
        <is>
          <t>Зеркало</t>
        </is>
      </c>
      <c r="E2518" s="2" t="n">
        <v>1990</v>
      </c>
      <c r="F2518" s="2" t="inlineStr">
        <is>
          <t>кинофильм</t>
        </is>
      </c>
      <c r="G2518" s="2" t="inlineStr">
        <is>
          <t>"Дебют" (Азербайджанфильм)</t>
        </is>
      </c>
      <c r="H2518" s="2" t="n">
        <v>154</v>
      </c>
      <c r="I2518" s="2" t="inlineStr"/>
      <c r="J2518" s="2" t="inlineStr">
        <is>
          <t>да</t>
        </is>
      </c>
      <c r="K2518" s="3" t="inlineStr">
        <is>
          <t>Фильм, повествует о человеке, прибывшем в город со своими традициями, обычаями за зеркалом и в городской атмосфере теряется его статус деревенского героя.</t>
        </is>
      </c>
      <c r="L2518" s="2" t="inlineStr">
        <is>
          <t>https://www.kino-teatr.ru/short/movie/sov/85388/annot/</t>
        </is>
      </c>
      <c r="M2518" s="2">
        <f>HYPERLINK("https://ru.wikipedia.org/w/index.php?search=%D0%97%D0%B5%D1%80%D0%BA%D0%B0%D0%BB%D0%BE%201990%20%D1%84%D0%B8%D0%BB%D1%8C%D0%BC","искать")</f>
        <v/>
      </c>
      <c r="N2518" s="3" t="n"/>
      <c r="O2518" s="2" t="n"/>
      <c r="P2518" s="2" t="n"/>
    </row>
    <row r="2519">
      <c r="A2519" s="2" t="n">
        <v>2518</v>
      </c>
      <c r="B2519" s="2" t="inlineStr">
        <is>
          <t>не сюжет</t>
        </is>
      </c>
      <c r="C2519" s="2" t="n">
        <v>10340</v>
      </c>
      <c r="D2519" s="3" t="inlineStr">
        <is>
          <t>Финист - Ясный сокол</t>
        </is>
      </c>
      <c r="E2519" s="2" t="n">
        <v>1969</v>
      </c>
      <c r="F2519" s="2" t="inlineStr">
        <is>
          <t>фильм-спектакль</t>
        </is>
      </c>
      <c r="G2519" s="2" t="inlineStr">
        <is>
          <t>Главная редакция литературно-драматических программ</t>
        </is>
      </c>
      <c r="H2519" s="2" t="n">
        <v>154</v>
      </c>
      <c r="I2519" s="2" t="inlineStr"/>
      <c r="J2519" s="2" t="inlineStr">
        <is>
          <t>да</t>
        </is>
      </c>
      <c r="K2519" s="3" t="inlineStr">
        <is>
          <t>Единственная сохранившаяся постановка из передачи "Приход сказки" эта передача выходила в эфир ЦТ до передачи "В гостях у сказки" с Валентиной Леонтьевой.</t>
        </is>
      </c>
      <c r="L2519" s="2" t="inlineStr">
        <is>
          <t>https://www.kino-teatr.ru/teatr/movie/101568/annot/</t>
        </is>
      </c>
      <c r="M2519" s="2">
        <f>HYPERLINK("https://ru.wikipedia.org/w/index.php?search=%D0%A4%D0%B8%D0%BD%D0%B8%D1%81%D1%82%20-%20%D0%AF%D1%81%D0%BD%D1%8B%D0%B9%20%D1%81%D0%BE%D0%BA%D0%BE%D0%BB%201969%20%D1%84%D0%B8%D0%BB%D1%8C%D0%BC","искать")</f>
        <v/>
      </c>
      <c r="N2519" s="3" t="n"/>
      <c r="O2519" s="2" t="n"/>
      <c r="P2519" s="2" t="n"/>
    </row>
    <row r="2520">
      <c r="A2520" s="2" t="n">
        <v>2519</v>
      </c>
      <c r="B2520" s="2" t="inlineStr">
        <is>
          <t>не сюжет</t>
        </is>
      </c>
      <c r="C2520" s="2" t="n">
        <v>10493</v>
      </c>
      <c r="D2520" s="3" t="inlineStr">
        <is>
          <t>Всего несколько слов в честь господина де Мольера</t>
        </is>
      </c>
      <c r="E2520" s="2" t="n">
        <v>1973</v>
      </c>
      <c r="F2520" s="2" t="inlineStr">
        <is>
          <t>фильм-спектакль</t>
        </is>
      </c>
      <c r="G2520" s="2" t="inlineStr">
        <is>
          <t>ЦТ, Главная редакция литературно-драматических программ</t>
        </is>
      </c>
      <c r="H2520" s="2" t="n">
        <v>154</v>
      </c>
      <c r="I2520" s="2" t="inlineStr"/>
      <c r="J2520" s="2" t="inlineStr">
        <is>
          <t>да</t>
        </is>
      </c>
      <c r="K2520" s="3" t="inlineStr">
        <is>
          <t>В спектакле Эфроса эпизоды из жизни Мольера чередуются со сценами из его пьесы, раскрывая трагическую картину противостояния великого драматурга и власти.</t>
        </is>
      </c>
      <c r="L2520" s="2" t="inlineStr">
        <is>
          <t>https://ru.wikipedia.org/w/index.php?title=%D0%92%D1%81%D0%B5%D0%B3%D0%BE_%D0%BD%D0%B5%D1%81%D0%BA%D0%BE%D0%BB%D1%8C%D0%BA%D0%BE_%D1%81%D0%BB%D0%BE%D0%B2_%D0%B2_%D1%87%D0%B5%D1%81%D1%82%D1%8C_%D0%B3%D0%BE%D1%81%D0%BF%D0%BE%D0%B4%D0%B8%D0%BD%D0%B0_%D0%B4%D0%B5_%D0%9C%D0%BE%D0%BB%D1%8C%D0%B5%D1%80%D0%B0&amp;oldid=153943488</t>
        </is>
      </c>
      <c r="M2520" s="2">
        <f>HYPERLINK("https://ru.wikipedia.org/w/index.php?search=%D0%92%D1%81%D0%B5%D0%B3%D0%BE%20%D0%BD%D0%B5%D1%81%D0%BA%D0%BE%D0%BB%D1%8C%D0%BA%D0%BE%20%D1%81%D0%BB%D0%BE%D0%B2%20%D0%B2%20%D1%87%D0%B5%D1%81%D1%82%D1%8C%20%D0%B3%D0%BE%D1%81%D0%BF%D0%BE%D0%B4%D0%B8%D0%BD%D0%B0%20%D0%B4%D0%B5%20%D0%9C%D0%BE%D0%BB%D1%8C%D0%B5%D1%80%D0%B0%201973%20%D1%84%D0%B8%D0%BB%D1%8C%D0%BC","искать")</f>
        <v/>
      </c>
      <c r="N2520" s="3" t="n"/>
      <c r="O2520" s="2" t="n"/>
      <c r="P2520" s="2" t="n"/>
    </row>
    <row r="2521">
      <c r="A2521" s="2" t="n">
        <v>2520</v>
      </c>
      <c r="B2521" s="2" t="inlineStr">
        <is>
          <t>не сюжет</t>
        </is>
      </c>
      <c r="C2521" s="2" t="n">
        <v>10935</v>
      </c>
      <c r="D2521" s="3" t="inlineStr">
        <is>
          <t>Гренада</t>
        </is>
      </c>
      <c r="E2521" s="2" t="n">
        <v>1982</v>
      </c>
      <c r="F2521" s="2" t="inlineStr">
        <is>
          <t>фильм-спектакль</t>
        </is>
      </c>
      <c r="G2521" s="2" t="inlineStr">
        <is>
          <t>Главная редакция литературно-драматических программ ЦТ</t>
        </is>
      </c>
      <c r="H2521" s="2" t="n">
        <v>154</v>
      </c>
      <c r="I2521" s="2" t="inlineStr"/>
      <c r="J2521" s="2" t="inlineStr">
        <is>
          <t>да</t>
        </is>
      </c>
      <c r="K2521" s="3" t="inlineStr">
        <is>
          <t>Драматическая легенда о поэте Михаиле Светлове по сценической композиции А. Ремеза и П. Штейна в постановке Московского театра имени Ленинского комсомола.</t>
        </is>
      </c>
      <c r="L2521" s="2" t="inlineStr">
        <is>
          <t>https://www.kino-teatr.ru/teatr/movie/80785/annot/</t>
        </is>
      </c>
      <c r="M2521" s="2">
        <f>HYPERLINK("https://ru.wikipedia.org/w/index.php?search=%D0%93%D1%80%D0%B5%D0%BD%D0%B0%D0%B4%D0%B0%201982%20%D1%84%D0%B8%D0%BB%D1%8C%D0%BC","искать")</f>
        <v/>
      </c>
      <c r="N2521" s="3" t="n"/>
      <c r="O2521" s="2" t="n"/>
      <c r="P2521" s="2" t="n"/>
    </row>
    <row r="2522">
      <c r="A2522" s="2" t="n">
        <v>2521</v>
      </c>
      <c r="B2522" s="2" t="inlineStr">
        <is>
          <t>не сюжет</t>
        </is>
      </c>
      <c r="C2522" s="2" t="n">
        <v>8366</v>
      </c>
      <c r="D2522" s="3" t="inlineStr">
        <is>
          <t>Снег</t>
        </is>
      </c>
      <c r="E2522" s="2" t="n">
        <v>1982</v>
      </c>
      <c r="F2522" s="2" t="inlineStr">
        <is>
          <t>телефильм</t>
        </is>
      </c>
      <c r="G2522" s="2" t="n"/>
      <c r="H2522" s="2" t="n">
        <v>155</v>
      </c>
      <c r="I2522" s="2" t="inlineStr"/>
      <c r="J2522" s="2" t="inlineStr">
        <is>
          <t>да</t>
        </is>
      </c>
      <c r="K2522" s="3" t="inlineStr">
        <is>
          <t>Дипломная работа Дмитрия Рождественского в Ленинградской консерватории. По мотивам рассказов К.Г.Паустовского. В основе фильма-оперы - музыка Д.А.Прицкера.</t>
        </is>
      </c>
      <c r="L2522" s="2" t="inlineStr">
        <is>
          <t>Кино_СССР сводный каталог.xlsx: список телефильмов</t>
        </is>
      </c>
      <c r="M2522" s="2">
        <f>HYPERLINK("https://ru.wikipedia.org/w/index.php?search=%D0%A1%D0%BD%D0%B5%D0%B3%201982%20%D1%84%D0%B8%D0%BB%D1%8C%D0%BC","искать")</f>
        <v/>
      </c>
      <c r="N2522" s="3" t="n"/>
      <c r="O2522" s="2" t="n"/>
      <c r="P2522" s="2" t="n"/>
    </row>
    <row r="2523">
      <c r="A2523" s="2" t="n">
        <v>2522</v>
      </c>
      <c r="B2523" s="2" t="inlineStr">
        <is>
          <t>не сюжет</t>
        </is>
      </c>
      <c r="C2523" s="2" t="n">
        <v>9548</v>
      </c>
      <c r="D2523" s="3" t="inlineStr">
        <is>
          <t>Перлимплин</t>
        </is>
      </c>
      <c r="E2523" s="2" t="n">
        <v>1991</v>
      </c>
      <c r="F2523" s="2" t="inlineStr">
        <is>
          <t>кинофильм</t>
        </is>
      </c>
      <c r="G2523" s="2" t="n"/>
      <c r="H2523" s="2" t="n">
        <v>155</v>
      </c>
      <c r="I2523" s="2" t="inlineStr"/>
      <c r="J2523" s="2" t="inlineStr">
        <is>
          <t>да</t>
        </is>
      </c>
      <c r="K2523" s="3" t="inlineStr">
        <is>
          <t>Фантазии на тему личного жизненного опыта и пьесы Федерико Гарсиа Лорки "Любовь дона Перлимплина", а также старых классических фильмов и авангардного Дали.</t>
        </is>
      </c>
      <c r="L2523" s="2" t="inlineStr">
        <is>
          <t>Кино_СССР сводный каталог.xlsx: список фильмов (доп.)</t>
        </is>
      </c>
      <c r="M2523" s="2">
        <f>HYPERLINK("https://ru.wikipedia.org/w/index.php?search=%D0%9F%D0%B5%D1%80%D0%BB%D0%B8%D0%BC%D0%BF%D0%BB%D0%B8%D0%BD%201991%20%D1%84%D0%B8%D0%BB%D1%8C%D0%BC","искать")</f>
        <v/>
      </c>
      <c r="N2523" s="3" t="n"/>
      <c r="O2523" s="2" t="n"/>
      <c r="P2523" s="2" t="n"/>
    </row>
    <row r="2524">
      <c r="A2524" s="2" t="n">
        <v>2523</v>
      </c>
      <c r="B2524" s="2" t="inlineStr">
        <is>
          <t>не сюжет</t>
        </is>
      </c>
      <c r="C2524" s="2" t="n">
        <v>9657</v>
      </c>
      <c r="D2524" s="3" t="inlineStr">
        <is>
          <t>Сова</t>
        </is>
      </c>
      <c r="E2524" s="2" t="n">
        <v>1924</v>
      </c>
      <c r="F2524" s="2" t="inlineStr">
        <is>
          <t>кинофильм</t>
        </is>
      </c>
      <c r="G2524" s="2" t="n"/>
      <c r="H2524" s="2" t="n">
        <v>155</v>
      </c>
      <c r="I2524" s="2" t="inlineStr"/>
      <c r="J2524" s="2" t="inlineStr">
        <is>
          <t>да</t>
        </is>
      </c>
      <c r="K2524" s="3" t="inlineStr">
        <is>
          <t>Сюжетом фильма послужила классовая борьба между различными социальными слоями в деревне, жадность некоторых священнослужителей и обманчивой общины в СССР
.</t>
        </is>
      </c>
      <c r="L2524" s="2" t="inlineStr">
        <is>
          <t>https://ru.wikipedia.org/w/index.php?title=%D0%A1%D0%BE%D0%B2%D0%B0_%28%D1%84%D0%B8%D0%BB%D1%8C%D0%BC%2C_1924%29&amp;oldid=149111300</t>
        </is>
      </c>
      <c r="M2524" s="2">
        <f>HYPERLINK("https://ru.wikipedia.org/w/index.php?search=%D0%A1%D0%BE%D0%B2%D0%B0%201924%20%D1%84%D0%B8%D0%BB%D1%8C%D0%BC","искать")</f>
        <v/>
      </c>
      <c r="N2524" s="3" t="n"/>
      <c r="O2524" s="2" t="n"/>
      <c r="P2524" s="2" t="n"/>
    </row>
    <row r="2525">
      <c r="A2525" s="2" t="n">
        <v>2524</v>
      </c>
      <c r="B2525" s="2" t="inlineStr">
        <is>
          <t>не сюжет</t>
        </is>
      </c>
      <c r="C2525" s="2" t="n">
        <v>10231</v>
      </c>
      <c r="D2525" s="3" t="inlineStr">
        <is>
          <t>Бешеные деньги</t>
        </is>
      </c>
      <c r="E2525" s="2" t="n">
        <v>1968</v>
      </c>
      <c r="F2525" s="2" t="inlineStr">
        <is>
          <t>фильм-спектакль</t>
        </is>
      </c>
      <c r="G2525" s="2" t="inlineStr">
        <is>
          <t>Ленинградское ТВ</t>
        </is>
      </c>
      <c r="H2525" s="2" t="n">
        <v>155</v>
      </c>
      <c r="I2525" s="2" t="inlineStr"/>
      <c r="J2525" s="2" t="inlineStr">
        <is>
          <t>да</t>
        </is>
      </c>
      <c r="K2525" s="3" t="inlineStr">
        <is>
          <t>Телевизионная экранизация пьесы А. Н. Островского «Бешеные деньги», созданная самым плодовитым режиссером ленинградского телевидения Александром Белинским.</t>
        </is>
      </c>
      <c r="L2525" s="2" t="inlineStr">
        <is>
          <t>https://www.kino-teatr.ru/teatr/movie/79317/annot/</t>
        </is>
      </c>
      <c r="M2525" s="2">
        <f>HYPERLINK("https://ru.wikipedia.org/w/index.php?search=%D0%91%D0%B5%D1%88%D0%B5%D0%BD%D1%8B%D0%B5%20%D0%B4%D0%B5%D0%BD%D1%8C%D0%B3%D0%B8%201968%20%D1%84%D0%B8%D0%BB%D1%8C%D0%BC","искать")</f>
        <v/>
      </c>
      <c r="N2525" s="3" t="n"/>
      <c r="O2525" s="2" t="n"/>
      <c r="P2525" s="2" t="n"/>
    </row>
    <row r="2526">
      <c r="A2526" s="2" t="n">
        <v>2525</v>
      </c>
      <c r="B2526" s="2" t="inlineStr">
        <is>
          <t>не сюжет</t>
        </is>
      </c>
      <c r="C2526" s="2" t="n">
        <v>10324</v>
      </c>
      <c r="D2526" s="3" t="inlineStr">
        <is>
          <t>Полтава</t>
        </is>
      </c>
      <c r="E2526" s="2" t="n">
        <v>1969</v>
      </c>
      <c r="F2526" s="2" t="inlineStr">
        <is>
          <t>фильм-спектакль</t>
        </is>
      </c>
      <c r="G2526" s="2" t="inlineStr">
        <is>
          <t>Центральное телевидение</t>
        </is>
      </c>
      <c r="H2526" s="2" t="n">
        <v>155</v>
      </c>
      <c r="I2526" s="2" t="inlineStr"/>
      <c r="J2526" s="2" t="inlineStr">
        <is>
          <t>да</t>
        </is>
      </c>
      <c r="K2526" s="3" t="inlineStr">
        <is>
          <t>Литературно-музыкальный спектакль по историческим документам и опере Петра Ильича Чайковского "Мазепа".
Действие происходит на Украине в начале XVIII века.</t>
        </is>
      </c>
      <c r="L2526" s="2" t="inlineStr">
        <is>
          <t>https://www.kino-teatr.ru/teatr/movie/104927/annot/</t>
        </is>
      </c>
      <c r="M2526" s="2">
        <f>HYPERLINK("https://ru.wikipedia.org/w/index.php?search=%D0%9F%D0%BE%D0%BB%D1%82%D0%B0%D0%B2%D0%B0%201969%20%D1%84%D0%B8%D0%BB%D1%8C%D0%BC","искать")</f>
        <v/>
      </c>
      <c r="N2526" s="3" t="n"/>
      <c r="O2526" s="2" t="n"/>
      <c r="P2526" s="2" t="n"/>
    </row>
    <row r="2527">
      <c r="A2527" s="2" t="n">
        <v>2526</v>
      </c>
      <c r="B2527" s="2" t="inlineStr">
        <is>
          <t>не сюжет</t>
        </is>
      </c>
      <c r="C2527" s="2" t="n">
        <v>11126</v>
      </c>
      <c r="D2527" s="3" t="inlineStr">
        <is>
          <t>Потомству верное преданье</t>
        </is>
      </c>
      <c r="E2527" s="2" t="n">
        <v>1986</v>
      </c>
      <c r="F2527" s="2" t="inlineStr">
        <is>
          <t>фильм-спектакль</t>
        </is>
      </c>
      <c r="G2527" s="2" t="inlineStr">
        <is>
          <t>Главная редакция научно-популярных и учебных программ ЦТ</t>
        </is>
      </c>
      <c r="H2527" s="2" t="n">
        <v>155</v>
      </c>
      <c r="I2527" s="2" t="inlineStr"/>
      <c r="J2527" s="2" t="inlineStr">
        <is>
          <t>да</t>
        </is>
      </c>
      <c r="K2527" s="3" t="inlineStr">
        <is>
          <t>В основе фильма-концерта театральные легенды, анекдоты, фрагменты пьес А.Н. Островского "Лес" и А.П. Чехова "Лебединая песня" в исполнении Георгия Буркова.</t>
        </is>
      </c>
      <c r="L2527" s="2" t="inlineStr">
        <is>
          <t>https://www.kino-teatr.ru/teatr/movie/105513/annot/</t>
        </is>
      </c>
      <c r="M2527" s="2">
        <f>HYPERLINK("https://ru.wikipedia.org/w/index.php?search=%D0%9F%D0%BE%D1%82%D0%BE%D0%BC%D1%81%D1%82%D0%B2%D1%83%20%D0%B2%D0%B5%D1%80%D0%BD%D0%BE%D0%B5%20%D0%BF%D1%80%D0%B5%D0%B4%D0%B0%D0%BD%D1%8C%D0%B5%201986%20%D1%84%D0%B8%D0%BB%D1%8C%D0%BC","искать")</f>
        <v/>
      </c>
      <c r="N2527" s="3" t="n"/>
      <c r="O2527" s="2" t="n"/>
      <c r="P2527" s="2" t="n"/>
    </row>
    <row r="2528">
      <c r="A2528" s="2" t="n">
        <v>2527</v>
      </c>
      <c r="B2528" s="2" t="inlineStr">
        <is>
          <t>не сюжет</t>
        </is>
      </c>
      <c r="C2528" s="2" t="n">
        <v>7601</v>
      </c>
      <c r="D2528" s="3" t="inlineStr">
        <is>
          <t>Жизнь Клима Самгина</t>
        </is>
      </c>
      <c r="E2528" s="2" t="n">
        <v>1986</v>
      </c>
      <c r="F2528" s="2" t="inlineStr">
        <is>
          <t>телефильм</t>
        </is>
      </c>
      <c r="G2528" s="2" t="inlineStr">
        <is>
          <t>Ленфильм</t>
        </is>
      </c>
      <c r="H2528" s="2" t="n">
        <v>156</v>
      </c>
      <c r="I2528" s="2" t="inlineStr"/>
      <c r="J2528" s="2" t="inlineStr">
        <is>
          <t>да</t>
        </is>
      </c>
      <c r="K2528" s="3" t="inlineStr">
        <is>
          <t>Телесериал по одноименному роману Максима Горького. Жизнь интеллигента Самгина, показанная на фоне грандиозной панорамы российской жизни с 1877 по 1917 год.</t>
        </is>
      </c>
      <c r="L2528" s="2" t="inlineStr">
        <is>
          <t>Кино_СССР сводный каталог.xlsx: список телефильмов</t>
        </is>
      </c>
      <c r="M2528" s="2">
        <f>HYPERLINK("https://ru.wikipedia.org/w/index.php?search=%D0%96%D0%B8%D0%B7%D0%BD%D1%8C%20%D0%9A%D0%BB%D0%B8%D0%BC%D0%B0%20%D0%A1%D0%B0%D0%BC%D0%B3%D0%B8%D0%BD%D0%B0%201986%20%D1%84%D0%B8%D0%BB%D1%8C%D0%BC","искать")</f>
        <v/>
      </c>
      <c r="N2528" s="3" t="n"/>
      <c r="O2528" s="2" t="n"/>
      <c r="P2528" s="2" t="n"/>
    </row>
    <row r="2529">
      <c r="A2529" s="2" t="n">
        <v>2528</v>
      </c>
      <c r="B2529" s="2" t="inlineStr">
        <is>
          <t>не сюжет</t>
        </is>
      </c>
      <c r="C2529" s="2" t="n">
        <v>9125</v>
      </c>
      <c r="D2529" s="3" t="inlineStr">
        <is>
          <t>Улица Ладычука</t>
        </is>
      </c>
      <c r="E2529" s="2" t="n">
        <v>1962</v>
      </c>
      <c r="F2529" s="2" t="inlineStr">
        <is>
          <t>кинофильм</t>
        </is>
      </c>
      <c r="G2529" s="2" t="n"/>
      <c r="H2529" s="2" t="n">
        <v>156</v>
      </c>
      <c r="I2529" s="2" t="inlineStr"/>
      <c r="J2529" s="2" t="inlineStr">
        <is>
          <t>да</t>
        </is>
      </c>
      <c r="K2529" s="3" t="inlineStr">
        <is>
          <t>Фильм херсонской студии телевидения о  председателе исполкома Херсонского городского Совета А.К.Ладычуке, начальнике штаба херсонского партизанского отряда.</t>
        </is>
      </c>
      <c r="L2529" s="2" t="inlineStr">
        <is>
          <t>Кино_СССР сводный каталог.xlsx: список фильмов (доп.)</t>
        </is>
      </c>
      <c r="M2529" s="2">
        <f>HYPERLINK("https://ru.wikipedia.org/w/index.php?search=%D0%A3%D0%BB%D0%B8%D1%86%D0%B0%20%D0%9B%D0%B0%D0%B4%D1%8B%D1%87%D1%83%D0%BA%D0%B0%201962%20%D1%84%D0%B8%D0%BB%D1%8C%D0%BC","искать")</f>
        <v/>
      </c>
      <c r="N2529" s="3" t="n"/>
      <c r="O2529" s="2" t="n"/>
      <c r="P2529" s="2" t="n"/>
    </row>
    <row r="2530">
      <c r="A2530" s="2" t="n">
        <v>2529</v>
      </c>
      <c r="B2530" s="2" t="inlineStr">
        <is>
          <t>не сюжет</t>
        </is>
      </c>
      <c r="C2530" s="2" t="n">
        <v>11079</v>
      </c>
      <c r="D2530" s="3" t="inlineStr">
        <is>
          <t>Сеанс гипнотизёра</t>
        </is>
      </c>
      <c r="E2530" s="2" t="n">
        <v>1985</v>
      </c>
      <c r="F2530" s="2" t="inlineStr">
        <is>
          <t>фильм-спектакль</t>
        </is>
      </c>
      <c r="G2530" s="2" t="inlineStr">
        <is>
          <t>Главная редакция литературно-драматических программ ЦТ</t>
        </is>
      </c>
      <c r="H2530" s="2" t="n">
        <v>156</v>
      </c>
      <c r="I2530" s="2" t="inlineStr"/>
      <c r="J2530" s="2" t="inlineStr">
        <is>
          <t>да</t>
        </is>
      </c>
      <c r="K2530" s="3" t="inlineStr">
        <is>
          <t>По мотивам юмористических рассказов Леонида Ленча "Сеанс гипнотизера", "Дорогие гости", "Неразборчивый почерк", "Запарка", "Каша", "Свидание", "Живая душа".</t>
        </is>
      </c>
      <c r="L2530" s="2" t="inlineStr">
        <is>
          <t>https://www.kino-teatr.ru/teatr/movie/12121/annot/</t>
        </is>
      </c>
      <c r="M2530" s="2">
        <f>HYPERLINK("https://ru.wikipedia.org/w/index.php?search=%D0%A1%D0%B5%D0%B0%D0%BD%D1%81%20%D0%B3%D0%B8%D0%BF%D0%BD%D0%BE%D1%82%D0%B8%D0%B7%D1%91%D1%80%D0%B0%201985%20%D1%84%D0%B8%D0%BB%D1%8C%D0%BC","искать")</f>
        <v/>
      </c>
      <c r="N2530" s="3" t="n"/>
      <c r="O2530" s="2" t="n"/>
      <c r="P2530" s="2" t="n"/>
    </row>
    <row r="2531">
      <c r="A2531" s="2" t="n">
        <v>2530</v>
      </c>
      <c r="B2531" s="2" t="inlineStr">
        <is>
          <t>не сюжет</t>
        </is>
      </c>
      <c r="C2531" s="2" t="n">
        <v>7236</v>
      </c>
      <c r="D2531" s="3" t="inlineStr">
        <is>
          <t>Барбора Радвилайте</t>
        </is>
      </c>
      <c r="E2531" s="2" t="n">
        <v>1982</v>
      </c>
      <c r="F2531" s="2" t="inlineStr">
        <is>
          <t>телефильм</t>
        </is>
      </c>
      <c r="G2531" s="2" t="n"/>
      <c r="H2531" s="2" t="n">
        <v>157</v>
      </c>
      <c r="I2531" s="2" t="inlineStr"/>
      <c r="J2531" s="2" t="inlineStr">
        <is>
          <t>да</t>
        </is>
      </c>
      <c r="K2531" s="3" t="inlineStr">
        <is>
          <t>Исторический телефильм поставлен по одноимённой драме Ю.Грушаса. Это трагическая история любви короля Польши и Литвы Сигизмунда Августа и Барборы Радвилайте.</t>
        </is>
      </c>
      <c r="L2531" s="2" t="inlineStr">
        <is>
          <t>Кино_СССР сводный каталог.xlsx: список телефильмов</t>
        </is>
      </c>
      <c r="M2531" s="2">
        <f>HYPERLINK("https://ru.wikipedia.org/w/index.php?search=%D0%91%D0%B0%D1%80%D0%B1%D0%BE%D1%80%D0%B0%20%D0%A0%D0%B0%D0%B4%D0%B2%D0%B8%D0%BB%D0%B0%D0%B9%D1%82%D0%B5%201982%20%D1%84%D0%B8%D0%BB%D1%8C%D0%BC","искать")</f>
        <v/>
      </c>
      <c r="N2531" s="3" t="n"/>
      <c r="O2531" s="2" t="n"/>
      <c r="P2531" s="2" t="n"/>
    </row>
    <row r="2532">
      <c r="A2532" s="2" t="n">
        <v>2531</v>
      </c>
      <c r="B2532" s="2" t="inlineStr">
        <is>
          <t>не сюжет</t>
        </is>
      </c>
      <c r="C2532" s="2" t="n">
        <v>9476</v>
      </c>
      <c r="D2532" s="3" t="inlineStr">
        <is>
          <t>Мистификатор</t>
        </is>
      </c>
      <c r="E2532" s="2" t="n">
        <v>1990</v>
      </c>
      <c r="F2532" s="2" t="inlineStr">
        <is>
          <t>кинофильм</t>
        </is>
      </c>
      <c r="G2532" s="2" t="n"/>
      <c r="H2532" s="2" t="n">
        <v>157</v>
      </c>
      <c r="I2532" s="2" t="inlineStr"/>
      <c r="J2532" s="2" t="inlineStr">
        <is>
          <t>да</t>
        </is>
      </c>
      <c r="K2532" s="3" t="inlineStr">
        <is>
          <t>Первая и единственная лента, снятая режиссером в СССР (сам Ян Михайлов уехал вместе с фильмом в Израиль). Объединяет три новеллы о любви, зле и жажде власти.</t>
        </is>
      </c>
      <c r="L2532" s="2" t="inlineStr">
        <is>
          <t>Кино_СССР сводный каталог.xlsx: список фильмов (доп.)</t>
        </is>
      </c>
      <c r="M2532" s="2">
        <f>HYPERLINK("https://ru.wikipedia.org/w/index.php?search=%D0%9C%D0%B8%D1%81%D1%82%D0%B8%D1%84%D0%B8%D0%BA%D0%B0%D1%82%D0%BE%D1%80%201990%20%D1%84%D0%B8%D0%BB%D1%8C%D0%BC","искать")</f>
        <v/>
      </c>
      <c r="N2532" s="3" t="n"/>
      <c r="O2532" s="2" t="n"/>
      <c r="P2532" s="2" t="n"/>
    </row>
    <row r="2533">
      <c r="A2533" s="2" t="n">
        <v>2532</v>
      </c>
      <c r="B2533" s="2" t="inlineStr">
        <is>
          <t>не сюжет</t>
        </is>
      </c>
      <c r="C2533" s="2" t="n">
        <v>10272</v>
      </c>
      <c r="D2533" s="3" t="inlineStr">
        <is>
          <t>Пять миллионов</t>
        </is>
      </c>
      <c r="E2533" s="2" t="n">
        <v>1968</v>
      </c>
      <c r="F2533" s="2" t="inlineStr">
        <is>
          <t>фильм-спектакль</t>
        </is>
      </c>
      <c r="G2533" s="2" t="inlineStr">
        <is>
          <t>Ленинградское телевидение</t>
        </is>
      </c>
      <c r="H2533" s="2" t="n">
        <v>157</v>
      </c>
      <c r="I2533" s="2" t="inlineStr"/>
      <c r="J2533" s="2" t="inlineStr">
        <is>
          <t>да</t>
        </is>
      </c>
      <c r="K2533" s="3" t="inlineStr">
        <is>
          <t>Телеспектакль по "Парижскому сценарию" Ильи Ильфа и Евгения Петрова.
Музыка из произведений Чарли Чаплина.
Действие происходит в маленькой буржуазной стране.</t>
        </is>
      </c>
      <c r="L2533" s="2" t="inlineStr">
        <is>
          <t>https://www.kino-teatr.ru/teatr/movie/122974/annot/</t>
        </is>
      </c>
      <c r="M2533" s="2">
        <f>HYPERLINK("https://ru.wikipedia.org/w/index.php?search=%D0%9F%D1%8F%D1%82%D1%8C%20%D0%BC%D0%B8%D0%BB%D0%BB%D0%B8%D0%BE%D0%BD%D0%BE%D0%B2%201968%20%D1%84%D0%B8%D0%BB%D1%8C%D0%BC","искать")</f>
        <v/>
      </c>
      <c r="N2533" s="3" t="n"/>
      <c r="O2533" s="2" t="n"/>
      <c r="P2533" s="2" t="n"/>
    </row>
    <row r="2534">
      <c r="A2534" s="2" t="n">
        <v>2533</v>
      </c>
      <c r="B2534" s="2" t="inlineStr">
        <is>
          <t>не сюжет</t>
        </is>
      </c>
      <c r="C2534" s="2" t="n">
        <v>7279</v>
      </c>
      <c r="D2534" s="3" t="inlineStr">
        <is>
          <t>Буйная</t>
        </is>
      </c>
      <c r="E2534" s="2" t="n">
        <v>1990</v>
      </c>
      <c r="F2534" s="2" t="inlineStr">
        <is>
          <t>телефильм</t>
        </is>
      </c>
      <c r="G2534" s="2" t="n"/>
      <c r="H2534" s="2" t="n">
        <v>158</v>
      </c>
      <c r="I2534" s="2" t="inlineStr"/>
      <c r="J2534" s="2" t="inlineStr">
        <is>
          <t>да</t>
        </is>
      </c>
      <c r="K2534" s="3" t="inlineStr">
        <is>
          <t>Рассказ о драматической жизни народной художницы Катерины Белокур, принесшей свою любовь в жертву призванию. В фильме используются письма и картины художницы.</t>
        </is>
      </c>
      <c r="L2534" s="2" t="inlineStr">
        <is>
          <t>Кино_СССР сводный каталог.xlsx: список телефильмов</t>
        </is>
      </c>
      <c r="M2534" s="2">
        <f>HYPERLINK("https://ru.wikipedia.org/w/index.php?search=%D0%91%D1%83%D0%B9%D0%BD%D0%B0%D1%8F%201990%20%D1%84%D0%B8%D0%BB%D1%8C%D0%BC","искать")</f>
        <v/>
      </c>
      <c r="N2534" s="3" t="n"/>
      <c r="O2534" s="2" t="n"/>
      <c r="P2534" s="2" t="n"/>
    </row>
    <row r="2535">
      <c r="A2535" s="2" t="n">
        <v>2534</v>
      </c>
      <c r="B2535" s="2" t="inlineStr">
        <is>
          <t>не сюжет</t>
        </is>
      </c>
      <c r="C2535" s="2" t="n">
        <v>9829</v>
      </c>
      <c r="D2535" s="3" t="inlineStr">
        <is>
          <t>Сын</t>
        </is>
      </c>
      <c r="E2535" s="2" t="n">
        <v>1965</v>
      </c>
      <c r="F2535" s="2" t="inlineStr">
        <is>
          <t>кинофильм</t>
        </is>
      </c>
      <c r="G2535" s="2" t="inlineStr">
        <is>
          <t>ВГИК, Связанные проекты, Сыновья уходят в бой, (1969)</t>
        </is>
      </c>
      <c r="H2535" s="2" t="n">
        <v>158</v>
      </c>
      <c r="I2535" s="2" t="inlineStr"/>
      <c r="J2535" s="2" t="inlineStr">
        <is>
          <t>да</t>
        </is>
      </c>
      <c r="K2535" s="3" t="inlineStr">
        <is>
          <t>Фантазия-воспоминание.
«Уходят матери от нас не сразу, нет. Нам только кажется, что сразу. Они уходят медленно и странно Шагами маленькими по ступеням лет...»</t>
        </is>
      </c>
      <c r="L2535" s="2" t="inlineStr">
        <is>
          <t>https://www.kino-teatr.ru/short/movie/sov/9987/annot/</t>
        </is>
      </c>
      <c r="M2535" s="2">
        <f>HYPERLINK("https://ru.wikipedia.org/w/index.php?search=%D0%A1%D1%8B%D0%BD%201965%20%D1%84%D0%B8%D0%BB%D1%8C%D0%BC","искать")</f>
        <v/>
      </c>
      <c r="N2535" s="3" t="n"/>
      <c r="O2535" s="2" t="n"/>
      <c r="P2535" s="2" t="n"/>
    </row>
    <row r="2536">
      <c r="A2536" s="2" t="n">
        <v>2535</v>
      </c>
      <c r="B2536" s="2" t="inlineStr">
        <is>
          <t>не сюжет</t>
        </is>
      </c>
      <c r="C2536" s="2" t="n">
        <v>10385</v>
      </c>
      <c r="D2536" s="3" t="inlineStr">
        <is>
          <t>Дай сердцу волю - заведет в неволю</t>
        </is>
      </c>
      <c r="E2536" s="2" t="n">
        <v>1971</v>
      </c>
      <c r="F2536" s="2" t="inlineStr">
        <is>
          <t>фильм-спектакль</t>
        </is>
      </c>
      <c r="G2536" s="2" t="inlineStr">
        <is>
          <t>Укртелефильм</t>
        </is>
      </c>
      <c r="H2536" s="2" t="n">
        <v>158</v>
      </c>
      <c r="I2536" s="2" t="inlineStr"/>
      <c r="J2536" s="2" t="inlineStr">
        <is>
          <t>да</t>
        </is>
      </c>
      <c r="K2536" s="3" t="inlineStr">
        <is>
          <t>По одноименной пьесе М.Кропивницкого в постановке Тернопольского музыкально-драматического театра им. Т.Г.Шевченко.
Действие происходит на Украине в XIX веке.</t>
        </is>
      </c>
      <c r="L2536" s="2" t="inlineStr">
        <is>
          <t>https://www.kino-teatr.ru/teatr/movie/93005/annot/</t>
        </is>
      </c>
      <c r="M2536" s="2">
        <f>HYPERLINK("https://ru.wikipedia.org/w/index.php?search=%D0%94%D0%B0%D0%B9%20%D1%81%D0%B5%D1%80%D0%B4%D1%86%D1%83%20%D0%B2%D0%BE%D0%BB%D1%8E%20-%20%D0%B7%D0%B0%D0%B2%D0%B5%D0%B4%D0%B5%D1%82%20%D0%B2%20%D0%BD%D0%B5%D0%B2%D0%BE%D0%BB%D1%8E%201971%20%D1%84%D0%B8%D0%BB%D1%8C%D0%BC","искать")</f>
        <v/>
      </c>
      <c r="N2536" s="3" t="n"/>
      <c r="O2536" s="2" t="n"/>
      <c r="P2536" s="2" t="n"/>
    </row>
    <row r="2537">
      <c r="A2537" s="2" t="n">
        <v>2536</v>
      </c>
      <c r="B2537" s="2" t="inlineStr">
        <is>
          <t>не сюжет</t>
        </is>
      </c>
      <c r="C2537" s="2" t="n">
        <v>10454</v>
      </c>
      <c r="D2537" s="3" t="inlineStr">
        <is>
          <t>Мужество жить</t>
        </is>
      </c>
      <c r="E2537" s="2" t="n">
        <v>1972</v>
      </c>
      <c r="F2537" s="2" t="inlineStr">
        <is>
          <t>фильм-спектакль</t>
        </is>
      </c>
      <c r="G2537" s="2" t="inlineStr">
        <is>
          <t>Ленинградское телевидение</t>
        </is>
      </c>
      <c r="H2537" s="2" t="n">
        <v>158</v>
      </c>
      <c r="I2537" s="2" t="inlineStr"/>
      <c r="J2537" s="2" t="inlineStr">
        <is>
          <t>да</t>
        </is>
      </c>
      <c r="K2537" s="3" t="inlineStr">
        <is>
          <t>По документальной повести Б.Костюковского "Земные братья" о трагической судьбе бригадира комсомольской бригады на строительстве Братской ГЭС Бориса Гайнулина.</t>
        </is>
      </c>
      <c r="L2537" s="2" t="inlineStr">
        <is>
          <t>https://www.kino-teatr.ru/teatr/movie/118381/annot/</t>
        </is>
      </c>
      <c r="M2537" s="2">
        <f>HYPERLINK("https://ru.wikipedia.org/w/index.php?search=%D0%9C%D1%83%D0%B6%D0%B5%D1%81%D1%82%D0%B2%D0%BE%20%D0%B6%D0%B8%D1%82%D1%8C%201972%20%D1%84%D0%B8%D0%BB%D1%8C%D0%BC","искать")</f>
        <v/>
      </c>
      <c r="N2537" s="3" t="n"/>
      <c r="O2537" s="2" t="n"/>
      <c r="P2537" s="2" t="n"/>
    </row>
    <row r="2538">
      <c r="A2538" s="2" t="n">
        <v>2537</v>
      </c>
      <c r="B2538" s="2" t="inlineStr">
        <is>
          <t>не сюжет</t>
        </is>
      </c>
      <c r="C2538" s="2" t="n">
        <v>11132</v>
      </c>
      <c r="D2538" s="3" t="inlineStr">
        <is>
          <t>Скажите им правду</t>
        </is>
      </c>
      <c r="E2538" s="2" t="n">
        <v>1986</v>
      </c>
      <c r="F2538" s="2" t="inlineStr">
        <is>
          <t>фильм-спектакль</t>
        </is>
      </c>
      <c r="G2538" s="2" t="inlineStr">
        <is>
          <t>Главная редакция научно-популярных и учебных программ ЦТ</t>
        </is>
      </c>
      <c r="H2538" s="2" t="n">
        <v>158</v>
      </c>
      <c r="I2538" s="2" t="inlineStr"/>
      <c r="J2538" s="2" t="inlineStr">
        <is>
          <t>да</t>
        </is>
      </c>
      <c r="K2538" s="3" t="inlineStr">
        <is>
          <t>Телеспектакль рассказывает о Первом Всероссийском съезде по борьбе с пьянством (1909-1910гг.). Снят с участием зрителей в доме культуры завода "Серп и молот".</t>
        </is>
      </c>
      <c r="L2538" s="2" t="inlineStr">
        <is>
          <t>https://www.kino-teatr.ru/teatr/movie/84413/annot/</t>
        </is>
      </c>
      <c r="M2538" s="2">
        <f>HYPERLINK("https://ru.wikipedia.org/w/index.php?search=%D0%A1%D0%BA%D0%B0%D0%B6%D0%B8%D1%82%D0%B5%20%D0%B8%D0%BC%20%D0%BF%D1%80%D0%B0%D0%B2%D0%B4%D1%83%201986%20%D1%84%D0%B8%D0%BB%D1%8C%D0%BC","искать")</f>
        <v/>
      </c>
      <c r="N2538" s="3" t="n"/>
      <c r="O2538" s="2" t="n"/>
      <c r="P2538" s="2" t="n"/>
    </row>
    <row r="2539">
      <c r="A2539" s="2" t="n">
        <v>2538</v>
      </c>
      <c r="B2539" s="2" t="inlineStr">
        <is>
          <t>не сюжет</t>
        </is>
      </c>
      <c r="C2539" s="2" t="n">
        <v>10113</v>
      </c>
      <c r="D2539" s="3" t="inlineStr">
        <is>
          <t>Павлик Морозов</t>
        </is>
      </c>
      <c r="E2539" s="2" t="n">
        <v>1963</v>
      </c>
      <c r="F2539" s="2" t="inlineStr">
        <is>
          <t>фильм-спектакль</t>
        </is>
      </c>
      <c r="G2539" s="2" t="n"/>
      <c r="H2539" s="2" t="n">
        <v>159</v>
      </c>
      <c r="I2539" s="2" t="inlineStr"/>
      <c r="J2539" s="2" t="inlineStr">
        <is>
          <t>да</t>
        </is>
      </c>
      <c r="K2539" s="3" t="inlineStr">
        <is>
          <t>Фильм снят по одноименной повести А. Яковлева о самом известном пионере тридцатых годов прошлого столетия, который был вписан в историю пионерии под номером 1.</t>
        </is>
      </c>
      <c r="L2539" s="2" t="inlineStr">
        <is>
          <t>https://www.kino-teatr.ru/teatr/movie/82334/annot/</t>
        </is>
      </c>
      <c r="M2539" s="2">
        <f>HYPERLINK("https://ru.wikipedia.org/w/index.php?search=%D0%9F%D0%B0%D0%B2%D0%BB%D0%B8%D0%BA%20%D0%9C%D0%BE%D1%80%D0%BE%D0%B7%D0%BE%D0%B2%201963%20%D1%84%D0%B8%D0%BB%D1%8C%D0%BC","искать")</f>
        <v/>
      </c>
      <c r="N2539" s="3" t="n"/>
      <c r="O2539" s="2" t="n"/>
      <c r="P2539" s="2" t="n"/>
    </row>
    <row r="2540">
      <c r="A2540" s="2" t="n">
        <v>2539</v>
      </c>
      <c r="B2540" s="2" t="inlineStr">
        <is>
          <t>не сюжет</t>
        </is>
      </c>
      <c r="C2540" s="2" t="n">
        <v>10572</v>
      </c>
      <c r="D2540" s="3" t="inlineStr">
        <is>
          <t>Моё поколение</t>
        </is>
      </c>
      <c r="E2540" s="2" t="n">
        <v>1974</v>
      </c>
      <c r="F2540" s="2" t="inlineStr">
        <is>
          <t>фильм-спектакль</t>
        </is>
      </c>
      <c r="G2540" s="2" t="inlineStr">
        <is>
          <t>Главная редакция литературно-драматических программ ЦТ</t>
        </is>
      </c>
      <c r="H2540" s="2" t="n">
        <v>159</v>
      </c>
      <c r="I2540" s="2" t="inlineStr"/>
      <c r="J2540" s="2" t="inlineStr">
        <is>
          <t>да</t>
        </is>
      </c>
      <c r="K2540" s="3" t="inlineStr">
        <is>
          <t>По одноименному роману Бориса Горбатова.
О молодежи, вступившей в ряды комсомола в начале 1920-х годов. Герои фильма - жители маленького городка на юге России.</t>
        </is>
      </c>
      <c r="L2540" s="2" t="inlineStr">
        <is>
          <t>https://www.kino-teatr.ru/teatr/movie/14608/annot/</t>
        </is>
      </c>
      <c r="M2540" s="2">
        <f>HYPERLINK("https://ru.wikipedia.org/w/index.php?search=%D0%9C%D0%BE%D1%91%20%D0%BF%D0%BE%D0%BA%D0%BE%D0%BB%D0%B5%D0%BD%D0%B8%D0%B5%201974%20%D1%84%D0%B8%D0%BB%D1%8C%D0%BC","искать")</f>
        <v/>
      </c>
      <c r="N2540" s="3" t="n"/>
      <c r="O2540" s="2" t="n"/>
      <c r="P2540" s="2" t="n"/>
    </row>
    <row r="2541">
      <c r="A2541" s="2" t="n">
        <v>2540</v>
      </c>
      <c r="B2541" s="2" t="inlineStr">
        <is>
          <t>не сюжет</t>
        </is>
      </c>
      <c r="C2541" s="2" t="n">
        <v>7256</v>
      </c>
      <c r="D2541" s="3" t="inlineStr">
        <is>
          <t>Блуждающие огоньки</t>
        </is>
      </c>
      <c r="E2541" s="2" t="n">
        <v>1979</v>
      </c>
      <c r="F2541" s="2" t="inlineStr">
        <is>
          <t>телефильм</t>
        </is>
      </c>
      <c r="G2541" s="2" t="n"/>
      <c r="H2541" s="2" t="n">
        <v>160</v>
      </c>
      <c r="I2541" s="2" t="inlineStr"/>
      <c r="J2541" s="2" t="inlineStr">
        <is>
          <t>да</t>
        </is>
      </c>
      <c r="K2541" s="3" t="inlineStr">
        <is>
          <t>Телефильм по мотивам сказок Х.-К.Андерсена. В основе сюжета - сказки Андерсена "Девочка, наступившая на хлеб", "Тень", "Золотой мальчик", "Новое платье короля".</t>
        </is>
      </c>
      <c r="L2541" s="2" t="inlineStr">
        <is>
          <t>Кино_СССР сводный каталог.xlsx: список телефильмов</t>
        </is>
      </c>
      <c r="M2541" s="2">
        <f>HYPERLINK("https://ru.wikipedia.org/w/index.php?search=%D0%91%D0%BB%D1%83%D0%B6%D0%B4%D0%B0%D1%8E%D1%89%D0%B8%D0%B5%20%D0%BE%D0%B3%D0%BE%D0%BD%D1%8C%D0%BA%D0%B8%201979%20%D1%84%D0%B8%D0%BB%D1%8C%D0%BC","искать")</f>
        <v/>
      </c>
      <c r="N2541" s="3" t="n"/>
      <c r="O2541" s="2" t="n"/>
      <c r="P2541" s="2" t="n"/>
    </row>
    <row r="2542">
      <c r="A2542" s="2" t="n">
        <v>2541</v>
      </c>
      <c r="B2542" s="2" t="inlineStr">
        <is>
          <t>не сюжет</t>
        </is>
      </c>
      <c r="C2542" s="2" t="n">
        <v>10506</v>
      </c>
      <c r="D2542" s="3" t="inlineStr">
        <is>
          <t>Московские каникулы</t>
        </is>
      </c>
      <c r="E2542" s="2" t="n">
        <v>1973</v>
      </c>
      <c r="F2542" s="2" t="inlineStr">
        <is>
          <t>фильм-спектакль</t>
        </is>
      </c>
      <c r="G2542" s="2" t="inlineStr">
        <is>
          <t>Главная редакция программ для детей и юношества ЦТ</t>
        </is>
      </c>
      <c r="H2542" s="2" t="n">
        <v>160</v>
      </c>
      <c r="I2542" s="2" t="inlineStr"/>
      <c r="J2542" s="2" t="inlineStr">
        <is>
          <t>да</t>
        </is>
      </c>
      <c r="K2542" s="3" t="inlineStr">
        <is>
          <t>Телеспектакль по одноименной пьесе А.Кузнецова в постановке Центрального детского театра.
О старшеклассниках, выборе ими жизненного пути, первой любви и дружбе.</t>
        </is>
      </c>
      <c r="L2542" s="2" t="inlineStr">
        <is>
          <t>https://www.kino-teatr.ru/teatr/movie/79275/annot/</t>
        </is>
      </c>
      <c r="M2542" s="2">
        <f>HYPERLINK("https://ru.wikipedia.org/w/index.php?search=%D0%9C%D0%BE%D1%81%D0%BA%D0%BE%D0%B2%D1%81%D0%BA%D0%B8%D0%B5%20%D0%BA%D0%B0%D0%BD%D0%B8%D0%BA%D1%83%D0%BB%D1%8B%201973%20%D1%84%D0%B8%D0%BB%D1%8C%D0%BC","искать")</f>
        <v/>
      </c>
      <c r="N2542" s="3" t="n"/>
      <c r="O2542" s="2" t="n"/>
      <c r="P2542" s="2" t="n"/>
    </row>
    <row r="2543">
      <c r="A2543" s="2" t="n">
        <v>2542</v>
      </c>
      <c r="B2543" s="2" t="inlineStr">
        <is>
          <t>не сюжет</t>
        </is>
      </c>
      <c r="C2543" s="2" t="n">
        <v>9674</v>
      </c>
      <c r="D2543" s="3" t="inlineStr">
        <is>
          <t>Сто дней до приказа...</t>
        </is>
      </c>
      <c r="E2543" s="2" t="n">
        <v>1990</v>
      </c>
      <c r="F2543" s="2" t="inlineStr">
        <is>
          <t>кинофильм</t>
        </is>
      </c>
      <c r="G2543" s="2" t="n"/>
      <c r="H2543" s="2" t="n">
        <v>161</v>
      </c>
      <c r="I2543" s="2" t="inlineStr"/>
      <c r="J2543" s="2" t="inlineStr">
        <is>
          <t>да</t>
        </is>
      </c>
      <c r="K2543" s="3" t="inlineStr">
        <is>
          <t>Повесть Юрия Полякова, которая легла в основу сценария фильма, одна из первых в отечественной литературе впервые осветившая социальные проблемы армейской службы.</t>
        </is>
      </c>
      <c r="L2543" s="2" t="inlineStr">
        <is>
          <t>Кино_СССР сводный каталог.xlsx: список фильмов (доп.)</t>
        </is>
      </c>
      <c r="M2543" s="2">
        <f>HYPERLINK("https://ru.wikipedia.org/w/index.php?search=%D0%A1%D1%82%D0%BE%20%D0%B4%D0%BD%D0%B5%D0%B9%20%D0%B4%D0%BE%20%D0%BF%D1%80%D0%B8%D0%BA%D0%B0%D0%B7%D0%B0...%201990%20%D1%84%D0%B8%D0%BB%D1%8C%D0%BC","искать")</f>
        <v/>
      </c>
      <c r="N2543" s="3" t="n"/>
      <c r="O2543" s="2" t="n"/>
      <c r="P2543" s="2" t="n"/>
    </row>
    <row r="2544">
      <c r="A2544" s="2" t="n">
        <v>2543</v>
      </c>
      <c r="B2544" s="2" t="inlineStr">
        <is>
          <t>не сюжет</t>
        </is>
      </c>
      <c r="C2544" s="2" t="n">
        <v>9840</v>
      </c>
      <c r="D2544" s="3" t="inlineStr">
        <is>
          <t>Пауза</t>
        </is>
      </c>
      <c r="E2544" s="2" t="n">
        <v>1967</v>
      </c>
      <c r="F2544" s="2" t="inlineStr">
        <is>
          <t>телефильм</t>
        </is>
      </c>
      <c r="G2544" s="2" t="inlineStr">
        <is>
          <t>Центральное ТВ</t>
        </is>
      </c>
      <c r="H2544" s="2" t="n">
        <v>161</v>
      </c>
      <c r="I2544" s="2" t="inlineStr"/>
      <c r="J2544" s="2" t="inlineStr">
        <is>
          <t>да</t>
        </is>
      </c>
      <c r="K2544" s="3" t="inlineStr">
        <is>
          <t>По мотивам "Новогоднего рассказа" Валентина Катаева.
Один из эпизодов в жизни советского разведчика в оккупированном городе во время Великой Отечественной войны.</t>
        </is>
      </c>
      <c r="L2544" s="2" t="inlineStr">
        <is>
          <t>https://www.kino-teatr.ru/short/movie/sov/92781/annot/</t>
        </is>
      </c>
      <c r="M2544" s="2">
        <f>HYPERLINK("https://ru.wikipedia.org/w/index.php?search=%D0%9F%D0%B0%D1%83%D0%B7%D0%B0%201967%20%D1%84%D0%B8%D0%BB%D1%8C%D0%BC","искать")</f>
        <v/>
      </c>
      <c r="N2544" s="3" t="n"/>
      <c r="O2544" s="2" t="n"/>
      <c r="P2544" s="2" t="n"/>
    </row>
    <row r="2545">
      <c r="A2545" s="2" t="n">
        <v>2544</v>
      </c>
      <c r="B2545" s="2" t="inlineStr">
        <is>
          <t>не сюжет</t>
        </is>
      </c>
      <c r="C2545" s="2" t="n">
        <v>10448</v>
      </c>
      <c r="D2545" s="3" t="inlineStr">
        <is>
          <t>Льды уходят в океан</t>
        </is>
      </c>
      <c r="E2545" s="2" t="n">
        <v>1972</v>
      </c>
      <c r="F2545" s="2" t="inlineStr">
        <is>
          <t>фильм-спектакль</t>
        </is>
      </c>
      <c r="G2545" s="2" t="inlineStr">
        <is>
          <t>Главная редакция литературно-драматических программ ЦТ</t>
        </is>
      </c>
      <c r="H2545" s="2" t="n">
        <v>161</v>
      </c>
      <c r="I2545" s="2" t="inlineStr"/>
      <c r="J2545" s="2" t="inlineStr">
        <is>
          <t>да</t>
        </is>
      </c>
      <c r="K2545" s="3" t="inlineStr">
        <is>
          <t>О трудовых буднях бригады докеров. Действие происходит на Крайнем Севере в одном из крупных портовых городов.
По одноименному роману Петра Лебеденко(1966, 1971).</t>
        </is>
      </c>
      <c r="L2545" s="2" t="inlineStr">
        <is>
          <t>https://www.kino-teatr.ru/teatr/movie/37786/annot/</t>
        </is>
      </c>
      <c r="M2545" s="2">
        <f>HYPERLINK("https://ru.wikipedia.org/w/index.php?search=%D0%9B%D1%8C%D0%B4%D1%8B%20%D1%83%D1%85%D0%BE%D0%B4%D1%8F%D1%82%20%D0%B2%20%D0%BE%D0%BA%D0%B5%D0%B0%D0%BD%201972%20%D1%84%D0%B8%D0%BB%D1%8C%D0%BC","искать")</f>
        <v/>
      </c>
      <c r="N2545" s="3" t="n"/>
      <c r="O2545" s="2" t="n"/>
      <c r="P2545" s="2" t="n"/>
    </row>
    <row r="2546">
      <c r="A2546" s="2" t="n">
        <v>2545</v>
      </c>
      <c r="B2546" s="2" t="inlineStr">
        <is>
          <t>не сюжет</t>
        </is>
      </c>
      <c r="C2546" s="2" t="n">
        <v>12416</v>
      </c>
      <c r="D2546" s="3" t="inlineStr">
        <is>
          <t>Каменный век</t>
        </is>
      </c>
      <c r="E2546" s="2" t="n">
        <v>1987</v>
      </c>
      <c r="F2546" s="2" t="inlineStr">
        <is>
          <t>мультфильм</t>
        </is>
      </c>
      <c r="G2546" s="2" t="inlineStr">
        <is>
          <t>КИЕВНАУЧФИЛЬМ</t>
        </is>
      </c>
      <c r="H2546" s="2" t="n">
        <v>161</v>
      </c>
      <c r="I2546" s="2" t="inlineStr"/>
      <c r="J2546" s="2" t="inlineStr">
        <is>
          <t>да</t>
        </is>
      </c>
      <c r="K2546" s="3" t="inlineStr">
        <is>
          <t>Далекое прошлое... Люди только-только начинают превращаться в самих себя из обезьян. А житейские проблемы уже тогда поражают своей современностью...Для взрослых.</t>
        </is>
      </c>
      <c r="L2546" s="2" t="inlineStr">
        <is>
          <t>2026-10_мультфильмы_список_владельца.xlsx; https://animator.ru/db/?p=show_film&amp;fid=3587</t>
        </is>
      </c>
      <c r="M2546" s="2">
        <f>HYPERLINK("https://ru.wikipedia.org/w/index.php?search=%D0%9A%D0%B0%D0%BC%D0%B5%D0%BD%D0%BD%D1%8B%D0%B9%20%D0%B2%D0%B5%D0%BA%201987%20%D1%84%D0%B8%D0%BB%D1%8C%D0%BC","искать")</f>
        <v/>
      </c>
      <c r="N2546" s="3" t="n"/>
      <c r="O2546" s="2" t="n"/>
      <c r="P2546" s="2" t="n"/>
    </row>
    <row r="2547">
      <c r="A2547" s="2" t="n">
        <v>2546</v>
      </c>
      <c r="B2547" s="2" t="inlineStr">
        <is>
          <t>не сюжет</t>
        </is>
      </c>
      <c r="C2547" s="2" t="n">
        <v>11470</v>
      </c>
      <c r="D2547" s="3" t="inlineStr">
        <is>
          <t>25-е, первый день</t>
        </is>
      </c>
      <c r="E2547" s="2" t="n">
        <v>1968</v>
      </c>
      <c r="F2547" s="2" t="inlineStr">
        <is>
          <t>мультфильм</t>
        </is>
      </c>
      <c r="G2547" s="2" t="inlineStr">
        <is>
          <t>Союзмультфильм</t>
        </is>
      </c>
      <c r="H2547" s="2" t="n">
        <v>162</v>
      </c>
      <c r="I2547" s="2" t="inlineStr"/>
      <c r="J2547" s="2" t="inlineStr">
        <is>
          <t>да</t>
        </is>
      </c>
      <c r="K2547" s="3" t="inlineStr">
        <is>
          <t>Для взрослых. Фильм-плакат к 60-летию Октябрьской революции. В фильме использованы мотивы работ художников 20-х годов - Лентулова, Альтмана, Петрова-Водкина и др.</t>
        </is>
      </c>
      <c r="L2547" s="2" t="inlineStr">
        <is>
          <t>https://animator.ru/db/?p=show_film&amp;fid=2241</t>
        </is>
      </c>
      <c r="M2547" s="2">
        <f>HYPERLINK("https://ru.wikipedia.org/w/index.php?search=25-%D0%B5%2C%20%D0%BF%D0%B5%D1%80%D0%B2%D1%8B%D0%B9%20%D0%B4%D0%B5%D0%BD%D1%8C%201968%20%D1%84%D0%B8%D0%BB%D1%8C%D0%BC","искать")</f>
        <v/>
      </c>
      <c r="N2547" s="3" t="n"/>
      <c r="O2547" s="2" t="n"/>
      <c r="P2547" s="2" t="n"/>
    </row>
    <row r="2548">
      <c r="A2548" s="2" t="n">
        <v>2547</v>
      </c>
      <c r="B2548" s="2" t="inlineStr">
        <is>
          <t>не сюжет</t>
        </is>
      </c>
      <c r="C2548" s="2" t="n">
        <v>12267</v>
      </c>
      <c r="D2548" s="3" t="inlineStr">
        <is>
          <t>Веселая карусель n 20. Барашек</t>
        </is>
      </c>
      <c r="E2548" s="2" t="n">
        <v>1990</v>
      </c>
      <c r="F2548" s="2" t="inlineStr">
        <is>
          <t>мультфильм</t>
        </is>
      </c>
      <c r="G2548" s="2" t="inlineStr">
        <is>
          <t>Союзмультфильм</t>
        </is>
      </c>
      <c r="H2548" s="2" t="n">
        <v>162</v>
      </c>
      <c r="I2548" s="2" t="inlineStr"/>
      <c r="J2548" s="2" t="inlineStr">
        <is>
          <t>да</t>
        </is>
      </c>
      <c r="K2548" s="3" t="inlineStr">
        <is>
          <t>Сюжет из альманаха «ВЕСЕЛАЯ КАРУСЕЛЬ N 20»
Общая длина выпуска 267 м. Операторы выпуска А.Чеховский, Н.Михайлова, звукооператор - В.Кутузов, редактор - Н.Абрамова</t>
        </is>
      </c>
      <c r="L2548" s="2" t="inlineStr">
        <is>
          <t>https://animator.ru/db/?p=show_film&amp;fid=3384</t>
        </is>
      </c>
      <c r="M2548" s="2">
        <f>HYPERLINK("https://ru.wikipedia.org/w/index.php?search=%D0%92%D0%B5%D1%81%D0%B5%D0%BB%D0%B0%D1%8F%20%D0%BA%D0%B0%D1%80%D1%83%D1%81%D0%B5%D0%BB%D1%8C%20n%2020.%20%D0%91%D0%B0%D1%80%D0%B0%D1%88%D0%B5%D0%BA%201990%20%D1%84%D0%B8%D0%BB%D1%8C%D0%BC","искать")</f>
        <v/>
      </c>
      <c r="N2548" s="3" t="n"/>
      <c r="O2548" s="2" t="n"/>
      <c r="P2548" s="2" t="n"/>
    </row>
    <row r="2549">
      <c r="A2549" s="2" t="n">
        <v>2548</v>
      </c>
      <c r="B2549" s="2" t="inlineStr">
        <is>
          <t>не сюжет</t>
        </is>
      </c>
      <c r="C2549" s="2" t="n">
        <v>7890</v>
      </c>
      <c r="D2549" s="3" t="inlineStr">
        <is>
          <t>Мой генерал</t>
        </is>
      </c>
      <c r="E2549" s="2" t="n">
        <v>1979</v>
      </c>
      <c r="F2549" s="2" t="inlineStr">
        <is>
          <t>телефильм</t>
        </is>
      </c>
      <c r="G2549" s="2" t="inlineStr">
        <is>
          <t>к/с им. Довженко</t>
        </is>
      </c>
      <c r="H2549" s="2" t="n">
        <v>163</v>
      </c>
      <c r="I2549" s="2" t="inlineStr"/>
      <c r="J2549" s="2" t="inlineStr">
        <is>
          <t>да</t>
        </is>
      </c>
      <c r="K2549" s="3" t="inlineStr">
        <is>
          <t>По прозе Альберта Лиханова. Телефильм о большой дружбе двенадцатилетнего Антона со своим дедом-генералом, который оказал решающее влияние на его духовное развитие.</t>
        </is>
      </c>
      <c r="L2549" s="2" t="inlineStr">
        <is>
          <t>Кино_СССР сводный каталог.xlsx: список телефильмов</t>
        </is>
      </c>
      <c r="M2549" s="2">
        <f>HYPERLINK("https://ru.wikipedia.org/w/index.php?search=%D0%9C%D0%BE%D0%B9%20%D0%B3%D0%B5%D0%BD%D0%B5%D1%80%D0%B0%D0%BB%201979%20%D1%84%D0%B8%D0%BB%D1%8C%D0%BC","искать")</f>
        <v/>
      </c>
      <c r="N2549" s="3" t="n"/>
      <c r="O2549" s="2" t="n"/>
      <c r="P2549" s="2" t="n"/>
    </row>
    <row r="2550">
      <c r="A2550" s="2" t="n">
        <v>2549</v>
      </c>
      <c r="B2550" s="2" t="inlineStr">
        <is>
          <t>не сюжет</t>
        </is>
      </c>
      <c r="C2550" s="2" t="n">
        <v>11302</v>
      </c>
      <c r="D2550" s="3" t="inlineStr">
        <is>
          <t>...И аз воздам</t>
        </is>
      </c>
      <c r="E2550" s="2" t="n">
        <v>1990</v>
      </c>
      <c r="F2550" s="2" t="inlineStr">
        <is>
          <t>фильм-спектакль</t>
        </is>
      </c>
      <c r="G2550" s="2" t="n"/>
      <c r="H2550" s="2" t="n">
        <v>163</v>
      </c>
      <c r="I2550" s="2" t="inlineStr"/>
      <c r="J2550" s="2" t="inlineStr">
        <is>
          <t>да</t>
        </is>
      </c>
      <c r="K2550" s="3" t="inlineStr">
        <is>
          <t>По одноименной пьесе С.Кузнецова в постановке Государственного академического Малого театра Союза ССР. О последних днях жизни русского царя Николая II и его семьи.</t>
        </is>
      </c>
      <c r="L2550" s="2" t="inlineStr">
        <is>
          <t>https://www.kino-teatr.ru/teatr/movie/82046/annot/</t>
        </is>
      </c>
      <c r="M2550" s="2">
        <f>HYPERLINK("https://ru.wikipedia.org/w/index.php?search=...%D0%98%20%D0%B0%D0%B7%20%D0%B2%D0%BE%D0%B7%D0%B4%D0%B0%D0%BC%201990%20%D1%84%D0%B8%D0%BB%D1%8C%D0%BC","искать")</f>
        <v/>
      </c>
      <c r="N2550" s="3" t="n"/>
      <c r="O2550" s="2" t="n"/>
      <c r="P2550" s="2" t="n"/>
    </row>
    <row r="2551">
      <c r="A2551" s="2" t="n">
        <v>2550</v>
      </c>
      <c r="B2551" s="2" t="inlineStr">
        <is>
          <t>не сюжет</t>
        </is>
      </c>
      <c r="C2551" s="2" t="n">
        <v>14302</v>
      </c>
      <c r="D2551" s="3" t="inlineStr">
        <is>
          <t>Лифт 3</t>
        </is>
      </c>
      <c r="E2551" s="2" t="n">
        <v>1991</v>
      </c>
      <c r="F2551" s="2" t="inlineStr">
        <is>
          <t>мультфильм</t>
        </is>
      </c>
      <c r="G2551" s="2" t="inlineStr">
        <is>
          <t>Пилот, ВИДЕОФИЛЬМ - дистрибюторская компания</t>
        </is>
      </c>
      <c r="H2551" s="2" t="n">
        <v>163</v>
      </c>
      <c r="I2551" s="2" t="inlineStr"/>
      <c r="J2551" s="2" t="inlineStr">
        <is>
          <t>да</t>
        </is>
      </c>
      <c r="K2551" s="3" t="inlineStr">
        <is>
          <t>Комический, пародический, музыкальный взгляд на нашу жизнь из ее подвала на чердак. Это своеобразное путешествие сквозь различные "этажи" нашего общества и истории</t>
        </is>
      </c>
      <c r="L2551" s="2" t="inlineStr">
        <is>
          <t>https://gosfilmofond.ru/films/256005/</t>
        </is>
      </c>
      <c r="M2551" s="2">
        <f>HYPERLINK("https://ru.wikipedia.org/w/index.php?search=%D0%9B%D0%B8%D1%84%D1%82%203%201991%20%D1%84%D0%B8%D0%BB%D1%8C%D0%BC","искать")</f>
        <v/>
      </c>
      <c r="N2551" s="3" t="n"/>
      <c r="O2551" s="2" t="n"/>
      <c r="P2551" s="2" t="n"/>
    </row>
    <row r="2552">
      <c r="A2552" s="2" t="n">
        <v>2551</v>
      </c>
      <c r="B2552" s="2" t="inlineStr">
        <is>
          <t>не сюжет</t>
        </is>
      </c>
      <c r="C2552" s="2" t="n">
        <v>14331</v>
      </c>
      <c r="D2552" s="3" t="inlineStr">
        <is>
          <t>Кнопка</t>
        </is>
      </c>
      <c r="E2552" s="2" t="n">
        <v>1988</v>
      </c>
      <c r="F2552" s="2" t="inlineStr">
        <is>
          <t>мультфильм</t>
        </is>
      </c>
      <c r="G2552" s="2" t="inlineStr">
        <is>
          <t>АРМЕНФИЛЬМ</t>
        </is>
      </c>
      <c r="H2552" s="2" t="n">
        <v>163</v>
      </c>
      <c r="I2552" s="2" t="inlineStr"/>
      <c r="J2552" s="2" t="inlineStr">
        <is>
          <t>да</t>
        </is>
      </c>
      <c r="K2552" s="3" t="inlineStr">
        <is>
          <t>Философский, политический мультфильм о смутном и тоскливом "перестроечном" периоде, событиях, настроениях, атмосфере, предшествующих августовскому путчу 1991 года.</t>
        </is>
      </c>
      <c r="L2552" s="2" t="inlineStr">
        <is>
          <t>2026-10_мультфильмы_список_владельца.xlsx; https://animator.ru/db/?p=show_film&amp;fid=5887</t>
        </is>
      </c>
      <c r="M2552" s="2">
        <f>HYPERLINK("https://ru.wikipedia.org/w/index.php?search=%D0%9A%D0%BD%D0%BE%D0%BF%D0%BA%D0%B0%201988%20%D1%84%D0%B8%D0%BB%D1%8C%D0%BC","искать")</f>
        <v/>
      </c>
      <c r="N2552" s="3" t="n"/>
      <c r="O2552" s="2" t="n"/>
      <c r="P2552" s="2" t="n"/>
    </row>
    <row r="2553">
      <c r="A2553" s="2" t="n">
        <v>2552</v>
      </c>
      <c r="B2553" s="2" t="inlineStr">
        <is>
          <t>не сюжет</t>
        </is>
      </c>
      <c r="C2553" s="2" t="n">
        <v>10954</v>
      </c>
      <c r="D2553" s="3" t="inlineStr">
        <is>
          <t>Поверю и пойду</t>
        </is>
      </c>
      <c r="E2553" s="2" t="n">
        <v>1982</v>
      </c>
      <c r="F2553" s="2" t="inlineStr">
        <is>
          <t>фильм-спектакль</t>
        </is>
      </c>
      <c r="G2553" s="2" t="inlineStr">
        <is>
          <t>Главная редакция литературно-драматических программ ЦТ</t>
        </is>
      </c>
      <c r="H2553" s="2" t="n">
        <v>164</v>
      </c>
      <c r="I2553" s="2" t="inlineStr"/>
      <c r="J2553" s="2" t="inlineStr">
        <is>
          <t>да</t>
        </is>
      </c>
      <c r="K2553" s="3" t="inlineStr">
        <is>
          <t>По одноименной пьесе Романа Солнцева в постановке Московского драматического театра имени К.С. Станиславского.
В центре повествования - рабочая династия Колупаевых.</t>
        </is>
      </c>
      <c r="L2553" s="2" t="inlineStr">
        <is>
          <t>https://www.kino-teatr.ru/teatr/movie/17233/annot/</t>
        </is>
      </c>
      <c r="M2553" s="2">
        <f>HYPERLINK("https://ru.wikipedia.org/w/index.php?search=%D0%9F%D0%BE%D0%B2%D0%B5%D1%80%D1%8E%20%D0%B8%20%D0%BF%D0%BE%D0%B9%D0%B4%D1%83%201982%20%D1%84%D0%B8%D0%BB%D1%8C%D0%BC","искать")</f>
        <v/>
      </c>
      <c r="N2553" s="3" t="n"/>
      <c r="O2553" s="2" t="n"/>
      <c r="P2553" s="2" t="n"/>
    </row>
    <row r="2554">
      <c r="A2554" s="2" t="n">
        <v>2553</v>
      </c>
      <c r="B2554" s="2" t="inlineStr">
        <is>
          <t>не сюжет</t>
        </is>
      </c>
      <c r="C2554" s="2" t="n">
        <v>7541</v>
      </c>
      <c r="D2554" s="3" t="inlineStr">
        <is>
          <t>Дом строится</t>
        </is>
      </c>
      <c r="E2554" s="2" t="n">
        <v>1978</v>
      </c>
      <c r="F2554" s="2" t="inlineStr">
        <is>
          <t>телефильм</t>
        </is>
      </c>
      <c r="G2554" s="2" t="inlineStr">
        <is>
          <t>Ленфильм</t>
        </is>
      </c>
      <c r="H2554" s="2" t="n">
        <v>165</v>
      </c>
      <c r="I2554" s="2" t="inlineStr"/>
      <c r="J2554" s="2" t="inlineStr">
        <is>
          <t>да</t>
        </is>
      </c>
      <c r="K2554" s="3" t="inlineStr">
        <is>
          <t>По мотивам повести А.Иванова "Дом строится". В основе сюжета конфликт, возникший в архитектурном проектном институте. В фильме использована музыка Сильвиуса Л.Вайса.</t>
        </is>
      </c>
      <c r="L2554" s="2" t="inlineStr">
        <is>
          <t>Кино_СССР сводный каталог.xlsx: список телефильмов</t>
        </is>
      </c>
      <c r="M2554" s="2">
        <f>HYPERLINK("https://ru.wikipedia.org/w/index.php?search=%D0%94%D0%BE%D0%BC%20%D1%81%D1%82%D1%80%D0%BE%D0%B8%D1%82%D1%81%D1%8F%201978%20%D1%84%D0%B8%D0%BB%D1%8C%D0%BC","искать")</f>
        <v/>
      </c>
      <c r="N2554" s="3" t="n"/>
      <c r="O2554" s="2" t="n"/>
      <c r="P2554" s="2" t="n"/>
    </row>
    <row r="2555">
      <c r="A2555" s="2" t="n">
        <v>2554</v>
      </c>
      <c r="B2555" s="2" t="inlineStr">
        <is>
          <t>не сюжет</t>
        </is>
      </c>
      <c r="C2555" s="2" t="n">
        <v>10105</v>
      </c>
      <c r="D2555" s="3" t="inlineStr">
        <is>
          <t>Бабушкин роман</t>
        </is>
      </c>
      <c r="E2555" s="2" t="n">
        <v>1963</v>
      </c>
      <c r="F2555" s="2" t="inlineStr">
        <is>
          <t>фильм-спектакль</t>
        </is>
      </c>
      <c r="G2555" s="2" t="inlineStr">
        <is>
          <t>Центральное телевидение</t>
        </is>
      </c>
      <c r="H2555" s="2" t="n">
        <v>165</v>
      </c>
      <c r="I2555" s="2" t="inlineStr"/>
      <c r="J2555" s="2" t="inlineStr">
        <is>
          <t>да</t>
        </is>
      </c>
      <c r="K2555" s="3" t="inlineStr">
        <is>
          <t>Комедия А.Эннекена и А.Мийо на музыку Ф.Эрве.
В 1886 году в этой пьесе под названием "Лили" играл К.С.Станиславский.
В спектакле заняты актеры театра им. Вахтангова.</t>
        </is>
      </c>
      <c r="L2555" s="2" t="inlineStr">
        <is>
          <t>https://www.kino-teatr.ru/teatr/movie/136217/annot/</t>
        </is>
      </c>
      <c r="M2555" s="2">
        <f>HYPERLINK("https://ru.wikipedia.org/w/index.php?search=%D0%91%D0%B0%D0%B1%D1%83%D1%88%D0%BA%D0%B8%D0%BD%20%D1%80%D0%BE%D0%BC%D0%B0%D0%BD%201963%20%D1%84%D0%B8%D0%BB%D1%8C%D0%BC","искать")</f>
        <v/>
      </c>
      <c r="N2555" s="3" t="n"/>
      <c r="O2555" s="2" t="n"/>
      <c r="P2555" s="2" t="n"/>
    </row>
    <row r="2556">
      <c r="A2556" s="2" t="n">
        <v>2555</v>
      </c>
      <c r="B2556" s="2" t="inlineStr">
        <is>
          <t>не сюжет</t>
        </is>
      </c>
      <c r="C2556" s="2" t="n">
        <v>10403</v>
      </c>
      <c r="D2556" s="3" t="inlineStr">
        <is>
          <t>Маленькие трагедии</t>
        </is>
      </c>
      <c r="E2556" s="2" t="n">
        <v>1971</v>
      </c>
      <c r="F2556" s="2" t="inlineStr">
        <is>
          <t>фильм-спектакль</t>
        </is>
      </c>
      <c r="G2556" s="2" t="inlineStr">
        <is>
          <t>Творческое объединение "Экран"</t>
        </is>
      </c>
      <c r="H2556" s="2" t="n">
        <v>165</v>
      </c>
      <c r="I2556" s="2" t="inlineStr"/>
      <c r="J2556" s="2" t="inlineStr">
        <is>
          <t>да</t>
        </is>
      </c>
      <c r="K2556" s="3" t="inlineStr">
        <is>
          <t>Телеспектакль по пьесам А.С. Пушкина "Скупой рыцарь", "Моцарт и Сальери" в постановке Ленинградского государственного академического театра драмы имени А.С. Пушкина.</t>
        </is>
      </c>
      <c r="L2556" s="2" t="inlineStr">
        <is>
          <t>https://www.kino-teatr.ru/teatr/movie/111079/annot/</t>
        </is>
      </c>
      <c r="M2556" s="2">
        <f>HYPERLINK("https://ru.wikipedia.org/w/index.php?search=%D0%9C%D0%B0%D0%BB%D0%B5%D0%BD%D1%8C%D0%BA%D0%B8%D0%B5%20%D1%82%D1%80%D0%B0%D0%B3%D0%B5%D0%B4%D0%B8%D0%B8%201971%20%D1%84%D0%B8%D0%BB%D1%8C%D0%BC","искать")</f>
        <v/>
      </c>
      <c r="N2556" s="3" t="n"/>
      <c r="O2556" s="2" t="n"/>
      <c r="P2556" s="2" t="n"/>
    </row>
    <row r="2557">
      <c r="A2557" s="2" t="n">
        <v>2556</v>
      </c>
      <c r="B2557" s="2" t="inlineStr">
        <is>
          <t>не сюжет</t>
        </is>
      </c>
      <c r="C2557" s="2" t="n">
        <v>10719</v>
      </c>
      <c r="D2557" s="3" t="inlineStr">
        <is>
          <t>Урте</t>
        </is>
      </c>
      <c r="E2557" s="2" t="n">
        <v>1977</v>
      </c>
      <c r="F2557" s="2" t="inlineStr">
        <is>
          <t>фильм-спектакль</t>
        </is>
      </c>
      <c r="G2557" s="2" t="inlineStr">
        <is>
          <t>Литовское телевидение</t>
        </is>
      </c>
      <c r="H2557" s="2" t="n">
        <v>165</v>
      </c>
      <c r="I2557" s="2" t="inlineStr"/>
      <c r="J2557" s="2" t="inlineStr">
        <is>
          <t>да</t>
        </is>
      </c>
      <c r="K2557" s="3" t="inlineStr">
        <is>
          <t>По мотивам романа литовской писательницы Евы Симонайтите "Судьба Шимонисов".
В спектакле рассказывается о судьбе одного из членов крестьянской семьи - Урте Шимоните.</t>
        </is>
      </c>
      <c r="L2557" s="2" t="inlineStr">
        <is>
          <t>https://www.kino-teatr.ru/teatr/movie/105703/annot/</t>
        </is>
      </c>
      <c r="M2557" s="2">
        <f>HYPERLINK("https://ru.wikipedia.org/w/index.php?search=%D0%A3%D1%80%D1%82%D0%B5%201977%20%D1%84%D0%B8%D0%BB%D1%8C%D0%BC","искать")</f>
        <v/>
      </c>
      <c r="N2557" s="3" t="n"/>
      <c r="O2557" s="2" t="n"/>
      <c r="P2557" s="2" t="n"/>
    </row>
    <row r="2558">
      <c r="A2558" s="2" t="n">
        <v>2557</v>
      </c>
      <c r="B2558" s="2" t="inlineStr">
        <is>
          <t>не сюжет</t>
        </is>
      </c>
      <c r="C2558" s="2" t="n">
        <v>11133</v>
      </c>
      <c r="D2558" s="3" t="inlineStr">
        <is>
          <t>Снежная королева</t>
        </is>
      </c>
      <c r="E2558" s="2" t="n">
        <v>1986</v>
      </c>
      <c r="F2558" s="2" t="inlineStr">
        <is>
          <t>фильм-спектакль</t>
        </is>
      </c>
      <c r="G2558" s="2" t="inlineStr">
        <is>
          <t>Эстонское телевидение (ETV)</t>
        </is>
      </c>
      <c r="H2558" s="2" t="n">
        <v>165</v>
      </c>
      <c r="I2558" s="2" t="inlineStr"/>
      <c r="J2558" s="2" t="inlineStr">
        <is>
          <t>да</t>
        </is>
      </c>
      <c r="K2558" s="3" t="inlineStr">
        <is>
          <t>Спектакль поставлен по одноименной пьесе советского драматурга Евгения Шварца (во основе пьесы сюжет известной сказки датского сказочника Ганса Христиана Андерсена).</t>
        </is>
      </c>
      <c r="L2558" s="2" t="inlineStr">
        <is>
          <t>https://www.kino-teatr.ru/teatr/movie/86347/annot/</t>
        </is>
      </c>
      <c r="M2558" s="2">
        <f>HYPERLINK("https://ru.wikipedia.org/w/index.php?search=%D0%A1%D0%BD%D0%B5%D0%B6%D0%BD%D0%B0%D1%8F%20%D0%BA%D0%BE%D1%80%D0%BE%D0%BB%D0%B5%D0%B2%D0%B0%201986%20%D1%84%D0%B8%D0%BB%D1%8C%D0%BC","искать")</f>
        <v/>
      </c>
      <c r="N2558" s="3" t="n"/>
      <c r="O2558" s="2" t="n"/>
      <c r="P2558" s="2" t="n"/>
    </row>
    <row r="2559">
      <c r="A2559" s="2" t="n">
        <v>2558</v>
      </c>
      <c r="B2559" s="2" t="inlineStr">
        <is>
          <t>не сюжет</t>
        </is>
      </c>
      <c r="C2559" s="2" t="n">
        <v>11259</v>
      </c>
      <c r="D2559" s="3" t="inlineStr">
        <is>
          <t>Игра в детектив. Выпуск 3</t>
        </is>
      </c>
      <c r="E2559" s="2" t="n">
        <v>1989</v>
      </c>
      <c r="F2559" s="2" t="inlineStr">
        <is>
          <t>фильм-спектакль</t>
        </is>
      </c>
      <c r="G2559" s="2" t="inlineStr">
        <is>
          <t>Главная редакция литературно-драматических программ ЦТ</t>
        </is>
      </c>
      <c r="H2559" s="2" t="n">
        <v>165</v>
      </c>
      <c r="I2559" s="2" t="inlineStr"/>
      <c r="J2559" s="2" t="inlineStr">
        <is>
          <t>да</t>
        </is>
      </c>
      <c r="K2559" s="3" t="inlineStr">
        <is>
          <t>Третий выпуск из цикла "Игра в детектив". Одна из новелл телеспектакля - "Убийство актрисы" построена на основе спектакля "Гамлет" в постановке Театра на Юго-Западе.</t>
        </is>
      </c>
      <c r="L2559" s="2" t="inlineStr">
        <is>
          <t>https://www.kino-teatr.ru/teatr/movie/149276/annot/</t>
        </is>
      </c>
      <c r="M2559" s="2">
        <f>HYPERLINK("https://ru.wikipedia.org/w/index.php?search=%D0%98%D0%B3%D1%80%D0%B0%20%D0%B2%20%D0%B4%D0%B5%D1%82%D0%B5%D0%BA%D1%82%D0%B8%D0%B2.%20%D0%92%D1%8B%D0%BF%D1%83%D1%81%D0%BA%203%201989%20%D1%84%D0%B8%D0%BB%D1%8C%D0%BC","искать")</f>
        <v/>
      </c>
      <c r="N2559" s="3" t="n"/>
      <c r="O2559" s="2" t="n"/>
      <c r="P2559" s="2" t="n"/>
    </row>
    <row r="2560">
      <c r="A2560" s="2" t="n">
        <v>2559</v>
      </c>
      <c r="B2560" s="2" t="inlineStr">
        <is>
          <t>не сюжет</t>
        </is>
      </c>
      <c r="C2560" s="2" t="n">
        <v>9801</v>
      </c>
      <c r="D2560" s="3" t="inlineStr">
        <is>
          <t>Молодость, выпуск 5-й (киноальманах) (1981, 1983)</t>
        </is>
      </c>
      <c r="E2560" s="2" t="n">
        <v>1981</v>
      </c>
      <c r="F2560" s="2" t="inlineStr">
        <is>
          <t>кинофильм</t>
        </is>
      </c>
      <c r="G2560" s="2" t="inlineStr">
        <is>
          <t>Мосфильм</t>
        </is>
      </c>
      <c r="H2560" s="2" t="n">
        <v>166</v>
      </c>
      <c r="I2560" s="2" t="inlineStr"/>
      <c r="J2560" s="2" t="inlineStr">
        <is>
          <t>да</t>
        </is>
      </c>
      <c r="K2560" s="3" t="inlineStr">
        <is>
          <t>Киноальманах состоит из трех короткометражных фильмов: "Визит", реж. Евгений Герасимов; "Полоса везения", реж. Семен Морозов; "Золотые рыбки", реж. Александр Майоров.</t>
        </is>
      </c>
      <c r="L2560" s="2" t="inlineStr">
        <is>
          <t>https://www.kino-teatr.ru/kino/movie/sov/5374/annot/</t>
        </is>
      </c>
      <c r="M2560" s="2">
        <f>HYPERLINK("https://ru.wikipedia.org/w/index.php?search=%D0%9C%D0%BE%D0%BB%D0%BE%D0%B4%D0%BE%D1%81%D1%82%D1%8C%2C%20%D0%B2%D1%8B%D0%BF%D1%83%D1%81%D0%BA%205-%D0%B9%20%28%D0%BA%D0%B8%D0%BD%D0%BE%D0%B0%D0%BB%D1%8C%D0%BC%D0%B0%D0%BD%D0%B0%D1%85%29%20%281981%2C%201983%29%201981%20%D1%84%D0%B8%D0%BB%D1%8C%D0%BC","искать")</f>
        <v/>
      </c>
      <c r="N2560" s="3" t="n"/>
      <c r="O2560" s="2" t="n"/>
      <c r="P2560" s="2" t="n"/>
    </row>
    <row r="2561">
      <c r="A2561" s="2" t="n">
        <v>2560</v>
      </c>
      <c r="B2561" s="2" t="inlineStr">
        <is>
          <t>не сюжет</t>
        </is>
      </c>
      <c r="C2561" s="2" t="n">
        <v>10039</v>
      </c>
      <c r="D2561" s="3" t="inlineStr">
        <is>
          <t>Круг</t>
        </is>
      </c>
      <c r="E2561" s="2" t="n">
        <v>1989</v>
      </c>
      <c r="F2561" s="2" t="inlineStr">
        <is>
          <t>кинофильм</t>
        </is>
      </c>
      <c r="G2561" s="2" t="inlineStr">
        <is>
          <t>Азербайджанфильм</t>
        </is>
      </c>
      <c r="H2561" s="2" t="n">
        <v>166</v>
      </c>
      <c r="I2561" s="2" t="inlineStr"/>
      <c r="J2561" s="2" t="inlineStr">
        <is>
          <t>да</t>
        </is>
      </c>
      <c r="K2561" s="3" t="inlineStr">
        <is>
          <t>Курсовая работа режиссера Зии Шихлинского (мастерская Александра Митты).
Фильм рассказывает о воздействии на одну семью политических событий 1989 года в Азербайджане.</t>
        </is>
      </c>
      <c r="L2561" s="2" t="inlineStr">
        <is>
          <t>https://www.kino-teatr.ru/short/movie/sov/85402/annot/</t>
        </is>
      </c>
      <c r="M2561" s="2">
        <f>HYPERLINK("https://ru.wikipedia.org/w/index.php?search=%D0%9A%D1%80%D1%83%D0%B3%201989%20%D1%84%D0%B8%D0%BB%D1%8C%D0%BC","искать")</f>
        <v/>
      </c>
      <c r="N2561" s="3" t="n"/>
      <c r="O2561" s="2" t="n"/>
      <c r="P2561" s="2" t="n"/>
    </row>
    <row r="2562">
      <c r="A2562" s="2" t="n">
        <v>2561</v>
      </c>
      <c r="B2562" s="2" t="inlineStr">
        <is>
          <t>не сюжет</t>
        </is>
      </c>
      <c r="C2562" s="2" t="n">
        <v>12988</v>
      </c>
      <c r="D2562" s="3" t="inlineStr">
        <is>
          <t>Почему у ласточки хвостик рожками</t>
        </is>
      </c>
      <c r="E2562" s="2" t="n">
        <v>1967</v>
      </c>
      <c r="F2562" s="2" t="inlineStr">
        <is>
          <t>мультфильм</t>
        </is>
      </c>
      <c r="G2562" s="2" t="inlineStr">
        <is>
          <t>КАЗАХФИЛЬМ</t>
        </is>
      </c>
      <c r="H2562" s="2" t="n">
        <v>166</v>
      </c>
      <c r="I2562" s="2" t="inlineStr"/>
      <c r="J2562" s="2" t="inlineStr">
        <is>
          <t>да</t>
        </is>
      </c>
      <c r="K2562" s="3" t="inlineStr">
        <is>
          <t>По мотивам казахской сказки.
Первый казахский анимационный фильм.
III Нью-Йоркский фестиваль анимационных фильмов, 1974 -- Бронзовая медаль по разделу детских фильмов</t>
        </is>
      </c>
      <c r="L2562" s="2" t="inlineStr">
        <is>
          <t>https://animator.ru/db/?p=show_film&amp;fid=4220</t>
        </is>
      </c>
      <c r="M2562" s="2">
        <f>HYPERLINK("https://ru.wikipedia.org/w/index.php?search=%D0%9F%D0%BE%D1%87%D0%B5%D0%BC%D1%83%20%D1%83%20%D0%BB%D0%B0%D1%81%D1%82%D0%BE%D1%87%D0%BA%D0%B8%20%D1%85%D0%B2%D0%BE%D1%81%D1%82%D0%B8%D0%BA%20%D1%80%D0%BE%D0%B6%D0%BA%D0%B0%D0%BC%D0%B8%201967%20%D1%84%D0%B8%D0%BB%D1%8C%D0%BC","искать")</f>
        <v/>
      </c>
      <c r="N2562" s="3" t="n"/>
      <c r="O2562" s="2" t="n"/>
      <c r="P2562" s="2" t="n"/>
    </row>
    <row r="2563">
      <c r="A2563" s="2" t="n">
        <v>2562</v>
      </c>
      <c r="B2563" s="2" t="inlineStr">
        <is>
          <t>не сюжет</t>
        </is>
      </c>
      <c r="C2563" s="2" t="n">
        <v>14466</v>
      </c>
      <c r="D2563" s="3" t="inlineStr">
        <is>
          <t>На юг на юг</t>
        </is>
      </c>
      <c r="E2563" s="2" t="n">
        <v>1973</v>
      </c>
      <c r="F2563" s="2" t="inlineStr">
        <is>
          <t>мультфильм</t>
        </is>
      </c>
      <c r="G2563" s="2" t="n"/>
      <c r="H2563" s="2" t="n">
        <v>166</v>
      </c>
      <c r="I2563" s="2" t="inlineStr"/>
      <c r="J2563" s="2" t="inlineStr">
        <is>
          <t>да</t>
        </is>
      </c>
      <c r="K2563" s="3" t="inlineStr">
        <is>
          <t>Пропагандирует правила дорожного движения, наглядно показывает, что стремление водителей автотранспорта вводит несоответствующие ГОСТу технические усовершенствования.</t>
        </is>
      </c>
      <c r="L2563" s="2" t="inlineStr">
        <is>
          <t>https://animator.ru/db/?p=show_film&amp;fid=6730</t>
        </is>
      </c>
      <c r="M2563" s="2">
        <f>HYPERLINK("https://ru.wikipedia.org/w/index.php?search=%D0%9D%D0%B0%20%D1%8E%D0%B3%20%D0%BD%D0%B0%20%D1%8E%D0%B3%201973%20%D1%84%D0%B8%D0%BB%D1%8C%D0%BC","искать")</f>
        <v/>
      </c>
      <c r="N2563" s="3" t="n"/>
      <c r="O2563" s="2" t="n"/>
      <c r="P2563" s="2" t="n"/>
    </row>
    <row r="2564">
      <c r="A2564" s="2" t="n">
        <v>2563</v>
      </c>
      <c r="B2564" s="2" t="inlineStr">
        <is>
          <t>не сюжет</t>
        </is>
      </c>
      <c r="C2564" s="2" t="n">
        <v>9036</v>
      </c>
      <c r="D2564" s="3" t="inlineStr">
        <is>
          <t>Сельские финансисты</t>
        </is>
      </c>
      <c r="E2564" s="2" t="n">
        <v>1990</v>
      </c>
      <c r="F2564" s="2" t="inlineStr">
        <is>
          <t>кинофильм</t>
        </is>
      </c>
      <c r="G2564" s="2" t="n"/>
      <c r="H2564" s="2" t="n">
        <v>167</v>
      </c>
      <c r="I2564" s="2" t="inlineStr"/>
      <c r="J2564" s="2" t="inlineStr">
        <is>
          <t>да</t>
        </is>
      </c>
      <c r="K2564" s="3" t="inlineStr">
        <is>
          <t>В рекламном фильме три новеллы: "Кто о настоящем, кто о будущем", "Кубышка" и "Коровки", объединённые слоганом - "Труженики села, Сберегательный банк к Вашим услугам!"</t>
        </is>
      </c>
      <c r="L2564" s="2" t="inlineStr">
        <is>
          <t>Кино_СССР сводный каталог.xlsx: список фильмов (доп.)</t>
        </is>
      </c>
      <c r="M2564" s="2">
        <f>HYPERLINK("https://ru.wikipedia.org/w/index.php?search=%D0%A1%D0%B5%D0%BB%D1%8C%D1%81%D0%BA%D0%B8%D0%B5%20%D1%84%D0%B8%D0%BD%D0%B0%D0%BD%D1%81%D0%B8%D1%81%D1%82%D1%8B%201990%20%D1%84%D0%B8%D0%BB%D1%8C%D0%BC","искать")</f>
        <v/>
      </c>
      <c r="N2564" s="3" t="n"/>
      <c r="O2564" s="2" t="n"/>
      <c r="P2564" s="2" t="n"/>
    </row>
    <row r="2565">
      <c r="A2565" s="2" t="n">
        <v>2564</v>
      </c>
      <c r="B2565" s="2" t="inlineStr">
        <is>
          <t>не сюжет</t>
        </is>
      </c>
      <c r="C2565" s="2" t="n">
        <v>8567</v>
      </c>
      <c r="D2565" s="3" t="inlineStr">
        <is>
          <t>Чудак</t>
        </is>
      </c>
      <c r="E2565" s="2" t="n">
        <v>1979</v>
      </c>
      <c r="F2565" s="2" t="inlineStr">
        <is>
          <t>телефильм</t>
        </is>
      </c>
      <c r="G2565" s="2" t="n"/>
      <c r="H2565" s="2" t="n">
        <v>168</v>
      </c>
      <c r="I2565" s="2" t="inlineStr"/>
      <c r="J2565" s="2" t="inlineStr">
        <is>
          <t>да</t>
        </is>
      </c>
      <c r="K2565" s="3" t="inlineStr">
        <is>
          <t>Телефильм по мотивам одноименной пьесы Назыма Хикмета. Поднимаются важные нравственные вопросы, такие, как человек, и его моральная чистота, борьба за свое достоинство.</t>
        </is>
      </c>
      <c r="L2565" s="2" t="inlineStr">
        <is>
          <t>Кино_СССР сводный каталог.xlsx: список телефильмов</t>
        </is>
      </c>
      <c r="M2565" s="2">
        <f>HYPERLINK("https://ru.wikipedia.org/w/index.php?search=%D0%A7%D1%83%D0%B4%D0%B0%D0%BA%201979%20%D1%84%D0%B8%D0%BB%D1%8C%D0%BC","искать")</f>
        <v/>
      </c>
      <c r="N2565" s="3" t="n"/>
      <c r="O2565" s="2" t="n"/>
      <c r="P2565" s="2" t="n"/>
    </row>
    <row r="2566">
      <c r="A2566" s="2" t="n">
        <v>2565</v>
      </c>
      <c r="B2566" s="2" t="inlineStr">
        <is>
          <t>не сюжет</t>
        </is>
      </c>
      <c r="C2566" s="2" t="n">
        <v>11187</v>
      </c>
      <c r="D2566" s="3" t="inlineStr">
        <is>
          <t>1945</t>
        </is>
      </c>
      <c r="E2566" s="2" t="n">
        <v>1988</v>
      </c>
      <c r="F2566" s="2" t="inlineStr">
        <is>
          <t>фильм-спектакль</t>
        </is>
      </c>
      <c r="G2566" s="2" t="inlineStr">
        <is>
          <t>Главная редакция литературно-драматических программ</t>
        </is>
      </c>
      <c r="H2566" s="2" t="n">
        <v>168</v>
      </c>
      <c r="I2566" s="2" t="inlineStr"/>
      <c r="J2566" s="2" t="inlineStr">
        <is>
          <t>да</t>
        </is>
      </c>
      <c r="K2566" s="3" t="inlineStr">
        <is>
          <t>Композиция-моноспектакль по произведениям советских поэтов и писателей, воевавших на фронтах Великой Отечественной войны, в постановке Московского театра "Современник".</t>
        </is>
      </c>
      <c r="L2566" s="2" t="inlineStr">
        <is>
          <t>https://www.kino-teatr.ru/teatr/movie/17116/annot/</t>
        </is>
      </c>
      <c r="M2566" s="2">
        <f>HYPERLINK("https://ru.wikipedia.org/w/index.php?search=1945%201988%20%D1%84%D0%B8%D0%BB%D1%8C%D0%BC","искать")</f>
        <v/>
      </c>
      <c r="N2566" s="3" t="n"/>
      <c r="O2566" s="2" t="n"/>
      <c r="P2566" s="2" t="n"/>
    </row>
    <row r="2567">
      <c r="A2567" s="2" t="n">
        <v>2566</v>
      </c>
      <c r="B2567" s="2" t="inlineStr">
        <is>
          <t>не сюжет</t>
        </is>
      </c>
      <c r="C2567" s="2" t="n">
        <v>7510</v>
      </c>
      <c r="D2567" s="3" t="inlineStr">
        <is>
          <t>Детство Тёмы</t>
        </is>
      </c>
      <c r="E2567" s="2" t="n">
        <v>1990</v>
      </c>
      <c r="F2567" s="2" t="inlineStr">
        <is>
          <t>телефильм</t>
        </is>
      </c>
      <c r="G2567" s="2" t="n"/>
      <c r="H2567" s="2" t="n">
        <v>169</v>
      </c>
      <c r="I2567" s="2" t="inlineStr"/>
      <c r="J2567" s="2" t="inlineStr">
        <is>
          <t>да</t>
        </is>
      </c>
      <c r="K2567" s="3" t="inlineStr">
        <is>
          <t>На фоне неспешного течения жизни, налаженного быта дворянской усадьбы, авторы прослеживают становление детской души. Герой фильма - гимназист первого года Тема Карташов.</t>
        </is>
      </c>
      <c r="L2567" s="2" t="inlineStr">
        <is>
          <t>Кино_СССР сводный каталог.xlsx: список телефильмов</t>
        </is>
      </c>
      <c r="M2567" s="2">
        <f>HYPERLINK("https://ru.wikipedia.org/w/index.php?search=%D0%94%D0%B5%D1%82%D1%81%D1%82%D0%B2%D0%BE%20%D0%A2%D1%91%D0%BC%D1%8B%201990%20%D1%84%D0%B8%D0%BB%D1%8C%D0%BC","искать")</f>
        <v/>
      </c>
      <c r="N2567" s="3" t="n"/>
      <c r="O2567" s="2" t="n"/>
      <c r="P2567" s="2" t="n"/>
    </row>
    <row r="2568">
      <c r="A2568" s="2" t="n">
        <v>2567</v>
      </c>
      <c r="B2568" s="2" t="inlineStr">
        <is>
          <t>не сюжет</t>
        </is>
      </c>
      <c r="C2568" s="2" t="n">
        <v>8704</v>
      </c>
      <c r="D2568" s="3" t="inlineStr">
        <is>
          <t>Дождь на радуницу</t>
        </is>
      </c>
      <c r="E2568" s="2" t="n">
        <v>1966</v>
      </c>
      <c r="F2568" s="2" t="inlineStr">
        <is>
          <t>кинофильм</t>
        </is>
      </c>
      <c r="G2568" s="2" t="n"/>
      <c r="H2568" s="2" t="n">
        <v>169</v>
      </c>
      <c r="I2568" s="2" t="inlineStr"/>
      <c r="J2568" s="2" t="inlineStr">
        <is>
          <t>да</t>
        </is>
      </c>
      <c r="K2568" s="3" t="inlineStr">
        <is>
          <t>По рассказу В.М.Шугаева. Герои фильма - молодые строители Братска, для которых тяжелый, порой героический труд является и гражданским долгом, и высоким смыслом их жизни.</t>
        </is>
      </c>
      <c r="L2568" s="2" t="inlineStr">
        <is>
          <t>Кино_СССР сводный каталог.xlsx: список фильмов (доп.)</t>
        </is>
      </c>
      <c r="M2568" s="2">
        <f>HYPERLINK("https://ru.wikipedia.org/w/index.php?search=%D0%94%D0%BE%D0%B6%D0%B4%D1%8C%20%D0%BD%D0%B0%20%D1%80%D0%B0%D0%B4%D1%83%D0%BD%D0%B8%D1%86%D1%83%201966%20%D1%84%D0%B8%D0%BB%D1%8C%D0%BC","искать")</f>
        <v/>
      </c>
      <c r="N2568" s="3" t="n"/>
      <c r="O2568" s="2" t="n"/>
      <c r="P2568" s="2" t="n"/>
    </row>
    <row r="2569">
      <c r="A2569" s="2" t="n">
        <v>2568</v>
      </c>
      <c r="B2569" s="2" t="inlineStr">
        <is>
          <t>не сюжет</t>
        </is>
      </c>
      <c r="C2569" s="2" t="n">
        <v>8993</v>
      </c>
      <c r="D2569" s="3" t="inlineStr">
        <is>
          <t>Птица</t>
        </is>
      </c>
      <c r="E2569" s="2" t="n">
        <v>1990</v>
      </c>
      <c r="F2569" s="2" t="inlineStr">
        <is>
          <t>кинофильм</t>
        </is>
      </c>
      <c r="G2569" s="2" t="n"/>
      <c r="H2569" s="2" t="n">
        <v>169</v>
      </c>
      <c r="I2569" s="2" t="inlineStr"/>
      <c r="J2569" s="2" t="inlineStr">
        <is>
          <t>да</t>
        </is>
      </c>
      <c r="K2569" s="3" t="inlineStr">
        <is>
          <t>Обесцененность человеческой индивидуальности в обществе, с которым вплотную встречается молодой человек - так коротко можно описать предлагаемый идейный контекст фильма.</t>
        </is>
      </c>
      <c r="L2569" s="2" t="inlineStr">
        <is>
          <t>Кино_СССР сводный каталог.xlsx: список фильмов (доп.)</t>
        </is>
      </c>
      <c r="M2569" s="2">
        <f>HYPERLINK("https://ru.wikipedia.org/w/index.php?search=%D0%9F%D1%82%D0%B8%D1%86%D0%B0%201990%20%D1%84%D0%B8%D0%BB%D1%8C%D0%BC","искать")</f>
        <v/>
      </c>
      <c r="N2569" s="3" t="n"/>
      <c r="O2569" s="2" t="n"/>
      <c r="P2569" s="2" t="n"/>
    </row>
    <row r="2570">
      <c r="A2570" s="2" t="n">
        <v>2569</v>
      </c>
      <c r="B2570" s="2" t="inlineStr">
        <is>
          <t>не сюжет</t>
        </is>
      </c>
      <c r="C2570" s="2" t="n">
        <v>10662</v>
      </c>
      <c r="D2570" s="3" t="inlineStr">
        <is>
          <t>Петя и волк</t>
        </is>
      </c>
      <c r="E2570" s="2" t="n">
        <v>1976</v>
      </c>
      <c r="F2570" s="2" t="inlineStr">
        <is>
          <t>фильм-спектакль</t>
        </is>
      </c>
      <c r="G2570" s="2" t="inlineStr">
        <is>
          <t>Творческое объединение "Экран"</t>
        </is>
      </c>
      <c r="H2570" s="2" t="n">
        <v>169</v>
      </c>
      <c r="I2570" s="2" t="inlineStr"/>
      <c r="J2570" s="2" t="inlineStr">
        <is>
          <t>да</t>
        </is>
      </c>
      <c r="K2570" s="3" t="inlineStr">
        <is>
          <t>Симфоническая сказка Сергея Прокофьева в исполнении Государственного академического симфонического оркестра СССР.
В фильме использованы рисунки учащихся московских школ.</t>
        </is>
      </c>
      <c r="L2570" s="2" t="inlineStr">
        <is>
          <t>https://www.kino-teatr.ru/teatr/movie/79853/annot/</t>
        </is>
      </c>
      <c r="M2570" s="2">
        <f>HYPERLINK("https://ru.wikipedia.org/w/index.php?search=%D0%9F%D0%B5%D1%82%D1%8F%20%D0%B8%20%D0%B2%D0%BE%D0%BB%D0%BA%201976%20%D1%84%D0%B8%D0%BB%D1%8C%D0%BC","искать")</f>
        <v/>
      </c>
      <c r="N2570" s="3" t="n"/>
      <c r="O2570" s="2" t="n"/>
      <c r="P2570" s="2" t="n"/>
    </row>
    <row r="2571">
      <c r="A2571" s="2" t="n">
        <v>2570</v>
      </c>
      <c r="B2571" s="2" t="inlineStr">
        <is>
          <t>не сюжет</t>
        </is>
      </c>
      <c r="C2571" s="2" t="n">
        <v>13056</v>
      </c>
      <c r="D2571" s="3" t="inlineStr">
        <is>
          <t>Бимини</t>
        </is>
      </c>
      <c r="E2571" s="2" t="n">
        <v>1981</v>
      </c>
      <c r="F2571" s="2" t="inlineStr">
        <is>
          <t>мультфильм</t>
        </is>
      </c>
      <c r="G2571" s="2" t="inlineStr">
        <is>
          <t>РИЖСКАЯ КИНОСТУДИЯ</t>
        </is>
      </c>
      <c r="H2571" s="2" t="n">
        <v>169</v>
      </c>
      <c r="I2571" s="2" t="inlineStr"/>
      <c r="J2571" s="2" t="inlineStr">
        <is>
          <t>да</t>
        </is>
      </c>
      <c r="K2571" s="3" t="inlineStr">
        <is>
          <t>По мотивам рассказов ОГенри. XV ВКФ, Таллинн 1982 - Диплом. Медали СК Латвии "Большой Кристап" - автору сценария, режиссеру, художнику-постановщику, композитору и фильму</t>
        </is>
      </c>
      <c r="L2571" s="2" t="inlineStr">
        <is>
          <t>https://animator.ru/db/?p=show_film&amp;fid=4288</t>
        </is>
      </c>
      <c r="M2571" s="2">
        <f>HYPERLINK("https://ru.wikipedia.org/w/index.php?search=%D0%91%D0%B8%D0%BC%D0%B8%D0%BD%D0%B8%201981%20%D1%84%D0%B8%D0%BB%D1%8C%D0%BC","искать")</f>
        <v/>
      </c>
      <c r="N2571" s="3" t="n"/>
      <c r="O2571" s="2" t="n"/>
      <c r="P2571" s="2" t="n"/>
    </row>
    <row r="2572">
      <c r="A2572" s="2" t="n">
        <v>2571</v>
      </c>
      <c r="B2572" s="2" t="inlineStr">
        <is>
          <t>не сюжет</t>
        </is>
      </c>
      <c r="C2572" s="2" t="n">
        <v>8950</v>
      </c>
      <c r="D2572" s="3" t="inlineStr">
        <is>
          <t>Поклонись наступившему дню</t>
        </is>
      </c>
      <c r="E2572" s="2" t="n">
        <v>1977</v>
      </c>
      <c r="F2572" s="2" t="inlineStr">
        <is>
          <t>кинофильм</t>
        </is>
      </c>
      <c r="G2572" s="2" t="n"/>
      <c r="H2572" s="2" t="n">
        <v>170</v>
      </c>
      <c r="I2572" s="2" t="inlineStr"/>
      <c r="J2572" s="2" t="inlineStr">
        <is>
          <t>да</t>
        </is>
      </c>
      <c r="K2572" s="3" t="inlineStr">
        <is>
          <t>Խոնարհվիր վաղվա օրվան Фильм повествует о взаимоотношениях старшего и младшего поколений, о традициях, благодаря которым наступающий день оказывается достойным прошедшего.</t>
        </is>
      </c>
      <c r="L2572" s="2" t="inlineStr">
        <is>
          <t>Кино_СССР сводный каталог.xlsx: список фильмов (доп.)</t>
        </is>
      </c>
      <c r="M2572" s="2">
        <f>HYPERLINK("https://ru.wikipedia.org/w/index.php?search=%D0%9F%D0%BE%D0%BA%D0%BB%D0%BE%D0%BD%D0%B8%D1%81%D1%8C%20%D0%BD%D0%B0%D1%81%D1%82%D1%83%D0%BF%D0%B8%D0%B2%D1%88%D0%B5%D0%BC%D1%83%20%D0%B4%D0%BD%D1%8E%201977%20%D1%84%D0%B8%D0%BB%D1%8C%D0%BC","искать")</f>
        <v/>
      </c>
      <c r="N2572" s="3" t="n"/>
      <c r="O2572" s="2" t="n"/>
      <c r="P2572" s="2" t="n"/>
    </row>
    <row r="2573">
      <c r="A2573" s="2" t="n">
        <v>2572</v>
      </c>
      <c r="B2573" s="2" t="inlineStr">
        <is>
          <t>не сюжет</t>
        </is>
      </c>
      <c r="C2573" s="2" t="n">
        <v>10435</v>
      </c>
      <c r="D2573" s="3" t="inlineStr">
        <is>
          <t>Волшебник из Шираза</t>
        </is>
      </c>
      <c r="E2573" s="2" t="n">
        <v>1972</v>
      </c>
      <c r="F2573" s="2" t="inlineStr">
        <is>
          <t>фильм-спектакль</t>
        </is>
      </c>
      <c r="G2573" s="2" t="inlineStr">
        <is>
          <t>Центральное телевидение</t>
        </is>
      </c>
      <c r="H2573" s="2" t="n">
        <v>170</v>
      </c>
      <c r="I2573" s="2" t="inlineStr"/>
      <c r="J2573" s="2" t="inlineStr">
        <is>
          <t>да</t>
        </is>
      </c>
      <c r="K2573" s="3" t="inlineStr">
        <is>
          <t>Литературная композиция по произведениям персидского поэта XIV века Шамседдина Хафиза в исполнении артиста Московского драматического театра на Таганке Вениамина Смехова.</t>
        </is>
      </c>
      <c r="L2573" s="2" t="inlineStr">
        <is>
          <t>https://www.kino-teatr.ru/teatr/movie/101525/annot/</t>
        </is>
      </c>
      <c r="M2573" s="2">
        <f>HYPERLINK("https://ru.wikipedia.org/w/index.php?search=%D0%92%D0%BE%D0%BB%D1%88%D0%B5%D0%B1%D0%BD%D0%B8%D0%BA%20%D0%B8%D0%B7%20%D0%A8%D0%B8%D1%80%D0%B0%D0%B7%D0%B0%201972%20%D1%84%D0%B8%D0%BB%D1%8C%D0%BC","искать")</f>
        <v/>
      </c>
      <c r="N2573" s="3" t="n"/>
      <c r="O2573" s="2" t="n"/>
      <c r="P2573" s="2" t="n"/>
    </row>
    <row r="2574">
      <c r="A2574" s="2" t="n">
        <v>2573</v>
      </c>
      <c r="B2574" s="2" t="inlineStr">
        <is>
          <t>не сюжет</t>
        </is>
      </c>
      <c r="C2574" s="2" t="n">
        <v>11231</v>
      </c>
      <c r="D2574" s="3" t="inlineStr">
        <is>
          <t>У войны не женское лицо</t>
        </is>
      </c>
      <c r="E2574" s="2" t="n">
        <v>1988</v>
      </c>
      <c r="F2574" s="2" t="inlineStr">
        <is>
          <t>фильм-спектакль</t>
        </is>
      </c>
      <c r="G2574" s="2" t="inlineStr">
        <is>
          <t>Главная редакция литературно-драматических программ ЦТ</t>
        </is>
      </c>
      <c r="H2574" s="2" t="n">
        <v>170</v>
      </c>
      <c r="I2574" s="2" t="inlineStr"/>
      <c r="J2574" s="2" t="inlineStr">
        <is>
          <t>да</t>
        </is>
      </c>
      <c r="K2574" s="3" t="inlineStr">
        <is>
          <t>Телеверсия спектакля Омского театра драмы по одноименной книге белорусской писательницы Светланы Алексиевич о судьбах пяти девушек, прошедших Великую Отечественную войну.</t>
        </is>
      </c>
      <c r="L2574" s="2" t="inlineStr">
        <is>
          <t>https://www.kino-teatr.ru/teatr/movie/81973/annot/</t>
        </is>
      </c>
      <c r="M2574" s="2">
        <f>HYPERLINK("https://ru.wikipedia.org/w/index.php?search=%D0%A3%20%D0%B2%D0%BE%D0%B9%D0%BD%D1%8B%20%D0%BD%D0%B5%20%D0%B6%D0%B5%D0%BD%D1%81%D0%BA%D0%BE%D0%B5%20%D0%BB%D0%B8%D1%86%D0%BE%201988%20%D1%84%D0%B8%D0%BB%D1%8C%D0%BC","искать")</f>
        <v/>
      </c>
      <c r="N2574" s="3" t="n"/>
      <c r="O2574" s="2" t="n"/>
      <c r="P2574" s="2" t="n"/>
    </row>
    <row r="2575">
      <c r="A2575" s="2" t="n">
        <v>2574</v>
      </c>
      <c r="B2575" s="2" t="inlineStr">
        <is>
          <t>не сюжет</t>
        </is>
      </c>
      <c r="C2575" s="2" t="n">
        <v>11345</v>
      </c>
      <c r="D2575" s="3" t="inlineStr">
        <is>
          <t>Скандальное происшествие</t>
        </is>
      </c>
      <c r="E2575" s="2" t="n">
        <v>1991</v>
      </c>
      <c r="F2575" s="2" t="inlineStr">
        <is>
          <t>фильм-спектакль</t>
        </is>
      </c>
      <c r="G2575" s="2" t="inlineStr">
        <is>
          <t>Лира (Ленинградское ТВ)</t>
        </is>
      </c>
      <c r="H2575" s="2" t="n">
        <v>170</v>
      </c>
      <c r="I2575" s="2" t="inlineStr"/>
      <c r="J2575" s="2" t="inlineStr">
        <is>
          <t>да</t>
        </is>
      </c>
      <c r="K2575" s="3" t="inlineStr">
        <is>
          <t>Телеспектакль. По радиопьесе Ф. Дюрренматта, произведениям Б. Брехта и Э. Хэмингуэя.
В основе телеспектакля — радиопьеса Ф. Дюрренматта «Страницкий и Национальный герой».</t>
        </is>
      </c>
      <c r="L2575" s="2" t="inlineStr">
        <is>
          <t>https://www.kino-teatr.ru/teatr/movie/8295/annot/</t>
        </is>
      </c>
      <c r="M2575" s="2">
        <f>HYPERLINK("https://ru.wikipedia.org/w/index.php?search=%D0%A1%D0%BA%D0%B0%D0%BD%D0%B4%D0%B0%D0%BB%D1%8C%D0%BD%D0%BE%D0%B5%20%D0%BF%D1%80%D0%BE%D0%B8%D1%81%D1%88%D0%B5%D1%81%D1%82%D0%B2%D0%B8%D0%B5%201991%20%D1%84%D0%B8%D0%BB%D1%8C%D0%BC","искать")</f>
        <v/>
      </c>
      <c r="N2575" s="3" t="n"/>
      <c r="O2575" s="2" t="n"/>
      <c r="P2575" s="2" t="n"/>
    </row>
    <row r="2576">
      <c r="A2576" s="2" t="n">
        <v>2575</v>
      </c>
      <c r="B2576" s="2" t="inlineStr">
        <is>
          <t>не сюжет</t>
        </is>
      </c>
      <c r="C2576" s="2" t="n">
        <v>7319</v>
      </c>
      <c r="D2576" s="3" t="inlineStr">
        <is>
          <t>Вера, Надежда, Любовь</t>
        </is>
      </c>
      <c r="E2576" s="2" t="n">
        <v>1972</v>
      </c>
      <c r="F2576" s="2" t="inlineStr">
        <is>
          <t>телефильм</t>
        </is>
      </c>
      <c r="G2576" s="2" t="inlineStr">
        <is>
          <t>к/с им. Довженко</t>
        </is>
      </c>
      <c r="H2576" s="2" t="n">
        <v>171</v>
      </c>
      <c r="I2576" s="2" t="inlineStr"/>
      <c r="J2576" s="2" t="inlineStr">
        <is>
          <t>да</t>
        </is>
      </c>
      <c r="K2576" s="3" t="inlineStr">
        <is>
          <t>Телевизионный фильм. О жизни трех поколений потомственных ткачих Московской фабрики «Трехгорная мануфактура». Картина состоит из трех фильмов: «Вера», «Надежда», «Любовь».</t>
        </is>
      </c>
      <c r="L2576" s="2" t="inlineStr">
        <is>
          <t>Кино_СССР сводный каталог.xlsx: список телефильмов</t>
        </is>
      </c>
      <c r="M2576" s="2">
        <f>HYPERLINK("https://ru.wikipedia.org/w/index.php?search=%D0%92%D0%B5%D1%80%D0%B0%2C%20%D0%9D%D0%B0%D0%B4%D0%B5%D0%B6%D0%B4%D0%B0%2C%20%D0%9B%D1%8E%D0%B1%D0%BE%D0%B2%D1%8C%201972%20%D1%84%D0%B8%D0%BB%D1%8C%D0%BC","искать")</f>
        <v/>
      </c>
      <c r="N2576" s="3" t="n"/>
      <c r="O2576" s="2" t="n"/>
      <c r="P2576" s="2" t="n"/>
    </row>
    <row r="2577">
      <c r="A2577" s="2" t="n">
        <v>2576</v>
      </c>
      <c r="B2577" s="2" t="inlineStr">
        <is>
          <t>не сюжет</t>
        </is>
      </c>
      <c r="C2577" s="2" t="n">
        <v>7663</v>
      </c>
      <c r="D2577" s="3" t="inlineStr">
        <is>
          <t>И придет день...</t>
        </is>
      </c>
      <c r="E2577" s="2" t="n">
        <v>1979</v>
      </c>
      <c r="F2577" s="2" t="inlineStr">
        <is>
          <t>телефильм</t>
        </is>
      </c>
      <c r="G2577" s="2" t="n"/>
      <c r="H2577" s="2" t="n">
        <v>171</v>
      </c>
      <c r="I2577" s="2" t="inlineStr"/>
      <c r="J2577" s="2" t="inlineStr">
        <is>
          <t>да</t>
        </is>
      </c>
      <c r="K2577" s="3" t="inlineStr">
        <is>
          <t>Герой телефильма - председатель Совета колхозов одного из районов Молдавии - дальновидный руководитель, решающий важные проблемы, связанные с агропромышленной интеграцией.</t>
        </is>
      </c>
      <c r="L2577" s="2" t="inlineStr">
        <is>
          <t>Кино_СССР сводный каталог.xlsx: список телефильмов</t>
        </is>
      </c>
      <c r="M2577" s="2">
        <f>HYPERLINK("https://ru.wikipedia.org/w/index.php?search=%D0%98%20%D0%BF%D1%80%D0%B8%D0%B4%D0%B5%D1%82%20%D0%B4%D0%B5%D0%BD%D1%8C...%201979%20%D1%84%D0%B8%D0%BB%D1%8C%D0%BC","искать")</f>
        <v/>
      </c>
      <c r="N2577" s="3" t="n"/>
      <c r="O2577" s="2" t="n"/>
      <c r="P2577" s="2" t="n"/>
    </row>
    <row r="2578">
      <c r="A2578" s="2" t="n">
        <v>2577</v>
      </c>
      <c r="B2578" s="2" t="inlineStr">
        <is>
          <t>не сюжет</t>
        </is>
      </c>
      <c r="C2578" s="2" t="n">
        <v>10797</v>
      </c>
      <c r="D2578" s="3" t="inlineStr">
        <is>
          <t>Горное гнездо</t>
        </is>
      </c>
      <c r="E2578" s="2" t="n">
        <v>1979</v>
      </c>
      <c r="F2578" s="2" t="inlineStr">
        <is>
          <t>фильм-спектакль</t>
        </is>
      </c>
      <c r="G2578" s="2" t="inlineStr">
        <is>
          <t>Главная редакция литературно-драматических программ ЦТ</t>
        </is>
      </c>
      <c r="H2578" s="2" t="n">
        <v>171</v>
      </c>
      <c r="I2578" s="2" t="inlineStr"/>
      <c r="J2578" s="2" t="inlineStr">
        <is>
          <t>да</t>
        </is>
      </c>
      <c r="K2578" s="3" t="inlineStr">
        <is>
          <t>По мотивам одноименного романа Д.Мамина-Сибиряка в постановке Московского театра имени М.Н.Ермоловой.
Действие происходит в конце XIX века на одном из горнорудных заводов.</t>
        </is>
      </c>
      <c r="L2578" s="2" t="inlineStr">
        <is>
          <t>https://www.kino-teatr.ru/teatr/movie/1446/annot/</t>
        </is>
      </c>
      <c r="M2578" s="2">
        <f>HYPERLINK("https://ru.wikipedia.org/w/index.php?search=%D0%93%D0%BE%D1%80%D0%BD%D0%BE%D0%B5%20%D0%B3%D0%BD%D0%B5%D0%B7%D0%B4%D0%BE%201979%20%D1%84%D0%B8%D0%BB%D1%8C%D0%BC","искать")</f>
        <v/>
      </c>
      <c r="N2578" s="3" t="n"/>
      <c r="O2578" s="2" t="n"/>
      <c r="P2578" s="2" t="n"/>
    </row>
    <row r="2579">
      <c r="A2579" s="2" t="n">
        <v>2578</v>
      </c>
      <c r="B2579" s="2" t="inlineStr">
        <is>
          <t>не сюжет</t>
        </is>
      </c>
      <c r="C2579" s="2" t="n">
        <v>12259</v>
      </c>
      <c r="D2579" s="3" t="inlineStr">
        <is>
          <t>Потерялась птица в небе</t>
        </is>
      </c>
      <c r="E2579" s="2" t="n">
        <v>1988</v>
      </c>
      <c r="F2579" s="2" t="inlineStr">
        <is>
          <t>мультфильм</t>
        </is>
      </c>
      <c r="G2579" s="2" t="inlineStr">
        <is>
          <t>Союзмультфильм</t>
        </is>
      </c>
      <c r="H2579" s="2" t="n">
        <v>171</v>
      </c>
      <c r="I2579" s="2" t="inlineStr"/>
      <c r="J2579" s="2" t="inlineStr">
        <is>
          <t>да</t>
        </is>
      </c>
      <c r="K2579" s="3" t="inlineStr">
        <is>
          <t>Фильм по мотивам стихотворений И. Пивоваровой. Этот фильм о неоднозначности восприятии мира. Моделью микромира является скотный двор. Каждый из героев видит мир по-своему.</t>
        </is>
      </c>
      <c r="L2579" s="2" t="inlineStr">
        <is>
          <t>https://animator.ru/db/?p=show_film&amp;fid=3376</t>
        </is>
      </c>
      <c r="M2579" s="2">
        <f>HYPERLINK("https://ru.wikipedia.org/w/index.php?search=%D0%9F%D0%BE%D1%82%D0%B5%D1%80%D1%8F%D0%BB%D0%B0%D1%81%D1%8C%20%D0%BF%D1%82%D0%B8%D1%86%D0%B0%20%D0%B2%20%D0%BD%D0%B5%D0%B1%D0%B5%201988%20%D1%84%D0%B8%D0%BB%D1%8C%D0%BC","искать")</f>
        <v/>
      </c>
      <c r="N2579" s="3" t="n"/>
      <c r="O2579" s="2" t="n"/>
      <c r="P2579" s="2" t="n"/>
    </row>
    <row r="2580">
      <c r="A2580" s="2" t="n">
        <v>2579</v>
      </c>
      <c r="B2580" s="2" t="inlineStr">
        <is>
          <t>не сюжет</t>
        </is>
      </c>
      <c r="C2580" s="2" t="n">
        <v>14428</v>
      </c>
      <c r="D2580" s="3" t="inlineStr">
        <is>
          <t>Послушный ученик</t>
        </is>
      </c>
      <c r="E2580" s="2" t="n">
        <v>1991</v>
      </c>
      <c r="F2580" s="2" t="inlineStr">
        <is>
          <t>мультфильм</t>
        </is>
      </c>
      <c r="G2580" s="2" t="inlineStr">
        <is>
          <t>СОЮЗТЕЛЕФИЛЬМ</t>
        </is>
      </c>
      <c r="H2580" s="2" t="n">
        <v>171</v>
      </c>
      <c r="I2580" s="2" t="inlineStr"/>
      <c r="J2580" s="2" t="inlineStr">
        <is>
          <t>да</t>
        </is>
      </c>
      <c r="K2580" s="3" t="inlineStr">
        <is>
          <t>По мотивам индийских народных сказок. О том, что в жизни нельзя следовать философской истине, необходимо соизмерять ее с собственной судьбой и жизненными обстоятельствами.</t>
        </is>
      </c>
      <c r="L2580" s="2" t="inlineStr">
        <is>
          <t>https://animator.ru/db/?p=show_film&amp;fid=6670</t>
        </is>
      </c>
      <c r="M2580" s="2">
        <f>HYPERLINK("https://ru.wikipedia.org/w/index.php?search=%D0%9F%D0%BE%D1%81%D0%BB%D1%83%D1%88%D0%BD%D1%8B%D0%B9%20%D1%83%D1%87%D0%B5%D0%BD%D0%B8%D0%BA%201991%20%D1%84%D0%B8%D0%BB%D1%8C%D0%BC","искать")</f>
        <v/>
      </c>
      <c r="N2580" s="3" t="n"/>
      <c r="O2580" s="2" t="n"/>
      <c r="P2580" s="2" t="n"/>
    </row>
    <row r="2581">
      <c r="A2581" s="2" t="n">
        <v>2580</v>
      </c>
      <c r="B2581" s="2" t="inlineStr">
        <is>
          <t>не сюжет</t>
        </is>
      </c>
      <c r="C2581" s="2" t="n">
        <v>7608</v>
      </c>
      <c r="D2581" s="3" t="inlineStr">
        <is>
          <t>Жменяки</t>
        </is>
      </c>
      <c r="E2581" s="2" t="n">
        <v>1987</v>
      </c>
      <c r="F2581" s="2" t="inlineStr">
        <is>
          <t>телефильм</t>
        </is>
      </c>
      <c r="G2581" s="2" t="inlineStr">
        <is>
          <t>Укртелефильм</t>
        </is>
      </c>
      <c r="H2581" s="2" t="n">
        <v>172</v>
      </c>
      <c r="I2581" s="2" t="inlineStr"/>
      <c r="J2581" s="2" t="inlineStr">
        <is>
          <t>да</t>
        </is>
      </c>
      <c r="K2581" s="3" t="inlineStr">
        <is>
          <t>По одноименной трилогии Михаила Томчания, в которой рассказывается о жизни представителей разных поколений семьи Жменяков из закарпатского села в бурные 30-40 годы XX века.</t>
        </is>
      </c>
      <c r="L2581" s="2" t="inlineStr">
        <is>
          <t>Кино_СССР сводный каталог.xlsx: список телефильмов</t>
        </is>
      </c>
      <c r="M2581" s="2">
        <f>HYPERLINK("https://ru.wikipedia.org/w/index.php?search=%D0%96%D0%BC%D0%B5%D0%BD%D1%8F%D0%BA%D0%B8%201987%20%D1%84%D0%B8%D0%BB%D1%8C%D0%BC","искать")</f>
        <v/>
      </c>
      <c r="N2581" s="3" t="n"/>
      <c r="O2581" s="2" t="n"/>
      <c r="P2581" s="2" t="n"/>
    </row>
    <row r="2582">
      <c r="A2582" s="2" t="n">
        <v>2581</v>
      </c>
      <c r="B2582" s="2" t="inlineStr">
        <is>
          <t>не сюжет</t>
        </is>
      </c>
      <c r="C2582" s="2" t="n">
        <v>7714</v>
      </c>
      <c r="D2582" s="3" t="inlineStr">
        <is>
          <t>Капли дождя</t>
        </is>
      </c>
      <c r="E2582" s="2" t="n">
        <v>1981</v>
      </c>
      <c r="F2582" s="2" t="inlineStr">
        <is>
          <t>телефильм</t>
        </is>
      </c>
      <c r="G2582" s="2" t="n"/>
      <c r="H2582" s="2" t="n">
        <v>172</v>
      </c>
      <c r="I2582" s="2" t="inlineStr"/>
      <c r="J2582" s="2" t="inlineStr">
        <is>
          <t>да</t>
        </is>
      </c>
      <c r="K2582" s="3" t="inlineStr">
        <is>
          <t>Фильм поставлен по мотивам одноименного романа П.Куусберга и рассказывает о судьбах  бывших одноклассников, гимназистов, в годы Второй мировой войны и в послевоенное время.</t>
        </is>
      </c>
      <c r="L2582" s="2" t="inlineStr">
        <is>
          <t>Кино_СССР сводный каталог.xlsx: список телефильмов</t>
        </is>
      </c>
      <c r="M2582" s="2">
        <f>HYPERLINK("https://ru.wikipedia.org/w/index.php?search=%D0%9A%D0%B0%D0%BF%D0%BB%D0%B8%20%D0%B4%D0%BE%D0%B6%D0%B4%D1%8F%201981%20%D1%84%D0%B8%D0%BB%D1%8C%D0%BC","искать")</f>
        <v/>
      </c>
      <c r="N2582" s="3" t="n"/>
      <c r="O2582" s="2" t="n"/>
      <c r="P2582" s="2" t="n"/>
    </row>
    <row r="2583">
      <c r="A2583" s="2" t="n">
        <v>2582</v>
      </c>
      <c r="B2583" s="2" t="inlineStr">
        <is>
          <t>не сюжет</t>
        </is>
      </c>
      <c r="C2583" s="2" t="n">
        <v>11635</v>
      </c>
      <c r="D2583" s="3" t="inlineStr">
        <is>
          <t>НЕРАЗБЕРИХА (Сборник)</t>
        </is>
      </c>
      <c r="E2583" s="2" t="n">
        <v>1971</v>
      </c>
      <c r="F2583" s="2" t="inlineStr">
        <is>
          <t>мультфильм</t>
        </is>
      </c>
      <c r="G2583" s="2" t="inlineStr">
        <is>
          <t>Союзмультфильм, ТАЛЛИННФИЛЬМ, РИЖСКАЯ КИНОСТУДИЯ</t>
        </is>
      </c>
      <c r="H2583" s="2" t="n">
        <v>172</v>
      </c>
      <c r="I2583" s="2" t="inlineStr"/>
      <c r="J2583" s="2" t="inlineStr">
        <is>
          <t>да</t>
        </is>
      </c>
      <c r="K2583" s="3" t="inlineStr">
        <is>
          <t>Сборник из трех новелл (см): "Неразбериха" (Рижская киностудия), "Друзья" ("Таллинфильм") и "Петрушка" ("Союзмультфильм"), объединенных конферансом в постановке Л.Атаманова</t>
        </is>
      </c>
      <c r="L2583" s="2" t="inlineStr">
        <is>
          <t>https://animator.ru/db/?p=show_film&amp;fid=2549</t>
        </is>
      </c>
      <c r="M2583" s="2">
        <f>HYPERLINK("https://ru.wikipedia.org/w/index.php?search=%D0%9D%D0%95%D0%A0%D0%90%D0%97%D0%91%D0%95%D0%A0%D0%98%D0%A5%D0%90%20%28%D0%A1%D0%B1%D0%BE%D1%80%D0%BD%D0%B8%D0%BA%29%201971%20%D1%84%D0%B8%D0%BB%D1%8C%D0%BC","искать")</f>
        <v/>
      </c>
      <c r="N2583" s="3" t="n"/>
      <c r="O2583" s="2" t="n"/>
      <c r="P2583" s="2" t="n"/>
    </row>
    <row r="2584">
      <c r="A2584" s="2" t="n">
        <v>2583</v>
      </c>
      <c r="B2584" s="2" t="inlineStr">
        <is>
          <t>не сюжет</t>
        </is>
      </c>
      <c r="C2584" s="2" t="n">
        <v>8691</v>
      </c>
      <c r="D2584" s="3" t="inlineStr">
        <is>
          <t>Дальнее плавание</t>
        </is>
      </c>
      <c r="E2584" s="2" t="n">
        <v>1941</v>
      </c>
      <c r="F2584" s="2" t="inlineStr">
        <is>
          <t>кинофильм</t>
        </is>
      </c>
      <c r="G2584" s="2" t="n"/>
      <c r="H2584" s="2" t="n">
        <v>174</v>
      </c>
      <c r="I2584" s="2" t="inlineStr"/>
      <c r="J2584" s="2" t="inlineStr">
        <is>
          <t>да</t>
        </is>
      </c>
      <c r="K2584" s="3" t="inlineStr">
        <is>
          <t>По роману "Буря" Всеволода Воеводина и Евгения Рысса. О становлении молодого человека, о тружениках моря, о смелых и честных людях, для которых интересы Родины превыше всего.</t>
        </is>
      </c>
      <c r="L2584" s="2" t="inlineStr">
        <is>
          <t>Кино_СССР сводный каталог.xlsx: список фильмов (доп.)</t>
        </is>
      </c>
      <c r="M2584" s="2">
        <f>HYPERLINK("https://ru.wikipedia.org/w/index.php?search=%D0%94%D0%B0%D0%BB%D1%8C%D0%BD%D0%B5%D0%B5%20%D0%BF%D0%BB%D0%B0%D0%B2%D0%B0%D0%BD%D0%B8%D0%B5%201941%20%D1%84%D0%B8%D0%BB%D1%8C%D0%BC","искать")</f>
        <v/>
      </c>
      <c r="N2584" s="3" t="n"/>
      <c r="O2584" s="2" t="n"/>
      <c r="P2584" s="2" t="n"/>
    </row>
    <row r="2585">
      <c r="A2585" s="2" t="n">
        <v>2584</v>
      </c>
      <c r="B2585" s="2" t="inlineStr">
        <is>
          <t>не сюжет</t>
        </is>
      </c>
      <c r="C2585" s="2" t="n">
        <v>10261</v>
      </c>
      <c r="D2585" s="3" t="inlineStr">
        <is>
          <t>Огоньки</t>
        </is>
      </c>
      <c r="E2585" s="2" t="n">
        <v>1968</v>
      </c>
      <c r="F2585" s="2" t="inlineStr">
        <is>
          <t>фильм-спектакль</t>
        </is>
      </c>
      <c r="G2585" s="2" t="inlineStr">
        <is>
          <t>Центральное телевидение</t>
        </is>
      </c>
      <c r="H2585" s="2" t="n">
        <v>174</v>
      </c>
      <c r="I2585" s="2" t="inlineStr"/>
      <c r="J2585" s="2" t="inlineStr">
        <is>
          <t>да</t>
        </is>
      </c>
      <c r="K2585" s="3" t="inlineStr">
        <is>
          <t>Телеспектакль по мотивам оперетты Георгия Васильевича Свиридова "Огоньки" (либретто Л.Трауберга).
О революционной борьбе рабочих Нарвской заставы Петербурга весной 1903 года.</t>
        </is>
      </c>
      <c r="L2585" s="2" t="inlineStr">
        <is>
          <t>https://www.kino-teatr.ru/teatr/movie/104929/annot/</t>
        </is>
      </c>
      <c r="M2585" s="2">
        <f>HYPERLINK("https://ru.wikipedia.org/w/index.php?search=%D0%9E%D0%B3%D0%BE%D0%BD%D1%8C%D0%BA%D0%B8%201968%20%D1%84%D0%B8%D0%BB%D1%8C%D0%BC","искать")</f>
        <v/>
      </c>
      <c r="N2585" s="3" t="n"/>
      <c r="O2585" s="2" t="n"/>
      <c r="P2585" s="2" t="n"/>
    </row>
    <row r="2586">
      <c r="A2586" s="2" t="n">
        <v>2585</v>
      </c>
      <c r="B2586" s="2" t="inlineStr">
        <is>
          <t>не сюжет</t>
        </is>
      </c>
      <c r="C2586" s="2" t="n">
        <v>7732</v>
      </c>
      <c r="D2586" s="3" t="inlineStr">
        <is>
          <t>Клятвенная запись</t>
        </is>
      </c>
      <c r="E2586" s="2" t="n">
        <v>1983</v>
      </c>
      <c r="F2586" s="2" t="inlineStr">
        <is>
          <t>телефильм</t>
        </is>
      </c>
      <c r="G2586" s="2" t="n"/>
      <c r="H2586" s="2" t="n">
        <v>175</v>
      </c>
      <c r="I2586" s="2" t="inlineStr"/>
      <c r="J2586" s="2" t="inlineStr">
        <is>
          <t>да</t>
        </is>
      </c>
      <c r="K2586" s="3" t="inlineStr">
        <is>
          <t>წიგნი ფიცისა О трагических событиях в истории Грузии (XVI-XVIII вв), завершившихся заключением в 1783 году Георгиевского трактата о переходе Грузии под покровительство России.</t>
        </is>
      </c>
      <c r="L2586" s="2" t="inlineStr">
        <is>
          <t>Кино_СССР сводный каталог.xlsx: список телефильмов</t>
        </is>
      </c>
      <c r="M2586" s="2">
        <f>HYPERLINK("https://ru.wikipedia.org/w/index.php?search=%D0%9A%D0%BB%D1%8F%D1%82%D0%B2%D0%B5%D0%BD%D0%BD%D0%B0%D1%8F%20%D0%B7%D0%B0%D0%BF%D0%B8%D1%81%D1%8C%201983%20%D1%84%D0%B8%D0%BB%D1%8C%D0%BC","искать")</f>
        <v/>
      </c>
      <c r="N2586" s="3" t="n"/>
      <c r="O2586" s="2" t="n"/>
      <c r="P2586" s="2" t="n"/>
    </row>
    <row r="2587">
      <c r="A2587" s="2" t="n">
        <v>2586</v>
      </c>
      <c r="B2587" s="2" t="inlineStr">
        <is>
          <t>не сюжет</t>
        </is>
      </c>
      <c r="C2587" s="2" t="n">
        <v>7766</v>
      </c>
      <c r="D2587" s="3" t="inlineStr">
        <is>
          <t>Красное поле</t>
        </is>
      </c>
      <c r="E2587" s="2" t="n">
        <v>1980</v>
      </c>
      <c r="F2587" s="2" t="inlineStr">
        <is>
          <t>телефильм</t>
        </is>
      </c>
      <c r="G2587" s="2" t="n"/>
      <c r="H2587" s="2" t="n">
        <v>175</v>
      </c>
      <c r="I2587" s="2" t="inlineStr"/>
      <c r="J2587" s="2" t="inlineStr">
        <is>
          <t>да</t>
        </is>
      </c>
      <c r="K2587" s="3" t="inlineStr">
        <is>
          <t>Телефильм об академике Степане Тимофеевиче Таланове, ученом-селекционере, чья жизнь непосредственно связана с коллективизацией, Великой Отечественной войной, освоением целины.</t>
        </is>
      </c>
      <c r="L2587" s="2" t="inlineStr">
        <is>
          <t>Кино_СССР сводный каталог.xlsx: список телефильмов</t>
        </is>
      </c>
      <c r="M2587" s="2">
        <f>HYPERLINK("https://ru.wikipedia.org/w/index.php?search=%D0%9A%D1%80%D0%B0%D1%81%D0%BD%D0%BE%D0%B5%20%D0%BF%D0%BE%D0%BB%D0%B5%201980%20%D1%84%D0%B8%D0%BB%D1%8C%D0%BC","искать")</f>
        <v/>
      </c>
      <c r="N2587" s="3" t="n"/>
      <c r="O2587" s="2" t="n"/>
      <c r="P2587" s="2" t="n"/>
    </row>
    <row r="2588">
      <c r="A2588" s="2" t="n">
        <v>2587</v>
      </c>
      <c r="B2588" s="2" t="inlineStr">
        <is>
          <t>не сюжет</t>
        </is>
      </c>
      <c r="C2588" s="2" t="n">
        <v>7767</v>
      </c>
      <c r="D2588" s="3" t="inlineStr">
        <is>
          <t>Красное, синее, зелёное</t>
        </is>
      </c>
      <c r="E2588" s="2" t="n">
        <v>1966</v>
      </c>
      <c r="F2588" s="2" t="inlineStr">
        <is>
          <t>телефильм</t>
        </is>
      </c>
      <c r="G2588" s="2" t="n"/>
      <c r="H2588" s="2" t="n">
        <v>175</v>
      </c>
      <c r="I2588" s="2" t="inlineStr"/>
      <c r="J2588" s="2" t="inlineStr">
        <is>
          <t>да</t>
        </is>
      </c>
      <c r="K2588" s="3" t="inlineStr">
        <is>
          <t>Первый цветной телевизионный игровой фильм-ревю. Три интермедии о том, что к своей работе надо относиться с душой, и тогда окружающий мир будет расцвечен всеми цветами радуги.</t>
        </is>
      </c>
      <c r="L2588" s="2" t="inlineStr">
        <is>
          <t>Кино_СССР сводный каталог.xlsx: список телефильмов</t>
        </is>
      </c>
      <c r="M2588" s="2">
        <f>HYPERLINK("https://ru.wikipedia.org/w/index.php?search=%D0%9A%D1%80%D0%B0%D1%81%D0%BD%D0%BE%D0%B5%2C%20%D1%81%D0%B8%D0%BD%D0%B5%D0%B5%2C%20%D0%B7%D0%B5%D0%BB%D1%91%D0%BD%D0%BE%D0%B5%201966%20%D1%84%D0%B8%D0%BB%D1%8C%D0%BC","искать")</f>
        <v/>
      </c>
      <c r="N2588" s="3" t="n"/>
      <c r="O2588" s="2" t="n"/>
      <c r="P2588" s="2" t="n"/>
    </row>
    <row r="2589">
      <c r="A2589" s="2" t="n">
        <v>2588</v>
      </c>
      <c r="B2589" s="2" t="inlineStr">
        <is>
          <t>не сюжет</t>
        </is>
      </c>
      <c r="C2589" s="2" t="n">
        <v>8825</v>
      </c>
      <c r="D2589" s="3" t="inlineStr">
        <is>
          <t>Маэстро</t>
        </is>
      </c>
      <c r="E2589" s="2" t="n">
        <v>1990</v>
      </c>
      <c r="F2589" s="2" t="inlineStr">
        <is>
          <t>кинофильм</t>
        </is>
      </c>
      <c r="G2589" s="2" t="n"/>
      <c r="H2589" s="2" t="n">
        <v>175</v>
      </c>
      <c r="I2589" s="2" t="inlineStr"/>
      <c r="J2589" s="2" t="inlineStr">
        <is>
          <t>да</t>
        </is>
      </c>
      <c r="K2589" s="3" t="inlineStr">
        <is>
          <t>Фильм снят по мотивам новеллы Аншлавса Эглитиса "Маэстро". Художественный мир тридцатых годов XX века. Прообразом главного героя стал известный латвийский художник Роман Сута.</t>
        </is>
      </c>
      <c r="L2589" s="2" t="inlineStr">
        <is>
          <t>Кино_СССР сводный каталог.xlsx: список фильмов (доп.)</t>
        </is>
      </c>
      <c r="M2589" s="2">
        <f>HYPERLINK("https://ru.wikipedia.org/w/index.php?search=%D0%9C%D0%B0%D1%8D%D1%81%D1%82%D1%80%D0%BE%201990%20%D1%84%D0%B8%D0%BB%D1%8C%D0%BC","искать")</f>
        <v/>
      </c>
      <c r="N2589" s="3" t="n"/>
      <c r="O2589" s="2" t="n"/>
      <c r="P2589" s="2" t="n"/>
    </row>
    <row r="2590">
      <c r="A2590" s="2" t="n">
        <v>2589</v>
      </c>
      <c r="B2590" s="2" t="inlineStr">
        <is>
          <t>не сюжет</t>
        </is>
      </c>
      <c r="C2590" s="2" t="n">
        <v>11387</v>
      </c>
      <c r="D2590" s="3" t="inlineStr">
        <is>
          <t>Аршак II</t>
        </is>
      </c>
      <c r="E2590" s="2" t="n">
        <v>1988</v>
      </c>
      <c r="F2590" s="2" t="inlineStr">
        <is>
          <t>фильм-опера/балет</t>
        </is>
      </c>
      <c r="G2590" s="2" t="n"/>
      <c r="H2590" s="2" t="n">
        <v>175</v>
      </c>
      <c r="I2590" s="2" t="inlineStr"/>
      <c r="J2590" s="2" t="inlineStr">
        <is>
          <t>да</t>
        </is>
      </c>
      <c r="K2590" s="3" t="inlineStr">
        <is>
          <t>Экранизация оперы Тиграна Чухаджяна о борьбе армянского народа за свою свободу и независимость. Действие происходит в 346 году. Главное действующее лицо оперы - царь Аршак II.</t>
        </is>
      </c>
      <c r="L2590" s="2" t="inlineStr">
        <is>
          <t>Кино_СССР телефильмы и пропуски включить в базу.xlsx</t>
        </is>
      </c>
      <c r="M2590" s="2">
        <f>HYPERLINK("https://ru.wikipedia.org/w/index.php?search=%D0%90%D1%80%D1%88%D0%B0%D0%BA%20II%201988%20%D1%84%D0%B8%D0%BB%D1%8C%D0%BC","искать")</f>
        <v/>
      </c>
      <c r="N2590" s="3" t="n"/>
      <c r="O2590" s="2" t="n"/>
      <c r="P2590" s="2" t="n"/>
    </row>
    <row r="2591">
      <c r="A2591" s="2" t="n">
        <v>2590</v>
      </c>
      <c r="B2591" s="2" t="inlineStr">
        <is>
          <t>не сюжет</t>
        </is>
      </c>
      <c r="C2591" s="2" t="n">
        <v>13447</v>
      </c>
      <c r="D2591" s="3" t="inlineStr">
        <is>
          <t>Шалтай-Болтай</t>
        </is>
      </c>
      <c r="E2591" s="2" t="n">
        <v>1983</v>
      </c>
      <c r="F2591" s="2" t="inlineStr">
        <is>
          <t>мультфильм</t>
        </is>
      </c>
      <c r="G2591" s="2" t="inlineStr">
        <is>
          <t>ЭКРАН</t>
        </is>
      </c>
      <c r="H2591" s="2" t="n">
        <v>175</v>
      </c>
      <c r="I2591" s="2" t="inlineStr"/>
      <c r="J2591" s="2" t="inlineStr">
        <is>
          <t>да</t>
        </is>
      </c>
      <c r="K2591" s="3" t="inlineStr">
        <is>
          <t>Музыкальная фантазия со смешными и забавными зверюшками и сказочными героями по мотивам детской считалочки из книги "Алиса в Зазеркалье" Льюиса Кэрролла в переводе С. Маршака.</t>
        </is>
      </c>
      <c r="L2591" s="2" t="inlineStr">
        <is>
          <t>2026-10_мультфильмы_список_владельца.xlsx; https://animator.ru/db/?p=show_film&amp;fid=4728</t>
        </is>
      </c>
      <c r="M2591" s="2">
        <f>HYPERLINK("https://ru.wikipedia.org/w/index.php?search=%D0%A8%D0%B0%D0%BB%D1%82%D0%B0%D0%B9-%D0%91%D0%BE%D0%BB%D1%82%D0%B0%D0%B9%201983%20%D1%84%D0%B8%D0%BB%D1%8C%D0%BC","искать")</f>
        <v/>
      </c>
      <c r="N2591" s="3" t="n"/>
      <c r="O2591" s="2" t="n"/>
      <c r="P2591" s="2" t="n"/>
    </row>
    <row r="2592">
      <c r="A2592" s="2" t="n">
        <v>2591</v>
      </c>
      <c r="B2592" s="2" t="inlineStr">
        <is>
          <t>не сюжет</t>
        </is>
      </c>
      <c r="C2592" s="2" t="n">
        <v>8159</v>
      </c>
      <c r="D2592" s="3" t="inlineStr">
        <is>
          <t>Помолвка в Боготоле</t>
        </is>
      </c>
      <c r="E2592" s="2" t="n">
        <v>1978</v>
      </c>
      <c r="F2592" s="2" t="inlineStr">
        <is>
          <t>телефильм</t>
        </is>
      </c>
      <c r="G2592" s="2" t="n"/>
      <c r="H2592" s="2" t="n">
        <v>176</v>
      </c>
      <c r="I2592" s="2" t="inlineStr"/>
      <c r="J2592" s="2" t="inlineStr">
        <is>
          <t>да</t>
        </is>
      </c>
      <c r="K2592" s="3" t="inlineStr">
        <is>
          <t>Телефильм обращается к сложным человеческим взаимоотношениям, в которых даже искусно спрятанная фальшь не может не коснуться самих героев, приводит их к неминуемому отчуждению.</t>
        </is>
      </c>
      <c r="L2592" s="2" t="inlineStr">
        <is>
          <t>Кино_СССР сводный каталог.xlsx: список телефильмов</t>
        </is>
      </c>
      <c r="M2592" s="2">
        <f>HYPERLINK("https://ru.wikipedia.org/w/index.php?search=%D0%9F%D0%BE%D0%BC%D0%BE%D0%BB%D0%B2%D0%BA%D0%B0%20%D0%B2%20%D0%91%D0%BE%D0%B3%D0%BE%D1%82%D0%BE%D0%BB%D0%B5%201978%20%D1%84%D0%B8%D0%BB%D1%8C%D0%BC","искать")</f>
        <v/>
      </c>
      <c r="N2592" s="3" t="n"/>
      <c r="O2592" s="2" t="n"/>
      <c r="P2592" s="2" t="n"/>
    </row>
    <row r="2593">
      <c r="A2593" s="2" t="n">
        <v>2592</v>
      </c>
      <c r="B2593" s="2" t="inlineStr">
        <is>
          <t>не сюжет</t>
        </is>
      </c>
      <c r="C2593" s="2" t="n">
        <v>9782</v>
      </c>
      <c r="D2593" s="3" t="inlineStr">
        <is>
          <t>Этюды о Врубеле</t>
        </is>
      </c>
      <c r="E2593" s="2" t="n">
        <v>1989</v>
      </c>
      <c r="F2593" s="2" t="inlineStr">
        <is>
          <t>кинофильм</t>
        </is>
      </c>
      <c r="G2593" s="2" t="n"/>
      <c r="H2593" s="2" t="n">
        <v>176</v>
      </c>
      <c r="I2593" s="2" t="inlineStr"/>
      <c r="J2593" s="2" t="inlineStr">
        <is>
          <t>да</t>
        </is>
      </c>
      <c r="K2593" s="3" t="inlineStr">
        <is>
          <t>Картина посвящена творчеству художника Михаила Врубеля (1856-1910) и рассказывает о киевском периоде его жизни. В фильме использована музыка Скрябина, Рахманинова, Рубинштейна.</t>
        </is>
      </c>
      <c r="L2593" s="2" t="inlineStr">
        <is>
          <t>Кино_СССР сводный каталог.xlsx: список фильмов (доп.)</t>
        </is>
      </c>
      <c r="M2593" s="2">
        <f>HYPERLINK("https://ru.wikipedia.org/w/index.php?search=%D0%AD%D1%82%D1%8E%D0%B4%D1%8B%20%D0%BE%20%D0%92%D1%80%D1%83%D0%B1%D0%B5%D0%BB%D0%B5%201989%20%D1%84%D0%B8%D0%BB%D1%8C%D0%BC","искать")</f>
        <v/>
      </c>
      <c r="N2593" s="3" t="n"/>
      <c r="O2593" s="2" t="n"/>
      <c r="P2593" s="2" t="n"/>
    </row>
    <row r="2594">
      <c r="A2594" s="2" t="n">
        <v>2593</v>
      </c>
      <c r="B2594" s="2" t="inlineStr">
        <is>
          <t>не сюжет</t>
        </is>
      </c>
      <c r="C2594" s="2" t="n">
        <v>10195</v>
      </c>
      <c r="D2594" s="3" t="inlineStr">
        <is>
          <t>Зависть</t>
        </is>
      </c>
      <c r="E2594" s="2" t="n">
        <v>1967</v>
      </c>
      <c r="F2594" s="2" t="inlineStr">
        <is>
          <t>фильм-спектакль</t>
        </is>
      </c>
      <c r="G2594" s="2" t="inlineStr">
        <is>
          <t>Ленинградское ТВ</t>
        </is>
      </c>
      <c r="H2594" s="2" t="n">
        <v>176</v>
      </c>
      <c r="I2594" s="2" t="inlineStr"/>
      <c r="J2594" s="2" t="inlineStr">
        <is>
          <t>да</t>
        </is>
      </c>
      <c r="K2594" s="3" t="inlineStr">
        <is>
          <t>Телевизионный спектакль по одноименному роману Юрия Олеши с участием актеров Ленинградского БДТ им. М.Горького.
Один из немногих спектаклей с Павлом Луспекаевым в главной роли.</t>
        </is>
      </c>
      <c r="L2594" s="2" t="inlineStr">
        <is>
          <t>https://www.kino-teatr.ru/teatr/movie/61965/annot/</t>
        </is>
      </c>
      <c r="M2594" s="2">
        <f>HYPERLINK("https://ru.wikipedia.org/w/index.php?search=%D0%97%D0%B0%D0%B2%D0%B8%D1%81%D1%82%D1%8C%201967%20%D1%84%D0%B8%D0%BB%D1%8C%D0%BC","искать")</f>
        <v/>
      </c>
      <c r="N2594" s="3" t="n"/>
      <c r="O2594" s="2" t="n"/>
      <c r="P2594" s="2" t="n"/>
    </row>
    <row r="2595">
      <c r="A2595" s="2" t="n">
        <v>2594</v>
      </c>
      <c r="B2595" s="2" t="inlineStr">
        <is>
          <t>не сюжет</t>
        </is>
      </c>
      <c r="C2595" s="2" t="n">
        <v>11001</v>
      </c>
      <c r="D2595" s="3" t="inlineStr">
        <is>
          <t>Ночной дилижанс</t>
        </is>
      </c>
      <c r="E2595" s="2" t="n">
        <v>1983</v>
      </c>
      <c r="F2595" s="2" t="inlineStr">
        <is>
          <t>фильм-спектакль</t>
        </is>
      </c>
      <c r="G2595" s="2" t="inlineStr">
        <is>
          <t>Ленинградское ТВ</t>
        </is>
      </c>
      <c r="H2595" s="2" t="n">
        <v>176</v>
      </c>
      <c r="I2595" s="2" t="inlineStr"/>
      <c r="J2595" s="2" t="inlineStr">
        <is>
          <t>да</t>
        </is>
      </c>
      <c r="K2595" s="3" t="inlineStr">
        <is>
          <t>Спектакль-опера Сергея Баневича.
По рассказу К.Паустовского о Гансе-Кристиане Андерсене.
Вокальные партии - Татьяна Новикова, Елена Дриацкая и Валерий Лебедь (и группа "Мост").</t>
        </is>
      </c>
      <c r="L2595" s="2" t="inlineStr">
        <is>
          <t>https://www.kino-teatr.ru/teatr/movie/10783/annot/</t>
        </is>
      </c>
      <c r="M2595" s="2">
        <f>HYPERLINK("https://ru.wikipedia.org/w/index.php?search=%D0%9D%D0%BE%D1%87%D0%BD%D0%BE%D0%B9%20%D0%B4%D0%B8%D0%BB%D0%B8%D0%B6%D0%B0%D0%BD%D1%81%201983%20%D1%84%D0%B8%D0%BB%D1%8C%D0%BC","искать")</f>
        <v/>
      </c>
      <c r="N2595" s="3" t="n"/>
      <c r="O2595" s="2" t="n"/>
      <c r="P2595" s="2" t="n"/>
    </row>
    <row r="2596">
      <c r="A2596" s="2" t="n">
        <v>2595</v>
      </c>
      <c r="B2596" s="2" t="inlineStr">
        <is>
          <t>не сюжет</t>
        </is>
      </c>
      <c r="C2596" s="2" t="n">
        <v>11043</v>
      </c>
      <c r="D2596" s="3" t="inlineStr">
        <is>
          <t>Стрела Робин Гуда</t>
        </is>
      </c>
      <c r="E2596" s="2" t="n">
        <v>1984</v>
      </c>
      <c r="F2596" s="2" t="inlineStr">
        <is>
          <t>фильм-спектакль</t>
        </is>
      </c>
      <c r="G2596" s="2" t="inlineStr">
        <is>
          <t>ТО "Экран"</t>
        </is>
      </c>
      <c r="H2596" s="2" t="n">
        <v>176</v>
      </c>
      <c r="I2596" s="2" t="inlineStr"/>
      <c r="J2596" s="2" t="inlineStr">
        <is>
          <t>да</t>
        </is>
      </c>
      <c r="K2596" s="3" t="inlineStr">
        <is>
          <t>Телеэкранизация одноименной пьесы С.Прокофьевой и И.Токмаковой в постановке Центрального академического театра Советской Армии. В основе пьесы - известная легенда о Робин Гуде.</t>
        </is>
      </c>
      <c r="L2596" s="2" t="inlineStr">
        <is>
          <t>https://www.kino-teatr.ru/teatr/movie/17444/annot/</t>
        </is>
      </c>
      <c r="M2596" s="2">
        <f>HYPERLINK("https://ru.wikipedia.org/w/index.php?search=%D0%A1%D1%82%D1%80%D0%B5%D0%BB%D0%B0%20%D0%A0%D0%BE%D0%B1%D0%B8%D0%BD%20%D0%93%D1%83%D0%B4%D0%B0%201984%20%D1%84%D0%B8%D0%BB%D1%8C%D0%BC","искать")</f>
        <v/>
      </c>
      <c r="N2596" s="3" t="n"/>
      <c r="O2596" s="2" t="n"/>
      <c r="P2596" s="2" t="n"/>
    </row>
    <row r="2597">
      <c r="A2597" s="2" t="n">
        <v>2596</v>
      </c>
      <c r="B2597" s="2" t="inlineStr">
        <is>
          <t>не сюжет</t>
        </is>
      </c>
      <c r="C2597" s="2" t="n">
        <v>11403</v>
      </c>
      <c r="D2597" s="3" t="inlineStr">
        <is>
          <t>Мук (Мультипликационный крокодил) n 3</t>
        </is>
      </c>
      <c r="E2597" s="2" t="n">
        <v>1960</v>
      </c>
      <c r="F2597" s="2" t="inlineStr">
        <is>
          <t>мультфильм</t>
        </is>
      </c>
      <c r="G2597" s="2" t="inlineStr">
        <is>
          <t>Союзмультфильм</t>
        </is>
      </c>
      <c r="H2597" s="2" t="n">
        <v>176</v>
      </c>
      <c r="I2597" s="2" t="inlineStr"/>
      <c r="J2597" s="2" t="inlineStr">
        <is>
          <t>да</t>
        </is>
      </c>
      <c r="K2597" s="3" t="inlineStr">
        <is>
          <t>Сатирический мультжурнал для взрослых (5 сюжетов: о тунеядцах, о расточителях электроэнергии, о ленивых школьниках и взрослых и частущки о высоком качестве советской синтетики)</t>
        </is>
      </c>
      <c r="L2597" s="2" t="inlineStr">
        <is>
          <t>https://animator.ru/db/?p=show_film&amp;fid=2058</t>
        </is>
      </c>
      <c r="M2597" s="2">
        <f>HYPERLINK("https://ru.wikipedia.org/w/index.php?search=%D0%9C%D1%83%D0%BA%20%28%D0%9C%D1%83%D0%BB%D1%8C%D1%82%D0%B8%D0%BF%D0%BB%D0%B8%D0%BA%D0%B0%D1%86%D0%B8%D0%BE%D0%BD%D0%BD%D1%8B%D0%B9%20%D0%BA%D1%80%D0%BE%D0%BA%D0%BE%D0%B4%D0%B8%D0%BB%29%20n%203%201960%20%D1%84%D0%B8%D0%BB%D1%8C%D0%BC","искать")</f>
        <v/>
      </c>
      <c r="N2597" s="3" t="n"/>
      <c r="O2597" s="2" t="n"/>
      <c r="P2597" s="2" t="n"/>
    </row>
    <row r="2598">
      <c r="A2598" s="2" t="n">
        <v>2597</v>
      </c>
      <c r="B2598" s="2" t="inlineStr">
        <is>
          <t>не сюжет</t>
        </is>
      </c>
      <c r="C2598" s="2" t="n">
        <v>8656</v>
      </c>
      <c r="D2598" s="3" t="inlineStr">
        <is>
          <t>Влияние на автомобиль внешних сил</t>
        </is>
      </c>
      <c r="E2598" s="2" t="n">
        <v>1972</v>
      </c>
      <c r="F2598" s="2" t="inlineStr">
        <is>
          <t>не игровое</t>
        </is>
      </c>
      <c r="G2598" s="2" t="n"/>
      <c r="H2598" s="2" t="n">
        <v>177</v>
      </c>
      <c r="I2598" s="2" t="inlineStr"/>
      <c r="J2598" s="2" t="inlineStr">
        <is>
          <t>да</t>
        </is>
      </c>
      <c r="K2598" s="3" t="inlineStr">
        <is>
          <t>Постановочный учебный фильм кинокурса "Основы безопасности движения". Снят по заказу Государственного комитета Совета Министров СССР по профессионально-техническому образованию.</t>
        </is>
      </c>
      <c r="L2598" s="2" t="inlineStr">
        <is>
          <t>Кино_СССР сводный каталог.xlsx: список фильмов (доп.)</t>
        </is>
      </c>
      <c r="M2598" s="2">
        <f>HYPERLINK("https://ru.wikipedia.org/w/index.php?search=%D0%92%D0%BB%D0%B8%D1%8F%D0%BD%D0%B8%D0%B5%20%D0%BD%D0%B0%20%D0%B0%D0%B2%D1%82%D0%BE%D0%BC%D0%BE%D0%B1%D0%B8%D0%BB%D1%8C%20%D0%B2%D0%BD%D0%B5%D1%88%D0%BD%D0%B8%D1%85%20%D1%81%D0%B8%D0%BB%201972%20%D1%84%D0%B8%D0%BB%D1%8C%D0%BC","искать")</f>
        <v/>
      </c>
      <c r="N2598" s="3" t="n"/>
      <c r="O2598" s="2" t="n"/>
      <c r="P2598" s="2" t="n"/>
    </row>
    <row r="2599">
      <c r="A2599" s="2" t="n">
        <v>2598</v>
      </c>
      <c r="B2599" s="2" t="inlineStr">
        <is>
          <t>не сюжет</t>
        </is>
      </c>
      <c r="C2599" s="2" t="n">
        <v>9143</v>
      </c>
      <c r="D2599" s="3" t="inlineStr">
        <is>
          <t>Хамелеон</t>
        </is>
      </c>
      <c r="E2599" s="2" t="n">
        <v>1989</v>
      </c>
      <c r="F2599" s="2" t="inlineStr">
        <is>
          <t>кинофильм</t>
        </is>
      </c>
      <c r="G2599" s="2" t="n"/>
      <c r="H2599" s="2" t="n">
        <v>177</v>
      </c>
      <c r="I2599" s="2" t="inlineStr"/>
      <c r="J2599" s="2" t="inlineStr">
        <is>
          <t>да</t>
        </is>
      </c>
      <c r="K2599" s="3" t="inlineStr">
        <is>
          <t>Фильм поставлен по роману Йонаса Авижюса "Цвета хамелеона". Это рассказ об интеллигенции 80-х годов, о девальвации духовных ценностей, о приспособленчестве в семье и в обществе.</t>
        </is>
      </c>
      <c r="L2599" s="2" t="inlineStr">
        <is>
          <t>Кино_СССР сводный каталог.xlsx: список фильмов (доп.)</t>
        </is>
      </c>
      <c r="M2599" s="2">
        <f>HYPERLINK("https://ru.wikipedia.org/w/index.php?search=%D0%A5%D0%B0%D0%BC%D0%B5%D0%BB%D0%B5%D0%BE%D0%BD%201989%20%D1%84%D0%B8%D0%BB%D1%8C%D0%BC","искать")</f>
        <v/>
      </c>
      <c r="N2599" s="3" t="n"/>
      <c r="O2599" s="2" t="n"/>
      <c r="P2599" s="2" t="n"/>
    </row>
    <row r="2600">
      <c r="A2600" s="2" t="n">
        <v>2599</v>
      </c>
      <c r="B2600" s="2" t="inlineStr">
        <is>
          <t>не сюжет</t>
        </is>
      </c>
      <c r="C2600" s="2" t="n">
        <v>9235</v>
      </c>
      <c r="D2600" s="3" t="inlineStr">
        <is>
          <t>Береги друга</t>
        </is>
      </c>
      <c r="E2600" s="2" t="n">
        <v>1972</v>
      </c>
      <c r="F2600" s="2" t="inlineStr">
        <is>
          <t>кинофильм</t>
        </is>
      </c>
      <c r="G2600" s="2" t="n"/>
      <c r="H2600" s="2" t="n">
        <v>178</v>
      </c>
      <c r="I2600" s="2" t="inlineStr"/>
      <c r="J2600" s="2" t="inlineStr">
        <is>
          <t>да</t>
        </is>
      </c>
      <c r="K2600" s="3" t="inlineStr">
        <is>
          <t>О жизни современных советских ребят, их устремлениях, мечтах и надеждах, о нравственных поисках, присущих их возрасту, о становлении характеров представителей молодого поколения.</t>
        </is>
      </c>
      <c r="L2600" s="2" t="inlineStr">
        <is>
          <t>Кино_СССР сводный каталог.xlsx: список фильмов (доп.)</t>
        </is>
      </c>
      <c r="M2600" s="2">
        <f>HYPERLINK("https://ru.wikipedia.org/w/index.php?search=%D0%91%D0%B5%D1%80%D0%B5%D0%B3%D0%B8%20%D0%B4%D1%80%D1%83%D0%B3%D0%B0%201972%20%D1%84%D0%B8%D0%BB%D1%8C%D0%BC","искать")</f>
        <v/>
      </c>
      <c r="N2600" s="3" t="n"/>
      <c r="O2600" s="2" t="n"/>
      <c r="P2600" s="2" t="n"/>
    </row>
    <row r="2601">
      <c r="A2601" s="2" t="n">
        <v>2600</v>
      </c>
      <c r="B2601" s="2" t="inlineStr">
        <is>
          <t>не сюжет</t>
        </is>
      </c>
      <c r="C2601" s="2" t="n">
        <v>11318</v>
      </c>
      <c r="D2601" s="3" t="inlineStr">
        <is>
          <t>Пять столбов на рыночной площади</t>
        </is>
      </c>
      <c r="E2601" s="2" t="n">
        <v>1990</v>
      </c>
      <c r="F2601" s="2" t="inlineStr">
        <is>
          <t>фильм-спектакль</t>
        </is>
      </c>
      <c r="G2601" s="2" t="inlineStr">
        <is>
          <t>Литовское телевидение</t>
        </is>
      </c>
      <c r="H2601" s="2" t="n">
        <v>178</v>
      </c>
      <c r="I2601" s="2" t="inlineStr"/>
      <c r="J2601" s="2" t="inlineStr">
        <is>
          <t>да</t>
        </is>
      </c>
      <c r="K2601" s="3" t="inlineStr">
        <is>
          <t>Спектакль по пьесе А.Ландсбергиса.
Партизанская борьба в послевоенной Литве. Юность, любовь, жертвы во имя родины переплетаются в клубок вопросов и проблем о цене и смысле жизни.</t>
        </is>
      </c>
      <c r="L2601" s="2" t="inlineStr">
        <is>
          <t>https://www.kino-teatr.ru/teatr/movie/108038/annot/</t>
        </is>
      </c>
      <c r="M2601" s="2">
        <f>HYPERLINK("https://ru.wikipedia.org/w/index.php?search=%D0%9F%D1%8F%D1%82%D1%8C%20%D1%81%D1%82%D0%BE%D0%BB%D0%B1%D0%BE%D0%B2%20%D0%BD%D0%B0%20%D1%80%D1%8B%D0%BD%D0%BE%D1%87%D0%BD%D0%BE%D0%B9%20%D0%BF%D0%BB%D0%BE%D1%89%D0%B0%D0%B4%D0%B8%201990%20%D1%84%D0%B8%D0%BB%D1%8C%D0%BC","искать")</f>
        <v/>
      </c>
      <c r="N2601" s="3" t="n"/>
      <c r="O2601" s="2" t="n"/>
      <c r="P2601" s="2" t="n"/>
    </row>
    <row r="2602">
      <c r="A2602" s="2" t="n">
        <v>2601</v>
      </c>
      <c r="B2602" s="2" t="inlineStr">
        <is>
          <t>не сюжет</t>
        </is>
      </c>
      <c r="C2602" s="2" t="n">
        <v>12722</v>
      </c>
      <c r="D2602" s="3" t="inlineStr">
        <is>
          <t>Сотвори мечту</t>
        </is>
      </c>
      <c r="E2602" s="2" t="n">
        <v>1979</v>
      </c>
      <c r="F2602" s="2" t="inlineStr">
        <is>
          <t>мультфильм</t>
        </is>
      </c>
      <c r="G2602" s="2" t="inlineStr">
        <is>
          <t>АЗЕРБАЙДЖАНФИЛЬМ</t>
        </is>
      </c>
      <c r="H2602" s="2" t="n">
        <v>178</v>
      </c>
      <c r="I2602" s="2" t="inlineStr"/>
      <c r="J2602" s="2" t="inlineStr">
        <is>
          <t>да</t>
        </is>
      </c>
      <c r="K2602" s="3" t="inlineStr">
        <is>
          <t>Фантазия о соприкосновении мира художника с обыденностью (для взрослых). Техника совмещения двойной и тройной экспозиции, "живых" актеров, марионеток, рисованных и объемных фонов</t>
        </is>
      </c>
      <c r="L2602" s="2" t="inlineStr">
        <is>
          <t>https://animator.ru/db/?p=show_film&amp;fid=3928</t>
        </is>
      </c>
      <c r="M2602" s="2">
        <f>HYPERLINK("https://ru.wikipedia.org/w/index.php?search=%D0%A1%D0%BE%D1%82%D0%B2%D0%BE%D1%80%D0%B8%20%D0%BC%D0%B5%D1%87%D1%82%D1%83%201979%20%D1%84%D0%B8%D0%BB%D1%8C%D0%BC","искать")</f>
        <v/>
      </c>
      <c r="N2602" s="3" t="n"/>
      <c r="O2602" s="2" t="n"/>
      <c r="P2602" s="2" t="n"/>
    </row>
    <row r="2603">
      <c r="A2603" s="2" t="n">
        <v>2602</v>
      </c>
      <c r="B2603" s="2" t="inlineStr">
        <is>
          <t>не сюжет</t>
        </is>
      </c>
      <c r="C2603" s="2" t="n">
        <v>10546</v>
      </c>
      <c r="D2603" s="3" t="inlineStr">
        <is>
          <t>Болдинская осень</t>
        </is>
      </c>
      <c r="E2603" s="2" t="n">
        <v>1974</v>
      </c>
      <c r="F2603" s="2" t="inlineStr">
        <is>
          <t>фильм-спектакль</t>
        </is>
      </c>
      <c r="G2603" s="2" t="inlineStr">
        <is>
          <t>Ленинградское телевидение СССР</t>
        </is>
      </c>
      <c r="H2603" s="2" t="n">
        <v>179</v>
      </c>
      <c r="I2603" s="2" t="inlineStr"/>
      <c r="J2603" s="2" t="inlineStr">
        <is>
          <t>да</t>
        </is>
      </c>
      <c r="K2603" s="3" t="inlineStr">
        <is>
          <t>Сцены из спектаклей Ленинградского государственного академического театра драмы им. А.С. Пушкина "Болдинская осень"(Ю.Свирин) и "Скупой рыцарь" ("Маленькие трагедии" А.С.Пушкина).</t>
        </is>
      </c>
      <c r="L2603" s="2" t="inlineStr">
        <is>
          <t>https://www.kino-teatr.ru/teatr/movie/103934/annot/</t>
        </is>
      </c>
      <c r="M2603" s="2">
        <f>HYPERLINK("https://ru.wikipedia.org/w/index.php?search=%D0%91%D0%BE%D0%BB%D0%B4%D0%B8%D0%BD%D1%81%D0%BA%D0%B0%D1%8F%20%D0%BE%D1%81%D0%B5%D0%BD%D1%8C%201974%20%D1%84%D0%B8%D0%BB%D1%8C%D0%BC","искать")</f>
        <v/>
      </c>
      <c r="N2603" s="3" t="n"/>
      <c r="O2603" s="2" t="n"/>
      <c r="P2603" s="2" t="n"/>
    </row>
    <row r="2604">
      <c r="A2604" s="2" t="n">
        <v>2603</v>
      </c>
      <c r="B2604" s="2" t="inlineStr">
        <is>
          <t>не сюжет</t>
        </is>
      </c>
      <c r="C2604" s="2" t="n">
        <v>10647</v>
      </c>
      <c r="D2604" s="3" t="inlineStr">
        <is>
          <t>К вашему Солнцу</t>
        </is>
      </c>
      <c r="E2604" s="2" t="n">
        <v>1976</v>
      </c>
      <c r="F2604" s="2" t="inlineStr">
        <is>
          <t>фильм-спектакль</t>
        </is>
      </c>
      <c r="G2604" s="2" t="inlineStr">
        <is>
          <t>Эстонское телевидение</t>
        </is>
      </c>
      <c r="H2604" s="2" t="n">
        <v>179</v>
      </c>
      <c r="I2604" s="2" t="inlineStr"/>
      <c r="J2604" s="2" t="inlineStr">
        <is>
          <t>да</t>
        </is>
      </c>
      <c r="K2604" s="3" t="inlineStr">
        <is>
          <t>Спектакль на революционную тему.
Поставлен по произведению эстонского советского писателя Фридеберта Тугласа (1886-1971) к 60-летию Великой Октябрьской Социалистической Революции.</t>
        </is>
      </c>
      <c r="L2604" s="2" t="inlineStr">
        <is>
          <t>https://www.kino-teatr.ru/teatr/movie/161249/annot/</t>
        </is>
      </c>
      <c r="M2604" s="2">
        <f>HYPERLINK("https://ru.wikipedia.org/w/index.php?search=%D0%9A%20%D0%B2%D0%B0%D1%88%D0%B5%D0%BC%D1%83%20%D0%A1%D0%BE%D0%BB%D0%BD%D1%86%D1%83%201976%20%D1%84%D0%B8%D0%BB%D1%8C%D0%BC","искать")</f>
        <v/>
      </c>
      <c r="N2604" s="3" t="n"/>
      <c r="O2604" s="2" t="n"/>
      <c r="P2604" s="2" t="n"/>
    </row>
    <row r="2605">
      <c r="A2605" s="2" t="n">
        <v>2604</v>
      </c>
      <c r="B2605" s="2" t="inlineStr">
        <is>
          <t>не сюжет</t>
        </is>
      </c>
      <c r="C2605" s="2" t="n">
        <v>10663</v>
      </c>
      <c r="D2605" s="3" t="inlineStr">
        <is>
          <t>Письма XII века</t>
        </is>
      </c>
      <c r="E2605" s="2" t="n">
        <v>1976</v>
      </c>
      <c r="F2605" s="2" t="inlineStr">
        <is>
          <t>фильм-спектакль</t>
        </is>
      </c>
      <c r="G2605" s="2" t="inlineStr">
        <is>
          <t>Центральное телевидение</t>
        </is>
      </c>
      <c r="H2605" s="2" t="n">
        <v>179</v>
      </c>
      <c r="I2605" s="2" t="inlineStr"/>
      <c r="J2605" s="2" t="inlineStr">
        <is>
          <t>да</t>
        </is>
      </c>
      <c r="K2605" s="3" t="inlineStr">
        <is>
          <t>Телеспектакль рассказывает о жизни ученых-археологов, об истинных служителях науки, для которых она представляет смысл жизни, и о людях, думающих только о карьере и личной выгоде.</t>
        </is>
      </c>
      <c r="L2605" s="2" t="inlineStr">
        <is>
          <t>https://www.kino-teatr.ru/teatr/movie/100949/annot/</t>
        </is>
      </c>
      <c r="M2605" s="2">
        <f>HYPERLINK("https://ru.wikipedia.org/w/index.php?search=%D0%9F%D0%B8%D1%81%D1%8C%D0%BC%D0%B0%20XII%20%D0%B2%D0%B5%D0%BA%D0%B0%201976%20%D1%84%D0%B8%D0%BB%D1%8C%D0%BC","искать")</f>
        <v/>
      </c>
      <c r="N2605" s="3" t="n"/>
      <c r="O2605" s="2" t="n"/>
      <c r="P2605" s="2" t="n"/>
    </row>
    <row r="2606">
      <c r="A2606" s="2" t="n">
        <v>2605</v>
      </c>
      <c r="B2606" s="2" t="inlineStr">
        <is>
          <t>не сюжет</t>
        </is>
      </c>
      <c r="C2606" s="2" t="n">
        <v>12282</v>
      </c>
      <c r="D2606" s="3" t="inlineStr">
        <is>
          <t>Невиданная неслыханная</t>
        </is>
      </c>
      <c r="E2606" s="2" t="n">
        <v>1990</v>
      </c>
      <c r="F2606" s="2" t="inlineStr">
        <is>
          <t>мультфильм</t>
        </is>
      </c>
      <c r="G2606" s="2" t="inlineStr">
        <is>
          <t>Союзмультфильм</t>
        </is>
      </c>
      <c r="H2606" s="2" t="n">
        <v>179</v>
      </c>
      <c r="I2606" s="2" t="inlineStr"/>
      <c r="J2606" s="2" t="inlineStr">
        <is>
          <t>да</t>
        </is>
      </c>
      <c r="K2606" s="3" t="inlineStr">
        <is>
          <t>Решенный в жанре современной иронической сказки для юношества, этот фильм повествует о невиданной, неслыханной любви, которая способна преобразить человека, о стремлении к идеалу.</t>
        </is>
      </c>
      <c r="L2606" s="2" t="inlineStr">
        <is>
          <t>https://animator.ru/db/?p=show_film&amp;fid=3399</t>
        </is>
      </c>
      <c r="M2606" s="2">
        <f>HYPERLINK("https://ru.wikipedia.org/w/index.php?search=%D0%9D%D0%B5%D0%B2%D0%B8%D0%B4%D0%B0%D0%BD%D0%BD%D0%B0%D1%8F%20%D0%BD%D0%B5%D1%81%D0%BB%D1%8B%D1%85%D0%B0%D0%BD%D0%BD%D0%B0%D1%8F%201990%20%D1%84%D0%B8%D0%BB%D1%8C%D0%BC","искать")</f>
        <v/>
      </c>
      <c r="N2606" s="3" t="n"/>
      <c r="O2606" s="2" t="n"/>
      <c r="P2606" s="2" t="n"/>
    </row>
    <row r="2607">
      <c r="A2607" s="2" t="n">
        <v>2606</v>
      </c>
      <c r="B2607" s="2" t="inlineStr">
        <is>
          <t>не сюжет</t>
        </is>
      </c>
      <c r="C2607" s="2" t="n">
        <v>7958</v>
      </c>
      <c r="D2607" s="3" t="inlineStr">
        <is>
          <t>Не буду гангстером, дорогая</t>
        </is>
      </c>
      <c r="E2607" s="2" t="n">
        <v>1978</v>
      </c>
      <c r="F2607" s="2" t="inlineStr">
        <is>
          <t>телефильм</t>
        </is>
      </c>
      <c r="G2607" s="2" t="n"/>
      <c r="H2607" s="2" t="n">
        <v>180</v>
      </c>
      <c r="I2607" s="2" t="inlineStr"/>
      <c r="J2607" s="2" t="inlineStr">
        <is>
          <t>да</t>
        </is>
      </c>
      <c r="K2607" s="3" t="inlineStr">
        <is>
          <t>Телефильм снят по мотивам рассказов американского писателя О.Генри "Персики", "Русские соболя", "Дары волхов", "Фараон и хорал". События разворачиваются в Америке в начале ХХ века.</t>
        </is>
      </c>
      <c r="L2607" s="2" t="inlineStr">
        <is>
          <t>Кино_СССР сводный каталог.xlsx: список телефильмов</t>
        </is>
      </c>
      <c r="M2607" s="2">
        <f>HYPERLINK("https://ru.wikipedia.org/w/index.php?search=%D0%9D%D0%B5%20%D0%B1%D1%83%D0%B4%D1%83%20%D0%B3%D0%B0%D0%BD%D0%B3%D1%81%D1%82%D0%B5%D1%80%D0%BE%D0%BC%2C%20%D0%B4%D0%BE%D1%80%D0%BE%D0%B3%D0%B0%D1%8F%201978%20%D1%84%D0%B8%D0%BB%D1%8C%D0%BC","искать")</f>
        <v/>
      </c>
      <c r="N2607" s="3" t="n"/>
      <c r="O2607" s="2" t="n"/>
      <c r="P2607" s="2" t="n"/>
    </row>
    <row r="2608">
      <c r="A2608" s="2" t="n">
        <v>2607</v>
      </c>
      <c r="B2608" s="2" t="inlineStr">
        <is>
          <t>не сюжет</t>
        </is>
      </c>
      <c r="C2608" s="2" t="n">
        <v>10068</v>
      </c>
      <c r="D2608" s="3" t="inlineStr">
        <is>
          <t>Пахита</t>
        </is>
      </c>
      <c r="E2608" s="2" t="n">
        <v>1958</v>
      </c>
      <c r="F2608" s="2" t="inlineStr">
        <is>
          <t>фильм-спектакль</t>
        </is>
      </c>
      <c r="G2608" s="2" t="inlineStr">
        <is>
          <t>Ленфильм</t>
        </is>
      </c>
      <c r="H2608" s="2" t="n">
        <v>180</v>
      </c>
      <c r="I2608" s="2" t="inlineStr"/>
      <c r="J2608" s="2" t="inlineStr">
        <is>
          <t>да</t>
        </is>
      </c>
      <c r="K2608" s="3" t="inlineStr">
        <is>
          <t>Экранизация балетного спектакля на музыку Людвига Минкуса в Ленинградском академическом Малом оперном театре. Постановка балета Мариуса Петипа, возобновление Константина Боярского.</t>
        </is>
      </c>
      <c r="L2608" s="2" t="inlineStr">
        <is>
          <t>https://www.kino-teatr.ru/teatr/movie/97917/annot/</t>
        </is>
      </c>
      <c r="M2608" s="2">
        <f>HYPERLINK("https://ru.wikipedia.org/w/index.php?search=%D0%9F%D0%B0%D1%85%D0%B8%D1%82%D0%B0%201958%20%D1%84%D0%B8%D0%BB%D1%8C%D0%BC","искать")</f>
        <v/>
      </c>
      <c r="N2608" s="3" t="n"/>
      <c r="O2608" s="2" t="n"/>
      <c r="P2608" s="2" t="n"/>
    </row>
    <row r="2609">
      <c r="A2609" s="2" t="n">
        <v>2608</v>
      </c>
      <c r="B2609" s="2" t="inlineStr">
        <is>
          <t>не сюжет</t>
        </is>
      </c>
      <c r="C2609" s="2" t="n">
        <v>11796</v>
      </c>
      <c r="D2609" s="3" t="inlineStr">
        <is>
          <t>Зайка-зазнайка</t>
        </is>
      </c>
      <c r="E2609" s="2" t="n">
        <v>1976</v>
      </c>
      <c r="F2609" s="2" t="inlineStr">
        <is>
          <t>мультфильм</t>
        </is>
      </c>
      <c r="G2609" s="2" t="inlineStr">
        <is>
          <t>Союзмультфильм</t>
        </is>
      </c>
      <c r="H2609" s="2" t="n">
        <v>180</v>
      </c>
      <c r="I2609" s="2" t="inlineStr"/>
      <c r="J2609" s="2" t="inlineStr">
        <is>
          <t>да</t>
        </is>
      </c>
      <c r="K2609" s="3" t="inlineStr">
        <is>
          <t>Фильм Зайка-зазнайка поставлен по детской пьесе С. Михалкова. В форме веселой комедийной сказки фильм высмеивает зазнайство, пренебрежительное отношение к друзьям, неблагодарность.</t>
        </is>
      </c>
      <c r="L2609" s="2" t="inlineStr">
        <is>
          <t>https://animator.ru/db/?p=show_film&amp;fid=2710</t>
        </is>
      </c>
      <c r="M2609" s="2">
        <f>HYPERLINK("https://ru.wikipedia.org/w/index.php?search=%D0%97%D0%B0%D0%B9%D0%BA%D0%B0-%D0%B7%D0%B0%D0%B7%D0%BD%D0%B0%D0%B9%D0%BA%D0%B0%201976%20%D1%84%D0%B8%D0%BB%D1%8C%D0%BC","искать")</f>
        <v/>
      </c>
      <c r="N2609" s="3" t="n"/>
      <c r="O2609" s="2" t="n"/>
      <c r="P2609" s="2" t="n"/>
    </row>
    <row r="2610">
      <c r="A2610" s="2" t="n">
        <v>2609</v>
      </c>
      <c r="B2610" s="2" t="inlineStr">
        <is>
          <t>не сюжет</t>
        </is>
      </c>
      <c r="C2610" s="2" t="n">
        <v>13513</v>
      </c>
      <c r="D2610" s="3" t="inlineStr">
        <is>
          <t>5/4</t>
        </is>
      </c>
      <c r="E2610" s="2" t="n">
        <v>1990</v>
      </c>
      <c r="F2610" s="2" t="inlineStr">
        <is>
          <t>мультфильм</t>
        </is>
      </c>
      <c r="G2610" s="2" t="inlineStr">
        <is>
          <t>Пилот</t>
        </is>
      </c>
      <c r="H2610" s="2" t="n">
        <v>180</v>
      </c>
      <c r="I2610" s="2" t="inlineStr"/>
      <c r="J2610" s="2" t="inlineStr">
        <is>
          <t>да</t>
        </is>
      </c>
      <c r="K2610" s="3" t="inlineStr">
        <is>
          <t>Сюрреалистический этюд на музыку Пола Дезмонда и Дэвида Брубека. Для взрослых
I ВКФ "Дебют", Москва, 1990 -- Гран-при; МФ короткометражных фильмов "Оберхаузен91" -- Премия ФИПРЕССИ</t>
        </is>
      </c>
      <c r="L2610" s="2" t="inlineStr">
        <is>
          <t>https://animator.ru/db/?p=show_film&amp;fid=4804</t>
        </is>
      </c>
      <c r="M2610" s="2">
        <f>HYPERLINK("https://ru.wikipedia.org/w/index.php?search=5/4%201990%20%D1%84%D0%B8%D0%BB%D1%8C%D0%BC","искать")</f>
        <v/>
      </c>
      <c r="N2610" s="3" t="n"/>
      <c r="O2610" s="2" t="n"/>
      <c r="P2610" s="2" t="n"/>
    </row>
    <row r="2611">
      <c r="A2611" s="2" t="n">
        <v>2610</v>
      </c>
      <c r="B2611" s="2" t="inlineStr">
        <is>
          <t>не сюжет</t>
        </is>
      </c>
      <c r="C2611" s="2" t="n">
        <v>14230</v>
      </c>
      <c r="D2611" s="3" t="inlineStr">
        <is>
          <t>Шалости (4 выпуска)</t>
        </is>
      </c>
      <c r="E2611" s="2" t="n">
        <v>1990</v>
      </c>
      <c r="F2611" s="2" t="inlineStr">
        <is>
          <t>мультфильм</t>
        </is>
      </c>
      <c r="G2611" s="2" t="inlineStr">
        <is>
          <t>РИЖСКАЯ КИНОСТУДИЯ</t>
        </is>
      </c>
      <c r="H2611" s="2" t="n">
        <v>180</v>
      </c>
      <c r="I2611" s="2" t="inlineStr"/>
      <c r="J2611" s="2" t="inlineStr">
        <is>
          <t>да</t>
        </is>
      </c>
      <c r="K2611" s="3" t="inlineStr">
        <is>
          <t>ПО МОТИВАМ КОМИКСОВ вИЛЬНЕЛЬМА бУШАРеспубликанский КФ "Киноискусство Латвии 90" - Приз "Большой Кристап". МК анимационных фильмов "Крок 91" - Первое место в разряде детских фильмов</t>
        </is>
      </c>
      <c r="L2611" s="2" t="inlineStr">
        <is>
          <t>https://animator.ru/db/?p=show_film&amp;fid=5652</t>
        </is>
      </c>
      <c r="M2611" s="2">
        <f>HYPERLINK("https://ru.wikipedia.org/w/index.php?search=%D0%A8%D0%B0%D0%BB%D0%BE%D1%81%D1%82%D0%B8%20%284%20%D0%B2%D1%8B%D0%BF%D1%83%D1%81%D0%BA%D0%B0%29%201990%20%D1%84%D0%B8%D0%BB%D1%8C%D0%BC","искать")</f>
        <v/>
      </c>
      <c r="N2611" s="3" t="n"/>
      <c r="O2611" s="2" t="n"/>
      <c r="P2611" s="2" t="n"/>
    </row>
    <row r="2612">
      <c r="A2612" s="2" t="n">
        <v>2611</v>
      </c>
      <c r="B2612" s="2" t="inlineStr">
        <is>
          <t>не сюжет</t>
        </is>
      </c>
      <c r="C2612" s="2" t="n">
        <v>8880</v>
      </c>
      <c r="D2612" s="3" t="inlineStr">
        <is>
          <t>Ночной танец</t>
        </is>
      </c>
      <c r="E2612" s="2" t="n">
        <v>1991</v>
      </c>
      <c r="F2612" s="2" t="inlineStr">
        <is>
          <t>кинофильм</t>
        </is>
      </c>
      <c r="G2612" s="2" t="n"/>
      <c r="H2612" s="2" t="n">
        <v>181</v>
      </c>
      <c r="I2612" s="2" t="inlineStr"/>
      <c r="J2612" s="2" t="inlineStr">
        <is>
          <t>да</t>
        </is>
      </c>
      <c r="K2612" s="3" t="inlineStr">
        <is>
          <t>Серый запыленный провинциальный город. Самое примечательное в нем - цементный завод. Люди здесь живут простые, но на поверку чувства их оказываются прочными, сильными и человечными.</t>
        </is>
      </c>
      <c r="L2612" s="2" t="inlineStr">
        <is>
          <t>Кино_СССР сводный каталог.xlsx: список фильмов (доп.)</t>
        </is>
      </c>
      <c r="M2612" s="2">
        <f>HYPERLINK("https://ru.wikipedia.org/w/index.php?search=%D0%9D%D0%BE%D1%87%D0%BD%D0%BE%D0%B9%20%D1%82%D0%B0%D0%BD%D0%B5%D1%86%201991%20%D1%84%D0%B8%D0%BB%D1%8C%D0%BC","искать")</f>
        <v/>
      </c>
      <c r="N2612" s="3" t="n"/>
      <c r="O2612" s="2" t="n"/>
      <c r="P2612" s="2" t="n"/>
    </row>
    <row r="2613">
      <c r="A2613" s="2" t="n">
        <v>2612</v>
      </c>
      <c r="B2613" s="2" t="inlineStr">
        <is>
          <t>не сюжет</t>
        </is>
      </c>
      <c r="C2613" s="2" t="n">
        <v>11063</v>
      </c>
      <c r="D2613" s="3" t="inlineStr">
        <is>
          <t>Красный паша</t>
        </is>
      </c>
      <c r="E2613" s="2" t="n">
        <v>1985</v>
      </c>
      <c r="F2613" s="2" t="inlineStr">
        <is>
          <t>фильм-спектакль</t>
        </is>
      </c>
      <c r="G2613" s="2" t="inlineStr">
        <is>
          <t>ЦТ</t>
        </is>
      </c>
      <c r="H2613" s="2" t="n">
        <v>181</v>
      </c>
      <c r="I2613" s="2" t="inlineStr"/>
      <c r="J2613" s="2" t="inlineStr">
        <is>
          <t>да</t>
        </is>
      </c>
      <c r="K2613" s="3" t="inlineStr">
        <is>
          <t>Спектакль Башкирского театра им. Гафури (телеверсия показанная по Центральному телевидению).
О судьбе советского дипломата в арабских странах К.А.Хакимова по прозванию Красный Паша.</t>
        </is>
      </c>
      <c r="L2613" s="2" t="inlineStr">
        <is>
          <t>https://www.kino-teatr.ru/teatr/movie/135464/annot/</t>
        </is>
      </c>
      <c r="M2613" s="2">
        <f>HYPERLINK("https://ru.wikipedia.org/w/index.php?search=%D0%9A%D1%80%D0%B0%D1%81%D0%BD%D1%8B%D0%B9%20%D0%BF%D0%B0%D1%88%D0%B0%201985%20%D1%84%D0%B8%D0%BB%D1%8C%D0%BC","искать")</f>
        <v/>
      </c>
      <c r="N2613" s="3" t="n"/>
      <c r="O2613" s="2" t="n"/>
      <c r="P2613" s="2" t="n"/>
    </row>
    <row r="2614">
      <c r="A2614" s="2" t="n">
        <v>2613</v>
      </c>
      <c r="B2614" s="2" t="inlineStr">
        <is>
          <t>не сюжет</t>
        </is>
      </c>
      <c r="C2614" s="2" t="n">
        <v>9877</v>
      </c>
      <c r="D2614" s="3" t="inlineStr">
        <is>
          <t>Монолог</t>
        </is>
      </c>
      <c r="E2614" s="2" t="n">
        <v>1970</v>
      </c>
      <c r="F2614" s="2" t="inlineStr">
        <is>
          <t>телефильм</t>
        </is>
      </c>
      <c r="G2614" s="2" t="inlineStr">
        <is>
          <t>Экран</t>
        </is>
      </c>
      <c r="H2614" s="2" t="n">
        <v>182</v>
      </c>
      <c r="I2614" s="2" t="inlineStr"/>
      <c r="J2614" s="2" t="inlineStr">
        <is>
          <t>да</t>
        </is>
      </c>
      <c r="K2614" s="3" t="inlineStr">
        <is>
          <t>Телевизионный фильм-монолог эстрадной певицы Елены Камбуровой без чёткого сюжета. В фильме прозвучали популярные песни "Маленький принц", "Капли датского короля", "Гренада" и другие.</t>
        </is>
      </c>
      <c r="L2614" s="2" t="inlineStr">
        <is>
          <t>https://www.kino-teatr.ru/short/movie/sov/96897/annot/</t>
        </is>
      </c>
      <c r="M2614" s="2">
        <f>HYPERLINK("https://ru.wikipedia.org/w/index.php?search=%D0%9C%D0%BE%D0%BD%D0%BE%D0%BB%D0%BE%D0%B3%201970%20%D1%84%D0%B8%D0%BB%D1%8C%D0%BC","искать")</f>
        <v/>
      </c>
      <c r="N2614" s="3" t="n"/>
      <c r="O2614" s="2" t="n"/>
      <c r="P2614" s="2" t="n"/>
    </row>
    <row r="2615">
      <c r="A2615" s="2" t="n">
        <v>2614</v>
      </c>
      <c r="B2615" s="2" t="inlineStr">
        <is>
          <t>не сюжет</t>
        </is>
      </c>
      <c r="C2615" s="2" t="n">
        <v>10896</v>
      </c>
      <c r="D2615" s="3" t="inlineStr">
        <is>
          <t>Обыкновенные обстоятельства</t>
        </is>
      </c>
      <c r="E2615" s="2" t="n">
        <v>1981</v>
      </c>
      <c r="F2615" s="2" t="inlineStr">
        <is>
          <t>фильм-спектакль</t>
        </is>
      </c>
      <c r="G2615" s="2" t="inlineStr">
        <is>
          <t>Центральное телевидение</t>
        </is>
      </c>
      <c r="H2615" s="2" t="n">
        <v>182</v>
      </c>
      <c r="I2615" s="2" t="inlineStr"/>
      <c r="J2615" s="2" t="inlineStr">
        <is>
          <t>да</t>
        </is>
      </c>
      <c r="K2615" s="3" t="inlineStr">
        <is>
          <t>Глава семьи Виктор Митрофанов, проживший долгую и достойную жизнь, помогает своим близким преодолеть душевную черствость, корыстолюбие и понять истинное значение жизненных ценностей.</t>
        </is>
      </c>
      <c r="L2615" s="2" t="inlineStr">
        <is>
          <t>https://www.kino-teatr.ru/teatr/movie/81051/annot/</t>
        </is>
      </c>
      <c r="M2615" s="2">
        <f>HYPERLINK("https://ru.wikipedia.org/w/index.php?search=%D0%9E%D0%B1%D1%8B%D0%BA%D0%BD%D0%BE%D0%B2%D0%B5%D0%BD%D0%BD%D1%8B%D0%B5%20%D0%BE%D0%B1%D1%81%D1%82%D0%BE%D1%8F%D1%82%D0%B5%D0%BB%D1%8C%D1%81%D1%82%D0%B2%D0%B0%201981%20%D1%84%D0%B8%D0%BB%D1%8C%D0%BC","искать")</f>
        <v/>
      </c>
      <c r="N2615" s="3" t="n"/>
      <c r="O2615" s="2" t="n"/>
      <c r="P2615" s="2" t="n"/>
    </row>
    <row r="2616">
      <c r="A2616" s="2" t="n">
        <v>2615</v>
      </c>
      <c r="B2616" s="2" t="inlineStr">
        <is>
          <t>не сюжет</t>
        </is>
      </c>
      <c r="C2616" s="2" t="n">
        <v>13452</v>
      </c>
      <c r="D2616" s="3" t="inlineStr">
        <is>
          <t>Ангел</t>
        </is>
      </c>
      <c r="E2616" s="2" t="n">
        <v>1991</v>
      </c>
      <c r="F2616" s="2" t="inlineStr">
        <is>
          <t>мультфильм</t>
        </is>
      </c>
      <c r="G2616" s="2" t="inlineStr">
        <is>
          <t>УЗБЕКФИЛЬМ</t>
        </is>
      </c>
      <c r="H2616" s="2" t="n">
        <v>182</v>
      </c>
      <c r="I2616" s="2" t="inlineStr"/>
      <c r="J2616" s="2" t="inlineStr">
        <is>
          <t>да</t>
        </is>
      </c>
      <c r="K2616" s="3" t="inlineStr">
        <is>
          <t>ангел-добрый,честный малый,и,как ему полагается,с крылышками за спиной.Однако,оказывается,быть обладателем этих крыльев не так-то легко,потому что они приносят иногда массу неудобств</t>
        </is>
      </c>
      <c r="L2616" s="2" t="inlineStr">
        <is>
          <t>https://gosfilmofond.ru/films/250112/</t>
        </is>
      </c>
      <c r="M2616" s="2">
        <f>HYPERLINK("https://ru.wikipedia.org/w/index.php?search=%D0%90%D0%BD%D0%B3%D0%B5%D0%BB%201991%20%D1%84%D0%B8%D0%BB%D1%8C%D0%BC","искать")</f>
        <v/>
      </c>
      <c r="N2616" s="3" t="n"/>
      <c r="O2616" s="2" t="n"/>
      <c r="P2616" s="2" t="n"/>
    </row>
    <row r="2617">
      <c r="A2617" s="2" t="n">
        <v>2616</v>
      </c>
      <c r="B2617" s="2" t="inlineStr">
        <is>
          <t>не сюжет</t>
        </is>
      </c>
      <c r="C2617" s="2" t="n">
        <v>11381</v>
      </c>
      <c r="D2617" s="3" t="inlineStr">
        <is>
          <t>Семь красавиц</t>
        </is>
      </c>
      <c r="E2617" s="2" t="n">
        <v>1982</v>
      </c>
      <c r="F2617" s="2" t="inlineStr">
        <is>
          <t>фильм-опера/балет</t>
        </is>
      </c>
      <c r="G2617" s="2" t="n"/>
      <c r="H2617" s="2" t="n">
        <v>183</v>
      </c>
      <c r="I2617" s="2" t="inlineStr"/>
      <c r="J2617" s="2" t="inlineStr">
        <is>
          <t>да</t>
        </is>
      </c>
      <c r="K2617" s="3" t="inlineStr">
        <is>
          <t>Фильм-балет  на музыку знаменитого азербайджанского композитора Кара Караева. Либретто балета написано по мотивам поэмы Низами Гянджеви «Семь красавиц» (Хамсе), созданной в 1197 году.</t>
        </is>
      </c>
      <c r="L2617" s="2" t="inlineStr">
        <is>
          <t>Кино_СССР телефильмы и пропуски включить в базу.xlsx</t>
        </is>
      </c>
      <c r="M2617" s="2">
        <f>HYPERLINK("https://ru.wikipedia.org/w/index.php?search=%D0%A1%D0%B5%D0%BC%D1%8C%20%D0%BA%D1%80%D0%B0%D1%81%D0%B0%D0%B2%D0%B8%D1%86%201982%20%D1%84%D0%B8%D0%BB%D1%8C%D0%BC","искать")</f>
        <v/>
      </c>
      <c r="N2617" s="3" t="n"/>
      <c r="O2617" s="2" t="n"/>
      <c r="P2617" s="2" t="n"/>
    </row>
    <row r="2618">
      <c r="A2618" s="2" t="n">
        <v>2617</v>
      </c>
      <c r="B2618" s="2" t="inlineStr">
        <is>
          <t>не сюжет</t>
        </is>
      </c>
      <c r="C2618" s="2" t="n">
        <v>7731</v>
      </c>
      <c r="D2618" s="3" t="inlineStr">
        <is>
          <t>Ключевой вопрос</t>
        </is>
      </c>
      <c r="E2618" s="2" t="n">
        <v>1986</v>
      </c>
      <c r="F2618" s="2" t="inlineStr">
        <is>
          <t>телефильм</t>
        </is>
      </c>
      <c r="G2618" s="2" t="n"/>
      <c r="H2618" s="2" t="n">
        <v>184</v>
      </c>
      <c r="I2618" s="2" t="inlineStr"/>
      <c r="J2618" s="2" t="inlineStr">
        <is>
          <t>да</t>
        </is>
      </c>
      <c r="K2618" s="3" t="inlineStr">
        <is>
          <t>Производственный фильм, о председателе исполкома Раули Таммкиви, а его днях и буднях, в фильме затрагивается тема строительства жилья. В фильме задейственный актеры театра "Ванемуйне".</t>
        </is>
      </c>
      <c r="L2618" s="2" t="inlineStr">
        <is>
          <t>Кино_СССР сводный каталог.xlsx: список телефильмов</t>
        </is>
      </c>
      <c r="M2618" s="2">
        <f>HYPERLINK("https://ru.wikipedia.org/w/index.php?search=%D0%9A%D0%BB%D1%8E%D1%87%D0%B5%D0%B2%D0%BE%D0%B9%20%D0%B2%D0%BE%D0%BF%D1%80%D0%BE%D1%81%201986%20%D1%84%D0%B8%D0%BB%D1%8C%D0%BC","искать")</f>
        <v/>
      </c>
      <c r="N2618" s="3" t="n"/>
      <c r="O2618" s="2" t="n"/>
      <c r="P2618" s="2" t="n"/>
    </row>
    <row r="2619">
      <c r="A2619" s="2" t="n">
        <v>2618</v>
      </c>
      <c r="B2619" s="2" t="inlineStr">
        <is>
          <t>не сюжет</t>
        </is>
      </c>
      <c r="C2619" s="2" t="n">
        <v>10101</v>
      </c>
      <c r="D2619" s="3" t="inlineStr">
        <is>
          <t>Свадьба Свечки</t>
        </is>
      </c>
      <c r="E2619" s="2" t="n">
        <v>1962</v>
      </c>
      <c r="F2619" s="2" t="inlineStr">
        <is>
          <t>фильм-спектакль</t>
        </is>
      </c>
      <c r="G2619" s="2" t="inlineStr">
        <is>
          <t>Киевская студия телевидения</t>
        </is>
      </c>
      <c r="H2619" s="2" t="n">
        <v>184</v>
      </c>
      <c r="I2619" s="2" t="inlineStr"/>
      <c r="J2619" s="2" t="inlineStr">
        <is>
          <t>да</t>
        </is>
      </c>
      <c r="K2619" s="3" t="inlineStr">
        <is>
          <t>Телеверсия спектакля театра имени Ивана Франко в постановке Гната Юры по исторической драме в стихах - "Свіччинє весілля"(1930) Ивана Кочерги. Действие происходит в Киеве, в 1506 году.</t>
        </is>
      </c>
      <c r="L2619" s="2" t="inlineStr">
        <is>
          <t>https://www.kino-teatr.ru/teatr/movie/88343/annot/</t>
        </is>
      </c>
      <c r="M2619" s="2">
        <f>HYPERLINK("https://ru.wikipedia.org/w/index.php?search=%D0%A1%D0%B2%D0%B0%D0%B4%D1%8C%D0%B1%D0%B0%20%D0%A1%D0%B2%D0%B5%D1%87%D0%BA%D0%B8%201962%20%D1%84%D0%B8%D0%BB%D1%8C%D0%BC","искать")</f>
        <v/>
      </c>
      <c r="N2619" s="3" t="n"/>
      <c r="O2619" s="2" t="n"/>
      <c r="P2619" s="2" t="n"/>
    </row>
    <row r="2620">
      <c r="A2620" s="2" t="n">
        <v>2619</v>
      </c>
      <c r="B2620" s="2" t="inlineStr">
        <is>
          <t>не сюжет</t>
        </is>
      </c>
      <c r="C2620" s="2" t="n">
        <v>10210</v>
      </c>
      <c r="D2620" s="3" t="inlineStr">
        <is>
          <t>Не суждено</t>
        </is>
      </c>
      <c r="E2620" s="2" t="n">
        <v>1967</v>
      </c>
      <c r="F2620" s="2" t="inlineStr">
        <is>
          <t>фильм-спектакль</t>
        </is>
      </c>
      <c r="G2620" s="2" t="inlineStr">
        <is>
          <t>Укртелефильм</t>
        </is>
      </c>
      <c r="H2620" s="2" t="n">
        <v>184</v>
      </c>
      <c r="I2620" s="2" t="inlineStr"/>
      <c r="J2620" s="2" t="inlineStr">
        <is>
          <t>да</t>
        </is>
      </c>
      <c r="K2620" s="3" t="inlineStr">
        <is>
          <t>Телеверсия спектакля по одноименной пьесе (1883) Михаила Старицкого в постановке Ф.Верещагина и П.Шкребы.
О трагической любви бедной сельской девушки Катри к панычу и студенту Михаилу.</t>
        </is>
      </c>
      <c r="L2620" s="2" t="inlineStr">
        <is>
          <t>https://www.kino-teatr.ru/teatr/movie/16129/annot/</t>
        </is>
      </c>
      <c r="M2620" s="2">
        <f>HYPERLINK("https://ru.wikipedia.org/w/index.php?search=%D0%9D%D0%B5%20%D1%81%D1%83%D0%B6%D0%B4%D0%B5%D0%BD%D0%BE%201967%20%D1%84%D0%B8%D0%BB%D1%8C%D0%BC","искать")</f>
        <v/>
      </c>
      <c r="N2620" s="3" t="n"/>
      <c r="O2620" s="2" t="n"/>
      <c r="P2620" s="2" t="n"/>
    </row>
    <row r="2621">
      <c r="A2621" s="2" t="n">
        <v>2620</v>
      </c>
      <c r="B2621" s="2" t="inlineStr">
        <is>
          <t>не сюжет</t>
        </is>
      </c>
      <c r="C2621" s="2" t="n">
        <v>10366</v>
      </c>
      <c r="D2621" s="3" t="inlineStr">
        <is>
          <t>Офицер флота</t>
        </is>
      </c>
      <c r="E2621" s="2" t="n">
        <v>1970</v>
      </c>
      <c r="F2621" s="2" t="inlineStr">
        <is>
          <t>фильм-спектакль</t>
        </is>
      </c>
      <c r="G2621" s="2" t="inlineStr">
        <is>
          <t>Главная редакция литературно-драматических программ</t>
        </is>
      </c>
      <c r="H2621" s="2" t="n">
        <v>184</v>
      </c>
      <c r="I2621" s="2" t="inlineStr"/>
      <c r="J2621" s="2" t="inlineStr">
        <is>
          <t>да</t>
        </is>
      </c>
      <c r="K2621" s="3" t="inlineStr">
        <is>
          <t>По одноименной пьесе А.Крона.
Действие происходит в Ленинграде во время Великой Отечественной войны. О героизме и бесконечной преданности Родине военных моряков - героев телеспектакля.</t>
        </is>
      </c>
      <c r="L2621" s="2" t="inlineStr">
        <is>
          <t>https://www.kino-teatr.ru/teatr/movie/12005/annot/</t>
        </is>
      </c>
      <c r="M2621" s="2">
        <f>HYPERLINK("https://ru.wikipedia.org/w/index.php?search=%D0%9E%D1%84%D0%B8%D1%86%D0%B5%D1%80%20%D1%84%D0%BB%D0%BE%D1%82%D0%B0%201970%20%D1%84%D0%B8%D0%BB%D1%8C%D0%BC","искать")</f>
        <v/>
      </c>
      <c r="N2621" s="3" t="n"/>
      <c r="O2621" s="2" t="n"/>
      <c r="P2621" s="2" t="n"/>
    </row>
    <row r="2622">
      <c r="A2622" s="2" t="n">
        <v>2621</v>
      </c>
      <c r="B2622" s="2" t="inlineStr">
        <is>
          <t>не сюжет</t>
        </is>
      </c>
      <c r="C2622" s="2" t="n">
        <v>10534</v>
      </c>
      <c r="D2622" s="3" t="inlineStr">
        <is>
          <t>Царская милость</t>
        </is>
      </c>
      <c r="E2622" s="2" t="n">
        <v>1973</v>
      </c>
      <c r="F2622" s="2" t="inlineStr">
        <is>
          <t>фильм-спектакль</t>
        </is>
      </c>
      <c r="G2622" s="2" t="inlineStr">
        <is>
          <t>ТО "Экран"</t>
        </is>
      </c>
      <c r="H2622" s="2" t="n">
        <v>184</v>
      </c>
      <c r="I2622" s="2" t="inlineStr"/>
      <c r="J2622" s="2" t="inlineStr">
        <is>
          <t>да</t>
        </is>
      </c>
      <c r="K2622" s="3" t="inlineStr">
        <is>
          <t>В основе фильма — спектакль МХАТа по одноименной пьесе Камена Зидарова в постановке Крыстю Мирского.
Действие происходит в Болгарии в 1915 году, во времена правления царя Фердинанда I.</t>
        </is>
      </c>
      <c r="L2622" s="2" t="inlineStr">
        <is>
          <t>https://www.kino-teatr.ru/teatr/movie/7678/annot/</t>
        </is>
      </c>
      <c r="M2622" s="2">
        <f>HYPERLINK("https://ru.wikipedia.org/w/index.php?search=%D0%A6%D0%B0%D1%80%D1%81%D0%BA%D0%B0%D1%8F%20%D0%BC%D0%B8%D0%BB%D0%BE%D1%81%D1%82%D1%8C%201973%20%D1%84%D0%B8%D0%BB%D1%8C%D0%BC","искать")</f>
        <v/>
      </c>
      <c r="N2622" s="3" t="n"/>
      <c r="O2622" s="2" t="n"/>
      <c r="P2622" s="2" t="n"/>
    </row>
    <row r="2623">
      <c r="A2623" s="2" t="n">
        <v>2622</v>
      </c>
      <c r="B2623" s="2" t="inlineStr">
        <is>
          <t>не сюжет</t>
        </is>
      </c>
      <c r="C2623" s="2" t="n">
        <v>10617</v>
      </c>
      <c r="D2623" s="3" t="inlineStr">
        <is>
          <t>Насмешливое моё счастье</t>
        </is>
      </c>
      <c r="E2623" s="2" t="n">
        <v>1975</v>
      </c>
      <c r="F2623" s="2" t="inlineStr">
        <is>
          <t>фильм-спектакль</t>
        </is>
      </c>
      <c r="G2623" s="2" t="inlineStr">
        <is>
          <t>Главная редакция литературно-драматических программ ЦТ</t>
        </is>
      </c>
      <c r="H2623" s="2" t="n">
        <v>184</v>
      </c>
      <c r="I2623" s="2" t="inlineStr"/>
      <c r="J2623" s="2" t="inlineStr">
        <is>
          <t>да</t>
        </is>
      </c>
      <c r="K2623" s="3" t="inlineStr">
        <is>
          <t>По одноименной пьесе Л.Малюгина в постановке Государственного академического театра имени Евг.Вахтангова.
О жизни и творчестве Антона Павловича Чехова в период с 1883 года по 1901 год.</t>
        </is>
      </c>
      <c r="L2623" s="2" t="inlineStr">
        <is>
          <t>https://www.kino-teatr.ru/teatr/movie/82078/annot/</t>
        </is>
      </c>
      <c r="M2623" s="2">
        <f>HYPERLINK("https://ru.wikipedia.org/w/index.php?search=%D0%9D%D0%B0%D1%81%D0%BC%D0%B5%D1%88%D0%BB%D0%B8%D0%B2%D0%BE%D0%B5%20%D0%BC%D0%BE%D1%91%20%D1%81%D1%87%D0%B0%D1%81%D1%82%D1%8C%D0%B5%201975%20%D1%84%D0%B8%D0%BB%D1%8C%D0%BC","искать")</f>
        <v/>
      </c>
      <c r="N2623" s="3" t="n"/>
      <c r="O2623" s="2" t="n"/>
      <c r="P2623" s="2" t="n"/>
    </row>
    <row r="2624">
      <c r="A2624" s="2" t="n">
        <v>2623</v>
      </c>
      <c r="B2624" s="2" t="inlineStr">
        <is>
          <t>не сюжет</t>
        </is>
      </c>
      <c r="C2624" s="2" t="n">
        <v>10178</v>
      </c>
      <c r="D2624" s="3" t="inlineStr">
        <is>
          <t>Элиза Дулиттл</t>
        </is>
      </c>
      <c r="E2624" s="2" t="n">
        <v>1966</v>
      </c>
      <c r="F2624" s="2" t="inlineStr">
        <is>
          <t>фильм-спектакль</t>
        </is>
      </c>
      <c r="G2624" s="2" t="inlineStr">
        <is>
          <t>Ленинградское ТВ</t>
        </is>
      </c>
      <c r="H2624" s="2" t="n">
        <v>185</v>
      </c>
      <c r="I2624" s="2" t="inlineStr"/>
      <c r="J2624" s="2" t="inlineStr">
        <is>
          <t>да</t>
        </is>
      </c>
      <c r="K2624" s="3" t="inlineStr">
        <is>
          <t>Музыкальный телеспектакль по мюзиклу "Моя прекрасная леди" А.Д.Лернера на музыку Ф.Лоу, созданному на основе пьесы Бернарда Шоу "Пигмалион".
Балетмейстер телеспектакля - Кирилл Ласкари.</t>
        </is>
      </c>
      <c r="L2624" s="2" t="inlineStr">
        <is>
          <t>https://www.kino-teatr.ru/teatr/movie/89690/annot/</t>
        </is>
      </c>
      <c r="M2624" s="2">
        <f>HYPERLINK("https://ru.wikipedia.org/w/index.php?search=%D0%AD%D0%BB%D0%B8%D0%B7%D0%B0%20%D0%94%D1%83%D0%BB%D0%B8%D1%82%D1%82%D0%BB%201966%20%D1%84%D0%B8%D0%BB%D1%8C%D0%BC","искать")</f>
        <v/>
      </c>
      <c r="N2624" s="3" t="n"/>
      <c r="O2624" s="2" t="n"/>
      <c r="P2624" s="2" t="n"/>
    </row>
    <row r="2625">
      <c r="A2625" s="2" t="n">
        <v>2624</v>
      </c>
      <c r="B2625" s="2" t="inlineStr">
        <is>
          <t>не сюжет</t>
        </is>
      </c>
      <c r="C2625" s="2" t="n">
        <v>10387</v>
      </c>
      <c r="D2625" s="3" t="inlineStr">
        <is>
          <t>Двадцать лет спустя</t>
        </is>
      </c>
      <c r="E2625" s="2" t="n">
        <v>1971</v>
      </c>
      <c r="F2625" s="2" t="inlineStr">
        <is>
          <t>фильм-спектакль</t>
        </is>
      </c>
      <c r="G2625" s="2" t="inlineStr">
        <is>
          <t>Литературно-драматическая редакция Центрального телевидения СССР</t>
        </is>
      </c>
      <c r="H2625" s="2" t="n">
        <v>185</v>
      </c>
      <c r="I2625" s="2" t="inlineStr"/>
      <c r="J2625" s="2" t="inlineStr">
        <is>
          <t>да</t>
        </is>
      </c>
      <c r="K2625" s="3" t="inlineStr">
        <is>
          <t>К столетию со дня смерти известного французского писателя А. Дюма.
По мотивам второй части трилогии Александра Дюма о королевских мушкетёрах "Виконт де Бражелон, или Десять лет спустя".</t>
        </is>
      </c>
      <c r="L2625" s="2" t="inlineStr">
        <is>
          <t>https://www.kino-teatr.ru/teatr/movie/80906/annot/</t>
        </is>
      </c>
      <c r="M2625" s="2">
        <f>HYPERLINK("https://ru.wikipedia.org/w/index.php?search=%D0%94%D0%B2%D0%B0%D0%B4%D1%86%D0%B0%D1%82%D1%8C%20%D0%BB%D0%B5%D1%82%20%D1%81%D0%BF%D1%83%D1%81%D1%82%D1%8F%201971%20%D1%84%D0%B8%D0%BB%D1%8C%D0%BC","искать")</f>
        <v/>
      </c>
      <c r="N2625" s="3" t="n"/>
      <c r="O2625" s="2" t="n"/>
      <c r="P2625" s="2" t="n"/>
    </row>
    <row r="2626">
      <c r="A2626" s="2" t="n">
        <v>2625</v>
      </c>
      <c r="B2626" s="2" t="inlineStr">
        <is>
          <t>не сюжет</t>
        </is>
      </c>
      <c r="C2626" s="2" t="n">
        <v>10705</v>
      </c>
      <c r="D2626" s="3" t="inlineStr">
        <is>
          <t>Новый нечистый из преисподней</t>
        </is>
      </c>
      <c r="E2626" s="2" t="n">
        <v>1977</v>
      </c>
      <c r="F2626" s="2" t="inlineStr">
        <is>
          <t>фильм-спектакль</t>
        </is>
      </c>
      <c r="G2626" s="2" t="inlineStr">
        <is>
          <t>Эстонский телефильм</t>
        </is>
      </c>
      <c r="H2626" s="2" t="n">
        <v>185</v>
      </c>
      <c r="I2626" s="2" t="inlineStr"/>
      <c r="J2626" s="2" t="inlineStr">
        <is>
          <t>да</t>
        </is>
      </c>
      <c r="K2626" s="3" t="inlineStr">
        <is>
          <t>По гротескному роману эстонского писателя, классика эстонской литературы Антона Таммсааре (1878-1940) "Новый Нечистый из самого пекла".
Постановка эстонского театра "Ванемуйне" в Тарту.</t>
        </is>
      </c>
      <c r="L2626" s="2" t="inlineStr">
        <is>
          <t>https://www.kino-teatr.ru/teatr/movie/100150/annot/</t>
        </is>
      </c>
      <c r="M2626" s="2">
        <f>HYPERLINK("https://ru.wikipedia.org/w/index.php?search=%D0%9D%D0%BE%D0%B2%D1%8B%D0%B9%20%D0%BD%D0%B5%D1%87%D0%B8%D1%81%D1%82%D1%8B%D0%B9%20%D0%B8%D0%B7%20%D0%BF%D1%80%D0%B5%D0%B8%D1%81%D0%BF%D0%BE%D0%B4%D0%BD%D0%B5%D0%B9%201977%20%D1%84%D0%B8%D0%BB%D1%8C%D0%BC","искать")</f>
        <v/>
      </c>
      <c r="N2626" s="3" t="n"/>
      <c r="O2626" s="2" t="n"/>
      <c r="P2626" s="2" t="n"/>
    </row>
    <row r="2627">
      <c r="A2627" s="2" t="n">
        <v>2626</v>
      </c>
      <c r="B2627" s="2" t="inlineStr">
        <is>
          <t>не сюжет</t>
        </is>
      </c>
      <c r="C2627" s="2" t="n">
        <v>8222</v>
      </c>
      <c r="D2627" s="3" t="inlineStr">
        <is>
          <t>Провинциальная история</t>
        </is>
      </c>
      <c r="E2627" s="2" t="n">
        <v>1988</v>
      </c>
      <c r="F2627" s="2" t="inlineStr">
        <is>
          <t>телефильм</t>
        </is>
      </c>
      <c r="G2627" s="2" t="n"/>
      <c r="H2627" s="2" t="n">
        <v>186</v>
      </c>
      <c r="I2627" s="2" t="inlineStr"/>
      <c r="J2627" s="2" t="inlineStr">
        <is>
          <t>да</t>
        </is>
      </c>
      <c r="K2627" s="3" t="inlineStr">
        <is>
          <t>По мотивам повести Александра Миньковского "Неистовство Майки Сковрон". Напряженные отношения в семье, где отец и дочь не понимают друг друга. Сложный поиск взаимопонимания между людьми.</t>
        </is>
      </c>
      <c r="L2627" s="2" t="inlineStr">
        <is>
          <t>Кино_СССР сводный каталог.xlsx: список телефильмов</t>
        </is>
      </c>
      <c r="M2627" s="2">
        <f>HYPERLINK("https://ru.wikipedia.org/w/index.php?search=%D0%9F%D1%80%D0%BE%D0%B2%D0%B8%D0%BD%D1%86%D0%B8%D0%B0%D0%BB%D1%8C%D0%BD%D0%B0%D1%8F%20%D0%B8%D1%81%D1%82%D0%BE%D1%80%D0%B8%D1%8F%201988%20%D1%84%D0%B8%D0%BB%D1%8C%D0%BC","искать")</f>
        <v/>
      </c>
      <c r="N2627" s="3" t="n"/>
      <c r="O2627" s="2" t="n"/>
      <c r="P2627" s="2" t="n"/>
    </row>
    <row r="2628">
      <c r="A2628" s="2" t="n">
        <v>2627</v>
      </c>
      <c r="B2628" s="2" t="inlineStr">
        <is>
          <t>не сюжет</t>
        </is>
      </c>
      <c r="C2628" s="2" t="n">
        <v>10926</v>
      </c>
      <c r="D2628" s="3" t="inlineStr">
        <is>
          <t>Этот фантастический мир. Выпуск 4</t>
        </is>
      </c>
      <c r="E2628" s="2" t="n">
        <v>1981</v>
      </c>
      <c r="F2628" s="2" t="inlineStr">
        <is>
          <t>фильм-спектакль</t>
        </is>
      </c>
      <c r="G2628" s="2" t="inlineStr">
        <is>
          <t>Главная редакция программ для детей и юношества ЦТ</t>
        </is>
      </c>
      <c r="H2628" s="2" t="n">
        <v>186</v>
      </c>
      <c r="I2628" s="2" t="inlineStr"/>
      <c r="J2628" s="2" t="inlineStr">
        <is>
          <t>да</t>
        </is>
      </c>
      <c r="K2628" s="3" t="inlineStr">
        <is>
          <t>В этом выпуске телеальманаха были инсценированы фрагменты научно-фантастического романа А.Толстого "Аэлита", рассказов Кира Булычева "Снегурочка" и Эрика Фрэнка Рассела "Свидетельствую".</t>
        </is>
      </c>
      <c r="L2628" s="2" t="inlineStr">
        <is>
          <t>https://www.kino-teatr.ru/teatr/movie/16869/annot/</t>
        </is>
      </c>
      <c r="M2628" s="2">
        <f>HYPERLINK("https://ru.wikipedia.org/w/index.php?search=%D0%AD%D1%82%D0%BE%D1%82%20%D1%84%D0%B0%D0%BD%D1%82%D0%B0%D1%81%D1%82%D0%B8%D1%87%D0%B5%D1%81%D0%BA%D0%B8%D0%B9%20%D0%BC%D0%B8%D1%80.%20%D0%92%D1%8B%D0%BF%D1%83%D1%81%D0%BA%204%201981%20%D1%84%D0%B8%D0%BB%D1%8C%D0%BC","искать")</f>
        <v/>
      </c>
      <c r="N2628" s="3" t="n"/>
      <c r="O2628" s="2" t="n"/>
      <c r="P2628" s="2" t="n"/>
    </row>
    <row r="2629">
      <c r="A2629" s="2" t="n">
        <v>2628</v>
      </c>
      <c r="B2629" s="2" t="inlineStr">
        <is>
          <t>не сюжет</t>
        </is>
      </c>
      <c r="C2629" s="2" t="n">
        <v>11916</v>
      </c>
      <c r="D2629" s="3" t="inlineStr">
        <is>
          <t>Пациент с бутылкой</t>
        </is>
      </c>
      <c r="E2629" s="2" t="n">
        <v>1979</v>
      </c>
      <c r="F2629" s="2" t="inlineStr">
        <is>
          <t>мультфильм</t>
        </is>
      </c>
      <c r="G2629" s="2" t="inlineStr">
        <is>
          <t>Союзмультфильм</t>
        </is>
      </c>
      <c r="H2629" s="2" t="n">
        <v>186</v>
      </c>
      <c r="I2629" s="2" t="inlineStr"/>
      <c r="J2629" s="2" t="inlineStr">
        <is>
          <t>да</t>
        </is>
      </c>
      <c r="K2629" s="3" t="inlineStr">
        <is>
          <t>Фильм затрагивает актуальную проблему современности - борьбу с алкоголизмом. В аллегорической форме он рассказывает о последствиях алкоголизма - потере трудоспособности, разладе в семье.</t>
        </is>
      </c>
      <c r="L2629" s="2" t="inlineStr">
        <is>
          <t>https://animator.ru/db/?p=show_film&amp;fid=2831</t>
        </is>
      </c>
      <c r="M2629" s="2">
        <f>HYPERLINK("https://ru.wikipedia.org/w/index.php?search=%D0%9F%D0%B0%D1%86%D0%B8%D0%B5%D0%BD%D1%82%20%D1%81%20%D0%B1%D1%83%D1%82%D1%8B%D0%BB%D0%BA%D0%BE%D0%B9%201979%20%D1%84%D0%B8%D0%BB%D1%8C%D0%BC","искать")</f>
        <v/>
      </c>
      <c r="N2629" s="3" t="n"/>
      <c r="O2629" s="2" t="n"/>
      <c r="P2629" s="2" t="n"/>
    </row>
    <row r="2630">
      <c r="A2630" s="2" t="n">
        <v>2629</v>
      </c>
      <c r="B2630" s="2" t="inlineStr">
        <is>
          <t>не сюжет</t>
        </is>
      </c>
      <c r="C2630" s="2" t="n">
        <v>7290</v>
      </c>
      <c r="D2630" s="3" t="inlineStr">
        <is>
          <t>В горах реки бурные</t>
        </is>
      </c>
      <c r="E2630" s="2" t="n">
        <v>1974</v>
      </c>
      <c r="F2630" s="2" t="inlineStr">
        <is>
          <t>телефильм</t>
        </is>
      </c>
      <c r="G2630" s="2" t="n"/>
      <c r="H2630" s="2" t="n">
        <v>187</v>
      </c>
      <c r="I2630" s="2" t="inlineStr"/>
      <c r="J2630" s="2" t="inlineStr">
        <is>
          <t>да</t>
        </is>
      </c>
      <c r="K2630" s="3" t="inlineStr">
        <is>
          <t>Фильм о периоде масштабного строительства многоэтажных домов во Владикавказе, о работе трестов и их конкуренции. На стройках трудились династии мастеров, молодежь перенимала опыт старших.</t>
        </is>
      </c>
      <c r="L2630" s="2" t="inlineStr">
        <is>
          <t>Кино_СССР сводный каталог.xlsx: список телефильмов</t>
        </is>
      </c>
      <c r="M2630" s="2">
        <f>HYPERLINK("https://ru.wikipedia.org/w/index.php?search=%D0%92%20%D0%B3%D0%BE%D1%80%D0%B0%D1%85%20%D1%80%D0%B5%D0%BA%D0%B8%20%D0%B1%D1%83%D1%80%D0%BD%D1%8B%D0%B5%201974%20%D1%84%D0%B8%D0%BB%D1%8C%D0%BC","искать")</f>
        <v/>
      </c>
      <c r="N2630" s="3" t="n"/>
      <c r="O2630" s="2" t="n"/>
      <c r="P2630" s="2" t="n"/>
    </row>
    <row r="2631">
      <c r="A2631" s="2" t="n">
        <v>2630</v>
      </c>
      <c r="B2631" s="2" t="inlineStr">
        <is>
          <t>не сюжет</t>
        </is>
      </c>
      <c r="C2631" s="2" t="n">
        <v>7404</v>
      </c>
      <c r="D2631" s="3" t="inlineStr">
        <is>
          <t>Встреча</t>
        </is>
      </c>
      <c r="E2631" s="2" t="n">
        <v>1971</v>
      </c>
      <c r="F2631" s="2" t="inlineStr">
        <is>
          <t>телефильм</t>
        </is>
      </c>
      <c r="G2631" s="2" t="n"/>
      <c r="H2631" s="2" t="n">
        <v>187</v>
      </c>
      <c r="I2631" s="2" t="inlineStr"/>
      <c r="J2631" s="2" t="inlineStr">
        <is>
          <t>да</t>
        </is>
      </c>
      <c r="K2631" s="3" t="inlineStr">
        <is>
          <t>Учрашув (телеминиатюралар) – фильм сборник юмористических телеминиатюр снятый на студии «Узбектелефильм». Неподражаемый юмор в исполнении признанных мастеров, ставший уже классикой жанра.</t>
        </is>
      </c>
      <c r="L2631" s="2" t="inlineStr">
        <is>
          <t>Кино_СССР сводный каталог.xlsx: список телефильмов</t>
        </is>
      </c>
      <c r="M2631" s="2">
        <f>HYPERLINK("https://ru.wikipedia.org/w/index.php?search=%D0%92%D1%81%D1%82%D1%80%D0%B5%D1%87%D0%B0%201971%20%D1%84%D0%B8%D0%BB%D1%8C%D0%BC","искать")</f>
        <v/>
      </c>
      <c r="N2631" s="3" t="n"/>
      <c r="O2631" s="2" t="n"/>
      <c r="P2631" s="2" t="n"/>
    </row>
    <row r="2632">
      <c r="A2632" s="2" t="n">
        <v>2631</v>
      </c>
      <c r="B2632" s="2" t="inlineStr">
        <is>
          <t>не сюжет</t>
        </is>
      </c>
      <c r="C2632" s="2" t="n">
        <v>10833</v>
      </c>
      <c r="D2632" s="3" t="inlineStr">
        <is>
          <t>Бенефис Татьяны Дорониной</t>
        </is>
      </c>
      <c r="E2632" s="2" t="n">
        <v>1980</v>
      </c>
      <c r="F2632" s="2" t="inlineStr">
        <is>
          <t>фильм-спектакль</t>
        </is>
      </c>
      <c r="G2632" s="2" t="inlineStr">
        <is>
          <t>Главная редакция музыкальных программ ЦТ</t>
        </is>
      </c>
      <c r="H2632" s="2" t="n">
        <v>187</v>
      </c>
      <c r="I2632" s="2" t="inlineStr"/>
      <c r="J2632" s="2" t="inlineStr">
        <is>
          <t>да</t>
        </is>
      </c>
      <c r="K2632" s="3" t="inlineStr">
        <is>
          <t>Телевизионный бенефис Татьяны Дорониной.
В фильме использованы фрагменты спектаклей театра им. Маяковского:
"Чайка", "Аристократы", "Да здравствует королева, виват!", "Человек из Ламанчи"</t>
        </is>
      </c>
      <c r="L2632" s="2" t="inlineStr">
        <is>
          <t>https://www.kino-teatr.ru/teatr/movie/82988/annot/</t>
        </is>
      </c>
      <c r="M2632" s="2">
        <f>HYPERLINK("https://ru.wikipedia.org/w/index.php?search=%D0%91%D0%B5%D0%BD%D0%B5%D1%84%D0%B8%D1%81%20%D0%A2%D0%B0%D1%82%D1%8C%D1%8F%D0%BD%D1%8B%20%D0%94%D0%BE%D1%80%D0%BE%D0%BD%D0%B8%D0%BD%D0%BE%D0%B9%201980%20%D1%84%D0%B8%D0%BB%D1%8C%D0%BC","искать")</f>
        <v/>
      </c>
      <c r="N2632" s="3" t="n"/>
      <c r="O2632" s="2" t="n"/>
      <c r="P2632" s="2" t="n"/>
    </row>
    <row r="2633">
      <c r="A2633" s="2" t="n">
        <v>2632</v>
      </c>
      <c r="B2633" s="2" t="inlineStr">
        <is>
          <t>не сюжет</t>
        </is>
      </c>
      <c r="C2633" s="2" t="n">
        <v>10959</v>
      </c>
      <c r="D2633" s="3" t="inlineStr">
        <is>
          <t>Праздник оперетты</t>
        </is>
      </c>
      <c r="E2633" s="2" t="n">
        <v>1982</v>
      </c>
      <c r="F2633" s="2" t="inlineStr">
        <is>
          <t>фильм-спектакль</t>
        </is>
      </c>
      <c r="G2633" s="2" t="n"/>
      <c r="H2633" s="2" t="n">
        <v>187</v>
      </c>
      <c r="I2633" s="2" t="inlineStr"/>
      <c r="J2633" s="2" t="inlineStr">
        <is>
          <t>да</t>
        </is>
      </c>
      <c r="K2633" s="3" t="inlineStr">
        <is>
          <t>Музыкальный телеспектакль, посвященный 100-летию со дня рождения венгерского композитора Имре Кальмана.
В основе спектакля отрывки из оперетт "Сильва", "Марица", "Принцесса цирка", "Бал".</t>
        </is>
      </c>
      <c r="L2633" s="2" t="inlineStr">
        <is>
          <t>https://www.kino-teatr.ru/teatr/movie/86597/annot/</t>
        </is>
      </c>
      <c r="M2633" s="2">
        <f>HYPERLINK("https://ru.wikipedia.org/w/index.php?search=%D0%9F%D1%80%D0%B0%D0%B7%D0%B4%D0%BD%D0%B8%D0%BA%20%D0%BE%D0%BF%D0%B5%D1%80%D0%B5%D1%82%D1%82%D1%8B%201982%20%D1%84%D0%B8%D0%BB%D1%8C%D0%BC","искать")</f>
        <v/>
      </c>
      <c r="N2633" s="3" t="n"/>
      <c r="O2633" s="2" t="n"/>
      <c r="P2633" s="2" t="n"/>
    </row>
    <row r="2634">
      <c r="A2634" s="2" t="n">
        <v>2633</v>
      </c>
      <c r="B2634" s="2" t="inlineStr">
        <is>
          <t>не сюжет</t>
        </is>
      </c>
      <c r="C2634" s="2" t="n">
        <v>8633</v>
      </c>
      <c r="D2634" s="3" t="inlineStr">
        <is>
          <t>Благословенная Бухара</t>
        </is>
      </c>
      <c r="E2634" s="2" t="n">
        <v>1990</v>
      </c>
      <c r="F2634" s="2" t="inlineStr">
        <is>
          <t>кинофильм</t>
        </is>
      </c>
      <c r="G2634" s="2" t="n"/>
      <c r="H2634" s="2" t="n">
        <v>188</v>
      </c>
      <c r="I2634" s="2" t="inlineStr"/>
      <c r="J2634" s="2" t="inlineStr">
        <is>
          <t>да</t>
        </is>
      </c>
      <c r="K2634" s="3" t="inlineStr">
        <is>
          <t>События фильма происходят в 50-е годы в одном из прекрасных городов мира-благословенной Бухаре. Это рассказ об уличных поэтах, живущих на заброшенных кладбищах, в мечетях, на крышах домов.</t>
        </is>
      </c>
      <c r="L2634" s="2" t="inlineStr">
        <is>
          <t>Кино_СССР сводный каталог.xlsx: список фильмов (доп.)</t>
        </is>
      </c>
      <c r="M2634" s="2">
        <f>HYPERLINK("https://ru.wikipedia.org/w/index.php?search=%D0%91%D0%BB%D0%B0%D0%B3%D0%BE%D1%81%D0%BB%D0%BE%D0%B2%D0%B5%D0%BD%D0%BD%D0%B0%D1%8F%20%D0%91%D1%83%D1%85%D0%B0%D1%80%D0%B0%201990%20%D1%84%D0%B8%D0%BB%D1%8C%D0%BC","искать")</f>
        <v/>
      </c>
      <c r="N2634" s="3" t="n"/>
      <c r="O2634" s="2" t="n"/>
      <c r="P2634" s="2" t="n"/>
    </row>
    <row r="2635">
      <c r="A2635" s="2" t="n">
        <v>2634</v>
      </c>
      <c r="B2635" s="2" t="inlineStr">
        <is>
          <t>не сюжет</t>
        </is>
      </c>
      <c r="C2635" s="2" t="n">
        <v>11849</v>
      </c>
      <c r="D2635" s="3" t="inlineStr">
        <is>
          <t>Ох и Ах идут в поход</t>
        </is>
      </c>
      <c r="E2635" s="2" t="n">
        <v>1977</v>
      </c>
      <c r="F2635" s="2" t="inlineStr">
        <is>
          <t>мультфильм</t>
        </is>
      </c>
      <c r="G2635" s="2" t="inlineStr">
        <is>
          <t>Союзмультфильм</t>
        </is>
      </c>
      <c r="H2635" s="2" t="n">
        <v>188</v>
      </c>
      <c r="I2635" s="2" t="inlineStr"/>
      <c r="J2635" s="2" t="inlineStr">
        <is>
          <t>да</t>
        </is>
      </c>
      <c r="K2635" s="3" t="inlineStr">
        <is>
          <t>Фильм с участием мультипликационных человечков - весельчака Аха и ворчуна Оха, воспитывающая оптимистическое отношение к жизни и такие качества, как бодрость духа, находчивость и смекалку.</t>
        </is>
      </c>
      <c r="L2635" s="2" t="inlineStr">
        <is>
          <t>2026-10_мультфильмы_список_владельца.xlsx; https://animator.ru/db/?p=show_film&amp;fid=2764</t>
        </is>
      </c>
      <c r="M2635" s="2">
        <f>HYPERLINK("https://ru.wikipedia.org/w/index.php?search=%D0%9E%D1%85%20%D0%B8%20%D0%90%D1%85%20%D0%B8%D0%B4%D1%83%D1%82%20%D0%B2%20%D0%BF%D0%BE%D1%85%D0%BE%D0%B4%201977%20%D1%84%D0%B8%D0%BB%D1%8C%D0%BC","искать")</f>
        <v/>
      </c>
      <c r="N2635" s="3" t="n"/>
      <c r="O2635" s="2" t="n"/>
      <c r="P2635" s="2" t="n"/>
    </row>
    <row r="2636">
      <c r="A2636" s="2" t="n">
        <v>2635</v>
      </c>
      <c r="B2636" s="2" t="inlineStr">
        <is>
          <t>не сюжет</t>
        </is>
      </c>
      <c r="C2636" s="2" t="n">
        <v>10206</v>
      </c>
      <c r="D2636" s="3" t="inlineStr">
        <is>
          <t>Метелица</t>
        </is>
      </c>
      <c r="E2636" s="2" t="n">
        <v>1967</v>
      </c>
      <c r="F2636" s="2" t="inlineStr">
        <is>
          <t>фильм-спектакль</t>
        </is>
      </c>
      <c r="G2636" s="2" t="inlineStr">
        <is>
          <t>Ленинградское телевидение</t>
        </is>
      </c>
      <c r="H2636" s="2" t="n">
        <v>189</v>
      </c>
      <c r="I2636" s="2" t="inlineStr"/>
      <c r="J2636" s="2" t="inlineStr">
        <is>
          <t>да</t>
        </is>
      </c>
      <c r="K2636" s="3" t="inlineStr">
        <is>
          <t>Телеспектакль по одноименной повести Веры Пановой о жизни советских военнопленных в Эстонии. Отражены наиболее тяжелые переживания первых месяцев войны и жизни на оккупированной территории.</t>
        </is>
      </c>
      <c r="L2636" s="2" t="inlineStr">
        <is>
          <t>https://www.kino-teatr.ru/teatr/movie/92793/annot/</t>
        </is>
      </c>
      <c r="M2636" s="2">
        <f>HYPERLINK("https://ru.wikipedia.org/w/index.php?search=%D0%9C%D0%B5%D1%82%D0%B5%D0%BB%D0%B8%D1%86%D0%B0%201967%20%D1%84%D0%B8%D0%BB%D1%8C%D0%BC","искать")</f>
        <v/>
      </c>
      <c r="N2636" s="3" t="n"/>
      <c r="O2636" s="2" t="n"/>
      <c r="P2636" s="2" t="n"/>
    </row>
    <row r="2637">
      <c r="A2637" s="2" t="n">
        <v>2636</v>
      </c>
      <c r="B2637" s="2" t="inlineStr">
        <is>
          <t>не сюжет</t>
        </is>
      </c>
      <c r="C2637" s="2" t="n">
        <v>11075</v>
      </c>
      <c r="D2637" s="3" t="inlineStr">
        <is>
          <t>Р РµРІРёР·РѕСЂ</t>
        </is>
      </c>
      <c r="E2637" s="2" t="n">
        <v>1985</v>
      </c>
      <c r="F2637" s="2" t="inlineStr">
        <is>
          <t>фильм-спектакль</t>
        </is>
      </c>
      <c r="G2637" s="2" t="n"/>
      <c r="H2637" s="2" t="n">
        <v>189</v>
      </c>
      <c r="I2637" s="2" t="inlineStr"/>
      <c r="J2637" s="2" t="inlineStr">
        <is>
          <t>да</t>
        </is>
      </c>
      <c r="K2637" s="3" t="inlineStr">
        <is>
          <t>РџРѕ РѕРґРЅРѕРёРјРµРЅРЅРѕР№ РєРѕРјРµРґРёРё Рќ.Р“РѕРіРѕР»СЏ РІ РїРѕСЃС‚Р°РЅРѕРІРєРµ Р“РѕСЃСѓРґР°СЂСЃС‚РІРµРЅРЅРѕРіРѕ Р°РєР°РґРµРјРёС‡РµСЃРєРѕРіРѕ РњР°Р»РѕРіРѕ С‚РµР°С‚СЂР° РЎРѕСЋР·Р° РЎРЎР .</t>
        </is>
      </c>
      <c r="L2637" s="2" t="inlineStr">
        <is>
          <t>https://www.kino-teatr.ru/teatr/movie/15086/annot/</t>
        </is>
      </c>
      <c r="M2637" s="2">
        <f>HYPERLINK("https://ru.wikipedia.org/w/index.php?search=%D0%A0%20%D0%A0%C2%B5%D0%A0%D0%86%D0%A0%D1%91%D0%A0%C2%B7%D0%A0%D1%95%D0%A1%D0%82%201985%20%D1%84%D0%B8%D0%BB%D1%8C%D0%BC","искать")</f>
        <v/>
      </c>
      <c r="N2637" s="3" t="n"/>
      <c r="O2637" s="2" t="n"/>
      <c r="P2637" s="2" t="n"/>
    </row>
    <row r="2638">
      <c r="A2638" s="2" t="n">
        <v>2637</v>
      </c>
      <c r="B2638" s="2" t="inlineStr">
        <is>
          <t>не сюжет</t>
        </is>
      </c>
      <c r="C2638" s="2" t="n">
        <v>11775</v>
      </c>
      <c r="D2638" s="3" t="inlineStr">
        <is>
          <t>Лиса и медведь</t>
        </is>
      </c>
      <c r="E2638" s="2" t="n">
        <v>1975</v>
      </c>
      <c r="F2638" s="2" t="inlineStr">
        <is>
          <t>мультфильм</t>
        </is>
      </c>
      <c r="G2638" s="2" t="inlineStr">
        <is>
          <t>Союзмультфильм</t>
        </is>
      </c>
      <c r="H2638" s="2" t="n">
        <v>189</v>
      </c>
      <c r="I2638" s="2" t="inlineStr"/>
      <c r="J2638" s="2" t="inlineStr">
        <is>
          <t>да</t>
        </is>
      </c>
      <c r="K2638" s="3" t="inlineStr">
        <is>
          <t>Фильм снят по мотивам русской народной сказки об обманщике Лисе и наивном, добродушном Медведе. В фильме осуждается хитрость и корысть, проявляемые в ответ на доверчивость и гостеприимство.</t>
        </is>
      </c>
      <c r="L2638" s="2" t="inlineStr">
        <is>
          <t>https://animator.ru/db/?p=show_film&amp;fid=2689</t>
        </is>
      </c>
      <c r="M2638" s="2">
        <f>HYPERLINK("https://ru.wikipedia.org/w/index.php?search=%D0%9B%D0%B8%D1%81%D0%B0%20%D0%B8%20%D0%BC%D0%B5%D0%B4%D0%B2%D0%B5%D0%B4%D1%8C%201975%20%D1%84%D0%B8%D0%BB%D1%8C%D0%BC","искать")</f>
        <v/>
      </c>
      <c r="N2638" s="3" t="n"/>
      <c r="O2638" s="2" t="n"/>
      <c r="P2638" s="2" t="n"/>
    </row>
    <row r="2639">
      <c r="A2639" s="2" t="n">
        <v>2638</v>
      </c>
      <c r="B2639" s="2" t="inlineStr">
        <is>
          <t>не сюжет</t>
        </is>
      </c>
      <c r="C2639" s="2" t="n">
        <v>9394</v>
      </c>
      <c r="D2639" s="3" t="inlineStr">
        <is>
          <t>Инженер Гоф</t>
        </is>
      </c>
      <c r="E2639" s="2" t="n">
        <v>1935</v>
      </c>
      <c r="F2639" s="2" t="inlineStr">
        <is>
          <t>кинофильм</t>
        </is>
      </c>
      <c r="G2639" s="2" t="n"/>
      <c r="H2639" s="2" t="n">
        <v>190</v>
      </c>
      <c r="I2639" s="2" t="inlineStr"/>
      <c r="J2639" s="2" t="inlineStr">
        <is>
          <t>да</t>
        </is>
      </c>
      <c r="K2639" s="3" t="inlineStr">
        <is>
          <t>Социальная драма о классовой борьбе в белорусской деревне в Полесье. Первая большая работа в кино В.В. Меркурьева (Стась). Режиссер фильма в 1937 году был репрессирован. Фильм не сохранился.</t>
        </is>
      </c>
      <c r="L2639" s="2" t="inlineStr">
        <is>
          <t>Кино_СССР сводный каталог.xlsx: список фильмов (доп.)</t>
        </is>
      </c>
      <c r="M2639" s="2">
        <f>HYPERLINK("https://ru.wikipedia.org/w/index.php?search=%D0%98%D0%BD%D0%B6%D0%B5%D0%BD%D0%B5%D1%80%20%D0%93%D0%BE%D1%84%201935%20%D1%84%D0%B8%D0%BB%D1%8C%D0%BC","искать")</f>
        <v/>
      </c>
      <c r="N2639" s="3" t="n"/>
      <c r="O2639" s="2" t="n"/>
      <c r="P2639" s="2" t="n"/>
    </row>
    <row r="2640">
      <c r="A2640" s="2" t="n">
        <v>2639</v>
      </c>
      <c r="B2640" s="2" t="inlineStr">
        <is>
          <t>не сюжет</t>
        </is>
      </c>
      <c r="C2640" s="2" t="n">
        <v>10168</v>
      </c>
      <c r="D2640" s="3" t="inlineStr">
        <is>
          <t>Маленькие трагедии</t>
        </is>
      </c>
      <c r="E2640" s="2" t="n">
        <v>1966</v>
      </c>
      <c r="F2640" s="2" t="inlineStr">
        <is>
          <t>фильм-спектакль</t>
        </is>
      </c>
      <c r="G2640" s="2" t="inlineStr">
        <is>
          <t>Гл. ред. лит-драм программ</t>
        </is>
      </c>
      <c r="H2640" s="2" t="n">
        <v>190</v>
      </c>
      <c r="I2640" s="2" t="inlineStr"/>
      <c r="J2640" s="2" t="inlineStr">
        <is>
          <t>да</t>
        </is>
      </c>
      <c r="K2640" s="3" t="inlineStr">
        <is>
          <t>По драмам А. Пушкина "Скупой рыцарь", "Каменный гость", "Моцарт и Сальери" в постановке Ленинградского государственного академического театра драмы имени А.С. Пушкина. Постановка Л. Вивьена.</t>
        </is>
      </c>
      <c r="L2640" s="2" t="inlineStr">
        <is>
          <t>https://www.kino-teatr.ru/teatr/movie/17367/annot/</t>
        </is>
      </c>
      <c r="M2640" s="2">
        <f>HYPERLINK("https://ru.wikipedia.org/w/index.php?search=%D0%9C%D0%B0%D0%BB%D0%B5%D0%BD%D1%8C%D0%BA%D0%B8%D0%B5%20%D1%82%D1%80%D0%B0%D0%B3%D0%B5%D0%B4%D0%B8%D0%B8%201966%20%D1%84%D0%B8%D0%BB%D1%8C%D0%BC","искать")</f>
        <v/>
      </c>
      <c r="N2640" s="3" t="n"/>
      <c r="O2640" s="2" t="n"/>
      <c r="P2640" s="2" t="n"/>
    </row>
    <row r="2641">
      <c r="A2641" s="2" t="n">
        <v>2640</v>
      </c>
      <c r="B2641" s="2" t="inlineStr">
        <is>
          <t>не сюжет</t>
        </is>
      </c>
      <c r="C2641" s="2" t="n">
        <v>13515</v>
      </c>
      <c r="D2641" s="3" t="inlineStr">
        <is>
          <t>Полночные игры</t>
        </is>
      </c>
      <c r="E2641" s="2" t="n">
        <v>1991</v>
      </c>
      <c r="F2641" s="2" t="inlineStr">
        <is>
          <t>мультфильм</t>
        </is>
      </c>
      <c r="G2641" s="2" t="inlineStr">
        <is>
          <t>Пилот, ПАНОРАМА ЛО КИНОФОНДА СССР</t>
        </is>
      </c>
      <c r="H2641" s="2" t="n">
        <v>190</v>
      </c>
      <c r="I2641" s="2" t="inlineStr"/>
      <c r="J2641" s="2" t="inlineStr">
        <is>
          <t>да</t>
        </is>
      </c>
      <c r="K2641" s="3" t="inlineStr">
        <is>
          <t>По ночам, когда человек спит, могут происходить странные вещи. Мы увидим, как живут своей жизнью гдлаза, уши, нос. И если по утрам нам кажется, что все в порядке, то на самом деле это не так</t>
        </is>
      </c>
      <c r="L2641" s="2" t="inlineStr">
        <is>
          <t>https://gosfilmofond.ru/films/256010/</t>
        </is>
      </c>
      <c r="M2641" s="2">
        <f>HYPERLINK("https://ru.wikipedia.org/w/index.php?search=%D0%9F%D0%BE%D0%BB%D0%BD%D0%BE%D1%87%D0%BD%D1%8B%D0%B5%20%D0%B8%D0%B3%D1%80%D1%8B%201991%20%D1%84%D0%B8%D0%BB%D1%8C%D0%BC","искать")</f>
        <v/>
      </c>
      <c r="N2641" s="3" t="n"/>
      <c r="O2641" s="2" t="n"/>
      <c r="P2641" s="2" t="n"/>
    </row>
    <row r="2642">
      <c r="A2642" s="2" t="n">
        <v>2641</v>
      </c>
      <c r="B2642" s="2" t="inlineStr">
        <is>
          <t>не сюжет</t>
        </is>
      </c>
      <c r="C2642" s="2" t="n">
        <v>8652</v>
      </c>
      <c r="D2642" s="3" t="inlineStr">
        <is>
          <t>Весёлый калейдоскоп</t>
        </is>
      </c>
      <c r="E2642" s="2" t="n">
        <v>1974</v>
      </c>
      <c r="F2642" s="2" t="inlineStr">
        <is>
          <t>кинофильм</t>
        </is>
      </c>
      <c r="G2642" s="2" t="n"/>
      <c r="H2642" s="2" t="n">
        <v>191</v>
      </c>
      <c r="I2642" s="2" t="inlineStr"/>
      <c r="J2642" s="2" t="inlineStr">
        <is>
          <t>да</t>
        </is>
      </c>
      <c r="K2642" s="3" t="inlineStr">
        <is>
          <t>Киноальманах состоит из трех юмористических новелл. Новелла первая - "Сюрпризы после смены". Новелла вторая - "Мой друг Кнопик, который знает все". Новелла третья - "Качкин едет в санаторий".</t>
        </is>
      </c>
      <c r="L2642" s="2" t="inlineStr">
        <is>
          <t>Кино_СССР сводный каталог.xlsx: список фильмов (доп.)</t>
        </is>
      </c>
      <c r="M2642" s="2">
        <f>HYPERLINK("https://ru.wikipedia.org/w/index.php?search=%D0%92%D0%B5%D1%81%D1%91%D0%BB%D1%8B%D0%B9%20%D0%BA%D0%B0%D0%BB%D0%B5%D0%B9%D0%B4%D0%BE%D1%81%D0%BA%D0%BE%D0%BF%201974%20%D1%84%D0%B8%D0%BB%D1%8C%D0%BC","искать")</f>
        <v/>
      </c>
      <c r="N2642" s="3" t="n"/>
      <c r="O2642" s="2" t="n"/>
      <c r="P2642" s="2" t="n"/>
    </row>
    <row r="2643">
      <c r="A2643" s="2" t="n">
        <v>2642</v>
      </c>
      <c r="B2643" s="2" t="inlineStr">
        <is>
          <t>не сюжет</t>
        </is>
      </c>
      <c r="C2643" s="2" t="n">
        <v>10989</v>
      </c>
      <c r="D2643" s="3" t="inlineStr">
        <is>
          <t>Житейское море</t>
        </is>
      </c>
      <c r="E2643" s="2" t="n">
        <v>1983</v>
      </c>
      <c r="F2643" s="2" t="inlineStr">
        <is>
          <t>фильм-спектакль</t>
        </is>
      </c>
      <c r="G2643" s="2" t="inlineStr">
        <is>
          <t>Укртелефильм</t>
        </is>
      </c>
      <c r="H2643" s="2" t="n">
        <v>191</v>
      </c>
      <c r="I2643" s="2" t="inlineStr"/>
      <c r="J2643" s="2" t="inlineStr">
        <is>
          <t>да</t>
        </is>
      </c>
      <c r="K2643" s="3" t="inlineStr">
        <is>
          <t>Телевизионная версия спектакля Львовского театра им.Марии Заньковецкой по одноименной пьесе Ивана Карпенко-Карого. В главных ролях звезды украинской сцены - Фёдор Стригун и Таисия Литвиненко.</t>
        </is>
      </c>
      <c r="L2643" s="2" t="inlineStr">
        <is>
          <t>https://www.kino-teatr.ru/teatr/movie/102392/annot/</t>
        </is>
      </c>
      <c r="M2643" s="2">
        <f>HYPERLINK("https://ru.wikipedia.org/w/index.php?search=%D0%96%D0%B8%D1%82%D0%B5%D0%B9%D1%81%D0%BA%D0%BE%D0%B5%20%D0%BC%D0%BE%D1%80%D0%B5%201983%20%D1%84%D0%B8%D0%BB%D1%8C%D0%BC","искать")</f>
        <v/>
      </c>
      <c r="N2643" s="3" t="n"/>
      <c r="O2643" s="2" t="n"/>
      <c r="P2643" s="2" t="n"/>
    </row>
    <row r="2644">
      <c r="A2644" s="2" t="n">
        <v>2643</v>
      </c>
      <c r="B2644" s="2" t="inlineStr">
        <is>
          <t>не сюжет</t>
        </is>
      </c>
      <c r="C2644" s="2" t="n">
        <v>9207</v>
      </c>
      <c r="D2644" s="3" t="inlineStr">
        <is>
          <t>Арут</t>
        </is>
      </c>
      <c r="E2644" s="2" t="n">
        <v>1933</v>
      </c>
      <c r="F2644" s="2" t="inlineStr">
        <is>
          <t>кинофильм</t>
        </is>
      </c>
      <c r="G2644" s="2" t="n"/>
      <c r="H2644" s="2" t="n">
        <v>192</v>
      </c>
      <c r="I2644" s="2" t="inlineStr"/>
      <c r="J2644" s="2" t="inlineStr">
        <is>
          <t>да</t>
        </is>
      </c>
      <c r="K2644" s="3" t="inlineStr">
        <is>
          <t>Հարութ «О борьбе хлопкоробов Армении с кулаками в годы коллективизации. Фильм сделан под влиянием «Земли» А.П.Довженко.» - Е.Марголит, В.Шмыров «(Изъятое кино). 1924—1953" М., «Дубль-Д», 1995.</t>
        </is>
      </c>
      <c r="L2644" s="2" t="inlineStr">
        <is>
          <t>Кино_СССР сводный каталог.xlsx: список фильмов (доп.)</t>
        </is>
      </c>
      <c r="M2644" s="2">
        <f>HYPERLINK("https://ru.wikipedia.org/w/index.php?search=%D0%90%D1%80%D1%83%D1%82%201933%20%D1%84%D0%B8%D0%BB%D1%8C%D0%BC","искать")</f>
        <v/>
      </c>
      <c r="N2644" s="3" t="n"/>
      <c r="O2644" s="2" t="n"/>
      <c r="P2644" s="2" t="n"/>
    </row>
    <row r="2645">
      <c r="A2645" s="2" t="n">
        <v>2644</v>
      </c>
      <c r="B2645" s="2" t="inlineStr">
        <is>
          <t>не сюжет</t>
        </is>
      </c>
      <c r="C2645" s="2" t="n">
        <v>7563</v>
      </c>
      <c r="D2645" s="3" t="inlineStr">
        <is>
          <t>Друзей не выбирают</t>
        </is>
      </c>
      <c r="E2645" s="2" t="n">
        <v>1985</v>
      </c>
      <c r="F2645" s="2" t="inlineStr">
        <is>
          <t>телефильм</t>
        </is>
      </c>
      <c r="G2645" s="2" t="n"/>
      <c r="H2645" s="2" t="n">
        <v>193</v>
      </c>
      <c r="I2645" s="2" t="inlineStr"/>
      <c r="J2645" s="2" t="inlineStr">
        <is>
          <t>да</t>
        </is>
      </c>
      <c r="K2645" s="3" t="inlineStr">
        <is>
          <t>Телесериал по мотивам одноименного романа Б. Павленка. О друзьях-товарищах - Андрее, Антоне и Василе, совместно начинавших свою комсомольско-трудовую биографию в Белоруссии в послевоенные годы.</t>
        </is>
      </c>
      <c r="L2645" s="2" t="inlineStr">
        <is>
          <t>Кино_СССР сводный каталог.xlsx: список телефильмов</t>
        </is>
      </c>
      <c r="M2645" s="2">
        <f>HYPERLINK("https://ru.wikipedia.org/w/index.php?search=%D0%94%D1%80%D1%83%D0%B7%D0%B5%D0%B9%20%D0%BD%D0%B5%20%D0%B2%D1%8B%D0%B1%D0%B8%D1%80%D0%B0%D1%8E%D1%82%201985%20%D1%84%D0%B8%D0%BB%D1%8C%D0%BC","искать")</f>
        <v/>
      </c>
      <c r="N2645" s="3" t="n"/>
      <c r="O2645" s="2" t="n"/>
      <c r="P2645" s="2" t="n"/>
    </row>
    <row r="2646">
      <c r="A2646" s="2" t="n">
        <v>2645</v>
      </c>
      <c r="B2646" s="2" t="inlineStr">
        <is>
          <t>не сюжет</t>
        </is>
      </c>
      <c r="C2646" s="2" t="n">
        <v>10293</v>
      </c>
      <c r="D2646" s="3" t="inlineStr">
        <is>
          <t>В голубом и красном</t>
        </is>
      </c>
      <c r="E2646" s="2" t="n">
        <v>1969</v>
      </c>
      <c r="F2646" s="2" t="inlineStr">
        <is>
          <t>фильм-спектакль</t>
        </is>
      </c>
      <c r="G2646" s="2" t="inlineStr">
        <is>
          <t>Главная редакция литературно-драматических программ</t>
        </is>
      </c>
      <c r="H2646" s="2" t="n">
        <v>193</v>
      </c>
      <c r="I2646" s="2" t="inlineStr"/>
      <c r="J2646" s="2" t="inlineStr">
        <is>
          <t>да</t>
        </is>
      </c>
      <c r="K2646" s="3" t="inlineStr">
        <is>
          <t>По одноименному произведению венгерского писателя М.Хубаи.
Об участии венгерской молодежи в антифашистской борьбе в годы второй мировой войны.
Постановка венгерского режиссера Миклоша Синетара.</t>
        </is>
      </c>
      <c r="L2646" s="2" t="inlineStr">
        <is>
          <t>https://www.kino-teatr.ru/teatr/movie/92982/annot/</t>
        </is>
      </c>
      <c r="M2646" s="2">
        <f>HYPERLINK("https://ru.wikipedia.org/w/index.php?search=%D0%92%20%D0%B3%D0%BE%D0%BB%D1%83%D0%B1%D0%BE%D0%BC%20%D0%B8%20%D0%BA%D1%80%D0%B0%D1%81%D0%BD%D0%BE%D0%BC%201969%20%D1%84%D0%B8%D0%BB%D1%8C%D0%BC","искать")</f>
        <v/>
      </c>
      <c r="N2646" s="3" t="n"/>
      <c r="O2646" s="2" t="n"/>
      <c r="P2646" s="2" t="n"/>
    </row>
    <row r="2647">
      <c r="A2647" s="2" t="n">
        <v>2646</v>
      </c>
      <c r="B2647" s="2" t="inlineStr">
        <is>
          <t>не сюжет</t>
        </is>
      </c>
      <c r="C2647" s="2" t="n">
        <v>8694</v>
      </c>
      <c r="D2647" s="3" t="inlineStr">
        <is>
          <t>Два шага до тишины</t>
        </is>
      </c>
      <c r="E2647" s="2" t="n">
        <v>1991</v>
      </c>
      <c r="F2647" s="2" t="inlineStr">
        <is>
          <t>кинофильм</t>
        </is>
      </c>
      <c r="G2647" s="2" t="n"/>
      <c r="H2647" s="2" t="n">
        <v>194</v>
      </c>
      <c r="I2647" s="2" t="inlineStr"/>
      <c r="J2647" s="2" t="inlineStr">
        <is>
          <t>да</t>
        </is>
      </c>
      <c r="K2647" s="3" t="inlineStr">
        <is>
          <t>Афганистан. Февраль 1989 года. Последние дни пребывание советских войск в чужой стране. Скоро домой, но война еще продолжается. И многие задаются вопросом: кто ты - захватчик или освободитель?..</t>
        </is>
      </c>
      <c r="L2647" s="2" t="inlineStr">
        <is>
          <t>Кино_СССР сводный каталог.xlsx: список фильмов (доп.)</t>
        </is>
      </c>
      <c r="M2647" s="2">
        <f>HYPERLINK("https://ru.wikipedia.org/w/index.php?search=%D0%94%D0%B2%D0%B0%20%D1%88%D0%B0%D0%B3%D0%B0%20%D0%B4%D0%BE%20%D1%82%D0%B8%D1%88%D0%B8%D0%BD%D1%8B%201991%20%D1%84%D0%B8%D0%BB%D1%8C%D0%BC","искать")</f>
        <v/>
      </c>
      <c r="N2647" s="3" t="n"/>
      <c r="O2647" s="2" t="n"/>
      <c r="P2647" s="2" t="n"/>
    </row>
    <row r="2648">
      <c r="A2648" s="2" t="n">
        <v>2647</v>
      </c>
      <c r="B2648" s="2" t="inlineStr">
        <is>
          <t>не сюжет</t>
        </is>
      </c>
      <c r="C2648" s="2" t="n">
        <v>9296</v>
      </c>
      <c r="D2648" s="3" t="inlineStr">
        <is>
          <t>Высота №5</t>
        </is>
      </c>
      <c r="E2648" s="2" t="n">
        <v>1932</v>
      </c>
      <c r="F2648" s="2" t="inlineStr">
        <is>
          <t>кинофильм</t>
        </is>
      </c>
      <c r="G2648" s="2" t="n"/>
      <c r="H2648" s="2" t="n">
        <v>194</v>
      </c>
      <c r="I2648" s="2" t="inlineStr"/>
      <c r="J2648" s="2" t="inlineStr">
        <is>
          <t>да</t>
        </is>
      </c>
      <c r="K2648" s="3" t="inlineStr">
        <is>
          <t>«Агитпропфильм на тему ликвидации прорыва на производстве и борьбы с кулаками-вредителями. Фильм снимался как немой, на заключительной стадии был озвучен шумами и музыкой». Е.Марголит, В.Шмыров.</t>
        </is>
      </c>
      <c r="L2648" s="2" t="inlineStr">
        <is>
          <t>Кино_СССР сводный каталог.xlsx: список фильмов (доп.)</t>
        </is>
      </c>
      <c r="M2648" s="2">
        <f>HYPERLINK("https://ru.wikipedia.org/w/index.php?search=%D0%92%D1%8B%D1%81%D0%BE%D1%82%D0%B0%20%E2%84%965%201932%20%D1%84%D0%B8%D0%BB%D1%8C%D0%BC","искать")</f>
        <v/>
      </c>
      <c r="N2648" s="3" t="n"/>
      <c r="O2648" s="2" t="n"/>
      <c r="P2648" s="2" t="n"/>
    </row>
    <row r="2649">
      <c r="A2649" s="2" t="n">
        <v>2648</v>
      </c>
      <c r="B2649" s="2" t="inlineStr">
        <is>
          <t>не сюжет</t>
        </is>
      </c>
      <c r="C2649" s="2" t="n">
        <v>11200</v>
      </c>
      <c r="D2649" s="3" t="inlineStr">
        <is>
          <t>Загадка. Разгадка</t>
        </is>
      </c>
      <c r="E2649" s="2" t="n">
        <v>1988</v>
      </c>
      <c r="F2649" s="2" t="inlineStr">
        <is>
          <t>фильм-спектакль</t>
        </is>
      </c>
      <c r="G2649" s="2" t="inlineStr">
        <is>
          <t>Главная редакция программ для детей и юношества ЦТ</t>
        </is>
      </c>
      <c r="H2649" s="2" t="n">
        <v>194</v>
      </c>
      <c r="I2649" s="2" t="inlineStr"/>
      <c r="J2649" s="2" t="inlineStr">
        <is>
          <t>да</t>
        </is>
      </c>
      <c r="K2649" s="3" t="inlineStr">
        <is>
          <t>По повести Вениамина Каверина "Шестнадцатилетие".
О том, как важно учителю быть не просто знатоком своего предмета, но и воспитателем, понять души детей, суметь вникнуть в сущность их отношений.</t>
        </is>
      </c>
      <c r="L2649" s="2" t="inlineStr">
        <is>
          <t>https://www.kino-teatr.ru/teatr/movie/2339/annot/</t>
        </is>
      </c>
      <c r="M2649" s="2">
        <f>HYPERLINK("https://ru.wikipedia.org/w/index.php?search=%D0%97%D0%B0%D0%B3%D0%B0%D0%B4%D0%BA%D0%B0.%20%D0%A0%D0%B0%D0%B7%D0%B3%D0%B0%D0%B4%D0%BA%D0%B0%201988%20%D1%84%D0%B8%D0%BB%D1%8C%D0%BC","искать")</f>
        <v/>
      </c>
      <c r="N2649" s="3" t="n"/>
      <c r="O2649" s="2" t="n"/>
      <c r="P2649" s="2" t="n"/>
    </row>
    <row r="2650">
      <c r="A2650" s="2" t="n">
        <v>2649</v>
      </c>
      <c r="B2650" s="2" t="inlineStr">
        <is>
          <t>не сюжет</t>
        </is>
      </c>
      <c r="C2650" s="2" t="n">
        <v>7252</v>
      </c>
      <c r="D2650" s="3" t="inlineStr">
        <is>
          <t>Берёзы на ветру</t>
        </is>
      </c>
      <c r="E2650" s="2" t="n">
        <v>1963</v>
      </c>
      <c r="F2650" s="2" t="inlineStr">
        <is>
          <t>телефильм</t>
        </is>
      </c>
      <c r="G2650" s="2" t="inlineStr">
        <is>
          <t>Литовское телевидение</t>
        </is>
      </c>
      <c r="H2650" s="2" t="n">
        <v>195</v>
      </c>
      <c r="I2650" s="2" t="inlineStr"/>
      <c r="J2650" s="2" t="inlineStr">
        <is>
          <t>да</t>
        </is>
      </c>
      <c r="K2650" s="3" t="inlineStr">
        <is>
          <t>По одноименной повести Витаутаса Бубниса. Тема фильма - жизнь колхозной деревни, отношения между людьми, противоречия старого и молодого поколения из-за разных взглядов на жизнь, любовь и мораль.</t>
        </is>
      </c>
      <c r="L2650" s="2" t="inlineStr">
        <is>
          <t>Кино_СССР сводный каталог.xlsx: список телефильмов</t>
        </is>
      </c>
      <c r="M2650" s="2">
        <f>HYPERLINK("https://ru.wikipedia.org/w/index.php?search=%D0%91%D0%B5%D1%80%D1%91%D0%B7%D1%8B%20%D0%BD%D0%B0%20%D0%B2%D0%B5%D1%82%D1%80%D1%83%201963%20%D1%84%D0%B8%D0%BB%D1%8C%D0%BC","искать")</f>
        <v/>
      </c>
      <c r="N2650" s="3" t="n"/>
      <c r="O2650" s="2" t="n"/>
      <c r="P2650" s="2" t="n"/>
    </row>
    <row r="2651">
      <c r="A2651" s="2" t="n">
        <v>2650</v>
      </c>
      <c r="B2651" s="2" t="inlineStr">
        <is>
          <t>не сюжет</t>
        </is>
      </c>
      <c r="C2651" s="2" t="n">
        <v>10395</v>
      </c>
      <c r="D2651" s="3" t="inlineStr">
        <is>
          <t>Золотая карета</t>
        </is>
      </c>
      <c r="E2651" s="2" t="n">
        <v>1971</v>
      </c>
      <c r="F2651" s="2" t="inlineStr">
        <is>
          <t>фильм-спектакль</t>
        </is>
      </c>
      <c r="G2651" s="2" t="n"/>
      <c r="H2651" s="2" t="n">
        <v>195</v>
      </c>
      <c r="I2651" s="2" t="inlineStr"/>
      <c r="J2651" s="2" t="inlineStr">
        <is>
          <t>да</t>
        </is>
      </c>
      <c r="K2651" s="3" t="inlineStr">
        <is>
          <t>По одноименной пьесе Л.Леонова в постановке Московского драматического театра на Малой Бронной.
О председателе горисполкома Марии Сергеевне Порошиной, которая видит свое счастье в служении людям.</t>
        </is>
      </c>
      <c r="L2651" s="2" t="inlineStr">
        <is>
          <t>https://www.kino-teatr.ru/teatr/movie/81467/annot/</t>
        </is>
      </c>
      <c r="M2651" s="2">
        <f>HYPERLINK("https://ru.wikipedia.org/w/index.php?search=%D0%97%D0%BE%D0%BB%D0%BE%D1%82%D0%B0%D1%8F%20%D0%BA%D0%B0%D1%80%D0%B5%D1%82%D0%B0%201971%20%D1%84%D0%B8%D0%BB%D1%8C%D0%BC","искать")</f>
        <v/>
      </c>
      <c r="N2651" s="3" t="n"/>
      <c r="O2651" s="2" t="n"/>
      <c r="P2651" s="2" t="n"/>
    </row>
    <row r="2652">
      <c r="A2652" s="2" t="n">
        <v>2651</v>
      </c>
      <c r="B2652" s="2" t="inlineStr">
        <is>
          <t>не сюжет</t>
        </is>
      </c>
      <c r="C2652" s="2" t="n">
        <v>11264</v>
      </c>
      <c r="D2652" s="3" t="inlineStr">
        <is>
          <t>Мастер и Маргарита. Главы из романа</t>
        </is>
      </c>
      <c r="E2652" s="2" t="n">
        <v>1989</v>
      </c>
      <c r="F2652" s="2" t="inlineStr">
        <is>
          <t>фильм-спектакль</t>
        </is>
      </c>
      <c r="G2652" s="2" t="inlineStr">
        <is>
          <t>Главная редакция литературно-драматических программ ЦТ</t>
        </is>
      </c>
      <c r="H2652" s="2" t="n">
        <v>195</v>
      </c>
      <c r="I2652" s="2" t="inlineStr"/>
      <c r="J2652" s="2" t="inlineStr">
        <is>
          <t>да</t>
        </is>
      </c>
      <c r="K2652" s="3" t="inlineStr">
        <is>
          <t>Телеверсия спектакля Саратовского драматического театра по роману М.Булгакова "Мастер и Маргарита" в постановке режиссера Александра Дзекуна. На сцене театра спектакль шел в течение двух вечеров.</t>
        </is>
      </c>
      <c r="L2652" s="2" t="inlineStr">
        <is>
          <t>https://www.kino-teatr.ru/teatr/movie/93240/annot/</t>
        </is>
      </c>
      <c r="M2652" s="2">
        <f>HYPERLINK("https://ru.wikipedia.org/w/index.php?search=%D0%9C%D0%B0%D1%81%D1%82%D0%B5%D1%80%20%D0%B8%20%D0%9C%D0%B0%D1%80%D0%B3%D0%B0%D1%80%D0%B8%D1%82%D0%B0.%20%D0%93%D0%BB%D0%B0%D0%B2%D1%8B%20%D0%B8%D0%B7%20%D1%80%D0%BE%D0%BC%D0%B0%D0%BD%D0%B0%201989%20%D1%84%D0%B8%D0%BB%D1%8C%D0%BC","искать")</f>
        <v/>
      </c>
      <c r="N2652" s="3" t="n"/>
      <c r="O2652" s="2" t="n"/>
      <c r="P2652" s="2" t="n"/>
    </row>
    <row r="2653">
      <c r="A2653" s="2" t="n">
        <v>2652</v>
      </c>
      <c r="B2653" s="2" t="inlineStr">
        <is>
          <t>не сюжет</t>
        </is>
      </c>
      <c r="C2653" s="2" t="n">
        <v>9825</v>
      </c>
      <c r="D2653" s="3" t="inlineStr">
        <is>
          <t>Враги</t>
        </is>
      </c>
      <c r="E2653" s="2" t="n">
        <v>1964</v>
      </c>
      <c r="F2653" s="2" t="inlineStr">
        <is>
          <t>телефильм</t>
        </is>
      </c>
      <c r="G2653" s="2" t="inlineStr">
        <is>
          <t>Новосибирская студия телевидения</t>
        </is>
      </c>
      <c r="H2653" s="2" t="n">
        <v>196</v>
      </c>
      <c r="I2653" s="2" t="inlineStr"/>
      <c r="J2653" s="2" t="inlineStr">
        <is>
          <t>да</t>
        </is>
      </c>
      <c r="K2653" s="3" t="inlineStr">
        <is>
          <t>Этот фильм, поставленный по рассказу Эммануила Казакевича и рассказывающий о взаимоотношениях Ленина и Мартова, был отвергнут в свое время цензурой и запрещен к показу по Центральному телевидению.</t>
        </is>
      </c>
      <c r="L2653" s="2" t="inlineStr">
        <is>
          <t>https://www.kino-teatr.ru/short/movie/sov/119388/annot/</t>
        </is>
      </c>
      <c r="M2653" s="2">
        <f>HYPERLINK("https://ru.wikipedia.org/w/index.php?search=%D0%92%D1%80%D0%B0%D0%B3%D0%B8%201964%20%D1%84%D0%B8%D0%BB%D1%8C%D0%BC","искать")</f>
        <v/>
      </c>
      <c r="N2653" s="3" t="n"/>
      <c r="O2653" s="2" t="n"/>
      <c r="P2653" s="2" t="n"/>
    </row>
    <row r="2654">
      <c r="A2654" s="2" t="n">
        <v>2653</v>
      </c>
      <c r="B2654" s="2" t="inlineStr">
        <is>
          <t>не сюжет</t>
        </is>
      </c>
      <c r="C2654" s="2" t="n">
        <v>11874</v>
      </c>
      <c r="D2654" s="3" t="inlineStr">
        <is>
          <t>Контакт</t>
        </is>
      </c>
      <c r="E2654" s="2" t="n">
        <v>1978</v>
      </c>
      <c r="F2654" s="2" t="inlineStr">
        <is>
          <t>мультфильм</t>
        </is>
      </c>
      <c r="G2654" s="2" t="inlineStr">
        <is>
          <t>Союзмультфильм</t>
        </is>
      </c>
      <c r="H2654" s="2" t="n">
        <v>196</v>
      </c>
      <c r="I2654" s="2" t="inlineStr"/>
      <c r="J2654" s="2" t="inlineStr">
        <is>
          <t>да</t>
        </is>
      </c>
      <c r="K2654" s="3" t="inlineStr">
        <is>
          <t>Использована музыка Дж.Гершвина и Н.Роты, оранжировка П.Мориа и Л.Чижика. Инопланетянин и человек всегда могут понять друг друга, если будет добрая воля.Музыка из мультфильма:Основная тема(3.5 Мб)</t>
        </is>
      </c>
      <c r="L2654" s="2" t="inlineStr">
        <is>
          <t>2026-10_мультфильмы_список_владельца.xlsx; https://animator.ru/db/?p=show_film&amp;fid=2789</t>
        </is>
      </c>
      <c r="M2654" s="2">
        <f>HYPERLINK("https://ru.wikipedia.org/w/index.php?search=%D0%9A%D0%BE%D0%BD%D1%82%D0%B0%D0%BA%D1%82%201978%20%D1%84%D0%B8%D0%BB%D1%8C%D0%BC","искать")</f>
        <v/>
      </c>
      <c r="N2654" s="3" t="n"/>
      <c r="O2654" s="2" t="n"/>
      <c r="P2654" s="2" t="n"/>
    </row>
    <row r="2655">
      <c r="A2655" s="2" t="n">
        <v>2654</v>
      </c>
      <c r="B2655" s="2" t="inlineStr">
        <is>
          <t>не сюжет</t>
        </is>
      </c>
      <c r="C2655" s="2" t="n">
        <v>7879</v>
      </c>
      <c r="D2655" s="3" t="inlineStr">
        <is>
          <t>Миргород и его обитатели</t>
        </is>
      </c>
      <c r="E2655" s="2" t="n">
        <v>1983</v>
      </c>
      <c r="F2655" s="2" t="inlineStr">
        <is>
          <t>телефильм</t>
        </is>
      </c>
      <c r="G2655" s="2" t="n"/>
      <c r="H2655" s="2" t="n">
        <v>197</v>
      </c>
      <c r="I2655" s="2" t="inlineStr"/>
      <c r="J2655" s="2" t="inlineStr">
        <is>
          <t>да</t>
        </is>
      </c>
      <c r="K2655" s="3" t="inlineStr">
        <is>
          <t>В фильме использованы произведения Николая Васильевича Гоголя «Старосветские помещики», «Повесть о том, как поссорился Иван Иванович с Иваном Никифоровичем», «Иван Фёдорович Шпонька и его тётушка».</t>
        </is>
      </c>
      <c r="L2655" s="2" t="inlineStr">
        <is>
          <t>https://ru.wikipedia.org/w/index.php?title=%D0%9C%D0%B8%D1%80%D0%B3%D0%BE%D1%80%D0%BE%D0%B4_%D0%B8_%D0%B5%D0%B3%D0%BE_%D0%BE%D0%B1%D0%B8%D1%82%D0%B0%D1%82%D0%B5%D0%BB%D0%B8&amp;oldid=155280913</t>
        </is>
      </c>
      <c r="M2655" s="2">
        <f>HYPERLINK("https://ru.wikipedia.org/w/index.php?search=%D0%9C%D0%B8%D1%80%D0%B3%D0%BE%D1%80%D0%BE%D0%B4%20%D0%B8%20%D0%B5%D0%B3%D0%BE%20%D0%BE%D0%B1%D0%B8%D1%82%D0%B0%D1%82%D0%B5%D0%BB%D0%B8%201983%20%D1%84%D0%B8%D0%BB%D1%8C%D0%BC","искать")</f>
        <v/>
      </c>
      <c r="N2655" s="3" t="n"/>
      <c r="O2655" s="2" t="n"/>
      <c r="P2655" s="2" t="n"/>
    </row>
    <row r="2656">
      <c r="A2656" s="2" t="n">
        <v>2655</v>
      </c>
      <c r="B2656" s="2" t="inlineStr">
        <is>
          <t>не сюжет</t>
        </is>
      </c>
      <c r="C2656" s="2" t="n">
        <v>8514</v>
      </c>
      <c r="D2656" s="3" t="inlineStr">
        <is>
          <t>Фламинго приносит счастье</t>
        </is>
      </c>
      <c r="E2656" s="2" t="n">
        <v>1986</v>
      </c>
      <c r="F2656" s="2" t="inlineStr">
        <is>
          <t>телефильм</t>
        </is>
      </c>
      <c r="G2656" s="2" t="n"/>
      <c r="H2656" s="2" t="n">
        <v>197</v>
      </c>
      <c r="I2656" s="2" t="inlineStr"/>
      <c r="J2656" s="2" t="inlineStr">
        <is>
          <t>да</t>
        </is>
      </c>
      <c r="K2656" s="3" t="inlineStr">
        <is>
          <t>По роману Раймонда Каугвера «Мы не виноваты». Фильм исследует причины преступного поведения молодого человека из внешне благополучной семьи, обращаясь к вопросам воспитания, равнодушия и лицемерия.</t>
        </is>
      </c>
      <c r="L2656" s="2" t="inlineStr">
        <is>
          <t>Кино_СССР сводный каталог.xlsx: список телефильмов</t>
        </is>
      </c>
      <c r="M2656" s="2">
        <f>HYPERLINK("https://ru.wikipedia.org/w/index.php?search=%D0%A4%D0%BB%D0%B0%D0%BC%D0%B8%D0%BD%D0%B3%D0%BE%20%D0%BF%D1%80%D0%B8%D0%BD%D0%BE%D1%81%D0%B8%D1%82%20%D1%81%D1%87%D0%B0%D1%81%D1%82%D1%8C%D0%B5%201986%20%D1%84%D0%B8%D0%BB%D1%8C%D0%BC","искать")</f>
        <v/>
      </c>
      <c r="N2656" s="3" t="n"/>
      <c r="O2656" s="2" t="n"/>
      <c r="P2656" s="2" t="n"/>
    </row>
    <row r="2657">
      <c r="A2657" s="2" t="n">
        <v>2656</v>
      </c>
      <c r="B2657" s="2" t="inlineStr">
        <is>
          <t>не сюжет</t>
        </is>
      </c>
      <c r="C2657" s="2" t="n">
        <v>10119</v>
      </c>
      <c r="D2657" s="3" t="inlineStr">
        <is>
          <t>Гаянэ</t>
        </is>
      </c>
      <c r="E2657" s="2" t="n">
        <v>1964</v>
      </c>
      <c r="F2657" s="2" t="inlineStr">
        <is>
          <t>фильм-спектакль</t>
        </is>
      </c>
      <c r="G2657" s="2" t="n"/>
      <c r="H2657" s="2" t="n">
        <v>197</v>
      </c>
      <c r="I2657" s="2" t="inlineStr"/>
      <c r="J2657" s="2" t="inlineStr">
        <is>
          <t>да</t>
        </is>
      </c>
      <c r="K2657" s="3" t="inlineStr">
        <is>
          <t>4-й акт из балета «Гаянэ», был поставлен в Большом театре в 1961 году как отдельный акт-дивертисмент. Балетмейстер Нина Анисимова, художник-постановщик Вадим Рындин, дирижёр-постановщик Юрий Файер.</t>
        </is>
      </c>
      <c r="L2657" s="2" t="inlineStr">
        <is>
          <t>https://www.kino-teatr.ru/teatr/movie/176563/annot/</t>
        </is>
      </c>
      <c r="M2657" s="2">
        <f>HYPERLINK("https://ru.wikipedia.org/w/index.php?search=%D0%93%D0%B0%D1%8F%D0%BD%D1%8D%201964%20%D1%84%D0%B8%D0%BB%D1%8C%D0%BC","искать")</f>
        <v/>
      </c>
      <c r="N2657" s="3" t="n"/>
      <c r="O2657" s="2" t="n"/>
      <c r="P2657" s="2" t="n"/>
    </row>
    <row r="2658">
      <c r="A2658" s="2" t="n">
        <v>2657</v>
      </c>
      <c r="B2658" s="2" t="inlineStr">
        <is>
          <t>не сюжет</t>
        </is>
      </c>
      <c r="C2658" s="2" t="n">
        <v>10438</v>
      </c>
      <c r="D2658" s="3" t="inlineStr">
        <is>
          <t>Два рассказа</t>
        </is>
      </c>
      <c r="E2658" s="2" t="n">
        <v>1972</v>
      </c>
      <c r="F2658" s="2" t="inlineStr">
        <is>
          <t>фильм-спектакль</t>
        </is>
      </c>
      <c r="G2658" s="2" t="inlineStr">
        <is>
          <t>Творческое объединение "Экран", Подборки фильмов, экранизации Чехова</t>
        </is>
      </c>
      <c r="H2658" s="2" t="n">
        <v>197</v>
      </c>
      <c r="I2658" s="2" t="inlineStr"/>
      <c r="J2658" s="2" t="inlineStr">
        <is>
          <t>да</t>
        </is>
      </c>
      <c r="K2658" s="3" t="inlineStr">
        <is>
          <t>Два рассказа Антона Павловича Чехова "Дама с собачкой" и "О любви" читает народный артист СССР Дмитрий Николаевич Журавлев.
Музыкальное сопровождение составлено из произведений Александра Скрябина.</t>
        </is>
      </c>
      <c r="L2658" s="2" t="inlineStr">
        <is>
          <t>https://www.kino-teatr.ru/teatr/movie/114031/annot/</t>
        </is>
      </c>
      <c r="M2658" s="2">
        <f>HYPERLINK("https://ru.wikipedia.org/w/index.php?search=%D0%94%D0%B2%D0%B0%20%D1%80%D0%B0%D1%81%D1%81%D0%BA%D0%B0%D0%B7%D0%B0%201972%20%D1%84%D0%B8%D0%BB%D1%8C%D0%BC","искать")</f>
        <v/>
      </c>
      <c r="N2658" s="3" t="n"/>
      <c r="O2658" s="2" t="n"/>
      <c r="P2658" s="2" t="n"/>
    </row>
    <row r="2659">
      <c r="A2659" s="2" t="n">
        <v>2658</v>
      </c>
      <c r="B2659" s="2" t="inlineStr">
        <is>
          <t>не сюжет</t>
        </is>
      </c>
      <c r="C2659" s="2" t="n">
        <v>12340</v>
      </c>
      <c r="D2659" s="3" t="inlineStr">
        <is>
          <t>Волшебник Ох</t>
        </is>
      </c>
      <c r="E2659" s="2" t="n">
        <v>1971</v>
      </c>
      <c r="F2659" s="2" t="inlineStr">
        <is>
          <t>мультфильм</t>
        </is>
      </c>
      <c r="G2659" s="2" t="inlineStr">
        <is>
          <t>КИЕВНАУЧФИЛЬМ</t>
        </is>
      </c>
      <c r="H2659" s="2" t="n">
        <v>197</v>
      </c>
      <c r="I2659" s="2" t="inlineStr"/>
      <c r="J2659" s="2" t="inlineStr">
        <is>
          <t>да</t>
        </is>
      </c>
      <c r="K2659" s="3" t="inlineStr">
        <is>
          <t>По украинской народной сказке. Использованы украинские народные мелодии и песни в исполнении Украинского народного хора им.Веревки. ВКФ "Молодость-72", Киев, Приз "за лучший короткометражный фильм"</t>
        </is>
      </c>
      <c r="L2659" s="2" t="inlineStr">
        <is>
          <t>https://animator.ru/db/?p=show_film&amp;fid=3507</t>
        </is>
      </c>
      <c r="M2659" s="2">
        <f>HYPERLINK("https://ru.wikipedia.org/w/index.php?search=%D0%92%D0%BE%D0%BB%D1%88%D0%B5%D0%B1%D0%BD%D0%B8%D0%BA%20%D0%9E%D1%85%201971%20%D1%84%D0%B8%D0%BB%D1%8C%D0%BC","искать")</f>
        <v/>
      </c>
      <c r="N2659" s="3" t="n"/>
      <c r="O2659" s="2" t="n"/>
      <c r="P2659" s="2" t="n"/>
    </row>
    <row r="2660">
      <c r="A2660" s="2" t="n">
        <v>2659</v>
      </c>
      <c r="B2660" s="2" t="inlineStr">
        <is>
          <t>не сюжет</t>
        </is>
      </c>
      <c r="C2660" s="2" t="n">
        <v>10854</v>
      </c>
      <c r="D2660" s="3" t="inlineStr">
        <is>
          <t>О ты, последняя любовь!</t>
        </is>
      </c>
      <c r="E2660" s="2" t="n">
        <v>1980</v>
      </c>
      <c r="F2660" s="2" t="inlineStr">
        <is>
          <t>фильм-спектакль</t>
        </is>
      </c>
      <c r="G2660" s="2" t="inlineStr">
        <is>
          <t>т/о "Экран"</t>
        </is>
      </c>
      <c r="H2660" s="2" t="n">
        <v>198</v>
      </c>
      <c r="I2660" s="2" t="inlineStr"/>
      <c r="J2660" s="2" t="inlineStr">
        <is>
          <t>да</t>
        </is>
      </c>
      <c r="K2660" s="3" t="inlineStr">
        <is>
          <t>Поэтический телеспектакль.
В фильм включены лирические стихи Ф.И.Тютчева, отрывки из его писем и воспоминаний современников, отразившие полную драматизма историю любви поэта к юной Елене Денисьевой.</t>
        </is>
      </c>
      <c r="L2660" s="2" t="inlineStr">
        <is>
          <t>https://www.kino-teatr.ru/teatr/movie/92211/annot/</t>
        </is>
      </c>
      <c r="M2660" s="2">
        <f>HYPERLINK("https://ru.wikipedia.org/w/index.php?search=%D0%9E%20%D1%82%D1%8B%2C%20%D0%BF%D0%BE%D1%81%D0%BB%D0%B5%D0%B4%D0%BD%D1%8F%D1%8F%20%D0%BB%D1%8E%D0%B1%D0%BE%D0%B2%D1%8C%21%201980%20%D1%84%D0%B8%D0%BB%D1%8C%D0%BC","искать")</f>
        <v/>
      </c>
      <c r="N2660" s="3" t="n"/>
      <c r="O2660" s="2" t="n"/>
      <c r="P2660" s="2" t="n"/>
    </row>
    <row r="2661">
      <c r="A2661" s="2" t="n">
        <v>2660</v>
      </c>
      <c r="B2661" s="2" t="inlineStr">
        <is>
          <t>не сюжет</t>
        </is>
      </c>
      <c r="C2661" s="2" t="n">
        <v>8513</v>
      </c>
      <c r="D2661" s="3" t="inlineStr">
        <is>
          <t>Фирангиз</t>
        </is>
      </c>
      <c r="E2661" s="2" t="n">
        <v>1975</v>
      </c>
      <c r="F2661" s="2" t="inlineStr">
        <is>
          <t>телефильм</t>
        </is>
      </c>
      <c r="G2661" s="2" t="n"/>
      <c r="H2661" s="2" t="n">
        <v>199</v>
      </c>
      <c r="I2661" s="2" t="inlineStr"/>
      <c r="J2661" s="2" t="inlineStr">
        <is>
          <t>да</t>
        </is>
      </c>
      <c r="K2661" s="3" t="inlineStr">
        <is>
          <t>Секретарь райкома Фирангиз осторожна и требовательна, а также очень сурова и непоследовательна. Она не терпит не только своих соотечественников, даже своего супруга, исследователя Мурада и всю семью.</t>
        </is>
      </c>
      <c r="L2661" s="2" t="inlineStr">
        <is>
          <t>https://ru.wikipedia.org/w/index.php?title=%D0%A4%D0%B8%D1%80%D0%B0%D0%BD%D0%B3%D0%B8%D0%B7&amp;oldid=149109916</t>
        </is>
      </c>
      <c r="M2661" s="2">
        <f>HYPERLINK("https://ru.wikipedia.org/w/index.php?search=%D0%A4%D0%B8%D1%80%D0%B0%D0%BD%D0%B3%D0%B8%D0%B7%201975%20%D1%84%D0%B8%D0%BB%D1%8C%D0%BC","искать")</f>
        <v/>
      </c>
      <c r="N2661" s="3" t="n"/>
      <c r="O2661" s="2" t="n"/>
      <c r="P2661" s="2" t="n"/>
    </row>
    <row r="2662">
      <c r="A2662" s="2" t="n">
        <v>2661</v>
      </c>
      <c r="B2662" s="2" t="inlineStr">
        <is>
          <t>не сюжет</t>
        </is>
      </c>
      <c r="C2662" s="2" t="n">
        <v>9854</v>
      </c>
      <c r="D2662" s="3" t="inlineStr">
        <is>
          <t>Стрекозиные крылья</t>
        </is>
      </c>
      <c r="E2662" s="2" t="n">
        <v>1968</v>
      </c>
      <c r="F2662" s="2" t="inlineStr">
        <is>
          <t>кинофильм</t>
        </is>
      </c>
      <c r="G2662" s="2" t="inlineStr">
        <is>
          <t>Беларусьфильм</t>
        </is>
      </c>
      <c r="H2662" s="2" t="n">
        <v>199</v>
      </c>
      <c r="I2662" s="2" t="inlineStr"/>
      <c r="J2662" s="2" t="inlineStr">
        <is>
          <t>да</t>
        </is>
      </c>
      <c r="K2662" s="3" t="inlineStr">
        <is>
          <t>Лирическая новелла о первой детской любви пятикласника Пеки к однокласснице Аллочке Никольской — фигуристке-маленьком лебеде из балета Чайковского со стрекозиными крыльями, и о первых разочарованиях.</t>
        </is>
      </c>
      <c r="L2662" s="2" t="inlineStr">
        <is>
          <t>https://www.kino-teatr.ru/short/movie/sov/84777/annot/</t>
        </is>
      </c>
      <c r="M2662" s="2">
        <f>HYPERLINK("https://ru.wikipedia.org/w/index.php?search=%D0%A1%D1%82%D1%80%D0%B5%D0%BA%D0%BE%D0%B7%D0%B8%D0%BD%D1%8B%D0%B5%20%D0%BA%D1%80%D1%8B%D0%BB%D1%8C%D1%8F%201968%20%D1%84%D0%B8%D0%BB%D1%8C%D0%BC","искать")</f>
        <v/>
      </c>
      <c r="N2662" s="3" t="n"/>
      <c r="O2662" s="2" t="n"/>
      <c r="P2662" s="2" t="n"/>
    </row>
    <row r="2663">
      <c r="A2663" s="2" t="n">
        <v>2662</v>
      </c>
      <c r="B2663" s="2" t="inlineStr">
        <is>
          <t>не сюжет</t>
        </is>
      </c>
      <c r="C2663" s="2" t="n">
        <v>11158</v>
      </c>
      <c r="D2663" s="3" t="inlineStr">
        <is>
          <t>Иркина трагедия</t>
        </is>
      </c>
      <c r="E2663" s="2" t="n">
        <v>1987</v>
      </c>
      <c r="F2663" s="2" t="inlineStr">
        <is>
          <t>фильм-спектакль</t>
        </is>
      </c>
      <c r="G2663" s="2" t="inlineStr">
        <is>
          <t>Литовское телевидение</t>
        </is>
      </c>
      <c r="H2663" s="2" t="n">
        <v>199</v>
      </c>
      <c r="I2663" s="2" t="inlineStr"/>
      <c r="J2663" s="2" t="inlineStr">
        <is>
          <t>да</t>
        </is>
      </c>
      <c r="K2663" s="3" t="inlineStr">
        <is>
          <t>Спектакль поставлен по одноименной повести Шатриёс Раганы.
В спектакле воспроизведены обычаи и нравы начала XX века, показана жизнь дворянской семьи и одиночество в этой семье маленькой девочки Ирки.</t>
        </is>
      </c>
      <c r="L2663" s="2" t="inlineStr">
        <is>
          <t>https://www.kino-teatr.ru/teatr/movie/105789/annot/</t>
        </is>
      </c>
      <c r="M2663" s="2">
        <f>HYPERLINK("https://ru.wikipedia.org/w/index.php?search=%D0%98%D1%80%D0%BA%D0%B8%D0%BD%D0%B0%20%D1%82%D1%80%D0%B0%D0%B3%D0%B5%D0%B4%D0%B8%D1%8F%201987%20%D1%84%D0%B8%D0%BB%D1%8C%D0%BC","искать")</f>
        <v/>
      </c>
      <c r="N2663" s="3" t="n"/>
      <c r="O2663" s="2" t="n"/>
      <c r="P2663" s="2" t="n"/>
    </row>
    <row r="2664">
      <c r="A2664" s="2" t="n">
        <v>2663</v>
      </c>
      <c r="B2664" s="2" t="inlineStr">
        <is>
          <t>не сюжет</t>
        </is>
      </c>
      <c r="C2664" s="2" t="n">
        <v>7881</v>
      </c>
      <c r="D2664" s="3" t="inlineStr">
        <is>
          <t>Михайло Ломоносов</t>
        </is>
      </c>
      <c r="E2664" s="2" t="n">
        <v>1984</v>
      </c>
      <c r="F2664" s="2" t="inlineStr">
        <is>
          <t>телефильм</t>
        </is>
      </c>
      <c r="G2664" s="2" t="n"/>
      <c r="H2664" s="2" t="n">
        <v>200</v>
      </c>
      <c r="I2664" s="2" t="inlineStr"/>
      <c r="J2664" s="2" t="inlineStr">
        <is>
          <t>да</t>
        </is>
      </c>
      <c r="K2664" s="3" t="inlineStr">
        <is>
          <t>Многосерийный фильм. История России 18-го века через жизнь и деятельность выдающегося учёного и литератора Михайло Ломоносова, в трех фильмах: "От недр своих", "Врата учености" и "Во славу Отечества".</t>
        </is>
      </c>
      <c r="L2664" s="2" t="inlineStr">
        <is>
          <t>Кино_СССР сводный каталог.xlsx: список телефильмов</t>
        </is>
      </c>
      <c r="M2664" s="2">
        <f>HYPERLINK("https://ru.wikipedia.org/w/index.php?search=%D0%9C%D0%B8%D1%85%D0%B0%D0%B9%D0%BB%D0%BE%20%D0%9B%D0%BE%D0%BC%D0%BE%D0%BD%D0%BE%D1%81%D0%BE%D0%B2%201984%20%D1%84%D0%B8%D0%BB%D1%8C%D0%BC","искать")</f>
        <v/>
      </c>
      <c r="N2664" s="3" t="n"/>
      <c r="O2664" s="2" t="n"/>
      <c r="P2664" s="2" t="n"/>
    </row>
    <row r="2665">
      <c r="A2665" s="2" t="n">
        <v>2664</v>
      </c>
      <c r="B2665" s="2" t="inlineStr">
        <is>
          <t>не сюжет</t>
        </is>
      </c>
      <c r="C2665" s="2" t="n">
        <v>9055</v>
      </c>
      <c r="D2665" s="3" t="inlineStr">
        <is>
          <t>Событие в степи</t>
        </is>
      </c>
      <c r="E2665" s="2" t="n">
        <v>1932</v>
      </c>
      <c r="F2665" s="2" t="inlineStr">
        <is>
          <t>кинофильм</t>
        </is>
      </c>
      <c r="G2665" s="2" t="n"/>
      <c r="H2665" s="2" t="n">
        <v>200</v>
      </c>
      <c r="I2665" s="2" t="inlineStr"/>
      <c r="J2665" s="2" t="inlineStr">
        <is>
          <t>да</t>
        </is>
      </c>
      <c r="K2665" s="3" t="inlineStr">
        <is>
          <t>"Фильм о коллективизации на Украине. Никаких сведений о сюжете картины разыскать не удалось. В ГФФ копия фильма не сохранилась." - Е.Марголит, В.Шмыров "(Из'ятое кино). 1924-1953", М., "Дубль-Д", 1995</t>
        </is>
      </c>
      <c r="L2665" s="2" t="inlineStr">
        <is>
          <t>Кино_СССР сводный каталог.xlsx: список фильмов (доп.)</t>
        </is>
      </c>
      <c r="M2665" s="2">
        <f>HYPERLINK("https://ru.wikipedia.org/w/index.php?search=%D0%A1%D0%BE%D0%B1%D1%8B%D1%82%D0%B8%D0%B5%20%D0%B2%20%D1%81%D1%82%D0%B5%D0%BF%D0%B8%201932%20%D1%84%D0%B8%D0%BB%D1%8C%D0%BC","искать")</f>
        <v/>
      </c>
      <c r="N2665" s="3" t="n"/>
      <c r="O2665" s="2" t="n"/>
      <c r="P2665" s="2" t="n"/>
    </row>
    <row r="2666">
      <c r="A2666" s="2" t="n">
        <v>2665</v>
      </c>
      <c r="B2666" s="2" t="inlineStr">
        <is>
          <t>не сюжет</t>
        </is>
      </c>
      <c r="C2666" s="2" t="n">
        <v>10751</v>
      </c>
      <c r="D2666" s="3" t="inlineStr">
        <is>
          <t>Лето в Ноане</t>
        </is>
      </c>
      <c r="E2666" s="2" t="n">
        <v>1978</v>
      </c>
      <c r="F2666" s="2" t="inlineStr">
        <is>
          <t>фильм-спектакль</t>
        </is>
      </c>
      <c r="G2666" s="2" t="inlineStr">
        <is>
          <t>Главная редакция литературно-драматических программ ЦТ</t>
        </is>
      </c>
      <c r="H2666" s="2" t="n">
        <v>201</v>
      </c>
      <c r="I2666" s="2" t="inlineStr"/>
      <c r="J2666" s="2" t="inlineStr">
        <is>
          <t>да</t>
        </is>
      </c>
      <c r="K2666" s="3" t="inlineStr">
        <is>
          <t>По одноименной пьесе Я.Ивашкевича о любви Фридерика Шопена и Жорж Санд. Действие происходит в Ноане - имении Жорж Санд.
В основе - спектакль Государственного академического театра имени Евг.Вахтангова.</t>
        </is>
      </c>
      <c r="L2666" s="2" t="inlineStr">
        <is>
          <t>https://www.kino-teatr.ru/teatr/movie/82079/annot/</t>
        </is>
      </c>
      <c r="M2666" s="2">
        <f>HYPERLINK("https://ru.wikipedia.org/w/index.php?search=%D0%9B%D0%B5%D1%82%D0%BE%20%D0%B2%20%D0%9D%D0%BE%D0%B0%D0%BD%D0%B5%201978%20%D1%84%D0%B8%D0%BB%D1%8C%D0%BC","искать")</f>
        <v/>
      </c>
      <c r="N2666" s="3" t="n"/>
      <c r="O2666" s="2" t="n"/>
      <c r="P2666" s="2" t="n"/>
    </row>
    <row r="2667">
      <c r="A2667" s="2" t="n">
        <v>2666</v>
      </c>
      <c r="B2667" s="2" t="inlineStr">
        <is>
          <t>не сюжет</t>
        </is>
      </c>
      <c r="C2667" s="2" t="n">
        <v>11313</v>
      </c>
      <c r="D2667" s="3" t="inlineStr">
        <is>
          <t>Осколки разбитого вдребезги</t>
        </is>
      </c>
      <c r="E2667" s="2" t="n">
        <v>1990</v>
      </c>
      <c r="F2667" s="2" t="inlineStr">
        <is>
          <t>фильм-спектакль</t>
        </is>
      </c>
      <c r="G2667" s="2" t="inlineStr">
        <is>
          <t>Главная редакция литературно-художественных программ ЦТ</t>
        </is>
      </c>
      <c r="H2667" s="2" t="n">
        <v>201</v>
      </c>
      <c r="I2667" s="2" t="inlineStr"/>
      <c r="J2667" s="2" t="inlineStr">
        <is>
          <t>да</t>
        </is>
      </c>
      <c r="K2667" s="3" t="inlineStr">
        <is>
          <t>Телеспектакль о творчестве писателя Аркадия Аверченко.
В постановку вошли рассказы: "Чад", "Ложь", "Вино", "Усадьба и городская квартира", "Старая шкатулка", "Как я уехал", "Русские в Европах", "Опыт".</t>
        </is>
      </c>
      <c r="L2667" s="2" t="inlineStr">
        <is>
          <t>https://www.kino-teatr.ru/teatr/movie/80894/annot/</t>
        </is>
      </c>
      <c r="M2667" s="2">
        <f>HYPERLINK("https://ru.wikipedia.org/w/index.php?search=%D0%9E%D1%81%D0%BA%D0%BE%D0%BB%D0%BA%D0%B8%20%D1%80%D0%B0%D0%B7%D0%B1%D0%B8%D1%82%D0%BE%D0%B3%D0%BE%20%D0%B2%D0%B4%D1%80%D0%B5%D0%B1%D0%B5%D0%B7%D0%B3%D0%B8%201990%20%D1%84%D0%B8%D0%BB%D1%8C%D0%BC","искать")</f>
        <v/>
      </c>
      <c r="N2667" s="3" t="n"/>
      <c r="O2667" s="2" t="n"/>
      <c r="P2667" s="2" t="n"/>
    </row>
    <row r="2668">
      <c r="A2668" s="2" t="n">
        <v>2667</v>
      </c>
      <c r="B2668" s="2" t="inlineStr">
        <is>
          <t>не сюжет</t>
        </is>
      </c>
      <c r="C2668" s="2" t="n">
        <v>7370</v>
      </c>
      <c r="D2668" s="3" t="inlineStr">
        <is>
          <t>Волшебный круг</t>
        </is>
      </c>
      <c r="E2668" s="2" t="n">
        <v>1976</v>
      </c>
      <c r="F2668" s="2" t="inlineStr">
        <is>
          <t>телефильм</t>
        </is>
      </c>
      <c r="G2668" s="2" t="inlineStr">
        <is>
          <t>Одесская к/с</t>
        </is>
      </c>
      <c r="H2668" s="2" t="n">
        <v>202</v>
      </c>
      <c r="I2668" s="2" t="inlineStr"/>
      <c r="J2668" s="2" t="inlineStr">
        <is>
          <t>да</t>
        </is>
      </c>
      <c r="K2668" s="3" t="inlineStr">
        <is>
          <t>Телефильм по мотивам повестей И.Василенко «Артемка в цирке» и «Волшебная шкатулка». О маленьком сапожнике-сироте Артемке, влюбленном в цирк. Действие происходит в Одессе, накануне революционных событий.</t>
        </is>
      </c>
      <c r="L2668" s="2" t="inlineStr">
        <is>
          <t>Кино_СССР сводный каталог.xlsx: список телефильмов</t>
        </is>
      </c>
      <c r="M2668" s="2">
        <f>HYPERLINK("https://ru.wikipedia.org/w/index.php?search=%D0%92%D0%BE%D0%BB%D1%88%D0%B5%D0%B1%D0%BD%D1%8B%D0%B9%20%D0%BA%D1%80%D1%83%D0%B3%201976%20%D1%84%D0%B8%D0%BB%D1%8C%D0%BC","искать")</f>
        <v/>
      </c>
      <c r="N2668" s="3" t="n"/>
      <c r="O2668" s="2" t="n"/>
      <c r="P2668" s="2" t="n"/>
    </row>
    <row r="2669">
      <c r="A2669" s="2" t="n">
        <v>2668</v>
      </c>
      <c r="B2669" s="2" t="inlineStr">
        <is>
          <t>не сюжет</t>
        </is>
      </c>
      <c r="C2669" s="2" t="n">
        <v>11161</v>
      </c>
      <c r="D2669" s="3" t="inlineStr">
        <is>
          <t>Кащей Бессмертный</t>
        </is>
      </c>
      <c r="E2669" s="2" t="n">
        <v>1987</v>
      </c>
      <c r="F2669" s="2" t="inlineStr">
        <is>
          <t>фильм-спектакль</t>
        </is>
      </c>
      <c r="G2669" s="2" t="inlineStr">
        <is>
          <t>Лентелефильм</t>
        </is>
      </c>
      <c r="H2669" s="2" t="n">
        <v>202</v>
      </c>
      <c r="I2669" s="2" t="inlineStr"/>
      <c r="J2669" s="2" t="inlineStr">
        <is>
          <t>да</t>
        </is>
      </c>
      <c r="K2669" s="3" t="inlineStr">
        <is>
          <t>Фильм снят по одноименной опере Н.А.Римского-Корсакова. В фильме принимает участие симфонический оркестр Ленинградской государственной академической филармонии имени Д.Д.Шостаковича. Дирижер А.Трофимов.</t>
        </is>
      </c>
      <c r="L2669" s="2" t="inlineStr">
        <is>
          <t>https://www.kino-teatr.ru/teatr/movie/80161/annot/</t>
        </is>
      </c>
      <c r="M2669" s="2">
        <f>HYPERLINK("https://ru.wikipedia.org/w/index.php?search=%D0%9A%D0%B0%D1%89%D0%B5%D0%B9%20%D0%91%D0%B5%D1%81%D1%81%D0%BC%D0%B5%D1%80%D1%82%D0%BD%D1%8B%D0%B9%201987%20%D1%84%D0%B8%D0%BB%D1%8C%D0%BC","искать")</f>
        <v/>
      </c>
      <c r="N2669" s="3" t="n"/>
      <c r="O2669" s="2" t="n"/>
      <c r="P2669" s="2" t="n"/>
    </row>
    <row r="2670">
      <c r="A2670" s="2" t="n">
        <v>2669</v>
      </c>
      <c r="B2670" s="2" t="inlineStr">
        <is>
          <t>не сюжет</t>
        </is>
      </c>
      <c r="C2670" s="2" t="n">
        <v>9014</v>
      </c>
      <c r="D2670" s="3" t="inlineStr">
        <is>
          <t>Ровно двадцать с хвостиком</t>
        </is>
      </c>
      <c r="E2670" s="2" t="n">
        <v>1968</v>
      </c>
      <c r="F2670" s="2" t="inlineStr">
        <is>
          <t>кинофильм</t>
        </is>
      </c>
      <c r="G2670" s="2" t="n"/>
      <c r="H2670" s="2" t="n">
        <v>203</v>
      </c>
      <c r="I2670" s="2" t="inlineStr"/>
      <c r="J2670" s="2" t="inlineStr">
        <is>
          <t>да</t>
        </is>
      </c>
      <c r="K2670" s="3" t="inlineStr">
        <is>
          <t>В фильме известные украинские юмористы и сатирики Ю.Березин и Ю.Тимошенко вспоминают "двадцать с хвостиком" лет своей творческой деятельности. Все это иллюстрируется архивными киноматериалами разных лет.</t>
        </is>
      </c>
      <c r="L2670" s="2" t="inlineStr">
        <is>
          <t>Кино_СССР сводный каталог.xlsx: список фильмов (доп.)</t>
        </is>
      </c>
      <c r="M2670" s="2">
        <f>HYPERLINK("https://ru.wikipedia.org/w/index.php?search=%D0%A0%D0%BE%D0%B2%D0%BD%D0%BE%20%D0%B4%D0%B2%D0%B0%D0%B4%D1%86%D0%B0%D1%82%D1%8C%20%D1%81%20%D1%85%D0%B2%D0%BE%D1%81%D1%82%D0%B8%D0%BA%D0%BE%D0%BC%201968%20%D1%84%D0%B8%D0%BB%D1%8C%D0%BC","искать")</f>
        <v/>
      </c>
      <c r="N2670" s="3" t="n"/>
      <c r="O2670" s="2" t="n"/>
      <c r="P2670" s="2" t="n"/>
    </row>
    <row r="2671">
      <c r="A2671" s="2" t="n">
        <v>2670</v>
      </c>
      <c r="B2671" s="2" t="inlineStr">
        <is>
          <t>не сюжет</t>
        </is>
      </c>
      <c r="C2671" s="2" t="n">
        <v>10196</v>
      </c>
      <c r="D2671" s="3" t="inlineStr">
        <is>
          <t>Зиггер Заггер</t>
        </is>
      </c>
      <c r="E2671" s="2" t="n">
        <v>1967</v>
      </c>
      <c r="F2671" s="2" t="inlineStr">
        <is>
          <t>фильм-спектакль</t>
        </is>
      </c>
      <c r="G2671" s="2" t="inlineStr">
        <is>
          <t>British Broadcasting Corporation</t>
        </is>
      </c>
      <c r="H2671" s="2" t="n">
        <v>203</v>
      </c>
      <c r="I2671" s="2" t="inlineStr"/>
      <c r="J2671" s="2" t="inlineStr">
        <is>
          <t>да</t>
        </is>
      </c>
      <c r="K2671" s="3" t="inlineStr">
        <is>
          <t>Пьеса Питера Терсона 1967 года, ставшая первым произведением, показанным Национальным молодежным театром. Песнопения, исполняемые в пьесе, были приняты болельщиками нескольких футбольных клубов в Англии.</t>
        </is>
      </c>
      <c r="L2671" s="2" t="inlineStr">
        <is>
          <t>https://www.kino-teatr.ru/teatr/movie/169741/annot/</t>
        </is>
      </c>
      <c r="M2671" s="2">
        <f>HYPERLINK("https://ru.wikipedia.org/w/index.php?search=%D0%97%D0%B8%D0%B3%D0%B3%D0%B5%D1%80%20%D0%97%D0%B0%D0%B3%D0%B3%D0%B5%D1%80%201967%20%D1%84%D0%B8%D0%BB%D1%8C%D0%BC","искать")</f>
        <v/>
      </c>
      <c r="N2671" s="3" t="n"/>
      <c r="O2671" s="2" t="n"/>
      <c r="P2671" s="2" t="n"/>
    </row>
    <row r="2672">
      <c r="A2672" s="2" t="n">
        <v>2671</v>
      </c>
      <c r="B2672" s="2" t="inlineStr">
        <is>
          <t>не сюжет</t>
        </is>
      </c>
      <c r="C2672" s="2" t="n">
        <v>7783</v>
      </c>
      <c r="D2672" s="3" t="inlineStr">
        <is>
          <t>Кум Моргана</t>
        </is>
      </c>
      <c r="E2672" s="2" t="n">
        <v>1969</v>
      </c>
      <c r="F2672" s="2" t="inlineStr">
        <is>
          <t>телефильм</t>
        </is>
      </c>
      <c r="G2672" s="2" t="n"/>
      <c r="H2672" s="2" t="n">
        <v>204</v>
      </c>
      <c r="I2672" s="2" t="inlineStr"/>
      <c r="J2672" s="2" t="inlineStr">
        <is>
          <t>да</t>
        </is>
      </c>
      <c r="K2672" s="3" t="inlineStr">
        <is>
          <t>Մորգանի Խնամին По одноименной пьесе А.Ширванзаде. Об обанкротившемся миллионере, который мечтает породниться с семьей Морганов. Действие происходит после революции, в Париже, в среде армянских эмигрантов.</t>
        </is>
      </c>
      <c r="L2672" s="2" t="inlineStr">
        <is>
          <t>Кино_СССР сводный каталог.xlsx: список телефильмов</t>
        </is>
      </c>
      <c r="M2672" s="2">
        <f>HYPERLINK("https://ru.wikipedia.org/w/index.php?search=%D0%9A%D1%83%D0%BC%20%D0%9C%D0%BE%D1%80%D0%B3%D0%B0%D0%BD%D0%B0%201969%20%D1%84%D0%B8%D0%BB%D1%8C%D0%BC","искать")</f>
        <v/>
      </c>
      <c r="N2672" s="3" t="n"/>
      <c r="O2672" s="2" t="n"/>
      <c r="P2672" s="2" t="n"/>
    </row>
    <row r="2673">
      <c r="A2673" s="2" t="n">
        <v>2672</v>
      </c>
      <c r="B2673" s="2" t="inlineStr">
        <is>
          <t>не сюжет</t>
        </is>
      </c>
      <c r="C2673" s="2" t="n">
        <v>11147</v>
      </c>
      <c r="D2673" s="3" t="inlineStr">
        <is>
          <t>Граф Калиостро</t>
        </is>
      </c>
      <c r="E2673" s="2" t="n">
        <v>1987</v>
      </c>
      <c r="F2673" s="2" t="inlineStr">
        <is>
          <t>фильм-спектакль</t>
        </is>
      </c>
      <c r="G2673" s="2" t="n"/>
      <c r="H2673" s="2" t="n">
        <v>204</v>
      </c>
      <c r="I2673" s="2" t="inlineStr"/>
      <c r="J2673" s="2" t="inlineStr">
        <is>
          <t>да</t>
        </is>
      </c>
      <c r="K2673" s="3" t="inlineStr">
        <is>
          <t>Комическая опера поставлена Борисом Покровским в Московском камерном музыкальном театре в 1983 году. Либретто Николая Кемарского по одноименной повести А.Н.Толстого. Стихи Николая Кемарского, Романа Сефа.</t>
        </is>
      </c>
      <c r="L2673" s="2" t="inlineStr">
        <is>
          <t>https://www.kino-teatr.ru/teatr/movie/112956/annot/</t>
        </is>
      </c>
      <c r="M2673" s="2">
        <f>HYPERLINK("https://ru.wikipedia.org/w/index.php?search=%D0%93%D1%80%D0%B0%D1%84%20%D0%9A%D0%B0%D0%BB%D0%B8%D0%BE%D1%81%D1%82%D1%80%D0%BE%201987%20%D1%84%D0%B8%D0%BB%D1%8C%D0%BC","искать")</f>
        <v/>
      </c>
      <c r="N2673" s="3" t="n"/>
      <c r="O2673" s="2" t="n"/>
      <c r="P2673" s="2" t="n"/>
    </row>
    <row r="2674">
      <c r="A2674" s="2" t="n">
        <v>2673</v>
      </c>
      <c r="B2674" s="2" t="inlineStr">
        <is>
          <t>не сюжет</t>
        </is>
      </c>
      <c r="C2674" s="2" t="n">
        <v>7377</v>
      </c>
      <c r="D2674" s="3" t="inlineStr">
        <is>
          <t>Восточный дантист</t>
        </is>
      </c>
      <c r="E2674" s="2" t="n">
        <v>1981</v>
      </c>
      <c r="F2674" s="2" t="inlineStr">
        <is>
          <t>телефильм</t>
        </is>
      </c>
      <c r="G2674" s="2" t="n"/>
      <c r="H2674" s="2" t="n">
        <v>205</v>
      </c>
      <c r="I2674" s="2" t="inlineStr"/>
      <c r="J2674" s="2" t="inlineStr">
        <is>
          <t>да</t>
        </is>
      </c>
      <c r="K2674" s="3" t="inlineStr">
        <is>
          <t>Ատամնաբույժն արևելյան Телефильм. Музыкальная комедия по сюжету Акопа Пароняна. Экранизация комедии классика армянской литературы. Действие происходит в конце XIX века, в Константинополе, в армянской среде.</t>
        </is>
      </c>
      <c r="L2674" s="2" t="inlineStr">
        <is>
          <t>Кино_СССР сводный каталог.xlsx: список телефильмов</t>
        </is>
      </c>
      <c r="M2674" s="2">
        <f>HYPERLINK("https://ru.wikipedia.org/w/index.php?search=%D0%92%D0%BE%D1%81%D1%82%D0%BE%D1%87%D0%BD%D1%8B%D0%B9%20%D0%B4%D0%B0%D0%BD%D1%82%D0%B8%D1%81%D1%82%201981%20%D1%84%D0%B8%D0%BB%D1%8C%D0%BC","искать")</f>
        <v/>
      </c>
      <c r="N2674" s="3" t="n"/>
      <c r="O2674" s="2" t="n"/>
      <c r="P2674" s="2" t="n"/>
    </row>
    <row r="2675">
      <c r="A2675" s="2" t="n">
        <v>2674</v>
      </c>
      <c r="B2675" s="2" t="inlineStr">
        <is>
          <t>не сюжет</t>
        </is>
      </c>
      <c r="C2675" s="2" t="n">
        <v>7774</v>
      </c>
      <c r="D2675" s="3" t="inlineStr">
        <is>
          <t>Крик</t>
        </is>
      </c>
      <c r="E2675" s="2" t="n">
        <v>1986</v>
      </c>
      <c r="F2675" s="2" t="inlineStr">
        <is>
          <t>телефильм</t>
        </is>
      </c>
      <c r="G2675" s="2" t="n"/>
      <c r="H2675" s="2" t="n">
        <v>205</v>
      </c>
      <c r="I2675" s="2" t="inlineStr"/>
      <c r="J2675" s="2" t="inlineStr">
        <is>
          <t>да</t>
        </is>
      </c>
      <c r="K2675" s="3" t="inlineStr">
        <is>
          <t>Телефильм по одноимённой повести известного казахского писателя Оралхана Бокеева. Фильм рассматривает проблемы противоборства добра и зла, человеческого мужества и противостояния жизненным обстоятельствам.</t>
        </is>
      </c>
      <c r="L2675" s="2" t="inlineStr">
        <is>
          <t>Кино_СССР сводный каталог.xlsx: список телефильмов</t>
        </is>
      </c>
      <c r="M2675" s="2">
        <f>HYPERLINK("https://ru.wikipedia.org/w/index.php?search=%D0%9A%D1%80%D0%B8%D0%BA%201986%20%D1%84%D0%B8%D0%BB%D1%8C%D0%BC","искать")</f>
        <v/>
      </c>
      <c r="N2675" s="3" t="n"/>
      <c r="O2675" s="2" t="n"/>
      <c r="P2675" s="2" t="n"/>
    </row>
    <row r="2676">
      <c r="A2676" s="2" t="n">
        <v>2675</v>
      </c>
      <c r="B2676" s="2" t="inlineStr">
        <is>
          <t>не сюжет</t>
        </is>
      </c>
      <c r="C2676" s="2" t="n">
        <v>8676</v>
      </c>
      <c r="D2676" s="3" t="inlineStr">
        <is>
          <t>Газельхан</t>
        </is>
      </c>
      <c r="E2676" s="2" t="n">
        <v>1991</v>
      </c>
      <c r="F2676" s="2" t="inlineStr">
        <is>
          <t>кинофильм</t>
        </is>
      </c>
      <c r="G2676" s="2" t="n"/>
      <c r="H2676" s="2" t="n">
        <v>205</v>
      </c>
      <c r="I2676" s="2" t="inlineStr"/>
      <c r="J2676" s="2" t="inlineStr">
        <is>
          <t>да</t>
        </is>
      </c>
      <c r="K2676" s="3" t="inlineStr">
        <is>
          <t>Фильм состоит из отдельных эпизодов, соединённых единой сюжетной линией, из жизни азербайджанского поэта Алиага Вахида, создающих его обобщённый образ. В июне 1992 года состоялась премьера фильма в Москве.</t>
        </is>
      </c>
      <c r="L2676" s="2" t="inlineStr">
        <is>
          <t>https://ru.wikipedia.org/w/index.php?title=%D0%93%D0%B0%D0%B7%D0%B5%D0%BB%D1%8C%D1%85%D0%B0%D0%BD&amp;oldid=149107330</t>
        </is>
      </c>
      <c r="M2676" s="2">
        <f>HYPERLINK("https://ru.wikipedia.org/w/index.php?search=%D0%93%D0%B0%D0%B7%D0%B5%D0%BB%D1%8C%D1%85%D0%B0%D0%BD%201991%20%D1%84%D0%B8%D0%BB%D1%8C%D0%BC","искать")</f>
        <v/>
      </c>
      <c r="N2676" s="3" t="n"/>
      <c r="O2676" s="2" t="n"/>
      <c r="P2676" s="2" t="n"/>
    </row>
    <row r="2677">
      <c r="A2677" s="2" t="n">
        <v>2676</v>
      </c>
      <c r="B2677" s="2" t="inlineStr">
        <is>
          <t>не сюжет</t>
        </is>
      </c>
      <c r="C2677" s="2" t="n">
        <v>10440</v>
      </c>
      <c r="D2677" s="3" t="inlineStr">
        <is>
          <t>Женский монастырь</t>
        </is>
      </c>
      <c r="E2677" s="2" t="n">
        <v>1972</v>
      </c>
      <c r="F2677" s="2" t="inlineStr">
        <is>
          <t>фильм-спектакль</t>
        </is>
      </c>
      <c r="G2677" s="2" t="n"/>
      <c r="H2677" s="2" t="n">
        <v>205</v>
      </c>
      <c r="I2677" s="2" t="inlineStr"/>
      <c r="J2677" s="2" t="inlineStr">
        <is>
          <t>да</t>
        </is>
      </c>
      <c r="K2677" s="3" t="inlineStr">
        <is>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is>
      </c>
      <c r="L2677" s="2" t="inlineStr">
        <is>
          <t>https://www.kino-teatr.ru/teatr/movie/81425/annot/</t>
        </is>
      </c>
      <c r="M2677" s="2">
        <f>HYPERLINK("https://ru.wikipedia.org/w/index.php?search=%D0%96%D0%B5%D0%BD%D1%81%D0%BA%D0%B8%D0%B9%20%D0%BC%D0%BE%D0%BD%D0%B0%D1%81%D1%82%D1%8B%D1%80%D1%8C%201972%20%D1%84%D0%B8%D0%BB%D1%8C%D0%BC","искать")</f>
        <v/>
      </c>
      <c r="N2677" s="3" t="n"/>
      <c r="O2677" s="2" t="n"/>
      <c r="P2677" s="2" t="n"/>
    </row>
    <row r="2678">
      <c r="A2678" s="2" t="n">
        <v>2677</v>
      </c>
      <c r="B2678" s="2" t="inlineStr">
        <is>
          <t>не сюжет</t>
        </is>
      </c>
      <c r="C2678" s="2" t="n">
        <v>9477</v>
      </c>
      <c r="D2678" s="3" t="inlineStr">
        <is>
          <t>Моё</t>
        </is>
      </c>
      <c r="E2678" s="2" t="n">
        <v>1934</v>
      </c>
      <c r="F2678" s="2" t="inlineStr">
        <is>
          <t>кинофильм</t>
        </is>
      </c>
      <c r="G2678" s="2" t="n"/>
      <c r="H2678" s="2" t="n">
        <v>207</v>
      </c>
      <c r="I2678" s="2" t="inlineStr"/>
      <c r="J2678" s="2" t="inlineStr">
        <is>
          <t>да</t>
        </is>
      </c>
      <c r="K2678" s="3" t="inlineStr">
        <is>
          <t>Драма на колхозную тему о преодолении пережитков мелкособственнической крестьянской психологии. Фильм начинал сниматься как звуковой, но в процессе съемок решено было сделать его немым. На экраны не выпущен.</t>
        </is>
      </c>
      <c r="L2678" s="2" t="inlineStr">
        <is>
          <t>Кино_СССР сводный каталог.xlsx: список фильмов (доп.)</t>
        </is>
      </c>
      <c r="M2678" s="2">
        <f>HYPERLINK("https://ru.wikipedia.org/w/index.php?search=%D0%9C%D0%BE%D1%91%201934%20%D1%84%D0%B8%D0%BB%D1%8C%D0%BC","искать")</f>
        <v/>
      </c>
      <c r="N2678" s="3" t="n"/>
      <c r="O2678" s="2" t="n"/>
      <c r="P2678" s="2" t="n"/>
    </row>
    <row r="2679">
      <c r="A2679" s="2" t="n">
        <v>2678</v>
      </c>
      <c r="B2679" s="2" t="inlineStr">
        <is>
          <t>не сюжет</t>
        </is>
      </c>
      <c r="C2679" s="2" t="n">
        <v>11028</v>
      </c>
      <c r="D2679" s="3" t="inlineStr">
        <is>
          <t>Король Джон</t>
        </is>
      </c>
      <c r="E2679" s="2" t="n">
        <v>1984</v>
      </c>
      <c r="F2679" s="2" t="inlineStr">
        <is>
          <t>фильм-спектакль</t>
        </is>
      </c>
      <c r="G2679" s="2" t="inlineStr">
        <is>
          <t>Главная редакция литературно-драматических программ ЦТ</t>
        </is>
      </c>
      <c r="H2679" s="2" t="n">
        <v>207</v>
      </c>
      <c r="I2679" s="2" t="inlineStr"/>
      <c r="J2679" s="2" t="inlineStr">
        <is>
          <t>да</t>
        </is>
      </c>
      <c r="K2679" s="3" t="inlineStr">
        <is>
          <t>По одноименной пьесе Уильяма Шекспира в постановке Армянского государственного академического театра имени Габриэла Сундукяна.
Историческая хроника об истории Англии времен царствования Иоанна Безземельного.</t>
        </is>
      </c>
      <c r="L2679" s="2" t="inlineStr">
        <is>
          <t>https://www.kino-teatr.ru/teatr/movie/103633/annot/</t>
        </is>
      </c>
      <c r="M2679" s="2">
        <f>HYPERLINK("https://ru.wikipedia.org/w/index.php?search=%D0%9A%D0%BE%D1%80%D0%BE%D0%BB%D1%8C%20%D0%94%D0%B6%D0%BE%D0%BD%201984%20%D1%84%D0%B8%D0%BB%D1%8C%D0%BC","искать")</f>
        <v/>
      </c>
      <c r="N2679" s="3" t="n"/>
      <c r="O2679" s="2" t="n"/>
      <c r="P2679" s="2" t="n"/>
    </row>
    <row r="2680">
      <c r="A2680" s="2" t="n">
        <v>2679</v>
      </c>
      <c r="B2680" s="2" t="inlineStr">
        <is>
          <t>не сюжет</t>
        </is>
      </c>
      <c r="C2680" s="2" t="n">
        <v>12074</v>
      </c>
      <c r="D2680" s="3" t="inlineStr">
        <is>
          <t>Зима в Простоквашино (ч. 3)</t>
        </is>
      </c>
      <c r="E2680" s="2" t="n">
        <v>1984</v>
      </c>
      <c r="F2680" s="2" t="inlineStr">
        <is>
          <t>мультфильм</t>
        </is>
      </c>
      <c r="G2680" s="2" t="inlineStr">
        <is>
          <t>Союзмультфильм</t>
        </is>
      </c>
      <c r="H2680" s="2" t="n">
        <v>207</v>
      </c>
      <c r="I2680" s="2" t="inlineStr"/>
      <c r="J2680" s="2" t="inlineStr">
        <is>
          <t>да</t>
        </is>
      </c>
      <c r="K2680" s="3" t="inlineStr">
        <is>
          <t>Третий фильм из серии с популярными героями: мальчиком по имени Дядя Федор, котом Матроскиным, собакой Шариком, почтальоном Печкиным.Музыка из мультфильма:Кабы не было зимы(1.33 Мб)Песенка Матроскина(735 Кб)</t>
        </is>
      </c>
      <c r="L2680" s="2" t="inlineStr">
        <is>
          <t>2026-10_мультфильмы_список_владельца.xlsx; https://animator.ru/db/?p=show_film&amp;fid=3189</t>
        </is>
      </c>
      <c r="M2680" s="2">
        <f>HYPERLINK("https://ru.wikipedia.org/w/index.php?search=%D0%97%D0%B8%D0%BC%D0%B0%20%D0%B2%20%D0%9F%D1%80%D0%BE%D1%81%D1%82%D0%BE%D0%BA%D0%B2%D0%B0%D1%88%D0%B8%D0%BD%D0%BE%20%28%D1%87.%203%29%201984%20%D1%84%D0%B8%D0%BB%D1%8C%D0%BC","искать")</f>
        <v/>
      </c>
      <c r="N2680" s="3" t="n"/>
      <c r="O2680" s="2" t="n"/>
      <c r="P2680" s="2" t="n"/>
    </row>
    <row r="2681">
      <c r="A2681" s="2" t="n">
        <v>2680</v>
      </c>
      <c r="B2681" s="2" t="inlineStr">
        <is>
          <t>не сюжет</t>
        </is>
      </c>
      <c r="C2681" s="2" t="n">
        <v>8870</v>
      </c>
      <c r="D2681" s="3" t="inlineStr">
        <is>
          <t>Невозвращенец</t>
        </is>
      </c>
      <c r="E2681" s="2" t="n">
        <v>1991</v>
      </c>
      <c r="F2681" s="2" t="inlineStr">
        <is>
          <t>кинофильм</t>
        </is>
      </c>
      <c r="G2681" s="2" t="inlineStr">
        <is>
          <t>Ленфильм</t>
        </is>
      </c>
      <c r="H2681" s="2" t="n">
        <v>208</v>
      </c>
      <c r="I2681" s="2" t="inlineStr"/>
      <c r="J2681" s="2" t="inlineStr">
        <is>
          <t>да</t>
        </is>
      </c>
      <c r="K2681" s="3" t="inlineStr">
        <is>
          <t>По одноименной повести Александра Кабакова. В основе сюжета провидческого фильма - угроза переворота в стране. Премьера картины состоялась по Ленинградскому телевидению в первую ночь путча (август 1991 года).</t>
        </is>
      </c>
      <c r="L2681" s="2" t="inlineStr">
        <is>
          <t>Кино_СССР сводный каталог.xlsx: список фильмов (доп.)</t>
        </is>
      </c>
      <c r="M2681" s="2">
        <f>HYPERLINK("https://ru.wikipedia.org/w/index.php?search=%D0%9D%D0%B5%D0%B2%D0%BE%D0%B7%D0%B2%D1%80%D0%B0%D1%89%D0%B5%D0%BD%D0%B5%D1%86%201991%20%D1%84%D0%B8%D0%BB%D1%8C%D0%BC","искать")</f>
        <v/>
      </c>
      <c r="N2681" s="3" t="n"/>
      <c r="O2681" s="2" t="n"/>
      <c r="P2681" s="2" t="n"/>
    </row>
    <row r="2682">
      <c r="A2682" s="2" t="n">
        <v>2681</v>
      </c>
      <c r="B2682" s="2" t="inlineStr">
        <is>
          <t>не сюжет</t>
        </is>
      </c>
      <c r="C2682" s="2" t="n">
        <v>11558</v>
      </c>
      <c r="D2682" s="3" t="inlineStr">
        <is>
          <t>Следопыт</t>
        </is>
      </c>
      <c r="E2682" s="2" t="n">
        <v>1963</v>
      </c>
      <c r="F2682" s="2" t="inlineStr">
        <is>
          <t>мультфильм</t>
        </is>
      </c>
      <c r="G2682" s="2" t="inlineStr">
        <is>
          <t>Союзмультфильм</t>
        </is>
      </c>
      <c r="H2682" s="2" t="n">
        <v>208</v>
      </c>
      <c r="I2682" s="2" t="inlineStr"/>
      <c r="J2682" s="2" t="inlineStr">
        <is>
          <t>да</t>
        </is>
      </c>
      <c r="K2682" s="3" t="inlineStr">
        <is>
          <t>Запомните , запомнитеЯ - Вовка следопытДопустим кто - то в комнатеНашел следы копытА кто - то на бульвареНашел тигриный следСпрошу я свой фонарикВолшебный свой фонарикИ он мне даст ответОткуда тот и этот след</t>
        </is>
      </c>
      <c r="L2682" s="2" t="inlineStr">
        <is>
          <t>2026-10_мультфильмы_список_владельца.xlsx; https://animator.ru/db/?p=show_film&amp;fid=2394</t>
        </is>
      </c>
      <c r="M2682" s="2">
        <f>HYPERLINK("https://ru.wikipedia.org/w/index.php?search=%D0%A1%D0%BB%D0%B5%D0%B4%D0%BE%D0%BF%D1%8B%D1%82%201963%20%D1%84%D0%B8%D0%BB%D1%8C%D0%BC","искать")</f>
        <v/>
      </c>
      <c r="N2682" s="3" t="n"/>
      <c r="O2682" s="2" t="n"/>
      <c r="P2682" s="2" t="n"/>
    </row>
    <row r="2683">
      <c r="A2683" s="2" t="n">
        <v>2682</v>
      </c>
      <c r="B2683" s="2" t="inlineStr">
        <is>
          <t>не сюжет</t>
        </is>
      </c>
      <c r="C2683" s="2" t="n">
        <v>7345</v>
      </c>
      <c r="D2683" s="3" t="inlineStr">
        <is>
          <t>Владыка</t>
        </is>
      </c>
      <c r="E2683" s="2" t="n">
        <v>1987</v>
      </c>
      <c r="F2683" s="2" t="inlineStr">
        <is>
          <t>телефильм</t>
        </is>
      </c>
      <c r="G2683" s="2" t="n"/>
      <c r="H2683" s="2" t="n">
        <v>209</v>
      </c>
      <c r="I2683" s="2" t="inlineStr"/>
      <c r="J2683" s="2" t="inlineStr">
        <is>
          <t>да</t>
        </is>
      </c>
      <c r="K2683" s="3" t="inlineStr">
        <is>
          <t>Фильм поставлен по одноименной драме В.Миколайтиса-Путинаса. Хотя древние племена литовцев воевали между собой за власть, они всегда были верны главному принципу: нет ничего дороже чести и любви близких людей.</t>
        </is>
      </c>
      <c r="L2683" s="2" t="inlineStr">
        <is>
          <t>Кино_СССР сводный каталог.xlsx: список телефильмов</t>
        </is>
      </c>
      <c r="M2683" s="2">
        <f>HYPERLINK("https://ru.wikipedia.org/w/index.php?search=%D0%92%D0%BB%D0%B0%D0%B4%D1%8B%D0%BA%D0%B0%201987%20%D1%84%D0%B8%D0%BB%D1%8C%D0%BC","искать")</f>
        <v/>
      </c>
      <c r="N2683" s="3" t="n"/>
      <c r="O2683" s="2" t="n"/>
      <c r="P2683" s="2" t="n"/>
    </row>
    <row r="2684">
      <c r="A2684" s="2" t="n">
        <v>2683</v>
      </c>
      <c r="B2684" s="2" t="inlineStr">
        <is>
          <t>не сюжет</t>
        </is>
      </c>
      <c r="C2684" s="2" t="n">
        <v>10915</v>
      </c>
      <c r="D2684" s="3" t="inlineStr">
        <is>
          <t>Совесть</t>
        </is>
      </c>
      <c r="E2684" s="2" t="n">
        <v>1981</v>
      </c>
      <c r="F2684" s="2" t="inlineStr">
        <is>
          <t>фильм-спектакль</t>
        </is>
      </c>
      <c r="G2684" s="2" t="n"/>
      <c r="H2684" s="2" t="n">
        <v>209</v>
      </c>
      <c r="I2684" s="2" t="inlineStr"/>
      <c r="J2684" s="2" t="inlineStr">
        <is>
          <t>да</t>
        </is>
      </c>
      <c r="K2684" s="3" t="inlineStr">
        <is>
          <t>Снят по одноименному роману узбекского писателя Адыла Якубова (1927-2009).
Сюжетные линии соединяют город и село, столичный научно-исследовательский институт и колхоз, райком партии и полевой стан хлопкоробов.</t>
        </is>
      </c>
      <c r="L2684" s="2" t="inlineStr">
        <is>
          <t>https://www.kino-teatr.ru/teatr/movie/191062/annot/</t>
        </is>
      </c>
      <c r="M2684" s="2">
        <f>HYPERLINK("https://ru.wikipedia.org/w/index.php?search=%D0%A1%D0%BE%D0%B2%D0%B5%D1%81%D1%82%D1%8C%201981%20%D1%84%D0%B8%D0%BB%D1%8C%D0%BC","искать")</f>
        <v/>
      </c>
      <c r="N2684" s="3" t="n"/>
      <c r="O2684" s="2" t="n"/>
      <c r="P2684" s="2" t="n"/>
    </row>
    <row r="2685">
      <c r="A2685" s="2" t="n">
        <v>2684</v>
      </c>
      <c r="B2685" s="2" t="inlineStr">
        <is>
          <t>не сюжет</t>
        </is>
      </c>
      <c r="C2685" s="2" t="n">
        <v>11273</v>
      </c>
      <c r="D2685" s="3" t="inlineStr">
        <is>
          <t>Полтава</t>
        </is>
      </c>
      <c r="E2685" s="2" t="n">
        <v>1989</v>
      </c>
      <c r="F2685" s="2" t="inlineStr">
        <is>
          <t>фильм-спектакль</t>
        </is>
      </c>
      <c r="G2685" s="2" t="inlineStr">
        <is>
          <t>Гл. редакция литературно - драматических программ ЦТ, Подборки фильмов, экранизации Пушкина</t>
        </is>
      </c>
      <c r="H2685" s="2" t="n">
        <v>209</v>
      </c>
      <c r="I2685" s="2" t="inlineStr"/>
      <c r="J2685" s="2" t="inlineStr">
        <is>
          <t>да</t>
        </is>
      </c>
      <c r="K2685" s="3" t="inlineStr">
        <is>
          <t>В основе моноспектакля поэма Александра Сергеевича Пушкина "Полтава".
Чтению поэмы предшествует пролог, рассказывающий о том, как создавалась поэма и об оценках, данных этому произведению современниками поэта.</t>
        </is>
      </c>
      <c r="L2685" s="2" t="inlineStr">
        <is>
          <t>https://www.kino-teatr.ru/teatr/movie/104618/annot/</t>
        </is>
      </c>
      <c r="M2685" s="2">
        <f>HYPERLINK("https://ru.wikipedia.org/w/index.php?search=%D0%9F%D0%BE%D0%BB%D1%82%D0%B0%D0%B2%D0%B0%201989%20%D1%84%D0%B8%D0%BB%D1%8C%D0%BC","искать")</f>
        <v/>
      </c>
      <c r="N2685" s="3" t="n"/>
      <c r="O2685" s="2" t="n"/>
      <c r="P2685" s="2" t="n"/>
    </row>
    <row r="2686">
      <c r="A2686" s="2" t="n">
        <v>2685</v>
      </c>
      <c r="B2686" s="2" t="inlineStr">
        <is>
          <t>не сюжет</t>
        </is>
      </c>
      <c r="C2686" s="2" t="n">
        <v>12101</v>
      </c>
      <c r="D2686" s="3" t="inlineStr">
        <is>
          <t>Черно-белое кино</t>
        </is>
      </c>
      <c r="E2686" s="2" t="n">
        <v>1984</v>
      </c>
      <c r="F2686" s="2" t="inlineStr">
        <is>
          <t>мультфильм</t>
        </is>
      </c>
      <c r="G2686" s="2" t="inlineStr">
        <is>
          <t>Союзмультфильм</t>
        </is>
      </c>
      <c r="H2686" s="2" t="n">
        <v>209</v>
      </c>
      <c r="I2686" s="2" t="inlineStr"/>
      <c r="J2686" s="2" t="inlineStr">
        <is>
          <t>да</t>
        </is>
      </c>
      <c r="K2686" s="3" t="inlineStr">
        <is>
          <t>В сорок лет так хочется вспомнить детство...Для взрослых.
VI МФ анимационных фильмов, Загреб - Первая премия в категории фильмов более 12 минут: VII МФ анимационных фильмов в Эшпинью (Португалия) - Первый приз</t>
        </is>
      </c>
      <c r="L2686" s="2" t="inlineStr">
        <is>
          <t>https://animator.ru/db/?p=show_film&amp;fid=3217</t>
        </is>
      </c>
      <c r="M2686" s="2">
        <f>HYPERLINK("https://ru.wikipedia.org/w/index.php?search=%D0%A7%D0%B5%D1%80%D0%BD%D0%BE-%D0%B1%D0%B5%D0%BB%D0%BE%D0%B5%20%D0%BA%D0%B8%D0%BD%D0%BE%201984%20%D1%84%D0%B8%D0%BB%D1%8C%D0%BC","искать")</f>
        <v/>
      </c>
      <c r="N2686" s="3" t="n"/>
      <c r="O2686" s="2" t="n"/>
      <c r="P2686" s="2" t="n"/>
    </row>
    <row r="2687">
      <c r="A2687" s="2" t="n">
        <v>2686</v>
      </c>
      <c r="B2687" s="2" t="inlineStr">
        <is>
          <t>не сюжет</t>
        </is>
      </c>
      <c r="C2687" s="2" t="n">
        <v>11012</v>
      </c>
      <c r="D2687" s="3" t="inlineStr">
        <is>
          <t>Сирано де Бержерак</t>
        </is>
      </c>
      <c r="E2687" s="2" t="n">
        <v>1983</v>
      </c>
      <c r="F2687" s="2" t="inlineStr">
        <is>
          <t>фильм-спектакль</t>
        </is>
      </c>
      <c r="G2687" s="2" t="inlineStr">
        <is>
          <t>Гл. ред. лит-драм программ</t>
        </is>
      </c>
      <c r="H2687" s="2" t="n">
        <v>210</v>
      </c>
      <c r="I2687" s="2" t="inlineStr"/>
      <c r="J2687" s="2" t="inlineStr">
        <is>
          <t>да</t>
        </is>
      </c>
      <c r="K2687" s="3" t="inlineStr">
        <is>
          <t>Одна из популярных комедий французского драматурга Э.Ростана. Она не сходит с театральных подмостков со времени ее написания. Телеспектакль с Георгием Тараторкиным в роли Сирано поставил режиссер С.Евлахишвили.</t>
        </is>
      </c>
      <c r="L2687" s="2" t="inlineStr">
        <is>
          <t>https://www.kino-teatr.ru/teatr/movie/12098/annot/</t>
        </is>
      </c>
      <c r="M2687" s="2">
        <f>HYPERLINK("https://ru.wikipedia.org/w/index.php?search=%D0%A1%D0%B8%D1%80%D0%B0%D0%BD%D0%BE%20%D0%B4%D0%B5%20%D0%91%D0%B5%D1%80%D0%B6%D0%B5%D1%80%D0%B0%D0%BA%201983%20%D1%84%D0%B8%D0%BB%D1%8C%D0%BC","искать")</f>
        <v/>
      </c>
      <c r="N2687" s="3" t="n"/>
      <c r="O2687" s="2" t="n"/>
      <c r="P2687" s="2" t="n"/>
    </row>
    <row r="2688">
      <c r="A2688" s="2" t="n">
        <v>2687</v>
      </c>
      <c r="B2688" s="2" t="inlineStr">
        <is>
          <t>не сюжет</t>
        </is>
      </c>
      <c r="C2688" s="2" t="n">
        <v>11209</v>
      </c>
      <c r="D2688" s="3" t="inlineStr">
        <is>
          <t>Квадрат</t>
        </is>
      </c>
      <c r="E2688" s="2" t="n">
        <v>1988</v>
      </c>
      <c r="F2688" s="2" t="inlineStr">
        <is>
          <t>фильм-спектакль</t>
        </is>
      </c>
      <c r="G2688" s="2" t="inlineStr">
        <is>
          <t>Союзтеатр</t>
        </is>
      </c>
      <c r="H2688" s="2" t="n">
        <v>210</v>
      </c>
      <c r="I2688" s="2" t="inlineStr"/>
      <c r="J2688" s="2" t="inlineStr">
        <is>
          <t>да</t>
        </is>
      </c>
      <c r="K2688" s="3" t="inlineStr">
        <is>
          <t>Спектакль по мотивам повести В.Елисеевой «А было так...».
Видеозапись спектакля Государственного театра молодежи Литовской СССР 17.08.1988 (премьера спектакля 30.12.1980). Перевод с литовского - З.Сакалаускене.</t>
        </is>
      </c>
      <c r="L2688" s="2" t="inlineStr">
        <is>
          <t>https://www.kino-teatr.ru/teatr/movie/11338/annot/</t>
        </is>
      </c>
      <c r="M2688" s="2">
        <f>HYPERLINK("https://ru.wikipedia.org/w/index.php?search=%D0%9A%D0%B2%D0%B0%D0%B4%D1%80%D0%B0%D1%82%201988%20%D1%84%D0%B8%D0%BB%D1%8C%D0%BC","искать")</f>
        <v/>
      </c>
      <c r="N2688" s="3" t="n"/>
      <c r="O2688" s="2" t="n"/>
      <c r="P2688" s="2" t="n"/>
    </row>
    <row r="2689">
      <c r="A2689" s="2" t="n">
        <v>2688</v>
      </c>
      <c r="B2689" s="2" t="inlineStr">
        <is>
          <t>не сюжет</t>
        </is>
      </c>
      <c r="C2689" s="2" t="n">
        <v>7538</v>
      </c>
      <c r="D2689" s="3" t="inlineStr">
        <is>
          <t>Дом на песке</t>
        </is>
      </c>
      <c r="E2689" s="2" t="n">
        <v>1991</v>
      </c>
      <c r="F2689" s="2" t="inlineStr">
        <is>
          <t>телефильм</t>
        </is>
      </c>
      <c r="G2689" s="2" t="n"/>
      <c r="H2689" s="2" t="n">
        <v>212</v>
      </c>
      <c r="I2689" s="2" t="inlineStr"/>
      <c r="J2689" s="2" t="inlineStr">
        <is>
          <t>да</t>
        </is>
      </c>
      <c r="K2689" s="3" t="inlineStr">
        <is>
          <t>По рассказу Татьяны Толстой "Соня". Лирико-драматическая история девушки, живущей в большой хлебосольной семье интеллигента, растворена в жизнеописании среды и атмосферы Ленинграда конца 30-х - начала 40-х годов.</t>
        </is>
      </c>
      <c r="L2689" s="2" t="inlineStr">
        <is>
          <t>Кино_СССР сводный каталог.xlsx: список телефильмов</t>
        </is>
      </c>
      <c r="M2689" s="2">
        <f>HYPERLINK("https://ru.wikipedia.org/w/index.php?search=%D0%94%D0%BE%D0%BC%20%D0%BD%D0%B0%20%D0%BF%D0%B5%D1%81%D0%BA%D0%B5%201991%20%D1%84%D0%B8%D0%BB%D1%8C%D0%BC","искать")</f>
        <v/>
      </c>
      <c r="N2689" s="3" t="n"/>
      <c r="O2689" s="2" t="n"/>
      <c r="P2689" s="2" t="n"/>
    </row>
    <row r="2690">
      <c r="A2690" s="2" t="n">
        <v>2689</v>
      </c>
      <c r="B2690" s="2" t="inlineStr">
        <is>
          <t>не сюжет</t>
        </is>
      </c>
      <c r="C2690" s="2" t="n">
        <v>8208</v>
      </c>
      <c r="D2690" s="3" t="inlineStr">
        <is>
          <t>Приключения Петрова и Васечкина, обыкновенные и невероятные</t>
        </is>
      </c>
      <c r="E2690" s="2" t="n">
        <v>1983</v>
      </c>
      <c r="F2690" s="2" t="inlineStr">
        <is>
          <t>телефильм</t>
        </is>
      </c>
      <c r="G2690" s="2" t="inlineStr">
        <is>
          <t>Одесская к/с</t>
        </is>
      </c>
      <c r="H2690" s="2" t="n">
        <v>212</v>
      </c>
      <c r="I2690" s="2" t="inlineStr"/>
      <c r="J2690" s="2" t="inlineStr">
        <is>
          <t>да</t>
        </is>
      </c>
      <c r="K2690" s="3" t="inlineStr">
        <is>
          <t>Телефильм. Неразлучная парочка - скромный, застенчивый Вася Петров и выдумщик Петя Васечкин, герои киножурнала "Ералаш". Следующий фильм о приключениях двух друзей - "Каникулы Петрова и Васечкина" (2 серии, 1984)</t>
        </is>
      </c>
      <c r="L2690" s="2" t="inlineStr">
        <is>
          <t>Кино_СССР сводный каталог.xlsx: список телефильмов</t>
        </is>
      </c>
      <c r="M2690" s="2">
        <f>HYPERLINK("https://ru.wikipedia.org/w/index.php?search=%D0%9F%D1%80%D0%B8%D0%BA%D0%BB%D1%8E%D1%87%D0%B5%D0%BD%D0%B8%D1%8F%20%D0%9F%D0%B5%D1%82%D1%80%D0%BE%D0%B2%D0%B0%20%D0%B8%20%D0%92%D0%B0%D1%81%D0%B5%D1%87%D0%BA%D0%B8%D0%BD%D0%B0%2C%20%D0%BE%D0%B1%D1%8B%D0%BA%D0%BD%D0%BE%D0%B2%D0%B5%D0%BD%D0%BD%D1%8B%D0%B5%20%D0%B8%20%D0%BD%D0%B5%D0%B2%D0%B5%D1%80%D0%BE%D1%8F%D1%82%D0%BD%D1%8B%D0%B5%201983%20%D1%84%D0%B8%D0%BB%D1%8C%D0%BC","искать")</f>
        <v/>
      </c>
      <c r="N2690" s="3" t="n"/>
      <c r="O2690" s="2" t="n"/>
      <c r="P2690" s="2" t="n"/>
    </row>
    <row r="2691">
      <c r="A2691" s="2" t="n">
        <v>2690</v>
      </c>
      <c r="B2691" s="2" t="inlineStr">
        <is>
          <t>не сюжет</t>
        </is>
      </c>
      <c r="C2691" s="2" t="n">
        <v>10668</v>
      </c>
      <c r="D2691" s="3" t="inlineStr">
        <is>
          <t>Пучина</t>
        </is>
      </c>
      <c r="E2691" s="2" t="n">
        <v>1976</v>
      </c>
      <c r="F2691" s="2" t="inlineStr">
        <is>
          <t>фильм-спектакль</t>
        </is>
      </c>
      <c r="G2691" s="2" t="inlineStr">
        <is>
          <t>ТО “Экран”</t>
        </is>
      </c>
      <c r="H2691" s="2" t="n">
        <v>212</v>
      </c>
      <c r="I2691" s="2" t="inlineStr"/>
      <c r="J2691" s="2" t="inlineStr">
        <is>
          <t>да</t>
        </is>
      </c>
      <c r="K2691" s="3" t="inlineStr">
        <is>
          <t>Фильм-спектакль в постановке Государственного академического Малого театра по одноимённой пьесе Александра Николаевича Островского.
Драма о "маленьком человеке", слабом и добром, тонущем в пучине житейского моря.</t>
        </is>
      </c>
      <c r="L2691" s="2" t="inlineStr">
        <is>
          <t>https://www.kino-teatr.ru/teatr/movie/11677/annot/</t>
        </is>
      </c>
      <c r="M2691" s="2">
        <f>HYPERLINK("https://ru.wikipedia.org/w/index.php?search=%D0%9F%D1%83%D1%87%D0%B8%D0%BD%D0%B0%201976%20%D1%84%D0%B8%D0%BB%D1%8C%D0%BC","искать")</f>
        <v/>
      </c>
      <c r="N2691" s="3" t="n"/>
      <c r="O2691" s="2" t="n"/>
      <c r="P2691" s="2" t="n"/>
    </row>
    <row r="2692">
      <c r="A2692" s="2" t="n">
        <v>2691</v>
      </c>
      <c r="B2692" s="2" t="inlineStr">
        <is>
          <t>не сюжет</t>
        </is>
      </c>
      <c r="C2692" s="2" t="n">
        <v>14336</v>
      </c>
      <c r="D2692" s="3" t="inlineStr">
        <is>
          <t>Приключения волшебного глобуса или проделки ведьм</t>
        </is>
      </c>
      <c r="E2692" s="2" t="n">
        <v>1982</v>
      </c>
      <c r="F2692" s="2" t="inlineStr">
        <is>
          <t>мультфильм</t>
        </is>
      </c>
      <c r="G2692" s="2" t="inlineStr">
        <is>
          <t>Союзмультфильм</t>
        </is>
      </c>
      <c r="H2692" s="2" t="n">
        <v>212</v>
      </c>
      <c r="I2692" s="2" t="inlineStr"/>
      <c r="J2692" s="2" t="inlineStr">
        <is>
          <t>да</t>
        </is>
      </c>
      <c r="K2692" s="3" t="inlineStr">
        <is>
          <t>Сборник мультфильмов: Мальчик из Неаполя, Волшебный прутик, Горе не беда и Золушка. Над монтажным фильмом работали: Аксенчук, Папорова, Кутузов, Елена Белявская, Любовь Бутырина, Надежда Михайлова, Ольга Исакова.</t>
        </is>
      </c>
      <c r="L2692" s="2" t="inlineStr">
        <is>
          <t>https://animator.ru/db/?p=show_film&amp;fid=5905</t>
        </is>
      </c>
      <c r="M2692" s="2">
        <f>HYPERLINK("https://ru.wikipedia.org/w/index.php?search=%D0%9F%D1%80%D0%B8%D0%BA%D0%BB%D1%8E%D1%87%D0%B5%D0%BD%D0%B8%D1%8F%20%D0%B2%D0%BE%D0%BB%D1%88%D0%B5%D0%B1%D0%BD%D0%BE%D0%B3%D0%BE%20%D0%B3%D0%BB%D0%BE%D0%B1%D1%83%D1%81%D0%B0%20%D0%B8%D0%BB%D0%B8%20%D0%BF%D1%80%D0%BE%D0%B4%D0%B5%D0%BB%D0%BA%D0%B8%20%D0%B2%D0%B5%D0%B4%D1%8C%D0%BC%201982%20%D1%84%D0%B8%D0%BB%D1%8C%D0%BC","искать")</f>
        <v/>
      </c>
      <c r="N2692" s="3" t="n"/>
      <c r="O2692" s="2" t="n"/>
      <c r="P2692" s="2" t="n"/>
    </row>
    <row r="2693">
      <c r="A2693" s="2" t="n">
        <v>2692</v>
      </c>
      <c r="B2693" s="2" t="inlineStr">
        <is>
          <t>не сюжет</t>
        </is>
      </c>
      <c r="C2693" s="2" t="n">
        <v>8396</v>
      </c>
      <c r="D2693" s="3" t="inlineStr">
        <is>
          <t>Старик хочет домой</t>
        </is>
      </c>
      <c r="E2693" s="2" t="n">
        <v>1991</v>
      </c>
      <c r="F2693" s="2" t="inlineStr">
        <is>
          <t>телефильм</t>
        </is>
      </c>
      <c r="G2693" s="2" t="n"/>
      <c r="H2693" s="2" t="n">
        <v>213</v>
      </c>
      <c r="I2693" s="2" t="inlineStr"/>
      <c r="J2693" s="2" t="inlineStr">
        <is>
          <t>да</t>
        </is>
      </c>
      <c r="K2693" s="3" t="inlineStr">
        <is>
          <t>По одноимённому роману Раймонда Каугвера. Главный герой, пожилой рабочий Тоомас Симмо, считает родной дом важнейшей ценностью своей жизни. Фильм обращается к отношениям поколений и различию их жизненных ценностей.</t>
        </is>
      </c>
      <c r="L2693" s="2" t="inlineStr">
        <is>
          <t>Кино_СССР сводный каталог.xlsx: список телефильмов</t>
        </is>
      </c>
      <c r="M2693" s="2">
        <f>HYPERLINK("https://ru.wikipedia.org/w/index.php?search=%D0%A1%D1%82%D0%B0%D1%80%D0%B8%D0%BA%20%D1%85%D0%BE%D1%87%D0%B5%D1%82%20%D0%B4%D0%BE%D0%BC%D0%BE%D0%B9%201991%20%D1%84%D0%B8%D0%BB%D1%8C%D0%BC","искать")</f>
        <v/>
      </c>
      <c r="N2693" s="3" t="n"/>
      <c r="O2693" s="2" t="n"/>
      <c r="P2693" s="2" t="n"/>
    </row>
    <row r="2694">
      <c r="A2694" s="2" t="n">
        <v>2693</v>
      </c>
      <c r="B2694" s="2" t="inlineStr">
        <is>
          <t>не сюжет</t>
        </is>
      </c>
      <c r="C2694" s="2" t="n">
        <v>10716</v>
      </c>
      <c r="D2694" s="3" t="inlineStr">
        <is>
          <t>Ситуация</t>
        </is>
      </c>
      <c r="E2694" s="2" t="n">
        <v>1977</v>
      </c>
      <c r="F2694" s="2" t="inlineStr">
        <is>
          <t>фильм-спектакль</t>
        </is>
      </c>
      <c r="G2694" s="2" t="inlineStr">
        <is>
          <t>Центральное телевидение</t>
        </is>
      </c>
      <c r="H2694" s="2" t="n">
        <v>213</v>
      </c>
      <c r="I2694" s="2" t="inlineStr"/>
      <c r="J2694" s="2" t="inlineStr">
        <is>
          <t>да</t>
        </is>
      </c>
      <c r="K2694" s="3" t="inlineStr">
        <is>
          <t>По пьесе Виктора Розова в постановке Государственного академического театра имени Евг. Вахтангова.
О рабочем Викторе Лесикове, честном человеке, который все свои незаурядные способности отдал родному производству.</t>
        </is>
      </c>
      <c r="L2694" s="2" t="inlineStr">
        <is>
          <t>https://www.kino-teatr.ru/teatr/movie/81570/annot/</t>
        </is>
      </c>
      <c r="M2694" s="2">
        <f>HYPERLINK("https://ru.wikipedia.org/w/index.php?search=%D0%A1%D0%B8%D1%82%D1%83%D0%B0%D1%86%D0%B8%D1%8F%201977%20%D1%84%D0%B8%D0%BB%D1%8C%D0%BC","искать")</f>
        <v/>
      </c>
      <c r="N2694" s="3" t="n"/>
      <c r="O2694" s="2" t="n"/>
      <c r="P2694" s="2" t="n"/>
    </row>
    <row r="2695">
      <c r="A2695" s="2" t="n">
        <v>2694</v>
      </c>
      <c r="B2695" s="2" t="inlineStr">
        <is>
          <t>не сюжет</t>
        </is>
      </c>
      <c r="C2695" s="2" t="n">
        <v>9221</v>
      </c>
      <c r="D2695" s="3" t="inlineStr">
        <is>
          <t>Баштанская республика</t>
        </is>
      </c>
      <c r="E2695" s="2" t="n">
        <v>1930</v>
      </c>
      <c r="F2695" s="2" t="inlineStr">
        <is>
          <t>кинофильм</t>
        </is>
      </c>
      <c r="G2695" s="2" t="n"/>
      <c r="H2695" s="2" t="n">
        <v>214</v>
      </c>
      <c r="I2695" s="2" t="inlineStr"/>
      <c r="J2695" s="2" t="inlineStr">
        <is>
          <t>да</t>
        </is>
      </c>
      <c r="K2695" s="3" t="inlineStr">
        <is>
          <t>Фильм пропагандировал политику коллективизации. На завершающей стадии работы картина была запрещена республиканскими руководителями к выпуску на экран с обвинением в "правом уклоне". Копия фильма в ГФФ не хранится.</t>
        </is>
      </c>
      <c r="L2695" s="2" t="inlineStr">
        <is>
          <t>Кино_СССР сводный каталог.xlsx: список фильмов (доп.)</t>
        </is>
      </c>
      <c r="M2695" s="2">
        <f>HYPERLINK("https://ru.wikipedia.org/w/index.php?search=%D0%91%D0%B0%D1%88%D1%82%D0%B0%D0%BD%D1%81%D0%BA%D0%B0%D1%8F%20%D1%80%D0%B5%D1%81%D0%BF%D1%83%D0%B1%D0%BB%D0%B8%D0%BA%D0%B0%201930%20%D1%84%D0%B8%D0%BB%D1%8C%D0%BC","искать")</f>
        <v/>
      </c>
      <c r="N2695" s="3" t="n"/>
      <c r="O2695" s="2" t="n"/>
      <c r="P2695" s="2" t="n"/>
    </row>
    <row r="2696">
      <c r="A2696" s="2" t="n">
        <v>2695</v>
      </c>
      <c r="B2696" s="2" t="inlineStr">
        <is>
          <t>не сюжет</t>
        </is>
      </c>
      <c r="C2696" s="2" t="n">
        <v>10380</v>
      </c>
      <c r="D2696" s="3" t="inlineStr">
        <is>
          <t>Борис Годунов</t>
        </is>
      </c>
      <c r="E2696" s="2" t="n">
        <v>1971</v>
      </c>
      <c r="F2696" s="2" t="inlineStr">
        <is>
          <t>фильм-спектакль</t>
        </is>
      </c>
      <c r="G2696" s="2" t="inlineStr">
        <is>
          <t>Главная редакция научно-популярных и образовательных программ ЦТ</t>
        </is>
      </c>
      <c r="H2696" s="2" t="n">
        <v>214</v>
      </c>
      <c r="I2696" s="2" t="inlineStr"/>
      <c r="J2696" s="2" t="inlineStr">
        <is>
          <t>да</t>
        </is>
      </c>
      <c r="K2696" s="3" t="inlineStr">
        <is>
          <t>Пять сцен из трагедии "Борис Годунов" по одноименному произведению А.С.Пушкина в исполнении артистов Московского драматического театра имени Н.В.Гоголя.
Ведущий - доктор филологических наук Сергей Михайлович Бонди.</t>
        </is>
      </c>
      <c r="L2696" s="2" t="inlineStr">
        <is>
          <t>https://www.kino-teatr.ru/teatr/movie/92513/annot/</t>
        </is>
      </c>
      <c r="M2696" s="2">
        <f>HYPERLINK("https://ru.wikipedia.org/w/index.php?search=%D0%91%D0%BE%D1%80%D0%B8%D1%81%20%D0%93%D0%BE%D0%B4%D1%83%D0%BD%D0%BE%D0%B2%201971%20%D1%84%D0%B8%D0%BB%D1%8C%D0%BC","искать")</f>
        <v/>
      </c>
      <c r="N2696" s="3" t="n"/>
      <c r="O2696" s="2" t="n"/>
      <c r="P2696" s="2" t="n"/>
    </row>
    <row r="2697">
      <c r="A2697" s="2" t="n">
        <v>2696</v>
      </c>
      <c r="B2697" s="2" t="inlineStr">
        <is>
          <t>не сюжет</t>
        </is>
      </c>
      <c r="C2697" s="2" t="n">
        <v>7578</v>
      </c>
      <c r="D2697" s="3" t="inlineStr">
        <is>
          <t>Ехали в трамвае Ильф и Петров</t>
        </is>
      </c>
      <c r="E2697" s="2" t="n">
        <v>1971</v>
      </c>
      <c r="F2697" s="2" t="inlineStr">
        <is>
          <t>телефильм</t>
        </is>
      </c>
      <c r="G2697" s="2" t="n"/>
      <c r="H2697" s="2" t="n">
        <v>215</v>
      </c>
      <c r="I2697" s="2" t="inlineStr"/>
      <c r="J2697" s="2" t="inlineStr">
        <is>
          <t>да</t>
        </is>
      </c>
      <c r="K2697" s="3" t="inlineStr">
        <is>
          <t>Сатирическая комедия о Москве и москвичах 20-х — 30-х годов XX века, снятая на основе фельетонов, рассказов и записных книжек знаменитых писателей-юмористов Ильи Ильфа и Евгения Петрова, а также кинохроники столицы.</t>
        </is>
      </c>
      <c r="L2697" s="2" t="inlineStr">
        <is>
          <t>https://ru.wikipedia.org/w/index.php?title=%D0%95%D1%85%D0%B0%D0%BB%D0%B8_%D0%B2_%D1%82%D1%80%D0%B0%D0%BC%D0%B2%D0%B0%D0%B5_%D0%98%D0%BB%D1%8C%D1%84_%D0%B8_%D0%9F%D0%B5%D1%82%D1%80%D0%BE%D0%B2&amp;oldid=150744256</t>
        </is>
      </c>
      <c r="M2697" s="2">
        <f>HYPERLINK("https://ru.wikipedia.org/w/index.php?search=%D0%95%D1%85%D0%B0%D0%BB%D0%B8%20%D0%B2%20%D1%82%D1%80%D0%B0%D0%BC%D0%B2%D0%B0%D0%B5%20%D0%98%D0%BB%D1%8C%D1%84%20%D0%B8%20%D0%9F%D0%B5%D1%82%D1%80%D0%BE%D0%B2%201971%20%D1%84%D0%B8%D0%BB%D1%8C%D0%BC","искать")</f>
        <v/>
      </c>
      <c r="N2697" s="3" t="n"/>
      <c r="O2697" s="2" t="n"/>
      <c r="P2697" s="2" t="n"/>
    </row>
    <row r="2698">
      <c r="A2698" s="2" t="n">
        <v>2697</v>
      </c>
      <c r="B2698" s="2" t="inlineStr">
        <is>
          <t>не сюжет</t>
        </is>
      </c>
      <c r="C2698" s="2" t="n">
        <v>9102</v>
      </c>
      <c r="D2698" s="3" t="inlineStr">
        <is>
          <t>Тихая обитель</t>
        </is>
      </c>
      <c r="E2698" s="2" t="n">
        <v>1971</v>
      </c>
      <c r="F2698" s="2" t="inlineStr">
        <is>
          <t>кинофильм</t>
        </is>
      </c>
      <c r="G2698" s="2" t="n"/>
      <c r="H2698" s="2" t="n">
        <v>215</v>
      </c>
      <c r="I2698" s="2" t="inlineStr"/>
      <c r="J2698" s="2" t="inlineStr">
        <is>
          <t>да</t>
        </is>
      </c>
      <c r="K2698" s="3" t="inlineStr">
        <is>
          <t>მყუდრო სავანე По мотивам произведений Серго Клдиашвили. На примере жизни небольшого уголка в Имерети рассказывается о крушении старого мира, об установлении Советской власти в Грузии и изменениях в психологии людей.</t>
        </is>
      </c>
      <c r="L2698" s="2" t="inlineStr">
        <is>
          <t>Кино_СССР сводный каталог.xlsx: список фильмов (доп.)</t>
        </is>
      </c>
      <c r="M2698" s="2">
        <f>HYPERLINK("https://ru.wikipedia.org/w/index.php?search=%D0%A2%D0%B8%D1%85%D0%B0%D1%8F%20%D0%BE%D0%B1%D0%B8%D1%82%D0%B5%D0%BB%D1%8C%201971%20%D1%84%D0%B8%D0%BB%D1%8C%D0%BC","искать")</f>
        <v/>
      </c>
      <c r="N2698" s="3" t="n"/>
      <c r="O2698" s="2" t="n"/>
      <c r="P2698" s="2" t="n"/>
    </row>
    <row r="2699">
      <c r="A2699" s="2" t="n">
        <v>2698</v>
      </c>
      <c r="B2699" s="2" t="inlineStr">
        <is>
          <t>не сюжет</t>
        </is>
      </c>
      <c r="C2699" s="2" t="n">
        <v>11207</v>
      </c>
      <c r="D2699" s="3" t="inlineStr">
        <is>
          <t>Карманный театр</t>
        </is>
      </c>
      <c r="E2699" s="2" t="n">
        <v>1988</v>
      </c>
      <c r="F2699" s="2" t="inlineStr">
        <is>
          <t>фильм-спектакль</t>
        </is>
      </c>
      <c r="G2699" s="2" t="inlineStr">
        <is>
          <t>Главная редакция литературно-драматических программ ЦТ</t>
        </is>
      </c>
      <c r="H2699" s="2" t="n">
        <v>215</v>
      </c>
      <c r="I2699" s="2" t="inlineStr"/>
      <c r="J2699" s="2" t="inlineStr">
        <is>
          <t>да</t>
        </is>
      </c>
      <c r="K2699" s="3" t="inlineStr">
        <is>
          <t>По одноактным пьесам-монологам Ж.Кокто: "Равнодушный красавец", "Я ее потерял", "Человеческий голос" и пьесе-фантазии Г.Горина "На карнизе" на темы Ж.Кокто в постановке Московского театра имени Ленинского комсомола.</t>
        </is>
      </c>
      <c r="L2699" s="2" t="inlineStr">
        <is>
          <t>https://www.kino-teatr.ru/teatr/movie/38046/annot/</t>
        </is>
      </c>
      <c r="M2699" s="2">
        <f>HYPERLINK("https://ru.wikipedia.org/w/index.php?search=%D0%9A%D0%B0%D1%80%D0%BC%D0%B0%D0%BD%D0%BD%D1%8B%D0%B9%20%D1%82%D0%B5%D0%B0%D1%82%D1%80%201988%20%D1%84%D0%B8%D0%BB%D1%8C%D0%BC","искать")</f>
        <v/>
      </c>
      <c r="N2699" s="3" t="n"/>
      <c r="O2699" s="2" t="n"/>
      <c r="P2699" s="2" t="n"/>
    </row>
    <row r="2700">
      <c r="A2700" s="2" t="n">
        <v>2699</v>
      </c>
      <c r="B2700" s="2" t="inlineStr">
        <is>
          <t>не сюжет</t>
        </is>
      </c>
      <c r="C2700" s="2" t="n">
        <v>13978</v>
      </c>
      <c r="D2700" s="3" t="inlineStr">
        <is>
          <t>Голубой мяч</t>
        </is>
      </c>
      <c r="E2700" s="2" t="n">
        <v>1984</v>
      </c>
      <c r="F2700" s="2" t="inlineStr">
        <is>
          <t>мультфильм</t>
        </is>
      </c>
      <c r="G2700" s="2" t="inlineStr">
        <is>
          <t>STUDIO B</t>
        </is>
      </c>
      <c r="H2700" s="2" t="n">
        <v>215</v>
      </c>
      <c r="I2700" s="2" t="inlineStr"/>
      <c r="J2700" s="2" t="inlineStr">
        <is>
          <t>да</t>
        </is>
      </c>
      <c r="K2700" s="3" t="inlineStr">
        <is>
          <t>Рисованая музыкальная фантазия о красоте нашей планеты и о бережном отношении к ней по мотивам стихотворения Назыма Хикмета "Детям". В мультфильме звучит песня "Дадим шар земной детям" в исполнении Ж.Рождественской.</t>
        </is>
      </c>
      <c r="L2700" s="2" t="inlineStr">
        <is>
          <t>2026-10_мультфильмы_список_владельца.xlsx; https://animator.ru/db/?p=show_film&amp;fid=5372</t>
        </is>
      </c>
      <c r="M2700" s="2">
        <f>HYPERLINK("https://ru.wikipedia.org/w/index.php?search=%D0%93%D0%BE%D0%BB%D1%83%D0%B1%D0%BE%D0%B9%20%D0%BC%D1%8F%D1%87%201984%20%D1%84%D0%B8%D0%BB%D1%8C%D0%BC","искать")</f>
        <v/>
      </c>
      <c r="N2700" s="3" t="n"/>
      <c r="O2700" s="2" t="n"/>
      <c r="P2700" s="2" t="n"/>
    </row>
    <row r="2701">
      <c r="A2701" s="2" t="n">
        <v>2700</v>
      </c>
      <c r="B2701" s="2" t="inlineStr">
        <is>
          <t>не сюжет</t>
        </is>
      </c>
      <c r="C2701" s="2" t="n">
        <v>7431</v>
      </c>
      <c r="D2701" s="3" t="inlineStr">
        <is>
          <t>Гардемарины, вперёд!</t>
        </is>
      </c>
      <c r="E2701" s="2" t="n">
        <v>1987</v>
      </c>
      <c r="F2701" s="2" t="inlineStr">
        <is>
          <t>телефильм</t>
        </is>
      </c>
      <c r="G2701" s="2" t="inlineStr">
        <is>
          <t>Мосфильм</t>
        </is>
      </c>
      <c r="H2701" s="2" t="n">
        <v>216</v>
      </c>
      <c r="I2701" s="2" t="inlineStr"/>
      <c r="J2701" s="2" t="inlineStr">
        <is>
          <t>да</t>
        </is>
      </c>
      <c r="K2701" s="3" t="inlineStr">
        <is>
          <t>Фильм снят по роману Нины Соротокиной «Трое из Навигацкой школы». Первая из картин трилогии о гардемаринах, в основе сюжета которой - политические и любовные интриги русского царского двора времен Елизаветы Петровны.</t>
        </is>
      </c>
      <c r="L2701" s="2" t="inlineStr">
        <is>
          <t>Кино_СССР сводный каталог.xlsx: список телефильмов</t>
        </is>
      </c>
      <c r="M2701" s="2">
        <f>HYPERLINK("https://ru.wikipedia.org/w/index.php?search=%D0%93%D0%B0%D1%80%D0%B4%D0%B5%D0%BC%D0%B0%D1%80%D0%B8%D0%BD%D1%8B%2C%20%D0%B2%D0%BF%D0%B5%D1%80%D1%91%D0%B4%21%201987%20%D1%84%D0%B8%D0%BB%D1%8C%D0%BC","искать")</f>
        <v/>
      </c>
      <c r="N2701" s="3" t="n"/>
      <c r="O2701" s="2" t="n"/>
      <c r="P2701" s="2" t="n"/>
    </row>
    <row r="2702">
      <c r="A2702" s="2" t="n">
        <v>2701</v>
      </c>
      <c r="B2702" s="2" t="inlineStr">
        <is>
          <t>не сюжет</t>
        </is>
      </c>
      <c r="C2702" s="2" t="n">
        <v>9883</v>
      </c>
      <c r="D2702" s="3" t="inlineStr">
        <is>
          <t>Сочинение</t>
        </is>
      </c>
      <c r="E2702" s="2" t="n">
        <v>1970</v>
      </c>
      <c r="F2702" s="2" t="inlineStr">
        <is>
          <t>кинофильм</t>
        </is>
      </c>
      <c r="G2702" s="2" t="inlineStr">
        <is>
          <t>Беларусьфильм</t>
        </is>
      </c>
      <c r="H2702" s="2" t="n">
        <v>216</v>
      </c>
      <c r="I2702" s="2" t="inlineStr"/>
      <c r="J2702" s="2" t="inlineStr">
        <is>
          <t>да</t>
        </is>
      </c>
      <c r="K2702" s="3" t="inlineStr">
        <is>
          <t>О единении детской фантазии с восприятием неповторимой красоты окружающей природы. Для героя фильма Яши это восприятие также непосредственно связано с яркими поэтическими образами, с которыми его познакомили в школе.</t>
        </is>
      </c>
      <c r="L2702" s="2" t="inlineStr">
        <is>
          <t>https://www.kino-teatr.ru/short/movie/sov/15923/annot/</t>
        </is>
      </c>
      <c r="M2702" s="2">
        <f>HYPERLINK("https://ru.wikipedia.org/w/index.php?search=%D0%A1%D0%BE%D1%87%D0%B8%D0%BD%D0%B5%D0%BD%D0%B8%D0%B5%201970%20%D1%84%D0%B8%D0%BB%D1%8C%D0%BC","искать")</f>
        <v/>
      </c>
      <c r="N2702" s="3" t="n"/>
      <c r="O2702" s="2" t="n"/>
      <c r="P2702" s="2" t="n"/>
    </row>
    <row r="2703">
      <c r="A2703" s="2" t="n">
        <v>2702</v>
      </c>
      <c r="B2703" s="2" t="inlineStr">
        <is>
          <t>не сюжет</t>
        </is>
      </c>
      <c r="C2703" s="2" t="n">
        <v>10038</v>
      </c>
      <c r="D2703" s="3" t="inlineStr">
        <is>
          <t>День ряженых</t>
        </is>
      </c>
      <c r="E2703" s="2" t="n">
        <v>1989</v>
      </c>
      <c r="F2703" s="2" t="inlineStr">
        <is>
          <t>кинофильм</t>
        </is>
      </c>
      <c r="G2703" s="2" t="inlineStr">
        <is>
          <t>Таллинфильм</t>
        </is>
      </c>
      <c r="H2703" s="2" t="n">
        <v>216</v>
      </c>
      <c r="I2703" s="2" t="inlineStr"/>
      <c r="J2703" s="2" t="inlineStr">
        <is>
          <t>да</t>
        </is>
      </c>
      <c r="K2703" s="3" t="inlineStr">
        <is>
          <t>День ряженых — Мартов день — это краткий миг счастья и фантазии в нашей будничной жизни. Но даже этот день не приносит семье радость. Фильм рассказывает о трагическом распаде традиционного эстонского семейного клана.</t>
        </is>
      </c>
      <c r="L2703" s="2" t="inlineStr">
        <is>
          <t>https://www.kino-teatr.ru/short/movie/sov/78967/annot/</t>
        </is>
      </c>
      <c r="M2703" s="2">
        <f>HYPERLINK("https://ru.wikipedia.org/w/index.php?search=%D0%94%D0%B5%D0%BD%D1%8C%20%D1%80%D1%8F%D0%B6%D0%B5%D0%BD%D1%8B%D1%85%201989%20%D1%84%D0%B8%D0%BB%D1%8C%D0%BC","искать")</f>
        <v/>
      </c>
      <c r="N2703" s="3" t="n"/>
      <c r="O2703" s="2" t="n"/>
      <c r="P2703" s="2" t="n"/>
    </row>
    <row r="2704">
      <c r="A2704" s="2" t="n">
        <v>2703</v>
      </c>
      <c r="B2704" s="2" t="inlineStr">
        <is>
          <t>не сюжет</t>
        </is>
      </c>
      <c r="C2704" s="2" t="n">
        <v>11315</v>
      </c>
      <c r="D2704" s="3" t="inlineStr">
        <is>
          <t>После дуэли</t>
        </is>
      </c>
      <c r="E2704" s="2" t="n">
        <v>1990</v>
      </c>
      <c r="F2704" s="2" t="inlineStr">
        <is>
          <t>фильм-спектакль</t>
        </is>
      </c>
      <c r="G2704" s="2" t="n"/>
      <c r="H2704" s="2" t="n">
        <v>216</v>
      </c>
      <c r="I2704" s="2" t="inlineStr"/>
      <c r="J2704" s="2" t="inlineStr">
        <is>
          <t>да</t>
        </is>
      </c>
      <c r="K2704" s="3" t="inlineStr">
        <is>
          <t>По пьесе Михаила Рощина "После дуэли" о реакции на гибель поэта Михаила Юрьевича Лермонтова его друзей, недругов, знакомых, близких и далёких людей. Пьеса написана по материалам воспоминаний современников Лермонтова.</t>
        </is>
      </c>
      <c r="L2704" s="2" t="inlineStr">
        <is>
          <t>https://www.kino-teatr.ru/teatr/movie/105441/annot/</t>
        </is>
      </c>
      <c r="M2704" s="2">
        <f>HYPERLINK("https://ru.wikipedia.org/w/index.php?search=%D0%9F%D0%BE%D1%81%D0%BB%D0%B5%20%D0%B4%D1%83%D1%8D%D0%BB%D0%B8%201990%20%D1%84%D0%B8%D0%BB%D1%8C%D0%BC","искать")</f>
        <v/>
      </c>
      <c r="N2704" s="3" t="n"/>
      <c r="O2704" s="2" t="n"/>
      <c r="P2704" s="2" t="n"/>
    </row>
    <row r="2705">
      <c r="A2705" s="2" t="n">
        <v>2704</v>
      </c>
      <c r="B2705" s="2" t="inlineStr">
        <is>
          <t>не сюжет</t>
        </is>
      </c>
      <c r="C2705" s="2" t="n">
        <v>8702</v>
      </c>
      <c r="D2705" s="3" t="inlineStr">
        <is>
          <t>Директивный бант</t>
        </is>
      </c>
      <c r="E2705" s="2" t="n">
        <v>1932</v>
      </c>
      <c r="F2705" s="2" t="inlineStr">
        <is>
          <t>кинофильм</t>
        </is>
      </c>
      <c r="G2705" s="2" t="n"/>
      <c r="H2705" s="2" t="n">
        <v>217</v>
      </c>
      <c r="I2705" s="2" t="inlineStr"/>
      <c r="J2705" s="2" t="inlineStr">
        <is>
          <t>да</t>
        </is>
      </c>
      <c r="K2705" s="3" t="inlineStr">
        <is>
          <t>Фильм был посвящён прошлой и новой жизни, строительству, которые мешают отрицательные явления острой сатиры. Директивный бант — один из первых азербайджанских фильмов, экранизированных по произведению Ильфа и Петрова.</t>
        </is>
      </c>
      <c r="L2705" s="2" t="inlineStr">
        <is>
          <t>https://ru.wikipedia.org/w/index.php?title=%D0%94%D0%B8%D1%80%D0%B5%D0%BA%D1%82%D0%B8%D0%B2%D0%BD%D1%8B%D0%B9_%D0%B1%D0%B0%D0%BD%D1%82_%28%D1%84%D0%B8%D0%BB%D1%8C%D0%BC%29&amp;oldid=149539624</t>
        </is>
      </c>
      <c r="M2705" s="2">
        <f>HYPERLINK("https://ru.wikipedia.org/w/index.php?search=%D0%94%D0%B8%D1%80%D0%B5%D0%BA%D1%82%D0%B8%D0%B2%D0%BD%D1%8B%D0%B9%20%D0%B1%D0%B0%D0%BD%D1%82%201932%20%D1%84%D0%B8%D0%BB%D1%8C%D0%BC","искать")</f>
        <v/>
      </c>
      <c r="N2705" s="3" t="n"/>
      <c r="O2705" s="2" t="n"/>
      <c r="P2705" s="2" t="n"/>
    </row>
    <row r="2706">
      <c r="A2706" s="2" t="n">
        <v>2705</v>
      </c>
      <c r="B2706" s="2" t="inlineStr">
        <is>
          <t>не сюжет</t>
        </is>
      </c>
      <c r="C2706" s="2" t="n">
        <v>8959</v>
      </c>
      <c r="D2706" s="3" t="inlineStr">
        <is>
          <t>Последний барьер</t>
        </is>
      </c>
      <c r="E2706" s="2" t="n">
        <v>1978</v>
      </c>
      <c r="F2706" s="2" t="inlineStr">
        <is>
          <t>кинофильм</t>
        </is>
      </c>
      <c r="G2706" s="2" t="n"/>
      <c r="H2706" s="2" t="n">
        <v>217</v>
      </c>
      <c r="I2706" s="2" t="inlineStr"/>
      <c r="J2706" s="2" t="inlineStr">
        <is>
          <t>да</t>
        </is>
      </c>
      <c r="K2706" s="3" t="inlineStr">
        <is>
          <t>Фильм поставлен по одноименному роману А.Дрипе. Действие картины происходит в колонии  для несовершеннолетних правонарушителей.  Это фильм о долге воспитателя, о личной ответственности за тех, чьи судьбы ему доверены.</t>
        </is>
      </c>
      <c r="L2706" s="2" t="inlineStr">
        <is>
          <t>Кино_СССР сводный каталог.xlsx: список фильмов (доп.)</t>
        </is>
      </c>
      <c r="M2706" s="2">
        <f>HYPERLINK("https://ru.wikipedia.org/w/index.php?search=%D0%9F%D0%BE%D1%81%D0%BB%D0%B5%D0%B4%D0%BD%D0%B8%D0%B9%20%D0%B1%D0%B0%D1%80%D1%8C%D0%B5%D1%80%201978%20%D1%84%D0%B8%D0%BB%D1%8C%D0%BC","искать")</f>
        <v/>
      </c>
      <c r="N2706" s="3" t="n"/>
      <c r="O2706" s="2" t="n"/>
      <c r="P2706" s="2" t="n"/>
    </row>
    <row r="2707">
      <c r="A2707" s="2" t="n">
        <v>2706</v>
      </c>
      <c r="B2707" s="2" t="inlineStr">
        <is>
          <t>не сюжет</t>
        </is>
      </c>
      <c r="C2707" s="2" t="n">
        <v>9584</v>
      </c>
      <c r="D2707" s="3" t="inlineStr">
        <is>
          <t>Преступление свершилось</t>
        </is>
      </c>
      <c r="E2707" s="2" t="n">
        <v>1988</v>
      </c>
      <c r="F2707" s="2" t="inlineStr">
        <is>
          <t>кинофильм</t>
        </is>
      </c>
      <c r="G2707" s="2" t="n"/>
      <c r="H2707" s="2" t="n">
        <v>217</v>
      </c>
      <c r="I2707" s="2" t="inlineStr"/>
      <c r="J2707" s="2" t="inlineStr">
        <is>
          <t>да</t>
        </is>
      </c>
      <c r="K2707" s="3" t="inlineStr">
        <is>
          <t>დანაშაული მოხდა События фильма происходят в одном из больших дворов современного Тбилиси, где ежедневно собираются подростки. В общем неплохие ребята, когда собираются вместе, становятся неуправляемыми и агрессивными.</t>
        </is>
      </c>
      <c r="L2707" s="2" t="inlineStr">
        <is>
          <t>Кино_СССР сводный каталог.xlsx: список фильмов (доп.)</t>
        </is>
      </c>
      <c r="M2707" s="2">
        <f>HYPERLINK("https://ru.wikipedia.org/w/index.php?search=%D0%9F%D1%80%D0%B5%D1%81%D1%82%D1%83%D0%BF%D0%BB%D0%B5%D0%BD%D0%B8%D0%B5%20%D1%81%D0%B2%D0%B5%D1%80%D1%88%D0%B8%D0%BB%D0%BE%D1%81%D1%8C%201988%20%D1%84%D0%B8%D0%BB%D1%8C%D0%BC","искать")</f>
        <v/>
      </c>
      <c r="N2707" s="3" t="n"/>
      <c r="O2707" s="2" t="n"/>
      <c r="P2707" s="2" t="n"/>
    </row>
    <row r="2708">
      <c r="A2708" s="2" t="n">
        <v>2707</v>
      </c>
      <c r="B2708" s="2" t="inlineStr">
        <is>
          <t>не сюжет</t>
        </is>
      </c>
      <c r="C2708" s="2" t="n">
        <v>11401</v>
      </c>
      <c r="D2708" s="3" t="inlineStr">
        <is>
          <t>Мук (Мультипликационный крокодил) n 1</t>
        </is>
      </c>
      <c r="E2708" s="2" t="n">
        <v>1960</v>
      </c>
      <c r="F2708" s="2" t="inlineStr">
        <is>
          <t>мультфильм</t>
        </is>
      </c>
      <c r="G2708" s="2" t="inlineStr">
        <is>
          <t>Союзмультфильм</t>
        </is>
      </c>
      <c r="H2708" s="2" t="n">
        <v>217</v>
      </c>
      <c r="I2708" s="2" t="inlineStr"/>
      <c r="J2708" s="2" t="inlineStr">
        <is>
          <t>да</t>
        </is>
      </c>
      <c r="K2708" s="3" t="inlineStr">
        <is>
          <t>Сатирический мультжурнал для взрослых (4 сюжета), критикующий "отдельно взятые недостатки" советской действительности: о заготовителе, о мещанстве, об охране зеленых насаждений и о стремлении к миру между народами (!)</t>
        </is>
      </c>
      <c r="L2708" s="2" t="inlineStr">
        <is>
          <t>https://animator.ru/db/?p=show_film&amp;fid=2056</t>
        </is>
      </c>
      <c r="M2708" s="2">
        <f>HYPERLINK("https://ru.wikipedia.org/w/index.php?search=%D0%9C%D1%83%D0%BA%20%28%D0%9C%D1%83%D0%BB%D1%8C%D1%82%D0%B8%D0%BF%D0%BB%D0%B8%D0%BA%D0%B0%D1%86%D0%B8%D0%BE%D0%BD%D0%BD%D1%8B%D0%B9%20%D0%BA%D1%80%D0%BE%D0%BA%D0%BE%D0%B4%D0%B8%D0%BB%29%20n%201%201960%20%D1%84%D0%B8%D0%BB%D1%8C%D0%BC","искать")</f>
        <v/>
      </c>
      <c r="N2708" s="3" t="n"/>
      <c r="O2708" s="2" t="n"/>
      <c r="P2708" s="2" t="n"/>
    </row>
    <row r="2709">
      <c r="A2709" s="2" t="n">
        <v>2708</v>
      </c>
      <c r="B2709" s="2" t="inlineStr">
        <is>
          <t>не сюжет</t>
        </is>
      </c>
      <c r="C2709" s="2" t="n">
        <v>7607</v>
      </c>
      <c r="D2709" s="3" t="inlineStr">
        <is>
          <t>Житие Дон Кихота и Санчо</t>
        </is>
      </c>
      <c r="E2709" s="2" t="n">
        <v>1988</v>
      </c>
      <c r="F2709" s="2" t="inlineStr">
        <is>
          <t>телефильм</t>
        </is>
      </c>
      <c r="G2709" s="2" t="n"/>
      <c r="H2709" s="2" t="n">
        <v>218</v>
      </c>
      <c r="I2709" s="2" t="inlineStr"/>
      <c r="J2709" s="2" t="inlineStr">
        <is>
          <t>да</t>
        </is>
      </c>
      <c r="K2709" s="3" t="inlineStr">
        <is>
          <t>Местами экранизация, местами чтение, местами балет, местами театральная постановка, а местами даже кукольный театр, точнее театр марионеток. Местами притча. Но, в целом, очень подробная экранизация бессмертного романа.</t>
        </is>
      </c>
      <c r="L2709" s="2" t="inlineStr">
        <is>
          <t>https://ru.wikipedia.org/w/index.php?title=%D0%96%D0%B8%D1%82%D0%B8%D0%B5_%D0%94%D0%BE%D0%BD_%D0%9A%D0%B8%D1%85%D0%BE%D1%82%D0%B0_%D0%B8_%D0%A1%D0%B0%D0%BD%D1%87%D0%BE_%28%D1%84%D0%B8%D0%BB%D1%8C%D0%BC%29&amp;oldid=147993838</t>
        </is>
      </c>
      <c r="M2709" s="2">
        <f>HYPERLINK("https://ru.wikipedia.org/w/index.php?search=%D0%96%D0%B8%D1%82%D0%B8%D0%B5%20%D0%94%D0%BE%D0%BD%20%D0%9A%D0%B8%D1%85%D0%BE%D1%82%D0%B0%20%D0%B8%20%D0%A1%D0%B0%D0%BD%D1%87%D0%BE%201988%20%D1%84%D0%B8%D0%BB%D1%8C%D0%BC","искать")</f>
        <v/>
      </c>
      <c r="N2709" s="3" t="n"/>
      <c r="O2709" s="2" t="n"/>
      <c r="P2709" s="2" t="n"/>
    </row>
    <row r="2710">
      <c r="A2710" s="2" t="n">
        <v>2709</v>
      </c>
      <c r="B2710" s="2" t="inlineStr">
        <is>
          <t>не сюжет</t>
        </is>
      </c>
      <c r="C2710" s="2" t="n">
        <v>8646</v>
      </c>
      <c r="D2710" s="3" t="inlineStr">
        <is>
          <t>Вдохновение</t>
        </is>
      </c>
      <c r="E2710" s="2" t="n">
        <v>1975</v>
      </c>
      <c r="F2710" s="2" t="inlineStr">
        <is>
          <t>кинофильм</t>
        </is>
      </c>
      <c r="G2710" s="2" t="n"/>
      <c r="H2710" s="2" t="n">
        <v>218</v>
      </c>
      <c r="I2710" s="2" t="inlineStr"/>
      <c r="J2710" s="2" t="inlineStr">
        <is>
          <t>да</t>
        </is>
      </c>
      <c r="K2710" s="3" t="inlineStr">
        <is>
          <t>В фильме снимались артисты,выступавшие в праздничном концерте перед делегатами XXY съезда КПСС:Московская Государственная консерватория,ансамбль "Бахор",Радион Щедрин - финал первого концерта для фортепиано с оркестром</t>
        </is>
      </c>
      <c r="L2710" s="2" t="inlineStr">
        <is>
          <t>https://gosfilmofond.ru/films/235161/</t>
        </is>
      </c>
      <c r="M2710" s="2">
        <f>HYPERLINK("https://ru.wikipedia.org/w/index.php?search=%D0%92%D0%B4%D0%BE%D1%85%D0%BD%D0%BE%D0%B2%D0%B5%D0%BD%D0%B8%D0%B5%201975%20%D1%84%D0%B8%D0%BB%D1%8C%D0%BC","искать")</f>
        <v/>
      </c>
      <c r="N2710" s="3" t="n"/>
      <c r="O2710" s="2" t="n"/>
      <c r="P2710" s="2" t="n"/>
    </row>
    <row r="2711">
      <c r="A2711" s="2" t="n">
        <v>2710</v>
      </c>
      <c r="B2711" s="2" t="inlineStr">
        <is>
          <t>не сюжет</t>
        </is>
      </c>
      <c r="C2711" s="2" t="n">
        <v>9733</v>
      </c>
      <c r="D2711" s="3" t="inlineStr">
        <is>
          <t>Хождение по мукам</t>
        </is>
      </c>
      <c r="E2711" s="2" t="n">
        <v>1957</v>
      </c>
      <c r="F2711" s="2" t="inlineStr">
        <is>
          <t>кинофильм</t>
        </is>
      </c>
      <c r="G2711" s="2" t="n"/>
      <c r="H2711" s="2" t="n">
        <v>219</v>
      </c>
      <c r="I2711" s="2" t="inlineStr"/>
      <c r="J2711" s="2" t="inlineStr">
        <is>
          <t>да</t>
        </is>
      </c>
      <c r="K2711" s="3" t="inlineStr">
        <is>
          <t>Кинотрилогия ("Сёстры" (1957), "Восемнадцатый год"(1958), "Хмурое утро" (1959) по одноименному роману Алексея Николаевича Толстого. О судьбах русской интеллигенции на фоне развала Российской империи и гражданской войны.</t>
        </is>
      </c>
      <c r="L2711" s="2" t="inlineStr">
        <is>
          <t>Кино_СССР сводный каталог.xlsx: список фильмов (доп.)</t>
        </is>
      </c>
      <c r="M2711" s="2">
        <f>HYPERLINK("https://ru.wikipedia.org/w/index.php?search=%D0%A5%D0%BE%D0%B6%D0%B4%D0%B5%D0%BD%D0%B8%D0%B5%20%D0%BF%D0%BE%20%D0%BC%D1%83%D0%BA%D0%B0%D0%BC%201957%20%D1%84%D0%B8%D0%BB%D1%8C%D0%BC","искать")</f>
        <v/>
      </c>
      <c r="N2711" s="3" t="n"/>
      <c r="O2711" s="2" t="n"/>
      <c r="P2711" s="2" t="n"/>
    </row>
    <row r="2712">
      <c r="A2712" s="2" t="n">
        <v>2711</v>
      </c>
      <c r="B2712" s="2" t="inlineStr">
        <is>
          <t>не сюжет</t>
        </is>
      </c>
      <c r="C2712" s="2" t="n">
        <v>12299</v>
      </c>
      <c r="D2712" s="3" t="inlineStr">
        <is>
          <t>Что там под маской?</t>
        </is>
      </c>
      <c r="E2712" s="2" t="n">
        <v>1991</v>
      </c>
      <c r="F2712" s="2" t="inlineStr">
        <is>
          <t>мультфильм</t>
        </is>
      </c>
      <c r="G2712" s="2" t="inlineStr">
        <is>
          <t>Союзмультфильм</t>
        </is>
      </c>
      <c r="H2712" s="2" t="n">
        <v>219</v>
      </c>
      <c r="I2712" s="2" t="inlineStr"/>
      <c r="J2712" s="2" t="inlineStr">
        <is>
          <t>да</t>
        </is>
      </c>
      <c r="K2712" s="3" t="inlineStr">
        <is>
          <t>Фильм адресован взрослому зрителю. Сюжет строится на взаимоотношениях актеров традиционной комедии дель арте на сцене и за кулисами. Сочетание игрового кино и мультипликации составляет своеобразие этого фильма-раздумья.</t>
        </is>
      </c>
      <c r="L2712" s="2" t="inlineStr">
        <is>
          <t>https://animator.ru/db/?p=show_film&amp;fid=3416</t>
        </is>
      </c>
      <c r="M2712" s="2">
        <f>HYPERLINK("https://ru.wikipedia.org/w/index.php?search=%D0%A7%D1%82%D0%BE%20%D1%82%D0%B0%D0%BC%20%D0%BF%D0%BE%D0%B4%20%D0%BC%D0%B0%D1%81%D0%BA%D0%BE%D0%B9%3F%201991%20%D1%84%D0%B8%D0%BB%D1%8C%D0%BC","искать")</f>
        <v/>
      </c>
      <c r="N2712" s="3" t="n"/>
      <c r="O2712" s="2" t="n"/>
      <c r="P2712" s="2" t="n"/>
    </row>
    <row r="2713">
      <c r="A2713" s="2" t="n">
        <v>2712</v>
      </c>
      <c r="B2713" s="2" t="inlineStr">
        <is>
          <t>не сюжет</t>
        </is>
      </c>
      <c r="C2713" s="2" t="n">
        <v>12748</v>
      </c>
      <c r="D2713" s="3" t="inlineStr">
        <is>
          <t>Лисья книга</t>
        </is>
      </c>
      <c r="E2713" s="2" t="n">
        <v>1975</v>
      </c>
      <c r="F2713" s="2" t="inlineStr">
        <is>
          <t>мультфильм</t>
        </is>
      </c>
      <c r="G2713" s="2" t="inlineStr">
        <is>
          <t>АРМЕНФИЛЬМ</t>
        </is>
      </c>
      <c r="H2713" s="2" t="n">
        <v>219</v>
      </c>
      <c r="I2713" s="2" t="inlineStr"/>
      <c r="J2713" s="2" t="inlineStr">
        <is>
          <t>да</t>
        </is>
      </c>
      <c r="K2713" s="3" t="inlineStr">
        <is>
          <t>По Книге басен армянского средневекового поэта Вардана Айгекци. Вековая мудрость басен оказывается как нельзя более актуальной.Про волка и козла, про льва, осла и пса, их козни и интриги – поведает лиса из лисьей книги.</t>
        </is>
      </c>
      <c r="L2713" s="2" t="inlineStr">
        <is>
          <t>2026-10_мультфильмы_список_владельца.xlsx; https://animator.ru/db/?p=show_film&amp;fid=3957</t>
        </is>
      </c>
      <c r="M2713" s="2">
        <f>HYPERLINK("https://ru.wikipedia.org/w/index.php?search=%D0%9B%D0%B8%D1%81%D1%8C%D1%8F%20%D0%BA%D0%BD%D0%B8%D0%B3%D0%B0%201975%20%D1%84%D0%B8%D0%BB%D1%8C%D0%BC","искать")</f>
        <v/>
      </c>
      <c r="N2713" s="3" t="n"/>
      <c r="O2713" s="2" t="n"/>
      <c r="P2713" s="2" t="n"/>
    </row>
    <row r="2714">
      <c r="A2714" s="2" t="n">
        <v>2713</v>
      </c>
      <c r="B2714" s="2" t="inlineStr">
        <is>
          <t>не сюжет</t>
        </is>
      </c>
      <c r="C2714" s="2" t="n">
        <v>7709</v>
      </c>
      <c r="D2714" s="3" t="inlineStr">
        <is>
          <t>Каникулы Петрова и Васечкина, обыкновенные и невероятные</t>
        </is>
      </c>
      <c r="E2714" s="2" t="n">
        <v>1984</v>
      </c>
      <c r="F2714" s="2" t="inlineStr">
        <is>
          <t>телефильм</t>
        </is>
      </c>
      <c r="G2714" s="2" t="n"/>
      <c r="H2714" s="2" t="n">
        <v>220</v>
      </c>
      <c r="I2714" s="2" t="inlineStr"/>
      <c r="J2714" s="2" t="inlineStr">
        <is>
          <t>да</t>
        </is>
      </c>
      <c r="K2714" s="3" t="inlineStr">
        <is>
          <t>Неразлучная парочка - скромный, застенчивый Вася Петров и выдумщик Петя Васечкин, герои киножурнала "Ералаш", на летнем отдыхе в пионерском лагере. Картина первая - "Хулиган" (почти по Гоголю). Картина вторая - "Рыцарь".</t>
        </is>
      </c>
      <c r="L2714" s="2" t="inlineStr">
        <is>
          <t>Кино_СССР сводный каталог.xlsx: список телефильмов</t>
        </is>
      </c>
      <c r="M2714" s="2">
        <f>HYPERLINK("https://ru.wikipedia.org/w/index.php?search=%D0%9A%D0%B0%D0%BD%D0%B8%D0%BA%D1%83%D0%BB%D1%8B%20%D0%9F%D0%B5%D1%82%D1%80%D0%BE%D0%B2%D0%B0%20%D0%B8%20%D0%92%D0%B0%D1%81%D0%B5%D1%87%D0%BA%D0%B8%D0%BD%D0%B0%2C%20%D0%BE%D0%B1%D1%8B%D0%BA%D0%BD%D0%BE%D0%B2%D0%B5%D0%BD%D0%BD%D1%8B%D0%B5%20%D0%B8%20%D0%BD%D0%B5%D0%B2%D0%B5%D1%80%D0%BE%D1%8F%D1%82%D0%BD%D1%8B%D0%B5%201984%20%D1%84%D0%B8%D0%BB%D1%8C%D0%BC","искать")</f>
        <v/>
      </c>
      <c r="N2714" s="3" t="n"/>
      <c r="O2714" s="2" t="n"/>
      <c r="P2714" s="2" t="n"/>
    </row>
    <row r="2715">
      <c r="A2715" s="2" t="n">
        <v>2714</v>
      </c>
      <c r="B2715" s="2" t="inlineStr">
        <is>
          <t>не сюжет</t>
        </is>
      </c>
      <c r="C2715" s="2" t="n">
        <v>10423</v>
      </c>
      <c r="D2715" s="3" t="inlineStr">
        <is>
          <t>Тысяча душ</t>
        </is>
      </c>
      <c r="E2715" s="2" t="n">
        <v>1971</v>
      </c>
      <c r="F2715" s="2" t="inlineStr">
        <is>
          <t>фильм-спектакль</t>
        </is>
      </c>
      <c r="G2715" s="2" t="inlineStr">
        <is>
          <t>Главная редакция литературно-драматических программ ЦТ</t>
        </is>
      </c>
      <c r="H2715" s="2" t="n">
        <v>220</v>
      </c>
      <c r="I2715" s="2" t="inlineStr"/>
      <c r="J2715" s="2" t="inlineStr">
        <is>
          <t>да</t>
        </is>
      </c>
      <c r="K2715" s="3" t="inlineStr">
        <is>
          <t>По мотивам одноименного романа А.Ф.Писемского.
Спектакль о всесильной власти денег и нравах чиновничьего мира, губящих все честное, доброе, гуманное. Действие происходит в середине 40-х гг. XIX в. в уездном городе N-ске.</t>
        </is>
      </c>
      <c r="L2715" s="2" t="inlineStr">
        <is>
          <t>https://www.kino-teatr.ru/teatr/movie/79301/annot/</t>
        </is>
      </c>
      <c r="M2715" s="2">
        <f>HYPERLINK("https://ru.wikipedia.org/w/index.php?search=%D0%A2%D1%8B%D1%81%D1%8F%D1%87%D0%B0%20%D0%B4%D1%83%D1%88%201971%20%D1%84%D0%B8%D0%BB%D1%8C%D0%BC","искать")</f>
        <v/>
      </c>
      <c r="N2715" s="3" t="n"/>
      <c r="O2715" s="2" t="n"/>
      <c r="P2715" s="2" t="n"/>
    </row>
    <row r="2716">
      <c r="A2716" s="2" t="n">
        <v>2715</v>
      </c>
      <c r="B2716" s="2" t="inlineStr">
        <is>
          <t>не сюжет</t>
        </is>
      </c>
      <c r="C2716" s="2" t="n">
        <v>11721</v>
      </c>
      <c r="D2716" s="3" t="inlineStr">
        <is>
          <t>Щелкунчик (1973)</t>
        </is>
      </c>
      <c r="E2716" s="2" t="n">
        <v>1973</v>
      </c>
      <c r="F2716" s="2" t="inlineStr">
        <is>
          <t>мультфильм</t>
        </is>
      </c>
      <c r="G2716" s="2" t="inlineStr">
        <is>
          <t>Союзмультфильм</t>
        </is>
      </c>
      <c r="H2716" s="2" t="n">
        <v>220</v>
      </c>
      <c r="I2716" s="2" t="inlineStr"/>
      <c r="J2716" s="2" t="inlineStr">
        <is>
          <t>да</t>
        </is>
      </c>
      <c r="K2716" s="3" t="inlineStr">
        <is>
          <t>По мотивам сказки Гофмана и балета Чайковского
VII ВКФ, Баку 1974 -- Поощрительный диплом за оригинальное художественное решение; МФ детских и юношеских фильмов в Хихоне (Испания), 1974 -- Первая премия "Пелайя дель оро"</t>
        </is>
      </c>
      <c r="L2716" s="2" t="inlineStr">
        <is>
          <t>https://animator.ru/db/?p=show_film&amp;fid=2635</t>
        </is>
      </c>
      <c r="M2716" s="2">
        <f>HYPERLINK("https://ru.wikipedia.org/w/index.php?search=%D0%A9%D0%B5%D0%BB%D0%BA%D1%83%D0%BD%D1%87%D0%B8%D0%BA%20%281973%29%201973%20%D1%84%D0%B8%D0%BB%D1%8C%D0%BC","искать")</f>
        <v/>
      </c>
      <c r="N2716" s="3" t="n"/>
      <c r="O2716" s="2" t="n"/>
      <c r="P2716" s="2" t="n"/>
    </row>
    <row r="2717">
      <c r="A2717" s="2" t="n">
        <v>2716</v>
      </c>
      <c r="B2717" s="2" t="inlineStr">
        <is>
          <t>не сюжет</t>
        </is>
      </c>
      <c r="C2717" s="2" t="n">
        <v>12739</v>
      </c>
      <c r="D2717" s="3" t="inlineStr">
        <is>
          <t>Мечты...Мечты...</t>
        </is>
      </c>
      <c r="E2717" s="2" t="n">
        <v>1988</v>
      </c>
      <c r="F2717" s="2" t="inlineStr">
        <is>
          <t>мультфильм</t>
        </is>
      </c>
      <c r="G2717" s="2" t="inlineStr">
        <is>
          <t>АЗЕРБАЙДЖАНФИЛЬМ</t>
        </is>
      </c>
      <c r="H2717" s="2" t="n">
        <v>220</v>
      </c>
      <c r="I2717" s="2" t="inlineStr"/>
      <c r="J2717" s="2" t="inlineStr">
        <is>
          <t>да</t>
        </is>
      </c>
      <c r="K2717" s="3" t="inlineStr">
        <is>
          <t>Фильм состоит из трех новелл, органически связанных между собой и рассказывающих о стремлении человека к своей мечте, к идеалу, и о том, как может быть извращена эта мечта, если искажена сама шкала нравственных ценностей</t>
        </is>
      </c>
      <c r="L2717" s="2" t="inlineStr">
        <is>
          <t>https://gosfilmofond.ru/films/250586/</t>
        </is>
      </c>
      <c r="M2717" s="2">
        <f>HYPERLINK("https://ru.wikipedia.org/w/index.php?search=%D0%9C%D0%B5%D1%87%D1%82%D1%8B...%D0%9C%D0%B5%D1%87%D1%82%D1%8B...%201988%20%D1%84%D0%B8%D0%BB%D1%8C%D0%BC","искать")</f>
        <v/>
      </c>
      <c r="N2717" s="3" t="n"/>
      <c r="O2717" s="2" t="n"/>
      <c r="P2717" s="2" t="n"/>
    </row>
    <row r="2718">
      <c r="A2718" s="2" t="n">
        <v>2717</v>
      </c>
      <c r="B2718" s="2" t="inlineStr">
        <is>
          <t>не сюжет</t>
        </is>
      </c>
      <c r="C2718" s="2" t="n">
        <v>7635</v>
      </c>
      <c r="D2718" s="3" t="inlineStr">
        <is>
          <t>Здесь наш дом</t>
        </is>
      </c>
      <c r="E2718" s="2" t="n">
        <v>1984</v>
      </c>
      <c r="F2718" s="2" t="inlineStr">
        <is>
          <t>телефильм</t>
        </is>
      </c>
      <c r="G2718" s="2" t="n"/>
      <c r="H2718" s="2" t="n">
        <v>221</v>
      </c>
      <c r="I2718" s="2" t="inlineStr"/>
      <c r="J2718" s="2" t="inlineStr">
        <is>
          <t>да</t>
        </is>
      </c>
      <c r="K2718" s="3" t="inlineStr">
        <is>
          <t>Фильм поставлен по одноимённому роману Ю.Паукштялиса. Главный герой фильма Валентас Бернотас, талантливый человек из народа,  проходит сложный жизненный путь - от последних лет буржуазной республики до послевоенной Литвы.</t>
        </is>
      </c>
      <c r="L2718" s="2" t="inlineStr">
        <is>
          <t>Кино_СССР сводный каталог.xlsx: список телефильмов</t>
        </is>
      </c>
      <c r="M2718" s="2">
        <f>HYPERLINK("https://ru.wikipedia.org/w/index.php?search=%D0%97%D0%B4%D0%B5%D1%81%D1%8C%20%D0%BD%D0%B0%D1%88%20%D0%B4%D0%BE%D0%BC%201984%20%D1%84%D0%B8%D0%BB%D1%8C%D0%BC","искать")</f>
        <v/>
      </c>
      <c r="N2718" s="3" t="n"/>
      <c r="O2718" s="2" t="n"/>
      <c r="P2718" s="2" t="n"/>
    </row>
    <row r="2719">
      <c r="A2719" s="2" t="n">
        <v>2718</v>
      </c>
      <c r="B2719" s="2" t="inlineStr">
        <is>
          <t>не сюжет</t>
        </is>
      </c>
      <c r="C2719" s="2" t="n">
        <v>9741</v>
      </c>
      <c r="D2719" s="3" t="inlineStr">
        <is>
          <t>Цвет корриды</t>
        </is>
      </c>
      <c r="E2719" s="2" t="n">
        <v>1987</v>
      </c>
      <c r="F2719" s="2" t="inlineStr">
        <is>
          <t>кинофильм</t>
        </is>
      </c>
      <c r="G2719" s="2" t="n"/>
      <c r="H2719" s="2" t="n">
        <v>221</v>
      </c>
      <c r="I2719" s="2" t="inlineStr"/>
      <c r="J2719" s="2" t="inlineStr">
        <is>
          <t>да</t>
        </is>
      </c>
      <c r="K2719" s="3" t="inlineStr">
        <is>
          <t>Из года в год совхозное хозяйство села Домашовка выполняло план за счет выработки яблочного вина. Когда же его производство было прекращено, перед молодым директором совхоза встал вопрос: как вывести хозяйство из кризиса?</t>
        </is>
      </c>
      <c r="L2719" s="2" t="inlineStr">
        <is>
          <t>Кино_СССР сводный каталог.xlsx: список фильмов (доп.)</t>
        </is>
      </c>
      <c r="M2719" s="2">
        <f>HYPERLINK("https://ru.wikipedia.org/w/index.php?search=%D0%A6%D0%B2%D0%B5%D1%82%20%D0%BA%D0%BE%D1%80%D1%80%D0%B8%D0%B4%D1%8B%201987%20%D1%84%D0%B8%D0%BB%D1%8C%D0%BC","искать")</f>
        <v/>
      </c>
      <c r="N2719" s="3" t="n"/>
      <c r="O2719" s="2" t="n"/>
      <c r="P2719" s="2" t="n"/>
    </row>
    <row r="2720">
      <c r="A2720" s="2" t="n">
        <v>2719</v>
      </c>
      <c r="B2720" s="2" t="inlineStr">
        <is>
          <t>не сюжет</t>
        </is>
      </c>
      <c r="C2720" s="2" t="n">
        <v>9341</v>
      </c>
      <c r="D2720" s="3" t="inlineStr">
        <is>
          <t>Дни человека</t>
        </is>
      </c>
      <c r="E2720" s="2" t="n">
        <v>1989</v>
      </c>
      <c r="F2720" s="2" t="inlineStr">
        <is>
          <t>кинофильм</t>
        </is>
      </c>
      <c r="G2720" s="2" t="n"/>
      <c r="H2720" s="2" t="n">
        <v>222</v>
      </c>
      <c r="I2720" s="2" t="inlineStr"/>
      <c r="J2720" s="2" t="inlineStr">
        <is>
          <t>да</t>
        </is>
      </c>
      <c r="K2720" s="3" t="inlineStr">
        <is>
          <t>По мотивам произведений Андрея Битова. Главный герой фильма - Алексей Инфантьев. В основе фильма внутренний мир главного героя, его восприятие действительности, чувства и мечты на фоне событий 1954-1955, 1968 и 1988 годов.</t>
        </is>
      </c>
      <c r="L2720" s="2" t="inlineStr">
        <is>
          <t>Кино_СССР сводный каталог.xlsx: список фильмов (доп.)</t>
        </is>
      </c>
      <c r="M2720" s="2">
        <f>HYPERLINK("https://ru.wikipedia.org/w/index.php?search=%D0%94%D0%BD%D0%B8%20%D1%87%D0%B5%D0%BB%D0%BE%D0%B2%D0%B5%D0%BA%D0%B0%201989%20%D1%84%D0%B8%D0%BB%D1%8C%D0%BC","искать")</f>
        <v/>
      </c>
      <c r="N2720" s="3" t="n"/>
      <c r="O2720" s="2" t="n"/>
      <c r="P2720" s="2" t="n"/>
    </row>
    <row r="2721">
      <c r="A2721" s="2" t="n">
        <v>2720</v>
      </c>
      <c r="B2721" s="2" t="inlineStr">
        <is>
          <t>не сюжет</t>
        </is>
      </c>
      <c r="C2721" s="2" t="n">
        <v>8525</v>
      </c>
      <c r="D2721" s="3" t="inlineStr">
        <is>
          <t>Хозяйка Медвежьей речки</t>
        </is>
      </c>
      <c r="E2721" s="2" t="n">
        <v>1963</v>
      </c>
      <c r="F2721" s="2" t="inlineStr">
        <is>
          <t>телефильм</t>
        </is>
      </c>
      <c r="G2721" s="2" t="n"/>
      <c r="H2721" s="2" t="n">
        <v>223</v>
      </c>
      <c r="I2721" s="2" t="inlineStr"/>
      <c r="J2721" s="2" t="inlineStr">
        <is>
          <t>да</t>
        </is>
      </c>
      <c r="K2721" s="3" t="inlineStr">
        <is>
          <t>По одноименному рассказу Леонида Пасенюка о зарождающемся чувстве любви. Действие происходит на исследовательской станции Министерства рыбного хозяйства, организованной в районе Петропавловска-Камчатского у Медвежьей речки.</t>
        </is>
      </c>
      <c r="L2721" s="2" t="inlineStr">
        <is>
          <t>Кино_СССР сводный каталог.xlsx: список телефильмов</t>
        </is>
      </c>
      <c r="M2721" s="2">
        <f>HYPERLINK("https://ru.wikipedia.org/w/index.php?search=%D0%A5%D0%BE%D0%B7%D1%8F%D0%B9%D0%BA%D0%B0%20%D0%9C%D0%B5%D0%B4%D0%B2%D0%B5%D0%B6%D1%8C%D0%B5%D0%B9%20%D1%80%D0%B5%D1%87%D0%BA%D0%B8%201963%20%D1%84%D0%B8%D0%BB%D1%8C%D0%BC","искать")</f>
        <v/>
      </c>
      <c r="N2721" s="3" t="n"/>
      <c r="O2721" s="2" t="n"/>
      <c r="P2721" s="2" t="n"/>
    </row>
    <row r="2722">
      <c r="A2722" s="2" t="n">
        <v>2721</v>
      </c>
      <c r="B2722" s="2" t="inlineStr">
        <is>
          <t>не сюжет</t>
        </is>
      </c>
      <c r="C2722" s="2" t="n">
        <v>10750</v>
      </c>
      <c r="D2722" s="3" t="inlineStr">
        <is>
          <t>Кузен Понс</t>
        </is>
      </c>
      <c r="E2722" s="2" t="n">
        <v>1978</v>
      </c>
      <c r="F2722" s="2" t="inlineStr">
        <is>
          <t>фильм-спектакль</t>
        </is>
      </c>
      <c r="G2722" s="2" t="inlineStr">
        <is>
          <t>Гостелерадио СССР, ЦТ</t>
        </is>
      </c>
      <c r="H2722" s="2" t="n">
        <v>223</v>
      </c>
      <c r="I2722" s="2" t="inlineStr"/>
      <c r="J2722" s="2" t="inlineStr">
        <is>
          <t>да</t>
        </is>
      </c>
      <c r="K2722" s="3" t="inlineStr">
        <is>
          <t>По мотивам одноименного романа французского писателя Оноре де Бальзака из цикла "Этюды о нравах". Бездуховность и ограниченность "добропорядочных" буржуа превращают ценности искусства в средство наживы, в предмет тщеславия.</t>
        </is>
      </c>
      <c r="L2722" s="2" t="inlineStr">
        <is>
          <t>https://www.kino-teatr.ru/teatr/movie/11956/annot/</t>
        </is>
      </c>
      <c r="M2722" s="2">
        <f>HYPERLINK("https://ru.wikipedia.org/w/index.php?search=%D0%9A%D1%83%D0%B7%D0%B5%D0%BD%20%D0%9F%D0%BE%D0%BD%D1%81%201978%20%D1%84%D0%B8%D0%BB%D1%8C%D0%BC","искать")</f>
        <v/>
      </c>
      <c r="N2722" s="3" t="n"/>
      <c r="O2722" s="2" t="n"/>
      <c r="P2722" s="2" t="n"/>
    </row>
    <row r="2723">
      <c r="A2723" s="2" t="n">
        <v>2722</v>
      </c>
      <c r="B2723" s="2" t="inlineStr">
        <is>
          <t>не сюжет</t>
        </is>
      </c>
      <c r="C2723" s="2" t="n">
        <v>11062</v>
      </c>
      <c r="D2723" s="3" t="inlineStr">
        <is>
          <t>Исполнить свой долг</t>
        </is>
      </c>
      <c r="E2723" s="2" t="n">
        <v>1985</v>
      </c>
      <c r="F2723" s="2" t="inlineStr">
        <is>
          <t>фильм-спектакль</t>
        </is>
      </c>
      <c r="G2723" s="2" t="inlineStr">
        <is>
          <t>Главная редакция научно-популярных и учебных программ ЦТ</t>
        </is>
      </c>
      <c r="H2723" s="2" t="n">
        <v>224</v>
      </c>
      <c r="I2723" s="2" t="inlineStr"/>
      <c r="J2723" s="2" t="inlineStr">
        <is>
          <t>да</t>
        </is>
      </c>
      <c r="K2723" s="3" t="inlineStr">
        <is>
          <t>Телеспектакль посвящен 80-летию революции 1905-1907 гг. и работе III съезда РСДРП, проходившего в Лондоне в 1905 году, так же показана история возникновения первого в России Совета рабочих депутатов в г. Иваново-Вознесенске.</t>
        </is>
      </c>
      <c r="L2723" s="2" t="inlineStr">
        <is>
          <t>https://www.kino-teatr.ru/teatr/movie/107332/annot/</t>
        </is>
      </c>
      <c r="M2723" s="2">
        <f>HYPERLINK("https://ru.wikipedia.org/w/index.php?search=%D0%98%D1%81%D0%BF%D0%BE%D0%BB%D0%BD%D0%B8%D1%82%D1%8C%20%D1%81%D0%B2%D0%BE%D0%B9%20%D0%B4%D0%BE%D0%BB%D0%B3%201985%20%D1%84%D0%B8%D0%BB%D1%8C%D0%BC","искать")</f>
        <v/>
      </c>
      <c r="N2723" s="3" t="n"/>
      <c r="O2723" s="2" t="n"/>
      <c r="P2723" s="2" t="n"/>
    </row>
    <row r="2724">
      <c r="A2724" s="2" t="n">
        <v>2723</v>
      </c>
      <c r="B2724" s="2" t="inlineStr">
        <is>
          <t>не сюжет</t>
        </is>
      </c>
      <c r="C2724" s="2" t="n">
        <v>11808</v>
      </c>
      <c r="D2724" s="3" t="inlineStr">
        <is>
          <t>Переменка 1</t>
        </is>
      </c>
      <c r="E2724" s="2" t="n">
        <v>1976</v>
      </c>
      <c r="F2724" s="2" t="inlineStr">
        <is>
          <t>мультфильм</t>
        </is>
      </c>
      <c r="G2724" s="2" t="inlineStr">
        <is>
          <t>Союзмультфильм</t>
        </is>
      </c>
      <c r="H2724" s="2" t="n">
        <v>224</v>
      </c>
      <c r="I2724" s="2" t="inlineStr"/>
      <c r="J2724" s="2" t="inlineStr">
        <is>
          <t>да</t>
        </is>
      </c>
      <c r="K2724" s="3" t="inlineStr">
        <is>
          <t>Фильм Переменка предназначен школьникам младшего возраста. В веселой и поучительной форме он рассказывает о том, как важно ребятам, поступающим в пионеры, быть собранными, дисциплинированными и хорошо знать пионерский устав.</t>
        </is>
      </c>
      <c r="L2724" s="2" t="inlineStr">
        <is>
          <t>https://animator.ru/db/?p=show_film&amp;fid=2722</t>
        </is>
      </c>
      <c r="M2724" s="2">
        <f>HYPERLINK("https://ru.wikipedia.org/w/index.php?search=%D0%9F%D0%B5%D1%80%D0%B5%D0%BC%D0%B5%D0%BD%D0%BA%D0%B0%201%201976%20%D1%84%D0%B8%D0%BB%D1%8C%D0%BC","искать")</f>
        <v/>
      </c>
      <c r="N2724" s="3" t="n"/>
      <c r="O2724" s="2" t="n"/>
      <c r="P2724" s="2" t="n"/>
    </row>
    <row r="2725">
      <c r="A2725" s="2" t="n">
        <v>2724</v>
      </c>
      <c r="B2725" s="2" t="inlineStr">
        <is>
          <t>не сюжет</t>
        </is>
      </c>
      <c r="C2725" s="2" t="n">
        <v>7216</v>
      </c>
      <c r="D2725" s="3" t="inlineStr">
        <is>
          <t>Аптека на перекрестке</t>
        </is>
      </c>
      <c r="E2725" s="2" t="n">
        <v>1987</v>
      </c>
      <c r="F2725" s="2" t="inlineStr">
        <is>
          <t>телефильм</t>
        </is>
      </c>
      <c r="G2725" s="2" t="n"/>
      <c r="H2725" s="2" t="n">
        <v>225</v>
      </c>
      <c r="I2725" s="2" t="inlineStr"/>
      <c r="J2725" s="2" t="inlineStr">
        <is>
          <t>да</t>
        </is>
      </c>
      <c r="K2725" s="3" t="inlineStr">
        <is>
          <t>Խաչմերուկի դեղատունը՝ Каждый день на перекрестке улиц у небольшой старой аптеки встречаются дворник Мушег, аптекарь Адамян и сторож Гаспар. Все они люди пожилые, прошедшие войну, во время которой потеряли самых близких людей.</t>
        </is>
      </c>
      <c r="L2725" s="2" t="inlineStr">
        <is>
          <t>Кино_СССР сводный каталог.xlsx: список телефильмов</t>
        </is>
      </c>
      <c r="M2725" s="2">
        <f>HYPERLINK("https://ru.wikipedia.org/w/index.php?search=%D0%90%D0%BF%D1%82%D0%B5%D0%BA%D0%B0%20%D0%BD%D0%B0%20%D0%BF%D0%B5%D1%80%D0%B5%D0%BA%D1%80%D0%B5%D1%81%D1%82%D0%BA%D0%B5%201987%20%D1%84%D0%B8%D0%BB%D1%8C%D0%BC","искать")</f>
        <v/>
      </c>
      <c r="N2725" s="3" t="n"/>
      <c r="O2725" s="2" t="n"/>
      <c r="P2725" s="2" t="n"/>
    </row>
    <row r="2726">
      <c r="A2726" s="2" t="n">
        <v>2725</v>
      </c>
      <c r="B2726" s="2" t="inlineStr">
        <is>
          <t>не сюжет</t>
        </is>
      </c>
      <c r="C2726" s="2" t="n">
        <v>10470</v>
      </c>
      <c r="D2726" s="3" t="inlineStr">
        <is>
          <t>Стихи Агнии Барто</t>
        </is>
      </c>
      <c r="E2726" s="2" t="n">
        <v>1972</v>
      </c>
      <c r="F2726" s="2" t="inlineStr">
        <is>
          <t>фильм-спектакль</t>
        </is>
      </c>
      <c r="G2726" s="2" t="inlineStr">
        <is>
          <t>Главная редакция программ для детей и юношества ЦТ</t>
        </is>
      </c>
      <c r="H2726" s="2" t="n">
        <v>226</v>
      </c>
      <c r="I2726" s="2" t="inlineStr"/>
      <c r="J2726" s="2" t="inlineStr">
        <is>
          <t>да</t>
        </is>
      </c>
      <c r="K2726" s="3" t="inlineStr">
        <is>
          <t>Телеспектакль для детей, в основе которого стихи Агнии Барто - "Уехали", "Снегирь", "Любочка", "Птичий рынок", "Штукатуры",
"О любви", "Три очка за старичка",
"Рыцари", "Перепляс", "Лешенька", "Рыболовы", "Башмаки со скрипом".</t>
        </is>
      </c>
      <c r="L2726" s="2" t="inlineStr">
        <is>
          <t>https://www.kino-teatr.ru/teatr/movie/79903/annot/</t>
        </is>
      </c>
      <c r="M2726" s="2">
        <f>HYPERLINK("https://ru.wikipedia.org/w/index.php?search=%D0%A1%D1%82%D0%B8%D1%85%D0%B8%20%D0%90%D0%B3%D0%BD%D0%B8%D0%B8%20%D0%91%D0%B0%D1%80%D1%82%D0%BE%201972%20%D1%84%D0%B8%D0%BB%D1%8C%D0%BC","искать")</f>
        <v/>
      </c>
      <c r="N2726" s="3" t="n"/>
      <c r="O2726" s="2" t="n"/>
      <c r="P2726" s="2" t="n"/>
    </row>
    <row r="2727">
      <c r="A2727" s="2" t="n">
        <v>2726</v>
      </c>
      <c r="B2727" s="2" t="inlineStr">
        <is>
          <t>не сюжет</t>
        </is>
      </c>
      <c r="C2727" s="2" t="n">
        <v>11120</v>
      </c>
      <c r="D2727" s="3" t="inlineStr">
        <is>
          <t>Обиды не страшась, не требуя венца...</t>
        </is>
      </c>
      <c r="E2727" s="2" t="n">
        <v>1986</v>
      </c>
      <c r="F2727" s="2" t="inlineStr">
        <is>
          <t>фильм-спектакль</t>
        </is>
      </c>
      <c r="G2727" s="2" t="inlineStr">
        <is>
          <t>Главная редакция литературно-драматических программ ЦТ</t>
        </is>
      </c>
      <c r="H2727" s="2" t="n">
        <v>226</v>
      </c>
      <c r="I2727" s="2" t="inlineStr"/>
      <c r="J2727" s="2" t="inlineStr">
        <is>
          <t>да</t>
        </is>
      </c>
      <c r="K2727" s="3" t="inlineStr">
        <is>
          <t>Композиция "Обиды не страшась, не требуя венца...", написанна по публицистическим наброскам и черновикам Александра Сергеевича Пушкина. Это размышления великого классика о творчестве, критиках, роли Поэта в общественной жизни.</t>
        </is>
      </c>
      <c r="L2727" s="2" t="inlineStr">
        <is>
          <t>https://www.kino-teatr.ru/teatr/movie/113939/annot/</t>
        </is>
      </c>
      <c r="M2727" s="2">
        <f>HYPERLINK("https://ru.wikipedia.org/w/index.php?search=%D0%9E%D0%B1%D0%B8%D0%B4%D1%8B%20%D0%BD%D0%B5%20%D1%81%D1%82%D1%80%D0%B0%D1%88%D0%B0%D1%81%D1%8C%2C%20%D0%BD%D0%B5%20%D1%82%D1%80%D0%B5%D0%B1%D1%83%D1%8F%20%D0%B2%D0%B5%D0%BD%D1%86%D0%B0...%201986%20%D1%84%D0%B8%D0%BB%D1%8C%D0%BC","искать")</f>
        <v/>
      </c>
      <c r="N2727" s="3" t="n"/>
      <c r="O2727" s="2" t="n"/>
      <c r="P2727" s="2" t="n"/>
    </row>
    <row r="2728">
      <c r="A2728" s="2" t="n">
        <v>2727</v>
      </c>
      <c r="B2728" s="2" t="inlineStr">
        <is>
          <t>не сюжет</t>
        </is>
      </c>
      <c r="C2728" s="2" t="n">
        <v>14468</v>
      </c>
      <c r="D2728" s="3" t="inlineStr">
        <is>
          <t>Неугомонный</t>
        </is>
      </c>
      <c r="E2728" s="2" t="n">
        <v>1973</v>
      </c>
      <c r="F2728" s="2" t="inlineStr">
        <is>
          <t>мультфильм</t>
        </is>
      </c>
      <c r="G2728" s="2" t="n"/>
      <c r="H2728" s="2" t="n">
        <v>226</v>
      </c>
      <c r="I2728" s="2" t="inlineStr"/>
      <c r="J2728" s="2" t="inlineStr">
        <is>
          <t>да</t>
        </is>
      </c>
      <c r="K2728" s="3" t="inlineStr">
        <is>
          <t>Фильм, посвященный теме безопасности движения на улицах города, высмеивает некоторых пешеходов, которые не пользуются подземными переходами и тем самым подвергают себя опасности и создают для автотранспорта аварийные ситуации.</t>
        </is>
      </c>
      <c r="L2728" s="2" t="inlineStr">
        <is>
          <t>https://animator.ru/db/?p=show_film&amp;fid=6732</t>
        </is>
      </c>
      <c r="M2728" s="2">
        <f>HYPERLINK("https://ru.wikipedia.org/w/index.php?search=%D0%9D%D0%B5%D1%83%D0%B3%D0%BE%D0%BC%D0%BE%D0%BD%D0%BD%D1%8B%D0%B9%201973%20%D1%84%D0%B8%D0%BB%D1%8C%D0%BC","искать")</f>
        <v/>
      </c>
      <c r="N2728" s="3" t="n"/>
      <c r="O2728" s="2" t="n"/>
      <c r="P2728" s="2" t="n"/>
    </row>
    <row r="2729">
      <c r="A2729" s="2" t="n">
        <v>2728</v>
      </c>
      <c r="B2729" s="2" t="inlineStr">
        <is>
          <t>не сюжет</t>
        </is>
      </c>
      <c r="C2729" s="2" t="n">
        <v>8280</v>
      </c>
      <c r="D2729" s="3" t="inlineStr">
        <is>
          <t>Родные</t>
        </is>
      </c>
      <c r="E2729" s="2" t="n">
        <v>1977</v>
      </c>
      <c r="F2729" s="2" t="inlineStr">
        <is>
          <t>телефильм</t>
        </is>
      </c>
      <c r="G2729" s="2" t="n"/>
      <c r="H2729" s="2" t="n">
        <v>227</v>
      </c>
      <c r="I2729" s="2" t="inlineStr"/>
      <c r="J2729" s="2" t="inlineStr">
        <is>
          <t>да</t>
        </is>
      </c>
      <c r="K2729" s="3" t="inlineStr">
        <is>
          <t>Из жизни украинского колхоза. Председатель колхоза Павел Тарасов является представителем династии хлеборобов, которая всю свою жизнь посвятила становлению коллективного хозяйства. Он честно продолжает дело, начатое его родными.</t>
        </is>
      </c>
      <c r="L2729" s="2" t="inlineStr">
        <is>
          <t>Кино_СССР сводный каталог.xlsx: список телефильмов</t>
        </is>
      </c>
      <c r="M2729" s="2">
        <f>HYPERLINK("https://ru.wikipedia.org/w/index.php?search=%D0%A0%D0%BE%D0%B4%D0%BD%D1%8B%D0%B5%201977%20%D1%84%D0%B8%D0%BB%D1%8C%D0%BC","искать")</f>
        <v/>
      </c>
      <c r="N2729" s="3" t="n"/>
      <c r="O2729" s="2" t="n"/>
      <c r="P2729" s="2" t="n"/>
    </row>
    <row r="2730">
      <c r="A2730" s="2" t="n">
        <v>2729</v>
      </c>
      <c r="B2730" s="2" t="inlineStr">
        <is>
          <t>не сюжет</t>
        </is>
      </c>
      <c r="C2730" s="2" t="n">
        <v>10867</v>
      </c>
      <c r="D2730" s="3" t="inlineStr">
        <is>
          <t>Рђ.Рџ.Р§РµС…РѕРІ. Р Р°СЃСЃРєР°Р·С‹</t>
        </is>
      </c>
      <c r="E2730" s="2" t="n">
        <v>1980</v>
      </c>
      <c r="F2730" s="2" t="inlineStr">
        <is>
          <t>фильм-спектакль</t>
        </is>
      </c>
      <c r="G2730" s="2" t="n"/>
      <c r="H2730" s="2" t="n">
        <v>227</v>
      </c>
      <c r="I2730" s="2" t="inlineStr"/>
      <c r="J2730" s="2" t="inlineStr">
        <is>
          <t>да</t>
        </is>
      </c>
      <c r="K2730" s="3" t="inlineStr">
        <is>
          <t>РќР°СЂРѕРґРЅС‹Р№ Р°СЂС‚РёСЃС‚ РЎРЎРЎР Рђ.РџРѕРїРѕРІ С‡РёС‚Р°РµС‚ СЂР°СЃСЃРєР°Р·С‹ Рђ.Рџ.Р§РµС…РѕРІР° "РЁР°РјРїР°РЅСЃРєРѕРµ", "Р‘РµСЃРµРґР° РїСЊСЏРЅРѕРіРѕ СЃ С‚СЂРµР·РІС‹Рј С‡РµСЂС‚РѕРј", "РќР°С…Р»РµР±РЅРёРєРё", РЁСѓС‚РѕС‡РєР°".</t>
        </is>
      </c>
      <c r="L2730" s="2" t="inlineStr">
        <is>
          <t>https://www.kino-teatr.ru/teatr/movie/102911/annot/</t>
        </is>
      </c>
      <c r="M2730" s="2">
        <f>HYPERLINK("https://ru.wikipedia.org/w/index.php?search=%D0%A0%D1%92.%D0%A0%D1%9F.%D0%A0%C2%A7%D0%A0%C2%B5%D0%A1%E2%80%A6%D0%A0%D1%95%D0%A0%D0%86.%20%D0%A0%20%D0%A0%C2%B0%D0%A1%D0%83%D0%A1%D0%83%D0%A0%D1%94%D0%A0%C2%B0%D0%A0%C2%B7%D0%A1%E2%80%B9%201980%20%D1%84%D0%B8%D0%BB%D1%8C%D0%BC","искать")</f>
        <v/>
      </c>
      <c r="N2730" s="3" t="n"/>
      <c r="O2730" s="2" t="n"/>
      <c r="P2730" s="2" t="n"/>
    </row>
    <row r="2731">
      <c r="A2731" s="2" t="n">
        <v>2730</v>
      </c>
      <c r="B2731" s="2" t="inlineStr">
        <is>
          <t>не сюжет</t>
        </is>
      </c>
      <c r="C2731" s="2" t="n">
        <v>14464</v>
      </c>
      <c r="D2731" s="3" t="inlineStr">
        <is>
          <t>Кто меня толкнул?</t>
        </is>
      </c>
      <c r="E2731" s="2" t="n">
        <v>1973</v>
      </c>
      <c r="F2731" s="2" t="inlineStr">
        <is>
          <t>мультфильм</t>
        </is>
      </c>
      <c r="G2731" s="2" t="n"/>
      <c r="H2731" s="2" t="n">
        <v>227</v>
      </c>
      <c r="I2731" s="2" t="inlineStr"/>
      <c r="J2731" s="2" t="inlineStr">
        <is>
          <t>да</t>
        </is>
      </c>
      <c r="K2731" s="3" t="inlineStr">
        <is>
          <t>Фильм, посвященный теме безопасности движения, предупреждает пешеходов о том, что надо всегда учитывать незримую силу инерции, которая не позволяет средствам транспорта останавливаться мгновенно, хотя и является полезной силой.</t>
        </is>
      </c>
      <c r="L2731" s="2" t="inlineStr">
        <is>
          <t>https://animator.ru/db/?p=show_film&amp;fid=6724</t>
        </is>
      </c>
      <c r="M2731" s="2">
        <f>HYPERLINK("https://ru.wikipedia.org/w/index.php?search=%D0%9A%D1%82%D0%BE%20%D0%BC%D0%B5%D0%BD%D1%8F%20%D1%82%D0%BE%D0%BB%D0%BA%D0%BD%D1%83%D0%BB%3F%201973%20%D1%84%D0%B8%D0%BB%D1%8C%D0%BC","искать")</f>
        <v/>
      </c>
      <c r="N2731" s="3" t="n"/>
      <c r="O2731" s="2" t="n"/>
      <c r="P2731" s="2" t="n"/>
    </row>
    <row r="2732">
      <c r="A2732" s="2" t="n">
        <v>2731</v>
      </c>
      <c r="B2732" s="2" t="inlineStr">
        <is>
          <t>не сюжет</t>
        </is>
      </c>
      <c r="C2732" s="2" t="n">
        <v>11363</v>
      </c>
      <c r="D2732" s="3" t="inlineStr">
        <is>
          <t>Восточное сказание</t>
        </is>
      </c>
      <c r="E2732" s="2" t="n">
        <v>1972</v>
      </c>
      <c r="F2732" s="2" t="inlineStr">
        <is>
          <t>фильм-опера/балет</t>
        </is>
      </c>
      <c r="G2732" s="2" t="n"/>
      <c r="H2732" s="2" t="n">
        <v>228</v>
      </c>
      <c r="I2732" s="2" t="inlineStr"/>
      <c r="J2732" s="2" t="inlineStr">
        <is>
          <t>да</t>
        </is>
      </c>
      <c r="K2732" s="3" t="inlineStr">
        <is>
          <t>Фильм-балет по мотивам стихотворения М.Лермонтова "Три пальмы" и стихотворений Саади, Авиценны, Фирдоуси в постановке Таджикского Государственного академического театра оперы и балета имени С.Айни. Балетмейстер - Ибрагим Юсупов.</t>
        </is>
      </c>
      <c r="L2732" s="2" t="inlineStr">
        <is>
          <t>Кино_СССР телефильмы и пропуски включить в базу.xlsx</t>
        </is>
      </c>
      <c r="M2732" s="2">
        <f>HYPERLINK("https://ru.wikipedia.org/w/index.php?search=%D0%92%D0%BE%D1%81%D1%82%D0%BE%D1%87%D0%BD%D0%BE%D0%B5%20%D1%81%D0%BA%D0%B0%D0%B7%D0%B0%D0%BD%D0%B8%D0%B5%201972%20%D1%84%D0%B8%D0%BB%D1%8C%D0%BC","искать")</f>
        <v/>
      </c>
      <c r="N2732" s="3" t="n"/>
      <c r="O2732" s="2" t="n"/>
      <c r="P2732" s="2" t="n"/>
    </row>
    <row r="2733">
      <c r="A2733" s="2" t="n">
        <v>2732</v>
      </c>
      <c r="B2733" s="2" t="inlineStr">
        <is>
          <t>не сюжет</t>
        </is>
      </c>
      <c r="C2733" s="2" t="n">
        <v>11797</v>
      </c>
      <c r="D2733" s="3" t="inlineStr">
        <is>
          <t>Земля моя</t>
        </is>
      </c>
      <c r="E2733" s="2" t="n">
        <v>1976</v>
      </c>
      <c r="F2733" s="2" t="inlineStr">
        <is>
          <t>мультфильм</t>
        </is>
      </c>
      <c r="G2733" s="2" t="inlineStr">
        <is>
          <t>Союзмультфильм</t>
        </is>
      </c>
      <c r="H2733" s="2" t="n">
        <v>229</v>
      </c>
      <c r="I2733" s="2" t="inlineStr"/>
      <c r="J2733" s="2" t="inlineStr">
        <is>
          <t>да</t>
        </is>
      </c>
      <c r="K2733" s="3" t="inlineStr">
        <is>
          <t>Фильм Земля моя - мультипликационный киноплакат на материале сельского хозяйства. Решенный в форме музыкальной сказки, фильм показывает, какое огромное значение имеют мелиорация, химизация и механизация для повышения урожайности.</t>
        </is>
      </c>
      <c r="L2733" s="2" t="inlineStr">
        <is>
          <t>https://animator.ru/db/?p=show_film&amp;fid=2711</t>
        </is>
      </c>
      <c r="M2733" s="2">
        <f>HYPERLINK("https://ru.wikipedia.org/w/index.php?search=%D0%97%D0%B5%D0%BC%D0%BB%D1%8F%20%D0%BC%D0%BE%D1%8F%201976%20%D1%84%D0%B8%D0%BB%D1%8C%D0%BC","искать")</f>
        <v/>
      </c>
      <c r="N2733" s="3" t="n"/>
      <c r="O2733" s="2" t="n"/>
      <c r="P2733" s="2" t="n"/>
    </row>
    <row r="2734">
      <c r="A2734" s="2" t="n">
        <v>2733</v>
      </c>
      <c r="B2734" s="2" t="inlineStr">
        <is>
          <t>не сюжет</t>
        </is>
      </c>
      <c r="C2734" s="2" t="n">
        <v>7339</v>
      </c>
      <c r="D2734" s="3" t="inlineStr">
        <is>
          <t>Взять живым</t>
        </is>
      </c>
      <c r="E2734" s="2" t="n">
        <v>1982</v>
      </c>
      <c r="F2734" s="2" t="inlineStr">
        <is>
          <t>телефильм</t>
        </is>
      </c>
      <c r="G2734" s="2" t="n"/>
      <c r="H2734" s="2" t="n">
        <v>231</v>
      </c>
      <c r="I2734" s="2" t="inlineStr"/>
      <c r="J2734" s="2" t="inlineStr">
        <is>
          <t>да</t>
        </is>
      </c>
      <c r="K2734" s="3" t="inlineStr">
        <is>
          <t>Телесериал. Экранизация одноименного романа Владимира Карпова. О судьбе солдата Василия Ромашкина, вчерашнего десятиклассника, прошедшего через все испытания Великой Отечественной войны и закончившего боевой путь офицером разведки.</t>
        </is>
      </c>
      <c r="L2734" s="2" t="inlineStr">
        <is>
          <t>Кино_СССР сводный каталог.xlsx: список телефильмов</t>
        </is>
      </c>
      <c r="M2734" s="2">
        <f>HYPERLINK("https://ru.wikipedia.org/w/index.php?search=%D0%92%D0%B7%D1%8F%D1%82%D1%8C%20%D0%B6%D0%B8%D0%B2%D1%8B%D0%BC%201982%20%D1%84%D0%B8%D0%BB%D1%8C%D0%BC","искать")</f>
        <v/>
      </c>
      <c r="N2734" s="3" t="n"/>
      <c r="O2734" s="2" t="n"/>
      <c r="P2734" s="2" t="n"/>
    </row>
    <row r="2735">
      <c r="A2735" s="2" t="n">
        <v>2734</v>
      </c>
      <c r="B2735" s="2" t="inlineStr">
        <is>
          <t>не сюжет</t>
        </is>
      </c>
      <c r="C2735" s="2" t="n">
        <v>10165</v>
      </c>
      <c r="D2735" s="3" t="inlineStr">
        <is>
          <t>Кола Брюньон</t>
        </is>
      </c>
      <c r="E2735" s="2" t="n">
        <v>1966</v>
      </c>
      <c r="F2735" s="2" t="inlineStr">
        <is>
          <t>фильм-спектакль</t>
        </is>
      </c>
      <c r="G2735" s="2" t="n"/>
      <c r="H2735" s="2" t="n">
        <v>231</v>
      </c>
      <c r="I2735" s="2" t="inlineStr"/>
      <c r="J2735" s="2" t="inlineStr">
        <is>
          <t>да</t>
        </is>
      </c>
      <c r="K2735" s="3" t="inlineStr">
        <is>
          <t>По мотивам одноименной повести французского писателя Ромена Роллана.
Весельчак и балагур, Кола Брюньон, любит жизнь и умеет ею наслаждаться. Даже когда судьба строит ему кислую мину, он находит шутку, чтобы поднять себе настроение.</t>
        </is>
      </c>
      <c r="L2735" s="2" t="inlineStr">
        <is>
          <t>https://www.kino-teatr.ru/teatr/movie/81689/annot/</t>
        </is>
      </c>
      <c r="M2735" s="2">
        <f>HYPERLINK("https://ru.wikipedia.org/w/index.php?search=%D0%9A%D0%BE%D0%BB%D0%B0%20%D0%91%D1%80%D1%8E%D0%BD%D1%8C%D0%BE%D0%BD%201966%20%D1%84%D0%B8%D0%BB%D1%8C%D0%BC","искать")</f>
        <v/>
      </c>
      <c r="N2735" s="3" t="n"/>
      <c r="O2735" s="2" t="n"/>
      <c r="P2735" s="2" t="n"/>
    </row>
    <row r="2736">
      <c r="A2736" s="2" t="n">
        <v>2735</v>
      </c>
      <c r="B2736" s="2" t="inlineStr">
        <is>
          <t>не сюжет</t>
        </is>
      </c>
      <c r="C2736" s="2" t="n">
        <v>7269</v>
      </c>
      <c r="D2736" s="3" t="inlineStr">
        <is>
          <t>Братья Ершовы</t>
        </is>
      </c>
      <c r="E2736" s="2" t="n">
        <v>1960</v>
      </c>
      <c r="F2736" s="2" t="inlineStr">
        <is>
          <t>телефильм</t>
        </is>
      </c>
      <c r="G2736" s="2" t="n"/>
      <c r="H2736" s="2" t="n">
        <v>232</v>
      </c>
      <c r="I2736" s="2" t="inlineStr"/>
      <c r="J2736" s="2" t="inlineStr">
        <is>
          <t>да</t>
        </is>
      </c>
      <c r="K2736" s="3" t="inlineStr">
        <is>
          <t>По одноименному роману Всеволода Кочетова. О судьбах членов семьи Ершовых, потомственных металлургов, о путях технического прогресса на металлургическом заводе, о борьбе за передовые идеи, о победе принципиальности и справедливости.</t>
        </is>
      </c>
      <c r="L2736" s="2" t="inlineStr">
        <is>
          <t>Кино_СССР сводный каталог.xlsx: список телефильмов</t>
        </is>
      </c>
      <c r="M2736" s="2">
        <f>HYPERLINK("https://ru.wikipedia.org/w/index.php?search=%D0%91%D1%80%D0%B0%D1%82%D1%8C%D1%8F%20%D0%95%D1%80%D1%88%D0%BE%D0%B2%D1%8B%201960%20%D1%84%D0%B8%D0%BB%D1%8C%D0%BC","искать")</f>
        <v/>
      </c>
      <c r="N2736" s="3" t="n"/>
      <c r="O2736" s="2" t="n"/>
      <c r="P2736" s="2" t="n"/>
    </row>
    <row r="2737">
      <c r="A2737" s="2" t="n">
        <v>2736</v>
      </c>
      <c r="B2737" s="2" t="inlineStr">
        <is>
          <t>не сюжет</t>
        </is>
      </c>
      <c r="C2737" s="2" t="n">
        <v>10670</v>
      </c>
      <c r="D2737" s="3" t="inlineStr">
        <is>
          <t>Рассказы Марка Твена</t>
        </is>
      </c>
      <c r="E2737" s="2" t="n">
        <v>1976</v>
      </c>
      <c r="F2737" s="2" t="inlineStr">
        <is>
          <t>фильм-спектакль</t>
        </is>
      </c>
      <c r="G2737" s="2" t="n"/>
      <c r="H2737" s="2" t="n">
        <v>232</v>
      </c>
      <c r="I2737" s="2" t="inlineStr"/>
      <c r="J2737" s="2" t="inlineStr">
        <is>
          <t>да</t>
        </is>
      </c>
      <c r="K2737" s="3" t="inlineStr">
        <is>
          <t>По мотивам рассказов американского писателя Марка Твена "Разговор с интервьюером", "Моя первая беседа с Артимесом Уордом", "Как меня провели в Ньюарке" "Миссис Мак-Вильямс и молния", "Как я редактировал сельскохозяйственную газету".</t>
        </is>
      </c>
      <c r="L2737" s="2" t="inlineStr">
        <is>
          <t>https://www.kino-teatr.ru/teatr/movie/86503/annot/</t>
        </is>
      </c>
      <c r="M2737" s="2">
        <f>HYPERLINK("https://ru.wikipedia.org/w/index.php?search=%D0%A0%D0%B0%D1%81%D1%81%D0%BA%D0%B0%D0%B7%D1%8B%20%D0%9C%D0%B0%D1%80%D0%BA%D0%B0%20%D0%A2%D0%B2%D0%B5%D0%BD%D0%B0%201976%20%D1%84%D0%B8%D0%BB%D1%8C%D0%BC","искать")</f>
        <v/>
      </c>
      <c r="N2737" s="3" t="n"/>
      <c r="O2737" s="2" t="n"/>
      <c r="P2737" s="2" t="n"/>
    </row>
    <row r="2738">
      <c r="A2738" s="2" t="n">
        <v>2737</v>
      </c>
      <c r="B2738" s="2" t="inlineStr">
        <is>
          <t>не сюжет</t>
        </is>
      </c>
      <c r="C2738" s="2" t="n">
        <v>7384</v>
      </c>
      <c r="D2738" s="3" t="inlineStr">
        <is>
          <t>Вот такие чудеса</t>
        </is>
      </c>
      <c r="E2738" s="2" t="n">
        <v>1982</v>
      </c>
      <c r="F2738" s="2" t="inlineStr">
        <is>
          <t>телефильм</t>
        </is>
      </c>
      <c r="G2738" s="2" t="n"/>
      <c r="H2738" s="2" t="n">
        <v>233</v>
      </c>
      <c r="I2738" s="2" t="inlineStr"/>
      <c r="J2738" s="2" t="inlineStr">
        <is>
          <t>да</t>
        </is>
      </c>
      <c r="K2738" s="3" t="inlineStr">
        <is>
          <t>Телефильм. В основе сюжета - создание во Дворце культуры ансамбля народного танца. В фильме снимался ансамбль народного танца Дворца молодежи профтехобразования города Свердловска под руководством народного артиста РСФСР А.Поличкина.</t>
        </is>
      </c>
      <c r="L2738" s="2" t="inlineStr">
        <is>
          <t>Кино_СССР сводный каталог.xlsx: список телефильмов</t>
        </is>
      </c>
      <c r="M2738" s="2">
        <f>HYPERLINK("https://ru.wikipedia.org/w/index.php?search=%D0%92%D0%BE%D1%82%20%D1%82%D0%B0%D0%BA%D0%B8%D0%B5%20%D1%87%D1%83%D0%B4%D0%B5%D1%81%D0%B0%201982%20%D1%84%D0%B8%D0%BB%D1%8C%D0%BC","искать")</f>
        <v/>
      </c>
      <c r="N2738" s="3" t="n"/>
      <c r="O2738" s="2" t="n"/>
      <c r="P2738" s="2" t="n"/>
    </row>
    <row r="2739">
      <c r="A2739" s="2" t="n">
        <v>2738</v>
      </c>
      <c r="B2739" s="2" t="inlineStr">
        <is>
          <t>не сюжет</t>
        </is>
      </c>
      <c r="C2739" s="2" t="n">
        <v>7842</v>
      </c>
      <c r="D2739" s="3" t="inlineStr">
        <is>
          <t>Маленький школьный оркестр</t>
        </is>
      </c>
      <c r="E2739" s="2" t="n">
        <v>1968</v>
      </c>
      <c r="F2739" s="2" t="inlineStr">
        <is>
          <t>телефильм</t>
        </is>
      </c>
      <c r="G2739" s="2" t="n"/>
      <c r="H2739" s="2" t="n">
        <v>233</v>
      </c>
      <c r="I2739" s="2" t="inlineStr"/>
      <c r="J2739" s="2" t="inlineStr">
        <is>
          <t>да</t>
        </is>
      </c>
      <c r="K2739" s="3" t="inlineStr">
        <is>
          <t>Действие происходит в Киеве. Кинокартина повествует о маленьком дружном коллективе старшеклассников, объединённом любовью к музыке.
Язык картины – джазовая музыка, метафоры и символы.
Фильм-настроение, передающий атмосферу 1960-х гг.</t>
        </is>
      </c>
      <c r="L2739" s="2" t="inlineStr">
        <is>
          <t>https://ru.wikipedia.org/w/index.php?title=%D0%9C%D0%B0%D0%BB%D0%B5%D0%BD%D1%8C%D0%BA%D0%B8%D0%B9_%D1%88%D0%BA%D0%BE%D0%BB%D1%8C%D0%BD%D1%8B%D0%B9_%D0%BE%D1%80%D0%BA%D0%B5%D1%81%D1%82%D1%80&amp;oldid=150057474</t>
        </is>
      </c>
      <c r="M2739" s="2">
        <f>HYPERLINK("https://ru.wikipedia.org/w/index.php?search=%D0%9C%D0%B0%D0%BB%D0%B5%D0%BD%D1%8C%D0%BA%D0%B8%D0%B9%20%D1%88%D0%BA%D0%BE%D0%BB%D1%8C%D0%BD%D1%8B%D0%B9%20%D0%BE%D1%80%D0%BA%D0%B5%D1%81%D1%82%D1%80%201968%20%D1%84%D0%B8%D0%BB%D1%8C%D0%BC","искать")</f>
        <v/>
      </c>
      <c r="N2739" s="3" t="n"/>
      <c r="O2739" s="2" t="n"/>
      <c r="P2739" s="2" t="n"/>
    </row>
    <row r="2740">
      <c r="A2740" s="2" t="n">
        <v>2739</v>
      </c>
      <c r="B2740" s="2" t="inlineStr">
        <is>
          <t>не сюжет</t>
        </is>
      </c>
      <c r="C2740" s="2" t="n">
        <v>11792</v>
      </c>
      <c r="D2740" s="3" t="inlineStr">
        <is>
          <t>Ночь весны</t>
        </is>
      </c>
      <c r="E2740" s="2" t="n">
        <v>1976</v>
      </c>
      <c r="F2740" s="2" t="inlineStr">
        <is>
          <t>мультфильм</t>
        </is>
      </c>
      <c r="G2740" s="2" t="inlineStr">
        <is>
          <t>Союзмультфильм</t>
        </is>
      </c>
      <c r="H2740" s="2" t="n">
        <v>233</v>
      </c>
      <c r="I2740" s="2" t="inlineStr"/>
      <c r="J2740" s="2" t="inlineStr">
        <is>
          <t>да</t>
        </is>
      </c>
      <c r="K2740" s="3" t="inlineStr">
        <is>
          <t>Ночь весны - поэтический фильм, поставленный по одноименному стихотворению В. Луговского. Фильм посвящен теме верности боевым традициям революционного прошлого, теме человеческого счастья, смысл которого - в борьбе за высокие идеалы.</t>
        </is>
      </c>
      <c r="L2740" s="2" t="inlineStr">
        <is>
          <t>https://animator.ru/db/?p=show_film&amp;fid=2706</t>
        </is>
      </c>
      <c r="M2740" s="2">
        <f>HYPERLINK("https://ru.wikipedia.org/w/index.php?search=%D0%9D%D0%BE%D1%87%D1%8C%20%D0%B2%D0%B5%D1%81%D0%BD%D1%8B%201976%20%D1%84%D0%B8%D0%BB%D1%8C%D0%BC","искать")</f>
        <v/>
      </c>
      <c r="N2740" s="3" t="n"/>
      <c r="O2740" s="2" t="n"/>
      <c r="P2740" s="2" t="n"/>
    </row>
    <row r="2741">
      <c r="A2741" s="2" t="n">
        <v>2740</v>
      </c>
      <c r="B2741" s="2" t="inlineStr">
        <is>
          <t>не сюжет</t>
        </is>
      </c>
      <c r="C2741" s="2" t="n">
        <v>8382</v>
      </c>
      <c r="D2741" s="3" t="inlineStr">
        <is>
          <t>Соль земли</t>
        </is>
      </c>
      <c r="E2741" s="2" t="n">
        <v>1978</v>
      </c>
      <c r="F2741" s="2" t="inlineStr">
        <is>
          <t>телефильм</t>
        </is>
      </c>
      <c r="G2741" s="2" t="n"/>
      <c r="H2741" s="2" t="n">
        <v>235</v>
      </c>
      <c r="I2741" s="2" t="inlineStr"/>
      <c r="J2741" s="2" t="inlineStr">
        <is>
          <t>да</t>
        </is>
      </c>
      <c r="K2741" s="3" t="inlineStr">
        <is>
          <t>Телесериал. По мотивам одноименного романа Георгия Маркова. В фильме прослеживается судьба крестьянской семьи Строговых. Действие происходит в Западной Сибири в конце сороковых годов двадцатого века. Продолжение телесериала «Строговы».</t>
        </is>
      </c>
      <c r="L2741" s="2" t="inlineStr">
        <is>
          <t>Кино_СССР сводный каталог.xlsx: список телефильмов</t>
        </is>
      </c>
      <c r="M2741" s="2">
        <f>HYPERLINK("https://ru.wikipedia.org/w/index.php?search=%D0%A1%D0%BE%D0%BB%D1%8C%20%D0%B7%D0%B5%D0%BC%D0%BB%D0%B8%201978%20%D1%84%D0%B8%D0%BB%D1%8C%D0%BC","искать")</f>
        <v/>
      </c>
      <c r="N2741" s="3" t="n"/>
      <c r="O2741" s="2" t="n"/>
      <c r="P2741" s="2" t="n"/>
    </row>
    <row r="2742">
      <c r="A2742" s="2" t="n">
        <v>2741</v>
      </c>
      <c r="B2742" s="2" t="inlineStr">
        <is>
          <t>не сюжет</t>
        </is>
      </c>
      <c r="C2742" s="2" t="n">
        <v>10724</v>
      </c>
      <c r="D2742" s="3" t="inlineStr">
        <is>
          <t>Чеховские страницы</t>
        </is>
      </c>
      <c r="E2742" s="2" t="n">
        <v>1977</v>
      </c>
      <c r="F2742" s="2" t="inlineStr">
        <is>
          <t>фильм-спектакль</t>
        </is>
      </c>
      <c r="G2742" s="2" t="inlineStr">
        <is>
          <t>ТО “Экран”</t>
        </is>
      </c>
      <c r="H2742" s="2" t="n">
        <v>237</v>
      </c>
      <c r="I2742" s="2" t="inlineStr"/>
      <c r="J2742" s="2" t="inlineStr">
        <is>
          <t>да</t>
        </is>
      </c>
      <c r="K2742" s="3" t="inlineStr">
        <is>
          <t>Экранизация двухсерийного спектакля "Чеховские страницы" в постановке МХАТа им. М.Горького по одноактным пьесам и рассказам А.П.Чехова: "Канитель", "Лекция о вреде табака", "Юбилей", "Печенег", "Рассказ госпожи N.N.", "Лебединая песня" .</t>
        </is>
      </c>
      <c r="L2742" s="2" t="inlineStr">
        <is>
          <t>https://www.kino-teatr.ru/teatr/movie/7891/annot/</t>
        </is>
      </c>
      <c r="M2742" s="2">
        <f>HYPERLINK("https://ru.wikipedia.org/w/index.php?search=%D0%A7%D0%B5%D1%85%D0%BE%D0%B2%D1%81%D0%BA%D0%B8%D0%B5%20%D1%81%D1%82%D1%80%D0%B0%D0%BD%D0%B8%D1%86%D1%8B%201977%20%D1%84%D0%B8%D0%BB%D1%8C%D0%BC","искать")</f>
        <v/>
      </c>
      <c r="N2742" s="3" t="n"/>
      <c r="O2742" s="2" t="n"/>
      <c r="P2742" s="2" t="n"/>
    </row>
    <row r="2743">
      <c r="A2743" s="2" t="n">
        <v>2742</v>
      </c>
      <c r="B2743" s="2" t="inlineStr">
        <is>
          <t>не сюжет</t>
        </is>
      </c>
      <c r="C2743" s="2" t="n">
        <v>10114</v>
      </c>
      <c r="D2743" s="3" t="inlineStr">
        <is>
          <t>Р РµРјР±СЂР°РЅРґС‚</t>
        </is>
      </c>
      <c r="E2743" s="2" t="n">
        <v>1963</v>
      </c>
      <c r="F2743" s="2" t="inlineStr">
        <is>
          <t>фильм-спектакль</t>
        </is>
      </c>
      <c r="G2743" s="2" t="n"/>
      <c r="H2743" s="2" t="n">
        <v>238</v>
      </c>
      <c r="I2743" s="2" t="inlineStr"/>
      <c r="J2743" s="2" t="inlineStr">
        <is>
          <t>да</t>
        </is>
      </c>
      <c r="K2743" s="3" t="inlineStr">
        <is>
          <t>РќРµСЃРєРѕР»СЊРєРѕ СЌРїРёР·РѕРґРѕРІ РёР· Р¶РёР·РЅРё РіРѕР»Р»Р°РЅРґСЃРєРѕРіРѕ Р¶РёРІРѕРїРёСЃС†Р° РҐР°СЂРјРµРЅСЃР° РІР°РЅ Р РµР№РЅР° Р РµРјР±СЂР°РЅРґС‚Р°. РџРѕ РѕРґРЅРѕРёРјРµРЅРЅРѕРјСѓ РїСЂРѕРёР·РІРµРґРµРЅРёСЋ Р”РјРёС‚СЂРёСЏ РљРµРґСЂРёРЅР°.</t>
        </is>
      </c>
      <c r="L2743" s="2" t="inlineStr">
        <is>
          <t>https://www.kino-teatr.ru/teatr/movie/17107/annot/</t>
        </is>
      </c>
      <c r="M2743" s="2">
        <f>HYPERLINK("https://ru.wikipedia.org/w/index.php?search=%D0%A0%20%D0%A0%C2%B5%D0%A0%D1%98%D0%A0%C2%B1%D0%A1%D0%82%D0%A0%C2%B0%D0%A0%D0%85%D0%A0%D2%91%D0%A1%E2%80%9A%201963%20%D1%84%D0%B8%D0%BB%D1%8C%D0%BC","искать")</f>
        <v/>
      </c>
      <c r="N2743" s="3" t="n"/>
      <c r="O2743" s="2" t="n"/>
      <c r="P2743" s="2" t="n"/>
    </row>
    <row r="2744">
      <c r="A2744" s="2" t="n">
        <v>2743</v>
      </c>
      <c r="B2744" s="2" t="inlineStr">
        <is>
          <t>не сюжет</t>
        </is>
      </c>
      <c r="C2744" s="2" t="n">
        <v>10783</v>
      </c>
      <c r="D2744" s="3" t="inlineStr">
        <is>
          <t>Хозяйка</t>
        </is>
      </c>
      <c r="E2744" s="2" t="n">
        <v>1978</v>
      </c>
      <c r="F2744" s="2" t="inlineStr">
        <is>
          <t>фильм-спектакль</t>
        </is>
      </c>
      <c r="G2744" s="2" t="inlineStr">
        <is>
          <t>Центральное телевидение</t>
        </is>
      </c>
      <c r="H2744" s="2" t="n">
        <v>238</v>
      </c>
      <c r="I2744" s="2" t="inlineStr"/>
      <c r="J2744" s="2" t="inlineStr">
        <is>
          <t>да</t>
        </is>
      </c>
      <c r="K2744" s="3" t="inlineStr">
        <is>
          <t>Фильм-спектакль Киевского академического театра русской драмы им. Леси Украинки по пьесе Музы Гараевой "Хозяйка".
В основе пьесы реальная трудная, но счастливая судьба литейщицы киевского завода "Большевик", Героя Социалистического Труда.</t>
        </is>
      </c>
      <c r="L2744" s="2" t="inlineStr">
        <is>
          <t>https://www.kino-teatr.ru/teatr/movie/81364/annot/</t>
        </is>
      </c>
      <c r="M2744" s="2">
        <f>HYPERLINK("https://ru.wikipedia.org/w/index.php?search=%D0%A5%D0%BE%D0%B7%D1%8F%D0%B9%D0%BA%D0%B0%201978%20%D1%84%D0%B8%D0%BB%D1%8C%D0%BC","искать")</f>
        <v/>
      </c>
      <c r="N2744" s="3" t="n"/>
      <c r="O2744" s="2" t="n"/>
      <c r="P2744" s="2" t="n"/>
    </row>
    <row r="2745">
      <c r="A2745" s="2" t="n">
        <v>2744</v>
      </c>
      <c r="B2745" s="2" t="inlineStr">
        <is>
          <t>не сюжет</t>
        </is>
      </c>
      <c r="C2745" s="2" t="n">
        <v>14471</v>
      </c>
      <c r="D2745" s="3" t="inlineStr">
        <is>
          <t>Сдавайте стеклотару</t>
        </is>
      </c>
      <c r="E2745" s="2" t="n">
        <v>1971</v>
      </c>
      <c r="F2745" s="2" t="inlineStr">
        <is>
          <t>мультфильм</t>
        </is>
      </c>
      <c r="G2745" s="2" t="n"/>
      <c r="H2745" s="2" t="n">
        <v>239</v>
      </c>
      <c r="I2745" s="2" t="inlineStr"/>
      <c r="J2745" s="2" t="inlineStr">
        <is>
          <t>да</t>
        </is>
      </c>
      <c r="K2745" s="3" t="inlineStr">
        <is>
          <t>Фильм еще раз напоминает о необходимости сдавать стеклянную посуду. В комедийной форме фильм обращается к тем, кто из-за ложного стыда и застенчивости пренебрегает сдачей стеклопосуды, объясняет, что это дело народнохозяйственной важности.</t>
        </is>
      </c>
      <c r="L2745" s="2" t="inlineStr">
        <is>
          <t>https://animator.ru/db/?p=show_film&amp;fid=6738</t>
        </is>
      </c>
      <c r="M2745" s="2">
        <f>HYPERLINK("https://ru.wikipedia.org/w/index.php?search=%D0%A1%D0%B4%D0%B0%D0%B2%D0%B0%D0%B9%D1%82%D0%B5%20%D1%81%D1%82%D0%B5%D0%BA%D0%BB%D0%BE%D1%82%D0%B0%D1%80%D1%83%201971%20%D1%84%D0%B8%D0%BB%D1%8C%D0%BC","искать")</f>
        <v/>
      </c>
      <c r="N2745" s="3" t="n"/>
      <c r="O2745" s="2" t="n"/>
      <c r="P2745" s="2" t="n"/>
    </row>
    <row r="2746">
      <c r="A2746" s="2" t="n">
        <v>2745</v>
      </c>
      <c r="B2746" s="2" t="inlineStr">
        <is>
          <t>не сюжет</t>
        </is>
      </c>
      <c r="C2746" s="2" t="n">
        <v>9132</v>
      </c>
      <c r="D2746" s="3" t="inlineStr">
        <is>
          <t>Утерянный рай</t>
        </is>
      </c>
      <c r="E2746" s="2" t="n">
        <v>1991</v>
      </c>
      <c r="F2746" s="2" t="inlineStr">
        <is>
          <t>кинофильм</t>
        </is>
      </c>
      <c r="G2746" s="2" t="n"/>
      <c r="H2746" s="2" t="n">
        <v>240</v>
      </c>
      <c r="I2746" s="2" t="inlineStr"/>
      <c r="J2746" s="2" t="inlineStr">
        <is>
          <t>да</t>
        </is>
      </c>
      <c r="K2746" s="3" t="inlineStr">
        <is>
          <t>Корни «Потерянного рая» — символичной, полной религиозных интонаций драмы — в армянской истории и мифологии. Автор картины представляет типичную крестьянскую семью в отдаленной деревне, которая в то же время является отражением целого мира.</t>
        </is>
      </c>
      <c r="L2746" s="2" t="inlineStr">
        <is>
          <t>Кино_СССР сводный каталог.xlsx: список фильмов (доп.)</t>
        </is>
      </c>
      <c r="M2746" s="2">
        <f>HYPERLINK("https://ru.wikipedia.org/w/index.php?search=%D0%A3%D1%82%D0%B5%D1%80%D1%8F%D0%BD%D0%BD%D1%8B%D0%B9%20%D1%80%D0%B0%D0%B9%201991%20%D1%84%D0%B8%D0%BB%D1%8C%D0%BC","искать")</f>
        <v/>
      </c>
      <c r="N2746" s="3" t="n"/>
      <c r="O2746" s="2" t="n"/>
      <c r="P2746" s="2" t="n"/>
    </row>
    <row r="2747">
      <c r="A2747" s="2" t="n">
        <v>2746</v>
      </c>
      <c r="B2747" s="2" t="inlineStr">
        <is>
          <t>не сюжет</t>
        </is>
      </c>
      <c r="C2747" s="2" t="n">
        <v>10957</v>
      </c>
      <c r="D2747" s="3" t="inlineStr">
        <is>
          <t>Попечители</t>
        </is>
      </c>
      <c r="E2747" s="2" t="n">
        <v>1982</v>
      </c>
      <c r="F2747" s="2" t="inlineStr">
        <is>
          <t>фильм-спектакль</t>
        </is>
      </c>
      <c r="G2747" s="2" t="inlineStr">
        <is>
          <t>Главная редакция литературно-драматических программ ЦТ</t>
        </is>
      </c>
      <c r="H2747" s="2" t="n">
        <v>240</v>
      </c>
      <c r="I2747" s="2" t="inlineStr"/>
      <c r="J2747" s="2" t="inlineStr">
        <is>
          <t>да</t>
        </is>
      </c>
      <c r="K2747" s="3" t="inlineStr">
        <is>
          <t>Телеспектакль по пьесе А.Н. Островского "Последняя жертва", снятый к 180-летию со дня рождения драматурга.
В этой пьесе есть роковая страсть молодой женщины, неотразимый обольститель, большие деньги и стремление загубить свою душу в кутеже.</t>
        </is>
      </c>
      <c r="L2747" s="2" t="inlineStr">
        <is>
          <t>https://www.kino-teatr.ru/teatr/movie/5396/annot/</t>
        </is>
      </c>
      <c r="M2747" s="2">
        <f>HYPERLINK("https://ru.wikipedia.org/w/index.php?search=%D0%9F%D0%BE%D0%BF%D0%B5%D1%87%D0%B8%D1%82%D0%B5%D0%BB%D0%B8%201982%20%D1%84%D0%B8%D0%BB%D1%8C%D0%BC","искать")</f>
        <v/>
      </c>
      <c r="N2747" s="3" t="n"/>
      <c r="O2747" s="2" t="n"/>
      <c r="P2747" s="2" t="n"/>
    </row>
    <row r="2748">
      <c r="A2748" s="2" t="n">
        <v>2747</v>
      </c>
      <c r="B2748" s="2" t="inlineStr">
        <is>
          <t>не сюжет</t>
        </is>
      </c>
      <c r="C2748" s="2" t="n">
        <v>11325</v>
      </c>
      <c r="D2748" s="3" t="inlineStr">
        <is>
          <t>Страсти по Авдею</t>
        </is>
      </c>
      <c r="E2748" s="2" t="n">
        <v>1990</v>
      </c>
      <c r="F2748" s="2" t="inlineStr">
        <is>
          <t>фильм-спектакль</t>
        </is>
      </c>
      <c r="G2748" s="2" t="inlineStr">
        <is>
          <t>Главная редакция литературно-художественных программ ЦТ</t>
        </is>
      </c>
      <c r="H2748" s="2" t="n">
        <v>240</v>
      </c>
      <c r="I2748" s="2" t="inlineStr"/>
      <c r="J2748" s="2" t="inlineStr">
        <is>
          <t>да</t>
        </is>
      </c>
      <c r="K2748" s="3" t="inlineStr">
        <is>
          <t>Одноименная пьеса Владимира Бутромеева по повести Георгия Марчука "Крик на хуторе" в постановке Белорусского государственного академического театра имени Янки Купалы.
О трагической судьбе хуторянина Авдея и его семьи в годы коллективизации.</t>
        </is>
      </c>
      <c r="L2748" s="2" t="inlineStr">
        <is>
          <t>https://www.kino-teatr.ru/teatr/movie/108056/annot/</t>
        </is>
      </c>
      <c r="M2748" s="2">
        <f>HYPERLINK("https://ru.wikipedia.org/w/index.php?search=%D0%A1%D1%82%D1%80%D0%B0%D1%81%D1%82%D0%B8%20%D0%BF%D0%BE%20%D0%90%D0%B2%D0%B4%D0%B5%D1%8E%201990%20%D1%84%D0%B8%D0%BB%D1%8C%D0%BC","искать")</f>
        <v/>
      </c>
      <c r="N2748" s="3" t="n"/>
      <c r="O2748" s="2" t="n"/>
      <c r="P2748" s="2" t="n"/>
    </row>
    <row r="2749">
      <c r="A2749" s="2" t="n">
        <v>2748</v>
      </c>
      <c r="B2749" s="2" t="inlineStr">
        <is>
          <t>не сюжет</t>
        </is>
      </c>
      <c r="C2749" s="2" t="n">
        <v>10543</v>
      </c>
      <c r="D2749" s="3" t="inlineStr">
        <is>
          <t>Бенефис Савелия Крамарова</t>
        </is>
      </c>
      <c r="E2749" s="2" t="n">
        <v>1974</v>
      </c>
      <c r="F2749" s="2" t="inlineStr">
        <is>
          <t>фильм-спектакль</t>
        </is>
      </c>
      <c r="G2749" s="2" t="inlineStr">
        <is>
          <t>Главная редакция литературно-драматических программ ЦТ</t>
        </is>
      </c>
      <c r="H2749" s="2" t="n">
        <v>241</v>
      </c>
      <c r="I2749" s="2" t="inlineStr"/>
      <c r="J2749" s="2" t="inlineStr">
        <is>
          <t>да</t>
        </is>
      </c>
      <c r="K2749" s="3" t="inlineStr">
        <is>
          <t>Театральный бенефис Савелия Крамарова. Он был самым первым из всех бенефисов, съемки которых начались именно с популярнейшего комедийного актера 70-х годов. Долгое время программа считалась утерянной, говорили о невозможности ее реставрации.</t>
        </is>
      </c>
      <c r="L2749" s="2" t="inlineStr">
        <is>
          <t>https://www.kino-teatr.ru/teatr/movie/82989/annot/</t>
        </is>
      </c>
      <c r="M2749" s="2">
        <f>HYPERLINK("https://ru.wikipedia.org/w/index.php?search=%D0%91%D0%B5%D0%BD%D0%B5%D1%84%D0%B8%D1%81%20%D0%A1%D0%B0%D0%B2%D0%B5%D0%BB%D0%B8%D1%8F%20%D0%9A%D1%80%D0%B0%D0%BC%D0%B0%D1%80%D0%BE%D0%B2%D0%B0%201974%20%D1%84%D0%B8%D0%BB%D1%8C%D0%BC","искать")</f>
        <v/>
      </c>
      <c r="N2749" s="3" t="n"/>
      <c r="O2749" s="2" t="n"/>
      <c r="P2749" s="2" t="n"/>
    </row>
    <row r="2750">
      <c r="A2750" s="2" t="n">
        <v>2749</v>
      </c>
      <c r="B2750" s="2" t="inlineStr">
        <is>
          <t>не сюжет</t>
        </is>
      </c>
      <c r="C2750" s="2" t="n">
        <v>11704</v>
      </c>
      <c r="D2750" s="3" t="inlineStr">
        <is>
          <t>Лиса и заяц</t>
        </is>
      </c>
      <c r="E2750" s="2" t="n">
        <v>1973</v>
      </c>
      <c r="F2750" s="2" t="inlineStr">
        <is>
          <t>мультфильм</t>
        </is>
      </c>
      <c r="G2750" s="2" t="inlineStr">
        <is>
          <t>Союзмультфильм</t>
        </is>
      </c>
      <c r="H2750" s="2" t="n">
        <v>241</v>
      </c>
      <c r="I2750" s="2" t="inlineStr"/>
      <c r="J2750" s="2" t="inlineStr">
        <is>
          <t>да</t>
        </is>
      </c>
      <c r="K2750" s="3" t="inlineStr">
        <is>
          <t>По русской народной сказке в пересказе В.Даля
II МФ анимационных фильмов в Загребе (СФРЮ), 1974 -- Первая премия за лучший детский фильм и Специальная премия Загреба; VII ВКФ, Баку, 1974 -- Первая премия по разделу мультипликационных фильмов</t>
        </is>
      </c>
      <c r="L2750" s="2" t="inlineStr">
        <is>
          <t>https://animator.ru/db/?p=show_film&amp;fid=2618</t>
        </is>
      </c>
      <c r="M2750" s="2">
        <f>HYPERLINK("https://ru.wikipedia.org/w/index.php?search=%D0%9B%D0%B8%D1%81%D0%B0%20%D0%B8%20%D0%B7%D0%B0%D1%8F%D1%86%201973%20%D1%84%D0%B8%D0%BB%D1%8C%D0%BC","искать")</f>
        <v/>
      </c>
      <c r="N2750" s="3" t="n"/>
      <c r="O2750" s="2" t="n"/>
      <c r="P2750" s="2" t="n"/>
    </row>
    <row r="2751">
      <c r="A2751" s="2" t="n">
        <v>2750</v>
      </c>
      <c r="B2751" s="2" t="inlineStr">
        <is>
          <t>не сюжет</t>
        </is>
      </c>
      <c r="C2751" s="2" t="n">
        <v>12164</v>
      </c>
      <c r="D2751" s="3" t="inlineStr">
        <is>
          <t>Ара, бара, пух!</t>
        </is>
      </c>
      <c r="E2751" s="2" t="n">
        <v>1986</v>
      </c>
      <c r="F2751" s="2" t="inlineStr">
        <is>
          <t>мультфильм</t>
        </is>
      </c>
      <c r="G2751" s="2" t="inlineStr">
        <is>
          <t>Союзмультфильм</t>
        </is>
      </c>
      <c r="H2751" s="2" t="n">
        <v>241</v>
      </c>
      <c r="I2751" s="2" t="inlineStr"/>
      <c r="J2751" s="2" t="inlineStr">
        <is>
          <t>да</t>
        </is>
      </c>
      <c r="K2751" s="3" t="inlineStr">
        <is>
          <t>Фильм о детской фантазии, способной создавать чудесный мир воображения. В оригинальной художественной форме, он знакомит детей с азбукой в зримых, наглядных образах, касаясь воспитания, затрагивает проблему взаимоотношений взрослых с детьми.</t>
        </is>
      </c>
      <c r="L2751" s="2" t="inlineStr">
        <is>
          <t>https://animator.ru/db/?p=show_film&amp;fid=3280</t>
        </is>
      </c>
      <c r="M2751" s="2">
        <f>HYPERLINK("https://ru.wikipedia.org/w/index.php?search=%D0%90%D1%80%D0%B0%2C%20%D0%B1%D0%B0%D1%80%D0%B0%2C%20%D0%BF%D1%83%D1%85%21%201986%20%D1%84%D0%B8%D0%BB%D1%8C%D0%BC","искать")</f>
        <v/>
      </c>
      <c r="N2751" s="3" t="n"/>
      <c r="O2751" s="2" t="n"/>
      <c r="P2751" s="2" t="n"/>
    </row>
    <row r="2752">
      <c r="A2752" s="2" t="n">
        <v>2751</v>
      </c>
      <c r="B2752" s="2" t="inlineStr">
        <is>
          <t>не сюжет</t>
        </is>
      </c>
      <c r="C2752" s="2" t="n">
        <v>7911</v>
      </c>
      <c r="D2752" s="3" t="inlineStr">
        <is>
          <t>Мужчины и все остальные (киноальманах)</t>
        </is>
      </c>
      <c r="E2752" s="2" t="n">
        <v>1985</v>
      </c>
      <c r="F2752" s="2" t="inlineStr">
        <is>
          <t>телефильм</t>
        </is>
      </c>
      <c r="G2752" s="2" t="n"/>
      <c r="H2752" s="2" t="n">
        <v>243</v>
      </c>
      <c r="I2752" s="2" t="inlineStr"/>
      <c r="J2752" s="2" t="inlineStr">
        <is>
          <t>да</t>
        </is>
      </c>
      <c r="K2752" s="3" t="inlineStr">
        <is>
          <t>მამაკაცები და სხვები Телефильм состоит из семи забавных новелл о грузинских традициях, об уважении к старшим, преданности в дружбе и других чертах грузинского характера. * Мужчина; * Мефодиевна; * Хечо; * Виноград; * Чемпионы; * Кепка; * Орлы.</t>
        </is>
      </c>
      <c r="L2752" s="2" t="inlineStr">
        <is>
          <t>Кино_СССР сводный каталог.xlsx: список телефильмов</t>
        </is>
      </c>
      <c r="M2752" s="2">
        <f>HYPERLINK("https://ru.wikipedia.org/w/index.php?search=%D0%9C%D1%83%D0%B6%D1%87%D0%B8%D0%BD%D1%8B%20%D0%B8%20%D0%B2%D1%81%D0%B5%20%D0%BE%D1%81%D1%82%D0%B0%D0%BB%D1%8C%D0%BD%D1%8B%D0%B5%20%28%D0%BA%D0%B8%D0%BD%D0%BE%D0%B0%D0%BB%D1%8C%D0%BC%D0%B0%D0%BD%D0%B0%D1%85%29%201985%20%D1%84%D0%B8%D0%BB%D1%8C%D0%BC","искать")</f>
        <v/>
      </c>
      <c r="N2752" s="3" t="n"/>
      <c r="O2752" s="2" t="n"/>
      <c r="P2752" s="2" t="n"/>
    </row>
    <row r="2753">
      <c r="A2753" s="2" t="n">
        <v>2752</v>
      </c>
      <c r="B2753" s="2" t="inlineStr">
        <is>
          <t>не сюжет</t>
        </is>
      </c>
      <c r="C2753" s="2" t="n">
        <v>11676</v>
      </c>
      <c r="D2753" s="3" t="inlineStr">
        <is>
          <t>Мастер из Кламси</t>
        </is>
      </c>
      <c r="E2753" s="2" t="n">
        <v>1972</v>
      </c>
      <c r="F2753" s="2" t="inlineStr">
        <is>
          <t>мультфильм</t>
        </is>
      </c>
      <c r="G2753" s="2" t="inlineStr">
        <is>
          <t>Союзмультфильм</t>
        </is>
      </c>
      <c r="H2753" s="2" t="n">
        <v>243</v>
      </c>
      <c r="I2753" s="2" t="inlineStr"/>
      <c r="J2753" s="2" t="inlineStr">
        <is>
          <t>да</t>
        </is>
      </c>
      <c r="K2753" s="3" t="inlineStr">
        <is>
          <t>По повести Р.Ролана "Кола Брюньон". Кола Брюньон - человек из народа, талантливый французкий столяр. Он никогда не теряет оптимизма, несмотря на целый поток обрушивающихся на него несчастий. Главное для него - любовь к жизни и творческий труд.</t>
        </is>
      </c>
      <c r="L2753" s="2" t="inlineStr">
        <is>
          <t>2026-10_мультфильмы_список_владельца.xlsx; https://animator.ru/db/?p=show_film&amp;fid=2590</t>
        </is>
      </c>
      <c r="M2753" s="2">
        <f>HYPERLINK("https://ru.wikipedia.org/w/index.php?search=%D0%9C%D0%B0%D1%81%D1%82%D0%B5%D1%80%20%D0%B8%D0%B7%20%D0%9A%D0%BB%D0%B0%D0%BC%D1%81%D0%B8%201972%20%D1%84%D0%B8%D0%BB%D1%8C%D0%BC","искать")</f>
        <v/>
      </c>
      <c r="N2753" s="3" t="n"/>
      <c r="O2753" s="2" t="n"/>
      <c r="P2753" s="2" t="n"/>
    </row>
    <row r="2754">
      <c r="A2754" s="2" t="n">
        <v>2753</v>
      </c>
      <c r="B2754" s="2" t="inlineStr">
        <is>
          <t>не сюжет</t>
        </is>
      </c>
      <c r="C2754" s="2" t="n">
        <v>12045</v>
      </c>
      <c r="D2754" s="3" t="inlineStr">
        <is>
          <t>Лев и бык</t>
        </is>
      </c>
      <c r="E2754" s="2" t="n">
        <v>1983</v>
      </c>
      <c r="F2754" s="2" t="inlineStr">
        <is>
          <t>мультфильм</t>
        </is>
      </c>
      <c r="G2754" s="2" t="inlineStr">
        <is>
          <t>Союзмультфильм</t>
        </is>
      </c>
      <c r="H2754" s="2" t="n">
        <v>243</v>
      </c>
      <c r="I2754" s="2" t="inlineStr"/>
      <c r="J2754" s="2" t="inlineStr">
        <is>
          <t>да</t>
        </is>
      </c>
      <c r="K2754" s="3" t="inlineStr">
        <is>
          <t>VII МФ анимационных фильмов в Эшпинью (Португалия) - Почетный диплом в категории фильмов от 3 до 12 минут; XIV МФ к/м фильмов в Тампере (Финляндия) - Назван лучшим анимационным фильмом года "За мастерское владение стилем классической анимации"</t>
        </is>
      </c>
      <c r="L2754" s="2" t="inlineStr">
        <is>
          <t>https://animator.ru/db/?p=show_film&amp;fid=3160</t>
        </is>
      </c>
      <c r="M2754" s="2">
        <f>HYPERLINK("https://ru.wikipedia.org/w/index.php?search=%D0%9B%D0%B5%D0%B2%20%D0%B8%20%D0%B1%D1%8B%D0%BA%201983%20%D1%84%D0%B8%D0%BB%D1%8C%D0%BC","искать")</f>
        <v/>
      </c>
      <c r="N2754" s="3" t="n"/>
      <c r="O2754" s="2" t="n"/>
      <c r="P2754" s="2" t="n"/>
    </row>
    <row r="2755">
      <c r="A2755" s="2" t="n">
        <v>2754</v>
      </c>
      <c r="B2755" s="2" t="inlineStr">
        <is>
          <t>не сюжет</t>
        </is>
      </c>
      <c r="C2755" s="2" t="n">
        <v>9348</v>
      </c>
      <c r="D2755" s="3" t="inlineStr">
        <is>
          <t>Друзья совести</t>
        </is>
      </c>
      <c r="E2755" s="2" t="n">
        <v>1932</v>
      </c>
      <c r="F2755" s="2" t="inlineStr">
        <is>
          <t>кинофильм</t>
        </is>
      </c>
      <c r="G2755" s="2" t="n"/>
      <c r="H2755" s="2" t="n">
        <v>245</v>
      </c>
      <c r="I2755" s="2" t="inlineStr"/>
      <c r="J2755" s="2" t="inlineStr">
        <is>
          <t>да</t>
        </is>
      </c>
      <c r="K2755" s="3" t="inlineStr">
        <is>
          <t>О революционной борьбе горняков Рура в Германии в 1920 году. Фильм был запрещен, как дающий пессимистическую оценку борьбы пролетариата и как чисто формалистическое произведение, недоступное для массового зрителя. В ГФФ копия фильма не хранится.</t>
        </is>
      </c>
      <c r="L2755" s="2" t="inlineStr">
        <is>
          <t>Кино_СССР сводный каталог.xlsx: список фильмов (доп.)</t>
        </is>
      </c>
      <c r="M2755" s="2">
        <f>HYPERLINK("https://ru.wikipedia.org/w/index.php?search=%D0%94%D1%80%D1%83%D0%B7%D1%8C%D1%8F%20%D1%81%D0%BE%D0%B2%D0%B5%D1%81%D1%82%D0%B8%201932%20%D1%84%D0%B8%D0%BB%D1%8C%D0%BC","искать")</f>
        <v/>
      </c>
      <c r="N2755" s="3" t="n"/>
      <c r="O2755" s="2" t="n"/>
      <c r="P2755" s="2" t="n"/>
    </row>
    <row r="2756">
      <c r="A2756" s="2" t="n">
        <v>2755</v>
      </c>
      <c r="B2756" s="2" t="inlineStr">
        <is>
          <t>не сюжет</t>
        </is>
      </c>
      <c r="C2756" s="2" t="n">
        <v>12309</v>
      </c>
      <c r="D2756" s="3" t="inlineStr">
        <is>
          <t>Комната смеха</t>
        </is>
      </c>
      <c r="E2756" s="2" t="n">
        <v>1991</v>
      </c>
      <c r="F2756" s="2" t="inlineStr">
        <is>
          <t>мультфильм</t>
        </is>
      </c>
      <c r="G2756" s="2" t="inlineStr">
        <is>
          <t>Союзмультфильм</t>
        </is>
      </c>
      <c r="H2756" s="2" t="n">
        <v>245</v>
      </c>
      <c r="I2756" s="2" t="inlineStr"/>
      <c r="J2756" s="2" t="inlineStr">
        <is>
          <t>да</t>
        </is>
      </c>
      <c r="K2756" s="3" t="inlineStr">
        <is>
          <t>Фильм принадлежит к авторскому кинематографу и адресован взрослому зрителю. Комната смеха - это система кривых зеркал, уродливо искажающая человеческие черты. Мы смеемся, видя свое отражение, не замечая того, что уродство становится нашей сутью.</t>
        </is>
      </c>
      <c r="L2756" s="2" t="inlineStr">
        <is>
          <t>https://animator.ru/db/?p=show_film&amp;fid=3426</t>
        </is>
      </c>
      <c r="M2756" s="2">
        <f>HYPERLINK("https://ru.wikipedia.org/w/index.php?search=%D0%9A%D0%BE%D0%BC%D0%BD%D0%B0%D1%82%D0%B0%20%D1%81%D0%BC%D0%B5%D1%85%D0%B0%201991%20%D1%84%D0%B8%D0%BB%D1%8C%D0%BC","искать")</f>
        <v/>
      </c>
      <c r="N2756" s="3" t="n"/>
      <c r="O2756" s="2" t="n"/>
      <c r="P2756" s="2" t="n"/>
    </row>
    <row r="2757">
      <c r="A2757" s="2" t="n">
        <v>2756</v>
      </c>
      <c r="B2757" s="2" t="inlineStr">
        <is>
          <t>не сюжет</t>
        </is>
      </c>
      <c r="C2757" s="2" t="n">
        <v>14362</v>
      </c>
      <c r="D2757" s="3" t="inlineStr">
        <is>
          <t>Марафон</t>
        </is>
      </c>
      <c r="E2757" s="2" t="n">
        <v>1988</v>
      </c>
      <c r="F2757" s="2" t="inlineStr">
        <is>
          <t>мультфильм</t>
        </is>
      </c>
      <c r="G2757" s="2" t="inlineStr">
        <is>
          <t>Союзмультфильм, Высшие курсы сценаристов и режиссеров</t>
        </is>
      </c>
      <c r="H2757" s="2" t="n">
        <v>245</v>
      </c>
      <c r="I2757" s="2" t="inlineStr"/>
      <c r="J2757" s="2" t="inlineStr">
        <is>
          <t>да</t>
        </is>
      </c>
      <c r="K2757" s="3" t="inlineStr">
        <is>
          <t>курсовая работа Александра Петрова и Михаила Тумели.
Фильм был вручен Р. Диснею в 1988г. во время его первого визита в СССР в качестве подарка Микки Маусу в честь 60-летия. Широко демонстрировался в США во время юбилейных программ студии Дисней.</t>
        </is>
      </c>
      <c r="L2757" s="2" t="inlineStr">
        <is>
          <t>https://animator.ru/db/?p=show_film&amp;fid=6095</t>
        </is>
      </c>
      <c r="M2757" s="2">
        <f>HYPERLINK("https://ru.wikipedia.org/w/index.php?search=%D0%9C%D0%B0%D1%80%D0%B0%D1%84%D0%BE%D0%BD%201988%20%D1%84%D0%B8%D0%BB%D1%8C%D0%BC","искать")</f>
        <v/>
      </c>
      <c r="N2757" s="3" t="n"/>
      <c r="O2757" s="2" t="n"/>
      <c r="P2757" s="2" t="n"/>
    </row>
    <row r="2758">
      <c r="A2758" s="2" t="n">
        <v>2757</v>
      </c>
      <c r="B2758" s="2" t="inlineStr">
        <is>
          <t>не сюжет</t>
        </is>
      </c>
      <c r="C2758" s="2" t="n">
        <v>7778</v>
      </c>
      <c r="D2758" s="3" t="inlineStr">
        <is>
          <t>Кто был ничем...</t>
        </is>
      </c>
      <c r="E2758" s="2" t="n">
        <v>1974</v>
      </c>
      <c r="F2758" s="2" t="inlineStr">
        <is>
          <t>телефильм</t>
        </is>
      </c>
      <c r="G2758" s="2" t="n"/>
      <c r="H2758" s="2" t="n">
        <v>247</v>
      </c>
      <c r="I2758" s="2" t="inlineStr"/>
      <c r="J2758" s="2" t="inlineStr">
        <is>
          <t>да</t>
        </is>
      </c>
      <c r="K2758" s="3" t="inlineStr">
        <is>
          <t>По мотивам произведений С. Айни. Первая часть кинодилогии, завершающейся фильмом «...тот станет всем» (1975), об установлении Советской власти в Таджикистане. 1-я серия — «Нет места на земле»; 2 — «Каждый бьется в одиночку»; 3 — «Кипит наш разум».</t>
        </is>
      </c>
      <c r="L2758" s="2" t="inlineStr">
        <is>
          <t>Кино_СССР сводный каталог.xlsx: список телефильмов</t>
        </is>
      </c>
      <c r="M2758" s="2">
        <f>HYPERLINK("https://ru.wikipedia.org/w/index.php?search=%D0%9A%D1%82%D0%BE%20%D0%B1%D1%8B%D0%BB%20%D0%BD%D0%B8%D1%87%D0%B5%D0%BC...%201974%20%D1%84%D0%B8%D0%BB%D1%8C%D0%BC","искать")</f>
        <v/>
      </c>
      <c r="N2758" s="3" t="n"/>
      <c r="O2758" s="2" t="n"/>
      <c r="P2758" s="2" t="n"/>
    </row>
    <row r="2759">
      <c r="A2759" s="2" t="n">
        <v>2758</v>
      </c>
      <c r="B2759" s="2" t="inlineStr">
        <is>
          <t>не сюжет</t>
        </is>
      </c>
      <c r="C2759" s="2" t="n">
        <v>9888</v>
      </c>
      <c r="D2759" s="3" t="inlineStr">
        <is>
          <t>Прощайте, коза и велосипед</t>
        </is>
      </c>
      <c r="E2759" s="2" t="n">
        <v>1971</v>
      </c>
      <c r="F2759" s="2" t="inlineStr">
        <is>
          <t>телефильм</t>
        </is>
      </c>
      <c r="G2759" s="2" t="inlineStr">
        <is>
          <t>Северо-Осетинская студия телефильмов</t>
        </is>
      </c>
      <c r="H2759" s="2" t="n">
        <v>247</v>
      </c>
      <c r="I2759" s="2" t="inlineStr"/>
      <c r="J2759" s="2" t="inlineStr">
        <is>
          <t>да</t>
        </is>
      </c>
      <c r="K2759" s="3" t="inlineStr">
        <is>
          <t>Действие фильма происходит в маленьком ауле Северной Осетии. О дружбе мальчиков Бутуша и Ахсара, потерявших в годы Великой Отечественной войны своих отцов, о доброте и отзывчивости окружающих их людей.
Художественный руководитель фильма Ю.Чулюкин.</t>
        </is>
      </c>
      <c r="L2759" s="2" t="inlineStr">
        <is>
          <t>https://www.kino-teatr.ru/short/movie/sov/16696/annot/</t>
        </is>
      </c>
      <c r="M2759" s="2">
        <f>HYPERLINK("https://ru.wikipedia.org/w/index.php?search=%D0%9F%D1%80%D0%BE%D1%89%D0%B0%D0%B9%D1%82%D0%B5%2C%20%D0%BA%D0%BE%D0%B7%D0%B0%20%D0%B8%20%D0%B2%D0%B5%D0%BB%D0%BE%D1%81%D0%B8%D0%BF%D0%B5%D0%B4%201971%20%D1%84%D0%B8%D0%BB%D1%8C%D0%BC","искать")</f>
        <v/>
      </c>
      <c r="N2759" s="3" t="n"/>
      <c r="O2759" s="2" t="n"/>
      <c r="P2759" s="2" t="n"/>
    </row>
    <row r="2760">
      <c r="A2760" s="2" t="n">
        <v>2759</v>
      </c>
      <c r="B2760" s="2" t="inlineStr">
        <is>
          <t>не сюжет</t>
        </is>
      </c>
      <c r="C2760" s="2" t="n">
        <v>10427</v>
      </c>
      <c r="D2760" s="3" t="inlineStr">
        <is>
          <t>Что делать?</t>
        </is>
      </c>
      <c r="E2760" s="2" t="n">
        <v>1971</v>
      </c>
      <c r="F2760" s="2" t="inlineStr">
        <is>
          <t>фильм-спектакль</t>
        </is>
      </c>
      <c r="G2760" s="2" t="inlineStr">
        <is>
          <t>Главная редакция литературно-драматических программ ЦТ</t>
        </is>
      </c>
      <c r="H2760" s="2" t="n">
        <v>247</v>
      </c>
      <c r="I2760" s="2" t="inlineStr"/>
      <c r="J2760" s="2" t="inlineStr">
        <is>
          <t>да</t>
        </is>
      </c>
      <c r="K2760" s="3" t="inlineStr">
        <is>
          <t>По одноименному произведению Николая Чернышевского.
Телеспектакль представляет собой лирико-бытовую драму с элементами фантазии, трагедии и фарса и раскрывает такие темы как личное благоустройство человека в обществе и вопросы идеального общества.</t>
        </is>
      </c>
      <c r="L2760" s="2" t="inlineStr">
        <is>
          <t>https://www.kino-teatr.ru/teatr/movie/13932/annot/</t>
        </is>
      </c>
      <c r="M2760" s="2">
        <f>HYPERLINK("https://ru.wikipedia.org/w/index.php?search=%D0%A7%D1%82%D0%BE%20%D0%B4%D0%B5%D0%BB%D0%B0%D1%82%D1%8C%3F%201971%20%D1%84%D0%B8%D0%BB%D1%8C%D0%BC","искать")</f>
        <v/>
      </c>
      <c r="N2760" s="3" t="n"/>
      <c r="O2760" s="2" t="n"/>
      <c r="P2760" s="2" t="n"/>
    </row>
    <row r="2761">
      <c r="A2761" s="2" t="n">
        <v>2760</v>
      </c>
      <c r="B2761" s="2" t="inlineStr">
        <is>
          <t>не сюжет</t>
        </is>
      </c>
      <c r="C2761" s="2" t="n">
        <v>12465</v>
      </c>
      <c r="D2761" s="3" t="inlineStr">
        <is>
          <t>Мы - женщины. Бревно</t>
        </is>
      </c>
      <c r="E2761" s="2" t="n">
        <v>1988</v>
      </c>
      <c r="F2761" s="2" t="inlineStr">
        <is>
          <t>мультфильм</t>
        </is>
      </c>
      <c r="G2761" s="2" t="inlineStr">
        <is>
          <t>КИЕВНАУЧФИЛЬМ</t>
        </is>
      </c>
      <c r="H2761" s="2" t="n">
        <v>247</v>
      </c>
      <c r="I2761" s="2" t="inlineStr"/>
      <c r="J2761" s="2" t="inlineStr">
        <is>
          <t>да</t>
        </is>
      </c>
      <c r="K2761" s="3" t="inlineStr">
        <is>
          <t>Операторы сборника "Мы -- женщины" -- А.Мухин и А.Гаврилов, звукооператоры -- И.Мойжес, Н.Шевчук и В.Щиголь, директоры -- И.Мазепа и Б.Калашников, художники -- А.Лавров, А.Бубнов, Л.Кращина, О.Малова, А.Криворотенко, В.Баженок, В.Езерский, А.Педан</t>
        </is>
      </c>
      <c r="L2761" s="2" t="inlineStr">
        <is>
          <t>https://animator.ru/db/?p=show_film&amp;fid=3637</t>
        </is>
      </c>
      <c r="M2761" s="2">
        <f>HYPERLINK("https://ru.wikipedia.org/w/index.php?search=%D0%9C%D1%8B%20-%20%D0%B6%D0%B5%D0%BD%D1%89%D0%B8%D0%BD%D1%8B.%20%D0%91%D1%80%D0%B5%D0%B2%D0%BD%D0%BE%201988%20%D1%84%D0%B8%D0%BB%D1%8C%D0%BC","искать")</f>
        <v/>
      </c>
      <c r="N2761" s="3" t="n"/>
      <c r="O2761" s="2" t="n"/>
      <c r="P2761" s="2" t="n"/>
    </row>
    <row r="2762">
      <c r="A2762" s="2" t="n">
        <v>2761</v>
      </c>
      <c r="B2762" s="2" t="inlineStr">
        <is>
          <t>не сюжет</t>
        </is>
      </c>
      <c r="C2762" s="2" t="n">
        <v>13514</v>
      </c>
      <c r="D2762" s="3" t="inlineStr">
        <is>
          <t>Пумс</t>
        </is>
      </c>
      <c r="E2762" s="2" t="n">
        <v>1990</v>
      </c>
      <c r="F2762" s="2" t="inlineStr">
        <is>
          <t>мультфильм</t>
        </is>
      </c>
      <c r="G2762" s="2" t="inlineStr">
        <is>
          <t>Пилот</t>
        </is>
      </c>
      <c r="H2762" s="2" t="n">
        <v>247</v>
      </c>
      <c r="I2762" s="2" t="inlineStr"/>
      <c r="J2762" s="2" t="inlineStr">
        <is>
          <t>да</t>
        </is>
      </c>
      <c r="K2762" s="3" t="inlineStr">
        <is>
          <t>Происшествие - это не всегда просто происшествие. Иногда это изменение фортуны, неожиданный конец, неожиданное удовольствие. И редко случается, что все остаются довольны. Но как раз в этом случае это был правильный путь. "Пумс" - звук удовольствия</t>
        </is>
      </c>
      <c r="L2762" s="2" t="inlineStr">
        <is>
          <t>https://gosfilmofond.ru/films/256065/</t>
        </is>
      </c>
      <c r="M2762" s="2">
        <f>HYPERLINK("https://ru.wikipedia.org/w/index.php?search=%D0%9F%D1%83%D0%BC%D1%81%201990%20%D1%84%D0%B8%D0%BB%D1%8C%D0%BC","искать")</f>
        <v/>
      </c>
      <c r="N2762" s="3" t="n"/>
      <c r="O2762" s="2" t="n"/>
      <c r="P2762" s="2" t="n"/>
    </row>
    <row r="2763">
      <c r="A2763" s="2" t="n">
        <v>2762</v>
      </c>
      <c r="B2763" s="2" t="inlineStr">
        <is>
          <t>не сюжет</t>
        </is>
      </c>
      <c r="C2763" s="2" t="n">
        <v>10883</v>
      </c>
      <c r="D2763" s="3" t="inlineStr">
        <is>
          <t>Иванов</t>
        </is>
      </c>
      <c r="E2763" s="2" t="n">
        <v>1981</v>
      </c>
      <c r="F2763" s="2" t="inlineStr">
        <is>
          <t>фильм-спектакль</t>
        </is>
      </c>
      <c r="G2763" s="2" t="inlineStr">
        <is>
          <t>МХАТ им. Горького, т/о Экран</t>
        </is>
      </c>
      <c r="H2763" s="2" t="n">
        <v>248</v>
      </c>
      <c r="I2763" s="2" t="inlineStr"/>
      <c r="J2763" s="2" t="inlineStr">
        <is>
          <t>да</t>
        </is>
      </c>
      <c r="K2763" s="3" t="inlineStr">
        <is>
          <t>Постановка Олега Ефремова в Московском Художественном академическом театре по одноименной пьесе А.П. Чехова, написанной в 1887 году. «Иванов» — первая пьеса Чехова, поставленная на сцене. Действие происходит в одном из уездов средней полосы России.</t>
        </is>
      </c>
      <c r="L2763" s="2" t="inlineStr">
        <is>
          <t>https://www.kino-teatr.ru/teatr/movie/81613/annot/</t>
        </is>
      </c>
      <c r="M2763" s="2">
        <f>HYPERLINK("https://ru.wikipedia.org/w/index.php?search=%D0%98%D0%B2%D0%B0%D0%BD%D0%BE%D0%B2%201981%20%D1%84%D0%B8%D0%BB%D1%8C%D0%BC","искать")</f>
        <v/>
      </c>
      <c r="N2763" s="3" t="n"/>
      <c r="O2763" s="2" t="n"/>
      <c r="P2763" s="2" t="n"/>
    </row>
    <row r="2764">
      <c r="A2764" s="2" t="n">
        <v>2763</v>
      </c>
      <c r="B2764" s="2" t="inlineStr">
        <is>
          <t>не сюжет</t>
        </is>
      </c>
      <c r="C2764" s="2" t="n">
        <v>11280</v>
      </c>
      <c r="D2764" s="3" t="inlineStr">
        <is>
          <t>Святая святых</t>
        </is>
      </c>
      <c r="E2764" s="2" t="n">
        <v>1989</v>
      </c>
      <c r="F2764" s="2" t="inlineStr">
        <is>
          <t>фильм-спектакль</t>
        </is>
      </c>
      <c r="G2764" s="2" t="n"/>
      <c r="H2764" s="2" t="n">
        <v>248</v>
      </c>
      <c r="I2764" s="2" t="inlineStr"/>
      <c r="J2764" s="2" t="inlineStr">
        <is>
          <t>да</t>
        </is>
      </c>
      <c r="K2764" s="3" t="inlineStr">
        <is>
          <t>По одноименной пьесе Иона Друце. В спектакле рассказывается о судьбе односельчан Кэлина Абабия (Николай Пастухов), чья тяжелая, полная лишений жизнь прошла в молдавской деревне, и Михая Груя (Игорь Ледогоров), сделавшего блестящую карьеру в городе.</t>
        </is>
      </c>
      <c r="L2764" s="2" t="inlineStr">
        <is>
          <t>https://www.kino-teatr.ru/teatr/movie/81314/annot/</t>
        </is>
      </c>
      <c r="M2764" s="2">
        <f>HYPERLINK("https://ru.wikipedia.org/w/index.php?search=%D0%A1%D0%B2%D1%8F%D1%82%D0%B0%D1%8F%20%D1%81%D0%B2%D1%8F%D1%82%D1%8B%D1%85%201989%20%D1%84%D0%B8%D0%BB%D1%8C%D0%BC","искать")</f>
        <v/>
      </c>
      <c r="N2764" s="3" t="n"/>
      <c r="O2764" s="2" t="n"/>
      <c r="P2764" s="2" t="n"/>
    </row>
    <row r="2765">
      <c r="A2765" s="2" t="n">
        <v>2764</v>
      </c>
      <c r="B2765" s="2" t="inlineStr">
        <is>
          <t>не сюжет</t>
        </is>
      </c>
      <c r="C2765" s="2" t="n">
        <v>7193</v>
      </c>
      <c r="D2765" s="3" t="inlineStr">
        <is>
          <t>Азбука мудрости</t>
        </is>
      </c>
      <c r="E2765" s="2" t="n">
        <v>1982</v>
      </c>
      <c r="F2765" s="2" t="inlineStr">
        <is>
          <t>телефильм</t>
        </is>
      </c>
      <c r="G2765" s="2" t="n"/>
      <c r="H2765" s="2" t="n">
        <v>249</v>
      </c>
      <c r="I2765" s="2" t="inlineStr"/>
      <c r="J2765" s="2" t="inlineStr">
        <is>
          <t>да</t>
        </is>
      </c>
      <c r="K2765" s="3" t="inlineStr">
        <is>
          <t>სიბრძნის კარავი Сценарий написан на основе книги притч «Мудрость вымысла» грузинского писателя-философа XVII века Сулхан-Саба Орбелиани. В основу фильма легли четыре притчи из книги:«Хозяин и сторож», «Слепой и зрячий», «Хлеб наш насущный» и «Клад».</t>
        </is>
      </c>
      <c r="L2765" s="2" t="inlineStr">
        <is>
          <t>Кино_СССР сводный каталог.xlsx: список телефильмов</t>
        </is>
      </c>
      <c r="M2765" s="2">
        <f>HYPERLINK("https://ru.wikipedia.org/w/index.php?search=%D0%90%D0%B7%D0%B1%D1%83%D0%BA%D0%B0%20%D0%BC%D1%83%D0%B4%D1%80%D0%BE%D1%81%D1%82%D0%B8%201982%20%D1%84%D0%B8%D0%BB%D1%8C%D0%BC","искать")</f>
        <v/>
      </c>
      <c r="N2765" s="3" t="n"/>
      <c r="O2765" s="2" t="n"/>
      <c r="P2765" s="2" t="n"/>
    </row>
    <row r="2766">
      <c r="A2766" s="2" t="n">
        <v>2765</v>
      </c>
      <c r="B2766" s="2" t="inlineStr">
        <is>
          <t>не сюжет</t>
        </is>
      </c>
      <c r="C2766" s="2" t="n">
        <v>9887</v>
      </c>
      <c r="D2766" s="3" t="inlineStr">
        <is>
          <t>Мистер-Твистер</t>
        </is>
      </c>
      <c r="E2766" s="2" t="n">
        <v>1971</v>
      </c>
      <c r="F2766" s="2" t="inlineStr">
        <is>
          <t>телефильм</t>
        </is>
      </c>
      <c r="G2766" s="2" t="inlineStr">
        <is>
          <t>"Телефильм-Одесса"</t>
        </is>
      </c>
      <c r="H2766" s="2" t="n">
        <v>249</v>
      </c>
      <c r="I2766" s="2" t="inlineStr"/>
      <c r="J2766" s="2" t="inlineStr">
        <is>
          <t>да</t>
        </is>
      </c>
      <c r="K2766" s="3" t="inlineStr">
        <is>
          <t>По одноименному произведению С.Маршака.
В фильме снимались: артисты балета Одесского Государственного Академического т-ра оперы и балета (балетмейстер Игорь Чернышев). Артисты балета Одесского театра музыкальной комедии (балетмейстер Игорь Дидурко).</t>
        </is>
      </c>
      <c r="L2766" s="2" t="inlineStr">
        <is>
          <t>https://www.kino-teatr.ru/short/movie/sov/16488/annot/</t>
        </is>
      </c>
      <c r="M2766" s="2">
        <f>HYPERLINK("https://ru.wikipedia.org/w/index.php?search=%D0%9C%D0%B8%D1%81%D1%82%D0%B5%D1%80-%D0%A2%D0%B2%D0%B8%D1%81%D1%82%D0%B5%D1%80%201971%20%D1%84%D0%B8%D0%BB%D1%8C%D0%BC","искать")</f>
        <v/>
      </c>
      <c r="N2766" s="3" t="n"/>
      <c r="O2766" s="2" t="n"/>
      <c r="P2766" s="2" t="n"/>
    </row>
    <row r="2767">
      <c r="A2767" s="2" t="n">
        <v>2766</v>
      </c>
      <c r="B2767" s="2" t="inlineStr">
        <is>
          <t>не сюжет</t>
        </is>
      </c>
      <c r="C2767" s="2" t="n">
        <v>10655</v>
      </c>
      <c r="D2767" s="3" t="inlineStr">
        <is>
          <t>Мартин Иден</t>
        </is>
      </c>
      <c r="E2767" s="2" t="n">
        <v>1976</v>
      </c>
      <c r="F2767" s="2" t="inlineStr">
        <is>
          <t>фильм-спектакль</t>
        </is>
      </c>
      <c r="G2767" s="2" t="inlineStr">
        <is>
          <t>Главная редакция литературно-драматических программ ЦТ</t>
        </is>
      </c>
      <c r="H2767" s="2" t="n">
        <v>249</v>
      </c>
      <c r="I2767" s="2" t="inlineStr"/>
      <c r="J2767" s="2" t="inlineStr">
        <is>
          <t>да</t>
        </is>
      </c>
      <c r="K2767" s="3" t="inlineStr">
        <is>
          <t>По одноименному роману Джека Лондона, в котором воссоздана нелегкая, но прекрасная пора его жизни. Раскрывается тема психологического преобразования человека, в тяжелых испытаниях открывающего в себе и настоящее мужество и неиссякаемую волю к жизни.</t>
        </is>
      </c>
      <c r="L2767" s="2" t="inlineStr">
        <is>
          <t>https://www.kino-teatr.ru/teatr/movie/3737/annot/</t>
        </is>
      </c>
      <c r="M2767" s="2">
        <f>HYPERLINK("https://ru.wikipedia.org/w/index.php?search=%D0%9C%D0%B0%D1%80%D1%82%D0%B8%D0%BD%20%D0%98%D0%B4%D0%B5%D0%BD%201976%20%D1%84%D0%B8%D0%BB%D1%8C%D0%BC","искать")</f>
        <v/>
      </c>
      <c r="N2767" s="3" t="n"/>
      <c r="O2767" s="2" t="n"/>
      <c r="P2767" s="2" t="n"/>
    </row>
    <row r="2768">
      <c r="A2768" s="2" t="n">
        <v>2767</v>
      </c>
      <c r="B2768" s="2" t="inlineStr">
        <is>
          <t>не сюжет</t>
        </is>
      </c>
      <c r="C2768" s="2" t="n">
        <v>10570</v>
      </c>
      <c r="D2768" s="3" t="inlineStr">
        <is>
          <t>Мелодии любви</t>
        </is>
      </c>
      <c r="E2768" s="2" t="n">
        <v>1974</v>
      </c>
      <c r="F2768" s="2" t="inlineStr">
        <is>
          <t>фильм-спектакль</t>
        </is>
      </c>
      <c r="G2768" s="2" t="inlineStr">
        <is>
          <t>Свердловская киностудия</t>
        </is>
      </c>
      <c r="H2768" s="2" t="n">
        <v>250</v>
      </c>
      <c r="I2768" s="2" t="inlineStr"/>
      <c r="J2768" s="2" t="inlineStr">
        <is>
          <t>да</t>
        </is>
      </c>
      <c r="K2768" s="3" t="inlineStr">
        <is>
          <t>Артисты Свердловского театра музыкальной комедии в фильме- спектакле "Мелодии любви".
В фильме-спектакле собраны отрывки из оперетт Имре Кальмана "Фиалка Монмартра", "Дьявольский наездник", "Сильва", "Герцогиня из Чикаго", "Цыган-премьер", "Баядера".</t>
        </is>
      </c>
      <c r="L2768" s="2" t="inlineStr">
        <is>
          <t>https://www.kino-teatr.ru/teatr/movie/83994/annot/</t>
        </is>
      </c>
      <c r="M2768" s="2">
        <f>HYPERLINK("https://ru.wikipedia.org/w/index.php?search=%D0%9C%D0%B5%D0%BB%D0%BE%D0%B4%D0%B8%D0%B8%20%D0%BB%D1%8E%D0%B1%D0%B2%D0%B8%201974%20%D1%84%D0%B8%D0%BB%D1%8C%D0%BC","искать")</f>
        <v/>
      </c>
      <c r="N2768" s="3" t="n"/>
      <c r="O2768" s="2" t="n"/>
      <c r="P2768" s="2" t="n"/>
    </row>
    <row r="2769">
      <c r="A2769" s="2" t="n">
        <v>2768</v>
      </c>
      <c r="B2769" s="2" t="inlineStr">
        <is>
          <t>не сюжет</t>
        </is>
      </c>
      <c r="C2769" s="2" t="n">
        <v>10944</v>
      </c>
      <c r="D2769" s="3" t="inlineStr">
        <is>
          <t>Король Лир</t>
        </is>
      </c>
      <c r="E2769" s="2" t="n">
        <v>1982</v>
      </c>
      <c r="F2769" s="2" t="inlineStr">
        <is>
          <t>фильм-спектакль</t>
        </is>
      </c>
      <c r="G2769" s="2" t="n"/>
      <c r="H2769" s="2" t="n">
        <v>250</v>
      </c>
      <c r="I2769" s="2" t="inlineStr"/>
      <c r="J2769" s="2" t="inlineStr">
        <is>
          <t>да</t>
        </is>
      </c>
      <c r="K2769" s="3" t="inlineStr">
        <is>
          <t>По одноименной пьесе У.Шекспира в постановке Государственного академического Малого театра Союза ССР. История Короля Лира - это история ослепленного собственным деспотизмом человека, который на склоне лет впервые сталкивается с горькой правдой жизни.</t>
        </is>
      </c>
      <c r="L2769" s="2" t="inlineStr">
        <is>
          <t>https://www.kino-teatr.ru/teatr/movie/81745/annot/</t>
        </is>
      </c>
      <c r="M2769" s="2">
        <f>HYPERLINK("https://ru.wikipedia.org/w/index.php?search=%D0%9A%D0%BE%D1%80%D0%BE%D0%BB%D1%8C%20%D0%9B%D0%B8%D1%80%201982%20%D1%84%D0%B8%D0%BB%D1%8C%D0%BC","искать")</f>
        <v/>
      </c>
      <c r="N2769" s="3" t="n"/>
      <c r="O2769" s="2" t="n"/>
      <c r="P2769" s="2" t="n"/>
    </row>
    <row r="2770">
      <c r="A2770" s="2" t="n">
        <v>2769</v>
      </c>
      <c r="B2770" s="2" t="inlineStr">
        <is>
          <t>не сюжет</t>
        </is>
      </c>
      <c r="C2770" s="2" t="n">
        <v>10817</v>
      </c>
      <c r="D2770" s="3" t="inlineStr">
        <is>
          <t>Русские люди</t>
        </is>
      </c>
      <c r="E2770" s="2" t="n">
        <v>1979</v>
      </c>
      <c r="F2770" s="2" t="inlineStr">
        <is>
          <t>фильм-спектакль</t>
        </is>
      </c>
      <c r="G2770" s="2" t="inlineStr">
        <is>
          <t>Главная редакция литературно-драматических программ</t>
        </is>
      </c>
      <c r="H2770" s="2" t="n">
        <v>251</v>
      </c>
      <c r="I2770" s="2" t="inlineStr"/>
      <c r="J2770" s="2" t="inlineStr">
        <is>
          <t>да</t>
        </is>
      </c>
      <c r="K2770" s="3" t="inlineStr">
        <is>
          <t>По одноименной пьесе К.Симонова в постановке Государственного академического Малого театра Союза ССР.
О героизме и мужестве русских людей в годы Великой Отечественной войны. Действие происходит в 1941 году в оккупированном фашистами маленьком городке.</t>
        </is>
      </c>
      <c r="L2770" s="2" t="inlineStr">
        <is>
          <t>https://www.kino-teatr.ru/teatr/movie/82105/annot/</t>
        </is>
      </c>
      <c r="M2770" s="2">
        <f>HYPERLINK("https://ru.wikipedia.org/w/index.php?search=%D0%A0%D1%83%D1%81%D1%81%D0%BA%D0%B8%D0%B5%20%D0%BB%D1%8E%D0%B4%D0%B8%201979%20%D1%84%D0%B8%D0%BB%D1%8C%D0%BC","искать")</f>
        <v/>
      </c>
      <c r="N2770" s="3" t="n"/>
      <c r="O2770" s="2" t="n"/>
      <c r="P2770" s="2" t="n"/>
    </row>
    <row r="2771">
      <c r="A2771" s="2" t="n">
        <v>2770</v>
      </c>
      <c r="B2771" s="2" t="inlineStr">
        <is>
          <t>не сюжет</t>
        </is>
      </c>
      <c r="C2771" s="2" t="n">
        <v>11687</v>
      </c>
      <c r="D2771" s="3" t="inlineStr">
        <is>
          <t>Ты враг или друг?</t>
        </is>
      </c>
      <c r="E2771" s="2" t="n">
        <v>1972</v>
      </c>
      <c r="F2771" s="2" t="inlineStr">
        <is>
          <t>мультфильм</t>
        </is>
      </c>
      <c r="G2771" s="2" t="inlineStr">
        <is>
          <t>Союзмультфильм</t>
        </is>
      </c>
      <c r="H2771" s="2" t="n">
        <v>251</v>
      </c>
      <c r="I2771" s="2" t="inlineStr"/>
      <c r="J2771" s="2" t="inlineStr">
        <is>
          <t>да</t>
        </is>
      </c>
      <c r="K2771" s="3" t="inlineStr">
        <is>
          <t>Фильм направлен против браконьеров, хищнически истребляющих животный мир. Одновременно в фильме показано, что настоящие охотники - друзья лесных обитателей. В специально созданных лесных заповедниках звери находят для себя пищу, подготовленную людьми.</t>
        </is>
      </c>
      <c r="L2771" s="2" t="inlineStr">
        <is>
          <t>https://animator.ru/db/?p=show_film&amp;fid=2601</t>
        </is>
      </c>
      <c r="M2771" s="2">
        <f>HYPERLINK("https://ru.wikipedia.org/w/index.php?search=%D0%A2%D1%8B%20%D0%B2%D1%80%D0%B0%D0%B3%20%D0%B8%D0%BB%D0%B8%20%D0%B4%D1%80%D1%83%D0%B3%3F%201972%20%D1%84%D0%B8%D0%BB%D1%8C%D0%BC","искать")</f>
        <v/>
      </c>
      <c r="N2771" s="3" t="n"/>
      <c r="O2771" s="2" t="n"/>
      <c r="P2771" s="2" t="n"/>
    </row>
    <row r="2772">
      <c r="A2772" s="2" t="n">
        <v>2771</v>
      </c>
      <c r="B2772" s="2" t="inlineStr">
        <is>
          <t>не сюжет</t>
        </is>
      </c>
      <c r="C2772" s="2" t="n">
        <v>8521</v>
      </c>
      <c r="D2772" s="3" t="inlineStr">
        <is>
          <t>Хлеб — имя существительное</t>
        </is>
      </c>
      <c r="E2772" s="2" t="n">
        <v>1988</v>
      </c>
      <c r="F2772" s="2" t="inlineStr">
        <is>
          <t>телефильм</t>
        </is>
      </c>
      <c r="G2772" s="2" t="inlineStr">
        <is>
          <t>Ленфильм</t>
        </is>
      </c>
      <c r="H2772" s="2" t="n">
        <v>252</v>
      </c>
      <c r="I2772" s="2" t="inlineStr"/>
      <c r="J2772" s="2" t="inlineStr">
        <is>
          <t>да</t>
        </is>
      </c>
      <c r="K2772" s="3" t="inlineStr">
        <is>
          <t>Сериал по мотивам романов и повестей Михаила Алексеева "Хлеб - имя существительное", "Вишневый омут", "Карюха", "Драчуны". О жизни большого саратовского села от начала века до середины 30-х годов. Своеобразный коллективный портрет русского крестьянина.</t>
        </is>
      </c>
      <c r="L2772" s="2" t="inlineStr">
        <is>
          <t>Кино_СССР сводный каталог.xlsx: список телефильмов</t>
        </is>
      </c>
      <c r="M2772" s="2">
        <f>HYPERLINK("https://ru.wikipedia.org/w/index.php?search=%D0%A5%D0%BB%D0%B5%D0%B1%20%E2%80%94%20%D0%B8%D0%BC%D1%8F%20%D1%81%D1%83%D1%89%D0%B5%D1%81%D1%82%D0%B2%D0%B8%D1%82%D0%B5%D0%BB%D1%8C%D0%BD%D0%BE%D0%B5%201988%20%D1%84%D0%B8%D0%BB%D1%8C%D0%BC","искать")</f>
        <v/>
      </c>
      <c r="N2772" s="3" t="n"/>
      <c r="O2772" s="2" t="n"/>
      <c r="P2772" s="2" t="n"/>
    </row>
    <row r="2773">
      <c r="A2773" s="2" t="n">
        <v>2772</v>
      </c>
      <c r="B2773" s="2" t="inlineStr">
        <is>
          <t>не сюжет</t>
        </is>
      </c>
      <c r="C2773" s="2" t="n">
        <v>10266</v>
      </c>
      <c r="D2773" s="3" t="inlineStr">
        <is>
          <t>Поздняя любовь</t>
        </is>
      </c>
      <c r="E2773" s="2" t="n">
        <v>1968</v>
      </c>
      <c r="F2773" s="2" t="inlineStr">
        <is>
          <t>фильм-спектакль</t>
        </is>
      </c>
      <c r="G2773" s="2" t="inlineStr">
        <is>
          <t>МХАТ им. Горького, Подборки фильмов, экранизации Островского</t>
        </is>
      </c>
      <c r="H2773" s="2" t="n">
        <v>253</v>
      </c>
      <c r="I2773" s="2" t="inlineStr"/>
      <c r="J2773" s="2" t="inlineStr">
        <is>
          <t>да</t>
        </is>
      </c>
      <c r="K2773" s="3" t="inlineStr">
        <is>
          <t>По одноименной пьесе А.Островского в постановке Московского Художественного академического театра им. Горького. Написанная в 1873 году и впервые поставленная на сцене Малого театра, эта пьеса с тех пор не сходит со сценических подмостков многих театров.</t>
        </is>
      </c>
      <c r="L2773" s="2" t="inlineStr">
        <is>
          <t>https://www.kino-teatr.ru/teatr/movie/82242/annot/</t>
        </is>
      </c>
      <c r="M2773" s="2">
        <f>HYPERLINK("https://ru.wikipedia.org/w/index.php?search=%D0%9F%D0%BE%D0%B7%D0%B4%D0%BD%D1%8F%D1%8F%20%D0%BB%D1%8E%D0%B1%D0%BE%D0%B2%D1%8C%201968%20%D1%84%D0%B8%D0%BB%D1%8C%D0%BC","искать")</f>
        <v/>
      </c>
      <c r="N2773" s="3" t="n"/>
      <c r="O2773" s="2" t="n"/>
      <c r="P2773" s="2" t="n"/>
    </row>
    <row r="2774">
      <c r="A2774" s="2" t="n">
        <v>2773</v>
      </c>
      <c r="B2774" s="2" t="inlineStr">
        <is>
          <t>не сюжет</t>
        </is>
      </c>
      <c r="C2774" s="2" t="n">
        <v>12084</v>
      </c>
      <c r="D2774" s="3" t="inlineStr">
        <is>
          <t>Десять лет спустя</t>
        </is>
      </c>
      <c r="E2774" s="2" t="n">
        <v>1969</v>
      </c>
      <c r="F2774" s="2" t="inlineStr">
        <is>
          <t>мультфильм</t>
        </is>
      </c>
      <c r="G2774" s="2" t="inlineStr">
        <is>
          <t>Союзмультфильм</t>
        </is>
      </c>
      <c r="H2774" s="2" t="n">
        <v>254</v>
      </c>
      <c r="I2774" s="2" t="inlineStr"/>
      <c r="J2774" s="2" t="inlineStr">
        <is>
          <t>да</t>
        </is>
      </c>
      <c r="K2774" s="3" t="inlineStr">
        <is>
          <t>Фильм создан по заказу Главного управления Госстраха РСФСР. Он призван ознакомить население с новым видом добровольного страхования-страхованием детей, которое является удобной формой накопления денежных средств, дающих возможность сделать ценный подарок</t>
        </is>
      </c>
      <c r="L2774" s="2" t="inlineStr">
        <is>
          <t>https://animator.ru/db/?p=show_film&amp;fid=3200</t>
        </is>
      </c>
      <c r="M2774" s="2">
        <f>HYPERLINK("https://ru.wikipedia.org/w/index.php?search=%D0%94%D0%B5%D1%81%D1%8F%D1%82%D1%8C%20%D0%BB%D0%B5%D1%82%20%D1%81%D0%BF%D1%83%D1%81%D1%82%D1%8F%201969%20%D1%84%D0%B8%D0%BB%D1%8C%D0%BC","искать")</f>
        <v/>
      </c>
      <c r="N2774" s="3" t="n"/>
      <c r="O2774" s="2" t="n"/>
      <c r="P2774" s="2" t="n"/>
    </row>
    <row r="2775">
      <c r="A2775" s="2" t="n">
        <v>2774</v>
      </c>
      <c r="B2775" s="2" t="inlineStr">
        <is>
          <t>не сюжет</t>
        </is>
      </c>
      <c r="C2775" s="2" t="n">
        <v>8813</v>
      </c>
      <c r="D2775" s="3" t="inlineStr">
        <is>
          <t>Маленькие страсти</t>
        </is>
      </c>
      <c r="E2775" s="2" t="n">
        <v>1990</v>
      </c>
      <c r="F2775" s="2" t="inlineStr">
        <is>
          <t>кинофильм</t>
        </is>
      </c>
      <c r="G2775" s="2" t="n"/>
      <c r="H2775" s="2" t="n">
        <v>255</v>
      </c>
      <c r="I2775" s="2" t="inlineStr"/>
      <c r="J2775" s="2" t="inlineStr">
        <is>
          <t>да</t>
        </is>
      </c>
      <c r="K2775" s="3" t="inlineStr">
        <is>
          <t>Главная тема фильма - любовь и предательство. Четыре главных героини девушка Инга, ее мама Анна, подруга мамы Марта и соседка по коммунальной квартире Лавизе, связаны друг с другом одной похожей нитью судьбы, разорвать которую не под силу ни одной из них.</t>
        </is>
      </c>
      <c r="L2775" s="2" t="inlineStr">
        <is>
          <t>Кино_СССР сводный каталог.xlsx: список фильмов (доп.)</t>
        </is>
      </c>
      <c r="M2775" s="2">
        <f>HYPERLINK("https://ru.wikipedia.org/w/index.php?search=%D0%9C%D0%B0%D0%BB%D0%B5%D0%BD%D1%8C%D0%BA%D0%B8%D0%B5%20%D1%81%D1%82%D1%80%D0%B0%D1%81%D1%82%D0%B8%201990%20%D1%84%D0%B8%D0%BB%D1%8C%D0%BC","искать")</f>
        <v/>
      </c>
      <c r="N2775" s="3" t="n"/>
      <c r="O2775" s="2" t="n"/>
      <c r="P2775" s="2" t="n"/>
    </row>
    <row r="2776">
      <c r="A2776" s="2" t="n">
        <v>2775</v>
      </c>
      <c r="B2776" s="2" t="inlineStr">
        <is>
          <t>не сюжет</t>
        </is>
      </c>
      <c r="C2776" s="2" t="n">
        <v>10876</v>
      </c>
      <c r="D2776" s="3" t="inlineStr">
        <is>
          <t>Беседы при ясной луне</t>
        </is>
      </c>
      <c r="E2776" s="2" t="n">
        <v>1981</v>
      </c>
      <c r="F2776" s="2" t="inlineStr">
        <is>
          <t>фильм-спектакль</t>
        </is>
      </c>
      <c r="G2776" s="2" t="inlineStr">
        <is>
          <t>ТО "Экран"</t>
        </is>
      </c>
      <c r="H2776" s="2" t="n">
        <v>255</v>
      </c>
      <c r="I2776" s="2" t="inlineStr"/>
      <c r="J2776" s="2" t="inlineStr">
        <is>
          <t>да</t>
        </is>
      </c>
      <c r="K2776" s="3" t="inlineStr">
        <is>
          <t>По рассказам Василия Шукшина «Крыша над головой», «Сапожки», «Письмо», «Вянет, пропадает», «Бессовестные», «Срезал», «Думы», «Земляки», «Заревой дождь», «Горе», «Верую!», «Дядя Ермолай» в постановке Государственного академического Малого театра Союза ССР.</t>
        </is>
      </c>
      <c r="L2776" s="2" t="inlineStr">
        <is>
          <t>https://www.kino-teatr.ru/teatr/movie/15332/annot/</t>
        </is>
      </c>
      <c r="M2776" s="2">
        <f>HYPERLINK("https://ru.wikipedia.org/w/index.php?search=%D0%91%D0%B5%D1%81%D0%B5%D0%B4%D1%8B%20%D0%BF%D1%80%D0%B8%20%D1%8F%D1%81%D0%BD%D0%BE%D0%B9%20%D0%BB%D1%83%D0%BD%D0%B5%201981%20%D1%84%D0%B8%D0%BB%D1%8C%D0%BC","искать")</f>
        <v/>
      </c>
      <c r="N2776" s="3" t="n"/>
      <c r="O2776" s="2" t="n"/>
      <c r="P2776" s="2" t="n"/>
    </row>
    <row r="2777">
      <c r="A2777" s="2" t="n">
        <v>2776</v>
      </c>
      <c r="B2777" s="2" t="inlineStr">
        <is>
          <t>не сюжет</t>
        </is>
      </c>
      <c r="C2777" s="2" t="n">
        <v>10367</v>
      </c>
      <c r="D2777" s="3" t="inlineStr">
        <is>
          <t>Посредник - святой отец</t>
        </is>
      </c>
      <c r="E2777" s="2" t="n">
        <v>1970</v>
      </c>
      <c r="F2777" s="2" t="inlineStr">
        <is>
          <t>фильм-спектакль</t>
        </is>
      </c>
      <c r="G2777" s="2" t="n"/>
      <c r="H2777" s="2" t="n">
        <v>256</v>
      </c>
      <c r="I2777" s="2" t="inlineStr"/>
      <c r="J2777" s="2" t="inlineStr">
        <is>
          <t>да</t>
        </is>
      </c>
      <c r="K2777" s="3" t="inlineStr">
        <is>
          <t>Միջնորդ տեր պապան
По произведению Ерванда Отяна.
Сюжет которого взят из жизни армян Стамбула. Главный герой романа – священник, который не гнушается пускать в ход лживые наветы. Городской класс также подвергнется резкой критике за честолюбие и высокомерие.</t>
        </is>
      </c>
      <c r="L2777" s="2" t="inlineStr">
        <is>
          <t>https://www.kino-teatr.ru/teatr/movie/108318/annot/</t>
        </is>
      </c>
      <c r="M2777" s="2">
        <f>HYPERLINK("https://ru.wikipedia.org/w/index.php?search=%D0%9F%D0%BE%D1%81%D1%80%D0%B5%D0%B4%D0%BD%D0%B8%D0%BA%20-%20%D1%81%D0%B2%D1%8F%D1%82%D0%BE%D0%B9%20%D0%BE%D1%82%D0%B5%D1%86%201970%20%D1%84%D0%B8%D0%BB%D1%8C%D0%BC","искать")</f>
        <v/>
      </c>
      <c r="N2777" s="3" t="n"/>
      <c r="O2777" s="2" t="n"/>
      <c r="P2777" s="2" t="n"/>
    </row>
    <row r="2778">
      <c r="A2778" s="2" t="n">
        <v>2777</v>
      </c>
      <c r="B2778" s="2" t="inlineStr">
        <is>
          <t>не сюжет</t>
        </is>
      </c>
      <c r="C2778" s="2" t="n">
        <v>11194</v>
      </c>
      <c r="D2778" s="3" t="inlineStr">
        <is>
          <t>Диктатура совести</t>
        </is>
      </c>
      <c r="E2778" s="2" t="n">
        <v>1988</v>
      </c>
      <c r="F2778" s="2" t="inlineStr">
        <is>
          <t>фильм-спектакль</t>
        </is>
      </c>
      <c r="G2778" s="2" t="n"/>
      <c r="H2778" s="2" t="n">
        <v>256</v>
      </c>
      <c r="I2778" s="2" t="inlineStr"/>
      <c r="J2778" s="2" t="inlineStr">
        <is>
          <t>да</t>
        </is>
      </c>
      <c r="K2778" s="3" t="inlineStr">
        <is>
          <t>Спектакль театра Ленком по пьесе М.Шатрова. В авторские диалоги вмонтированы цитаты из документов, писем и литературных произведений, на сцене встречаются исторические персонажи и вымышленные герои из разных эпох, в диалог которых вовлечен также и зритель.</t>
        </is>
      </c>
      <c r="L2778" s="2" t="inlineStr">
        <is>
          <t>https://www.kino-teatr.ru/teatr/movie/81609/annot/</t>
        </is>
      </c>
      <c r="M2778" s="2">
        <f>HYPERLINK("https://ru.wikipedia.org/w/index.php?search=%D0%94%D0%B8%D0%BA%D1%82%D0%B0%D1%82%D1%83%D1%80%D0%B0%20%D1%81%D0%BE%D0%B2%D0%B5%D1%81%D1%82%D0%B8%201988%20%D1%84%D0%B8%D0%BB%D1%8C%D0%BC","искать")</f>
        <v/>
      </c>
      <c r="N2778" s="3" t="n"/>
      <c r="O2778" s="2" t="n"/>
      <c r="P2778" s="2" t="n"/>
    </row>
    <row r="2779">
      <c r="A2779" s="2" t="n">
        <v>2778</v>
      </c>
      <c r="B2779" s="2" t="inlineStr">
        <is>
          <t>не сюжет</t>
        </is>
      </c>
      <c r="C2779" s="2" t="n">
        <v>10159</v>
      </c>
      <c r="D2779" s="3" t="inlineStr">
        <is>
          <t>12 стульев</t>
        </is>
      </c>
      <c r="E2779" s="2" t="n">
        <v>1966</v>
      </c>
      <c r="F2779" s="2" t="inlineStr">
        <is>
          <t>фильм-спектакль</t>
        </is>
      </c>
      <c r="G2779" s="2" t="inlineStr">
        <is>
          <t>Ленинградское Телевидение</t>
        </is>
      </c>
      <c r="H2779" s="2" t="n">
        <v>257</v>
      </c>
      <c r="I2779" s="2" t="inlineStr"/>
      <c r="J2779" s="2" t="inlineStr">
        <is>
          <t>да</t>
        </is>
      </c>
      <c r="K2779" s="3" t="inlineStr">
        <is>
          <t>Телеэкранизация отдельных глав из романа И.Ильфа и Е.Петрова.
В середине 1960-х годов Александр Белинский поставил на Ленинградском телевидении спектакль «Двенадцать стульев» с Игорем Горбачевым, Николаем Боярским и Алисой Фрейндлих в роли Эллочки-людоедки.</t>
        </is>
      </c>
      <c r="L2779" s="2" t="inlineStr">
        <is>
          <t>https://www.kino-teatr.ru/teatr/movie/8/annot/</t>
        </is>
      </c>
      <c r="M2779" s="2">
        <f>HYPERLINK("https://ru.wikipedia.org/w/index.php?search=12%20%D1%81%D1%82%D1%83%D0%BB%D1%8C%D0%B5%D0%B2%201966%20%D1%84%D0%B8%D0%BB%D1%8C%D0%BC","искать")</f>
        <v/>
      </c>
      <c r="N2779" s="3" t="n"/>
      <c r="O2779" s="2" t="n"/>
      <c r="P2779" s="2" t="n"/>
    </row>
    <row r="2780">
      <c r="A2780" s="2" t="n">
        <v>2779</v>
      </c>
      <c r="B2780" s="2" t="inlineStr">
        <is>
          <t>не сюжет</t>
        </is>
      </c>
      <c r="C2780" s="2" t="n">
        <v>10406</v>
      </c>
      <c r="D2780" s="3" t="inlineStr">
        <is>
          <t>Мещане</t>
        </is>
      </c>
      <c r="E2780" s="2" t="n">
        <v>1971</v>
      </c>
      <c r="F2780" s="2" t="inlineStr">
        <is>
          <t>фильм-спектакль</t>
        </is>
      </c>
      <c r="G2780" s="2" t="inlineStr">
        <is>
          <t>Ленфильм</t>
        </is>
      </c>
      <c r="H2780" s="2" t="n">
        <v>257</v>
      </c>
      <c r="I2780" s="2" t="inlineStr"/>
      <c r="J2780" s="2" t="inlineStr">
        <is>
          <t>да</t>
        </is>
      </c>
      <c r="K2780" s="3" t="inlineStr">
        <is>
          <t>Телеспектакль, трагикомедия по одноименной пьесе М. Горького.
Телевизионный вариант спектакля ленинградского БДТ имени М.Горького (первая постановка — 1966 год), шедшего почти четверть века в исполнении легендарной труппы и ставшего мировым шедевром театра.</t>
        </is>
      </c>
      <c r="L2780" s="2" t="inlineStr">
        <is>
          <t>https://www.kino-teatr.ru/teatr/movie/9279/annot/</t>
        </is>
      </c>
      <c r="M2780" s="2">
        <f>HYPERLINK("https://ru.wikipedia.org/w/index.php?search=%D0%9C%D0%B5%D1%89%D0%B0%D0%BD%D0%B5%201971%20%D1%84%D0%B8%D0%BB%D1%8C%D0%BC","искать")</f>
        <v/>
      </c>
      <c r="N2780" s="3" t="n"/>
      <c r="O2780" s="2" t="n"/>
      <c r="P2780" s="2" t="n"/>
    </row>
    <row r="2781">
      <c r="A2781" s="2" t="n">
        <v>2780</v>
      </c>
      <c r="B2781" s="2" t="inlineStr">
        <is>
          <t>не сюжет</t>
        </is>
      </c>
      <c r="C2781" s="2" t="n">
        <v>11288</v>
      </c>
      <c r="D2781" s="3" t="inlineStr">
        <is>
          <t>Тройка</t>
        </is>
      </c>
      <c r="E2781" s="2" t="n">
        <v>1989</v>
      </c>
      <c r="F2781" s="2" t="inlineStr">
        <is>
          <t>фильм-спектакль</t>
        </is>
      </c>
      <c r="G2781" s="2" t="n"/>
      <c r="H2781" s="2" t="n">
        <v>257</v>
      </c>
      <c r="I2781" s="2" t="inlineStr"/>
      <c r="J2781" s="2" t="inlineStr">
        <is>
          <t>да</t>
        </is>
      </c>
      <c r="K2781" s="3" t="inlineStr">
        <is>
          <t>По одноименной пьесе Юлиу Эдлиса.
О трагических страницах нашей истории, когда так называемое "особое совещание", состоящее из трех человек, выносило суровые приговоры ни в чем неповинным людям.
Выпущено: Главная редакция литературно-драматических программ.</t>
        </is>
      </c>
      <c r="L2781" s="2" t="inlineStr">
        <is>
          <t>https://www.kino-teatr.ru/teatr/movie/95032/annot/</t>
        </is>
      </c>
      <c r="M2781" s="2">
        <f>HYPERLINK("https://ru.wikipedia.org/w/index.php?search=%D0%A2%D1%80%D0%BE%D0%B9%D0%BA%D0%B0%201989%20%D1%84%D0%B8%D0%BB%D1%8C%D0%BC","искать")</f>
        <v/>
      </c>
      <c r="N2781" s="3" t="n"/>
      <c r="O2781" s="2" t="n"/>
      <c r="P2781" s="2" t="n"/>
    </row>
    <row r="2782">
      <c r="A2782" s="2" t="n">
        <v>2781</v>
      </c>
      <c r="B2782" s="2" t="inlineStr">
        <is>
          <t>не сюжет</t>
        </is>
      </c>
      <c r="C2782" s="2" t="n">
        <v>8375</v>
      </c>
      <c r="D2782" s="3" t="inlineStr">
        <is>
          <t>Созвездие Козлотура</t>
        </is>
      </c>
      <c r="E2782" s="2" t="n">
        <v>1989</v>
      </c>
      <c r="F2782" s="2" t="inlineStr">
        <is>
          <t>телефильм</t>
        </is>
      </c>
      <c r="G2782" s="2" t="inlineStr">
        <is>
          <t>Мосфильм</t>
        </is>
      </c>
      <c r="H2782" s="2" t="n">
        <v>258</v>
      </c>
      <c r="I2782" s="2" t="inlineStr"/>
      <c r="J2782" s="2" t="inlineStr">
        <is>
          <t>да</t>
        </is>
      </c>
      <c r="K2782" s="3" t="inlineStr">
        <is>
          <t>Сатирическая комедия по мотивам одноименной повести Фазиля Искандера. Действие происходит в одной из закавказских республик в шестидесятые годы, где развернулась кампания по выведению нового животного козлотура, происходящего от горного тура и домашней козы.</t>
        </is>
      </c>
      <c r="L2782" s="2" t="inlineStr">
        <is>
          <t>Кино_СССР сводный каталог.xlsx: список телефильмов</t>
        </is>
      </c>
      <c r="M2782" s="2">
        <f>HYPERLINK("https://ru.wikipedia.org/w/index.php?search=%D0%A1%D0%BE%D0%B7%D0%B2%D0%B5%D0%B7%D0%B4%D0%B8%D0%B5%20%D0%9A%D0%BE%D0%B7%D0%BB%D0%BE%D1%82%D1%83%D1%80%D0%B0%201989%20%D1%84%D0%B8%D0%BB%D1%8C%D0%BC","искать")</f>
        <v/>
      </c>
      <c r="N2782" s="3" t="n"/>
      <c r="O2782" s="2" t="n"/>
      <c r="P2782" s="2" t="n"/>
    </row>
    <row r="2783">
      <c r="A2783" s="2" t="n">
        <v>2782</v>
      </c>
      <c r="B2783" s="2" t="inlineStr">
        <is>
          <t>не сюжет</t>
        </is>
      </c>
      <c r="C2783" s="2" t="n">
        <v>13521</v>
      </c>
      <c r="D2783" s="3" t="inlineStr">
        <is>
          <t>Женская астрология</t>
        </is>
      </c>
      <c r="E2783" s="2" t="n">
        <v>1991</v>
      </c>
      <c r="F2783" s="2" t="inlineStr">
        <is>
          <t>мультфильм</t>
        </is>
      </c>
      <c r="G2783" s="2" t="inlineStr">
        <is>
          <t>ЭКРАН</t>
        </is>
      </c>
      <c r="H2783" s="2" t="n">
        <v>260</v>
      </c>
      <c r="I2783" s="2" t="inlineStr"/>
      <c r="J2783" s="2" t="inlineStr">
        <is>
          <t>да</t>
        </is>
      </c>
      <c r="K2783" s="3" t="inlineStr">
        <is>
          <t>О мире современной женщины, многообразном, как Вселенная, в которой нет главного и второстепенного, а только разное время разных планет. Сегодня взошла планета Школа, завтра - планета Мода, потом - Работа и Кухня, и только планета Любовь маячит где-то вдалеке.</t>
        </is>
      </c>
      <c r="L2783" s="2" t="inlineStr">
        <is>
          <t>https://animator.ru/db/?p=show_film&amp;fid=4833</t>
        </is>
      </c>
      <c r="M2783" s="2">
        <f>HYPERLINK("https://ru.wikipedia.org/w/index.php?search=%D0%96%D0%B5%D0%BD%D1%81%D0%BA%D0%B0%D1%8F%20%D0%B0%D1%81%D1%82%D1%80%D0%BE%D0%BB%D0%BE%D0%B3%D0%B8%D1%8F%201991%20%D1%84%D0%B8%D0%BB%D1%8C%D0%BC","искать")</f>
        <v/>
      </c>
      <c r="N2783" s="3" t="n"/>
      <c r="O2783" s="2" t="n"/>
      <c r="P2783" s="2" t="n"/>
    </row>
    <row r="2784">
      <c r="A2784" s="2" t="n">
        <v>2783</v>
      </c>
      <c r="B2784" s="2" t="inlineStr">
        <is>
          <t>не сюжет</t>
        </is>
      </c>
      <c r="C2784" s="2" t="n">
        <v>10701</v>
      </c>
      <c r="D2784" s="3" t="inlineStr">
        <is>
          <t>Михаил Ульянов читает рассказы Василия Шукшина</t>
        </is>
      </c>
      <c r="E2784" s="2" t="n">
        <v>1977</v>
      </c>
      <c r="F2784" s="2" t="inlineStr">
        <is>
          <t>фильм-спектакль</t>
        </is>
      </c>
      <c r="G2784" s="2" t="inlineStr">
        <is>
          <t>Центральное телевидение</t>
        </is>
      </c>
      <c r="H2784" s="2" t="n">
        <v>261</v>
      </c>
      <c r="I2784" s="2" t="inlineStr"/>
      <c r="J2784" s="2" t="inlineStr">
        <is>
          <t>да</t>
        </is>
      </c>
      <c r="K2784" s="3" t="inlineStr">
        <is>
          <t>Рассказы Василия Шукшина "Раскас", "Осенью", "Микроскоп" читает артист Михаил Ульянов.
В моноспектакль внесен также личный момент: Ульянов и Шукшин были хорошо знакомы, им доводилось и вместе работать. Поэтому в спектакле есть небольшие вставки от первого лица.</t>
        </is>
      </c>
      <c r="L2784" s="2" t="inlineStr">
        <is>
          <t>https://www.kino-teatr.ru/teatr/movie/103104/annot/</t>
        </is>
      </c>
      <c r="M2784" s="2">
        <f>HYPERLINK("https://ru.wikipedia.org/w/index.php?search=%D0%9C%D0%B8%D1%85%D0%B0%D0%B8%D0%BB%20%D0%A3%D0%BB%D1%8C%D1%8F%D0%BD%D0%BE%D0%B2%20%D1%87%D0%B8%D1%82%D0%B0%D0%B5%D1%82%20%D1%80%D0%B0%D1%81%D1%81%D0%BA%D0%B0%D0%B7%D1%8B%20%D0%92%D0%B0%D1%81%D0%B8%D0%BB%D0%B8%D1%8F%20%D0%A8%D1%83%D0%BA%D1%88%D0%B8%D0%BD%D0%B0%201977%20%D1%84%D0%B8%D0%BB%D1%8C%D0%BC","искать")</f>
        <v/>
      </c>
      <c r="N2784" s="3" t="n"/>
      <c r="O2784" s="2" t="n"/>
      <c r="P2784" s="2" t="n"/>
    </row>
    <row r="2785">
      <c r="A2785" s="2" t="n">
        <v>2784</v>
      </c>
      <c r="B2785" s="2" t="inlineStr">
        <is>
          <t>не сюжет</t>
        </is>
      </c>
      <c r="C2785" s="2" t="n">
        <v>11262</v>
      </c>
      <c r="D2785" s="3" t="inlineStr">
        <is>
          <t>Квартет</t>
        </is>
      </c>
      <c r="E2785" s="2" t="n">
        <v>1989</v>
      </c>
      <c r="F2785" s="2" t="inlineStr">
        <is>
          <t>фильм-спектакль</t>
        </is>
      </c>
      <c r="G2785" s="2" t="inlineStr">
        <is>
          <t>Литовский телефильм</t>
        </is>
      </c>
      <c r="H2785" s="2" t="n">
        <v>261</v>
      </c>
      <c r="I2785" s="2" t="inlineStr"/>
      <c r="J2785" s="2" t="inlineStr">
        <is>
          <t>да</t>
        </is>
      </c>
      <c r="K2785" s="3" t="inlineStr">
        <is>
          <t>Телевизионный спектакль по пьесе польского писателя С.Мрожека. Это гротеск о человеке, потерявшем систему ценностей. Наше существование очень хрупкое, в любой момент может вернуться прошлое. Привидения прошлого могут оказывать влияние на нашу сегодняшнюю жизнь.</t>
        </is>
      </c>
      <c r="L2785" s="2" t="inlineStr">
        <is>
          <t>https://www.kino-teatr.ru/teatr/movie/107254/annot/</t>
        </is>
      </c>
      <c r="M2785" s="2">
        <f>HYPERLINK("https://ru.wikipedia.org/w/index.php?search=%D0%9A%D0%B2%D0%B0%D1%80%D1%82%D0%B5%D1%82%201989%20%D1%84%D0%B8%D0%BB%D1%8C%D0%BC","искать")</f>
        <v/>
      </c>
      <c r="N2785" s="3" t="n"/>
      <c r="O2785" s="2" t="n"/>
      <c r="P2785" s="2" t="n"/>
    </row>
    <row r="2786">
      <c r="A2786" s="2" t="n">
        <v>2785</v>
      </c>
      <c r="B2786" s="2" t="inlineStr">
        <is>
          <t>не сюжет</t>
        </is>
      </c>
      <c r="C2786" s="2" t="n">
        <v>8487</v>
      </c>
      <c r="D2786" s="3" t="inlineStr">
        <is>
          <t>Трудные этажи</t>
        </is>
      </c>
      <c r="E2786" s="2" t="n">
        <v>1974</v>
      </c>
      <c r="F2786" s="2" t="inlineStr">
        <is>
          <t>телефильм</t>
        </is>
      </c>
      <c r="G2786" s="2" t="n"/>
      <c r="H2786" s="2" t="n">
        <v>262</v>
      </c>
      <c r="I2786" s="2" t="inlineStr"/>
      <c r="J2786" s="2" t="inlineStr">
        <is>
          <t>да</t>
        </is>
      </c>
      <c r="K2786" s="3" t="inlineStr">
        <is>
          <t>В сериале рассказывается история о трудовых буднях строителей. Главный герой, Виктор Константинович Нефёдов, является главным инженером строительного треста. Его задача заключается в воспитании ответственного и творческого отношения к работе у членов коллектива.</t>
        </is>
      </c>
      <c r="L2786" s="2" t="inlineStr">
        <is>
          <t>https://ru.wikipedia.org/w/index.php?title=%D0%A2%D1%80%D1%83%D0%B4%D0%BD%D1%8B%D0%B5_%D1%8D%D1%82%D0%B0%D0%B6%D0%B8&amp;oldid=152814405</t>
        </is>
      </c>
      <c r="M2786" s="2">
        <f>HYPERLINK("https://ru.wikipedia.org/w/index.php?search=%D0%A2%D1%80%D1%83%D0%B4%D0%BD%D1%8B%D0%B5%20%D1%8D%D1%82%D0%B0%D0%B6%D0%B8%201974%20%D1%84%D0%B8%D0%BB%D1%8C%D0%BC","искать")</f>
        <v/>
      </c>
      <c r="N2786" s="3" t="n"/>
      <c r="O2786" s="2" t="n"/>
      <c r="P2786" s="2" t="n"/>
    </row>
    <row r="2787">
      <c r="A2787" s="2" t="n">
        <v>2786</v>
      </c>
      <c r="B2787" s="2" t="inlineStr">
        <is>
          <t>не сюжет</t>
        </is>
      </c>
      <c r="C2787" s="2" t="n">
        <v>11157</v>
      </c>
      <c r="D2787" s="3" t="inlineStr">
        <is>
          <t>Идиот (фильм-балет)</t>
        </is>
      </c>
      <c r="E2787" s="2" t="n">
        <v>1987</v>
      </c>
      <c r="F2787" s="2" t="inlineStr">
        <is>
          <t>фильм-спектакль</t>
        </is>
      </c>
      <c r="G2787" s="2" t="inlineStr">
        <is>
          <t>Творческое объединение «Экран» Гостелерадио СССР</t>
        </is>
      </c>
      <c r="H2787" s="2" t="n">
        <v>262</v>
      </c>
      <c r="I2787" s="2" t="inlineStr"/>
      <c r="J2787" s="2" t="inlineStr">
        <is>
          <t>да</t>
        </is>
      </c>
      <c r="K2787" s="3" t="inlineStr">
        <is>
          <t>По роману Ф.М. Достоевского «Идиот» на музыку Шестой симфонии П.И. Чайковского.
Предваряет фильм вступительное слово Иннокентия Смоктуновского, что само по себе является маленьким спектаклем внутри фильма.
В фильме участвуют артисты театра балета Бориса Эйфмана.</t>
        </is>
      </c>
      <c r="L2787" s="2" t="inlineStr">
        <is>
          <t>https://www.kino-teatr.ru/teatr/movie/93538/annot/</t>
        </is>
      </c>
      <c r="M2787" s="2">
        <f>HYPERLINK("https://ru.wikipedia.org/w/index.php?search=%D0%98%D0%B4%D0%B8%D0%BE%D1%82%20%28%D1%84%D0%B8%D0%BB%D1%8C%D0%BC-%D0%B1%D0%B0%D0%BB%D0%B5%D1%82%29%201987%20%D1%84%D0%B8%D0%BB%D1%8C%D0%BC","искать")</f>
        <v/>
      </c>
      <c r="N2787" s="3" t="n"/>
      <c r="O2787" s="2" t="n"/>
      <c r="P2787" s="2" t="n"/>
    </row>
    <row r="2788">
      <c r="A2788" s="2" t="n">
        <v>2787</v>
      </c>
      <c r="B2788" s="2" t="inlineStr">
        <is>
          <t>не сюжет</t>
        </is>
      </c>
      <c r="C2788" s="2" t="n">
        <v>11208</v>
      </c>
      <c r="D2788" s="3" t="inlineStr">
        <is>
          <t>Каса маре</t>
        </is>
      </c>
      <c r="E2788" s="2" t="n">
        <v>1988</v>
      </c>
      <c r="F2788" s="2" t="inlineStr">
        <is>
          <t>фильм-спектакль</t>
        </is>
      </c>
      <c r="G2788" s="2" t="inlineStr">
        <is>
          <t>Литовское телевидение</t>
        </is>
      </c>
      <c r="H2788" s="2" t="n">
        <v>262</v>
      </c>
      <c r="I2788" s="2" t="inlineStr"/>
      <c r="J2788" s="2" t="inlineStr">
        <is>
          <t>да</t>
        </is>
      </c>
      <c r="K2788" s="3" t="inlineStr">
        <is>
          <t>По пьесе молдавского писателя И.Друцэ.
Каса маре - в переводе с молдавского - красный угол дома, душа его, средоточие семейного счастья. Пьеса повествует о любви молодого и простодушного деревенского парня к мудрой и деликатной женщине забальзаковского возраста.</t>
        </is>
      </c>
      <c r="L2788" s="2" t="inlineStr">
        <is>
          <t>https://www.kino-teatr.ru/teatr/movie/107970/annot/</t>
        </is>
      </c>
      <c r="M2788" s="2">
        <f>HYPERLINK("https://ru.wikipedia.org/w/index.php?search=%D0%9A%D0%B0%D1%81%D0%B0%20%D0%BC%D0%B0%D1%80%D0%B5%201988%20%D1%84%D0%B8%D0%BB%D1%8C%D0%BC","искать")</f>
        <v/>
      </c>
      <c r="N2788" s="3" t="n"/>
      <c r="O2788" s="2" t="n"/>
      <c r="P2788" s="2" t="n"/>
    </row>
    <row r="2789">
      <c r="A2789" s="2" t="n">
        <v>2788</v>
      </c>
      <c r="B2789" s="2" t="inlineStr">
        <is>
          <t>не сюжет</t>
        </is>
      </c>
      <c r="C2789" s="2" t="n">
        <v>11711</v>
      </c>
      <c r="D2789" s="3" t="inlineStr">
        <is>
          <t>Остров</t>
        </is>
      </c>
      <c r="E2789" s="2" t="n">
        <v>1973</v>
      </c>
      <c r="F2789" s="2" t="inlineStr">
        <is>
          <t>мультфильм</t>
        </is>
      </c>
      <c r="G2789" s="2" t="inlineStr">
        <is>
          <t>Союзмультфильм</t>
        </is>
      </c>
      <c r="H2789" s="2" t="n">
        <v>262</v>
      </c>
      <c r="I2789" s="2" t="inlineStr"/>
      <c r="J2789" s="2" t="inlineStr">
        <is>
          <t>да</t>
        </is>
      </c>
      <c r="K2789" s="3" t="inlineStr">
        <is>
          <t>IX МФ к/м фильмов в Кракове, 1974 -- Гран-При "Зололтой Дракон Вавеля"; Денежная премия; Диплом СИДАЛЬК; XXVII КФ в Канне, 1974 -- Гран-При "Золотая пальмовая ветвь" "За лучший к/м фильм"; VII ВКФ, Баку 1974 -- Вторая премия по разделу мультипликационных фильмов</t>
        </is>
      </c>
      <c r="L2789" s="2" t="inlineStr">
        <is>
          <t>https://animator.ru/db/?p=show_film&amp;fid=2625</t>
        </is>
      </c>
      <c r="M2789" s="2">
        <f>HYPERLINK("https://ru.wikipedia.org/w/index.php?search=%D0%9E%D1%81%D1%82%D1%80%D0%BE%D0%B2%201973%20%D1%84%D0%B8%D0%BB%D1%8C%D0%BC","искать")</f>
        <v/>
      </c>
      <c r="N2789" s="3" t="n"/>
      <c r="O2789" s="2" t="n"/>
      <c r="P2789" s="2" t="n"/>
    </row>
    <row r="2790">
      <c r="A2790" s="2" t="n">
        <v>2789</v>
      </c>
      <c r="B2790" s="2" t="inlineStr">
        <is>
          <t>не сюжет</t>
        </is>
      </c>
      <c r="C2790" s="2" t="n">
        <v>10803</v>
      </c>
      <c r="D2790" s="3" t="inlineStr">
        <is>
          <t>Идиот</t>
        </is>
      </c>
      <c r="E2790" s="2" t="n">
        <v>1979</v>
      </c>
      <c r="F2790" s="2" t="inlineStr">
        <is>
          <t>фильм-спектакль</t>
        </is>
      </c>
      <c r="G2790" s="2" t="inlineStr">
        <is>
          <t>Театр Вахтангова, ТО Экран</t>
        </is>
      </c>
      <c r="H2790" s="2" t="n">
        <v>263</v>
      </c>
      <c r="I2790" s="2" t="inlineStr"/>
      <c r="J2790" s="2" t="inlineStr">
        <is>
          <t>да</t>
        </is>
      </c>
      <c r="K2790" s="3" t="inlineStr">
        <is>
          <t>Инсценировка Ю.Олеши по роману Ф.Достоевского.
Легендарная постановка вахтанговского театра. Этот спектакль жил несколько десятилетий, его видели зрители разных стран. Это было серьезное, не поверхностное прочтение романа Достоевского — истории мрачной и тяжелой.</t>
        </is>
      </c>
      <c r="L2790" s="2" t="inlineStr">
        <is>
          <t>https://www.kino-teatr.ru/teatr/movie/80602/annot/</t>
        </is>
      </c>
      <c r="M2790" s="2">
        <f>HYPERLINK("https://ru.wikipedia.org/w/index.php?search=%D0%98%D0%B4%D0%B8%D0%BE%D1%82%201979%20%D1%84%D0%B8%D0%BB%D1%8C%D0%BC","искать")</f>
        <v/>
      </c>
      <c r="N2790" s="3" t="n"/>
      <c r="O2790" s="2" t="n"/>
      <c r="P2790" s="2" t="n"/>
    </row>
    <row r="2791">
      <c r="A2791" s="2" t="n">
        <v>2790</v>
      </c>
      <c r="B2791" s="2" t="inlineStr">
        <is>
          <t>не сюжет</t>
        </is>
      </c>
      <c r="C2791" s="2" t="n">
        <v>11378</v>
      </c>
      <c r="D2791" s="3" t="inlineStr">
        <is>
          <t>Маскарад (фильм-балет)</t>
        </is>
      </c>
      <c r="E2791" s="2" t="n">
        <v>1985</v>
      </c>
      <c r="F2791" s="2" t="inlineStr">
        <is>
          <t>фильм-опера/балет</t>
        </is>
      </c>
      <c r="G2791" s="2" t="inlineStr">
        <is>
          <t>ТО «Экран»</t>
        </is>
      </c>
      <c r="H2791" s="2" t="n">
        <v>263</v>
      </c>
      <c r="I2791" s="2" t="inlineStr"/>
      <c r="J2791" s="2" t="inlineStr">
        <is>
          <t>да</t>
        </is>
      </c>
      <c r="K2791" s="3" t="inlineStr">
        <is>
          <t>Фильм-балет Арама Хачатуряна по произведениям Михаила Лермонтова "Маскарад". Впервые этот балет был поставлен в 1982 году в Одессе. Хореографы – Наталия Рыженко и Виктор Смирнов-Голованов. В 1985 году была снята его киноверсия с Никитой Долгушиным в главной роли.</t>
        </is>
      </c>
      <c r="L2791" s="2" t="inlineStr">
        <is>
          <t>Кино_СССР телефильмы и пропуски включить в базу.xlsx</t>
        </is>
      </c>
      <c r="M2791" s="2">
        <f>HYPERLINK("https://ru.wikipedia.org/w/index.php?search=%D0%9C%D0%B0%D1%81%D0%BA%D0%B0%D1%80%D0%B0%D0%B4%20%28%D1%84%D0%B8%D0%BB%D1%8C%D0%BC-%D0%B1%D0%B0%D0%BB%D0%B5%D1%82%29%201985%20%D1%84%D0%B8%D0%BB%D1%8C%D0%BC","искать")</f>
        <v/>
      </c>
      <c r="N2791" s="3" t="n"/>
      <c r="O2791" s="2" t="n"/>
      <c r="P2791" s="2" t="n"/>
    </row>
    <row r="2792">
      <c r="A2792" s="2" t="n">
        <v>2791</v>
      </c>
      <c r="B2792" s="2" t="inlineStr">
        <is>
          <t>не сюжет</t>
        </is>
      </c>
      <c r="C2792" s="2" t="n">
        <v>8803</v>
      </c>
      <c r="D2792" s="3" t="inlineStr">
        <is>
          <t>Любовь - мелодия</t>
        </is>
      </c>
      <c r="E2792" s="2" t="n">
        <v>1974</v>
      </c>
      <c r="F2792" s="2" t="inlineStr">
        <is>
          <t>кинофильм</t>
        </is>
      </c>
      <c r="G2792" s="2" t="n"/>
      <c r="H2792" s="2" t="n">
        <v>264</v>
      </c>
      <c r="I2792" s="2" t="inlineStr"/>
      <c r="J2792" s="2" t="inlineStr">
        <is>
          <t>да</t>
        </is>
      </c>
      <c r="K2792" s="3" t="inlineStr">
        <is>
          <t>Музыкальный фильм о творчестве солиста Ленинградского государственного академического театра оперы и балета им. С.М.Кирова (ныне Мариинский театр) Константина Плужникова. Его красивый голос, умение проникнуть в образ героя, редкая музыкальность принесли ему успех.</t>
        </is>
      </c>
      <c r="L2792" s="2" t="inlineStr">
        <is>
          <t>Кино_СССР сводный каталог.xlsx: список фильмов (доп.)</t>
        </is>
      </c>
      <c r="M2792" s="2">
        <f>HYPERLINK("https://ru.wikipedia.org/w/index.php?search=%D0%9B%D1%8E%D0%B1%D0%BE%D0%B2%D1%8C%20-%20%D0%BC%D0%B5%D0%BB%D0%BE%D0%B4%D0%B8%D1%8F%201974%20%D1%84%D0%B8%D0%BB%D1%8C%D0%BC","искать")</f>
        <v/>
      </c>
      <c r="N2792" s="3" t="n"/>
      <c r="O2792" s="2" t="n"/>
      <c r="P2792" s="2" t="n"/>
    </row>
    <row r="2793">
      <c r="A2793" s="2" t="n">
        <v>2792</v>
      </c>
      <c r="B2793" s="2" t="inlineStr">
        <is>
          <t>не сюжет</t>
        </is>
      </c>
      <c r="C2793" s="2" t="n">
        <v>10830</v>
      </c>
      <c r="D2793" s="3" t="inlineStr">
        <is>
          <t>Альманах сатиры и юмора</t>
        </is>
      </c>
      <c r="E2793" s="2" t="n">
        <v>1980</v>
      </c>
      <c r="F2793" s="2" t="inlineStr">
        <is>
          <t>фильм-спектакль</t>
        </is>
      </c>
      <c r="G2793" s="2" t="inlineStr">
        <is>
          <t>Гл. ред. лит-драм программ</t>
        </is>
      </c>
      <c r="H2793" s="2" t="n">
        <v>264</v>
      </c>
      <c r="I2793" s="2" t="inlineStr"/>
      <c r="J2793" s="2" t="inlineStr">
        <is>
          <t>да</t>
        </is>
      </c>
      <c r="K2793" s="3" t="inlineStr">
        <is>
          <t>Комические истории, где «смех является единственным честным и благородным лицом» в интермедиях А.П.Чехова "Дорогая собака", В.Драгунского "Змея", В.Катаева "Шубка", отрывок оперетты И.Штрауса "Летучая мышь" (текст Н.Эрдмана), интермедия Г.Горина "Повязка на ноге".</t>
        </is>
      </c>
      <c r="L2793" s="2" t="inlineStr">
        <is>
          <t>https://www.kino-teatr.ru/teatr/movie/16368/annot/</t>
        </is>
      </c>
      <c r="M2793" s="2">
        <f>HYPERLINK("https://ru.wikipedia.org/w/index.php?search=%D0%90%D0%BB%D1%8C%D0%BC%D0%B0%D0%BD%D0%B0%D1%85%20%D1%81%D0%B0%D1%82%D0%B8%D1%80%D1%8B%20%D0%B8%20%D1%8E%D0%BC%D0%BE%D1%80%D0%B0%201980%20%D1%84%D0%B8%D0%BB%D1%8C%D0%BC","искать")</f>
        <v/>
      </c>
      <c r="N2793" s="3" t="n"/>
      <c r="O2793" s="2" t="n"/>
      <c r="P2793" s="2" t="n"/>
    </row>
    <row r="2794">
      <c r="A2794" s="2" t="n">
        <v>2793</v>
      </c>
      <c r="B2794" s="2" t="inlineStr">
        <is>
          <t>не сюжет</t>
        </is>
      </c>
      <c r="C2794" s="2" t="n">
        <v>7502</v>
      </c>
      <c r="D2794" s="3" t="inlineStr">
        <is>
          <t>День моих сыновей</t>
        </is>
      </c>
      <c r="E2794" s="2" t="n">
        <v>1972</v>
      </c>
      <c r="F2794" s="2" t="inlineStr">
        <is>
          <t>телефильм</t>
        </is>
      </c>
      <c r="G2794" s="2" t="inlineStr">
        <is>
          <t>Беларусьфильм</t>
        </is>
      </c>
      <c r="H2794" s="2" t="n">
        <v>265</v>
      </c>
      <c r="I2794" s="2" t="inlineStr"/>
      <c r="J2794" s="2" t="inlineStr">
        <is>
          <t>да</t>
        </is>
      </c>
      <c r="K2794" s="3" t="inlineStr">
        <is>
          <t>Телефильм об одном дне из жизни рабочего Петра Руднева и четырех его сыновей, которых Руднев воспитывал один после смерти жены. У каждого из членов семьи свои проблемы и заботы, но всех их объединяют трудолюбие, принципиальность, доброжелательное отношение к людям.</t>
        </is>
      </c>
      <c r="L2794" s="2" t="inlineStr">
        <is>
          <t>Кино_СССР сводный каталог.xlsx: список телефильмов</t>
        </is>
      </c>
      <c r="M2794" s="2">
        <f>HYPERLINK("https://ru.wikipedia.org/w/index.php?search=%D0%94%D0%B5%D0%BD%D1%8C%20%D0%BC%D0%BE%D0%B8%D1%85%20%D1%81%D1%8B%D0%BD%D0%BE%D0%B2%D0%B5%D0%B9%201972%20%D1%84%D0%B8%D0%BB%D1%8C%D0%BC","искать")</f>
        <v/>
      </c>
      <c r="N2794" s="3" t="n"/>
      <c r="O2794" s="2" t="n"/>
      <c r="P2794" s="2" t="n"/>
    </row>
    <row r="2795">
      <c r="A2795" s="2" t="n">
        <v>2794</v>
      </c>
      <c r="B2795" s="2" t="inlineStr">
        <is>
          <t>не сюжет</t>
        </is>
      </c>
      <c r="C2795" s="2" t="n">
        <v>9202</v>
      </c>
      <c r="D2795" s="3" t="inlineStr">
        <is>
          <t>Анекдот</t>
        </is>
      </c>
      <c r="E2795" s="2" t="n">
        <v>1989</v>
      </c>
      <c r="F2795" s="2" t="inlineStr">
        <is>
          <t>кинофильм</t>
        </is>
      </c>
      <c r="G2795" s="2" t="n"/>
      <c r="H2795" s="2" t="n">
        <v>265</v>
      </c>
      <c r="I2795" s="2" t="inlineStr"/>
      <c r="J2795" s="2" t="inlineStr">
        <is>
          <t>да</t>
        </is>
      </c>
      <c r="K2795" s="3" t="inlineStr">
        <is>
          <t>Фильм в жанре социального памфлета о деятельности партийных работников и государственных чиновников, поступки которых не сходятся с их словами. Показаны абсурд конца 1980-х, продажность чиновников и прокуроров, глупость и алчность партийных и комсомольских вожаков.</t>
        </is>
      </c>
      <c r="L2795" s="2" t="inlineStr">
        <is>
          <t>Кино_СССР сводный каталог.xlsx: список фильмов (доп.)</t>
        </is>
      </c>
      <c r="M2795" s="2">
        <f>HYPERLINK("https://ru.wikipedia.org/w/index.php?search=%D0%90%D0%BD%D0%B5%D0%BA%D0%B4%D0%BE%D1%82%201989%20%D1%84%D0%B8%D0%BB%D1%8C%D0%BC","искать")</f>
        <v/>
      </c>
      <c r="N2795" s="3" t="n"/>
      <c r="O2795" s="2" t="n"/>
      <c r="P2795" s="2" t="n"/>
    </row>
    <row r="2796">
      <c r="A2796" s="2" t="n">
        <v>2795</v>
      </c>
      <c r="B2796" s="2" t="inlineStr">
        <is>
          <t>не сюжет</t>
        </is>
      </c>
      <c r="C2796" s="2" t="n">
        <v>10793</v>
      </c>
      <c r="D2796" s="3" t="inlineStr">
        <is>
          <t>Василий Тёркин</t>
        </is>
      </c>
      <c r="E2796" s="2" t="n">
        <v>1979</v>
      </c>
      <c r="F2796" s="2" t="inlineStr">
        <is>
          <t>фильм-спектакль</t>
        </is>
      </c>
      <c r="G2796" s="2" t="n"/>
      <c r="H2796" s="2" t="n">
        <v>265</v>
      </c>
      <c r="I2796" s="2" t="inlineStr"/>
      <c r="J2796" s="2" t="inlineStr">
        <is>
          <t>да</t>
        </is>
      </c>
      <c r="K2796" s="3" t="inlineStr">
        <is>
          <t>Фильм-моноспектакль по одноименной поэме Александра Твардовского — «Василий Теркин».
Теркин - кто же он такой?
Скажем откровенно:
Просто парень сам собой
Он обыкновенный.
Впрочем, парень хоть куда.
Парень в этом роде
В каждой роте есть всегда,
Да и в каждом взводе.</t>
        </is>
      </c>
      <c r="L2796" s="2" t="inlineStr">
        <is>
          <t>https://www.kino-teatr.ru/teatr/movie/89964/annot/</t>
        </is>
      </c>
      <c r="M2796" s="2">
        <f>HYPERLINK("https://ru.wikipedia.org/w/index.php?search=%D0%92%D0%B0%D1%81%D0%B8%D0%BB%D0%B8%D0%B9%20%D0%A2%D1%91%D1%80%D0%BA%D0%B8%D0%BD%201979%20%D1%84%D0%B8%D0%BB%D1%8C%D0%BC","искать")</f>
        <v/>
      </c>
      <c r="N2796" s="3" t="n"/>
      <c r="O2796" s="2" t="n"/>
      <c r="P2796" s="2" t="n"/>
    </row>
    <row r="2797">
      <c r="A2797" s="2" t="n">
        <v>2796</v>
      </c>
      <c r="B2797" s="2" t="inlineStr">
        <is>
          <t>не сюжет</t>
        </is>
      </c>
      <c r="C2797" s="2" t="n">
        <v>11321</v>
      </c>
      <c r="D2797" s="3" t="inlineStr">
        <is>
          <t>Свалка</t>
        </is>
      </c>
      <c r="E2797" s="2" t="n">
        <v>1990</v>
      </c>
      <c r="F2797" s="2" t="inlineStr">
        <is>
          <t>фильм-спектакль</t>
        </is>
      </c>
      <c r="G2797" s="2" t="inlineStr">
        <is>
          <t>Главная редакция литературно-художественных программ ЦТ</t>
        </is>
      </c>
      <c r="H2797" s="2" t="n">
        <v>265</v>
      </c>
      <c r="I2797" s="2" t="inlineStr"/>
      <c r="J2797" s="2" t="inlineStr">
        <is>
          <t>да</t>
        </is>
      </c>
      <c r="K2797" s="3" t="inlineStr">
        <is>
          <t>По одноименной пьесе Алексея Дударева в постановке Московского областного театра драмы и комедии (г. Ногинск).
Герои пьесы - бродяги, живущие на городской свалке. Они влачат жалкое существование, но в каждом из них жива страдающая душа, стемящаяся обрести прощение.</t>
        </is>
      </c>
      <c r="L2797" s="2" t="inlineStr">
        <is>
          <t>https://www.kino-teatr.ru/teatr/movie/108059/annot/</t>
        </is>
      </c>
      <c r="M2797" s="2">
        <f>HYPERLINK("https://ru.wikipedia.org/w/index.php?search=%D0%A1%D0%B2%D0%B0%D0%BB%D0%BA%D0%B0%201990%20%D1%84%D0%B8%D0%BB%D1%8C%D0%BC","искать")</f>
        <v/>
      </c>
      <c r="N2797" s="3" t="n"/>
      <c r="O2797" s="2" t="n"/>
      <c r="P2797" s="2" t="n"/>
    </row>
    <row r="2798">
      <c r="A2798" s="2" t="n">
        <v>2797</v>
      </c>
      <c r="B2798" s="2" t="inlineStr">
        <is>
          <t>не сюжет</t>
        </is>
      </c>
      <c r="C2798" s="2" t="n">
        <v>9414</v>
      </c>
      <c r="D2798" s="3" t="inlineStr">
        <is>
          <t>Кемине</t>
        </is>
      </c>
      <c r="E2798" s="2" t="n">
        <v>1991</v>
      </c>
      <c r="F2798" s="2" t="inlineStr">
        <is>
          <t>кинофильм</t>
        </is>
      </c>
      <c r="G2798" s="2" t="n"/>
      <c r="H2798" s="2" t="n">
        <v>266</v>
      </c>
      <c r="I2798" s="2" t="inlineStr"/>
      <c r="J2798" s="2" t="inlineStr">
        <is>
          <t>да</t>
        </is>
      </c>
      <c r="K2798" s="3" t="inlineStr">
        <is>
          <t>Историко-биографический фильм. Кемине — классик туркменской литературы, вошедший в историю восточной культуры как выдающийся поэт-сатирик, философ, личность подлинно трагическая в своих поисках истины и справедливости. Авторы фильма предлагают свою версию его жизни.</t>
        </is>
      </c>
      <c r="L2798" s="2" t="inlineStr">
        <is>
          <t>Кино_СССР сводный каталог.xlsx: список фильмов (доп.)</t>
        </is>
      </c>
      <c r="M2798" s="2">
        <f>HYPERLINK("https://ru.wikipedia.org/w/index.php?search=%D0%9A%D0%B5%D0%BC%D0%B8%D0%BD%D0%B5%201991%20%D1%84%D0%B8%D0%BB%D1%8C%D0%BC","искать")</f>
        <v/>
      </c>
      <c r="N2798" s="3" t="n"/>
      <c r="O2798" s="2" t="n"/>
      <c r="P2798" s="2" t="n"/>
    </row>
    <row r="2799">
      <c r="A2799" s="2" t="n">
        <v>2798</v>
      </c>
      <c r="B2799" s="2" t="inlineStr">
        <is>
          <t>не сюжет</t>
        </is>
      </c>
      <c r="C2799" s="2" t="n">
        <v>11699</v>
      </c>
      <c r="D2799" s="3" t="inlineStr">
        <is>
          <t>В мире басен</t>
        </is>
      </c>
      <c r="E2799" s="2" t="n">
        <v>1973</v>
      </c>
      <c r="F2799" s="2" t="inlineStr">
        <is>
          <t>мультфильм</t>
        </is>
      </c>
      <c r="G2799" s="2" t="inlineStr">
        <is>
          <t>Союзмультфильм</t>
        </is>
      </c>
      <c r="H2799" s="2" t="n">
        <v>266</v>
      </c>
      <c r="I2799" s="2" t="inlineStr"/>
      <c r="J2799" s="2" t="inlineStr">
        <is>
          <t>да</t>
        </is>
      </c>
      <c r="K2799" s="3" t="inlineStr">
        <is>
          <t>В.Волосов - псевдоним Владимира Янкилевского
На основе басен Крылова "Любопытный", "Осел и Соловей" "Кукушка и Петух". Использованы рисунки Пушкина и картина Г.Чернецова "Парад на Марсовом поле".
При участии камерного ансамбля "Мадригал" под управлением Льва Маркиза</t>
        </is>
      </c>
      <c r="L2799" s="2" t="inlineStr">
        <is>
          <t>https://animator.ru/db/?p=show_film&amp;fid=2613</t>
        </is>
      </c>
      <c r="M2799" s="2">
        <f>HYPERLINK("https://ru.wikipedia.org/w/index.php?search=%D0%92%20%D0%BC%D0%B8%D1%80%D0%B5%20%D0%B1%D0%B0%D1%81%D0%B5%D0%BD%201973%20%D1%84%D0%B8%D0%BB%D1%8C%D0%BC","искать")</f>
        <v/>
      </c>
      <c r="N2799" s="3" t="n"/>
      <c r="O2799" s="2" t="n"/>
      <c r="P2799" s="2" t="n"/>
    </row>
    <row r="2800">
      <c r="A2800" s="2" t="n">
        <v>2799</v>
      </c>
      <c r="B2800" s="2" t="inlineStr">
        <is>
          <t>не сюжет</t>
        </is>
      </c>
      <c r="C2800" s="2" t="n">
        <v>11380</v>
      </c>
      <c r="D2800" s="3" t="inlineStr">
        <is>
          <t>Принц и нищий (фильм-балет)</t>
        </is>
      </c>
      <c r="E2800" s="2" t="n">
        <v>1985</v>
      </c>
      <c r="F2800" s="2" t="inlineStr">
        <is>
          <t>фильм-опера/балет</t>
        </is>
      </c>
      <c r="G2800" s="2" t="n"/>
      <c r="H2800" s="2" t="n">
        <v>268</v>
      </c>
      <c r="I2800" s="2" t="inlineStr"/>
      <c r="J2800" s="2" t="inlineStr">
        <is>
          <t>да</t>
        </is>
      </c>
      <c r="K2800" s="3" t="inlineStr">
        <is>
          <t>Фильм-балет по мотивам одноименной повести Марка Твена. При участии Ленинградской балетной группы «Хореографической миниатюры» и оркестра Киевского театра, под управлением дирижера Е. Колобова. Художественный руководитель Аскольд Макаров. Балетмейстер Наталья Волкова.</t>
        </is>
      </c>
      <c r="L2800" s="2" t="inlineStr">
        <is>
          <t>Кино_СССР телефильмы и пропуски включить в базу.xlsx</t>
        </is>
      </c>
      <c r="M2800" s="2">
        <f>HYPERLINK("https://ru.wikipedia.org/w/index.php?search=%D0%9F%D1%80%D0%B8%D0%BD%D1%86%20%D0%B8%20%D0%BD%D0%B8%D1%89%D0%B8%D0%B9%20%28%D1%84%D0%B8%D0%BB%D1%8C%D0%BC-%D0%B1%D0%B0%D0%BB%D0%B5%D1%82%29%201985%20%D1%84%D0%B8%D0%BB%D1%8C%D0%BC","искать")</f>
        <v/>
      </c>
      <c r="N2800" s="3" t="n"/>
      <c r="O2800" s="2" t="n"/>
      <c r="P2800" s="2" t="n"/>
    </row>
    <row r="2801">
      <c r="A2801" s="2" t="n">
        <v>2800</v>
      </c>
      <c r="B2801" s="2" t="inlineStr">
        <is>
          <t>не сюжет</t>
        </is>
      </c>
      <c r="C2801" s="2" t="n">
        <v>8078</v>
      </c>
      <c r="D2801" s="3" t="inlineStr">
        <is>
          <t>Память земли</t>
        </is>
      </c>
      <c r="E2801" s="2" t="n">
        <v>1976</v>
      </c>
      <c r="F2801" s="2" t="inlineStr">
        <is>
          <t>телефильм</t>
        </is>
      </c>
      <c r="G2801" s="2" t="n"/>
      <c r="H2801" s="2" t="n">
        <v>269</v>
      </c>
      <c r="I2801" s="2" t="inlineStr"/>
      <c r="J2801" s="2" t="inlineStr">
        <is>
          <t>да</t>
        </is>
      </c>
      <c r="K2801" s="3" t="inlineStr">
        <is>
          <t>Донские станицы, издавна лежавшие в благодатной цветущей пойме, должны были уходить под воду рукотворного Цимлянского водохранилища. Исчезнут и хутор, и колхоз имени легендарного героя гражданской войны Матвея Шепеткова, а его семья и односельчане станут переселенцами.</t>
        </is>
      </c>
      <c r="L2801" s="2" t="inlineStr">
        <is>
          <t>https://ru.wikipedia.org/w/index.php?title=%D0%9F%D0%B0%D0%BC%D1%8F%D1%82%D1%8C_%D0%B7%D0%B5%D0%BC%D0%BB%D0%B8_%28%D1%84%D0%B8%D0%BB%D1%8C%D0%BC%29&amp;oldid=152641680</t>
        </is>
      </c>
      <c r="M2801" s="2">
        <f>HYPERLINK("https://ru.wikipedia.org/w/index.php?search=%D0%9F%D0%B0%D0%BC%D1%8F%D1%82%D1%8C%20%D0%B7%D0%B5%D0%BC%D0%BB%D0%B8%201976%20%D1%84%D0%B8%D0%BB%D1%8C%D0%BC","искать")</f>
        <v/>
      </c>
      <c r="N2801" s="3" t="n"/>
      <c r="O2801" s="2" t="n"/>
      <c r="P2801" s="2" t="n"/>
    </row>
    <row r="2802">
      <c r="A2802" s="2" t="n">
        <v>2801</v>
      </c>
      <c r="B2802" s="2" t="inlineStr">
        <is>
          <t>не сюжет</t>
        </is>
      </c>
      <c r="C2802" s="2" t="n">
        <v>9478</v>
      </c>
      <c r="D2802" s="3" t="inlineStr">
        <is>
          <t>Мой друг Наврузов</t>
        </is>
      </c>
      <c r="E2802" s="2" t="n">
        <v>1957</v>
      </c>
      <c r="F2802" s="2" t="inlineStr">
        <is>
          <t>кинофильм</t>
        </is>
      </c>
      <c r="G2802" s="2" t="n"/>
      <c r="H2802" s="2" t="n">
        <v>269</v>
      </c>
      <c r="I2802" s="2" t="inlineStr"/>
      <c r="J2802" s="2" t="inlineStr">
        <is>
          <t>да</t>
        </is>
      </c>
      <c r="K2802" s="3" t="inlineStr">
        <is>
          <t>Остросоциальная драма, прославляющая новаторские взгляды, нормы управления народным хозяйством, прогрессивного героя, агронома Джуры Наврузова, обладающего высокими нравственными принципами, с особо обострённым чувством ответственности перед социалистическим обществом.</t>
        </is>
      </c>
      <c r="L2802" s="2" t="inlineStr">
        <is>
          <t>https://ru.wikipedia.org/w/index.php?title=%D0%9C%D0%BE%D0%B9_%D0%B4%D1%80%D1%83%D0%B3_%D0%9D%D0%B0%D0%B2%D1%80%D1%83%D0%B7%D0%BE%D0%B2&amp;oldid=154699891</t>
        </is>
      </c>
      <c r="M2802" s="2">
        <f>HYPERLINK("https://ru.wikipedia.org/w/index.php?search=%D0%9C%D0%BE%D0%B9%20%D0%B4%D1%80%D1%83%D0%B3%20%D0%9D%D0%B0%D0%B2%D1%80%D1%83%D0%B7%D0%BE%D0%B2%201957%20%D1%84%D0%B8%D0%BB%D1%8C%D0%BC","искать")</f>
        <v/>
      </c>
      <c r="N2802" s="3" t="n"/>
      <c r="O2802" s="2" t="n"/>
      <c r="P2802" s="2" t="n"/>
    </row>
    <row r="2803">
      <c r="A2803" s="2" t="n">
        <v>2802</v>
      </c>
      <c r="B2803" s="2" t="inlineStr">
        <is>
          <t>не сюжет</t>
        </is>
      </c>
      <c r="C2803" s="2" t="n">
        <v>11655</v>
      </c>
      <c r="D2803" s="3" t="inlineStr">
        <is>
          <t>Аве Мария</t>
        </is>
      </c>
      <c r="E2803" s="2" t="n">
        <v>1972</v>
      </c>
      <c r="F2803" s="2" t="inlineStr">
        <is>
          <t>мультфильм</t>
        </is>
      </c>
      <c r="G2803" s="2" t="inlineStr">
        <is>
          <t>Союзмультфильм</t>
        </is>
      </c>
      <c r="H2803" s="2" t="n">
        <v>269</v>
      </c>
      <c r="I2803" s="2" t="inlineStr"/>
      <c r="J2803" s="2" t="inlineStr">
        <is>
          <t>да</t>
        </is>
      </c>
      <c r="K2803" s="3" t="inlineStr">
        <is>
          <t>Фильм вскрывает ханжество и лицемерие господствующих классов современной Америки, которые, прикрываясь высокими словами о мире, апеллируя к богу, ведут жестокую войну против вьетнамских патриотов, войну, которая несет горе и простым американцам. На музыку арии Шуберта.</t>
        </is>
      </c>
      <c r="L2803" s="2" t="inlineStr">
        <is>
          <t>2026-10_мультфильмы_список_владельца.xlsx; https://animator.ru/db/?p=show_film&amp;fid=2569</t>
        </is>
      </c>
      <c r="M2803" s="2">
        <f>HYPERLINK("https://ru.wikipedia.org/w/index.php?search=%D0%90%D0%B2%D0%B5%20%D0%9C%D0%B0%D1%80%D0%B8%D1%8F%201972%20%D1%84%D0%B8%D0%BB%D1%8C%D0%BC","искать")</f>
        <v/>
      </c>
      <c r="N2803" s="3" t="n"/>
      <c r="O2803" s="2" t="n"/>
      <c r="P2803" s="2" t="n"/>
    </row>
    <row r="2804">
      <c r="A2804" s="2" t="n">
        <v>2803</v>
      </c>
      <c r="B2804" s="2" t="inlineStr">
        <is>
          <t>не сюжет</t>
        </is>
      </c>
      <c r="C2804" s="2" t="n">
        <v>8143</v>
      </c>
      <c r="D2804" s="3" t="inlineStr">
        <is>
          <t>Поединок</t>
        </is>
      </c>
      <c r="E2804" s="2" t="n">
        <v>1984</v>
      </c>
      <c r="F2804" s="2" t="inlineStr">
        <is>
          <t>телефильм</t>
        </is>
      </c>
      <c r="G2804" s="2" t="n"/>
      <c r="H2804" s="2" t="n">
        <v>271</v>
      </c>
      <c r="I2804" s="2" t="inlineStr"/>
      <c r="J2804" s="2" t="inlineStr">
        <is>
          <t>да</t>
        </is>
      </c>
      <c r="K2804" s="3" t="inlineStr">
        <is>
          <t>Телефильм по одноименной пьесе Н.Матуковского в постановке Белорусского государственнного драматического театра имени Якуба Коласа. О руководителе партизанского движения в годы Великой Отечественной войны в Белоруссии Константине Сергеевиче Заслонове. Постановка Б.Эрина.</t>
        </is>
      </c>
      <c r="L2804" s="2" t="inlineStr">
        <is>
          <t>Кино_СССР сводный каталог.xlsx: список телефильмов</t>
        </is>
      </c>
      <c r="M2804" s="2">
        <f>HYPERLINK("https://ru.wikipedia.org/w/index.php?search=%D0%9F%D0%BE%D0%B5%D0%B4%D0%B8%D0%BD%D0%BE%D0%BA%201984%20%D1%84%D0%B8%D0%BB%D1%8C%D0%BC","искать")</f>
        <v/>
      </c>
      <c r="N2804" s="3" t="n"/>
      <c r="O2804" s="2" t="n"/>
      <c r="P2804" s="2" t="n"/>
    </row>
    <row r="2805">
      <c r="A2805" s="2" t="n">
        <v>2804</v>
      </c>
      <c r="B2805" s="2" t="inlineStr">
        <is>
          <t>не сюжет</t>
        </is>
      </c>
      <c r="C2805" s="2" t="n">
        <v>9492</v>
      </c>
      <c r="D2805" s="3" t="inlineStr">
        <is>
          <t>Начало неведомого века (киноальманах)</t>
        </is>
      </c>
      <c r="E2805" s="2" t="n">
        <v>1967</v>
      </c>
      <c r="F2805" s="2" t="inlineStr">
        <is>
          <t>кинофильм</t>
        </is>
      </c>
      <c r="G2805" s="2" t="n"/>
      <c r="H2805" s="2" t="n">
        <v>271</v>
      </c>
      <c r="I2805" s="2" t="inlineStr"/>
      <c r="J2805" s="2" t="inlineStr">
        <is>
          <t>да</t>
        </is>
      </c>
      <c r="K2805" s="3" t="inlineStr">
        <is>
          <t>Киноальманах «Начало неведомого века» начинал сниматься как фильм, состоящий из трех новелл: * «Ангел» (1967) (реж. А.Смирнов); * «Мотря» (1969)(реж. Г.Габай); * «Родина электричества» (1967) (реж. Л.Шепитько). Новелла "Мотря" вышла на экраны отдельно, в сентябре 1969 г.</t>
        </is>
      </c>
      <c r="L2805" s="2" t="inlineStr">
        <is>
          <t>Кино_СССР сводный каталог.xlsx: список фильмов (доп.)</t>
        </is>
      </c>
      <c r="M2805" s="2">
        <f>HYPERLINK("https://ru.wikipedia.org/w/index.php?search=%D0%9D%D0%B0%D1%87%D0%B0%D0%BB%D0%BE%20%D0%BD%D0%B5%D0%B2%D0%B5%D0%B4%D0%BE%D0%BC%D0%BE%D0%B3%D0%BE%20%D0%B2%D0%B5%D0%BA%D0%B0%20%28%D0%BA%D0%B8%D0%BD%D0%BE%D0%B0%D0%BB%D1%8C%D0%BC%D0%B0%D0%BD%D0%B0%D1%85%29%201967%20%D1%84%D0%B8%D0%BB%D1%8C%D0%BC","искать")</f>
        <v/>
      </c>
      <c r="N2805" s="3" t="n"/>
      <c r="O2805" s="2" t="n"/>
      <c r="P2805" s="2" t="n"/>
    </row>
    <row r="2806">
      <c r="A2806" s="2" t="n">
        <v>2805</v>
      </c>
      <c r="B2806" s="2" t="inlineStr">
        <is>
          <t>не сюжет</t>
        </is>
      </c>
      <c r="C2806" s="2" t="n">
        <v>7229</v>
      </c>
      <c r="D2806" s="3" t="inlineStr">
        <is>
          <t>Бабур</t>
        </is>
      </c>
      <c r="E2806" s="2" t="n">
        <v>1990</v>
      </c>
      <c r="F2806" s="2" t="inlineStr">
        <is>
          <t>телефильм</t>
        </is>
      </c>
      <c r="G2806" s="2" t="n"/>
      <c r="H2806" s="2" t="n">
        <v>272</v>
      </c>
      <c r="I2806" s="2" t="inlineStr"/>
      <c r="J2806" s="2" t="inlineStr">
        <is>
          <t>да</t>
        </is>
      </c>
      <c r="K2806" s="3" t="inlineStr">
        <is>
          <t>Сериал снят по мотивам произведения известного узбекского советского писателя Пиримкула Кадырова «Звездные ночи» и рассказывает о жизни Захириддина Мухаммада Бабура, царя и военачальника, о печальной, но в то же время знаменитой и поучительной его жизни и творческом пути.</t>
        </is>
      </c>
      <c r="L2806" s="2" t="inlineStr">
        <is>
          <t>Кино_СССР сводный каталог.xlsx: список телефильмов</t>
        </is>
      </c>
      <c r="M2806" s="2">
        <f>HYPERLINK("https://ru.wikipedia.org/w/index.php?search=%D0%91%D0%B0%D0%B1%D1%83%D1%80%201990%20%D1%84%D0%B8%D0%BB%D1%8C%D0%BC","искать")</f>
        <v/>
      </c>
      <c r="N2806" s="3" t="n"/>
      <c r="O2806" s="2" t="n"/>
      <c r="P2806" s="2" t="n"/>
    </row>
    <row r="2807">
      <c r="A2807" s="2" t="n">
        <v>2806</v>
      </c>
      <c r="B2807" s="2" t="inlineStr">
        <is>
          <t>не сюжет</t>
        </is>
      </c>
      <c r="C2807" s="2" t="n">
        <v>11816</v>
      </c>
      <c r="D2807" s="3" t="inlineStr">
        <is>
          <t>Стадион шиворот-навыворот</t>
        </is>
      </c>
      <c r="E2807" s="2" t="n">
        <v>1976</v>
      </c>
      <c r="F2807" s="2" t="inlineStr">
        <is>
          <t>мультфильм</t>
        </is>
      </c>
      <c r="G2807" s="2" t="inlineStr">
        <is>
          <t>Союзмультфильм</t>
        </is>
      </c>
      <c r="H2807" s="2" t="n">
        <v>275</v>
      </c>
      <c r="I2807" s="2" t="inlineStr"/>
      <c r="J2807" s="2" t="inlineStr">
        <is>
          <t>да</t>
        </is>
      </c>
      <c r="K2807" s="3" t="inlineStr">
        <is>
          <t>Эксцентрическая трюковая спортивная комедия, высмеивающая тех ребят, которые знают спорт только по телевизионным передачам, а сами им не занимаются, хотя и считают себя спортсменами.
Участвует вокально-инструментальный ансамбль "Оловянные солдатики" под руководством А.Горина</t>
        </is>
      </c>
      <c r="L2807" s="2" t="inlineStr">
        <is>
          <t>https://animator.ru/db/?p=show_film&amp;fid=2730</t>
        </is>
      </c>
      <c r="M2807" s="2">
        <f>HYPERLINK("https://ru.wikipedia.org/w/index.php?search=%D0%A1%D1%82%D0%B0%D0%B4%D0%B8%D0%BE%D0%BD%20%D1%88%D0%B8%D0%B2%D0%BE%D1%80%D0%BE%D1%82-%D0%BD%D0%B0%D0%B2%D1%8B%D0%B2%D0%BE%D1%80%D0%BE%D1%82%201976%20%D1%84%D0%B8%D0%BB%D1%8C%D0%BC","искать")</f>
        <v/>
      </c>
      <c r="N2807" s="3" t="n"/>
      <c r="O2807" s="2" t="n"/>
      <c r="P2807" s="2" t="n"/>
    </row>
    <row r="2808">
      <c r="A2808" s="2" t="n">
        <v>2807</v>
      </c>
      <c r="B2808" s="2" t="inlineStr">
        <is>
          <t>не сюжет</t>
        </is>
      </c>
      <c r="C2808" s="2" t="n">
        <v>8120</v>
      </c>
      <c r="D2808" s="3" t="inlineStr">
        <is>
          <t>По коням!</t>
        </is>
      </c>
      <c r="E2808" s="2" t="n">
        <v>1984</v>
      </c>
      <c r="F2808" s="2" t="inlineStr">
        <is>
          <t>телефильм</t>
        </is>
      </c>
      <c r="G2808" s="2" t="n"/>
      <c r="H2808" s="2" t="n">
        <v>276</v>
      </c>
      <c r="I2808" s="2" t="inlineStr"/>
      <c r="J2808" s="2" t="inlineStr">
        <is>
          <t>да</t>
        </is>
      </c>
      <c r="K2808" s="3" t="inlineStr">
        <is>
          <t>По мотивам рассказа Бориса Васильева "Великолепная шестёрка". Закончились летние каникулы. Уезжает из пионерского лагеря последняя смена. Торжественные проводы, на которых директор лагеря дает интервью группе с телевидения - все прошло замечательно, никаких серьезных проблем.</t>
        </is>
      </c>
      <c r="L2808" s="2" t="inlineStr">
        <is>
          <t>Кино_СССР сводный каталог.xlsx: список телефильмов</t>
        </is>
      </c>
      <c r="M2808" s="2">
        <f>HYPERLINK("https://ru.wikipedia.org/w/index.php?search=%D0%9F%D0%BE%20%D0%BA%D0%BE%D0%BD%D1%8F%D0%BC%21%201984%20%D1%84%D0%B8%D0%BB%D1%8C%D0%BC","искать")</f>
        <v/>
      </c>
      <c r="N2808" s="3" t="n"/>
      <c r="O2808" s="2" t="n"/>
      <c r="P2808" s="2" t="n"/>
    </row>
    <row r="2809">
      <c r="A2809" s="2" t="n">
        <v>2808</v>
      </c>
      <c r="B2809" s="2" t="inlineStr">
        <is>
          <t>не сюжет</t>
        </is>
      </c>
      <c r="C2809" s="2" t="n">
        <v>7199</v>
      </c>
      <c r="D2809" s="3" t="inlineStr">
        <is>
          <t>Аккорды долгой жизни</t>
        </is>
      </c>
      <c r="E2809" s="2" t="n">
        <v>1981</v>
      </c>
      <c r="F2809" s="2" t="inlineStr">
        <is>
          <t>телефильм</t>
        </is>
      </c>
      <c r="G2809" s="2" t="n"/>
      <c r="H2809" s="2" t="n">
        <v>279</v>
      </c>
      <c r="I2809" s="2" t="inlineStr"/>
      <c r="J2809" s="2" t="inlineStr">
        <is>
          <t>да</t>
        </is>
      </c>
      <c r="K2809" s="3" t="inlineStr">
        <is>
          <t>Биографический телефильм, посвящённый жизни и творчеству выдающегося азербайджанского композитора Узеира Гаджибекова. В фильме использованы отрывки из музыкальных произведений Гаджибекова («Аршин мал алан», «Кёроглы», «Лейли и Меджнун», «Не та, так эта») и материалы кинохроники.</t>
        </is>
      </c>
      <c r="L2809" s="2" t="inlineStr">
        <is>
          <t>Кино_СССР сводный каталог.xlsx: список телефильмов</t>
        </is>
      </c>
      <c r="M2809" s="2">
        <f>HYPERLINK("https://ru.wikipedia.org/w/index.php?search=%D0%90%D0%BA%D0%BA%D0%BE%D1%80%D0%B4%D1%8B%20%D0%B4%D0%BE%D0%BB%D0%B3%D0%BE%D0%B9%20%D0%B6%D0%B8%D0%B7%D0%BD%D0%B8%201981%20%D1%84%D0%B8%D0%BB%D1%8C%D0%BC","искать")</f>
        <v/>
      </c>
      <c r="N2809" s="3" t="n"/>
      <c r="O2809" s="2" t="n"/>
      <c r="P2809" s="2" t="n"/>
    </row>
    <row r="2810">
      <c r="A2810" s="2" t="n">
        <v>2809</v>
      </c>
      <c r="B2810" s="2" t="inlineStr">
        <is>
          <t>не сюжет</t>
        </is>
      </c>
      <c r="C2810" s="2" t="n">
        <v>10459</v>
      </c>
      <c r="D2810" s="3" t="inlineStr">
        <is>
          <t>Платон Кречет</t>
        </is>
      </c>
      <c r="E2810" s="2" t="n">
        <v>1972</v>
      </c>
      <c r="F2810" s="2" t="inlineStr">
        <is>
          <t>фильм-спектакль</t>
        </is>
      </c>
      <c r="G2810" s="2" t="inlineStr">
        <is>
          <t>Главная редакция лит-драм. программ</t>
        </is>
      </c>
      <c r="H2810" s="2" t="n">
        <v>279</v>
      </c>
      <c r="I2810" s="2" t="inlineStr"/>
      <c r="J2810" s="2" t="inlineStr">
        <is>
          <t>да</t>
        </is>
      </c>
      <c r="K2810" s="3" t="inlineStr">
        <is>
          <t>По одноименной пьесе А. Корнейчука в постановке Московского драматического театра на Малой Бронной.
О жизни советской интеллигенции 1930-х годов. В центре спектакля — талантливый хирург Платон Кречет, человек, все мысли и труд которого направлены на продление человеческой жизни.</t>
        </is>
      </c>
      <c r="L2810" s="2" t="inlineStr">
        <is>
          <t>https://www.kino-teatr.ru/teatr/movie/81469/annot/</t>
        </is>
      </c>
      <c r="M2810" s="2">
        <f>HYPERLINK("https://ru.wikipedia.org/w/index.php?search=%D0%9F%D0%BB%D0%B0%D1%82%D0%BE%D0%BD%20%D0%9A%D1%80%D0%B5%D1%87%D0%B5%D1%82%201972%20%D1%84%D0%B8%D0%BB%D1%8C%D0%BC","искать")</f>
        <v/>
      </c>
      <c r="N2810" s="3" t="n"/>
      <c r="O2810" s="2" t="n"/>
      <c r="P2810" s="2" t="n"/>
    </row>
    <row r="2811">
      <c r="A2811" s="2" t="n">
        <v>2810</v>
      </c>
      <c r="B2811" s="2" t="inlineStr">
        <is>
          <t>не сюжет</t>
        </is>
      </c>
      <c r="C2811" s="2" t="n">
        <v>7704</v>
      </c>
      <c r="D2811" s="3" t="inlineStr">
        <is>
          <t>Камертон</t>
        </is>
      </c>
      <c r="E2811" s="2" t="n">
        <v>1979</v>
      </c>
      <c r="F2811" s="2" t="inlineStr">
        <is>
          <t>телефильм</t>
        </is>
      </c>
      <c r="G2811" s="2" t="n"/>
      <c r="H2811" s="2" t="n">
        <v>281</v>
      </c>
      <c r="I2811" s="2" t="inlineStr"/>
      <c r="J2811" s="2" t="inlineStr">
        <is>
          <t>да</t>
        </is>
      </c>
      <c r="K2811" s="3" t="inlineStr">
        <is>
          <t>Герои фильма — ученики девятого класса. Фильм рассказывает о проблемах воспитания подростков в семье и школе; оценке учителями учеников, как личностей; соперничестве в классе за лидерство; чистоте и морали людей. Также в фильме поднимаются темы сложности взросления и первой любви.</t>
        </is>
      </c>
      <c r="L2811" s="2" t="inlineStr">
        <is>
          <t>https://ru.wikipedia.org/w/index.php?title=%D0%9A%D0%B0%D0%BC%D0%B5%D1%80%D1%82%D0%BE%D0%BD_%28%D1%84%D0%B8%D0%BB%D1%8C%D0%BC%29&amp;oldid=154717043</t>
        </is>
      </c>
      <c r="M2811" s="2">
        <f>HYPERLINK("https://ru.wikipedia.org/w/index.php?search=%D0%9A%D0%B0%D0%BC%D0%B5%D1%80%D1%82%D0%BE%D0%BD%201979%20%D1%84%D0%B8%D0%BB%D1%8C%D0%BC","искать")</f>
        <v/>
      </c>
      <c r="N2811" s="3" t="n"/>
      <c r="O2811" s="2" t="n"/>
      <c r="P2811" s="2" t="n"/>
    </row>
    <row r="2812">
      <c r="A2812" s="2" t="n">
        <v>2811</v>
      </c>
      <c r="B2812" s="2" t="inlineStr">
        <is>
          <t>не сюжет</t>
        </is>
      </c>
      <c r="C2812" s="2" t="n">
        <v>7205</v>
      </c>
      <c r="D2812" s="3" t="inlineStr">
        <is>
          <t>Алтунин принимает решение</t>
        </is>
      </c>
      <c r="E2812" s="2" t="n">
        <v>1978</v>
      </c>
      <c r="F2812" s="2" t="inlineStr">
        <is>
          <t>телефильм</t>
        </is>
      </c>
      <c r="G2812" s="2" t="n"/>
      <c r="H2812" s="2" t="n">
        <v>283</v>
      </c>
      <c r="I2812" s="2" t="inlineStr"/>
      <c r="J2812" s="2" t="inlineStr">
        <is>
          <t>да</t>
        </is>
      </c>
      <c r="K2812" s="3" t="inlineStr">
        <is>
          <t>Телесериал по мотивам романов Михаила Колесникова "Изотопы для Алтунина" и "Алтунин принимает решение". Кинороман о руководителе производства, в прошлом - рабочем кузницы машиностроительного завода. Фильм состоит из трех серий: "Кузнецы", "Изотопы для Алтунина", "Прерванный отпуск".</t>
        </is>
      </c>
      <c r="L2812" s="2" t="inlineStr">
        <is>
          <t>Кино_СССР сводный каталог.xlsx: список телефильмов</t>
        </is>
      </c>
      <c r="M2812" s="2">
        <f>HYPERLINK("https://ru.wikipedia.org/w/index.php?search=%D0%90%D0%BB%D1%82%D1%83%D0%BD%D0%B8%D0%BD%20%D0%BF%D1%80%D0%B8%D0%BD%D0%B8%D0%BC%D0%B0%D0%B5%D1%82%20%D1%80%D0%B5%D1%88%D0%B5%D0%BD%D0%B8%D0%B5%201978%20%D1%84%D0%B8%D0%BB%D1%8C%D0%BC","искать")</f>
        <v/>
      </c>
      <c r="N2812" s="3" t="n"/>
      <c r="O2812" s="2" t="n"/>
      <c r="P2812" s="2" t="n"/>
    </row>
    <row r="2813">
      <c r="A2813" s="2" t="n">
        <v>2812</v>
      </c>
      <c r="B2813" s="2" t="inlineStr">
        <is>
          <t>не сюжет</t>
        </is>
      </c>
      <c r="C2813" s="2" t="n">
        <v>7206</v>
      </c>
      <c r="D2813" s="3" t="inlineStr">
        <is>
          <t>Алые погоны</t>
        </is>
      </c>
      <c r="E2813" s="2" t="n">
        <v>1980</v>
      </c>
      <c r="F2813" s="2" t="inlineStr">
        <is>
          <t>телефильм</t>
        </is>
      </c>
      <c r="G2813" s="2" t="inlineStr">
        <is>
          <t>к/с им. Довженко</t>
        </is>
      </c>
      <c r="H2813" s="2" t="n">
        <v>283</v>
      </c>
      <c r="I2813" s="2" t="inlineStr"/>
      <c r="J2813" s="2" t="inlineStr">
        <is>
          <t>да</t>
        </is>
      </c>
      <c r="K2813" s="3" t="inlineStr">
        <is>
          <t>Телесериал по мотивам одноименного романа Б. Изюмского. О судьбах воспитанников суворовского училища, достойно принявших эстафету от своих командиров в годы Великой Отечественной войны, и о сегодняшнем дне Советской Армии, формировании характеров, воспитании мужества молодых воинов.</t>
        </is>
      </c>
      <c r="L2813" s="2" t="inlineStr">
        <is>
          <t>Кино_СССР сводный каталог.xlsx: список телефильмов</t>
        </is>
      </c>
      <c r="M2813" s="2">
        <f>HYPERLINK("https://ru.wikipedia.org/w/index.php?search=%D0%90%D0%BB%D1%8B%D0%B5%20%D0%BF%D0%BE%D0%B3%D0%BE%D0%BD%D1%8B%201980%20%D1%84%D0%B8%D0%BB%D1%8C%D0%BC","искать")</f>
        <v/>
      </c>
      <c r="N2813" s="3" t="n"/>
      <c r="O2813" s="2" t="n"/>
      <c r="P2813" s="2" t="n"/>
    </row>
    <row r="2814">
      <c r="A2814" s="2" t="n">
        <v>2813</v>
      </c>
      <c r="B2814" s="2" t="inlineStr">
        <is>
          <t>не сюжет</t>
        </is>
      </c>
      <c r="C2814" s="2" t="n">
        <v>8320</v>
      </c>
      <c r="D2814" s="3" t="inlineStr">
        <is>
          <t>Сегодня и завтра</t>
        </is>
      </c>
      <c r="E2814" s="2" t="n">
        <v>1979</v>
      </c>
      <c r="F2814" s="2" t="inlineStr">
        <is>
          <t>телефильм</t>
        </is>
      </c>
      <c r="G2814" s="2" t="n"/>
      <c r="H2814" s="2" t="n">
        <v>284</v>
      </c>
      <c r="I2814" s="2" t="inlineStr"/>
      <c r="J2814" s="2" t="inlineStr">
        <is>
          <t>да</t>
        </is>
      </c>
      <c r="K2814" s="3" t="inlineStr">
        <is>
          <t>Производственная телевизионная драма по мотивам романа В.Попова «И это называется будни». В центре фильма - образ директора металлургического завода Кадышева. Фильм поднимает проблемы охраны окружающей среды, рассматривает вопрос о характере взаимоотношений руководителя и коллектива.</t>
        </is>
      </c>
      <c r="L2814" s="2" t="inlineStr">
        <is>
          <t>Кино_СССР сводный каталог.xlsx: список телефильмов</t>
        </is>
      </c>
      <c r="M2814" s="2">
        <f>HYPERLINK("https://ru.wikipedia.org/w/index.php?search=%D0%A1%D0%B5%D0%B3%D0%BE%D0%B4%D0%BD%D1%8F%20%D0%B8%20%D0%B7%D0%B0%D0%B2%D1%82%D1%80%D0%B0%201979%20%D1%84%D0%B8%D0%BB%D1%8C%D0%BC","искать")</f>
        <v/>
      </c>
      <c r="N2814" s="3" t="n"/>
      <c r="O2814" s="2" t="n"/>
      <c r="P2814" s="2" t="n"/>
    </row>
    <row r="2815">
      <c r="A2815" s="2" t="n">
        <v>2814</v>
      </c>
      <c r="B2815" s="2" t="inlineStr">
        <is>
          <t>не сюжет</t>
        </is>
      </c>
      <c r="C2815" s="2" t="n">
        <v>11033</v>
      </c>
      <c r="D2815" s="3" t="inlineStr">
        <is>
          <t>Осиное гнездо</t>
        </is>
      </c>
      <c r="E2815" s="2" t="n">
        <v>1984</v>
      </c>
      <c r="F2815" s="2" t="inlineStr">
        <is>
          <t>фильм-спектакль</t>
        </is>
      </c>
      <c r="G2815" s="2" t="inlineStr">
        <is>
          <t>Творческое объединение "Экран"</t>
        </is>
      </c>
      <c r="H2815" s="2" t="n">
        <v>284</v>
      </c>
      <c r="I2815" s="2" t="inlineStr"/>
      <c r="J2815" s="2" t="inlineStr">
        <is>
          <t>да</t>
        </is>
      </c>
      <c r="K2815" s="3" t="inlineStr">
        <is>
          <t>По одноименной комедии Александру Кирицеску в постановке Московского драматического театра имени К.С. Станиславского.
Действие происходит в Румынии 20-х годов. "Осиное гнездо" - это дом помещицы Анеты Дудуляну, в котором царят бездуховность, стяжательство и равнодушие к друг к другу.</t>
        </is>
      </c>
      <c r="L2815" s="2" t="inlineStr">
        <is>
          <t>https://www.kino-teatr.ru/teatr/movie/106843/annot/</t>
        </is>
      </c>
      <c r="M2815" s="2">
        <f>HYPERLINK("https://ru.wikipedia.org/w/index.php?search=%D0%9E%D1%81%D0%B8%D0%BD%D0%BE%D0%B5%20%D0%B3%D0%BD%D0%B5%D0%B7%D0%B4%D0%BE%201984%20%D1%84%D0%B8%D0%BB%D1%8C%D0%BC","искать")</f>
        <v/>
      </c>
      <c r="N2815" s="3" t="n"/>
      <c r="O2815" s="2" t="n"/>
      <c r="P2815" s="2" t="n"/>
    </row>
    <row r="2816">
      <c r="A2816" s="2" t="n">
        <v>2815</v>
      </c>
      <c r="B2816" s="2" t="inlineStr">
        <is>
          <t>не сюжет</t>
        </is>
      </c>
      <c r="C2816" s="2" t="n">
        <v>8561</v>
      </c>
      <c r="D2816" s="3" t="inlineStr">
        <is>
          <t>Чехарда</t>
        </is>
      </c>
      <c r="E2816" s="2" t="n">
        <v>1987</v>
      </c>
      <c r="F2816" s="2" t="inlineStr">
        <is>
          <t>телефильм</t>
        </is>
      </c>
      <c r="G2816" s="2" t="n"/>
      <c r="H2816" s="2" t="n">
        <v>285</v>
      </c>
      <c r="I2816" s="2" t="inlineStr"/>
      <c r="J2816" s="2" t="inlineStr">
        <is>
          <t>да</t>
        </is>
      </c>
      <c r="K2816" s="3" t="inlineStr">
        <is>
          <t>По мотивам повести Анатолия Алексина "Позавчера и послезавтра". Старому учителю пения, Виктору Макаровичу, очень дорога работа, которой он отдал лучшие годы своей жизни. Виктор Макарович одинок, у него нет семьи, ее заменили ученики-дети. Но он болен, руководить хором больше не может.</t>
        </is>
      </c>
      <c r="L2816" s="2" t="inlineStr">
        <is>
          <t>Кино_СССР сводный каталог.xlsx: список телефильмов</t>
        </is>
      </c>
      <c r="M2816" s="2">
        <f>HYPERLINK("https://ru.wikipedia.org/w/index.php?search=%D0%A7%D0%B5%D1%85%D0%B0%D1%80%D0%B4%D0%B0%201987%20%D1%84%D0%B8%D0%BB%D1%8C%D0%BC","искать")</f>
        <v/>
      </c>
      <c r="N2816" s="3" t="n"/>
      <c r="O2816" s="2" t="n"/>
      <c r="P2816" s="2" t="n"/>
    </row>
    <row r="2817">
      <c r="A2817" s="2" t="n">
        <v>2816</v>
      </c>
      <c r="B2817" s="2" t="inlineStr">
        <is>
          <t>не сюжет</t>
        </is>
      </c>
      <c r="C2817" s="2" t="n">
        <v>10804</v>
      </c>
      <c r="D2817" s="3" t="inlineStr">
        <is>
          <t>Интервью в Буэнос-Айресе</t>
        </is>
      </c>
      <c r="E2817" s="2" t="n">
        <v>1979</v>
      </c>
      <c r="F2817" s="2" t="inlineStr">
        <is>
          <t>фильм-спектакль</t>
        </is>
      </c>
      <c r="G2817" s="2" t="inlineStr">
        <is>
          <t>ГЛАВНАЯ РЕДАКЦИЯ ЛИТЕРАТУРНО-ДРАМАТИЧЕСКИХ ПРОГРАММ ЦТ</t>
        </is>
      </c>
      <c r="H2817" s="2" t="n">
        <v>287</v>
      </c>
      <c r="I2817" s="2" t="inlineStr"/>
      <c r="J2817" s="2" t="inlineStr">
        <is>
          <t>да</t>
        </is>
      </c>
      <c r="K2817" s="3" t="inlineStr">
        <is>
          <t>По одноименной пьесе Г.Боровика в постановке Московского академического театра имени Вл.Маяковского.
О трагических днях чилийской революции, ее непокоренных борцах и о тех, кто веря в абстрактное добро, невольно служил целям фашизма. В центре спектакля - образ журналиста Карлоса Бланко.</t>
        </is>
      </c>
      <c r="L2817" s="2" t="inlineStr">
        <is>
          <t>https://www.kino-teatr.ru/teatr/movie/81587/annot/</t>
        </is>
      </c>
      <c r="M2817" s="2">
        <f>HYPERLINK("https://ru.wikipedia.org/w/index.php?search=%D0%98%D0%BD%D1%82%D0%B5%D1%80%D0%B2%D1%8C%D1%8E%20%D0%B2%20%D0%91%D1%83%D1%8D%D0%BD%D0%BE%D1%81-%D0%90%D0%B9%D1%80%D0%B5%D1%81%D0%B5%201979%20%D1%84%D0%B8%D0%BB%D1%8C%D0%BC","искать")</f>
        <v/>
      </c>
      <c r="N2817" s="3" t="n"/>
      <c r="O2817" s="2" t="n"/>
      <c r="P2817" s="2" t="n"/>
    </row>
    <row r="2818">
      <c r="A2818" s="2" t="n">
        <v>2817</v>
      </c>
      <c r="B2818" s="2" t="inlineStr">
        <is>
          <t>не сюжет</t>
        </is>
      </c>
      <c r="C2818" s="2" t="n">
        <v>7248</v>
      </c>
      <c r="D2818" s="3" t="inlineStr">
        <is>
          <t>Беньяминас Кордушас</t>
        </is>
      </c>
      <c r="E2818" s="2" t="n">
        <v>1986</v>
      </c>
      <c r="F2818" s="2" t="inlineStr">
        <is>
          <t>телефильм</t>
        </is>
      </c>
      <c r="G2818" s="2" t="n"/>
      <c r="H2818" s="2" t="n">
        <v>288</v>
      </c>
      <c r="I2818" s="2" t="inlineStr"/>
      <c r="J2818" s="2" t="inlineStr">
        <is>
          <t>да</t>
        </is>
      </c>
      <c r="K2818" s="3" t="inlineStr">
        <is>
          <t>Фильм поставлен по одноимённому роману Йонаса Марцинкявичюса. Картина рассказывает о жизни литовского поместного дворянства в период между двумя войнами, о желании жить прежней жизнью. Но новые времена диктуют новые условия, появляются новые ценности, и верность прежним идеалам обречена.</t>
        </is>
      </c>
      <c r="L2818" s="2" t="inlineStr">
        <is>
          <t>Кино_СССР сводный каталог.xlsx: список телефильмов</t>
        </is>
      </c>
      <c r="M2818" s="2">
        <f>HYPERLINK("https://ru.wikipedia.org/w/index.php?search=%D0%91%D0%B5%D0%BD%D1%8C%D1%8F%D0%BC%D0%B8%D0%BD%D0%B0%D1%81%20%D0%9A%D0%BE%D1%80%D0%B4%D1%83%D1%88%D0%B0%D1%81%201986%20%D1%84%D0%B8%D0%BB%D1%8C%D0%BC","искать")</f>
        <v/>
      </c>
      <c r="N2818" s="3" t="n"/>
      <c r="O2818" s="2" t="n"/>
      <c r="P2818" s="2" t="n"/>
    </row>
    <row r="2819">
      <c r="A2819" s="2" t="n">
        <v>2818</v>
      </c>
      <c r="B2819" s="2" t="inlineStr">
        <is>
          <t>не сюжет</t>
        </is>
      </c>
      <c r="C2819" s="2" t="n">
        <v>7752</v>
      </c>
      <c r="D2819" s="3" t="inlineStr">
        <is>
          <t>Кончина</t>
        </is>
      </c>
      <c r="E2819" s="2" t="n">
        <v>1989</v>
      </c>
      <c r="F2819" s="2" t="inlineStr">
        <is>
          <t>телефильм</t>
        </is>
      </c>
      <c r="G2819" s="2" t="n"/>
      <c r="H2819" s="2" t="n">
        <v>288</v>
      </c>
      <c r="I2819" s="2" t="inlineStr"/>
      <c r="J2819" s="2" t="inlineStr">
        <is>
          <t>да</t>
        </is>
      </c>
      <c r="K2819" s="3" t="inlineStr">
        <is>
          <t>Телефильм по мотивам одноименной повести Владимира Тендрякова. История жизни двух односельчан в период 1920-50-х годов. Кризисное состояние колхозного строя показано на примере не разваливающегося, а весьма крепкого хозяйства. Фильм вскрывает массу моральных и экономических противоречий.</t>
        </is>
      </c>
      <c r="L2819" s="2" t="inlineStr">
        <is>
          <t>Кино_СССР сводный каталог.xlsx: список телефильмов</t>
        </is>
      </c>
      <c r="M2819" s="2">
        <f>HYPERLINK("https://ru.wikipedia.org/w/index.php?search=%D0%9A%D0%BE%D0%BD%D1%87%D0%B8%D0%BD%D0%B0%201989%20%D1%84%D0%B8%D0%BB%D1%8C%D0%BC","искать")</f>
        <v/>
      </c>
      <c r="N2819" s="3" t="n"/>
      <c r="O2819" s="2" t="n"/>
      <c r="P2819" s="2" t="n"/>
    </row>
    <row r="2820">
      <c r="A2820" s="2" t="n">
        <v>2819</v>
      </c>
      <c r="B2820" s="2" t="inlineStr">
        <is>
          <t>не сюжет</t>
        </is>
      </c>
      <c r="C2820" s="2" t="n">
        <v>8605</v>
      </c>
      <c r="D2820" s="3" t="inlineStr">
        <is>
          <t>Юности первое утро</t>
        </is>
      </c>
      <c r="E2820" s="2" t="n">
        <v>1979</v>
      </c>
      <c r="F2820" s="2" t="inlineStr">
        <is>
          <t>телефильм</t>
        </is>
      </c>
      <c r="G2820" s="2" t="n"/>
      <c r="H2820" s="2" t="n">
        <v>288</v>
      </c>
      <c r="I2820" s="2" t="inlineStr"/>
      <c r="J2820" s="2" t="inlineStr">
        <is>
          <t>да</t>
        </is>
      </c>
      <c r="K2820" s="3" t="inlineStr">
        <is>
          <t>Фильм поставлен по произведению Павла Лукницкого "Ниссо", известного геолога и исследователя Памира начала двадцатого века. Памир. 1919 год. Революция эхом прокатилась и по Памиру. Однако, в труднодоступных кишлаках, куда не могли добраться первые вестники, жизнь продолжалась по-старому.</t>
        </is>
      </c>
      <c r="L2820" s="2" t="inlineStr">
        <is>
          <t>Кино_СССР сводный каталог.xlsx: список телефильмов</t>
        </is>
      </c>
      <c r="M2820" s="2">
        <f>HYPERLINK("https://ru.wikipedia.org/w/index.php?search=%D0%AE%D0%BD%D0%BE%D1%81%D1%82%D0%B8%20%D0%BF%D0%B5%D1%80%D0%B2%D0%BE%D0%B5%20%D1%83%D1%82%D1%80%D0%BE%201979%20%D1%84%D0%B8%D0%BB%D1%8C%D0%BC","искать")</f>
        <v/>
      </c>
      <c r="N2820" s="3" t="n"/>
      <c r="O2820" s="2" t="n"/>
      <c r="P2820" s="2" t="n"/>
    </row>
    <row r="2821">
      <c r="A2821" s="2" t="n">
        <v>2820</v>
      </c>
      <c r="B2821" s="2" t="inlineStr">
        <is>
          <t>не сюжет</t>
        </is>
      </c>
      <c r="C2821" s="2" t="n">
        <v>12400</v>
      </c>
      <c r="D2821" s="3" t="inlineStr">
        <is>
          <t>Как жены мужей продавали</t>
        </is>
      </c>
      <c r="E2821" s="2" t="n">
        <v>1972</v>
      </c>
      <c r="F2821" s="2" t="inlineStr">
        <is>
          <t>мультфильм</t>
        </is>
      </c>
      <c r="G2821" s="2" t="inlineStr">
        <is>
          <t>КИЕВНАУЧФИЛЬМ</t>
        </is>
      </c>
      <c r="H2821" s="2" t="n">
        <v>289</v>
      </c>
      <c r="I2821" s="2" t="inlineStr"/>
      <c r="J2821" s="2" t="inlineStr">
        <is>
          <t>да</t>
        </is>
      </c>
      <c r="K2821" s="3" t="inlineStr">
        <is>
          <t>По мотивам шутливых украинских народных песен.
II МФ анимационных фильмов в Загребе (СФРЮ), 1974 -- Специальная премия "за оригинальное использование народной музыки в сочетании с изобразительным решением фильма"; III МФ анимационных фильмов в Нью-Йорке, 1974 -- Почетный диплом за Ш место</t>
        </is>
      </c>
      <c r="L2821" s="2" t="inlineStr">
        <is>
          <t>https://animator.ru/db/?p=show_film&amp;fid=3571</t>
        </is>
      </c>
      <c r="M2821" s="2">
        <f>HYPERLINK("https://ru.wikipedia.org/w/index.php?search=%D0%9A%D0%B0%D0%BA%20%D0%B6%D0%B5%D0%BD%D1%8B%20%D0%BC%D1%83%D0%B6%D0%B5%D0%B9%20%D0%BF%D1%80%D0%BE%D0%B4%D0%B0%D0%B2%D0%B0%D0%BB%D0%B8%201972%20%D1%84%D0%B8%D0%BB%D1%8C%D0%BC","искать")</f>
        <v/>
      </c>
      <c r="N2821" s="3" t="n"/>
      <c r="O2821" s="2" t="n"/>
      <c r="P2821" s="2" t="n"/>
    </row>
    <row r="2822">
      <c r="A2822" s="2" t="n">
        <v>2821</v>
      </c>
      <c r="B2822" s="2" t="inlineStr">
        <is>
          <t>не сюжет</t>
        </is>
      </c>
      <c r="C2822" s="2" t="n">
        <v>11255</v>
      </c>
      <c r="D2822" s="3" t="inlineStr">
        <is>
          <t>Долгий день уходит в ночь</t>
        </is>
      </c>
      <c r="E2822" s="2" t="n">
        <v>1989</v>
      </c>
      <c r="F2822" s="2" t="inlineStr">
        <is>
          <t>фильм-спектакль</t>
        </is>
      </c>
      <c r="G2822" s="2" t="inlineStr">
        <is>
          <t>Главная редакция литературно-драматических программ</t>
        </is>
      </c>
      <c r="H2822" s="2" t="n">
        <v>290</v>
      </c>
      <c r="I2822" s="2" t="inlineStr"/>
      <c r="J2822" s="2" t="inlineStr">
        <is>
          <t>да</t>
        </is>
      </c>
      <c r="K2822" s="3" t="inlineStr">
        <is>
          <t>По одноименной пьесе Юджина О'Нила (перевод и литературная редакция Виталия Вульфа) в постановке Государственного академического Малого театра Союза ССР.
О трагедии семьи, члены которой подвережены таким страшным порокам, как наркомания и алкоголизм. Прототипы драмы - родственники писателя</t>
        </is>
      </c>
      <c r="L2822" s="2" t="inlineStr">
        <is>
          <t>https://www.kino-teatr.ru/teatr/movie/81727/annot/</t>
        </is>
      </c>
      <c r="M2822" s="2">
        <f>HYPERLINK("https://ru.wikipedia.org/w/index.php?search=%D0%94%D0%BE%D0%BB%D0%B3%D0%B8%D0%B9%20%D0%B4%D0%B5%D0%BD%D1%8C%20%D1%83%D1%85%D0%BE%D0%B4%D0%B8%D1%82%20%D0%B2%20%D0%BD%D0%BE%D1%87%D1%8C%201989%20%D1%84%D0%B8%D0%BB%D1%8C%D0%BC","искать")</f>
        <v/>
      </c>
      <c r="N2822" s="3" t="n"/>
      <c r="O2822" s="2" t="n"/>
      <c r="P2822" s="2" t="n"/>
    </row>
    <row r="2823">
      <c r="A2823" s="2" t="n">
        <v>2822</v>
      </c>
      <c r="B2823" s="2" t="inlineStr">
        <is>
          <t>не сюжет</t>
        </is>
      </c>
      <c r="C2823" s="2" t="n">
        <v>7686</v>
      </c>
      <c r="D2823" s="3" t="inlineStr">
        <is>
          <t>Ираклий Андроников рассказывает</t>
        </is>
      </c>
      <c r="E2823" s="2" t="n">
        <v>1964</v>
      </c>
      <c r="F2823" s="2" t="inlineStr">
        <is>
          <t>телефильм</t>
        </is>
      </c>
      <c r="G2823" s="2" t="n"/>
      <c r="H2823" s="2" t="n">
        <v>291</v>
      </c>
      <c r="I2823" s="2" t="inlineStr"/>
      <c r="J2823" s="2" t="inlineStr">
        <is>
          <t>да</t>
        </is>
      </c>
      <c r="K2823" s="3" t="inlineStr">
        <is>
          <t>Телефильм. Ираклий Андроников рассказывает о своей молодости, когда проявился его талант имитатора, о работе лектором Ленинградской филармонии, делится воспоминаниями о музыковеде и литературоведе И.И.Соллертинском, об артистах В.И.Качалове, А.А.Остужеве, о писателях М.Горьком и А.Н.Толстом</t>
        </is>
      </c>
      <c r="L2823" s="2" t="inlineStr">
        <is>
          <t>Кино_СССР сводный каталог.xlsx: список телефильмов</t>
        </is>
      </c>
      <c r="M2823" s="2">
        <f>HYPERLINK("https://ru.wikipedia.org/w/index.php?search=%D0%98%D1%80%D0%B0%D0%BA%D0%BB%D0%B8%D0%B9%20%D0%90%D0%BD%D0%B4%D1%80%D0%BE%D0%BD%D0%B8%D0%BA%D0%BE%D0%B2%20%D1%80%D0%B0%D1%81%D1%81%D0%BA%D0%B0%D0%B7%D1%8B%D0%B2%D0%B0%D0%B5%D1%82%201964%20%D1%84%D0%B8%D0%BB%D1%8C%D0%BC","искать")</f>
        <v/>
      </c>
      <c r="N2823" s="3" t="n"/>
      <c r="O2823" s="2" t="n"/>
      <c r="P2823" s="2" t="n"/>
    </row>
    <row r="2824">
      <c r="A2824" s="2" t="n">
        <v>2823</v>
      </c>
      <c r="B2824" s="2" t="inlineStr">
        <is>
          <t>не сюжет</t>
        </is>
      </c>
      <c r="C2824" s="2" t="n">
        <v>9034</v>
      </c>
      <c r="D2824" s="3" t="inlineStr">
        <is>
          <t>Свинопасу повезло</t>
        </is>
      </c>
      <c r="E2824" s="2" t="n">
        <v>1931</v>
      </c>
      <c r="F2824" s="2" t="inlineStr">
        <is>
          <t>кинофильм</t>
        </is>
      </c>
      <c r="G2824" s="2" t="n"/>
      <c r="H2824" s="2" t="n">
        <v>291</v>
      </c>
      <c r="I2824" s="2" t="inlineStr"/>
      <c r="J2824" s="2" t="inlineStr">
        <is>
          <t>да</t>
        </is>
      </c>
      <c r="K2824" s="3" t="inlineStr">
        <is>
          <t>Агитационно-пропагандистский фильм, призывающий рабочих и крестьян Грузии к подписке на Третий государственный заем индустриализации. Единственная режиссерская работа ведущего художника грузинского кино В. Сидамон-Эристова. Фильм не был выпущен на экран из-за слабого художественного уровня.</t>
        </is>
      </c>
      <c r="L2824" s="2" t="inlineStr">
        <is>
          <t>Кино_СССР сводный каталог.xlsx: список фильмов (доп.)</t>
        </is>
      </c>
      <c r="M2824" s="2">
        <f>HYPERLINK("https://ru.wikipedia.org/w/index.php?search=%D0%A1%D0%B2%D0%B8%D0%BD%D0%BE%D0%BF%D0%B0%D1%81%D1%83%20%D0%BF%D0%BE%D0%B2%D0%B5%D0%B7%D0%BB%D0%BE%201931%20%D1%84%D0%B8%D0%BB%D1%8C%D0%BC","искать")</f>
        <v/>
      </c>
      <c r="N2824" s="3" t="n"/>
      <c r="O2824" s="2" t="n"/>
      <c r="P2824" s="2" t="n"/>
    </row>
    <row r="2825">
      <c r="A2825" s="2" t="n">
        <v>2824</v>
      </c>
      <c r="B2825" s="2" t="inlineStr">
        <is>
          <t>не сюжет</t>
        </is>
      </c>
      <c r="C2825" s="2" t="n">
        <v>9395</v>
      </c>
      <c r="D2825" s="3" t="inlineStr">
        <is>
          <t>Интердевочка</t>
        </is>
      </c>
      <c r="E2825" s="2" t="n">
        <v>1989</v>
      </c>
      <c r="F2825" s="2" t="inlineStr">
        <is>
          <t>кинофильм</t>
        </is>
      </c>
      <c r="G2825" s="2" t="n"/>
      <c r="H2825" s="2" t="n">
        <v>291</v>
      </c>
      <c r="I2825" s="2" t="inlineStr"/>
      <c r="J2825" s="2" t="inlineStr">
        <is>
          <t>да</t>
        </is>
      </c>
      <c r="K2825" s="3" t="inlineStr">
        <is>
          <t>Экранизация романа Владимира Кунина. Этот фильм - первая отечественная лента о представительницах древнейшей профессии. Жизнь "интердевочек" полна историй драматических, а зачастую и трагических... В Швеции фильм не был выпущен в прокат из-за финансового краха кинокомпании "Филмсталлет АБ".</t>
        </is>
      </c>
      <c r="L2825" s="2" t="inlineStr">
        <is>
          <t>Кино_СССР сводный каталог.xlsx: список фильмов (доп.)</t>
        </is>
      </c>
      <c r="M2825" s="2">
        <f>HYPERLINK("https://ru.wikipedia.org/w/index.php?search=%D0%98%D0%BD%D1%82%D0%B5%D1%80%D0%B4%D0%B5%D0%B2%D0%BE%D1%87%D0%BA%D0%B0%201989%20%D1%84%D0%B8%D0%BB%D1%8C%D0%BC","искать")</f>
        <v/>
      </c>
      <c r="N2825" s="3" t="n"/>
      <c r="O2825" s="2" t="n"/>
      <c r="P2825" s="2" t="n"/>
    </row>
    <row r="2826">
      <c r="A2826" s="2" t="n">
        <v>2825</v>
      </c>
      <c r="B2826" s="2" t="inlineStr">
        <is>
          <t>не сюжет</t>
        </is>
      </c>
      <c r="C2826" s="2" t="n">
        <v>9545</v>
      </c>
      <c r="D2826" s="3" t="inlineStr">
        <is>
          <t>Первая Конная</t>
        </is>
      </c>
      <c r="E2826" s="2" t="n">
        <v>1941</v>
      </c>
      <c r="F2826" s="2" t="inlineStr">
        <is>
          <t>кинофильм</t>
        </is>
      </c>
      <c r="G2826" s="2" t="n"/>
      <c r="H2826" s="2" t="n">
        <v>293</v>
      </c>
      <c r="I2826" s="2" t="inlineStr"/>
      <c r="J2826" s="2" t="inlineStr">
        <is>
          <t>да</t>
        </is>
      </c>
      <c r="K2826" s="3" t="inlineStr">
        <is>
          <t>По одноименной пьесе Всеволода Вишневского (1929 г.). По одноименной пьесе Всеволода Вишневского (1929 г.), долгое время не сходившей со сценических подмостков. Картина посвящена легендарному воинскому соединению, созданному в 1919 году и прошедшему по дорогам гражданской славный боевой путь.</t>
        </is>
      </c>
      <c r="L2826" s="2" t="inlineStr">
        <is>
          <t>Кино_СССР сводный каталог.xlsx: список фильмов (доп.)</t>
        </is>
      </c>
      <c r="M2826" s="2">
        <f>HYPERLINK("https://ru.wikipedia.org/w/index.php?search=%D0%9F%D0%B5%D1%80%D0%B2%D0%B0%D1%8F%20%D0%9A%D0%BE%D0%BD%D0%BD%D0%B0%D1%8F%201941%20%D1%84%D0%B8%D0%BB%D1%8C%D0%BC","искать")</f>
        <v/>
      </c>
      <c r="N2826" s="3" t="n"/>
      <c r="O2826" s="2" t="n"/>
      <c r="P2826" s="2" t="n"/>
    </row>
    <row r="2827">
      <c r="A2827" s="2" t="n">
        <v>2826</v>
      </c>
      <c r="B2827" s="2" t="inlineStr">
        <is>
          <t>не сюжет</t>
        </is>
      </c>
      <c r="C2827" s="2" t="n">
        <v>11271</v>
      </c>
      <c r="D2827" s="3" t="inlineStr">
        <is>
          <t>Невыдуманные рассказы о прошлом</t>
        </is>
      </c>
      <c r="E2827" s="2" t="n">
        <v>1989</v>
      </c>
      <c r="F2827" s="2" t="inlineStr">
        <is>
          <t>фильм-спектакль</t>
        </is>
      </c>
      <c r="G2827" s="2" t="inlineStr">
        <is>
          <t>Ленинградское Телевидение</t>
        </is>
      </c>
      <c r="H2827" s="2" t="n">
        <v>293</v>
      </c>
      <c r="I2827" s="2" t="inlineStr"/>
      <c r="J2827" s="2" t="inlineStr">
        <is>
          <t>да</t>
        </is>
      </c>
      <c r="K2827" s="3" t="inlineStr">
        <is>
          <t>По рассказам и микрорассказам В.В.Вересаева. Это забавные ситуации, тонко,с юмором подмеченные в нашей жизни. Они о детях, о женщинах и о многом другом... Одни названия мизансцен спектакля говорят сами за себя: "На базаре", "Букеты", "Сон", "Конфетка", "Шкаф", "Пушкин" и разнообразные другие.</t>
        </is>
      </c>
      <c r="L2827" s="2" t="inlineStr">
        <is>
          <t>https://www.kino-teatr.ru/teatr/movie/17366/annot/</t>
        </is>
      </c>
      <c r="M2827" s="2">
        <f>HYPERLINK("https://ru.wikipedia.org/w/index.php?search=%D0%9D%D0%B5%D0%B2%D1%8B%D0%B4%D1%83%D0%BC%D0%B0%D0%BD%D0%BD%D1%8B%D0%B5%20%D1%80%D0%B0%D1%81%D1%81%D0%BA%D0%B0%D0%B7%D1%8B%20%D0%BE%20%D0%BF%D1%80%D0%BE%D1%88%D0%BB%D0%BE%D0%BC%201989%20%D1%84%D0%B8%D0%BB%D1%8C%D0%BC","искать")</f>
        <v/>
      </c>
      <c r="N2827" s="3" t="n"/>
      <c r="O2827" s="2" t="n"/>
      <c r="P2827" s="2" t="n"/>
    </row>
    <row r="2828">
      <c r="A2828" s="2" t="n">
        <v>2827</v>
      </c>
      <c r="B2828" s="2" t="inlineStr">
        <is>
          <t>не сюжет</t>
        </is>
      </c>
      <c r="C2828" s="2" t="n">
        <v>7593</v>
      </c>
      <c r="D2828" s="3" t="inlineStr">
        <is>
          <t>Женщины, которым повезло</t>
        </is>
      </c>
      <c r="E2828" s="2" t="n">
        <v>1989</v>
      </c>
      <c r="F2828" s="2" t="inlineStr">
        <is>
          <t>телефильм</t>
        </is>
      </c>
      <c r="G2828" s="2" t="n"/>
      <c r="H2828" s="2" t="n">
        <v>294</v>
      </c>
      <c r="I2828" s="2" t="inlineStr"/>
      <c r="J2828" s="2" t="inlineStr">
        <is>
          <t>да</t>
        </is>
      </c>
      <c r="K2828" s="3" t="inlineStr">
        <is>
          <t>Действие фильма разворачивается в послевоенные десятилетия и рассказывает о судьбах бывших участниц Великой Отечественной войны - Веры Боглюк, Нины Верховской, Дуси Королевой, Зины Скворцовой и Наташи Дружининой. Их пятеро - молодых, красивых женщин, выживших в аду войны и дошедших до Берлина.</t>
        </is>
      </c>
      <c r="L2828" s="2" t="inlineStr">
        <is>
          <t>Кино_СССР сводный каталог.xlsx: список телефильмов</t>
        </is>
      </c>
      <c r="M2828" s="2">
        <f>HYPERLINK("https://ru.wikipedia.org/w/index.php?search=%D0%96%D0%B5%D0%BD%D1%89%D0%B8%D0%BD%D1%8B%2C%20%D0%BA%D0%BE%D1%82%D0%BE%D1%80%D1%8B%D0%BC%20%D0%BF%D0%BE%D0%B2%D0%B5%D0%B7%D0%BB%D0%BE%201989%20%D1%84%D0%B8%D0%BB%D1%8C%D0%BC","искать")</f>
        <v/>
      </c>
      <c r="N2828" s="3" t="n"/>
      <c r="O2828" s="2" t="n"/>
      <c r="P2828" s="2" t="n"/>
    </row>
    <row r="2829">
      <c r="A2829" s="2" t="n">
        <v>2828</v>
      </c>
      <c r="B2829" s="2" t="inlineStr">
        <is>
          <t>не сюжет</t>
        </is>
      </c>
      <c r="C2829" s="2" t="n">
        <v>8278</v>
      </c>
      <c r="D2829" s="3" t="inlineStr">
        <is>
          <t>Родники Минг-Булака</t>
        </is>
      </c>
      <c r="E2829" s="2" t="n">
        <v>1983</v>
      </c>
      <c r="F2829" s="2" t="inlineStr">
        <is>
          <t>телефильм</t>
        </is>
      </c>
      <c r="G2829" s="2" t="n"/>
      <c r="H2829" s="2" t="n">
        <v>294</v>
      </c>
      <c r="I2829" s="2" t="inlineStr"/>
      <c r="J2829" s="2" t="inlineStr">
        <is>
          <t>да</t>
        </is>
      </c>
      <c r="K2829" s="3" t="inlineStr">
        <is>
          <t>По мотивам романа Адыла Якубова "Совесть". Председатель колхоза-миллионера Умаров снискал себе всеобщее уважение, добился заслуженного авторитета. Однако неизменные производственные успехи, привычка властвовать притупили способность Умарова к критической оценке собственных поступков и решений.</t>
        </is>
      </c>
      <c r="L2829" s="2" t="inlineStr">
        <is>
          <t>Кино_СССР сводный каталог.xlsx: список телефильмов</t>
        </is>
      </c>
      <c r="M2829" s="2">
        <f>HYPERLINK("https://ru.wikipedia.org/w/index.php?search=%D0%A0%D0%BE%D0%B4%D0%BD%D0%B8%D0%BA%D0%B8%20%D0%9C%D0%B8%D0%BD%D0%B3-%D0%91%D1%83%D0%BB%D0%B0%D0%BA%D0%B0%201983%20%D1%84%D0%B8%D0%BB%D1%8C%D0%BC","искать")</f>
        <v/>
      </c>
      <c r="N2829" s="3" t="n"/>
      <c r="O2829" s="2" t="n"/>
      <c r="P2829" s="2" t="n"/>
    </row>
    <row r="2830">
      <c r="A2830" s="2" t="n">
        <v>2829</v>
      </c>
      <c r="B2830" s="2" t="inlineStr">
        <is>
          <t>не сюжет</t>
        </is>
      </c>
      <c r="C2830" s="2" t="n">
        <v>8764</v>
      </c>
      <c r="D2830" s="3" t="inlineStr">
        <is>
          <t>Киевские фрески</t>
        </is>
      </c>
      <c r="E2830" s="2" t="n">
        <v>1966</v>
      </c>
      <c r="F2830" s="2" t="inlineStr">
        <is>
          <t>кинофильм</t>
        </is>
      </c>
      <c r="G2830" s="2" t="n"/>
      <c r="H2830" s="2" t="n">
        <v>294</v>
      </c>
      <c r="I2830" s="2" t="inlineStr"/>
      <c r="J2830" s="2" t="inlineStr">
        <is>
          <t>да</t>
        </is>
      </c>
      <c r="K2830" s="3" t="inlineStr">
        <is>
          <t>Незаконченный фильм Сергея Параджанова, в котором режиссер задумывал рассказать о трагедии войны особым кинематографическим языком метафор и образов. После отснятия кинопроб дирекция киностудии приняла решение прекратить съёмки "в целом импрессионистского фильма, пронизанного идеей пацифизма".</t>
        </is>
      </c>
      <c r="L2830" s="2" t="inlineStr">
        <is>
          <t>Кино_СССР сводный каталог.xlsx: список фильмов (доп.)</t>
        </is>
      </c>
      <c r="M2830" s="2">
        <f>HYPERLINK("https://ru.wikipedia.org/w/index.php?search=%D0%9A%D0%B8%D0%B5%D0%B2%D1%81%D0%BA%D0%B8%D0%B5%20%D1%84%D1%80%D0%B5%D1%81%D0%BA%D0%B8%201966%20%D1%84%D0%B8%D0%BB%D1%8C%D0%BC","искать")</f>
        <v/>
      </c>
      <c r="N2830" s="3" t="n"/>
      <c r="O2830" s="2" t="n"/>
      <c r="P2830" s="2" t="n"/>
    </row>
    <row r="2831">
      <c r="A2831" s="2" t="n">
        <v>2830</v>
      </c>
      <c r="B2831" s="2" t="inlineStr">
        <is>
          <t>не сюжет</t>
        </is>
      </c>
      <c r="C2831" s="2" t="n">
        <v>9114</v>
      </c>
      <c r="D2831" s="3" t="inlineStr">
        <is>
          <t>Трудные годы (Борьба продолжается)</t>
        </is>
      </c>
      <c r="E2831" s="2" t="n">
        <v>1973</v>
      </c>
      <c r="F2831" s="2" t="inlineStr">
        <is>
          <t>кинофильм</t>
        </is>
      </c>
      <c r="G2831" s="2" t="n"/>
      <c r="H2831" s="2" t="n">
        <v>294</v>
      </c>
      <c r="I2831" s="2" t="inlineStr"/>
      <c r="J2831" s="2" t="inlineStr">
        <is>
          <t>да</t>
        </is>
      </c>
      <c r="K2831" s="3" t="inlineStr">
        <is>
          <t>Это укороченный вариант четырехсерийного фильма "Свободны, как птицы". Историко-революционный фильм поставлен по неоконченному роману эстонского революционера и писателя Яана Анвельта "Вне закона", который, несмотря на незавершённость, считается высшим достижением пролетарской прозы в Эстонии.</t>
        </is>
      </c>
      <c r="L2831" s="2" t="inlineStr">
        <is>
          <t>Кино_СССР сводный каталог.xlsx: список фильмов (доп.)</t>
        </is>
      </c>
      <c r="M2831" s="2">
        <f>HYPERLINK("https://ru.wikipedia.org/w/index.php?search=%D0%A2%D1%80%D1%83%D0%B4%D0%BD%D1%8B%D0%B5%20%D0%B3%D0%BE%D0%B4%D1%8B%20%28%D0%91%D0%BE%D1%80%D1%8C%D0%B1%D0%B0%20%D0%BF%D1%80%D0%BE%D0%B4%D0%BE%D0%BB%D0%B6%D0%B0%D0%B5%D1%82%D1%81%D1%8F%29%201973%20%D1%84%D0%B8%D0%BB%D1%8C%D0%BC","искать")</f>
        <v/>
      </c>
      <c r="N2831" s="3" t="n"/>
      <c r="O2831" s="2" t="n"/>
      <c r="P2831" s="2" t="n"/>
    </row>
    <row r="2832">
      <c r="A2832" s="2" t="n">
        <v>2831</v>
      </c>
      <c r="B2832" s="2" t="inlineStr">
        <is>
          <t>не сюжет</t>
        </is>
      </c>
      <c r="C2832" s="2" t="n">
        <v>7816</v>
      </c>
      <c r="D2832" s="3" t="inlineStr">
        <is>
          <t>Личный интерес</t>
        </is>
      </c>
      <c r="E2832" s="2" t="n">
        <v>1986</v>
      </c>
      <c r="F2832" s="2" t="inlineStr">
        <is>
          <t>телефильм</t>
        </is>
      </c>
      <c r="G2832" s="2" t="n"/>
      <c r="H2832" s="2" t="n">
        <v>295</v>
      </c>
      <c r="I2832" s="2" t="inlineStr"/>
      <c r="J2832" s="2" t="inlineStr">
        <is>
          <t>да</t>
        </is>
      </c>
      <c r="K2832" s="3" t="inlineStr">
        <is>
          <t>Деревенская дилогия. По мотивам повести Валентина Блакита "Чти имя свое". Александр Сурмила и Алексей Кунцевич - председатели соседних колхозов. Сурмила мечтает об объединении двух колхозов и создании агрофирмы. Кунцевич не верит в эту идею, считая, что Сурмила больше заботится о своей карьере.</t>
        </is>
      </c>
      <c r="L2832" s="2" t="inlineStr">
        <is>
          <t>Кино_СССР сводный каталог.xlsx: список телефильмов</t>
        </is>
      </c>
      <c r="M2832" s="2">
        <f>HYPERLINK("https://ru.wikipedia.org/w/index.php?search=%D0%9B%D0%B8%D1%87%D0%BD%D1%8B%D0%B9%20%D0%B8%D0%BD%D1%82%D0%B5%D1%80%D0%B5%D1%81%201986%20%D1%84%D0%B8%D0%BB%D1%8C%D0%BC","искать")</f>
        <v/>
      </c>
      <c r="N2832" s="3" t="n"/>
      <c r="O2832" s="2" t="n"/>
      <c r="P2832" s="2" t="n"/>
    </row>
    <row r="2833">
      <c r="A2833" s="2" t="n">
        <v>2832</v>
      </c>
      <c r="B2833" s="2" t="inlineStr">
        <is>
          <t>не сюжет</t>
        </is>
      </c>
      <c r="C2833" s="2" t="n">
        <v>8551</v>
      </c>
      <c r="D2833" s="3" t="inlineStr">
        <is>
          <t>Человек-олень...</t>
        </is>
      </c>
      <c r="E2833" s="2" t="n">
        <v>1985</v>
      </c>
      <c r="F2833" s="2" t="inlineStr">
        <is>
          <t>телефильм</t>
        </is>
      </c>
      <c r="G2833" s="2" t="n"/>
      <c r="H2833" s="2" t="n">
        <v>295</v>
      </c>
      <c r="I2833" s="2" t="inlineStr"/>
      <c r="J2833" s="2" t="inlineStr">
        <is>
          <t>да</t>
        </is>
      </c>
      <c r="K2833" s="3" t="inlineStr">
        <is>
          <t>О соотношении прошлого и настоящего, всеобщего и индивидуального, о сохранении гуманного высокого начала в человеке. Высоко в горах уединенно живет лесник Актан со своей немой тётей в покинутом людьми ауле. Неправильной и суетной кажется ему жизнь людей. Но и своя жизнь нравится ему все меньше.</t>
        </is>
      </c>
      <c r="L2833" s="2" t="inlineStr">
        <is>
          <t>Кино_СССР сводный каталог.xlsx: список телефильмов</t>
        </is>
      </c>
      <c r="M2833" s="2">
        <f>HYPERLINK("https://ru.wikipedia.org/w/index.php?search=%D0%A7%D0%B5%D0%BB%D0%BE%D0%B2%D0%B5%D0%BA-%D0%BE%D0%BB%D0%B5%D0%BD%D1%8C...%201985%20%D1%84%D0%B8%D0%BB%D1%8C%D0%BC","искать")</f>
        <v/>
      </c>
      <c r="N2833" s="3" t="n"/>
      <c r="O2833" s="2" t="n"/>
      <c r="P2833" s="2" t="n"/>
    </row>
    <row r="2834">
      <c r="A2834" s="2" t="n">
        <v>2833</v>
      </c>
      <c r="B2834" s="2" t="inlineStr">
        <is>
          <t>не сюжет</t>
        </is>
      </c>
      <c r="C2834" s="2" t="n">
        <v>10898</v>
      </c>
      <c r="D2834" s="3" t="inlineStr">
        <is>
          <t>Паланга</t>
        </is>
      </c>
      <c r="E2834" s="2" t="n">
        <v>1981</v>
      </c>
      <c r="F2834" s="2" t="inlineStr">
        <is>
          <t>фильм-спектакль</t>
        </is>
      </c>
      <c r="G2834" s="2" t="inlineStr">
        <is>
          <t>Литовское телевидение</t>
        </is>
      </c>
      <c r="H2834" s="2" t="n">
        <v>295</v>
      </c>
      <c r="I2834" s="2" t="inlineStr"/>
      <c r="J2834" s="2" t="inlineStr">
        <is>
          <t>да</t>
        </is>
      </c>
      <c r="K2834" s="3" t="inlineStr">
        <is>
          <t>Спектакль снят по одноименной комедии Аугустинаса Грицюса и рассказывает о быте и нравах довоенных литовских буржуа на морском курорте Паланга. С лёгкой иронией показаны те, кто считает себя элитой общества, а на самом деле многие из них - это малообразованные, живущие интригами и флиртом люди.</t>
        </is>
      </c>
      <c r="L2834" s="2" t="inlineStr">
        <is>
          <t>https://www.kino-teatr.ru/teatr/movie/95702/annot/</t>
        </is>
      </c>
      <c r="M2834" s="2">
        <f>HYPERLINK("https://ru.wikipedia.org/w/index.php?search=%D0%9F%D0%B0%D0%BB%D0%B0%D0%BD%D0%B3%D0%B0%201981%20%D1%84%D0%B8%D0%BB%D1%8C%D0%BC","искать")</f>
        <v/>
      </c>
      <c r="N2834" s="3" t="n"/>
      <c r="O2834" s="2" t="n"/>
      <c r="P2834" s="2" t="n"/>
    </row>
    <row r="2835">
      <c r="A2835" s="2" t="n">
        <v>2834</v>
      </c>
      <c r="B2835" s="2" t="inlineStr">
        <is>
          <t>не сюжет</t>
        </is>
      </c>
      <c r="C2835" s="2" t="n">
        <v>7473</v>
      </c>
      <c r="D2835" s="3" t="inlineStr">
        <is>
          <t>Два голоса</t>
        </is>
      </c>
      <c r="E2835" s="2" t="n">
        <v>1981</v>
      </c>
      <c r="F2835" s="2" t="inlineStr">
        <is>
          <t>телефильм</t>
        </is>
      </c>
      <c r="G2835" s="2" t="inlineStr">
        <is>
          <t>Лентелефильм</t>
        </is>
      </c>
      <c r="H2835" s="2" t="n">
        <v>296</v>
      </c>
      <c r="I2835" s="2" t="inlineStr"/>
      <c r="J2835" s="2" t="inlineStr">
        <is>
          <t>да</t>
        </is>
      </c>
      <c r="K2835" s="3" t="inlineStr">
        <is>
          <t>Фильм состоит из трех новелл, посвященных любви: "Темные аллеи" (Ивана Бунина), "Четвертая Мещанская"(Евгения Евтушенко) и "Идеалистка" (Александра Володина). Фрагменты всех трех новелл ретроспективно проходят у нас перед глазами. Самое сложное - не утратить человека, который вошел в твою жизнь.</t>
        </is>
      </c>
      <c r="L2835" s="2" t="inlineStr">
        <is>
          <t>Кино_СССР сводный каталог.xlsx: список телефильмов</t>
        </is>
      </c>
      <c r="M2835" s="2">
        <f>HYPERLINK("https://ru.wikipedia.org/w/index.php?search=%D0%94%D0%B2%D0%B0%20%D0%B3%D0%BE%D0%BB%D0%BE%D1%81%D0%B0%201981%20%D1%84%D0%B8%D0%BB%D1%8C%D0%BC","искать")</f>
        <v/>
      </c>
      <c r="N2835" s="3" t="n"/>
      <c r="O2835" s="2" t="n"/>
      <c r="P2835" s="2" t="n"/>
    </row>
    <row r="2836">
      <c r="A2836" s="2" t="n">
        <v>2835</v>
      </c>
      <c r="B2836" s="2" t="inlineStr">
        <is>
          <t>не сюжет</t>
        </is>
      </c>
      <c r="C2836" s="2" t="n">
        <v>7520</v>
      </c>
      <c r="D2836" s="3" t="inlineStr">
        <is>
          <t>Дни Турбиных</t>
        </is>
      </c>
      <c r="E2836" s="2" t="n">
        <v>1976</v>
      </c>
      <c r="F2836" s="2" t="inlineStr">
        <is>
          <t>телефильм</t>
        </is>
      </c>
      <c r="G2836" s="2" t="n"/>
      <c r="H2836" s="2" t="n">
        <v>296</v>
      </c>
      <c r="I2836" s="2" t="inlineStr"/>
      <c r="J2836" s="2" t="inlineStr">
        <is>
          <t>да</t>
        </is>
      </c>
      <c r="K2836" s="3" t="inlineStr">
        <is>
          <t>Телевизионный минисериал по пьесе "Дни Турбиных" Михаила Булгакова. История жизни обычной офицерской семьи на переломе двух эпох истории. 1918-1919г., в разгаре гражданская война. На Украине еще немцы и гетман, а вокруг Киева - петлюровцы. Но уже приближаются к украинской столице войска красных.</t>
        </is>
      </c>
      <c r="L2836" s="2" t="inlineStr">
        <is>
          <t>Кино_СССР сводный каталог.xlsx: список телефильмов</t>
        </is>
      </c>
      <c r="M2836" s="2">
        <f>HYPERLINK("https://ru.wikipedia.org/w/index.php?search=%D0%94%D0%BD%D0%B8%20%D0%A2%D1%83%D1%80%D0%B1%D0%B8%D0%BD%D1%8B%D1%85%201976%20%D1%84%D0%B8%D0%BB%D1%8C%D0%BC","искать")</f>
        <v/>
      </c>
      <c r="N2836" s="3" t="n"/>
      <c r="O2836" s="2" t="n"/>
      <c r="P2836" s="2" t="n"/>
    </row>
    <row r="2837">
      <c r="A2837" s="2" t="n">
        <v>2836</v>
      </c>
      <c r="B2837" s="2" t="inlineStr">
        <is>
          <t>не сюжет</t>
        </is>
      </c>
      <c r="C2837" s="2" t="n">
        <v>7645</v>
      </c>
      <c r="D2837" s="3" t="inlineStr">
        <is>
          <t>Земляки</t>
        </is>
      </c>
      <c r="E2837" s="2" t="n">
        <v>1988</v>
      </c>
      <c r="F2837" s="2" t="inlineStr">
        <is>
          <t>телефильм</t>
        </is>
      </c>
      <c r="G2837" s="2" t="n"/>
      <c r="H2837" s="2" t="n">
        <v>297</v>
      </c>
      <c r="I2837" s="2" t="inlineStr"/>
      <c r="J2837" s="2" t="inlineStr">
        <is>
          <t>да</t>
        </is>
      </c>
      <c r="K2837" s="3" t="inlineStr">
        <is>
          <t>Киноповесть по мотивам одноименного произведения писателя-публициста Ивана Васильева. В центре фильма - образ секретаря райкома партии Федора Пастухова, чья судьба драматически переплелась с судьбами его земляков: первого секретаря райкома Быкова, председателя колхоза Лаптева, журналиста Рожкова.</t>
        </is>
      </c>
      <c r="L2837" s="2" t="inlineStr">
        <is>
          <t>Кино_СССР сводный каталог.xlsx: список телефильмов</t>
        </is>
      </c>
      <c r="M2837" s="2">
        <f>HYPERLINK("https://ru.wikipedia.org/w/index.php?search=%D0%97%D0%B5%D0%BC%D0%BB%D1%8F%D0%BA%D0%B8%201988%20%D1%84%D0%B8%D0%BB%D1%8C%D0%BC","искать")</f>
        <v/>
      </c>
      <c r="N2837" s="3" t="n"/>
      <c r="O2837" s="2" t="n"/>
      <c r="P2837" s="2" t="n"/>
    </row>
    <row r="2838">
      <c r="A2838" s="2" t="n">
        <v>2837</v>
      </c>
      <c r="B2838" s="2" t="inlineStr">
        <is>
          <t>не сюжет</t>
        </is>
      </c>
      <c r="C2838" s="2" t="n">
        <v>11756</v>
      </c>
      <c r="D2838" s="3" t="inlineStr">
        <is>
          <t>Цапля и журавль</t>
        </is>
      </c>
      <c r="E2838" s="2" t="n">
        <v>1974</v>
      </c>
      <c r="F2838" s="2" t="inlineStr">
        <is>
          <t>мультфильм</t>
        </is>
      </c>
      <c r="G2838" s="2" t="inlineStr">
        <is>
          <t>Союзмультфильм</t>
        </is>
      </c>
      <c r="H2838" s="2" t="n">
        <v>297</v>
      </c>
      <c r="I2838" s="2" t="inlineStr"/>
      <c r="J2838" s="2" t="inlineStr">
        <is>
          <t>да</t>
        </is>
      </c>
      <c r="K2838" s="3" t="inlineStr">
        <is>
          <t>По мотивам русской сказки в пересказе В.Даля
X МФ анимационных фильмов в Анесси, 1975 -- Первая премия; VIII ВКФ, Кишинев 1975 -- входил в программу "Союзмультфильма", признанную лучшей программой; III МФ анимационных фильмов в Нью-Йорке, 1975 -- Первая премия в категории фильмов более трех минут</t>
        </is>
      </c>
      <c r="L2838" s="2" t="inlineStr">
        <is>
          <t>https://animator.ru/db/?p=show_film&amp;fid=2670</t>
        </is>
      </c>
      <c r="M2838" s="2">
        <f>HYPERLINK("https://ru.wikipedia.org/w/index.php?search=%D0%A6%D0%B0%D0%BF%D0%BB%D1%8F%20%D0%B8%20%D0%B6%D1%83%D1%80%D0%B0%D0%B2%D0%BB%D1%8C%201974%20%D1%84%D0%B8%D0%BB%D1%8C%D0%BC","искать")</f>
        <v/>
      </c>
      <c r="N2838" s="3" t="n"/>
      <c r="O2838" s="2" t="n"/>
      <c r="P2838" s="2" t="n"/>
    </row>
    <row r="2839">
      <c r="A2839" s="2" t="n">
        <v>2838</v>
      </c>
      <c r="B2839" s="2" t="inlineStr">
        <is>
          <t>не сюжет</t>
        </is>
      </c>
      <c r="C2839" s="2" t="n">
        <v>7648</v>
      </c>
      <c r="D2839" s="3" t="inlineStr">
        <is>
          <t>Зимовье на Студёной</t>
        </is>
      </c>
      <c r="E2839" s="2" t="n">
        <v>1986</v>
      </c>
      <c r="F2839" s="2" t="inlineStr">
        <is>
          <t>телефильм</t>
        </is>
      </c>
      <c r="G2839" s="2" t="n"/>
      <c r="H2839" s="2" t="n">
        <v>299</v>
      </c>
      <c r="I2839" s="2" t="inlineStr"/>
      <c r="J2839" s="2" t="inlineStr">
        <is>
          <t>да</t>
        </is>
      </c>
      <c r="K2839" s="3" t="inlineStr">
        <is>
          <t>По мотивам рассказов Дмитрия Мамина-Сибиряка. Действие фильма происходит на Северном Урале в конце ХIХ века. Старик-охотник Елеска Шишмарёв одиноко живет в избушке, затерянной среди тайги и болот. Единственный его друг — пёс Музгарка. В центре фильма — судьба Елески, его доброта и любовь к природе.</t>
        </is>
      </c>
      <c r="L2839" s="2" t="inlineStr">
        <is>
          <t>Кино_СССР сводный каталог.xlsx: список телефильмов</t>
        </is>
      </c>
      <c r="M2839" s="2">
        <f>HYPERLINK("https://ru.wikipedia.org/w/index.php?search=%D0%97%D0%B8%D0%BC%D0%BE%D0%B2%D1%8C%D0%B5%20%D0%BD%D0%B0%20%D0%A1%D1%82%D1%83%D0%B4%D1%91%D0%BD%D0%BE%D0%B9%201986%20%D1%84%D0%B8%D0%BB%D1%8C%D0%BC","искать")</f>
        <v/>
      </c>
      <c r="N2839" s="3" t="n"/>
      <c r="O2839" s="2" t="n"/>
      <c r="P2839" s="2" t="n"/>
    </row>
    <row r="2840">
      <c r="A2840" s="2" t="n">
        <v>2839</v>
      </c>
      <c r="B2840" s="2" t="inlineStr">
        <is>
          <t>не сюжет</t>
        </is>
      </c>
      <c r="C2840" s="2" t="n">
        <v>7866</v>
      </c>
      <c r="D2840" s="3" t="inlineStr">
        <is>
          <t>Меньший среди братьев</t>
        </is>
      </c>
      <c r="E2840" s="2" t="n">
        <v>1984</v>
      </c>
      <c r="F2840" s="2" t="inlineStr">
        <is>
          <t>телефильм</t>
        </is>
      </c>
      <c r="G2840" s="2" t="n"/>
      <c r="H2840" s="2" t="n">
        <v>299</v>
      </c>
      <c r="I2840" s="2" t="inlineStr"/>
      <c r="J2840" s="2" t="inlineStr">
        <is>
          <t>да</t>
        </is>
      </c>
      <c r="K2840" s="3" t="inlineStr">
        <is>
          <t>По мотивам романа Григория Бакланова. Илья Константинович, бывший фронтовик, профессор истории, одарен живым умом, трезво оценивает жизнь и события, в споре со своей совестью не лукавит, в своих неудачах винит только самого себя. Но, смелый в мыслях, Илья Константинович не всегда мужествен в жизни.</t>
        </is>
      </c>
      <c r="L2840" s="2" t="inlineStr">
        <is>
          <t>Кино_СССР сводный каталог.xlsx: список телефильмов</t>
        </is>
      </c>
      <c r="M2840" s="2">
        <f>HYPERLINK("https://ru.wikipedia.org/w/index.php?search=%D0%9C%D0%B5%D0%BD%D1%8C%D1%88%D0%B8%D0%B9%20%D1%81%D1%80%D0%B5%D0%B4%D0%B8%20%D0%B1%D1%80%D0%B0%D1%82%D1%8C%D0%B5%D0%B2%201984%20%D1%84%D0%B8%D0%BB%D1%8C%D0%BC","искать")</f>
        <v/>
      </c>
      <c r="N2840" s="3" t="n"/>
      <c r="O2840" s="2" t="n"/>
      <c r="P2840" s="2" t="n"/>
    </row>
    <row r="2841">
      <c r="A2841" s="2" t="n">
        <v>2840</v>
      </c>
      <c r="B2841" s="2" t="inlineStr">
        <is>
          <t>не сюжет</t>
        </is>
      </c>
      <c r="C2841" s="2" t="n">
        <v>8964</v>
      </c>
      <c r="D2841" s="3" t="inlineStr">
        <is>
          <t>Последняя молитва Назарэ</t>
        </is>
      </c>
      <c r="E2841" s="2" t="n">
        <v>1988</v>
      </c>
      <c r="F2841" s="2" t="inlineStr">
        <is>
          <t>кинофильм</t>
        </is>
      </c>
      <c r="G2841" s="2" t="n"/>
      <c r="H2841" s="2" t="n">
        <v>299</v>
      </c>
      <c r="I2841" s="2" t="inlineStr"/>
      <c r="J2841" s="2" t="inlineStr">
        <is>
          <t>да</t>
        </is>
      </c>
      <c r="K2841" s="3" t="inlineStr">
        <is>
          <t>По мотивам одноименного рассказа Акакий Гацерилия. Сталкиваются два взгляда на жизнь, на смысл человеческого существования. Митрополит Назарэ проповедует идею смирения и всепрощения. «Религия» его оппонента — красного комиссара — в том, что человек — ничтожество и его жизнь не стоит ломаного гроша.</t>
        </is>
      </c>
      <c r="L2841" s="2" t="inlineStr">
        <is>
          <t>Кино_СССР сводный каталог.xlsx: список фильмов (доп.)</t>
        </is>
      </c>
      <c r="M2841" s="2">
        <f>HYPERLINK("https://ru.wikipedia.org/w/index.php?search=%D0%9F%D0%BE%D1%81%D0%BB%D0%B5%D0%B4%D0%BD%D1%8F%D1%8F%20%D0%BC%D0%BE%D0%BB%D0%B8%D1%82%D0%B2%D0%B0%20%D0%9D%D0%B0%D0%B7%D0%B0%D1%80%D1%8D%201988%20%D1%84%D0%B8%D0%BB%D1%8C%D0%BC","искать")</f>
        <v/>
      </c>
      <c r="N2841" s="3" t="n"/>
      <c r="O2841" s="2" t="n"/>
      <c r="P2841" s="2" t="n"/>
    </row>
    <row r="2842">
      <c r="A2842" s="2" t="n">
        <v>2841</v>
      </c>
      <c r="B2842" s="2" t="inlineStr">
        <is>
          <t>не сюжет</t>
        </is>
      </c>
      <c r="C2842" s="2" t="n">
        <v>8275</v>
      </c>
      <c r="D2842" s="3" t="inlineStr">
        <is>
          <t>Ритмы регаты</t>
        </is>
      </c>
      <c r="E2842" s="2" t="n">
        <v>1980</v>
      </c>
      <c r="F2842" s="2" t="inlineStr">
        <is>
          <t>телефильм</t>
        </is>
      </c>
      <c r="G2842" s="2" t="n"/>
      <c r="H2842" s="2" t="n">
        <v>300</v>
      </c>
      <c r="I2842" s="2" t="inlineStr"/>
      <c r="J2842" s="2" t="inlineStr">
        <is>
          <t>да</t>
        </is>
      </c>
      <c r="K2842" s="3" t="inlineStr">
        <is>
          <t>Таллинн - город проведения парусной регаты 22 Олимпийских игр. В эти дни Таллинн стал не только городом спорта, но и музыки. В передаче участвуют Тынис Мяги, Айя Кукуле, Иво Линна, Евгений Мартынов, солисты из ансамбля "Виру" Элонна Сприит и Александр Булдаков, ансамбль 46 средней школы "Щелкунчик".</t>
        </is>
      </c>
      <c r="L2842" s="2" t="inlineStr">
        <is>
          <t>Кино_СССР сводный каталог.xlsx: список телефильмов</t>
        </is>
      </c>
      <c r="M2842" s="2">
        <f>HYPERLINK("https://ru.wikipedia.org/w/index.php?search=%D0%A0%D0%B8%D1%82%D0%BC%D1%8B%20%D1%80%D0%B5%D0%B3%D0%B0%D1%82%D1%8B%201980%20%D1%84%D0%B8%D0%BB%D1%8C%D0%BC","искать")</f>
        <v/>
      </c>
      <c r="N2842" s="3" t="n"/>
      <c r="O2842" s="2" t="n"/>
      <c r="P2842" s="2" t="n"/>
    </row>
    <row r="2843">
      <c r="A2843" s="2" t="n">
        <v>2842</v>
      </c>
      <c r="B2843" s="2" t="inlineStr">
        <is>
          <t>не сюжет</t>
        </is>
      </c>
      <c r="C2843" s="2" t="n">
        <v>7387</v>
      </c>
      <c r="D2843" s="3" t="inlineStr">
        <is>
          <t>Времена года (киноальманах)</t>
        </is>
      </c>
      <c r="E2843" s="2" t="n">
        <v>1968</v>
      </c>
      <c r="F2843" s="2" t="inlineStr">
        <is>
          <t>телефильм</t>
        </is>
      </c>
      <c r="G2843" s="2" t="n"/>
      <c r="H2843" s="2" t="n">
        <v>301</v>
      </c>
      <c r="I2843" s="2" t="inlineStr"/>
      <c r="J2843" s="2" t="inlineStr">
        <is>
          <t>да</t>
        </is>
      </c>
      <c r="K2843" s="3" t="inlineStr">
        <is>
          <t>Телефильм по рассказам Юрия Нагибина. Состоит из четырех новелл: "В апрельском лесу","Четвертый папа", "При дороге", "Дети лепят из снега". "Четвертый папа". Маленький Саша (Антоша Табаков) растет без отца. Его мама работает в больнице, большую часть времени мальчик проводит с домработницей Феничкой.</t>
        </is>
      </c>
      <c r="L2843" s="2" t="inlineStr">
        <is>
          <t>Кино_СССР сводный каталог.xlsx: список телефильмов</t>
        </is>
      </c>
      <c r="M2843" s="2">
        <f>HYPERLINK("https://ru.wikipedia.org/w/index.php?search=%D0%92%D1%80%D0%B5%D0%BC%D0%B5%D0%BD%D0%B0%20%D0%B3%D0%BE%D0%B4%D0%B0%20%28%D0%BA%D0%B8%D0%BD%D0%BE%D0%B0%D0%BB%D1%8C%D0%BC%D0%B0%D0%BD%D0%B0%D1%85%29%201968%20%D1%84%D0%B8%D0%BB%D1%8C%D0%BC","искать")</f>
        <v/>
      </c>
      <c r="N2843" s="3" t="n"/>
      <c r="O2843" s="2" t="n"/>
      <c r="P2843" s="2" t="n"/>
    </row>
    <row r="2844">
      <c r="A2844" s="2" t="n">
        <v>2843</v>
      </c>
      <c r="B2844" s="2" t="inlineStr">
        <is>
          <t>не сюжет</t>
        </is>
      </c>
      <c r="C2844" s="2" t="n">
        <v>10568</v>
      </c>
      <c r="D2844" s="3" t="inlineStr">
        <is>
          <t>Маленький принц</t>
        </is>
      </c>
      <c r="E2844" s="2" t="n">
        <v>1974</v>
      </c>
      <c r="F2844" s="2" t="inlineStr">
        <is>
          <t>фильм-спектакль</t>
        </is>
      </c>
      <c r="G2844" s="2" t="inlineStr">
        <is>
          <t>Центральное телевидение</t>
        </is>
      </c>
      <c r="H2844" s="2" t="n">
        <v>301</v>
      </c>
      <c r="I2844" s="2" t="inlineStr"/>
      <c r="J2844" s="2" t="inlineStr">
        <is>
          <t>да</t>
        </is>
      </c>
      <c r="K2844" s="3" t="inlineStr">
        <is>
          <t>По одноименной аллегорической сказке Антуана де Сент-Экзюпери в постановке Московского драматического театра имени К.С. Станиславского.
Мудрая и "человечная" сказка-притча, в которой просто и проникновенно говорится о самом важном: о дружбе и любви, о долге и верности, о красоте и нетерпимости к злу.</t>
        </is>
      </c>
      <c r="L2844" s="2" t="inlineStr">
        <is>
          <t>https://www.kino-teatr.ru/teatr/movie/92369/annot/</t>
        </is>
      </c>
      <c r="M2844" s="2">
        <f>HYPERLINK("https://ru.wikipedia.org/w/index.php?search=%D0%9C%D0%B0%D0%BB%D0%B5%D0%BD%D1%8C%D0%BA%D0%B8%D0%B9%20%D0%BF%D1%80%D0%B8%D0%BD%D1%86%201974%20%D1%84%D0%B8%D0%BB%D1%8C%D0%BC","искать")</f>
        <v/>
      </c>
      <c r="N2844" s="3" t="n"/>
      <c r="O2844" s="2" t="n"/>
      <c r="P2844" s="2" t="n"/>
    </row>
    <row r="2845">
      <c r="A2845" s="2" t="n">
        <v>2844</v>
      </c>
      <c r="B2845" s="2" t="inlineStr">
        <is>
          <t>не сюжет</t>
        </is>
      </c>
      <c r="C2845" s="2" t="n">
        <v>8103</v>
      </c>
      <c r="D2845" s="3" t="inlineStr">
        <is>
          <t>Песни для внучат</t>
        </is>
      </c>
      <c r="E2845" s="2" t="n">
        <v>1977</v>
      </c>
      <c r="F2845" s="2" t="inlineStr">
        <is>
          <t>телефильм</t>
        </is>
      </c>
      <c r="G2845" s="2" t="n"/>
      <c r="H2845" s="2" t="n">
        <v>302</v>
      </c>
      <c r="I2845" s="2" t="inlineStr"/>
      <c r="J2845" s="2" t="inlineStr">
        <is>
          <t>да</t>
        </is>
      </c>
      <c r="K2845" s="3" t="inlineStr">
        <is>
          <t>Есть в Грузии небольшой городок Саркинети. Главное достоинство этого славного городка — здесь поют все без исключения. У саркинетцев даже дети рождаются с многоголосной песней на устах. Более того, у саркинетцев дети поют всё: в их репертуаре — песни всех уголков земного шара и, говорят, даже Америки.</t>
        </is>
      </c>
      <c r="L2845" s="2" t="inlineStr">
        <is>
          <t>Кино_СССР сводный каталог.xlsx: список телефильмов</t>
        </is>
      </c>
      <c r="M2845" s="2">
        <f>HYPERLINK("https://ru.wikipedia.org/w/index.php?search=%D0%9F%D0%B5%D1%81%D0%BD%D0%B8%20%D0%B4%D0%BB%D1%8F%20%D0%B2%D0%BD%D1%83%D1%87%D0%B0%D1%82%201977%20%D1%84%D0%B8%D0%BB%D1%8C%D0%BC","искать")</f>
        <v/>
      </c>
      <c r="N2845" s="3" t="n"/>
      <c r="O2845" s="2" t="n"/>
      <c r="P2845" s="2" t="n"/>
    </row>
    <row r="2846">
      <c r="A2846" s="2" t="n">
        <v>2845</v>
      </c>
      <c r="B2846" s="2" t="inlineStr">
        <is>
          <t>не сюжет</t>
        </is>
      </c>
      <c r="C2846" s="2" t="n">
        <v>8775</v>
      </c>
      <c r="D2846" s="3" t="inlineStr">
        <is>
          <t>Корона ужа</t>
        </is>
      </c>
      <c r="E2846" s="2" t="n">
        <v>1986</v>
      </c>
      <c r="F2846" s="2" t="inlineStr">
        <is>
          <t>кинофильм</t>
        </is>
      </c>
      <c r="G2846" s="2" t="n"/>
      <c r="H2846" s="2" t="n">
        <v>302</v>
      </c>
      <c r="I2846" s="2" t="inlineStr"/>
      <c r="J2846" s="2" t="inlineStr">
        <is>
          <t>да</t>
        </is>
      </c>
      <c r="K2846" s="3" t="inlineStr">
        <is>
          <t>Фильм посвящён жизни и творчеству известного литовского художника и композитора М.К.Чюрлёниса. В нём не воспроизводится исторически точно его жизнь, это словно остановившиеся мгновения биографии, основные переломы и творческие тайны. Фильм - словно вариация на тему гениальность и творчество художника.</t>
        </is>
      </c>
      <c r="L2846" s="2" t="inlineStr">
        <is>
          <t>Кино_СССР сводный каталог.xlsx: список фильмов (доп.)</t>
        </is>
      </c>
      <c r="M2846" s="2">
        <f>HYPERLINK("https://ru.wikipedia.org/w/index.php?search=%D0%9A%D0%BE%D1%80%D0%BE%D0%BD%D0%B0%20%D1%83%D0%B6%D0%B0%201986%20%D1%84%D0%B8%D0%BB%D1%8C%D0%BC","искать")</f>
        <v/>
      </c>
      <c r="N2846" s="3" t="n"/>
      <c r="O2846" s="2" t="n"/>
      <c r="P2846" s="2" t="n"/>
    </row>
    <row r="2847">
      <c r="A2847" s="2" t="n">
        <v>2846</v>
      </c>
      <c r="B2847" s="2" t="inlineStr">
        <is>
          <t>не сюжет</t>
        </is>
      </c>
      <c r="C2847" s="2" t="n">
        <v>7629</v>
      </c>
      <c r="D2847" s="3" t="inlineStr">
        <is>
          <t>Затемнённые окна</t>
        </is>
      </c>
      <c r="E2847" s="2" t="n">
        <v>1968</v>
      </c>
      <c r="F2847" s="2" t="inlineStr">
        <is>
          <t>телефильм</t>
        </is>
      </c>
      <c r="G2847" s="2" t="n"/>
      <c r="H2847" s="2" t="n">
        <v>304</v>
      </c>
      <c r="I2847" s="2" t="inlineStr"/>
      <c r="J2847" s="2" t="inlineStr">
        <is>
          <t>да</t>
        </is>
      </c>
      <c r="K2847" s="3" t="inlineStr">
        <is>
          <t>Телевизионный фильм снят по мотивам повести "Время тёмных окон" эстонской советской писательницы Лилли Промет (1922-2007). Это фильм о войне, о любви во время войны. В нем рассказывается история двух эстонских женщин - Марии и Леэды и двух мужчин - Герта и Мати. Действие происходит в сентябре 1944 года.</t>
        </is>
      </c>
      <c r="L2847" s="2" t="inlineStr">
        <is>
          <t>Кино_СССР сводный каталог.xlsx: список телефильмов</t>
        </is>
      </c>
      <c r="M2847" s="2">
        <f>HYPERLINK("https://ru.wikipedia.org/w/index.php?search=%D0%97%D0%B0%D1%82%D0%B5%D0%BC%D0%BD%D1%91%D0%BD%D0%BD%D1%8B%D0%B5%20%D0%BE%D0%BA%D0%BD%D0%B0%201968%20%D1%84%D0%B8%D0%BB%D1%8C%D0%BC","искать")</f>
        <v/>
      </c>
      <c r="N2847" s="3" t="n"/>
      <c r="O2847" s="2" t="n"/>
      <c r="P2847" s="2" t="n"/>
    </row>
    <row r="2848">
      <c r="A2848" s="2" t="n">
        <v>2847</v>
      </c>
      <c r="B2848" s="2" t="inlineStr">
        <is>
          <t>не сюжет</t>
        </is>
      </c>
      <c r="C2848" s="2" t="n">
        <v>10161</v>
      </c>
      <c r="D2848" s="3" t="inlineStr">
        <is>
          <t>Бесталанная</t>
        </is>
      </c>
      <c r="E2848" s="2" t="n">
        <v>1966</v>
      </c>
      <c r="F2848" s="2" t="inlineStr">
        <is>
          <t>фильм-спектакль</t>
        </is>
      </c>
      <c r="G2848" s="2" t="inlineStr">
        <is>
          <t>Укртелефильм</t>
        </is>
      </c>
      <c r="H2848" s="2" t="n">
        <v>305</v>
      </c>
      <c r="I2848" s="2" t="inlineStr"/>
      <c r="J2848" s="2" t="inlineStr">
        <is>
          <t>да</t>
        </is>
      </c>
      <c r="K2848" s="3" t="inlineStr">
        <is>
          <t>Фильм-спектакль театра им. И.Франко по пьесе И.Карпенко-Карого. Это история из жизни украинской деревни. Характеры, нравы, любовь, страсти, рок - все завязывается в драматический узел, распутать который оказывается нелегко. Кто в пресловутом любовном треугольнике - Варька, Гнат и София - окажется лишним?</t>
        </is>
      </c>
      <c r="L2848" s="2" t="inlineStr">
        <is>
          <t>https://www.kino-teatr.ru/teatr/movie/16130/annot/</t>
        </is>
      </c>
      <c r="M2848" s="2">
        <f>HYPERLINK("https://ru.wikipedia.org/w/index.php?search=%D0%91%D0%B5%D1%81%D1%82%D0%B0%D0%BB%D0%B0%D0%BD%D0%BD%D0%B0%D1%8F%201966%20%D1%84%D0%B8%D0%BB%D1%8C%D0%BC","искать")</f>
        <v/>
      </c>
      <c r="N2848" s="3" t="n"/>
      <c r="O2848" s="2" t="n"/>
      <c r="P2848" s="2" t="n"/>
    </row>
    <row r="2849">
      <c r="A2849" s="2" t="n">
        <v>2848</v>
      </c>
      <c r="B2849" s="2" t="inlineStr">
        <is>
          <t>не сюжет</t>
        </is>
      </c>
      <c r="C2849" s="2" t="n">
        <v>7417</v>
      </c>
      <c r="D2849" s="3" t="inlineStr">
        <is>
          <t>Вчера, сегодня и всегда</t>
        </is>
      </c>
      <c r="E2849" s="2" t="n">
        <v>1969</v>
      </c>
      <c r="F2849" s="2" t="inlineStr">
        <is>
          <t>телефильм</t>
        </is>
      </c>
      <c r="G2849" s="2" t="inlineStr">
        <is>
          <t>Мосфильм, ТО «Телефильм»</t>
        </is>
      </c>
      <c r="H2849" s="2" t="n">
        <v>306</v>
      </c>
      <c r="I2849" s="2" t="inlineStr"/>
      <c r="J2849" s="2" t="inlineStr">
        <is>
          <t>да</t>
        </is>
      </c>
      <c r="K2849" s="3" t="inlineStr">
        <is>
          <t>По новеллам Е.Аграновича,С.Градзеньской, М.Гиндина, Э.Капчинского, М.Павловой, К.Рыжова, Г.Рябкина, Л.Фелеки. Фильм состоящий из двенадцати музыкальных, лирических, комедийных и танцевальных новелл. Помимо артистов, в картине участвуют также: балет Большого театра, группа манекенщиц, музыкальные ансамбли.</t>
        </is>
      </c>
      <c r="L2849" s="2" t="inlineStr">
        <is>
          <t>Кино_СССР сводный каталог.xlsx: список телефильмов</t>
        </is>
      </c>
      <c r="M2849" s="2">
        <f>HYPERLINK("https://ru.wikipedia.org/w/index.php?search=%D0%92%D1%87%D0%B5%D1%80%D0%B0%2C%20%D1%81%D0%B5%D0%B3%D0%BE%D0%B4%D0%BD%D1%8F%20%D0%B8%20%D0%B2%D1%81%D0%B5%D0%B3%D0%B4%D0%B0%201969%20%D1%84%D0%B8%D0%BB%D1%8C%D0%BC","искать")</f>
        <v/>
      </c>
      <c r="N2849" s="3" t="n"/>
      <c r="O2849" s="2" t="n"/>
      <c r="P2849" s="2" t="n"/>
    </row>
    <row r="2850">
      <c r="A2850" s="2" t="n">
        <v>2849</v>
      </c>
      <c r="B2850" s="2" t="inlineStr">
        <is>
          <t>не сюжет</t>
        </is>
      </c>
      <c r="C2850" s="2" t="n">
        <v>7456</v>
      </c>
      <c r="D2850" s="3" t="inlineStr">
        <is>
          <t>Горькая судьба</t>
        </is>
      </c>
      <c r="E2850" s="2" t="n">
        <v>1970</v>
      </c>
      <c r="F2850" s="2" t="inlineStr">
        <is>
          <t>телефильм</t>
        </is>
      </c>
      <c r="G2850" s="2" t="n"/>
      <c r="H2850" s="2" t="n">
        <v>306</v>
      </c>
      <c r="I2850" s="2" t="inlineStr"/>
      <c r="J2850" s="2" t="inlineStr">
        <is>
          <t>да</t>
        </is>
      </c>
      <c r="K2850" s="3" t="inlineStr">
        <is>
          <t>Телефильм. Сюжет, основанный на событиях печальной легенды, повествует о жизни туркменского бахши. Песни, звучавшие от имени главного героя, исполнил популярный певец Аннаберды Атданов. Мелодии и песни Нуры Халмамедова, написанные к фильму "Кечпелек", завоевали огромную популярность и любовь телезрителей.</t>
        </is>
      </c>
      <c r="L2850" s="2" t="inlineStr">
        <is>
          <t>Кино_СССР сводный каталог.xlsx: список телефильмов</t>
        </is>
      </c>
      <c r="M2850" s="2">
        <f>HYPERLINK("https://ru.wikipedia.org/w/index.php?search=%D0%93%D0%BE%D1%80%D1%8C%D0%BA%D0%B0%D1%8F%20%D1%81%D1%83%D0%B4%D1%8C%D0%B1%D0%B0%201970%20%D1%84%D0%B8%D0%BB%D1%8C%D0%BC","искать")</f>
        <v/>
      </c>
      <c r="N2850" s="3" t="n"/>
      <c r="O2850" s="2" t="n"/>
      <c r="P2850" s="2" t="n"/>
    </row>
    <row r="2851">
      <c r="A2851" s="2" t="n">
        <v>2850</v>
      </c>
      <c r="B2851" s="2" t="inlineStr">
        <is>
          <t>не сюжет</t>
        </is>
      </c>
      <c r="C2851" s="2" t="n">
        <v>7743</v>
      </c>
      <c r="D2851" s="3" t="inlineStr">
        <is>
          <t>Кольцо старого шейха</t>
        </is>
      </c>
      <c r="E2851" s="2" t="n">
        <v>1980</v>
      </c>
      <c r="F2851" s="2" t="inlineStr">
        <is>
          <t>телефильм</t>
        </is>
      </c>
      <c r="G2851" s="2" t="n"/>
      <c r="H2851" s="2" t="n">
        <v>307</v>
      </c>
      <c r="I2851" s="2" t="inlineStr"/>
      <c r="J2851" s="2" t="inlineStr">
        <is>
          <t>да</t>
        </is>
      </c>
      <c r="K2851" s="3" t="inlineStr">
        <is>
          <t>По мотивам одноименного романа Р.Кешокова. Продолжение телефильма "По следам Карабаира". Успешное строительство социализма в нашей стране вызывало дикую злобу у её врагов. Этот фильм - о самоотверженной борьбе сотрудников милиции с попытками подорвать советский строй на Северном Кавказе в предвоенные годы.</t>
        </is>
      </c>
      <c r="L2851" s="2" t="inlineStr">
        <is>
          <t>Кино_СССР сводный каталог.xlsx: список телефильмов</t>
        </is>
      </c>
      <c r="M2851" s="2">
        <f>HYPERLINK("https://ru.wikipedia.org/w/index.php?search=%D0%9A%D0%BE%D0%BB%D1%8C%D1%86%D0%BE%20%D1%81%D1%82%D0%B0%D1%80%D0%BE%D0%B3%D0%BE%20%D1%88%D0%B5%D0%B9%D1%85%D0%B0%201980%20%D1%84%D0%B8%D0%BB%D1%8C%D0%BC","искать")</f>
        <v/>
      </c>
      <c r="N2851" s="3" t="n"/>
      <c r="O2851" s="2" t="n"/>
      <c r="P2851" s="2" t="n"/>
    </row>
    <row r="2852">
      <c r="A2852" s="2" t="n">
        <v>2851</v>
      </c>
      <c r="B2852" s="2" t="inlineStr">
        <is>
          <t>не сюжет</t>
        </is>
      </c>
      <c r="C2852" s="2" t="n">
        <v>8304</v>
      </c>
      <c r="D2852" s="3" t="inlineStr">
        <is>
          <t>Свадьба Кречинского</t>
        </is>
      </c>
      <c r="E2852" s="2" t="n">
        <v>1974</v>
      </c>
      <c r="F2852" s="2" t="inlineStr">
        <is>
          <t>телефильм</t>
        </is>
      </c>
      <c r="G2852" s="2" t="n"/>
      <c r="H2852" s="2" t="n">
        <v>307</v>
      </c>
      <c r="I2852" s="2" t="inlineStr"/>
      <c r="J2852" s="2" t="inlineStr">
        <is>
          <t>да</t>
        </is>
      </c>
      <c r="K2852" s="3" t="inlineStr">
        <is>
          <t>Музыкальный телефильм по мотивам пьесы А.В.Сухово-Кобылина. Комедия "Свадьба Кречинского" Александра Васильевича Сухово-Кобылина, написанная в середине XIX века, является одним из лучших произведений русской драматургии. Действие пьесы напоминает карточную игру, где ставками является Счастье, Жизнь, Честь.</t>
        </is>
      </c>
      <c r="L2852" s="2" t="inlineStr">
        <is>
          <t>Кино_СССР сводный каталог.xlsx: список телефильмов</t>
        </is>
      </c>
      <c r="M2852" s="2">
        <f>HYPERLINK("https://ru.wikipedia.org/w/index.php?search=%D0%A1%D0%B2%D0%B0%D0%B4%D1%8C%D0%B1%D0%B0%20%D0%9A%D1%80%D0%B5%D1%87%D0%B8%D0%BD%D1%81%D0%BA%D0%BE%D0%B3%D0%BE%201974%20%D1%84%D0%B8%D0%BB%D1%8C%D0%BC","искать")</f>
        <v/>
      </c>
      <c r="N2852" s="3" t="n"/>
      <c r="O2852" s="2" t="n"/>
      <c r="P2852" s="2" t="n"/>
    </row>
    <row r="2853">
      <c r="A2853" s="2" t="n">
        <v>2852</v>
      </c>
      <c r="B2853" s="2" t="inlineStr">
        <is>
          <t>не сюжет</t>
        </is>
      </c>
      <c r="C2853" s="2" t="n">
        <v>8900</v>
      </c>
      <c r="D2853" s="3" t="inlineStr">
        <is>
          <t>Осада</t>
        </is>
      </c>
      <c r="E2853" s="2" t="n">
        <v>1989</v>
      </c>
      <c r="F2853" s="2" t="inlineStr">
        <is>
          <t>кинофильм</t>
        </is>
      </c>
      <c r="G2853" s="2" t="n"/>
      <c r="H2853" s="2" t="n">
        <v>307</v>
      </c>
      <c r="I2853" s="2" t="inlineStr"/>
      <c r="J2853" s="2" t="inlineStr">
        <is>
          <t>да</t>
        </is>
      </c>
      <c r="K2853" s="3" t="inlineStr">
        <is>
          <t>ალყა Тонкая и вместе с тем неожиданная лента — последняя работа в кино Омари Гвасалия, погибшего в автомобильной катастрофе. Здесь нет ни дат, ни названий вполне конкретных мест Грузии. Потому как на каждой горе — развалины древней стены, за каждой скалой — вереница сражений, каждый храм — памятник победы.</t>
        </is>
      </c>
      <c r="L2853" s="2" t="inlineStr">
        <is>
          <t>Кино_СССР сводный каталог.xlsx: список фильмов (доп.)</t>
        </is>
      </c>
      <c r="M2853" s="2">
        <f>HYPERLINK("https://ru.wikipedia.org/w/index.php?search=%D0%9E%D1%81%D0%B0%D0%B4%D0%B0%201989%20%D1%84%D0%B8%D0%BB%D1%8C%D0%BC","искать")</f>
        <v/>
      </c>
      <c r="N2853" s="3" t="n"/>
      <c r="O2853" s="2" t="n"/>
      <c r="P2853" s="2" t="n"/>
    </row>
    <row r="2854">
      <c r="A2854" s="2" t="n">
        <v>2853</v>
      </c>
      <c r="B2854" s="2" t="inlineStr">
        <is>
          <t>не сюжет</t>
        </is>
      </c>
      <c r="C2854" s="2" t="n">
        <v>9065</v>
      </c>
      <c r="D2854" s="3" t="inlineStr">
        <is>
          <t>Срок - семь дней</t>
        </is>
      </c>
      <c r="E2854" s="2" t="n">
        <v>1991</v>
      </c>
      <c r="F2854" s="2" t="inlineStr">
        <is>
          <t>кинофильм</t>
        </is>
      </c>
      <c r="G2854" s="2" t="n"/>
      <c r="H2854" s="2" t="n">
        <v>307</v>
      </c>
      <c r="I2854" s="2" t="inlineStr"/>
      <c r="J2854" s="2" t="inlineStr">
        <is>
          <t>да</t>
        </is>
      </c>
      <c r="K2854" s="3" t="inlineStr">
        <is>
          <t>Банальная история несостоявшейся любви Мужчины и Женщины происходит на фоне саморазрушающегося города. Города, куда идут солдаты и куда уже пришли лжепророки. Здесь уже никого не удивляют ни апостолы, сами торгующие в Храме, ни Лже-Спаситель, раздающий 30 сребреников Ученикам, расписывающимся в ведомостях.</t>
        </is>
      </c>
      <c r="L2854" s="2" t="inlineStr">
        <is>
          <t>Кино_СССР сводный каталог.xlsx: список фильмов (доп.)</t>
        </is>
      </c>
      <c r="M2854" s="2">
        <f>HYPERLINK("https://ru.wikipedia.org/w/index.php?search=%D0%A1%D1%80%D0%BE%D0%BA%20-%20%D1%81%D0%B5%D0%BC%D1%8C%20%D0%B4%D0%BD%D0%B5%D0%B9%201991%20%D1%84%D0%B8%D0%BB%D1%8C%D0%BC","искать")</f>
        <v/>
      </c>
      <c r="N2854" s="3" t="n"/>
      <c r="O2854" s="2" t="n"/>
      <c r="P2854" s="2" t="n"/>
    </row>
    <row r="2855">
      <c r="A2855" s="2" t="n">
        <v>2854</v>
      </c>
      <c r="B2855" s="2" t="inlineStr">
        <is>
          <t>не сюжет</t>
        </is>
      </c>
      <c r="C2855" s="2" t="n">
        <v>9660</v>
      </c>
      <c r="D2855" s="3" t="inlineStr">
        <is>
          <t>Солдатская сказка</t>
        </is>
      </c>
      <c r="E2855" s="2" t="n">
        <v>1990</v>
      </c>
      <c r="F2855" s="2" t="inlineStr">
        <is>
          <t>кинофильм</t>
        </is>
      </c>
      <c r="G2855" s="2" t="n"/>
      <c r="H2855" s="2" t="n">
        <v>307</v>
      </c>
      <c r="I2855" s="2" t="inlineStr"/>
      <c r="J2855" s="2" t="inlineStr">
        <is>
          <t>да</t>
        </is>
      </c>
      <c r="K2855" s="3" t="inlineStr">
        <is>
          <t>Неискаженное отражение армейской специфики национального вопроса. Душевная простая история из армейской жизни, в которой проявляется любовь, бессмысленная жестокость - все, что есть в человеке и в экстремальной ситуации вырывается наружу. Действие фильма происходит в течение одной южной ночи в &lt;самоволке&gt;.</t>
        </is>
      </c>
      <c r="L2855" s="2" t="inlineStr">
        <is>
          <t>Кино_СССР сводный каталог.xlsx: список фильмов (доп.)</t>
        </is>
      </c>
      <c r="M2855" s="2">
        <f>HYPERLINK("https://ru.wikipedia.org/w/index.php?search=%D0%A1%D0%BE%D0%BB%D0%B4%D0%B0%D1%82%D1%81%D0%BA%D0%B0%D1%8F%20%D1%81%D0%BA%D0%B0%D0%B7%D0%BA%D0%B0%201990%20%D1%84%D0%B8%D0%BB%D1%8C%D0%BC","искать")</f>
        <v/>
      </c>
      <c r="N2855" s="3" t="n"/>
      <c r="O2855" s="2" t="n"/>
      <c r="P2855" s="2" t="n"/>
    </row>
    <row r="2856">
      <c r="A2856" s="2" t="n">
        <v>2855</v>
      </c>
      <c r="B2856" s="2" t="inlineStr">
        <is>
          <t>не сюжет</t>
        </is>
      </c>
      <c r="C2856" s="2" t="n">
        <v>7289</v>
      </c>
      <c r="D2856" s="3" t="inlineStr">
        <is>
          <t>В горах мое сердце</t>
        </is>
      </c>
      <c r="E2856" s="2" t="n">
        <v>1975</v>
      </c>
      <c r="F2856" s="2" t="inlineStr">
        <is>
          <t>телефильм</t>
        </is>
      </c>
      <c r="G2856" s="2" t="inlineStr">
        <is>
          <t>Арменфильм</t>
        </is>
      </c>
      <c r="H2856" s="2" t="n">
        <v>308</v>
      </c>
      <c r="I2856" s="2" t="inlineStr"/>
      <c r="J2856" s="2" t="inlineStr">
        <is>
          <t>да</t>
        </is>
      </c>
      <c r="K2856" s="3" t="inlineStr">
        <is>
          <t>По мотивам одноименной пьесы Уильяма Сарояна. Драма о семье армянских эмигрантов в США, живущих бедно, но честно, и хранящих память о древней родине. Действие происходит в годы Первой мировой войны. Левон Григорян: «Я должен сразу предупредить зрителей, что в фильме наблюдается некоторая скованность камеры.</t>
        </is>
      </c>
      <c r="L2856" s="2" t="inlineStr">
        <is>
          <t>Кино_СССР сводный каталог.xlsx: список телефильмов</t>
        </is>
      </c>
      <c r="M2856" s="2">
        <f>HYPERLINK("https://ru.wikipedia.org/w/index.php?search=%D0%92%20%D0%B3%D0%BE%D1%80%D0%B0%D1%85%20%D0%BC%D0%BE%D0%B5%20%D1%81%D0%B5%D1%80%D0%B4%D1%86%D0%B5%201975%20%D1%84%D0%B8%D0%BB%D1%8C%D0%BC","искать")</f>
        <v/>
      </c>
      <c r="N2856" s="3" t="n"/>
      <c r="O2856" s="2" t="n"/>
      <c r="P2856" s="2" t="n"/>
    </row>
    <row r="2857">
      <c r="A2857" s="2" t="n">
        <v>2856</v>
      </c>
      <c r="B2857" s="2" t="inlineStr">
        <is>
          <t>не сюжет</t>
        </is>
      </c>
      <c r="C2857" s="2" t="n">
        <v>10869</v>
      </c>
      <c r="D2857" s="3" t="inlineStr">
        <is>
          <t>У времени в плену</t>
        </is>
      </c>
      <c r="E2857" s="2" t="n">
        <v>1980</v>
      </c>
      <c r="F2857" s="2" t="inlineStr">
        <is>
          <t>фильм-спектакль</t>
        </is>
      </c>
      <c r="G2857" s="2" t="inlineStr">
        <is>
          <t>Центральное телевидение</t>
        </is>
      </c>
      <c r="H2857" s="2" t="n">
        <v>309</v>
      </c>
      <c r="I2857" s="2" t="inlineStr"/>
      <c r="J2857" s="2" t="inlineStr">
        <is>
          <t>да</t>
        </is>
      </c>
      <c r="K2857" s="3" t="inlineStr">
        <is>
          <t>По одноименной пьесе Александра Штейна в постановке Московского академического театра сатиры.
В основе пьесы - произведения Всеволода Вишневского: "Первая конная", "Оптимистическая трагедия", "Мы из Кронштадта".
Это историко-революционные фантазии, где впервые на советской сцене герой просил вернуть прошлое.</t>
        </is>
      </c>
      <c r="L2857" s="2" t="inlineStr">
        <is>
          <t>https://www.kino-teatr.ru/teatr/movie/79311/annot/</t>
        </is>
      </c>
      <c r="M2857" s="2">
        <f>HYPERLINK("https://ru.wikipedia.org/w/index.php?search=%D0%A3%20%D0%B2%D1%80%D0%B5%D0%BC%D0%B5%D0%BD%D0%B8%20%D0%B2%20%D0%BF%D0%BB%D0%B5%D0%BD%D1%83%201980%20%D1%84%D0%B8%D0%BB%D1%8C%D0%BC","искать")</f>
        <v/>
      </c>
      <c r="N2857" s="3" t="n"/>
      <c r="O2857" s="2" t="n"/>
      <c r="P2857" s="2" t="n"/>
    </row>
    <row r="2858">
      <c r="A2858" s="2" t="n">
        <v>2857</v>
      </c>
      <c r="B2858" s="2" t="inlineStr">
        <is>
          <t>не сюжет</t>
        </is>
      </c>
      <c r="C2858" s="2" t="n">
        <v>9343</v>
      </c>
      <c r="D2858" s="3" t="inlineStr">
        <is>
          <t>До свидания, мальчики</t>
        </is>
      </c>
      <c r="E2858" s="2" t="n">
        <v>1964</v>
      </c>
      <c r="F2858" s="2" t="inlineStr">
        <is>
          <t>кинофильм</t>
        </is>
      </c>
      <c r="G2858" s="2" t="n"/>
      <c r="H2858" s="2" t="n">
        <v>310</v>
      </c>
      <c r="I2858" s="2" t="inlineStr"/>
      <c r="J2858" s="2" t="inlineStr">
        <is>
          <t>да</t>
        </is>
      </c>
      <c r="K2858" s="3" t="inlineStr">
        <is>
          <t>В приморском городе конца 1930-х годов живут три друга. Целыми днями они пропадают на море, невольно наблюдая жизнь порта и пляжные радости отдыхающих. Один из приятелей, Володя Белов, с юношеским максимализмом размышляет о дружбе, первой любви и смысле их молодой жизни, которую совсем скоро перевернёт война.</t>
        </is>
      </c>
      <c r="L2858" s="2" t="inlineStr">
        <is>
          <t>https://ru.wikipedia.org/w/index.php?title=%D0%94%D0%BE_%D1%81%D0%B2%D0%B8%D0%B4%D0%B0%D0%BD%D0%B8%D1%8F%2C_%D0%BC%D0%B0%D0%BB%D1%8C%D1%87%D0%B8%D0%BA%D0%B8_%28%D1%84%D0%B8%D0%BB%D1%8C%D0%BC%29&amp;oldid=155579283</t>
        </is>
      </c>
      <c r="M2858" s="2">
        <f>HYPERLINK("https://ru.wikipedia.org/w/index.php?search=%D0%94%D0%BE%20%D1%81%D0%B2%D0%B8%D0%B4%D0%B0%D0%BD%D0%B8%D1%8F%2C%20%D0%BC%D0%B0%D0%BB%D1%8C%D1%87%D0%B8%D0%BA%D0%B8%201964%20%D1%84%D0%B8%D0%BB%D1%8C%D0%BC","искать")</f>
        <v/>
      </c>
      <c r="N2858" s="3" t="n"/>
      <c r="O2858" s="2" t="n"/>
      <c r="P2858" s="2" t="n"/>
    </row>
    <row r="2859">
      <c r="A2859" s="2" t="n">
        <v>2858</v>
      </c>
      <c r="B2859" s="2" t="inlineStr">
        <is>
          <t>не сюжет</t>
        </is>
      </c>
      <c r="C2859" s="2" t="n">
        <v>11197</v>
      </c>
      <c r="D2859" s="3" t="inlineStr">
        <is>
          <t>Дорогие мои, хорошие</t>
        </is>
      </c>
      <c r="E2859" s="2" t="n">
        <v>1988</v>
      </c>
      <c r="F2859" s="2" t="inlineStr">
        <is>
          <t>фильм-спектакль</t>
        </is>
      </c>
      <c r="G2859" s="2" t="inlineStr">
        <is>
          <t>Главная редакция литературно-драматических программ ЦТ</t>
        </is>
      </c>
      <c r="H2859" s="2" t="n">
        <v>310</v>
      </c>
      <c r="I2859" s="2" t="inlineStr"/>
      <c r="J2859" s="2" t="inlineStr">
        <is>
          <t>да</t>
        </is>
      </c>
      <c r="K2859" s="3" t="inlineStr">
        <is>
          <t>По произведениям С.Есенина в постановке Московского Художественного академического театра Союза ССР имени М.Горького.
В спектакле использованы документы, письма, воспоминания А.Блока, С.Городецкого, М.Горького, Б.Пастернака, А.Есениной, Е.Есениной, А.Луначарского, В.Маяковского, В.Мейерхольда, А.Миклашевской.</t>
        </is>
      </c>
      <c r="L2859" s="2" t="inlineStr">
        <is>
          <t>https://www.kino-teatr.ru/teatr/movie/81562/annot/</t>
        </is>
      </c>
      <c r="M2859" s="2">
        <f>HYPERLINK("https://ru.wikipedia.org/w/index.php?search=%D0%94%D0%BE%D1%80%D0%BE%D0%B3%D0%B8%D0%B5%20%D0%BC%D0%BE%D0%B8%2C%20%D1%85%D0%BE%D1%80%D0%BE%D1%88%D0%B8%D0%B5%201988%20%D1%84%D0%B8%D0%BB%D1%8C%D0%BC","искать")</f>
        <v/>
      </c>
      <c r="N2859" s="3" t="n"/>
      <c r="O2859" s="2" t="n"/>
      <c r="P2859" s="2" t="n"/>
    </row>
    <row r="2860">
      <c r="A2860" s="2" t="n">
        <v>2859</v>
      </c>
      <c r="B2860" s="2" t="inlineStr">
        <is>
          <t>не сюжет</t>
        </is>
      </c>
      <c r="C2860" s="2" t="n">
        <v>11510</v>
      </c>
      <c r="D2860" s="3" t="inlineStr">
        <is>
          <t>Времена года</t>
        </is>
      </c>
      <c r="E2860" s="2" t="n">
        <v>1969</v>
      </c>
      <c r="F2860" s="2" t="inlineStr">
        <is>
          <t>мультфильм</t>
        </is>
      </c>
      <c r="G2860" s="2" t="inlineStr">
        <is>
          <t>Союзмультфильм</t>
        </is>
      </c>
      <c r="H2860" s="2" t="n">
        <v>310</v>
      </c>
      <c r="I2860" s="2" t="inlineStr"/>
      <c r="J2860" s="2" t="inlineStr">
        <is>
          <t>да</t>
        </is>
      </c>
      <c r="K2860" s="3" t="inlineStr">
        <is>
          <t>Фантазия на музыку Чайковского из альбома "Времена года". В изобразительном решении использваны кружева и вятская игрушка
Госпремия РСФСР им.Бр.Васильевых -- режиссеру И.Иванову-Вано (вместе с фильмами "В некотором царстве" и "Левша"); III МФ анимационных фильмов в Мамайе (Румыния), 1970 -- Серебряный Пеликан</t>
        </is>
      </c>
      <c r="L2860" s="2" t="inlineStr">
        <is>
          <t>https://animator.ru/db/?p=show_film&amp;fid=2281</t>
        </is>
      </c>
      <c r="M2860" s="2">
        <f>HYPERLINK("https://ru.wikipedia.org/w/index.php?search=%D0%92%D1%80%D0%B5%D0%BC%D0%B5%D0%BD%D0%B0%20%D0%B3%D0%BE%D0%B4%D0%B0%201969%20%D1%84%D0%B8%D0%BB%D1%8C%D0%BC","искать")</f>
        <v/>
      </c>
      <c r="N2860" s="3" t="n"/>
      <c r="O2860" s="2" t="n"/>
      <c r="P2860" s="2" t="n"/>
    </row>
    <row r="2861">
      <c r="A2861" s="2" t="n">
        <v>2860</v>
      </c>
      <c r="B2861" s="2" t="inlineStr">
        <is>
          <t>не сюжет</t>
        </is>
      </c>
      <c r="C2861" s="2" t="n">
        <v>9465</v>
      </c>
      <c r="D2861" s="3" t="inlineStr">
        <is>
          <t>Манкурт</t>
        </is>
      </c>
      <c r="E2861" s="2" t="n">
        <v>1988</v>
      </c>
      <c r="F2861" s="2" t="inlineStr">
        <is>
          <t>кинофильм</t>
        </is>
      </c>
      <c r="G2861" s="2" t="n"/>
      <c r="H2861" s="2" t="n">
        <v>311</v>
      </c>
      <c r="I2861" s="2" t="inlineStr"/>
      <c r="J2861" s="2" t="inlineStr">
        <is>
          <t>да</t>
        </is>
      </c>
      <c r="K2861" s="3" t="inlineStr">
        <is>
          <t>По мотивам романа Ч.Айтматова "И дольше века длится день". Философская притча о существе, лишенном памяти о родителях, о матери, лишенном чувства стыда, совести, чести, превращенного в зверя в человеческом обличии. ...Несется конница. С гиканьем скачут, поднимая тучи пыли, воины в остроконечных кожаных шлемах.</t>
        </is>
      </c>
      <c r="L2861" s="2" t="inlineStr">
        <is>
          <t>Кино_СССР сводный каталог.xlsx: список фильмов (доп.)</t>
        </is>
      </c>
      <c r="M2861" s="2">
        <f>HYPERLINK("https://ru.wikipedia.org/w/index.php?search=%D0%9C%D0%B0%D0%BD%D0%BA%D1%83%D1%80%D1%82%201988%20%D1%84%D0%B8%D0%BB%D1%8C%D0%BC","искать")</f>
        <v/>
      </c>
      <c r="N2861" s="3" t="n"/>
      <c r="O2861" s="2" t="n"/>
      <c r="P2861" s="2" t="n"/>
    </row>
    <row r="2862">
      <c r="A2862" s="2" t="n">
        <v>2861</v>
      </c>
      <c r="B2862" s="2" t="inlineStr">
        <is>
          <t>не сюжет</t>
        </is>
      </c>
      <c r="C2862" s="2" t="n">
        <v>7334</v>
      </c>
      <c r="D2862" s="3" t="inlineStr">
        <is>
          <t>Вечный зов</t>
        </is>
      </c>
      <c r="E2862" s="2" t="n">
        <v>1973</v>
      </c>
      <c r="F2862" s="2" t="inlineStr">
        <is>
          <t>телефильм</t>
        </is>
      </c>
      <c r="G2862" s="2" t="inlineStr">
        <is>
          <t>Мосфильм</t>
        </is>
      </c>
      <c r="H2862" s="2" t="n">
        <v>312</v>
      </c>
      <c r="I2862" s="2" t="inlineStr"/>
      <c r="J2862" s="2" t="inlineStr">
        <is>
          <t>да</t>
        </is>
      </c>
      <c r="K2862" s="3" t="inlineStr">
        <is>
          <t>Сериал по одноимённому роману Анатолия Иванова. Фильм выходил трёмя сезонами: 1976 год, 1979 год, 1983 год. Премьера третьего сезона – 11 мая 1983 года. История семьи Савельевых, выходцев из далёкого сибирского села, разворачивается на фоне исторических событий в России, охватывающих период с 1906 по 1960 годы.</t>
        </is>
      </c>
      <c r="L2862" s="2" t="inlineStr">
        <is>
          <t>Кино_СССР сводный каталог.xlsx: список телефильмов</t>
        </is>
      </c>
      <c r="M2862" s="2">
        <f>HYPERLINK("https://ru.wikipedia.org/w/index.php?search=%D0%92%D0%B5%D1%87%D0%BD%D1%8B%D0%B9%20%D0%B7%D0%BE%D0%B2%201973%20%D1%84%D0%B8%D0%BB%D1%8C%D0%BC","искать")</f>
        <v/>
      </c>
      <c r="N2862" s="3" t="n"/>
      <c r="O2862" s="2" t="n"/>
      <c r="P2862" s="2" t="n"/>
    </row>
    <row r="2863">
      <c r="A2863" s="2" t="n">
        <v>2862</v>
      </c>
      <c r="B2863" s="2" t="inlineStr">
        <is>
          <t>не сюжет</t>
        </is>
      </c>
      <c r="C2863" s="2" t="n">
        <v>9323</v>
      </c>
      <c r="D2863" s="3" t="inlineStr">
        <is>
          <t>Два друга</t>
        </is>
      </c>
      <c r="E2863" s="2" t="n">
        <v>1941</v>
      </c>
      <c r="F2863" s="2" t="inlineStr">
        <is>
          <t>кинофильм</t>
        </is>
      </c>
      <c r="G2863" s="2" t="n"/>
      <c r="H2863" s="2" t="n">
        <v>313</v>
      </c>
      <c r="I2863" s="2" t="inlineStr"/>
      <c r="J2863" s="2" t="inlineStr">
        <is>
          <t>да</t>
        </is>
      </c>
      <c r="K2863" s="3" t="inlineStr">
        <is>
          <t>«О борьбе командиров Красной Армии с происками агентов иностранной разведки. Художественный совет киностудии «Мосфильм» принимал картину дважды. Уже на заседании 1 октября 1940 года худсовету был очевиден низкий художественный уровень картины, однако из-за больших материальных затрат фильм решено было завершить.</t>
        </is>
      </c>
      <c r="L2863" s="2" t="inlineStr">
        <is>
          <t>Кино_СССР сводный каталог.xlsx: список фильмов (доп.)</t>
        </is>
      </c>
      <c r="M2863" s="2">
        <f>HYPERLINK("https://ru.wikipedia.org/w/index.php?search=%D0%94%D0%B2%D0%B0%20%D0%B4%D1%80%D1%83%D0%B3%D0%B0%201941%20%D1%84%D0%B8%D0%BB%D1%8C%D0%BC","искать")</f>
        <v/>
      </c>
      <c r="N2863" s="3" t="n"/>
      <c r="O2863" s="2" t="n"/>
      <c r="P2863" s="2" t="n"/>
    </row>
    <row r="2864">
      <c r="A2864" s="2" t="n">
        <v>2863</v>
      </c>
      <c r="B2864" s="2" t="inlineStr">
        <is>
          <t>не сюжет</t>
        </is>
      </c>
      <c r="C2864" s="2" t="n">
        <v>9488</v>
      </c>
      <c r="D2864" s="3" t="inlineStr">
        <is>
          <t>На Севере, на Юге, на Востоке, на Западе</t>
        </is>
      </c>
      <c r="E2864" s="2" t="n">
        <v>1972</v>
      </c>
      <c r="F2864" s="2" t="inlineStr">
        <is>
          <t>кинофильм</t>
        </is>
      </c>
      <c r="G2864" s="2" t="n"/>
      <c r="H2864" s="2" t="n">
        <v>313</v>
      </c>
      <c r="I2864" s="2" t="inlineStr"/>
      <c r="J2864" s="2" t="inlineStr">
        <is>
          <t>да</t>
        </is>
      </c>
      <c r="K2864" s="3" t="inlineStr">
        <is>
          <t>Кинодилогия. О буднях советских пограничников в 70-е годы и диверсиях шпионов. Фильм был снят и не вышел в широкий прокат. 70-мм цветной негатив был отсканирован с разрешением 4К в 2009 году. Первая демонстрация фильма прошла на фестивале архивного кино «Белые столбы-2010» 3 февраля 2010 года в цифровом формате.</t>
        </is>
      </c>
      <c r="L2864" s="2" t="inlineStr">
        <is>
          <t>Кино_СССР сводный каталог.xlsx: список фильмов (доп.)</t>
        </is>
      </c>
      <c r="M2864" s="2">
        <f>HYPERLINK("https://ru.wikipedia.org/w/index.php?search=%D0%9D%D0%B0%20%D0%A1%D0%B5%D0%B2%D0%B5%D1%80%D0%B5%2C%20%D0%BD%D0%B0%20%D0%AE%D0%B3%D0%B5%2C%20%D0%BD%D0%B0%20%D0%92%D0%BE%D1%81%D1%82%D0%BE%D0%BA%D0%B5%2C%20%D0%BD%D0%B0%20%D0%97%D0%B0%D0%BF%D0%B0%D0%B4%D0%B5%201972%20%D1%84%D0%B8%D0%BB%D1%8C%D0%BC","искать")</f>
        <v/>
      </c>
      <c r="N2864" s="3" t="n"/>
      <c r="O2864" s="2" t="n"/>
      <c r="P2864" s="2" t="n"/>
    </row>
    <row r="2865">
      <c r="A2865" s="2" t="n">
        <v>2864</v>
      </c>
      <c r="B2865" s="2" t="inlineStr">
        <is>
          <t>не сюжет</t>
        </is>
      </c>
      <c r="C2865" s="2" t="n">
        <v>11108</v>
      </c>
      <c r="D2865" s="3" t="inlineStr">
        <is>
          <t>Дядя Ваня. Сцены из деревенской жизни</t>
        </is>
      </c>
      <c r="E2865" s="2" t="n">
        <v>1986</v>
      </c>
      <c r="F2865" s="2" t="inlineStr">
        <is>
          <t>фильм-спектакль</t>
        </is>
      </c>
      <c r="G2865" s="2" t="inlineStr">
        <is>
          <t>Лентелефильм</t>
        </is>
      </c>
      <c r="H2865" s="2" t="n">
        <v>313</v>
      </c>
      <c r="I2865" s="2" t="inlineStr"/>
      <c r="J2865" s="2" t="inlineStr">
        <is>
          <t>да</t>
        </is>
      </c>
      <c r="K2865" s="3" t="inlineStr">
        <is>
          <t>Этот знаменитый спектакль БДТ был перенесен на пленку в достаточно нетрадиционной манере. Фактически это телефильм, снятый по спектаклю, и не в театральных декорациях, а на натуре. В старинном особняке разворачивается классическая чеховская трагедия русского интеллигента...
В фильме звучит музыка П.И.Чайковского</t>
        </is>
      </c>
      <c r="L2865" s="2" t="inlineStr">
        <is>
          <t>https://www.kino-teatr.ru/teatr/movie/2081/annot/</t>
        </is>
      </c>
      <c r="M2865" s="2">
        <f>HYPERLINK("https://ru.wikipedia.org/w/index.php?search=%D0%94%D1%8F%D0%B4%D1%8F%20%D0%92%D0%B0%D0%BD%D1%8F.%20%D0%A1%D1%86%D0%B5%D0%BD%D1%8B%20%D0%B8%D0%B7%20%D0%B4%D0%B5%D1%80%D0%B5%D0%B2%D0%B5%D0%BD%D1%81%D0%BA%D0%BE%D0%B9%20%D0%B6%D0%B8%D0%B7%D0%BD%D0%B8%201986%20%D1%84%D0%B8%D0%BB%D1%8C%D0%BC","искать")</f>
        <v/>
      </c>
      <c r="N2865" s="3" t="n"/>
      <c r="O2865" s="2" t="n"/>
      <c r="P2865" s="2" t="n"/>
    </row>
    <row r="2866">
      <c r="A2866" s="2" t="n">
        <v>2865</v>
      </c>
      <c r="B2866" s="2" t="inlineStr">
        <is>
          <t>не сюжет</t>
        </is>
      </c>
      <c r="C2866" s="2" t="n">
        <v>7650</v>
      </c>
      <c r="D2866" s="3" t="inlineStr">
        <is>
          <t>Зодиак</t>
        </is>
      </c>
      <c r="E2866" s="2" t="n">
        <v>1985</v>
      </c>
      <c r="F2866" s="2" t="inlineStr">
        <is>
          <t>телефильм</t>
        </is>
      </c>
      <c r="G2866" s="2" t="n"/>
      <c r="H2866" s="2" t="n">
        <v>314</v>
      </c>
      <c r="I2866" s="2" t="inlineStr"/>
      <c r="J2866" s="2" t="inlineStr">
        <is>
          <t>да</t>
        </is>
      </c>
      <c r="K2866" s="3" t="inlineStr">
        <is>
          <t>Телефильм. 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is>
      </c>
      <c r="L2866" s="2" t="inlineStr">
        <is>
          <t>Кино_СССР сводный каталог.xlsx: список телефильмов</t>
        </is>
      </c>
      <c r="M2866" s="2">
        <f>HYPERLINK("https://ru.wikipedia.org/w/index.php?search=%D0%97%D0%BE%D0%B4%D0%B8%D0%B0%D0%BA%201985%20%D1%84%D0%B8%D0%BB%D1%8C%D0%BC","искать")</f>
        <v/>
      </c>
      <c r="N2866" s="3" t="n"/>
      <c r="O2866" s="2" t="n"/>
      <c r="P2866" s="2" t="n"/>
    </row>
    <row r="2867">
      <c r="A2867" s="2" t="n">
        <v>2866</v>
      </c>
      <c r="B2867" s="2" t="inlineStr">
        <is>
          <t>не сюжет</t>
        </is>
      </c>
      <c r="C2867" s="2" t="n">
        <v>9437</v>
      </c>
      <c r="D2867" s="3" t="inlineStr">
        <is>
          <t>Кража зрения</t>
        </is>
      </c>
      <c r="E2867" s="2" t="n">
        <v>1934</v>
      </c>
      <c r="F2867" s="2" t="inlineStr">
        <is>
          <t>кинофильм</t>
        </is>
      </c>
      <c r="G2867" s="2" t="n"/>
      <c r="H2867" s="2" t="n">
        <v>314</v>
      </c>
      <c r="I2867" s="2" t="inlineStr"/>
      <c r="J2867" s="2" t="inlineStr">
        <is>
          <t>да</t>
        </is>
      </c>
      <c r="K2867" s="3" t="inlineStr">
        <is>
          <t>«Социальная драма по одноименному рассказу Л.Кассиля о неграмотной крестьянке, которой манипулирует кулак. «Кража зрения» — так определяют авторы фильма неграмотность и классовую слепоту героини и ей подобных.» - Е.Марголит, В.Шмыров «(Из'ятое кино). 1924—1953». М., «Дубль-Д», 1995 В ГФФ копия фильма не хранится.</t>
        </is>
      </c>
      <c r="L2867" s="2" t="inlineStr">
        <is>
          <t>Кино_СССР сводный каталог.xlsx: список фильмов (доп.)</t>
        </is>
      </c>
      <c r="M2867" s="2">
        <f>HYPERLINK("https://ru.wikipedia.org/w/index.php?search=%D0%9A%D1%80%D0%B0%D0%B6%D0%B0%20%D0%B7%D1%80%D0%B5%D0%BD%D0%B8%D1%8F%201934%20%D1%84%D0%B8%D0%BB%D1%8C%D0%BC","искать")</f>
        <v/>
      </c>
      <c r="N2867" s="3" t="n"/>
      <c r="O2867" s="2" t="n"/>
      <c r="P2867" s="2" t="n"/>
    </row>
    <row r="2868">
      <c r="A2868" s="2" t="n">
        <v>2867</v>
      </c>
      <c r="B2868" s="2" t="inlineStr">
        <is>
          <t>не сюжет</t>
        </is>
      </c>
      <c r="C2868" s="2" t="n">
        <v>8594</v>
      </c>
      <c r="D2868" s="3" t="inlineStr">
        <is>
          <t>Эти непослушные сыновья</t>
        </is>
      </c>
      <c r="E2868" s="2" t="n">
        <v>1976</v>
      </c>
      <c r="F2868" s="2" t="inlineStr">
        <is>
          <t>телефильм</t>
        </is>
      </c>
      <c r="G2868" s="2" t="n"/>
      <c r="H2868" s="2" t="n">
        <v>316</v>
      </c>
      <c r="I2868" s="2" t="inlineStr"/>
      <c r="J2868" s="2" t="inlineStr">
        <is>
          <t>да</t>
        </is>
      </c>
      <c r="K2868" s="3" t="inlineStr">
        <is>
          <t>По повести В.Чичкова "Эти непослушные сыновья". Фильм раскрывающий процесс формирования лучших качеств молодого человека в атмосфере созидательного труда. Героя фильма Андрея Ермакова отличают высокая требовательность к себе и к окружающим его людям, чувство ответственности, стремление к активному труду коллектива.</t>
        </is>
      </c>
      <c r="L2868" s="2" t="inlineStr">
        <is>
          <t>Кино_СССР сводный каталог.xlsx: список телефильмов</t>
        </is>
      </c>
      <c r="M2868" s="2">
        <f>HYPERLINK("https://ru.wikipedia.org/w/index.php?search=%D0%AD%D1%82%D0%B8%20%D0%BD%D0%B5%D0%BF%D0%BE%D1%81%D0%BB%D1%83%D1%88%D0%BD%D1%8B%D0%B5%20%D1%81%D1%8B%D0%BD%D0%BE%D0%B2%D1%8C%D1%8F%201976%20%D1%84%D0%B8%D0%BB%D1%8C%D0%BC","искать")</f>
        <v/>
      </c>
      <c r="N2868" s="3" t="n"/>
      <c r="O2868" s="2" t="n"/>
      <c r="P2868" s="2" t="n"/>
    </row>
    <row r="2869">
      <c r="A2869" s="2" t="n">
        <v>2868</v>
      </c>
      <c r="B2869" s="2" t="inlineStr">
        <is>
          <t>не сюжет</t>
        </is>
      </c>
      <c r="C2869" s="2" t="n">
        <v>7348</v>
      </c>
      <c r="D2869" s="3" t="inlineStr">
        <is>
          <t>Вместе с Дунаевским</t>
        </is>
      </c>
      <c r="E2869" s="2" t="n">
        <v>1984</v>
      </c>
      <c r="F2869" s="2" t="inlineStr">
        <is>
          <t>телефильм</t>
        </is>
      </c>
      <c r="G2869" s="2" t="inlineStr">
        <is>
          <t>Лентелефильм</t>
        </is>
      </c>
      <c r="H2869" s="2" t="n">
        <v>318</v>
      </c>
      <c r="I2869" s="2" t="inlineStr"/>
      <c r="J2869" s="2" t="inlineStr">
        <is>
          <t>да</t>
        </is>
      </c>
      <c r="K2869" s="3" t="inlineStr">
        <is>
          <t>Еще один музыкальный фильм из серии «Ностальгия». Песни Исаака Осиповича Дунаевского знала и пела вся страна. Можно будет без преувеличения сказать, что рядом с его достижениями в области создания песен-шлягеров советской эпохи не стоит никто из почти полутора тысячного лагеря профессиональных советских композиторов.</t>
        </is>
      </c>
      <c r="L2869" s="2" t="inlineStr">
        <is>
          <t>Кино_СССР сводный каталог.xlsx: список телефильмов</t>
        </is>
      </c>
      <c r="M2869" s="2">
        <f>HYPERLINK("https://ru.wikipedia.org/w/index.php?search=%D0%92%D0%BC%D0%B5%D1%81%D1%82%D0%B5%20%D1%81%20%D0%94%D1%83%D0%BD%D0%B0%D0%B5%D0%B2%D1%81%D0%BA%D0%B8%D0%BC%201984%20%D1%84%D0%B8%D0%BB%D1%8C%D0%BC","искать")</f>
        <v/>
      </c>
      <c r="N2869" s="3" t="n"/>
      <c r="O2869" s="2" t="n"/>
      <c r="P2869" s="2" t="n"/>
    </row>
    <row r="2870">
      <c r="A2870" s="2" t="n">
        <v>2869</v>
      </c>
      <c r="B2870" s="2" t="inlineStr">
        <is>
          <t>не сюжет</t>
        </is>
      </c>
      <c r="C2870" s="2" t="n">
        <v>7234</v>
      </c>
      <c r="D2870" s="3" t="inlineStr">
        <is>
          <t>Баллада о двух городах</t>
        </is>
      </c>
      <c r="E2870" s="2" t="n">
        <v>1985</v>
      </c>
      <c r="F2870" s="2" t="inlineStr">
        <is>
          <t>телефильм</t>
        </is>
      </c>
      <c r="G2870" s="2" t="n"/>
      <c r="H2870" s="2" t="n">
        <v>319</v>
      </c>
      <c r="I2870" s="2" t="inlineStr"/>
      <c r="J2870" s="2" t="inlineStr">
        <is>
          <t>да</t>
        </is>
      </c>
      <c r="K2870" s="3" t="inlineStr">
        <is>
          <t>По произведению эстонского писателя Калью Саабера "Баллада о двух домах". Драматическая история эстонки Марии Мармор. Фильм охватывает события, происходившие и окружавшие главную героиню в период с лета 1940 года и заканчивая серединой 1980-х. В молодости Мария - убежденная сторонница социализма, партийная активистка.</t>
        </is>
      </c>
      <c r="L2870" s="2" t="inlineStr">
        <is>
          <t>Кино_СССР сводный каталог.xlsx: список телефильмов</t>
        </is>
      </c>
      <c r="M2870" s="2">
        <f>HYPERLINK("https://ru.wikipedia.org/w/index.php?search=%D0%91%D0%B0%D0%BB%D0%BB%D0%B0%D0%B4%D0%B0%20%D0%BE%20%D0%B4%D0%B2%D1%83%D1%85%20%D0%B3%D0%BE%D1%80%D0%BE%D0%B4%D0%B0%D1%85%201985%20%D1%84%D0%B8%D0%BB%D1%8C%D0%BC","искать")</f>
        <v/>
      </c>
      <c r="N2870" s="3" t="n"/>
      <c r="O2870" s="2" t="n"/>
      <c r="P2870" s="2" t="n"/>
    </row>
    <row r="2871">
      <c r="A2871" s="2" t="n">
        <v>2870</v>
      </c>
      <c r="B2871" s="2" t="inlineStr">
        <is>
          <t>не сюжет</t>
        </is>
      </c>
      <c r="C2871" s="2" t="n">
        <v>7474</v>
      </c>
      <c r="D2871" s="3" t="inlineStr">
        <is>
          <t>Два гусара</t>
        </is>
      </c>
      <c r="E2871" s="2" t="n">
        <v>1984</v>
      </c>
      <c r="F2871" s="2" t="inlineStr">
        <is>
          <t>телефильм</t>
        </is>
      </c>
      <c r="G2871" s="2" t="n"/>
      <c r="H2871" s="2" t="n">
        <v>319</v>
      </c>
      <c r="I2871" s="2" t="inlineStr"/>
      <c r="J2871" s="2" t="inlineStr">
        <is>
          <t>да</t>
        </is>
      </c>
      <c r="K2871" s="3" t="inlineStr">
        <is>
          <t>Телефильм. Драма по одноименной повести Л.Н.Толстого. Два гусара - отец и сын - две морали, два мировоззрения. И хотя старший Турбин легкомысленен в любви, но надежен в дружбе и принципиален в вопросах чести. Младший Турбин не выдерживает сравнения с отцом - он рассчетливй, мелкий и корыстный "гусар нового поколения".</t>
        </is>
      </c>
      <c r="L2871" s="2" t="inlineStr">
        <is>
          <t>Кино_СССР сводный каталог.xlsx: список телефильмов</t>
        </is>
      </c>
      <c r="M2871" s="2">
        <f>HYPERLINK("https://ru.wikipedia.org/w/index.php?search=%D0%94%D0%B2%D0%B0%20%D0%B3%D1%83%D1%81%D0%B0%D1%80%D0%B0%201984%20%D1%84%D0%B8%D0%BB%D1%8C%D0%BC","искать")</f>
        <v/>
      </c>
      <c r="N2871" s="3" t="n"/>
      <c r="O2871" s="2" t="n"/>
      <c r="P2871" s="2" t="n"/>
    </row>
    <row r="2872">
      <c r="A2872" s="2" t="n">
        <v>2871</v>
      </c>
      <c r="B2872" s="2" t="inlineStr">
        <is>
          <t>не сюжет</t>
        </is>
      </c>
      <c r="C2872" s="2" t="n">
        <v>8065</v>
      </c>
      <c r="D2872" s="3" t="inlineStr">
        <is>
          <t>Отелло</t>
        </is>
      </c>
      <c r="E2872" s="2" t="n">
        <v>1979</v>
      </c>
      <c r="F2872" s="2" t="inlineStr">
        <is>
          <t>телефильм</t>
        </is>
      </c>
      <c r="G2872" s="2" t="n"/>
      <c r="H2872" s="2" t="n">
        <v>319</v>
      </c>
      <c r="I2872" s="2" t="inlineStr"/>
      <c r="J2872" s="2" t="inlineStr">
        <is>
          <t>да</t>
        </is>
      </c>
      <c r="K2872" s="3" t="inlineStr">
        <is>
          <t>Фильм по одноименной опере Верди. Четыре действия, рассказывающие о вечном конфликте человеческих чувств – чистой и кроткой любви, безумной страсти и ревности, коварстве и подлости. Гениальная музыка великого композитора создает прекрасный фон, на котором еще ярче проступают характеры героев, их страсти и переживания.</t>
        </is>
      </c>
      <c r="L2872" s="2" t="inlineStr">
        <is>
          <t>Кино_СССР сводный каталог.xlsx: список телефильмов</t>
        </is>
      </c>
      <c r="M2872" s="2">
        <f>HYPERLINK("https://ru.wikipedia.org/w/index.php?search=%D0%9E%D1%82%D0%B5%D0%BB%D0%BB%D0%BE%201979%20%D1%84%D0%B8%D0%BB%D1%8C%D0%BC","искать")</f>
        <v/>
      </c>
      <c r="N2872" s="3" t="n"/>
      <c r="O2872" s="2" t="n"/>
      <c r="P2872" s="2" t="n"/>
    </row>
    <row r="2873">
      <c r="A2873" s="2" t="n">
        <v>2872</v>
      </c>
      <c r="B2873" s="2" t="inlineStr">
        <is>
          <t>не сюжет</t>
        </is>
      </c>
      <c r="C2873" s="2" t="n">
        <v>9502</v>
      </c>
      <c r="D2873" s="3" t="inlineStr">
        <is>
          <t>Ненужная вражда</t>
        </is>
      </c>
      <c r="E2873" s="2" t="n">
        <v>1930</v>
      </c>
      <c r="F2873" s="2" t="inlineStr">
        <is>
          <t>кинофильм</t>
        </is>
      </c>
      <c r="G2873" s="2" t="n"/>
      <c r="H2873" s="2" t="n">
        <v>319</v>
      </c>
      <c r="I2873" s="2" t="inlineStr"/>
      <c r="J2873" s="2" t="inlineStr">
        <is>
          <t>да</t>
        </is>
      </c>
      <c r="K2873" s="3" t="inlineStr">
        <is>
          <t>О борьбе за товарищеское отношение к работнице-выдвиженке. Действие фильма происходит на киностудии. Сценарий писался в расчете на Эмму Цесарскую. При запуске картины в производство 07.03.29 правление 'Совкино' одобрило сценарий 'при условии усиления социального момента за счет формально-художественных нагромождений'.</t>
        </is>
      </c>
      <c r="L2873" s="2" t="inlineStr">
        <is>
          <t>Кино_СССР сводный каталог.xlsx: список фильмов (доп.)</t>
        </is>
      </c>
      <c r="M2873" s="2">
        <f>HYPERLINK("https://ru.wikipedia.org/w/index.php?search=%D0%9D%D0%B5%D0%BD%D1%83%D0%B6%D0%BD%D0%B0%D1%8F%20%D0%B2%D1%80%D0%B0%D0%B6%D0%B4%D0%B0%201930%20%D1%84%D0%B8%D0%BB%D1%8C%D0%BC","искать")</f>
        <v/>
      </c>
      <c r="N2873" s="3" t="n"/>
      <c r="O2873" s="2" t="n"/>
      <c r="P2873" s="2" t="n"/>
    </row>
    <row r="2874">
      <c r="A2874" s="2" t="n">
        <v>2873</v>
      </c>
      <c r="B2874" s="2" t="inlineStr">
        <is>
          <t>не сюжет</t>
        </is>
      </c>
      <c r="C2874" s="2" t="n">
        <v>10589</v>
      </c>
      <c r="D2874" s="3" t="inlineStr">
        <is>
          <t>Свой остров</t>
        </is>
      </c>
      <c r="E2874" s="2" t="n">
        <v>1974</v>
      </c>
      <c r="F2874" s="2" t="inlineStr">
        <is>
          <t>фильм-спектакль</t>
        </is>
      </c>
      <c r="G2874" s="2" t="inlineStr">
        <is>
          <t>Центральное телевидение</t>
        </is>
      </c>
      <c r="H2874" s="2" t="n">
        <v>319</v>
      </c>
      <c r="I2874" s="2" t="inlineStr"/>
      <c r="J2874" s="2" t="inlineStr">
        <is>
          <t>да</t>
        </is>
      </c>
      <c r="K2874" s="3" t="inlineStr">
        <is>
          <t>Спектакль Московского театра "Современник" по одноименной пьесе эстонского драматурга Раймонда Каугвера.
Для спектакля Владимир Высоцкий написал песню –"Отплываем в тёплый край навсегда..." (в исполнении И.Кваши –"Покидаем тёплый край навсегда..."). Другие песни, предложенные в спектакль, исполнялись Высоцким и ранее.</t>
        </is>
      </c>
      <c r="L2874" s="2" t="inlineStr">
        <is>
          <t>https://www.kino-teatr.ru/teatr/movie/81658/annot/</t>
        </is>
      </c>
      <c r="M2874" s="2">
        <f>HYPERLINK("https://ru.wikipedia.org/w/index.php?search=%D0%A1%D0%B2%D0%BE%D0%B9%20%D0%BE%D1%81%D1%82%D1%80%D0%BE%D0%B2%201974%20%D1%84%D0%B8%D0%BB%D1%8C%D0%BC","искать")</f>
        <v/>
      </c>
      <c r="N2874" s="3" t="n"/>
      <c r="O2874" s="2" t="n"/>
      <c r="P2874" s="2" t="n"/>
    </row>
    <row r="2875">
      <c r="A2875" s="2" t="n">
        <v>2874</v>
      </c>
      <c r="B2875" s="2" t="inlineStr">
        <is>
          <t>не сюжет</t>
        </is>
      </c>
      <c r="C2875" s="2" t="n">
        <v>11225</v>
      </c>
      <c r="D2875" s="3" t="inlineStr">
        <is>
          <t>Рядовые</t>
        </is>
      </c>
      <c r="E2875" s="2" t="n">
        <v>1988</v>
      </c>
      <c r="F2875" s="2" t="inlineStr">
        <is>
          <t>фильм-спектакль</t>
        </is>
      </c>
      <c r="G2875" s="2" t="inlineStr">
        <is>
          <t>Главная редакция литературно-драматических программ ЦТ</t>
        </is>
      </c>
      <c r="H2875" s="2" t="n">
        <v>319</v>
      </c>
      <c r="I2875" s="2" t="inlineStr"/>
      <c r="J2875" s="2" t="inlineStr">
        <is>
          <t>да</t>
        </is>
      </c>
      <c r="K2875" s="3" t="inlineStr">
        <is>
          <t>По одноименной пьесе Алексея Дударева в постановке Белорусского государственного академического театра имени Янки Купалы.
Действие происходит в Германии в самом конце Великой Отечественной войны. Человечность, мужество и величие души проявляют солдаты, герои спектакля, в дни, ставшие для большинства из них последними.</t>
        </is>
      </c>
      <c r="L2875" s="2" t="inlineStr">
        <is>
          <t>https://www.kino-teatr.ru/teatr/movie/81795/annot/</t>
        </is>
      </c>
      <c r="M2875" s="2">
        <f>HYPERLINK("https://ru.wikipedia.org/w/index.php?search=%D0%A0%D1%8F%D0%B4%D0%BE%D0%B2%D1%8B%D0%B5%201988%20%D1%84%D0%B8%D0%BB%D1%8C%D0%BC","искать")</f>
        <v/>
      </c>
      <c r="N2875" s="3" t="n"/>
      <c r="O2875" s="2" t="n"/>
      <c r="P2875" s="2" t="n"/>
    </row>
    <row r="2876">
      <c r="A2876" s="2" t="n">
        <v>2875</v>
      </c>
      <c r="B2876" s="2" t="inlineStr">
        <is>
          <t>не сюжет</t>
        </is>
      </c>
      <c r="C2876" s="2" t="n">
        <v>7429</v>
      </c>
      <c r="D2876" s="3" t="inlineStr">
        <is>
          <t>Гамлет Щигровского уезда</t>
        </is>
      </c>
      <c r="E2876" s="2" t="n">
        <v>1975</v>
      </c>
      <c r="F2876" s="2" t="inlineStr">
        <is>
          <t>телефильм</t>
        </is>
      </c>
      <c r="G2876" s="2" t="n"/>
      <c r="H2876" s="2" t="n">
        <v>320</v>
      </c>
      <c r="I2876" s="2" t="inlineStr"/>
      <c r="J2876" s="2" t="inlineStr">
        <is>
          <t>да</t>
        </is>
      </c>
      <c r="K2876" s="3" t="inlineStr">
        <is>
          <t>Телефильм по мотивам рассказов Ивана Тургенева из цикла "Записки охотника". "Пусть я останусь для вас неизвестным существом, пришибленным судьбою Васильем Васильевичем. Притом же я, как человек неоригинальный, и не заслуживаю особенного имени... А уж если вы непременно хотите мне дать какую-нибудь кличку, так назовите.</t>
        </is>
      </c>
      <c r="L2876" s="2" t="inlineStr">
        <is>
          <t>Кино_СССР сводный каталог.xlsx: список телефильмов</t>
        </is>
      </c>
      <c r="M2876" s="2">
        <f>HYPERLINK("https://ru.wikipedia.org/w/index.php?search=%D0%93%D0%B0%D0%BC%D0%BB%D0%B5%D1%82%20%D0%A9%D0%B8%D0%B3%D1%80%D0%BE%D0%B2%D1%81%D0%BA%D0%BE%D0%B3%D0%BE%20%D1%83%D0%B5%D0%B7%D0%B4%D0%B0%201975%20%D1%84%D0%B8%D0%BB%D1%8C%D0%BC","искать")</f>
        <v/>
      </c>
      <c r="N2876" s="3" t="n"/>
      <c r="O2876" s="2" t="n"/>
      <c r="P2876" s="2" t="n"/>
    </row>
    <row r="2877">
      <c r="A2877" s="2" t="n">
        <v>2876</v>
      </c>
      <c r="B2877" s="2" t="inlineStr">
        <is>
          <t>не сюжет</t>
        </is>
      </c>
      <c r="C2877" s="2" t="n">
        <v>7815</v>
      </c>
      <c r="D2877" s="3" t="inlineStr">
        <is>
          <t>Личное счастье</t>
        </is>
      </c>
      <c r="E2877" s="2" t="n">
        <v>1977</v>
      </c>
      <c r="F2877" s="2" t="inlineStr">
        <is>
          <t>телефильм</t>
        </is>
      </c>
      <c r="G2877" s="2" t="inlineStr">
        <is>
          <t>ТО «Экран»</t>
        </is>
      </c>
      <c r="H2877" s="2" t="n">
        <v>322</v>
      </c>
      <c r="I2877" s="2" t="inlineStr"/>
      <c r="J2877" s="2" t="inlineStr">
        <is>
          <t>да</t>
        </is>
      </c>
      <c r="K2877" s="3" t="inlineStr">
        <is>
          <t>Телевизионная сага о семье Дорошиных. Действие происходит в военное и послевоенное время. Характерные черты семьи Дорошиных – трудолюбие, мужество и принципиальность. Павел Николаевич – ветеран войны, главный конструктор завода, Анастасия Михайловна – зав. кафедрой университета, активная участница партизанского движения.</t>
        </is>
      </c>
      <c r="L2877" s="2" t="inlineStr">
        <is>
          <t>Кино_СССР сводный каталог.xlsx: список телефильмов</t>
        </is>
      </c>
      <c r="M2877" s="2">
        <f>HYPERLINK("https://ru.wikipedia.org/w/index.php?search=%D0%9B%D0%B8%D1%87%D0%BD%D0%BE%D0%B5%20%D1%81%D1%87%D0%B0%D1%81%D1%82%D1%8C%D0%B5%201977%20%D1%84%D0%B8%D0%BB%D1%8C%D0%BC","искать")</f>
        <v/>
      </c>
      <c r="N2877" s="3" t="n"/>
      <c r="O2877" s="2" t="n"/>
      <c r="P2877" s="2" t="n"/>
    </row>
    <row r="2878">
      <c r="A2878" s="2" t="n">
        <v>2877</v>
      </c>
      <c r="B2878" s="2" t="inlineStr">
        <is>
          <t>не сюжет</t>
        </is>
      </c>
      <c r="C2878" s="2" t="n">
        <v>7527</v>
      </c>
      <c r="D2878" s="3" t="inlineStr">
        <is>
          <t>Долг</t>
        </is>
      </c>
      <c r="E2878" s="2" t="n">
        <v>1966</v>
      </c>
      <c r="F2878" s="2" t="inlineStr">
        <is>
          <t>телефильм</t>
        </is>
      </c>
      <c r="G2878" s="2" t="n"/>
      <c r="H2878" s="2" t="n">
        <v>323</v>
      </c>
      <c r="I2878" s="2" t="inlineStr"/>
      <c r="J2878" s="2" t="inlineStr">
        <is>
          <t>да</t>
        </is>
      </c>
      <c r="K2878" s="3" t="inlineStr">
        <is>
          <t>Фильм снят по одноименному рассказу эстонского писателя Мати Унта (1944-2005). Рассказ о молодежи 60-х и горе, которое они причиняют так много раз. Молодость, чувство собственной силы, но еще не чувство ответственности, часто приводит к бездумности. Постепенно они накапливают долги, которые нужно начинать платить в жизни.</t>
        </is>
      </c>
      <c r="L2878" s="2" t="inlineStr">
        <is>
          <t>Кино_СССР сводный каталог.xlsx: список телефильмов</t>
        </is>
      </c>
      <c r="M2878" s="2">
        <f>HYPERLINK("https://ru.wikipedia.org/w/index.php?search=%D0%94%D0%BE%D0%BB%D0%B3%201966%20%D1%84%D0%B8%D0%BB%D1%8C%D0%BC","искать")</f>
        <v/>
      </c>
      <c r="N2878" s="3" t="n"/>
      <c r="O2878" s="2" t="n"/>
      <c r="P2878" s="2" t="n"/>
    </row>
    <row r="2879">
      <c r="A2879" s="2" t="n">
        <v>2878</v>
      </c>
      <c r="B2879" s="2" t="inlineStr">
        <is>
          <t>не сюжет</t>
        </is>
      </c>
      <c r="C2879" s="2" t="n">
        <v>10893</v>
      </c>
      <c r="D2879" s="3" t="inlineStr">
        <is>
          <t>Мы не увидимся с тобой</t>
        </is>
      </c>
      <c r="E2879" s="2" t="n">
        <v>1981</v>
      </c>
      <c r="F2879" s="2" t="inlineStr">
        <is>
          <t>фильм-спектакль</t>
        </is>
      </c>
      <c r="G2879" s="2" t="n"/>
      <c r="H2879" s="2" t="n">
        <v>323</v>
      </c>
      <c r="I2879" s="2" t="inlineStr"/>
      <c r="J2879" s="2" t="inlineStr">
        <is>
          <t>да</t>
        </is>
      </c>
      <c r="K2879" s="3" t="inlineStr">
        <is>
          <t>По одноименной повести Константина Симонова о дальнейшей судьбе героев фильма-спектакля "Из записок Лопатина" в постановке Московского театра "Современник".
Журналист Лопатин всегда помнит тех, с кем свели его дороги войны. Воспоминания о них - неотъемлемая часть раздумий Лопатина о долге, чести, храбрости и товариществе.</t>
        </is>
      </c>
      <c r="L2879" s="2" t="inlineStr">
        <is>
          <t>https://www.kino-teatr.ru/teatr/movie/81657/annot/</t>
        </is>
      </c>
      <c r="M2879" s="2">
        <f>HYPERLINK("https://ru.wikipedia.org/w/index.php?search=%D0%9C%D1%8B%20%D0%BD%D0%B5%20%D1%83%D0%B2%D0%B8%D0%B4%D0%B8%D0%BC%D1%81%D1%8F%20%D1%81%20%D1%82%D0%BE%D0%B1%D0%BE%D0%B9%201981%20%D1%84%D0%B8%D0%BB%D1%8C%D0%BC","искать")</f>
        <v/>
      </c>
      <c r="N2879" s="3" t="n"/>
      <c r="O2879" s="2" t="n"/>
      <c r="P2879" s="2" t="n"/>
    </row>
    <row r="2880">
      <c r="A2880" s="2" t="n">
        <v>2879</v>
      </c>
      <c r="B2880" s="2" t="inlineStr">
        <is>
          <t>не сюжет</t>
        </is>
      </c>
      <c r="C2880" s="2" t="n">
        <v>7903</v>
      </c>
      <c r="D2880" s="3" t="inlineStr">
        <is>
          <t>Моя семья</t>
        </is>
      </c>
      <c r="E2880" s="2" t="n">
        <v>1982</v>
      </c>
      <c r="F2880" s="2" t="inlineStr">
        <is>
          <t>телефильм</t>
        </is>
      </c>
      <c r="G2880" s="2" t="n"/>
      <c r="H2880" s="2" t="n">
        <v>325</v>
      </c>
      <c r="I2880" s="2" t="inlineStr"/>
      <c r="J2880" s="2" t="inlineStr">
        <is>
          <t>да</t>
        </is>
      </c>
      <c r="K2880" s="3" t="inlineStr">
        <is>
          <t>Семья Ронисонов похожа на многие городские семьи, где родители увлечены своей работой, где всего один ребёнок, где ритм жизни и налаженный быт создают внешнее ощущение полного благополучия. Такой она предстаёт перед глазами телезрителей в передаче "Семейные диалоги". Но иначе воспринимает многие семейные события сын Роберт.</t>
        </is>
      </c>
      <c r="L2880" s="2" t="inlineStr">
        <is>
          <t>Кино_СССР сводный каталог.xlsx: список телефильмов</t>
        </is>
      </c>
      <c r="M2880" s="2">
        <f>HYPERLINK("https://ru.wikipedia.org/w/index.php?search=%D0%9C%D0%BE%D1%8F%20%D1%81%D0%B5%D0%BC%D1%8C%D1%8F%201982%20%D1%84%D0%B8%D0%BB%D1%8C%D0%BC","искать")</f>
        <v/>
      </c>
      <c r="N2880" s="3" t="n"/>
      <c r="O2880" s="2" t="n"/>
      <c r="P2880" s="2" t="n"/>
    </row>
    <row r="2881">
      <c r="A2881" s="2" t="n">
        <v>2880</v>
      </c>
      <c r="B2881" s="2" t="inlineStr">
        <is>
          <t>не сюжет</t>
        </is>
      </c>
      <c r="C2881" s="2" t="n">
        <v>8969</v>
      </c>
      <c r="D2881" s="3" t="inlineStr">
        <is>
          <t>Почему улыбались звёзды</t>
        </is>
      </c>
      <c r="E2881" s="2" t="n">
        <v>1966</v>
      </c>
      <c r="F2881" s="2" t="inlineStr">
        <is>
          <t>фильм-спектакль</t>
        </is>
      </c>
      <c r="G2881" s="2" t="n"/>
      <c r="H2881" s="2" t="n">
        <v>326</v>
      </c>
      <c r="I2881" s="2" t="inlineStr"/>
      <c r="J2881" s="2" t="inlineStr">
        <is>
          <t>да</t>
        </is>
      </c>
      <c r="K2881" s="3" t="inlineStr">
        <is>
          <t>Фильм-спектакль по одноименной пьесе 1957 года А.Корнейчука с элементами комедии и сатиры рассказывает о людях, которые считают себя украинской советской интеллигенцией. В нем присутствуют поучительные интонации,критика пережитков прошлого и отстаивание идеалов "светлого будущего", все то,чем было "славно" искусство тех лет.</t>
        </is>
      </c>
      <c r="L2881" s="2" t="inlineStr">
        <is>
          <t>Кино_СССР сводный каталог.xlsx: список фильмов (доп.)</t>
        </is>
      </c>
      <c r="M2881" s="2">
        <f>HYPERLINK("https://ru.wikipedia.org/w/index.php?search=%D0%9F%D0%BE%D1%87%D0%B5%D0%BC%D1%83%20%D1%83%D0%BB%D1%8B%D0%B1%D0%B0%D0%BB%D0%B8%D1%81%D1%8C%20%D0%B7%D0%B2%D1%91%D0%B7%D0%B4%D1%8B%201966%20%D1%84%D0%B8%D0%BB%D1%8C%D0%BC","искать")</f>
        <v/>
      </c>
      <c r="N2881" s="3" t="n"/>
      <c r="O2881" s="2" t="n"/>
      <c r="P2881" s="2" t="n"/>
    </row>
    <row r="2882">
      <c r="A2882" s="2" t="n">
        <v>2881</v>
      </c>
      <c r="B2882" s="2" t="inlineStr">
        <is>
          <t>не сюжет</t>
        </is>
      </c>
      <c r="C2882" s="2" t="n">
        <v>9274</v>
      </c>
      <c r="D2882" s="3" t="inlineStr">
        <is>
          <t>Водоворот</t>
        </is>
      </c>
      <c r="E2882" s="2" t="n">
        <v>1991</v>
      </c>
      <c r="F2882" s="2" t="inlineStr">
        <is>
          <t>кинофильм</t>
        </is>
      </c>
      <c r="G2882" s="2" t="n"/>
      <c r="H2882" s="2" t="n">
        <v>326</v>
      </c>
      <c r="I2882" s="2" t="inlineStr"/>
      <c r="J2882" s="2" t="inlineStr">
        <is>
          <t>да</t>
        </is>
      </c>
      <c r="K2882" s="3" t="inlineStr">
        <is>
          <t>Фильм о людях, ставших заложниками уходящей эпохи. Отшельничество одного из них и неприкаянность другого, одержимого верой в то, что можно вернуться к истокам и начать все сначала, не спасает героев от исторической предопределенности судьбы. Участие на Кинорынке-фестивале «Окно в Европу—94» (Выборг): содружество независимых.</t>
        </is>
      </c>
      <c r="L2882" s="2" t="inlineStr">
        <is>
          <t>Кино_СССР сводный каталог.xlsx: список фильмов (доп.)</t>
        </is>
      </c>
      <c r="M2882" s="2">
        <f>HYPERLINK("https://ru.wikipedia.org/w/index.php?search=%D0%92%D0%BE%D0%B4%D0%BE%D0%B2%D0%BE%D1%80%D0%BE%D1%82%201991%20%D1%84%D0%B8%D0%BB%D1%8C%D0%BC","искать")</f>
        <v/>
      </c>
      <c r="N2882" s="3" t="n"/>
      <c r="O2882" s="2" t="n"/>
      <c r="P2882" s="2" t="n"/>
    </row>
    <row r="2883">
      <c r="A2883" s="2" t="n">
        <v>2882</v>
      </c>
      <c r="B2883" s="2" t="inlineStr">
        <is>
          <t>не сюжет</t>
        </is>
      </c>
      <c r="C2883" s="2" t="n">
        <v>10449</v>
      </c>
      <c r="D2883" s="3" t="inlineStr">
        <is>
          <t>Любимые страницы</t>
        </is>
      </c>
      <c r="E2883" s="2" t="n">
        <v>1972</v>
      </c>
      <c r="F2883" s="2" t="inlineStr">
        <is>
          <t>фильм-спектакль</t>
        </is>
      </c>
      <c r="G2883" s="2" t="inlineStr">
        <is>
          <t>Центральное телевидение</t>
        </is>
      </c>
      <c r="H2883" s="2" t="n">
        <v>327</v>
      </c>
      <c r="I2883" s="2" t="inlineStr"/>
      <c r="J2883" s="2" t="inlineStr">
        <is>
          <t>да</t>
        </is>
      </c>
      <c r="K2883" s="3" t="inlineStr">
        <is>
          <t>Спектакль-концерт "Искусство принадлежит народу..."
Литературная композиция по произведениям А.Радищева, А.Герцена, Н.Чернышевского, Н.Некрасова, В.Курочкина, Ф.Тютчева, И.Тургенева, А.Пушкина, Л.Толстого, М.Салтыкова-Щедрина, А.Чехова, М.Горького, В.Князева в постановке Государственного академического театра имени Моссовета.</t>
        </is>
      </c>
      <c r="L2883" s="2" t="inlineStr">
        <is>
          <t>https://www.kino-teatr.ru/teatr/movie/81476/annot/</t>
        </is>
      </c>
      <c r="M2883" s="2">
        <f>HYPERLINK("https://ru.wikipedia.org/w/index.php?search=%D0%9B%D1%8E%D0%B1%D0%B8%D0%BC%D1%8B%D0%B5%20%D1%81%D1%82%D1%80%D0%B0%D0%BD%D0%B8%D1%86%D1%8B%201972%20%D1%84%D0%B8%D0%BB%D1%8C%D0%BC","искать")</f>
        <v/>
      </c>
      <c r="N2883" s="3" t="n"/>
      <c r="O2883" s="2" t="n"/>
      <c r="P2883" s="2" t="n"/>
    </row>
    <row r="2884">
      <c r="A2884" s="2" t="n">
        <v>2883</v>
      </c>
      <c r="B2884" s="2" t="inlineStr">
        <is>
          <t>не сюжет</t>
        </is>
      </c>
      <c r="C2884" s="2" t="n">
        <v>10462</v>
      </c>
      <c r="D2884" s="3" t="inlineStr">
        <is>
          <t>Потешки</t>
        </is>
      </c>
      <c r="E2884" s="2" t="n">
        <v>1972</v>
      </c>
      <c r="F2884" s="2" t="inlineStr">
        <is>
          <t>фильм-спектакль</t>
        </is>
      </c>
      <c r="G2884" s="2" t="inlineStr">
        <is>
          <t>Свердловская киностудия</t>
        </is>
      </c>
      <c r="H2884" s="2" t="n">
        <v>327</v>
      </c>
      <c r="I2884" s="2" t="inlineStr"/>
      <c r="J2884" s="2" t="inlineStr">
        <is>
          <t>да</t>
        </is>
      </c>
      <c r="K2884" s="3" t="inlineStr">
        <is>
          <t>Музыкальная фантазия на темы русских народных потешек и песен.
В ролях: Петрушка - Е.Бугров, солисты Уральского русского народного хора, артисты балета Свердловского государственного академического театра оперы и балета им. А.В.Луначарского, артисты балета Свердловского театра музыкальной комедии, вокальный квартет "Игоринки"</t>
        </is>
      </c>
      <c r="L2884" s="2" t="inlineStr">
        <is>
          <t>https://www.kino-teatr.ru/teatr/movie/96318/annot/</t>
        </is>
      </c>
      <c r="M2884" s="2">
        <f>HYPERLINK("https://ru.wikipedia.org/w/index.php?search=%D0%9F%D0%BE%D1%82%D0%B5%D1%88%D0%BA%D0%B8%201972%20%D1%84%D0%B8%D0%BB%D1%8C%D0%BC","искать")</f>
        <v/>
      </c>
      <c r="N2884" s="3" t="n"/>
      <c r="O2884" s="2" t="n"/>
      <c r="P2884" s="2" t="n"/>
    </row>
    <row r="2885">
      <c r="A2885" s="2" t="n">
        <v>2884</v>
      </c>
      <c r="B2885" s="2" t="inlineStr">
        <is>
          <t>не сюжет</t>
        </is>
      </c>
      <c r="C2885" s="2" t="n">
        <v>8015</v>
      </c>
      <c r="D2885" s="3" t="inlineStr">
        <is>
          <t>Нужные люди</t>
        </is>
      </c>
      <c r="E2885" s="2" t="n">
        <v>1986</v>
      </c>
      <c r="F2885" s="2" t="inlineStr">
        <is>
          <t>телефильм</t>
        </is>
      </c>
      <c r="G2885" s="2" t="inlineStr">
        <is>
          <t>Творческое объединение «Экран»</t>
        </is>
      </c>
      <c r="H2885" s="2" t="n">
        <v>328</v>
      </c>
      <c r="I2885" s="2" t="inlineStr"/>
      <c r="J2885" s="2" t="inlineStr">
        <is>
          <t>да</t>
        </is>
      </c>
      <c r="K2885" s="3" t="inlineStr">
        <is>
          <t>Фильм на злободневную в 1980-е годы тему — «блат» и разгульную жизнь полную достатка узкого круга лиц, имеющих «связи» и хорошие должности.
Сюжет развивается на фоне любовного треугольника, состоящего из простого парня-строителя, девушки и директора ресторана.
Текст из главной в фильме песни «Монолог-кредо „нужного“ человека»:</t>
        </is>
      </c>
      <c r="L2885" s="2" t="inlineStr">
        <is>
          <t>https://ru.wikipedia.org/w/index.php?title=%D0%9D%D1%83%D0%B6%D0%BD%D1%8B%D0%B5_%D0%BB%D1%8E%D0%B4%D0%B8_%28%D1%84%D0%B8%D0%BB%D1%8C%D0%BC%2C_1986%29&amp;oldid=153026785</t>
        </is>
      </c>
      <c r="M2885" s="2">
        <f>HYPERLINK("https://ru.wikipedia.org/w/index.php?search=%D0%9D%D1%83%D0%B6%D0%BD%D1%8B%D0%B5%20%D0%BB%D1%8E%D0%B4%D0%B8%201986%20%D1%84%D0%B8%D0%BB%D1%8C%D0%BC","искать")</f>
        <v/>
      </c>
      <c r="N2885" s="3" t="n"/>
      <c r="O2885" s="2" t="n"/>
      <c r="P2885" s="2" t="n"/>
    </row>
    <row r="2886">
      <c r="A2886" s="2" t="n">
        <v>2885</v>
      </c>
      <c r="B2886" s="2" t="inlineStr">
        <is>
          <t>не сюжет</t>
        </is>
      </c>
      <c r="C2886" s="2" t="n">
        <v>8416</v>
      </c>
      <c r="D2886" s="3" t="inlineStr">
        <is>
          <t>Структура момента</t>
        </is>
      </c>
      <c r="E2886" s="2" t="n">
        <v>1980</v>
      </c>
      <c r="F2886" s="2" t="inlineStr">
        <is>
          <t>телефильм</t>
        </is>
      </c>
      <c r="G2886" s="2" t="n"/>
      <c r="H2886" s="2" t="n">
        <v>328</v>
      </c>
      <c r="I2886" s="2" t="inlineStr"/>
      <c r="J2886" s="2" t="inlineStr">
        <is>
          <t>да</t>
        </is>
      </c>
      <c r="K2886" s="3" t="inlineStr">
        <is>
          <t>Фильм снят по оригинальному сценарию Рустама Ибрагимбекова. Фильм рассказывает о величии Родины, и обо всем, что делается на благо Отчизны. Фильм показывает серьёзные нравственные принципы наших современников, а также доверие и уважение к людям. Телефильм был создан по заказу ЦТ СССР. Фильм при показе получил первую категорию.</t>
        </is>
      </c>
      <c r="L2886" s="2" t="inlineStr">
        <is>
          <t>https://ru.wikipedia.org/w/index.php?title=%D0%A1%D1%82%D1%80%D1%83%D0%BA%D1%82%D1%83%D1%80%D0%B0_%D0%BC%D0%BE%D0%BC%D0%B5%D0%BD%D1%82%D0%B0&amp;oldid=149103950</t>
        </is>
      </c>
      <c r="M2886" s="2">
        <f>HYPERLINK("https://ru.wikipedia.org/w/index.php?search=%D0%A1%D1%82%D1%80%D1%83%D0%BA%D1%82%D1%83%D1%80%D0%B0%20%D0%BC%D0%BE%D0%BC%D0%B5%D0%BD%D1%82%D0%B0%201980%20%D1%84%D0%B8%D0%BB%D1%8C%D0%BC","искать")</f>
        <v/>
      </c>
      <c r="N2886" s="3" t="n"/>
      <c r="O2886" s="2" t="n"/>
      <c r="P2886" s="2" t="n"/>
    </row>
    <row r="2887">
      <c r="A2887" s="2" t="n">
        <v>2886</v>
      </c>
      <c r="B2887" s="2" t="inlineStr">
        <is>
          <t>не сюжет</t>
        </is>
      </c>
      <c r="C2887" s="2" t="n">
        <v>9329</v>
      </c>
      <c r="D2887" s="3" t="inlineStr">
        <is>
          <t>День ангела</t>
        </is>
      </c>
      <c r="E2887" s="2" t="n">
        <v>1980</v>
      </c>
      <c r="F2887" s="2" t="inlineStr">
        <is>
          <t>кинофильм</t>
        </is>
      </c>
      <c r="G2887" s="2" t="n"/>
      <c r="H2887" s="2" t="n">
        <v>328</v>
      </c>
      <c r="I2887" s="2" t="inlineStr"/>
      <c r="J2887" s="2" t="inlineStr">
        <is>
          <t>да</t>
        </is>
      </c>
      <c r="K2887" s="3" t="inlineStr">
        <is>
          <t>По одноименному рассказу М.Коновальчука. Снят подпольно в 1980 году. Рассказ подростка Мафусаила о своей жизни и жизни близких людей. Действующие лица его рассказа: отец - герой гражданской войны; старший брат - вор и бандюга; средний брат - фальшивомонетчик, работящая сестра Катерина, набожная сестренка Вера и непоседа Любка.</t>
        </is>
      </c>
      <c r="L2887" s="2" t="inlineStr">
        <is>
          <t>Кино_СССР сводный каталог.xlsx: список фильмов (доп.)</t>
        </is>
      </c>
      <c r="M2887" s="2">
        <f>HYPERLINK("https://ru.wikipedia.org/w/index.php?search=%D0%94%D0%B5%D0%BD%D1%8C%20%D0%B0%D0%BD%D0%B3%D0%B5%D0%BB%D0%B0%201980%20%D1%84%D0%B8%D0%BB%D1%8C%D0%BC","искать")</f>
        <v/>
      </c>
      <c r="N2887" s="3" t="n"/>
      <c r="O2887" s="2" t="n"/>
      <c r="P2887" s="2" t="n"/>
    </row>
    <row r="2888">
      <c r="A2888" s="2" t="n">
        <v>2887</v>
      </c>
      <c r="B2888" s="2" t="inlineStr">
        <is>
          <t>не сюжет</t>
        </is>
      </c>
      <c r="C2888" s="2" t="n">
        <v>11104</v>
      </c>
      <c r="D2888" s="3" t="inlineStr">
        <is>
          <t>Два взгляда из одного кабинета</t>
        </is>
      </c>
      <c r="E2888" s="2" t="n">
        <v>1986</v>
      </c>
      <c r="F2888" s="2" t="inlineStr">
        <is>
          <t>фильм-спектакль</t>
        </is>
      </c>
      <c r="G2888" s="2" t="inlineStr">
        <is>
          <t>Главная редакция литературно-драматических программ ЦТ</t>
        </is>
      </c>
      <c r="H2888" s="2" t="n">
        <v>328</v>
      </c>
      <c r="I2888" s="2" t="inlineStr"/>
      <c r="J2888" s="2" t="inlineStr">
        <is>
          <t>да</t>
        </is>
      </c>
      <c r="K2888" s="3" t="inlineStr">
        <is>
          <t>Из цикла "Политический театр".
Телеспектакль построен как диалог двух руководителей: второго секретаря обкома КПСС Ивана Стрешнева и Василия Широкова, избранного недавно первым секретарем. В этом серьезном разговоре обсуждаются проблемы перестройки народного хозяйства и ответственности каждого человека за происходящие события.</t>
        </is>
      </c>
      <c r="L2888" s="2" t="inlineStr">
        <is>
          <t>https://www.kino-teatr.ru/teatr/movie/81363/annot/</t>
        </is>
      </c>
      <c r="M2888" s="2">
        <f>HYPERLINK("https://ru.wikipedia.org/w/index.php?search=%D0%94%D0%B2%D0%B0%20%D0%B2%D0%B7%D0%B3%D0%BB%D1%8F%D0%B4%D0%B0%20%D0%B8%D0%B7%20%D0%BE%D0%B4%D0%BD%D0%BE%D0%B3%D0%BE%20%D0%BA%D0%B0%D0%B1%D0%B8%D0%BD%D0%B5%D1%82%D0%B0%201986%20%D1%84%D0%B8%D0%BB%D1%8C%D0%BC","искать")</f>
        <v/>
      </c>
      <c r="N2888" s="3" t="n"/>
      <c r="O2888" s="2" t="n"/>
      <c r="P2888" s="2" t="n"/>
    </row>
    <row r="2889">
      <c r="A2889" s="2" t="n">
        <v>2888</v>
      </c>
      <c r="B2889" s="2" t="inlineStr">
        <is>
          <t>не сюжет</t>
        </is>
      </c>
      <c r="C2889" s="2" t="n">
        <v>14150</v>
      </c>
      <c r="D2889" s="3" t="inlineStr">
        <is>
          <t>Петькины трюки</t>
        </is>
      </c>
      <c r="E2889" s="2" t="n">
        <v>1980</v>
      </c>
      <c r="F2889" s="2" t="inlineStr">
        <is>
          <t>мультфильм</t>
        </is>
      </c>
      <c r="G2889" s="2" t="inlineStr">
        <is>
          <t>ПЕРМЬТЕЛЕФИЛЬМ</t>
        </is>
      </c>
      <c r="H2889" s="2" t="n">
        <v>328</v>
      </c>
      <c r="I2889" s="2" t="inlineStr"/>
      <c r="J2889" s="2" t="inlineStr">
        <is>
          <t>да</t>
        </is>
      </c>
      <c r="K2889" s="3" t="inlineStr">
        <is>
          <t>По мотивам повести Л.Давыдычева "Лелишна из третьего подъезда" или «Повесть о доброй девочке, храбром мальчике, злой девчонке, укротителе львов, двоечнике по прозвищу Пара, смешном милиционере и других интересных личностях, перечислить которых в названии нет никакой возможности, потому что оно и так получилось слишком длинным»</t>
        </is>
      </c>
      <c r="L2889" s="2" t="inlineStr">
        <is>
          <t>2026-10_мультфильмы_список_владельца.xlsx; https://animator.ru/db/?p=show_film&amp;fid=5548</t>
        </is>
      </c>
      <c r="M2889" s="2">
        <f>HYPERLINK("https://ru.wikipedia.org/w/index.php?search=%D0%9F%D0%B5%D1%82%D1%8C%D0%BA%D0%B8%D0%BD%D1%8B%20%D1%82%D1%80%D1%8E%D0%BA%D0%B8%201980%20%D1%84%D0%B8%D0%BB%D1%8C%D0%BC","искать")</f>
        <v/>
      </c>
      <c r="N2889" s="3" t="n"/>
      <c r="O2889" s="2" t="n"/>
      <c r="P2889" s="2" t="n"/>
    </row>
    <row r="2890">
      <c r="A2890" s="2" t="n">
        <v>2889</v>
      </c>
      <c r="B2890" s="2" t="inlineStr">
        <is>
          <t>не сюжет</t>
        </is>
      </c>
      <c r="C2890" s="2" t="n">
        <v>9485</v>
      </c>
      <c r="D2890" s="3" t="inlineStr">
        <is>
          <t>На дальней заставе</t>
        </is>
      </c>
      <c r="E2890" s="2" t="n">
        <v>1940</v>
      </c>
      <c r="F2890" s="2" t="inlineStr">
        <is>
          <t>кинофильм</t>
        </is>
      </c>
      <c r="G2890" s="2" t="n"/>
      <c r="H2890" s="2" t="n">
        <v>329</v>
      </c>
      <c r="I2890" s="2" t="inlineStr"/>
      <c r="J2890" s="2" t="inlineStr">
        <is>
          <t>да</t>
        </is>
      </c>
      <c r="K2890" s="3" t="inlineStr">
        <is>
          <t>О жизни советских пограничников. В главной роли снялся талантливый театральный актер В. Блюменталь-Тамарин, которого редко приглашали сниматься в кино. Фильм был подготовлен к выпуску, напечатан тираж (250 копий), но не вышел на экран «по тематическим соображениям»: "...Картина карикатурно показывает работу наших пограничников.</t>
        </is>
      </c>
      <c r="L2890" s="2" t="inlineStr">
        <is>
          <t>Кино_СССР сводный каталог.xlsx: список фильмов (доп.)</t>
        </is>
      </c>
      <c r="M2890" s="2">
        <f>HYPERLINK("https://ru.wikipedia.org/w/index.php?search=%D0%9D%D0%B0%20%D0%B4%D0%B0%D0%BB%D1%8C%D0%BD%D0%B5%D0%B9%20%D0%B7%D0%B0%D1%81%D1%82%D0%B0%D0%B2%D0%B5%201940%20%D1%84%D0%B8%D0%BB%D1%8C%D0%BC","искать")</f>
        <v/>
      </c>
      <c r="N2890" s="3" t="n"/>
      <c r="O2890" s="2" t="n"/>
      <c r="P2890" s="2" t="n"/>
    </row>
    <row r="2891">
      <c r="A2891" s="2" t="n">
        <v>2890</v>
      </c>
      <c r="B2891" s="2" t="inlineStr">
        <is>
          <t>не сюжет</t>
        </is>
      </c>
      <c r="C2891" s="2" t="n">
        <v>10607</v>
      </c>
      <c r="D2891" s="3" t="inlineStr">
        <is>
          <t>Дом, где разбиваются сердца</t>
        </is>
      </c>
      <c r="E2891" s="2" t="n">
        <v>1975</v>
      </c>
      <c r="F2891" s="2" t="inlineStr">
        <is>
          <t>фильм-спектакль</t>
        </is>
      </c>
      <c r="G2891" s="2" t="n"/>
      <c r="H2891" s="2" t="n">
        <v>329</v>
      </c>
      <c r="I2891" s="2" t="inlineStr"/>
      <c r="J2891" s="2" t="inlineStr">
        <is>
          <t>да</t>
        </is>
      </c>
      <c r="K2891" s="3" t="inlineStr">
        <is>
          <t>По одноимённой пьесе Б. Шоу
Фантазии в русском стиле на английские темы.
Спектакль-легенда Театра сатиры.
Написанная во время Первой мировой войны, пьеса проникнута мрачными предчувствиями неизбежной гибели и глобальной катастрофы. Но ее персонажам присущи насмешливость и блистательный юмор, готовность к розыгрышам и авантюрам.</t>
        </is>
      </c>
      <c r="L2891" s="2" t="inlineStr">
        <is>
          <t>https://www.kino-teatr.ru/teatr/movie/81424/annot/</t>
        </is>
      </c>
      <c r="M2891" s="2">
        <f>HYPERLINK("https://ru.wikipedia.org/w/index.php?search=%D0%94%D0%BE%D0%BC%2C%20%D0%B3%D0%B4%D0%B5%20%D1%80%D0%B0%D0%B7%D0%B1%D0%B8%D0%B2%D0%B0%D1%8E%D1%82%D1%81%D1%8F%20%D1%81%D0%B5%D1%80%D0%B4%D1%86%D0%B0%201975%20%D1%84%D0%B8%D0%BB%D1%8C%D0%BC","искать")</f>
        <v/>
      </c>
      <c r="N2891" s="3" t="n"/>
      <c r="O2891" s="2" t="n"/>
      <c r="P2891" s="2" t="n"/>
    </row>
    <row r="2892">
      <c r="A2892" s="2" t="n">
        <v>2891</v>
      </c>
      <c r="B2892" s="2" t="inlineStr">
        <is>
          <t>не сюжет</t>
        </is>
      </c>
      <c r="C2892" s="2" t="n">
        <v>10965</v>
      </c>
      <c r="D2892" s="3" t="inlineStr">
        <is>
          <t>Ромео и Джульетта</t>
        </is>
      </c>
      <c r="E2892" s="2" t="n">
        <v>1982</v>
      </c>
      <c r="F2892" s="2" t="inlineStr">
        <is>
          <t>фильм-спектакль</t>
        </is>
      </c>
      <c r="G2892" s="2" t="inlineStr">
        <is>
          <t>Главная редакция литературно-драматический программ ЦТ</t>
        </is>
      </c>
      <c r="H2892" s="2" t="n">
        <v>329</v>
      </c>
      <c r="I2892" s="2" t="inlineStr"/>
      <c r="J2892" s="2" t="inlineStr">
        <is>
          <t>да</t>
        </is>
      </c>
      <c r="K2892" s="3" t="inlineStr">
        <is>
          <t>Телеспектакль по пьесе У. Шекспира; Борис Пастернак (перевод).
В спектакле использованы фрагменты Концерта для струнного оркестра Франческо Джеминиани.
Одна из последних телевизионных работ Анатолия Эфроса.
Как декорации использованы металлические конструкции, на которых молодые актеры выполняют подчас головокружительные трюки.</t>
        </is>
      </c>
      <c r="L2892" s="2" t="inlineStr">
        <is>
          <t>https://www.kino-teatr.ru/teatr/movie/6064/annot/</t>
        </is>
      </c>
      <c r="M2892" s="2">
        <f>HYPERLINK("https://ru.wikipedia.org/w/index.php?search=%D0%A0%D0%BE%D0%BC%D0%B5%D0%BE%20%D0%B8%20%D0%94%D0%B6%D1%83%D0%BB%D1%8C%D0%B5%D1%82%D1%82%D0%B0%201982%20%D1%84%D0%B8%D0%BB%D1%8C%D0%BC","искать")</f>
        <v/>
      </c>
      <c r="N2892" s="3" t="n"/>
      <c r="O2892" s="2" t="n"/>
      <c r="P2892" s="2" t="n"/>
    </row>
    <row r="2893">
      <c r="A2893" s="2" t="n">
        <v>2892</v>
      </c>
      <c r="B2893" s="2" t="inlineStr">
        <is>
          <t>не сюжет</t>
        </is>
      </c>
      <c r="C2893" s="2" t="n">
        <v>8621</v>
      </c>
      <c r="D2893" s="3" t="inlineStr">
        <is>
          <t>Австрийское поле</t>
        </is>
      </c>
      <c r="E2893" s="2" t="n">
        <v>1991</v>
      </c>
      <c r="F2893" s="2" t="inlineStr">
        <is>
          <t>кинофильм</t>
        </is>
      </c>
      <c r="G2893" s="2" t="n"/>
      <c r="H2893" s="2" t="n">
        <v>330</v>
      </c>
      <c r="I2893" s="2" t="inlineStr"/>
      <c r="J2893" s="2" t="inlineStr">
        <is>
          <t>да</t>
        </is>
      </c>
      <c r="K2893" s="3" t="inlineStr">
        <is>
          <t>Фильм о неполноте и недостаточности простейших чувств: осязания, зрения, слуха. В кино такой взгляд традиционно обозначает коллизию между подлинным и иллюзорным. Истины и мнимости даны в фильме как образы чувств. "Я люблю с вами забыть время, - говорит героиня слепому возлюбленному и добавляет, - Вы самый зрячий из всех зрячих".</t>
        </is>
      </c>
      <c r="L2893" s="2" t="inlineStr">
        <is>
          <t>Кино_СССР сводный каталог.xlsx: список фильмов (доп.)</t>
        </is>
      </c>
      <c r="M2893" s="2">
        <f>HYPERLINK("https://ru.wikipedia.org/w/index.php?search=%D0%90%D0%B2%D1%81%D1%82%D1%80%D0%B8%D0%B9%D1%81%D0%BA%D0%BE%D0%B5%20%D0%BF%D0%BE%D0%BB%D0%B5%201991%20%D1%84%D0%B8%D0%BB%D1%8C%D0%BC","искать")</f>
        <v/>
      </c>
      <c r="N2893" s="3" t="n"/>
      <c r="O2893" s="2" t="n"/>
      <c r="P2893" s="2" t="n"/>
    </row>
    <row r="2894">
      <c r="A2894" s="2" t="n">
        <v>2893</v>
      </c>
      <c r="B2894" s="2" t="inlineStr">
        <is>
          <t>не сюжет</t>
        </is>
      </c>
      <c r="C2894" s="2" t="n">
        <v>9504</v>
      </c>
      <c r="D2894" s="3" t="inlineStr">
        <is>
          <t>Нет неизвестных солдат</t>
        </is>
      </c>
      <c r="E2894" s="2" t="n">
        <v>1965</v>
      </c>
      <c r="F2894" s="2" t="inlineStr">
        <is>
          <t>кинофильм</t>
        </is>
      </c>
      <c r="G2894" s="2" t="n"/>
      <c r="H2894" s="2" t="n">
        <v>331</v>
      </c>
      <c r="I2894" s="2" t="inlineStr"/>
      <c r="J2894" s="2" t="inlineStr">
        <is>
          <t>да</t>
        </is>
      </c>
      <c r="K2894" s="3" t="inlineStr">
        <is>
          <t>Прообраз героини - юная разведчица Герой Советского Союза Мария Боровиченко. События происходят во время обороны Киева в начале Великой Отечественной войны. По воспоминаниям дважды Героя Советского Союза генерал-полковника А.И.Родимцева (в литературной записи П.Северова) "Машенька из Мышеловки", опубликованных в журнале "Юность".</t>
        </is>
      </c>
      <c r="L2894" s="2" t="inlineStr">
        <is>
          <t>Кино_СССР сводный каталог.xlsx: список фильмов (доп.)</t>
        </is>
      </c>
      <c r="M2894" s="2">
        <f>HYPERLINK("https://ru.wikipedia.org/w/index.php?search=%D0%9D%D0%B5%D1%82%20%D0%BD%D0%B5%D0%B8%D0%B7%D0%B2%D0%B5%D1%81%D1%82%D0%BD%D1%8B%D1%85%20%D1%81%D0%BE%D0%BB%D0%B4%D0%B0%D1%82%201965%20%D1%84%D0%B8%D0%BB%D1%8C%D0%BC","искать")</f>
        <v/>
      </c>
      <c r="N2894" s="3" t="n"/>
      <c r="O2894" s="2" t="n"/>
      <c r="P2894" s="2" t="n"/>
    </row>
    <row r="2895">
      <c r="A2895" s="2" t="n">
        <v>2894</v>
      </c>
      <c r="B2895" s="2" t="inlineStr">
        <is>
          <t>не сюжет</t>
        </is>
      </c>
      <c r="C2895" s="2" t="n">
        <v>9542</v>
      </c>
      <c r="D2895" s="3" t="inlineStr">
        <is>
          <t>Панцирь</t>
        </is>
      </c>
      <c r="E2895" s="2" t="n">
        <v>1990</v>
      </c>
      <c r="F2895" s="2" t="inlineStr">
        <is>
          <t>кинофильм</t>
        </is>
      </c>
      <c r="G2895" s="2" t="n"/>
      <c r="H2895" s="2" t="n">
        <v>331</v>
      </c>
      <c r="I2895" s="2" t="inlineStr"/>
      <c r="J2895" s="2" t="inlineStr">
        <is>
          <t>да</t>
        </is>
      </c>
      <c r="K2895" s="3" t="inlineStr">
        <is>
          <t>Подобно Виму Вендерсу Игорь Алимпиев снял свой фильм «с точки зрения ангелов». Ангелы наблюдают за тысячами людей и способны не только видеть, но воспринимать потаенные мысли и чувства. Сон и явь под их взором неразличимы. Сон влечет тем, что в нем можно летать; это, впрочем, обман: сон сковывает тело, берет в плен неподвижности.</t>
        </is>
      </c>
      <c r="L2895" s="2" t="inlineStr">
        <is>
          <t>Кино_СССР сводный каталог.xlsx: список фильмов (доп.)</t>
        </is>
      </c>
      <c r="M2895" s="2">
        <f>HYPERLINK("https://ru.wikipedia.org/w/index.php?search=%D0%9F%D0%B0%D0%BD%D1%86%D0%B8%D1%80%D1%8C%201990%20%D1%84%D0%B8%D0%BB%D1%8C%D0%BC","искать")</f>
        <v/>
      </c>
      <c r="N2895" s="3" t="n"/>
      <c r="O2895" s="2" t="n"/>
      <c r="P2895" s="2" t="n"/>
    </row>
    <row r="2896">
      <c r="A2896" s="2" t="n">
        <v>2895</v>
      </c>
      <c r="B2896" s="2" t="inlineStr">
        <is>
          <t>не сюжет</t>
        </is>
      </c>
      <c r="C2896" s="2" t="n">
        <v>10162</v>
      </c>
      <c r="D2896" s="3" t="inlineStr">
        <is>
          <t>Весна и оперетта</t>
        </is>
      </c>
      <c r="E2896" s="2" t="n">
        <v>1966</v>
      </c>
      <c r="F2896" s="2" t="inlineStr">
        <is>
          <t>фильм-спектакль</t>
        </is>
      </c>
      <c r="G2896" s="2" t="n"/>
      <c r="H2896" s="2" t="n">
        <v>333</v>
      </c>
      <c r="I2896" s="2" t="inlineStr"/>
      <c r="J2896" s="2" t="inlineStr">
        <is>
          <t>да</t>
        </is>
      </c>
      <c r="K2896" s="3" t="inlineStr">
        <is>
          <t>В этот прекрасный весенний вечер звучат отрывки из известных оперетт, в исполнении Мастеров советских времен, в том числе - незабываемого, любимого с детских лет, Николая Каширского, молодой восходящей звезды Московской оперетты Татьяны Шмыги, удивительных тембральных возможностей голоса - Евгения Кибкало и других советских певцов.</t>
        </is>
      </c>
      <c r="L2896" s="2" t="inlineStr">
        <is>
          <t>https://www.kino-teatr.ru/teatr/movie/99687/annot/</t>
        </is>
      </c>
      <c r="M2896" s="2">
        <f>HYPERLINK("https://ru.wikipedia.org/w/index.php?search=%D0%92%D0%B5%D1%81%D0%BD%D0%B0%20%D0%B8%20%D0%BE%D0%BF%D0%B5%D1%80%D0%B5%D1%82%D1%82%D0%B0%201966%20%D1%84%D0%B8%D0%BB%D1%8C%D0%BC","искать")</f>
        <v/>
      </c>
      <c r="N2896" s="3" t="n"/>
      <c r="O2896" s="2" t="n"/>
      <c r="P2896" s="2" t="n"/>
    </row>
    <row r="2897">
      <c r="A2897" s="2" t="n">
        <v>2896</v>
      </c>
      <c r="B2897" s="2" t="inlineStr">
        <is>
          <t>не сюжет</t>
        </is>
      </c>
      <c r="C2897" s="2" t="n">
        <v>10465</v>
      </c>
      <c r="D2897" s="3" t="inlineStr">
        <is>
          <t>Р РµРІРёР·РѕСЂ. РЎС†РµРЅС‹ РёР· СЃРїРµРєС‚Р°РєР»СЏ</t>
        </is>
      </c>
      <c r="E2897" s="2" t="n">
        <v>1972</v>
      </c>
      <c r="F2897" s="2" t="inlineStr">
        <is>
          <t>фильм-спектакль</t>
        </is>
      </c>
      <c r="G2897" s="2" t="n"/>
      <c r="H2897" s="2" t="n">
        <v>333</v>
      </c>
      <c r="I2897" s="2" t="inlineStr"/>
      <c r="J2897" s="2" t="inlineStr">
        <is>
          <t>да</t>
        </is>
      </c>
      <c r="K2897" s="3" t="inlineStr">
        <is>
          <t>РЎС†РµРЅС‹ РёР· СЃРїРµРєС‚Р°РєР»СЏ "Р РµРІРёР·РѕСЂ" РїРѕ РїСЊРµСЃРµ Рќ.Р“РѕРіРѕР»СЏ Р›РµРЅРёРЅРіСЂР°РґСЃРєРѕРіРѕ Р°РєР°РґРµРјРёС‡РµСЃРєРѕРіРѕ Р‘РѕР»СЊС€РѕРіРѕ РґСЂР°РјР°С‚РёС‡РµСЃРєРѕРіРѕ С‚РµР°С‚СЂР° РёРјРµРЅРё Рњ.Р“РѕСЂСЊРєРѕРіРѕ РІ РїРѕСЃС‚Р°РЅРѕРІРєРµ РіР»Р°РІРЅРѕРіРѕ СЂРµР¶РёСЃСЃРµСЂР° Р“РµРѕСЂРіРёСЏ РўРѕРІСЃС‚РѕРЅРѕРіРѕРІР° .</t>
        </is>
      </c>
      <c r="L2897" s="2" t="inlineStr">
        <is>
          <t>https://www.kino-teatr.ru/teatr/movie/102014/annot/</t>
        </is>
      </c>
      <c r="M2897" s="2">
        <f>HYPERLINK("https://ru.wikipedia.org/w/index.php?search=%D0%A0%20%D0%A0%C2%B5%D0%A0%D0%86%D0%A0%D1%91%D0%A0%C2%B7%D0%A0%D1%95%D0%A1%D0%82.%20%D0%A0%D0%8E%D0%A1%E2%80%A0%D0%A0%C2%B5%D0%A0%D0%85%D0%A1%E2%80%B9%20%D0%A0%D1%91%D0%A0%C2%B7%20%D0%A1%D0%83%D0%A0%D1%97%D0%A0%C2%B5%D0%A0%D1%94%D0%A1%E2%80%9A%D0%A0%C2%B0%D0%A0%D1%94%D0%A0%C2%BB%D0%A1%D0%8F%201972%20%D1%84%D0%B8%D0%BB%D1%8C%D0%BC","искать")</f>
        <v/>
      </c>
      <c r="N2897" s="3" t="n"/>
      <c r="O2897" s="2" t="n"/>
      <c r="P2897" s="2" t="n"/>
    </row>
    <row r="2898">
      <c r="A2898" s="2" t="n">
        <v>2897</v>
      </c>
      <c r="B2898" s="2" t="inlineStr">
        <is>
          <t>не сюжет</t>
        </is>
      </c>
      <c r="C2898" s="2" t="n">
        <v>8748</v>
      </c>
      <c r="D2898" s="3" t="inlineStr">
        <is>
          <t>Исповедь</t>
        </is>
      </c>
      <c r="E2898" s="2" t="n">
        <v>1990</v>
      </c>
      <c r="F2898" s="2" t="inlineStr">
        <is>
          <t>кинофильм</t>
        </is>
      </c>
      <c r="G2898" s="2" t="n"/>
      <c r="H2898" s="2" t="n">
        <v>334</v>
      </c>
      <c r="I2898" s="2" t="inlineStr"/>
      <c r="J2898" s="2" t="inlineStr">
        <is>
          <t>да</t>
        </is>
      </c>
      <c r="K2898" s="3" t="inlineStr">
        <is>
          <t>Фильм был запущен в производство только в 1989 году. Параджанов успел поработать два съемочных дня, были отсняты первые 300 метров пленки и съемки были приостановлены из-за его резко прогрессирующей болезни. Оригинальный негатив включён в фильм "Параджанов: Последняя весна". Сценарий "Исповедь" Сергей Параджанов написал в 1969 году.</t>
        </is>
      </c>
      <c r="L2898" s="2" t="inlineStr">
        <is>
          <t>Кино_СССР сводный каталог.xlsx: список фильмов (доп.)</t>
        </is>
      </c>
      <c r="M2898" s="2">
        <f>HYPERLINK("https://ru.wikipedia.org/w/index.php?search=%D0%98%D1%81%D0%BF%D0%BE%D0%B2%D0%B5%D0%B4%D1%8C%201990%20%D1%84%D0%B8%D0%BB%D1%8C%D0%BC","искать")</f>
        <v/>
      </c>
      <c r="N2898" s="3" t="n"/>
      <c r="O2898" s="2" t="n"/>
      <c r="P2898" s="2" t="n"/>
    </row>
    <row r="2899">
      <c r="A2899" s="2" t="n">
        <v>2898</v>
      </c>
      <c r="B2899" s="2" t="inlineStr">
        <is>
          <t>не сюжет</t>
        </is>
      </c>
      <c r="C2899" s="2" t="n">
        <v>9322</v>
      </c>
      <c r="D2899" s="3" t="inlineStr">
        <is>
          <t>Дамский портной</t>
        </is>
      </c>
      <c r="E2899" s="2" t="n">
        <v>1990</v>
      </c>
      <c r="F2899" s="2" t="inlineStr">
        <is>
          <t>кинофильм</t>
        </is>
      </c>
      <c r="G2899" s="2" t="n"/>
      <c r="H2899" s="2" t="n">
        <v>337</v>
      </c>
      <c r="I2899" s="2" t="inlineStr"/>
      <c r="J2899" s="2" t="inlineStr">
        <is>
          <t>да</t>
        </is>
      </c>
      <c r="K2899" s="3" t="inlineStr">
        <is>
          <t>По одноименной пьесе А.Борщаговского.Согласно вывешенному обьявлению "все жиды города Киева и его окрестностей должны явиться 29 сентября 1941 года" в указанное место.В уютном доме дамского портного Исаака лишь хозяин понимает,что и он сам и его семья обречены на гибель и Исааку остается только помочь его родным достойно дойти до конца</t>
        </is>
      </c>
      <c r="L2899" s="2" t="inlineStr">
        <is>
          <t>https://gosfilmofond.ru/films/249136/</t>
        </is>
      </c>
      <c r="M2899" s="2">
        <f>HYPERLINK("https://ru.wikipedia.org/w/index.php?search=%D0%94%D0%B0%D0%BC%D1%81%D0%BA%D0%B8%D0%B9%20%D0%BF%D0%BE%D1%80%D1%82%D0%BD%D0%BE%D0%B9%201990%20%D1%84%D0%B8%D0%BB%D1%8C%D0%BC","искать")</f>
        <v/>
      </c>
      <c r="N2899" s="3" t="n"/>
      <c r="O2899" s="2" t="n"/>
      <c r="P2899" s="2" t="n"/>
    </row>
    <row r="2900">
      <c r="A2900" s="2" t="n">
        <v>2899</v>
      </c>
      <c r="B2900" s="2" t="inlineStr">
        <is>
          <t>не сюжет</t>
        </is>
      </c>
      <c r="C2900" s="2" t="n">
        <v>9298</v>
      </c>
      <c r="D2900" s="3" t="inlineStr">
        <is>
          <t>Гамбринус</t>
        </is>
      </c>
      <c r="E2900" s="2" t="n">
        <v>1990</v>
      </c>
      <c r="F2900" s="2" t="inlineStr">
        <is>
          <t>кинофильм</t>
        </is>
      </c>
      <c r="G2900" s="2" t="n"/>
      <c r="H2900" s="2" t="n">
        <v>338</v>
      </c>
      <c r="I2900" s="2" t="inlineStr"/>
      <c r="J2900" s="2" t="inlineStr">
        <is>
          <t>да</t>
        </is>
      </c>
      <c r="K2900" s="3" t="inlineStr">
        <is>
          <t>Музыкальная трагикомедия по мотивам одноименного рассказа А. И. Куприна. Начало XX века. В южном приморском городе кабачок "Гамбринус" знают все. Здесь всегда можно получить кружку свежего пива, встретиться с друзьям, перекинуться острым словцом с хозяйкой заведения мадам Ивановой и конечно же послушать неповторимую игру скрипача Сашки.</t>
        </is>
      </c>
      <c r="L2900" s="2" t="inlineStr">
        <is>
          <t>Кино_СССР сводный каталог.xlsx: список фильмов (доп.)</t>
        </is>
      </c>
      <c r="M2900" s="2">
        <f>HYPERLINK("https://ru.wikipedia.org/w/index.php?search=%D0%93%D0%B0%D0%BC%D0%B1%D1%80%D0%B8%D0%BD%D1%83%D1%81%201990%20%D1%84%D0%B8%D0%BB%D1%8C%D0%BC","искать")</f>
        <v/>
      </c>
      <c r="N2900" s="3" t="n"/>
      <c r="O2900" s="2" t="n"/>
      <c r="P2900" s="2" t="n"/>
    </row>
    <row r="2901">
      <c r="A2901" s="2" t="n">
        <v>2900</v>
      </c>
      <c r="B2901" s="2" t="inlineStr">
        <is>
          <t>не сюжет</t>
        </is>
      </c>
      <c r="C2901" s="2" t="n">
        <v>11235</v>
      </c>
      <c r="D2901" s="3" t="inlineStr">
        <is>
          <t>Чайка</t>
        </is>
      </c>
      <c r="E2901" s="2" t="n">
        <v>1988</v>
      </c>
      <c r="F2901" s="2" t="inlineStr">
        <is>
          <t>фильм-спектакль</t>
        </is>
      </c>
      <c r="G2901" s="2" t="inlineStr">
        <is>
          <t>Главная редакция литературно-драматических программ ЦТ</t>
        </is>
      </c>
      <c r="H2901" s="2" t="n">
        <v>339</v>
      </c>
      <c r="I2901" s="2" t="inlineStr"/>
      <c r="J2901" s="2" t="inlineStr">
        <is>
          <t>да</t>
        </is>
      </c>
      <c r="K2901" s="3" t="inlineStr">
        <is>
          <t>По одноименной пьесе А.Чехова в постановке Липецкого областного драматического театра имени Л.Н.Толстого.
Спектакль снят в мае 1988 года Центральным телевидением на пленэре в Мелихове. Липецкие актеры играли "Чайку" в усадьбе Антона Павловича Чехова - возле флигеля, где пьеса была написана.
Вступительное слово - литературовед В.Я.Лакшин.</t>
        </is>
      </c>
      <c r="L2901" s="2" t="inlineStr">
        <is>
          <t>https://www.kino-teatr.ru/teatr/movie/82061/annot/</t>
        </is>
      </c>
      <c r="M2901" s="2">
        <f>HYPERLINK("https://ru.wikipedia.org/w/index.php?search=%D0%A7%D0%B0%D0%B9%D0%BA%D0%B0%201988%20%D1%84%D0%B8%D0%BB%D1%8C%D0%BC","искать")</f>
        <v/>
      </c>
      <c r="N2901" s="3" t="n"/>
      <c r="O2901" s="2" t="n"/>
      <c r="P2901" s="2" t="n"/>
    </row>
    <row r="2902">
      <c r="A2902" s="2" t="n">
        <v>2901</v>
      </c>
      <c r="B2902" s="2" t="inlineStr">
        <is>
          <t>не сюжет</t>
        </is>
      </c>
      <c r="C2902" s="2" t="n">
        <v>8290</v>
      </c>
      <c r="D2902" s="3" t="inlineStr">
        <is>
          <t>Рядом с вами</t>
        </is>
      </c>
      <c r="E2902" s="2" t="n">
        <v>1967</v>
      </c>
      <c r="F2902" s="2" t="inlineStr">
        <is>
          <t>телефильм</t>
        </is>
      </c>
      <c r="G2902" s="2" t="inlineStr">
        <is>
          <t>Беларусьфильм</t>
        </is>
      </c>
      <c r="H2902" s="2" t="n">
        <v>344</v>
      </c>
      <c r="I2902" s="2" t="inlineStr"/>
      <c r="J2902" s="2" t="inlineStr">
        <is>
          <t>да</t>
        </is>
      </c>
      <c r="K2902" s="3" t="inlineStr">
        <is>
          <t>На одном из больших минских заводов в машбюро работают две сотрудницы, Катя - Екатерина Дмитриевна, постарше, и Нюся, помоложе. Они и живут вместе в Катиной комнате, в двухкомнатной квартире. Катя воевала, была замужем. Муж ее давно умер. Нюся живет воспоминаниями о Пете, с которым дружила, когда он проходил службу в армии в ее родном городе.</t>
        </is>
      </c>
      <c r="L2902" s="2" t="inlineStr">
        <is>
          <t>Кино_СССР сводный каталог.xlsx: список телефильмов</t>
        </is>
      </c>
      <c r="M2902" s="2">
        <f>HYPERLINK("https://ru.wikipedia.org/w/index.php?search=%D0%A0%D1%8F%D0%B4%D0%BE%D0%BC%20%D1%81%20%D0%B2%D0%B0%D0%BC%D0%B8%201967%20%D1%84%D0%B8%D0%BB%D1%8C%D0%BC","искать")</f>
        <v/>
      </c>
      <c r="N2902" s="3" t="n"/>
      <c r="O2902" s="2" t="n"/>
      <c r="P2902" s="2" t="n"/>
    </row>
    <row r="2903">
      <c r="A2903" s="2" t="n">
        <v>2902</v>
      </c>
      <c r="B2903" s="2" t="inlineStr">
        <is>
          <t>не сюжет</t>
        </is>
      </c>
      <c r="C2903" s="2" t="n">
        <v>8579</v>
      </c>
      <c r="D2903" s="3" t="inlineStr">
        <is>
          <t>Шестнадцатилетние</t>
        </is>
      </c>
      <c r="E2903" s="2" t="n">
        <v>1986</v>
      </c>
      <c r="F2903" s="2" t="inlineStr">
        <is>
          <t>телефильм</t>
        </is>
      </c>
      <c r="G2903" s="2" t="n"/>
      <c r="H2903" s="2" t="n">
        <v>345</v>
      </c>
      <c r="I2903" s="2" t="inlineStr"/>
      <c r="J2903" s="2" t="inlineStr">
        <is>
          <t>да</t>
        </is>
      </c>
      <c r="K2903" s="3" t="inlineStr">
        <is>
          <t>Телесериал. Социально-приключенческий фильм о поколении 1930-х годов, о тех мальчиках, которых война и послевоенная классовая борьба слишком рано лишили детства, заставив взять на свои плечи непосильную ношу проблем взрослого мира. Действие первой серии происходит в довоенном Каунасе. Десятилетние мальчишки живут заботами своего детского мира.</t>
        </is>
      </c>
      <c r="L2903" s="2" t="inlineStr">
        <is>
          <t>Кино_СССР сводный каталог.xlsx: список телефильмов</t>
        </is>
      </c>
      <c r="M2903" s="2">
        <f>HYPERLINK("https://ru.wikipedia.org/w/index.php?search=%D0%A8%D0%B5%D1%81%D1%82%D0%BD%D0%B0%D0%B4%D1%86%D0%B0%D1%82%D0%B8%D0%BB%D0%B5%D1%82%D0%BD%D0%B8%D0%B5%201986%20%D1%84%D0%B8%D0%BB%D1%8C%D0%BC","искать")</f>
        <v/>
      </c>
      <c r="N2903" s="3" t="n"/>
      <c r="O2903" s="2" t="n"/>
      <c r="P2903" s="2" t="n"/>
    </row>
    <row r="2904">
      <c r="A2904" s="2" t="n">
        <v>2903</v>
      </c>
      <c r="B2904" s="2" t="inlineStr">
        <is>
          <t>не сюжет</t>
        </is>
      </c>
      <c r="C2904" s="2" t="n">
        <v>8721</v>
      </c>
      <c r="D2904" s="3" t="inlineStr">
        <is>
          <t>Женщина: вариант судьбы</t>
        </is>
      </c>
      <c r="E2904" s="2" t="n">
        <v>1991</v>
      </c>
      <c r="F2904" s="2" t="inlineStr">
        <is>
          <t>кинофильм</t>
        </is>
      </c>
      <c r="G2904" s="2" t="n"/>
      <c r="H2904" s="2" t="n">
        <v>346</v>
      </c>
      <c r="I2904" s="2" t="inlineStr"/>
      <c r="J2904" s="2" t="inlineStr">
        <is>
          <t>да</t>
        </is>
      </c>
      <c r="K2904" s="3" t="inlineStr">
        <is>
          <t>О съемках художественного фильма «Женщина: вариант судьбы», задуманного режиссером А. Трофимовым, который представляет наших современниц: Ирину Андрееву, народного депутата СССР, главного искусствоведа Общесоюзного дома моделей одежды, Эвелину Шац, президента компании «Чеккофильм», поэта, Ксению Муратову, профессора искусствоведения в Сорбонне.</t>
        </is>
      </c>
      <c r="L2904" s="2" t="inlineStr">
        <is>
          <t>Кино_СССР сводный каталог.xlsx: список фильмов (доп.)</t>
        </is>
      </c>
      <c r="M2904" s="2">
        <f>HYPERLINK("https://ru.wikipedia.org/w/index.php?search=%D0%96%D0%B5%D0%BD%D1%89%D0%B8%D0%BD%D0%B0%3A%20%D0%B2%D0%B0%D1%80%D0%B8%D0%B0%D0%BD%D1%82%20%D1%81%D1%83%D0%B4%D1%8C%D0%B1%D1%8B%201991%20%D1%84%D0%B8%D0%BB%D1%8C%D0%BC","искать")</f>
        <v/>
      </c>
      <c r="N2904" s="3" t="n"/>
      <c r="O2904" s="2" t="n"/>
      <c r="P2904" s="2" t="n"/>
    </row>
    <row r="2905">
      <c r="A2905" s="2" t="n">
        <v>2904</v>
      </c>
      <c r="B2905" s="2" t="inlineStr">
        <is>
          <t>не сюжет</t>
        </is>
      </c>
      <c r="C2905" s="2" t="n">
        <v>9452</v>
      </c>
      <c r="D2905" s="3" t="inlineStr">
        <is>
          <t>Лес</t>
        </is>
      </c>
      <c r="E2905" s="2" t="n">
        <v>1932</v>
      </c>
      <c r="F2905" s="2" t="inlineStr">
        <is>
          <t>кинофильм</t>
        </is>
      </c>
      <c r="G2905" s="2" t="n"/>
      <c r="H2905" s="2" t="n">
        <v>346</v>
      </c>
      <c r="I2905" s="2" t="inlineStr"/>
      <c r="J2905" s="2" t="inlineStr">
        <is>
          <t>да</t>
        </is>
      </c>
      <c r="K2905" s="3" t="inlineStr">
        <is>
          <t>Картина затрагивала сложные вопросы политико-воспитательной работы в крестьянской среде, показывала, в каких трудных условиях на лесоразработках происходила перековка сознания людей, оторванных от большого коллектива. По воспоминаниям С. А. Герасимова, картина возникла из его алтайских впечатлений во время работы над фильмом «Одна» в 1931 году.</t>
        </is>
      </c>
      <c r="L2905" s="2" t="inlineStr">
        <is>
          <t>Кино_СССР сводный каталог.xlsx: список фильмов (доп.)</t>
        </is>
      </c>
      <c r="M2905" s="2">
        <f>HYPERLINK("https://ru.wikipedia.org/w/index.php?search=%D0%9B%D0%B5%D1%81%201932%20%D1%84%D0%B8%D0%BB%D1%8C%D0%BC","искать")</f>
        <v/>
      </c>
      <c r="N2905" s="3" t="n"/>
      <c r="O2905" s="2" t="n"/>
      <c r="P2905" s="2" t="n"/>
    </row>
    <row r="2906">
      <c r="A2906" s="2" t="n">
        <v>2905</v>
      </c>
      <c r="B2906" s="2" t="inlineStr">
        <is>
          <t>не сюжет</t>
        </is>
      </c>
      <c r="C2906" s="2" t="n">
        <v>13054</v>
      </c>
      <c r="D2906" s="3" t="inlineStr">
        <is>
          <t>Умуркумурс (Был праздник яблок)</t>
        </is>
      </c>
      <c r="E2906" s="2" t="n">
        <v>1976</v>
      </c>
      <c r="F2906" s="2" t="inlineStr">
        <is>
          <t>мультфильм</t>
        </is>
      </c>
      <c r="G2906" s="2" t="inlineStr">
        <is>
          <t>РИЖСКАЯ КИНОСТУДИЯ</t>
        </is>
      </c>
      <c r="H2906" s="2" t="n">
        <v>350</v>
      </c>
      <c r="I2906" s="2" t="inlineStr"/>
      <c r="J2906" s="2" t="inlineStr">
        <is>
          <t>да</t>
        </is>
      </c>
      <c r="K2906" s="3" t="inlineStr">
        <is>
          <t>Х ВКФ, Рига 1977 - Первая премия по разделу мультипликационных фильмов; дипломы - "За лучшую операторскую работу", "За высокое мастерство кукловодов", "За глубокое раскрытие персонажей в объемной мультипликации". Международный салон мультипликации в Лукке (Италия) 1978 - Диплом. Гос.премия Латв.ССР 1987 года за программу фильмов режиссеру А.Буровсу</t>
        </is>
      </c>
      <c r="L2906" s="2" t="inlineStr">
        <is>
          <t>https://animator.ru/db/?p=show_film&amp;fid=4286</t>
        </is>
      </c>
      <c r="M2906" s="2">
        <f>HYPERLINK("https://ru.wikipedia.org/w/index.php?search=%D0%A3%D0%BC%D1%83%D1%80%D0%BA%D1%83%D0%BC%D1%83%D1%80%D1%81%20%28%D0%91%D1%8B%D0%BB%20%D0%BF%D1%80%D0%B0%D0%B7%D0%B4%D0%BD%D0%B8%D0%BA%20%D1%8F%D0%B1%D0%BB%D0%BE%D0%BA%29%201976%20%D1%84%D0%B8%D0%BB%D1%8C%D0%BC","искать")</f>
        <v/>
      </c>
      <c r="N2906" s="3" t="n"/>
      <c r="O2906" s="2" t="n"/>
      <c r="P2906" s="2" t="n"/>
    </row>
    <row r="2907">
      <c r="A2907" s="2" t="n">
        <v>2906</v>
      </c>
      <c r="B2907" s="2" t="inlineStr">
        <is>
          <t>не сюжет</t>
        </is>
      </c>
      <c r="C2907" s="2" t="n">
        <v>10211</v>
      </c>
      <c r="D2907" s="3" t="inlineStr">
        <is>
          <t>Ноев Ковчег</t>
        </is>
      </c>
      <c r="E2907" s="2" t="n">
        <v>1967</v>
      </c>
      <c r="F2907" s="2" t="inlineStr">
        <is>
          <t>фильм-спектакль</t>
        </is>
      </c>
      <c r="G2907" s="2" t="inlineStr">
        <is>
          <t>Ленинградское телевидение</t>
        </is>
      </c>
      <c r="H2907" s="2" t="n">
        <v>351</v>
      </c>
      <c r="I2907" s="2" t="inlineStr"/>
      <c r="J2907" s="2" t="inlineStr">
        <is>
          <t>да</t>
        </is>
      </c>
      <c r="K2907" s="3" t="inlineStr">
        <is>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is>
      </c>
      <c r="L2907" s="2" t="inlineStr">
        <is>
          <t>https://www.kino-teatr.ru/teatr/movie/119518/annot/</t>
        </is>
      </c>
      <c r="M2907" s="2">
        <f>HYPERLINK("https://ru.wikipedia.org/w/index.php?search=%D0%9D%D0%BE%D0%B5%D0%B2%20%D0%9A%D0%BE%D0%B2%D1%87%D0%B5%D0%B3%201967%20%D1%84%D0%B8%D0%BB%D1%8C%D0%BC","искать")</f>
        <v/>
      </c>
      <c r="N2907" s="3" t="n"/>
      <c r="O2907" s="2" t="n"/>
      <c r="P2907" s="2" t="n"/>
    </row>
    <row r="2908">
      <c r="A2908" s="2" t="n">
        <v>2907</v>
      </c>
      <c r="B2908" s="2" t="inlineStr">
        <is>
          <t>не сюжет</t>
        </is>
      </c>
      <c r="C2908" s="2" t="n">
        <v>10410</v>
      </c>
      <c r="D2908" s="3" t="inlineStr">
        <is>
          <t>Ограбление в полночь</t>
        </is>
      </c>
      <c r="E2908" s="2" t="n">
        <v>1971</v>
      </c>
      <c r="F2908" s="2" t="inlineStr">
        <is>
          <t>фильм-спектакль</t>
        </is>
      </c>
      <c r="G2908" s="2" t="inlineStr">
        <is>
          <t>Ленинградское ТВ</t>
        </is>
      </c>
      <c r="H2908" s="2" t="n">
        <v>351</v>
      </c>
      <c r="I2908" s="2" t="inlineStr"/>
      <c r="J2908" s="2" t="inlineStr">
        <is>
          <t>да</t>
        </is>
      </c>
      <c r="K2908" s="3" t="inlineStr">
        <is>
          <t>Телеспектакль по водевилю югославского драматурга Мирослава Мировича
"Вор в положении, или ограбление в полночь".
Через семь лет после выхода телеспектакля режиссер Александр Белинский ещё раз осуществит постановку водевиля, но уже в виде художественного фильма. Роль, исполненную в телеспектакле Людмилой Сенчиной, в фильме сыграет Ирина Понаровская.</t>
        </is>
      </c>
      <c r="L2908" s="2" t="inlineStr">
        <is>
          <t>https://www.kino-teatr.ru/teatr/movie/37715/annot/</t>
        </is>
      </c>
      <c r="M2908" s="2">
        <f>HYPERLINK("https://ru.wikipedia.org/w/index.php?search=%D0%9E%D0%B3%D1%80%D0%B0%D0%B1%D0%BB%D0%B5%D0%BD%D0%B8%D0%B5%20%D0%B2%20%D0%BF%D0%BE%D0%BB%D0%BD%D0%BE%D1%87%D1%8C%201971%20%D1%84%D0%B8%D0%BB%D1%8C%D0%BC","искать")</f>
        <v/>
      </c>
      <c r="N2908" s="3" t="n"/>
      <c r="O2908" s="2" t="n"/>
      <c r="P2908" s="2" t="n"/>
    </row>
    <row r="2909">
      <c r="A2909" s="2" t="n">
        <v>2908</v>
      </c>
      <c r="B2909" s="2" t="inlineStr">
        <is>
          <t>не сюжет</t>
        </is>
      </c>
      <c r="C2909" s="2" t="n">
        <v>7509</v>
      </c>
      <c r="D2909" s="3" t="inlineStr">
        <is>
          <t>Дети солнца</t>
        </is>
      </c>
      <c r="E2909" s="2" t="n">
        <v>1985</v>
      </c>
      <c r="F2909" s="2" t="inlineStr">
        <is>
          <t>телефильм</t>
        </is>
      </c>
      <c r="G2909" s="2" t="n"/>
      <c r="H2909" s="2" t="n">
        <v>353</v>
      </c>
      <c r="I2909" s="2" t="inlineStr"/>
      <c r="J2909" s="2" t="inlineStr">
        <is>
          <t>да</t>
        </is>
      </c>
      <c r="K2909" s="3" t="inlineStr">
        <is>
          <t>Телевизионная драма по одноименной пьесе М. Горького. 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is>
      </c>
      <c r="L2909" s="2" t="inlineStr">
        <is>
          <t>Кино_СССР сводный каталог.xlsx: список телефильмов</t>
        </is>
      </c>
      <c r="M2909" s="2">
        <f>HYPERLINK("https://ru.wikipedia.org/w/index.php?search=%D0%94%D0%B5%D1%82%D0%B8%20%D1%81%D0%BE%D0%BB%D0%BD%D1%86%D0%B0%201985%20%D1%84%D0%B8%D0%BB%D1%8C%D0%BC","искать")</f>
        <v/>
      </c>
      <c r="N2909" s="3" t="n"/>
      <c r="O2909" s="2" t="n"/>
      <c r="P2909" s="2" t="n"/>
    </row>
    <row r="2910">
      <c r="A2910" s="2" t="n">
        <v>2909</v>
      </c>
      <c r="B2910" s="2" t="inlineStr">
        <is>
          <t>не сюжет</t>
        </is>
      </c>
      <c r="C2910" s="2" t="n">
        <v>9259</v>
      </c>
      <c r="D2910" s="3" t="inlineStr">
        <is>
          <t>В горах говорят</t>
        </is>
      </c>
      <c r="E2910" s="2" t="n">
        <v>1930</v>
      </c>
      <c r="F2910" s="2" t="inlineStr">
        <is>
          <t>кинофильм</t>
        </is>
      </c>
      <c r="G2910" s="2" t="n"/>
      <c r="H2910" s="2" t="n">
        <v>353</v>
      </c>
      <c r="I2910" s="2" t="inlineStr"/>
      <c r="J2910" s="2" t="inlineStr">
        <is>
          <t>да</t>
        </is>
      </c>
      <c r="K2910" s="3" t="inlineStr">
        <is>
          <t>В режиссерской заявке на фильм его тема обозначена как «преодоление элементов недоверия горцев к русским через могущественное влияние красной казармы и влияние Красной Армии в оздоровлении аула». В «Киногазете» от 25.05.30 содержится утверждение, что фильм «как произведение клеветнически извращающее советскую действительность не был выпущен на экран».</t>
        </is>
      </c>
      <c r="L2910" s="2" t="inlineStr">
        <is>
          <t>Кино_СССР сводный каталог.xlsx: список фильмов (доп.)</t>
        </is>
      </c>
      <c r="M2910" s="2">
        <f>HYPERLINK("https://ru.wikipedia.org/w/index.php?search=%D0%92%20%D0%B3%D0%BE%D1%80%D0%B0%D1%85%20%D0%B3%D0%BE%D0%B2%D0%BE%D1%80%D1%8F%D1%82%201930%20%D1%84%D0%B8%D0%BB%D1%8C%D0%BC","искать")</f>
        <v/>
      </c>
      <c r="N2910" s="3" t="n"/>
      <c r="O2910" s="2" t="n"/>
      <c r="P2910" s="2" t="n"/>
    </row>
    <row r="2911">
      <c r="A2911" s="2" t="n">
        <v>2910</v>
      </c>
      <c r="B2911" s="2" t="inlineStr">
        <is>
          <t>не сюжет</t>
        </is>
      </c>
      <c r="C2911" s="2" t="n">
        <v>9798</v>
      </c>
      <c r="D2911" s="3" t="inlineStr">
        <is>
          <t>Баллада о песне</t>
        </is>
      </c>
      <c r="E2911" s="2" t="n">
        <v>1981</v>
      </c>
      <c r="F2911" s="2" t="inlineStr">
        <is>
          <t>телефильм</t>
        </is>
      </c>
      <c r="G2911" s="2" t="inlineStr">
        <is>
          <t>Экран</t>
        </is>
      </c>
      <c r="H2911" s="2" t="n">
        <v>353</v>
      </c>
      <c r="I2911" s="2" t="inlineStr"/>
      <c r="J2911" s="2" t="inlineStr">
        <is>
          <t>да</t>
        </is>
      </c>
      <c r="K2911" s="3" t="inlineStr">
        <is>
          <t>Литературно-музыкальное представление воплощает идею Театра песни.
Музыкально-публицистический рассказ о 1920-х, 40-х, 80-х годах.
Звучат песни на стихи Роберта Рождественского.
В фильме принимал участие московский ансамбль "Пластики и движения", ансамбль "Мелодия" под управлением Георгия Гараняна, ансамбль скрипачей под управлением Павла Овсянникова,</t>
        </is>
      </c>
      <c r="L2911" s="2" t="inlineStr">
        <is>
          <t>https://www.kino-teatr.ru/kino/movie/sov/112939/annot/</t>
        </is>
      </c>
      <c r="M2911" s="2">
        <f>HYPERLINK("https://ru.wikipedia.org/w/index.php?search=%D0%91%D0%B0%D0%BB%D0%BB%D0%B0%D0%B4%D0%B0%20%D0%BE%20%D0%BF%D0%B5%D1%81%D0%BD%D0%B5%201981%20%D1%84%D0%B8%D0%BB%D1%8C%D0%BC","искать")</f>
        <v/>
      </c>
      <c r="N2911" s="3" t="n"/>
      <c r="O2911" s="2" t="n"/>
      <c r="P2911" s="2" t="n"/>
    </row>
    <row r="2912">
      <c r="A2912" s="2" t="n">
        <v>2911</v>
      </c>
      <c r="B2912" s="2" t="inlineStr">
        <is>
          <t>не сюжет</t>
        </is>
      </c>
      <c r="C2912" s="2" t="n">
        <v>7654</v>
      </c>
      <c r="D2912" s="3" t="inlineStr">
        <is>
          <t>Золотое сердце</t>
        </is>
      </c>
      <c r="E2912" s="2" t="n">
        <v>1989</v>
      </c>
      <c r="F2912" s="2" t="inlineStr">
        <is>
          <t>телефильм</t>
        </is>
      </c>
      <c r="G2912" s="2" t="n"/>
      <c r="H2912" s="2" t="n">
        <v>354</v>
      </c>
      <c r="I2912" s="2" t="inlineStr"/>
      <c r="J2912" s="2" t="inlineStr">
        <is>
          <t>да</t>
        </is>
      </c>
      <c r="K2912" s="3" t="inlineStr">
        <is>
          <t>Фильм снят в театрализованной инсценировке и частично на стадионах во время концертов. София Ротару, играя автобиографическую роль певицы, продолжает использование новых музыкальных направлений, освоенных уже в фильме Монолог о любви и идёт дальше исполняя песни в откровенном жанре хард-рока. Фолк-поп проявляется в этом фильме только в песне "Ворожба".</t>
        </is>
      </c>
      <c r="L2912" s="2" t="inlineStr">
        <is>
          <t>Кино_СССР сводный каталог.xlsx: список телефильмов</t>
        </is>
      </c>
      <c r="M2912" s="2">
        <f>HYPERLINK("https://ru.wikipedia.org/w/index.php?search=%D0%97%D0%BE%D0%BB%D0%BE%D1%82%D0%BE%D0%B5%20%D1%81%D0%B5%D1%80%D0%B4%D1%86%D0%B5%201989%20%D1%84%D0%B8%D0%BB%D1%8C%D0%BC","искать")</f>
        <v/>
      </c>
      <c r="N2912" s="3" t="n"/>
      <c r="O2912" s="2" t="n"/>
      <c r="P2912" s="2" t="n"/>
    </row>
    <row r="2913">
      <c r="A2913" s="2" t="n">
        <v>2912</v>
      </c>
      <c r="B2913" s="2" t="inlineStr">
        <is>
          <t>не сюжет</t>
        </is>
      </c>
      <c r="C2913" s="2" t="n">
        <v>10499</v>
      </c>
      <c r="D2913" s="3" t="inlineStr">
        <is>
          <t>Записки охотника</t>
        </is>
      </c>
      <c r="E2913" s="2" t="n">
        <v>1973</v>
      </c>
      <c r="F2913" s="2" t="inlineStr">
        <is>
          <t>фильм-спектакль</t>
        </is>
      </c>
      <c r="G2913" s="2" t="inlineStr">
        <is>
          <t>Центральное телевидение</t>
        </is>
      </c>
      <c r="H2913" s="2" t="n">
        <v>354</v>
      </c>
      <c r="I2913" s="2" t="inlineStr"/>
      <c r="J2913" s="2" t="inlineStr">
        <is>
          <t>да</t>
        </is>
      </c>
      <c r="K2913" s="3" t="inlineStr">
        <is>
          <t>Этот цикл рассказов Ивана Тургенева считается образцом русской классической прозы.
Ведь в каждом произведении - потрясающие истории, рассказанные автору знакомыми помещиками, где раскрываются величественная красота и обаяние русской души.
Телеспектакль создан по трём рассказам Тургенева: "Свидание", "Петр Петрович Каратаев", "Гамлет Щигровского уезда".</t>
        </is>
      </c>
      <c r="L2913" s="2" t="inlineStr">
        <is>
          <t>https://www.kino-teatr.ru/teatr/movie/135124/annot/</t>
        </is>
      </c>
      <c r="M2913" s="2">
        <f>HYPERLINK("https://ru.wikipedia.org/w/index.php?search=%D0%97%D0%B0%D0%BF%D0%B8%D1%81%D0%BA%D0%B8%20%D0%BE%D1%85%D0%BE%D1%82%D0%BD%D0%B8%D0%BA%D0%B0%201973%20%D1%84%D0%B8%D0%BB%D1%8C%D0%BC","искать")</f>
        <v/>
      </c>
      <c r="N2913" s="3" t="n"/>
      <c r="O2913" s="2" t="n"/>
      <c r="P2913" s="2" t="n"/>
    </row>
    <row r="2914">
      <c r="A2914" s="2" t="n">
        <v>2913</v>
      </c>
      <c r="B2914" s="2" t="inlineStr">
        <is>
          <t>не сюжет</t>
        </is>
      </c>
      <c r="C2914" s="2" t="n">
        <v>8811</v>
      </c>
      <c r="D2914" s="3" t="inlineStr">
        <is>
          <t>Мадо, до востребования</t>
        </is>
      </c>
      <c r="E2914" s="2" t="n">
        <v>1989</v>
      </c>
      <c r="F2914" s="2" t="inlineStr">
        <is>
          <t>кинофильм</t>
        </is>
      </c>
      <c r="G2914" s="2" t="n"/>
      <c r="H2914" s="2" t="n">
        <v>356</v>
      </c>
      <c r="I2914" s="2" t="inlineStr"/>
      <c r="J2914" s="2" t="inlineStr">
        <is>
          <t>да</t>
        </is>
      </c>
      <c r="K2914" s="3" t="inlineStr">
        <is>
          <t>По роману Симоны Арес "Мадо". В небольшой французской деревушке живет юная добродушная толстушка Мадо. Выросшая без родителей в монастыре, она работает на почте, учит ребятишек читать и писать и мечтает о прекрасном принце, который когда-нибудь появится в ее жизни. А пока Мадо некогда скучать: вокруг столько людей и каждому она, хоть чем-то может помочь.</t>
        </is>
      </c>
      <c r="L2914" s="2" t="inlineStr">
        <is>
          <t>Кино_СССР сводный каталог.xlsx: список фильмов (доп.)</t>
        </is>
      </c>
      <c r="M2914" s="2">
        <f>HYPERLINK("https://ru.wikipedia.org/w/index.php?search=%D0%9C%D0%B0%D0%B4%D0%BE%2C%20%D0%B4%D0%BE%20%D0%B2%D0%BE%D1%81%D1%82%D1%80%D0%B5%D0%B1%D0%BE%D0%B2%D0%B0%D0%BD%D0%B8%D1%8F%201989%20%D1%84%D0%B8%D0%BB%D1%8C%D0%BC","искать")</f>
        <v/>
      </c>
      <c r="N2914" s="3" t="n"/>
      <c r="O2914" s="2" t="n"/>
      <c r="P2914" s="2" t="n"/>
    </row>
    <row r="2915">
      <c r="A2915" s="2" t="n">
        <v>2914</v>
      </c>
      <c r="B2915" s="2" t="inlineStr">
        <is>
          <t>не сюжет</t>
        </is>
      </c>
      <c r="C2915" s="2" t="n">
        <v>9654</v>
      </c>
      <c r="D2915" s="3" t="inlineStr">
        <is>
          <t>Смерч</t>
        </is>
      </c>
      <c r="E2915" s="2" t="n">
        <v>1988</v>
      </c>
      <c r="F2915" s="2" t="inlineStr">
        <is>
          <t>кинофильм</t>
        </is>
      </c>
      <c r="G2915" s="2" t="n"/>
      <c r="H2915" s="2" t="n">
        <v>357</v>
      </c>
      <c r="I2915" s="2" t="inlineStr"/>
      <c r="J2915" s="2" t="inlineStr">
        <is>
          <t>да</t>
        </is>
      </c>
      <c r="K2915" s="3" t="inlineStr">
        <is>
          <t>Этот фильм в свое время попал в одну из параллельных программ Каннского кинофестиваля. В создании сценария принял участие Чингиз Айтматов, сочетающий в своих произведениях реалии Востока и философию христианской цивилизации. Слоняющееся по пустыне непонятное племя людей, называющих себя Смерчем нуждается не в еде, одежде и крове, а в смысле существования.</t>
        </is>
      </c>
      <c r="L2915" s="2" t="inlineStr">
        <is>
          <t>Кино_СССР сводный каталог.xlsx: список фильмов (доп.)</t>
        </is>
      </c>
      <c r="M2915" s="2">
        <f>HYPERLINK("https://ru.wikipedia.org/w/index.php?search=%D0%A1%D0%BC%D0%B5%D1%80%D1%87%201988%20%D1%84%D0%B8%D0%BB%D1%8C%D0%BC","искать")</f>
        <v/>
      </c>
      <c r="N2915" s="3" t="n"/>
      <c r="O2915" s="2" t="n"/>
      <c r="P2915" s="2" t="n"/>
    </row>
    <row r="2916">
      <c r="A2916" s="2" t="n">
        <v>2915</v>
      </c>
      <c r="B2916" s="2" t="inlineStr">
        <is>
          <t>не сюжет</t>
        </is>
      </c>
      <c r="C2916" s="2" t="n">
        <v>7362</v>
      </c>
      <c r="D2916" s="3" t="inlineStr">
        <is>
          <t>Волны Чёрного моря</t>
        </is>
      </c>
      <c r="E2916" s="2" t="n">
        <v>1975</v>
      </c>
      <c r="F2916" s="2" t="inlineStr">
        <is>
          <t>телефильм</t>
        </is>
      </c>
      <c r="G2916" s="2" t="n"/>
      <c r="H2916" s="2" t="n">
        <v>358</v>
      </c>
      <c r="I2916" s="2" t="inlineStr"/>
      <c r="J2916" s="2" t="inlineStr">
        <is>
          <t>да</t>
        </is>
      </c>
      <c r="K2916" s="3" t="inlineStr">
        <is>
          <t>Многосерийный телевизионный фильм по мотивам трех романов тетралогии "Волны Черного моря" Валентина Катаева: "Белеет парус одинокий", "Зимний ветер", "За власть Советов" ("Катакомбы"). Главными героями фильма стали одесские мальчишки - гимназист Петя Бачей и маленький сын рыбака Гаврик Черноиваненко, отчаянно смелый, энергичный, предприимчивый, находчивый.</t>
        </is>
      </c>
      <c r="L2916" s="2" t="inlineStr">
        <is>
          <t>Кино_СССР сводный каталог.xlsx: список телефильмов</t>
        </is>
      </c>
      <c r="M2916" s="2">
        <f>HYPERLINK("https://ru.wikipedia.org/w/index.php?search=%D0%92%D0%BE%D0%BB%D0%BD%D1%8B%20%D0%A7%D1%91%D1%80%D0%BD%D0%BE%D0%B3%D0%BE%20%D0%BC%D0%BE%D1%80%D1%8F%201975%20%D1%84%D0%B8%D0%BB%D1%8C%D0%BC","искать")</f>
        <v/>
      </c>
      <c r="N2916" s="3" t="n"/>
      <c r="O2916" s="2" t="n"/>
      <c r="P2916" s="2" t="n"/>
    </row>
    <row r="2917">
      <c r="A2917" s="2" t="n">
        <v>2916</v>
      </c>
      <c r="B2917" s="2" t="inlineStr">
        <is>
          <t>не сюжет</t>
        </is>
      </c>
      <c r="C2917" s="2" t="n">
        <v>9220</v>
      </c>
      <c r="D2917" s="3" t="inlineStr">
        <is>
          <t>Барышня и хулиган</t>
        </is>
      </c>
      <c r="E2917" s="2" t="n">
        <v>1918</v>
      </c>
      <c r="F2917" s="2" t="inlineStr">
        <is>
          <t>кинофильм</t>
        </is>
      </c>
      <c r="G2917" s="2" t="n"/>
      <c r="H2917" s="2" t="n">
        <v>360</v>
      </c>
      <c r="I2917" s="2" t="inlineStr"/>
      <c r="J2917" s="2" t="inlineStr">
        <is>
          <t>да</t>
        </is>
      </c>
      <c r="K2917" s="3" t="inlineStr">
        <is>
          <t>Фильм снимался без сценария, по повести Э. де Амичиса "Учительница рабочих", которую прямо на ходу приспосабливали к реалиям России. Этот фильм дошел до наших дней (правда, не сохранились титры). Маяковский сделал акцент на противоречиях в характере героя: сочетании анархо-индивидуалистического бунтарства с трогательной самоотверженной любовью к учительнице.</t>
        </is>
      </c>
      <c r="L2917" s="2" t="inlineStr">
        <is>
          <t>Кино_СССР сводный каталог.xlsx: список фильмов (доп.)</t>
        </is>
      </c>
      <c r="M2917" s="2">
        <f>HYPERLINK("https://ru.wikipedia.org/w/index.php?search=%D0%91%D0%B0%D1%80%D1%8B%D1%88%D0%BD%D1%8F%20%D0%B8%20%D1%85%D1%83%D0%BB%D0%B8%D0%B3%D0%B0%D0%BD%201918%20%D1%84%D0%B8%D0%BB%D1%8C%D0%BC","искать")</f>
        <v/>
      </c>
      <c r="N2917" s="3" t="n"/>
      <c r="O2917" s="2" t="n"/>
      <c r="P2917" s="2" t="n"/>
    </row>
    <row r="2918">
      <c r="A2918" s="2" t="n">
        <v>2917</v>
      </c>
      <c r="B2918" s="2" t="inlineStr">
        <is>
          <t>не сюжет</t>
        </is>
      </c>
      <c r="C2918" s="2" t="n">
        <v>7997</v>
      </c>
      <c r="D2918" s="3" t="inlineStr">
        <is>
          <t>Никколо Паганини</t>
        </is>
      </c>
      <c r="E2918" s="2" t="n">
        <v>1982</v>
      </c>
      <c r="F2918" s="2" t="inlineStr">
        <is>
          <t>телефильм</t>
        </is>
      </c>
      <c r="G2918" s="2" t="n"/>
      <c r="H2918" s="2" t="n">
        <v>361</v>
      </c>
      <c r="I2918" s="2" t="inlineStr"/>
      <c r="J2918" s="2" t="inlineStr">
        <is>
          <t>да</t>
        </is>
      </c>
      <c r="K2918" s="3" t="inlineStr">
        <is>
          <t>Биографический фильм о великом итальянском скрипаче и композиторе Никколо Паганини (1782-1840). Партию скрипки исполняет Леонид Коган. Картина «Никколо Паганини» стала одной из самых приметных премьер своего времени. И причин тому немало. Главная, пожалуй, в том, что лента, приуроченная к 200-летию знаменитого скрипача, начисто лишена холодной мемориальности.</t>
        </is>
      </c>
      <c r="L2918" s="2" t="inlineStr">
        <is>
          <t>Кино_СССР сводный каталог.xlsx: список телефильмов</t>
        </is>
      </c>
      <c r="M2918" s="2">
        <f>HYPERLINK("https://ru.wikipedia.org/w/index.php?search=%D0%9D%D0%B8%D0%BA%D0%BA%D0%BE%D0%BB%D0%BE%20%D0%9F%D0%B0%D0%B3%D0%B0%D0%BD%D0%B8%D0%BD%D0%B8%201982%20%D1%84%D0%B8%D0%BB%D1%8C%D0%BC","искать")</f>
        <v/>
      </c>
      <c r="N2918" s="3" t="n"/>
      <c r="O2918" s="2" t="n"/>
      <c r="P2918" s="2" t="n"/>
    </row>
    <row r="2919">
      <c r="A2919" s="2" t="n">
        <v>2918</v>
      </c>
      <c r="B2919" s="2" t="inlineStr">
        <is>
          <t>не сюжет</t>
        </is>
      </c>
      <c r="C2919" s="2" t="n">
        <v>7460</v>
      </c>
      <c r="D2919" s="3" t="inlineStr">
        <is>
          <t>Государственная граница</t>
        </is>
      </c>
      <c r="E2919" s="2" t="n">
        <v>1980</v>
      </c>
      <c r="F2919" s="2" t="inlineStr">
        <is>
          <t>телефильм</t>
        </is>
      </c>
      <c r="G2919" s="2" t="n"/>
      <c r="H2919" s="2" t="n">
        <v>363</v>
      </c>
      <c r="I2919" s="2" t="inlineStr"/>
      <c r="J2919" s="2" t="inlineStr">
        <is>
          <t>да</t>
        </is>
      </c>
      <c r="K2919" s="3" t="inlineStr">
        <is>
          <t>Историко-приключенческий телевизионный сериал, снятый на киностудии «Беларусьфильм» в 1980—1988 годах и рассказывающий о службе советских пограничников. Действие происходит в период с 1917 года по конец 1980-х и разворачивается на территории СССР от Дальнего Востока до западных границ. Сериал состоит из восьми фильмов, объединённых главными действующими лицами.</t>
        </is>
      </c>
      <c r="L2919" s="2" t="inlineStr">
        <is>
          <t>Кино_СССР сводный каталог.xlsx: список телефильмов</t>
        </is>
      </c>
      <c r="M2919" s="2">
        <f>HYPERLINK("https://ru.wikipedia.org/w/index.php?search=%D0%93%D0%BE%D1%81%D1%83%D0%B4%D0%B0%D1%80%D1%81%D1%82%D0%B2%D0%B5%D0%BD%D0%BD%D0%B0%D1%8F%20%D0%B3%D1%80%D0%B0%D0%BD%D0%B8%D1%86%D0%B0%201980%20%D1%84%D0%B8%D0%BB%D1%8C%D0%BC","искать")</f>
        <v/>
      </c>
      <c r="N2919" s="3" t="n"/>
      <c r="O2919" s="2" t="n"/>
      <c r="P2919" s="2" t="n"/>
    </row>
    <row r="2920">
      <c r="A2920" s="2" t="n">
        <v>2919</v>
      </c>
      <c r="B2920" s="2" t="inlineStr">
        <is>
          <t>не сюжет</t>
        </is>
      </c>
      <c r="C2920" s="2" t="n">
        <v>9075</v>
      </c>
      <c r="D2920" s="3" t="inlineStr">
        <is>
          <t>Судьбинушка</t>
        </is>
      </c>
      <c r="E2920" s="2" t="n">
        <v>1989</v>
      </c>
      <c r="F2920" s="2" t="inlineStr">
        <is>
          <t>кинофильм</t>
        </is>
      </c>
      <c r="G2920" s="2" t="n"/>
      <c r="H2920" s="2" t="n">
        <v>364</v>
      </c>
      <c r="I2920" s="2" t="inlineStr"/>
      <c r="J2920" s="2" t="inlineStr">
        <is>
          <t>да</t>
        </is>
      </c>
      <c r="K2920" s="3" t="inlineStr">
        <is>
          <t>Биографическая мелодрама о судьбе выдающегося латышского фольклориста Кришьяниса Барона (1835-1923), посвятившего всю свою жизнь собиранию и изданию народных песен - дайн. Дайны - это поэтическая энциклопедия народной жизни, его историческая память, вековая мудрость целого народа. Барон много лет проработал в России - в Санкт-Петербурге и в Воронежской губернии.</t>
        </is>
      </c>
      <c r="L2920" s="2" t="inlineStr">
        <is>
          <t>Кино_СССР сводный каталог.xlsx: список фильмов (доп.)</t>
        </is>
      </c>
      <c r="M2920" s="2">
        <f>HYPERLINK("https://ru.wikipedia.org/w/index.php?search=%D0%A1%D1%83%D0%B4%D1%8C%D0%B1%D0%B8%D0%BD%D1%83%D1%88%D0%BA%D0%B0%201989%20%D1%84%D0%B8%D0%BB%D1%8C%D0%BC","искать")</f>
        <v/>
      </c>
      <c r="N2920" s="3" t="n"/>
      <c r="O2920" s="2" t="n"/>
      <c r="P2920" s="2" t="n"/>
    </row>
    <row r="2921">
      <c r="A2921" s="2" t="n">
        <v>2920</v>
      </c>
      <c r="B2921" s="2" t="inlineStr">
        <is>
          <t>не сюжет</t>
        </is>
      </c>
      <c r="C2921" s="2" t="n">
        <v>9330</v>
      </c>
      <c r="D2921" s="3" t="inlineStr">
        <is>
          <t>День рыбы</t>
        </is>
      </c>
      <c r="E2921" s="2" t="n">
        <v>1989</v>
      </c>
      <c r="F2921" s="2" t="inlineStr">
        <is>
          <t>кинофильм</t>
        </is>
      </c>
      <c r="G2921" s="2" t="n"/>
      <c r="H2921" s="2" t="n">
        <v>364</v>
      </c>
      <c r="I2921" s="2" t="inlineStr"/>
      <c r="J2921" s="2" t="inlineStr">
        <is>
          <t>да</t>
        </is>
      </c>
      <c r="K2921" s="3" t="inlineStr">
        <is>
          <t>По мотивам рассказов Й.Скаблаускайте. Героиня фильма Вероника относится к типу сильных современных женщин, которые умеют существовать в одиночку. За ее жизнь опасаться нечего: она выживет, выплывет... В фильме воплощены ставшие едва ли не банальными понятия - эмансипация, воля, ум, дарование - в судьбе человека, обреченного на безысходно обыденное существование.</t>
        </is>
      </c>
      <c r="L2921" s="2" t="inlineStr">
        <is>
          <t>Кино_СССР сводный каталог.xlsx: список фильмов (доп.)</t>
        </is>
      </c>
      <c r="M2921" s="2">
        <f>HYPERLINK("https://ru.wikipedia.org/w/index.php?search=%D0%94%D0%B5%D0%BD%D1%8C%20%D1%80%D1%8B%D0%B1%D1%8B%201989%20%D1%84%D0%B8%D0%BB%D1%8C%D0%BC","искать")</f>
        <v/>
      </c>
      <c r="N2921" s="3" t="n"/>
      <c r="O2921" s="2" t="n"/>
      <c r="P2921" s="2" t="n"/>
    </row>
    <row r="2922">
      <c r="A2922" s="2" t="n">
        <v>2921</v>
      </c>
      <c r="B2922" s="2" t="inlineStr">
        <is>
          <t>не сюжет</t>
        </is>
      </c>
      <c r="C2922" s="2" t="n">
        <v>10613</v>
      </c>
      <c r="D2922" s="3" t="inlineStr">
        <is>
          <t>Конармия</t>
        </is>
      </c>
      <c r="E2922" s="2" t="n">
        <v>1975</v>
      </c>
      <c r="F2922" s="2" t="inlineStr">
        <is>
          <t>фильм-спектакль</t>
        </is>
      </c>
      <c r="G2922" s="2" t="inlineStr">
        <is>
          <t>Гл. ред. литературно-драматических программ</t>
        </is>
      </c>
      <c r="H2922" s="2" t="n">
        <v>364</v>
      </c>
      <c r="I2922" s="2" t="inlineStr"/>
      <c r="J2922" s="2" t="inlineStr">
        <is>
          <t>да</t>
        </is>
      </c>
      <c r="K2922" s="3" t="inlineStr">
        <is>
          <t>Спектакль Государственного академического театра им. Евг. Вахтангова по мотивам автобиографической прозы Исаака Бабеля. Запись 1975 года.
Авторы, отказавшись, как и Бабель, от описания боев, упрощения и лакировки действительности, передают драматическую напряженность послереволюционных лет: взрыв проснувшейся человеческой энергии, трагические столкновения судеб.</t>
        </is>
      </c>
      <c r="L2922" s="2" t="inlineStr">
        <is>
          <t>https://www.kino-teatr.ru/teatr/movie/11422/annot/</t>
        </is>
      </c>
      <c r="M2922" s="2">
        <f>HYPERLINK("https://ru.wikipedia.org/w/index.php?search=%D0%9A%D0%BE%D0%BD%D0%B0%D1%80%D0%BC%D0%B8%D1%8F%201975%20%D1%84%D0%B8%D0%BB%D1%8C%D0%BC","искать")</f>
        <v/>
      </c>
      <c r="N2922" s="3" t="n"/>
      <c r="O2922" s="2" t="n"/>
      <c r="P2922" s="2" t="n"/>
    </row>
    <row r="2923">
      <c r="A2923" s="2" t="n">
        <v>2922</v>
      </c>
      <c r="B2923" s="2" t="inlineStr">
        <is>
          <t>не сюжет</t>
        </is>
      </c>
      <c r="C2923" s="2" t="n">
        <v>9308</v>
      </c>
      <c r="D2923" s="3" t="inlineStr">
        <is>
          <t>Год рождения 1917-й</t>
        </is>
      </c>
      <c r="E2923" s="2" t="n">
        <v>1932</v>
      </c>
      <c r="F2923" s="2" t="inlineStr">
        <is>
          <t>кинофильм</t>
        </is>
      </c>
      <c r="G2923" s="2" t="n"/>
      <c r="H2923" s="2" t="n">
        <v>366</v>
      </c>
      <c r="I2923" s="2" t="inlineStr"/>
      <c r="J2923" s="2" t="inlineStr">
        <is>
          <t>да</t>
        </is>
      </c>
      <c r="K2923" s="3" t="inlineStr">
        <is>
          <t>Агитпропфильм об участии детей в социалистическом соревновании и борьбе за выполнение промышленно-финансового плана. Заключение ГРК разыскать не удалось. По всей видимости, фильм был запрещен руководством студии.' - Е.Марголит, В.Шмыров '(Из'ятое кино). 1924-1953' М., 'Дубль-Д', 1995
Подробнее на Кино-Театр.РУ https://www.kino-teatr.ru/kino/movie/sov/11898/annot/</t>
        </is>
      </c>
      <c r="L2923" s="2" t="inlineStr">
        <is>
          <t>Кино_СССР сводный каталог.xlsx: список фильмов (доп.)</t>
        </is>
      </c>
      <c r="M2923" s="2">
        <f>HYPERLINK("https://ru.wikipedia.org/w/index.php?search=%D0%93%D0%BE%D0%B4%20%D1%80%D0%BE%D0%B6%D0%B4%D0%B5%D0%BD%D0%B8%D1%8F%201917-%D0%B9%201932%20%D1%84%D0%B8%D0%BB%D1%8C%D0%BC","искать")</f>
        <v/>
      </c>
      <c r="N2923" s="3" t="n"/>
      <c r="O2923" s="2" t="n"/>
      <c r="P2923" s="2" t="n"/>
    </row>
    <row r="2924">
      <c r="A2924" s="2" t="n">
        <v>2923</v>
      </c>
      <c r="B2924" s="2" t="inlineStr">
        <is>
          <t>не сюжет</t>
        </is>
      </c>
      <c r="C2924" s="2" t="n">
        <v>7664</v>
      </c>
      <c r="D2924" s="3" t="inlineStr">
        <is>
          <t>И с вами снова я...</t>
        </is>
      </c>
      <c r="E2924" s="2" t="n">
        <v>1981</v>
      </c>
      <c r="F2924" s="2" t="inlineStr">
        <is>
          <t>телефильм</t>
        </is>
      </c>
      <c r="G2924" s="2" t="n"/>
      <c r="H2924" s="2" t="n">
        <v>367</v>
      </c>
      <c r="I2924" s="2" t="inlineStr"/>
      <c r="J2924" s="2" t="inlineStr">
        <is>
          <t>да</t>
        </is>
      </c>
      <c r="K2924" s="3" t="inlineStr">
        <is>
          <t>Фильм иллюстрирует отдельные эпизоды, показывающие жизнь поэта. Сценарий основан на свидетельствах современников, а также стихотворениях, рисунках и письмах Пушкина.
В фильме «И с Вами снова я…» нашли отражение и связь Пушкина с декабристами, и непростые отношения поэта с императором, словом, многое из того, чем была богата противоречивая эпоха правления Николая I.</t>
        </is>
      </c>
      <c r="L2924" s="2" t="inlineStr">
        <is>
          <t>https://ru.wikipedia.org/w/index.php?title=%D0%98_%D1%81_%D0%B2%D0%B0%D0%BC%D0%B8_%D1%81%D0%BD%D0%BE%D0%B2%D0%B0_%D1%8F%E2%80%A6&amp;oldid=154894023</t>
        </is>
      </c>
      <c r="M2924" s="2">
        <f>HYPERLINK("https://ru.wikipedia.org/w/index.php?search=%D0%98%20%D1%81%20%D0%B2%D0%B0%D0%BC%D0%B8%20%D1%81%D0%BD%D0%BE%D0%B2%D0%B0%20%D1%8F...%201981%20%D1%84%D0%B8%D0%BB%D1%8C%D0%BC","искать")</f>
        <v/>
      </c>
      <c r="N2924" s="3" t="n"/>
      <c r="O2924" s="2" t="n"/>
      <c r="P2924" s="2" t="n"/>
    </row>
    <row r="2925">
      <c r="A2925" s="2" t="n">
        <v>2924</v>
      </c>
      <c r="B2925" s="2" t="inlineStr">
        <is>
          <t>не сюжет</t>
        </is>
      </c>
      <c r="C2925" s="2" t="n">
        <v>7920</v>
      </c>
      <c r="D2925" s="3" t="inlineStr">
        <is>
          <t>Мы и наши лошади</t>
        </is>
      </c>
      <c r="E2925" s="2" t="n">
        <v>1988</v>
      </c>
      <c r="F2925" s="2" t="inlineStr">
        <is>
          <t>телефильм</t>
        </is>
      </c>
      <c r="G2925" s="2" t="n"/>
      <c r="H2925" s="2" t="n">
        <v>367</v>
      </c>
      <c r="I2925" s="2" t="inlineStr"/>
      <c r="J2925" s="2" t="inlineStr">
        <is>
          <t>да</t>
        </is>
      </c>
      <c r="K2925" s="3" t="inlineStr">
        <is>
          <t>Философская притча. Действия фильма разворачиваются в диких местах Горного Алтая. Это второй режиссерский художественный фильм знаменитого новосибирского постановщика документального кино Юрия Малашина («Тайга»). По повести Сергея Залыгина «Наши лошади». Музыку к фильму написал известный новосибирский композитор Григорий Гоберник («Вера и Фёдор», «Перед свадьбой»).</t>
        </is>
      </c>
      <c r="L2925" s="2" t="inlineStr">
        <is>
          <t>Кино_СССР сводный каталог.xlsx: список телефильмов</t>
        </is>
      </c>
      <c r="M2925" s="2">
        <f>HYPERLINK("https://ru.wikipedia.org/w/index.php?search=%D0%9C%D1%8B%20%D0%B8%20%D0%BD%D0%B0%D1%88%D0%B8%20%D0%BB%D0%BE%D1%88%D0%B0%D0%B4%D0%B8%201988%20%D1%84%D0%B8%D0%BB%D1%8C%D0%BC","искать")</f>
        <v/>
      </c>
      <c r="N2925" s="3" t="n"/>
      <c r="O2925" s="2" t="n"/>
      <c r="P2925" s="2" t="n"/>
    </row>
    <row r="2926">
      <c r="A2926" s="2" t="n">
        <v>2925</v>
      </c>
      <c r="B2926" s="2" t="inlineStr">
        <is>
          <t>не сюжет</t>
        </is>
      </c>
      <c r="C2926" s="2" t="n">
        <v>9021</v>
      </c>
      <c r="D2926" s="3" t="inlineStr">
        <is>
          <t>Роман Межгорья</t>
        </is>
      </c>
      <c r="E2926" s="2" t="n">
        <v>1933</v>
      </c>
      <c r="F2926" s="2" t="inlineStr">
        <is>
          <t>кинофильм</t>
        </is>
      </c>
      <c r="G2926" s="2" t="n"/>
      <c r="H2926" s="2" t="n">
        <v>368</v>
      </c>
      <c r="I2926" s="2" t="inlineStr"/>
      <c r="J2926" s="2" t="inlineStr">
        <is>
          <t>да</t>
        </is>
      </c>
      <c r="K2926" s="3" t="inlineStr">
        <is>
          <t>По одноименному роману Ивана Ле. Экранизация популярного в начале 30-х гг. романа украинского писателя Ивана Ле о социалистическом строительстве. Первоначально работу над картиной начал режиссер театра и кино Фауст Лопатинский. Однако начавшаяся кампания против реформатора украинской сцены Леся Курбаса, обвиненного в национализме, отразилась и на судьбе его ученика.</t>
        </is>
      </c>
      <c r="L2926" s="2" t="inlineStr">
        <is>
          <t>Кино_СССР сводный каталог.xlsx: список фильмов (доп.)</t>
        </is>
      </c>
      <c r="M2926" s="2">
        <f>HYPERLINK("https://ru.wikipedia.org/w/index.php?search=%D0%A0%D0%BE%D0%BC%D0%B0%D0%BD%20%D0%9C%D0%B5%D0%B6%D0%B3%D0%BE%D1%80%D1%8C%D1%8F%201933%20%D1%84%D0%B8%D0%BB%D1%8C%D0%BC","искать")</f>
        <v/>
      </c>
      <c r="N2926" s="3" t="n"/>
      <c r="O2926" s="2" t="n"/>
      <c r="P2926" s="2" t="n"/>
    </row>
    <row r="2927">
      <c r="A2927" s="2" t="n">
        <v>2926</v>
      </c>
      <c r="B2927" s="2" t="inlineStr">
        <is>
          <t>не сюжет</t>
        </is>
      </c>
      <c r="C2927" s="2" t="n">
        <v>7500</v>
      </c>
      <c r="D2927" s="3" t="inlineStr">
        <is>
          <t>День да ночь</t>
        </is>
      </c>
      <c r="E2927" s="2" t="n">
        <v>1970</v>
      </c>
      <c r="F2927" s="2" t="inlineStr">
        <is>
          <t>телефильм</t>
        </is>
      </c>
      <c r="G2927" s="2" t="n"/>
      <c r="H2927" s="2" t="n">
        <v>370</v>
      </c>
      <c r="I2927" s="2" t="inlineStr"/>
      <c r="J2927" s="2" t="inlineStr">
        <is>
          <t>да</t>
        </is>
      </c>
      <c r="K2927" s="3" t="inlineStr">
        <is>
          <t>По мотивам повести Иосифа Герасимова "Двадцать второго". Сутки - невеликая мера времени, но 22 июня... Молодые герои фильма сумели почувствовать и грозные отголоски войны, начавшейся в такой же день 29 лет назад, и свою ответственность за безмятежность мирных будней, и радость встречи с первым глубоким чувством, и необходимость всегда быть вместе, что бы ни случилось.</t>
        </is>
      </c>
      <c r="L2927" s="2" t="inlineStr">
        <is>
          <t>Кино_СССР сводный каталог.xlsx: список телефильмов</t>
        </is>
      </c>
      <c r="M2927" s="2">
        <f>HYPERLINK("https://ru.wikipedia.org/w/index.php?search=%D0%94%D0%B5%D0%BD%D1%8C%20%D0%B4%D0%B0%20%D0%BD%D0%BE%D1%87%D1%8C%201970%20%D1%84%D0%B8%D0%BB%D1%8C%D0%BC","искать")</f>
        <v/>
      </c>
      <c r="N2927" s="3" t="n"/>
      <c r="O2927" s="2" t="n"/>
      <c r="P2927" s="2" t="n"/>
    </row>
    <row r="2928">
      <c r="A2928" s="2" t="n">
        <v>2927</v>
      </c>
      <c r="B2928" s="2" t="inlineStr">
        <is>
          <t>не сюжет</t>
        </is>
      </c>
      <c r="C2928" s="2" t="n">
        <v>8255</v>
      </c>
      <c r="D2928" s="3" t="inlineStr">
        <is>
          <t>Ральф, здравствуй! (киноальманах)</t>
        </is>
      </c>
      <c r="E2928" s="2" t="n">
        <v>1975</v>
      </c>
      <c r="F2928" s="2" t="inlineStr">
        <is>
          <t>телефильм</t>
        </is>
      </c>
      <c r="G2928" s="2" t="n"/>
      <c r="H2928" s="2" t="n">
        <v>371</v>
      </c>
      <c r="I2928" s="2" t="inlineStr"/>
      <c r="J2928" s="2" t="inlineStr">
        <is>
          <t>да</t>
        </is>
      </c>
      <c r="K2928" s="3" t="inlineStr">
        <is>
          <t>Кто из ребят не мечтает о собаке, постоянном друге всех ребячьих игр, походов и приключений. Героям фильма "Ральф, здравствуй!" в этом смысле повезло - их собаки Чип, Боцман и Ральф беззаветно преданы своим хозяевам. Три новеллы о верных друзьях человека - собаках - расскажут юному зрителю о верности, благородстве и взаимопомощи, без которых немыслима настоящая дружба.</t>
        </is>
      </c>
      <c r="L2928" s="2" t="inlineStr">
        <is>
          <t>Кино_СССР сводный каталог.xlsx: список телефильмов</t>
        </is>
      </c>
      <c r="M2928" s="2">
        <f>HYPERLINK("https://ru.wikipedia.org/w/index.php?search=%D0%A0%D0%B0%D0%BB%D1%8C%D1%84%2C%20%D0%B7%D0%B4%D1%80%D0%B0%D0%B2%D1%81%D1%82%D0%B2%D1%83%D0%B9%21%20%28%D0%BA%D0%B8%D0%BD%D0%BE%D0%B0%D0%BB%D1%8C%D0%BC%D0%B0%D0%BD%D0%B0%D1%85%29%201975%20%D1%84%D0%B8%D0%BB%D1%8C%D0%BC","искать")</f>
        <v/>
      </c>
      <c r="N2928" s="3" t="n"/>
      <c r="O2928" s="2" t="n"/>
      <c r="P2928" s="2" t="n"/>
    </row>
    <row r="2929">
      <c r="A2929" s="2" t="n">
        <v>2928</v>
      </c>
      <c r="B2929" s="2" t="inlineStr">
        <is>
          <t>не сюжет</t>
        </is>
      </c>
      <c r="C2929" s="2" t="n">
        <v>7428</v>
      </c>
      <c r="D2929" s="3" t="inlineStr">
        <is>
          <t>Галатея</t>
        </is>
      </c>
      <c r="E2929" s="2" t="n">
        <v>1977</v>
      </c>
      <c r="F2929" s="2" t="inlineStr">
        <is>
          <t>телефильм</t>
        </is>
      </c>
      <c r="G2929" s="2" t="inlineStr">
        <is>
          <t>Лентелефильм</t>
        </is>
      </c>
      <c r="H2929" s="2" t="n">
        <v>374</v>
      </c>
      <c r="I2929" s="2" t="inlineStr"/>
      <c r="J2929" s="2" t="inlineStr">
        <is>
          <t>да</t>
        </is>
      </c>
      <c r="K2929" s="3" t="inlineStr">
        <is>
          <t>Пьеса Бернарда Шоу "Пигмалион" с успехом идет во многих театрах мира. Ленинградский кинорежиссер-постановщик Алекандр Белинский впервые перенес прекрасную литературу Бернарда Шоу на язык хореографии. Он написал либретто оригинального балета, а также сценарий фильма-балета, который удивительно широко раскрывает горизонты исполнительского мастерства ведущих артистов балета.</t>
        </is>
      </c>
      <c r="L2929" s="2" t="inlineStr">
        <is>
          <t>Кино_СССР сводный каталог.xlsx: список телефильмов</t>
        </is>
      </c>
      <c r="M2929" s="2">
        <f>HYPERLINK("https://ru.wikipedia.org/w/index.php?search=%D0%93%D0%B0%D0%BB%D0%B0%D1%82%D0%B5%D1%8F%201977%20%D1%84%D0%B8%D0%BB%D1%8C%D0%BC","искать")</f>
        <v/>
      </c>
      <c r="N2929" s="3" t="n"/>
      <c r="O2929" s="2" t="n"/>
      <c r="P2929" s="2" t="n"/>
    </row>
    <row r="2930">
      <c r="A2930" s="2" t="n">
        <v>2929</v>
      </c>
      <c r="B2930" s="2" t="inlineStr">
        <is>
          <t>не сюжет</t>
        </is>
      </c>
      <c r="C2930" s="2" t="n">
        <v>8314</v>
      </c>
      <c r="D2930" s="3" t="inlineStr">
        <is>
          <t>Свободны, как птицы</t>
        </is>
      </c>
      <c r="E2930" s="2" t="n">
        <v>1971</v>
      </c>
      <c r="F2930" s="2" t="inlineStr">
        <is>
          <t>телефильм</t>
        </is>
      </c>
      <c r="G2930" s="2" t="n"/>
      <c r="H2930" s="2" t="n">
        <v>376</v>
      </c>
      <c r="I2930" s="2" t="inlineStr"/>
      <c r="J2930" s="2" t="inlineStr">
        <is>
          <t>да</t>
        </is>
      </c>
      <c r="K2930" s="3" t="inlineStr">
        <is>
          <t>Историко-революционный фильм поставлен по неоконченному роману эстонского революционера и писателя Яана Анвельта (1884-1937) "Вне закона", который, несмотря на незавершённость, считается высшим достижением пролетарской прозы в Эстонии. Картина рассказывает о молодых участниках активного подпольного революционного движения в Эстонской республике в первой половине 20-х годов.</t>
        </is>
      </c>
      <c r="L2930" s="2" t="inlineStr">
        <is>
          <t>Кино_СССР сводный каталог.xlsx: список телефильмов</t>
        </is>
      </c>
      <c r="M2930" s="2">
        <f>HYPERLINK("https://ru.wikipedia.org/w/index.php?search=%D0%A1%D0%B2%D0%BE%D0%B1%D0%BE%D0%B4%D0%BD%D1%8B%2C%20%D0%BA%D0%B0%D0%BA%20%D0%BF%D1%82%D0%B8%D1%86%D1%8B%201971%20%D1%84%D0%B8%D0%BB%D1%8C%D0%BC","искать")</f>
        <v/>
      </c>
      <c r="N2930" s="3" t="n"/>
      <c r="O2930" s="2" t="n"/>
      <c r="P2930" s="2" t="n"/>
    </row>
    <row r="2931">
      <c r="A2931" s="2" t="n">
        <v>2930</v>
      </c>
      <c r="B2931" s="2" t="inlineStr">
        <is>
          <t>не сюжет</t>
        </is>
      </c>
      <c r="C2931" s="2" t="n">
        <v>8463</v>
      </c>
      <c r="D2931" s="3" t="inlineStr">
        <is>
          <t>Тот самый Мюнхгаузен</t>
        </is>
      </c>
      <c r="E2931" s="2" t="n">
        <v>1979</v>
      </c>
      <c r="F2931" s="2" t="inlineStr">
        <is>
          <t>телефильм</t>
        </is>
      </c>
      <c r="G2931" s="2" t="inlineStr">
        <is>
          <t>Мосфильм</t>
        </is>
      </c>
      <c r="H2931" s="2" t="n">
        <v>376</v>
      </c>
      <c r="I2931" s="2" t="inlineStr"/>
      <c r="J2931" s="2" t="inlineStr">
        <is>
          <t>да</t>
        </is>
      </c>
      <c r="K2931" s="3" t="inlineStr">
        <is>
          <t>Комическая фантазия о жизни, любви и смерти знаменитого барона Мюнхгаузена, жившего в XVIII веке и ставшего героем многих веселых книг и преданий, опирается на персонажей и эпизоды знаменитого романа Р. Распэ, но по сути является самостоятельным произведением. "Мыслящий человек просто обязан время от времени поднимать себя за волосы" - похоже, это и удается авторам картины.</t>
        </is>
      </c>
      <c r="L2931" s="2" t="inlineStr">
        <is>
          <t>Кино_СССР сводный каталог.xlsx: список телефильмов</t>
        </is>
      </c>
      <c r="M2931" s="2">
        <f>HYPERLINK("https://ru.wikipedia.org/w/index.php?search=%D0%A2%D0%BE%D1%82%20%D1%81%D0%B0%D0%BC%D1%8B%D0%B9%20%D0%9C%D1%8E%D0%BD%D1%85%D0%B3%D0%B0%D1%83%D0%B7%D0%B5%D0%BD%201979%20%D1%84%D0%B8%D0%BB%D1%8C%D0%BC","искать")</f>
        <v/>
      </c>
      <c r="N2931" s="3" t="n"/>
      <c r="O2931" s="2" t="n"/>
      <c r="P2931" s="2" t="n"/>
    </row>
    <row r="2932">
      <c r="A2932" s="2" t="n">
        <v>2931</v>
      </c>
      <c r="B2932" s="2" t="inlineStr">
        <is>
          <t>не сюжет</t>
        </is>
      </c>
      <c r="C2932" s="2" t="n">
        <v>10429</v>
      </c>
      <c r="D2932" s="3" t="inlineStr">
        <is>
          <t>А.П. Чехов. Дядя Ваня</t>
        </is>
      </c>
      <c r="E2932" s="2" t="n">
        <v>1972</v>
      </c>
      <c r="F2932" s="2" t="inlineStr">
        <is>
          <t>фильм-спектакль</t>
        </is>
      </c>
      <c r="G2932" s="2" t="inlineStr">
        <is>
          <t>Центральное телевидение, Подборки фильмов, экранизации Чехова</t>
        </is>
      </c>
      <c r="H2932" s="2" t="n">
        <v>378</v>
      </c>
      <c r="I2932" s="2" t="inlineStr"/>
      <c r="J2932" s="2" t="inlineStr">
        <is>
          <t>да</t>
        </is>
      </c>
      <c r="K2932" s="3" t="inlineStr">
        <is>
          <t>Об истории создания и идейном содержании пьесы А.П. Чехова “Дядя Ваня”.
Эмоционально-лирическая атмосфера жизни дворянской усадьбы, с присущим ей своебразным ритмом жизни. Варьируются все те же темы бесцельности быта, пожирающего потенциал интеллигентного человека, разочарования и душевного опустошения.
В передаче принимают участие артисты Центрального театра Советской Армии.</t>
        </is>
      </c>
      <c r="L2932" s="2" t="inlineStr">
        <is>
          <t>https://www.kino-teatr.ru/teatr/movie/104755/annot/</t>
        </is>
      </c>
      <c r="M2932" s="2">
        <f>HYPERLINK("https://ru.wikipedia.org/w/index.php?search=%D0%90.%D0%9F.%20%D0%A7%D0%B5%D1%85%D0%BE%D0%B2.%20%D0%94%D1%8F%D0%B4%D1%8F%20%D0%92%D0%B0%D0%BD%D1%8F%201972%20%D1%84%D0%B8%D0%BB%D1%8C%D0%BC","искать")</f>
        <v/>
      </c>
      <c r="N2932" s="3" t="n"/>
      <c r="O2932" s="2" t="n"/>
      <c r="P2932" s="2" t="n"/>
    </row>
    <row r="2933">
      <c r="A2933" s="2" t="n">
        <v>2932</v>
      </c>
      <c r="B2933" s="2" t="inlineStr">
        <is>
          <t>не сюжет</t>
        </is>
      </c>
      <c r="C2933" s="2" t="n">
        <v>11312</v>
      </c>
      <c r="D2933" s="3" t="inlineStr">
        <is>
          <t>Недоросль</t>
        </is>
      </c>
      <c r="E2933" s="2" t="n">
        <v>1990</v>
      </c>
      <c r="F2933" s="2" t="inlineStr">
        <is>
          <t>фильм-спектакль</t>
        </is>
      </c>
      <c r="G2933" s="2" t="inlineStr">
        <is>
          <t>ВО "СОЮЗТЕАТР" / студия "СИНТЕЗ"</t>
        </is>
      </c>
      <c r="H2933" s="2" t="n">
        <v>378</v>
      </c>
      <c r="I2933" s="2" t="inlineStr"/>
      <c r="J2933" s="2" t="inlineStr">
        <is>
          <t>да</t>
        </is>
      </c>
      <c r="K2933" s="3" t="inlineStr">
        <is>
          <t>По одноименной комедии Д.И. Фонвизина в постановке Государственного академического Малого театра.
„Не хочу учиться, хочу жениться!“ — этот возглас маменькиного сынка Митрофанушки известен всем. Пьеса «Недоросль» была написана более двух столетий тому назад, однако кажется созданной специально для того, чтобы предостеречь нынешнюю молодежь от повторения Митрофанушкиных ошибок.</t>
        </is>
      </c>
      <c r="L2933" s="2" t="inlineStr">
        <is>
          <t>https://www.kino-teatr.ru/teatr/movie/94896/annot/</t>
        </is>
      </c>
      <c r="M2933" s="2">
        <f>HYPERLINK("https://ru.wikipedia.org/w/index.php?search=%D0%9D%D0%B5%D0%B4%D0%BE%D1%80%D0%BE%D1%81%D0%BB%D1%8C%201990%20%D1%84%D0%B8%D0%BB%D1%8C%D0%BC","искать")</f>
        <v/>
      </c>
      <c r="N2933" s="3" t="n"/>
      <c r="O2933" s="2" t="n"/>
      <c r="P2933" s="2" t="n"/>
    </row>
    <row r="2934">
      <c r="A2934" s="2" t="n">
        <v>2933</v>
      </c>
      <c r="B2934" s="2" t="inlineStr">
        <is>
          <t>не сюжет</t>
        </is>
      </c>
      <c r="C2934" s="2" t="n">
        <v>8635</v>
      </c>
      <c r="D2934" s="3" t="inlineStr">
        <is>
          <t>Больше 40° градусов в тени</t>
        </is>
      </c>
      <c r="E2934" s="2" t="n">
        <v>1988</v>
      </c>
      <c r="F2934" s="2" t="inlineStr">
        <is>
          <t>кинофильм</t>
        </is>
      </c>
      <c r="G2934" s="2" t="n"/>
      <c r="H2934" s="2" t="n">
        <v>379</v>
      </c>
      <c r="I2934" s="2" t="inlineStr"/>
      <c r="J2934" s="2" t="inlineStr">
        <is>
          <t>да</t>
        </is>
      </c>
      <c r="K2934" s="3" t="inlineStr">
        <is>
          <t>Действие фильма происходит в одном из апшеронских поселков. Жара там стоит необыкновенная - больше 40° градусов в тени. Но не она виновата в неторопливой жизни и лености некоторых обитателей поселка. Действие разворачивается на протяжении одного дня, и за этот короткий отрезок времени показаны герои - хорошие и плохие - со своим укладом жизни и своими национальными традициями.</t>
        </is>
      </c>
      <c r="L2934" s="2" t="inlineStr">
        <is>
          <t>Кино_СССР сводный каталог.xlsx: список фильмов (доп.)</t>
        </is>
      </c>
      <c r="M2934" s="2">
        <f>HYPERLINK("https://ru.wikipedia.org/w/index.php?search=%D0%91%D0%BE%D0%BB%D1%8C%D1%88%D0%B5%2040%C2%B0%20%D0%B3%D1%80%D0%B0%D0%B4%D1%83%D1%81%D0%BE%D0%B2%20%D0%B2%20%D1%82%D0%B5%D0%BD%D0%B8%201988%20%D1%84%D0%B8%D0%BB%D1%8C%D0%BC","искать")</f>
        <v/>
      </c>
      <c r="N2934" s="3" t="n"/>
      <c r="O2934" s="2" t="n"/>
      <c r="P2934" s="2" t="n"/>
    </row>
    <row r="2935">
      <c r="A2935" s="2" t="n">
        <v>2934</v>
      </c>
      <c r="B2935" s="2" t="inlineStr">
        <is>
          <t>не сюжет</t>
        </is>
      </c>
      <c r="C2935" s="2" t="n">
        <v>11376</v>
      </c>
      <c r="D2935" s="3" t="inlineStr">
        <is>
          <t>Кола Брюньон</t>
        </is>
      </c>
      <c r="E2935" s="2" t="n">
        <v>1974</v>
      </c>
      <c r="F2935" s="2" t="inlineStr">
        <is>
          <t>фильм-опера/балет</t>
        </is>
      </c>
      <c r="G2935" s="2" t="n"/>
      <c r="H2935" s="2" t="n">
        <v>379</v>
      </c>
      <c r="I2935" s="2" t="inlineStr"/>
      <c r="J2935" s="2" t="inlineStr">
        <is>
          <t>да</t>
        </is>
      </c>
      <c r="K2935" s="3" t="inlineStr">
        <is>
          <t>Телефильм-опера на музыку Дмитрия Кабалевского по мотивам одноименной повести Ромена Роллана, которая считается одним из самых жизнеутверждающих произведений мировой классики. Написанная в манере фольклорной стилизации, книга воссоздает своеобразный быт средневековой Бургундии. Кола Брюньон - носитель народной мудрости, весельчак, страстно любящий жизнь во всех ее проявлениях.</t>
        </is>
      </c>
      <c r="L2935" s="2" t="inlineStr">
        <is>
          <t>Кино_СССР телефильмы и пропуски включить в базу.xlsx</t>
        </is>
      </c>
      <c r="M2935" s="2">
        <f>HYPERLINK("https://ru.wikipedia.org/w/index.php?search=%D0%9A%D0%BE%D0%BB%D0%B0%20%D0%91%D1%80%D1%8E%D0%BD%D1%8C%D0%BE%D0%BD%201974%20%D1%84%D0%B8%D0%BB%D1%8C%D0%BC","искать")</f>
        <v/>
      </c>
      <c r="N2935" s="3" t="n"/>
      <c r="O2935" s="2" t="n"/>
      <c r="P2935" s="2" t="n"/>
    </row>
    <row r="2936">
      <c r="A2936" s="2" t="n">
        <v>2935</v>
      </c>
      <c r="B2936" s="2" t="inlineStr">
        <is>
          <t>не сюжет</t>
        </is>
      </c>
      <c r="C2936" s="2" t="n">
        <v>7992</v>
      </c>
      <c r="D2936" s="3" t="inlineStr">
        <is>
          <t>Несерьезный человек</t>
        </is>
      </c>
      <c r="E2936" s="2" t="n">
        <v>1980</v>
      </c>
      <c r="F2936" s="2" t="inlineStr">
        <is>
          <t>телефильм</t>
        </is>
      </c>
      <c r="G2936" s="2" t="n"/>
      <c r="H2936" s="2" t="n">
        <v>380</v>
      </c>
      <c r="I2936" s="2" t="inlineStr"/>
      <c r="J2936" s="2" t="inlineStr">
        <is>
          <t>да</t>
        </is>
      </c>
      <c r="K2936" s="3" t="inlineStr">
        <is>
          <t>Образованный и обаятельный мужчина средних лет, любимец всего Сололаки, оказывается выбитым из жизненной коллеи в советской действительности, где каждый занят лучшим устройством своей жизни. Со старым и ослепшим отцом на руках, не востребованным в своей профессии учителя немецкого языка, Нико Мачабели сложно ужиться в окружающем его обществе и по причине своенравного характера.</t>
        </is>
      </c>
      <c r="L2936" s="2" t="inlineStr">
        <is>
          <t>Кино_СССР сводный каталог.xlsx: список телефильмов</t>
        </is>
      </c>
      <c r="M2936" s="2">
        <f>HYPERLINK("https://ru.wikipedia.org/w/index.php?search=%D0%9D%D0%B5%D1%81%D0%B5%D1%80%D1%8C%D0%B5%D0%B7%D0%BD%D1%8B%D0%B9%20%D1%87%D0%B5%D0%BB%D0%BE%D0%B2%D0%B5%D0%BA%201980%20%D1%84%D0%B8%D0%BB%D1%8C%D0%BC","искать")</f>
        <v/>
      </c>
      <c r="N2936" s="3" t="n"/>
      <c r="O2936" s="2" t="n"/>
      <c r="P2936" s="2" t="n"/>
    </row>
    <row r="2937">
      <c r="A2937" s="2" t="n">
        <v>2936</v>
      </c>
      <c r="B2937" s="2" t="inlineStr">
        <is>
          <t>не сюжет</t>
        </is>
      </c>
      <c r="C2937" s="2" t="n">
        <v>10968</v>
      </c>
      <c r="D2937" s="3" t="inlineStr">
        <is>
          <t>Следы остаются</t>
        </is>
      </c>
      <c r="E2937" s="2" t="n">
        <v>1982</v>
      </c>
      <c r="F2937" s="2" t="inlineStr">
        <is>
          <t>фильм-спектакль</t>
        </is>
      </c>
      <c r="G2937" s="2" t="inlineStr">
        <is>
          <t>Ленинградское телевидение</t>
        </is>
      </c>
      <c r="H2937" s="2" t="n">
        <v>380</v>
      </c>
      <c r="I2937" s="2" t="inlineStr"/>
      <c r="J2937" s="2" t="inlineStr">
        <is>
          <t>да</t>
        </is>
      </c>
      <c r="K2937" s="3" t="inlineStr">
        <is>
          <t>По повести Владимира Чванова "Кража".
О правовом и нравственном воспитании молодежи. В спектакле раскрываются психологические аспекты профессии сотрудника уголовного розыска. Основная мысль - не ужесточение наказаний, а прежде всего борьба с причинами и обстоятельствами, порождающими преступления. Автор делает упор на личную ответственность человека за совершенное преступление.</t>
        </is>
      </c>
      <c r="L2937" s="2" t="inlineStr">
        <is>
          <t>https://www.kino-teatr.ru/teatr/movie/115098/annot/</t>
        </is>
      </c>
      <c r="M2937" s="2">
        <f>HYPERLINK("https://ru.wikipedia.org/w/index.php?search=%D0%A1%D0%BB%D0%B5%D0%B4%D1%8B%20%D0%BE%D1%81%D1%82%D0%B0%D1%8E%D1%82%D1%81%D1%8F%201982%20%D1%84%D0%B8%D0%BB%D1%8C%D0%BC","искать")</f>
        <v/>
      </c>
      <c r="N2937" s="3" t="n"/>
      <c r="O2937" s="2" t="n"/>
      <c r="P2937" s="2" t="n"/>
    </row>
    <row r="2938">
      <c r="A2938" s="2" t="n">
        <v>2937</v>
      </c>
      <c r="B2938" s="2" t="inlineStr">
        <is>
          <t>не сюжет</t>
        </is>
      </c>
      <c r="C2938" s="2" t="n">
        <v>9683</v>
      </c>
      <c r="D2938" s="3" t="inlineStr">
        <is>
          <t>СЭР</t>
        </is>
      </c>
      <c r="E2938" s="2" t="n">
        <v>1989</v>
      </c>
      <c r="F2938" s="2" t="inlineStr">
        <is>
          <t>кинофильм</t>
        </is>
      </c>
      <c r="G2938" s="2" t="n"/>
      <c r="H2938" s="2" t="n">
        <v>383</v>
      </c>
      <c r="I2938" s="2" t="inlineStr"/>
      <c r="J2938" s="2" t="inlineStr">
        <is>
          <t>да</t>
        </is>
      </c>
      <c r="K2938" s="3" t="inlineStr">
        <is>
          <t>У Саши Григорьева есть две основные ценности, два мифа: свобода, тождественная раю («Свобода — Это Рай», так расшифровывается название фильма и наколка на руке героя), и отец, которого Саша никогда не видел и который сидит в другой тюрьме. Миф об отце, в отличие от мифа о свободе, не объединяет Сашу с другими воспитанниками спецшколы, а напротив, отделяет его от социальной группы.</t>
        </is>
      </c>
      <c r="L2938" s="2" t="inlineStr">
        <is>
          <t>Кино_СССР сводный каталог.xlsx: список фильмов (доп.)</t>
        </is>
      </c>
      <c r="M2938" s="2">
        <f>HYPERLINK("https://ru.wikipedia.org/w/index.php?search=%D0%A1%D0%AD%D0%A0%201989%20%D1%84%D0%B8%D0%BB%D1%8C%D0%BC","искать")</f>
        <v/>
      </c>
      <c r="N2938" s="3" t="n"/>
      <c r="O2938" s="2" t="n"/>
      <c r="P2938" s="2" t="n"/>
    </row>
    <row r="2939">
      <c r="A2939" s="2" t="n">
        <v>2938</v>
      </c>
      <c r="B2939" s="2" t="inlineStr">
        <is>
          <t>не сюжет</t>
        </is>
      </c>
      <c r="C2939" s="2" t="n">
        <v>10166</v>
      </c>
      <c r="D2939" s="3" t="inlineStr">
        <is>
          <t>Коллекция Капы</t>
        </is>
      </c>
      <c r="E2939" s="2" t="n">
        <v>1966</v>
      </c>
      <c r="F2939" s="2" t="inlineStr">
        <is>
          <t>фильм-спектакль</t>
        </is>
      </c>
      <c r="G2939" s="2" t="n"/>
      <c r="H2939" s="2" t="n">
        <v>383</v>
      </c>
      <c r="I2939" s="2" t="inlineStr"/>
      <c r="J2939" s="2" t="inlineStr">
        <is>
          <t>да</t>
        </is>
      </c>
      <c r="K2939" s="3" t="inlineStr">
        <is>
          <t>Телеспектакль поставлен по сатирическим произведениям известного писателя Виктора Ефимовича Ардова:
"Рассказ о завхозе",
"Всемогущий Гранаткин",
"Ателье: Емельян Пугачев".
А название спектаклю дал рассказ "Коллекция Капы".
Капа - это девушка, с которой писатель познакомился в областном городе, куда его закинула судьба.
Капа немного учится, немного работает и очень любит искусство.</t>
        </is>
      </c>
      <c r="L2939" s="2" t="inlineStr">
        <is>
          <t>https://www.kino-teatr.ru/teatr/movie/101249/annot/</t>
        </is>
      </c>
      <c r="M2939" s="2">
        <f>HYPERLINK("https://ru.wikipedia.org/w/index.php?search=%D0%9A%D0%BE%D0%BB%D0%BB%D0%B5%D0%BA%D1%86%D0%B8%D1%8F%20%D0%9A%D0%B0%D0%BF%D1%8B%201966%20%D1%84%D0%B8%D0%BB%D1%8C%D0%BC","искать")</f>
        <v/>
      </c>
      <c r="N2939" s="3" t="n"/>
      <c r="O2939" s="2" t="n"/>
      <c r="P2939" s="2" t="n"/>
    </row>
    <row r="2940">
      <c r="A2940" s="2" t="n">
        <v>2939</v>
      </c>
      <c r="B2940" s="2" t="inlineStr">
        <is>
          <t>не сюжет</t>
        </is>
      </c>
      <c r="C2940" s="2" t="n">
        <v>8042</v>
      </c>
      <c r="D2940" s="3" t="inlineStr">
        <is>
          <t>Ольга Сергеевна</t>
        </is>
      </c>
      <c r="E2940" s="2" t="n">
        <v>1975</v>
      </c>
      <c r="F2940" s="2" t="inlineStr">
        <is>
          <t>телефильм</t>
        </is>
      </c>
      <c r="G2940" s="2" t="n"/>
      <c r="H2940" s="2" t="n">
        <v>384</v>
      </c>
      <c r="I2940" s="2" t="inlineStr"/>
      <c r="J2940" s="2" t="inlineStr">
        <is>
          <t>да</t>
        </is>
      </c>
      <c r="K2940" s="3" t="inlineStr">
        <is>
          <t>По телеповести Эдварда Радзинского «Воспоминания...». В центре фильма - история талантливой женщины Ольги Сергеевны, занимающейся проблемами океанологии. "Красивая, но не желанная," - так сказал о ней еще в институте старый учитель профессор Никифоров. И действительно, сквозь всю жизнь Ольга пронесла любовь лишь к одному человеку, с которым ей так и не суждено было обрести счастье.</t>
        </is>
      </c>
      <c r="L2940" s="2" t="inlineStr">
        <is>
          <t>Кино_СССР сводный каталог.xlsx: список телефильмов</t>
        </is>
      </c>
      <c r="M2940" s="2">
        <f>HYPERLINK("https://ru.wikipedia.org/w/index.php?search=%D0%9E%D0%BB%D1%8C%D0%B3%D0%B0%20%D0%A1%D0%B5%D1%80%D0%B3%D0%B5%D0%B5%D0%B2%D0%BD%D0%B0%201975%20%D1%84%D0%B8%D0%BB%D1%8C%D0%BC","искать")</f>
        <v/>
      </c>
      <c r="N2940" s="3" t="n"/>
      <c r="O2940" s="2" t="n"/>
      <c r="P2940" s="2" t="n"/>
    </row>
    <row r="2941">
      <c r="A2941" s="2" t="n">
        <v>2940</v>
      </c>
      <c r="B2941" s="2" t="inlineStr">
        <is>
          <t>не сюжет</t>
        </is>
      </c>
      <c r="C2941" s="2" t="n">
        <v>8577</v>
      </c>
      <c r="D2941" s="3" t="inlineStr">
        <is>
          <t>Шашмаком</t>
        </is>
      </c>
      <c r="E2941" s="2" t="n">
        <v>1972</v>
      </c>
      <c r="F2941" s="2" t="inlineStr">
        <is>
          <t>телефильм</t>
        </is>
      </c>
      <c r="G2941" s="2" t="n"/>
      <c r="H2941" s="2" t="n">
        <v>387</v>
      </c>
      <c r="I2941" s="2" t="inlineStr"/>
      <c r="J2941" s="2" t="inlineStr">
        <is>
          <t>да</t>
        </is>
      </c>
      <c r="K2941" s="3" t="inlineStr">
        <is>
          <t>«Имеются ли цвета, соответствующие той или иной музыке? Можно ли экранизировать музыку? Музыку надобно только слушать или же можно ее попытаться увидеть?» — такого рода вопросы встают при демонстрации музыкального художественного телевизионного фильма «Шашмаком». Лирико-драматические новеллы, вошедшие в фильм, имеют свои микрокомпозиции, свои образные решения, свой ритм повествования.</t>
        </is>
      </c>
      <c r="L2941" s="2" t="inlineStr">
        <is>
          <t>Кино_СССР сводный каталог.xlsx: список телефильмов</t>
        </is>
      </c>
      <c r="M2941" s="2">
        <f>HYPERLINK("https://ru.wikipedia.org/w/index.php?search=%D0%A8%D0%B0%D1%88%D0%BC%D0%B0%D0%BA%D0%BE%D0%BC%201972%20%D1%84%D0%B8%D0%BB%D1%8C%D0%BC","искать")</f>
        <v/>
      </c>
      <c r="N2941" s="3" t="n"/>
      <c r="O2941" s="2" t="n"/>
      <c r="P2941" s="2" t="n"/>
    </row>
    <row r="2942">
      <c r="A2942" s="2" t="n">
        <v>2941</v>
      </c>
      <c r="B2942" s="2" t="inlineStr">
        <is>
          <t>не сюжет</t>
        </is>
      </c>
      <c r="C2942" s="2" t="n">
        <v>10559</v>
      </c>
      <c r="D2942" s="3" t="inlineStr">
        <is>
          <t>Дом Островского</t>
        </is>
      </c>
      <c r="E2942" s="2" t="n">
        <v>1974</v>
      </c>
      <c r="F2942" s="2" t="inlineStr">
        <is>
          <t>фильм-спектакль</t>
        </is>
      </c>
      <c r="G2942" s="2" t="n"/>
      <c r="H2942" s="2" t="n">
        <v>389</v>
      </c>
      <c r="I2942" s="2" t="inlineStr"/>
      <c r="J2942" s="2" t="inlineStr">
        <is>
          <t>да</t>
        </is>
      </c>
      <c r="K2942" s="3" t="inlineStr">
        <is>
          <t>Постановка Государственного академического Малого театра.
В фильм-спектакль, посвященный памяти Александра Николаевича Островского, вошли фрагменты спектаклей, поставленных по пьесам драматурга: "Свои люди - сочтемся", "Гроза", "Волки и овцы", "Пучина", "Снегурочка", "Сердце не камень", "Светит, да не греет", "Бешеные деньги", "Правда - хорошо, а счастье лучше", "Не все коту масленица".</t>
        </is>
      </c>
      <c r="L2942" s="2" t="inlineStr">
        <is>
          <t>https://www.kino-teatr.ru/teatr/movie/81728/annot/</t>
        </is>
      </c>
      <c r="M2942" s="2">
        <f>HYPERLINK("https://ru.wikipedia.org/w/index.php?search=%D0%94%D0%BE%D0%BC%20%D0%9E%D1%81%D1%82%D1%80%D0%BE%D0%B2%D1%81%D0%BA%D0%BE%D0%B3%D0%BE%201974%20%D1%84%D0%B8%D0%BB%D1%8C%D0%BC","искать")</f>
        <v/>
      </c>
      <c r="N2942" s="3" t="n"/>
      <c r="O2942" s="2" t="n"/>
      <c r="P2942" s="2" t="n"/>
    </row>
    <row r="2943">
      <c r="A2943" s="2" t="n">
        <v>2942</v>
      </c>
      <c r="B2943" s="2" t="inlineStr">
        <is>
          <t>не сюжет</t>
        </is>
      </c>
      <c r="C2943" s="2" t="n">
        <v>8125</v>
      </c>
      <c r="D2943" s="3" t="inlineStr">
        <is>
          <t>По следу резвого коня</t>
        </is>
      </c>
      <c r="E2943" s="2" t="n">
        <v>1981</v>
      </c>
      <c r="F2943" s="2" t="inlineStr">
        <is>
          <t>телефильм</t>
        </is>
      </c>
      <c r="G2943" s="2" t="n"/>
      <c r="H2943" s="2" t="n">
        <v>391</v>
      </c>
      <c r="I2943" s="2" t="inlineStr"/>
      <c r="J2943" s="2" t="inlineStr">
        <is>
          <t>да</t>
        </is>
      </c>
      <c r="K2943" s="3" t="inlineStr">
        <is>
          <t>В центре телефильма – судьба двух братьев Ялкина и Турсуна Атаджановых. Старший брат Ялкин – человек неуемной энергии, незаурядных организаторских способностей, одержимый идеей преобразования земли, мечтающий о небывалом урожае хлопка на пустынных землях. Турсун же пытается уйти от опеки старшего брата, найти свой путь в жизни, утвердиться как личность, не зависящая от популярности брата.</t>
        </is>
      </c>
      <c r="L2943" s="2" t="inlineStr">
        <is>
          <t>Кино_СССР сводный каталог.xlsx: список телефильмов</t>
        </is>
      </c>
      <c r="M2943" s="2">
        <f>HYPERLINK("https://ru.wikipedia.org/w/index.php?search=%D0%9F%D0%BE%20%D1%81%D0%BB%D0%B5%D0%B4%D1%83%20%D1%80%D0%B5%D0%B7%D0%B2%D0%BE%D0%B3%D0%BE%20%D0%BA%D0%BE%D0%BD%D1%8F%201981%20%D1%84%D0%B8%D0%BB%D1%8C%D0%BC","искать")</f>
        <v/>
      </c>
      <c r="N2943" s="3" t="n"/>
      <c r="O2943" s="2" t="n"/>
      <c r="P2943" s="2" t="n"/>
    </row>
    <row r="2944">
      <c r="A2944" s="2" t="n">
        <v>2943</v>
      </c>
      <c r="B2944" s="2" t="inlineStr">
        <is>
          <t>не сюжет</t>
        </is>
      </c>
      <c r="C2944" s="2" t="n">
        <v>10789</v>
      </c>
      <c r="D2944" s="3" t="inlineStr">
        <is>
          <t>Сказка за сказкой (1978-2000)</t>
        </is>
      </c>
      <c r="E2944" s="2" t="n">
        <v>1978</v>
      </c>
      <c r="F2944" s="2" t="inlineStr">
        <is>
          <t>фильм-спектакль</t>
        </is>
      </c>
      <c r="G2944" s="2" t="n"/>
      <c r="H2944" s="2" t="n">
        <v>391</v>
      </c>
      <c r="I2944" s="2" t="inlineStr"/>
      <c r="J2944" s="2" t="inlineStr">
        <is>
          <t>да</t>
        </is>
      </c>
      <c r="K2944" s="3" t="inlineStr">
        <is>
          <t>«Сказка за сказкой» – детская телепередача Ленинградского телевидения, выходившая в эфир более двадцати лет. Программа транслировалась не только на Ленинград, но и другие российские города, а также Польшу и Чехословакию. Это были телевизионные постановки сказок народов мира.
Ведущими передачи по очереди были Петрушка, солдат Иван Варежкин и Чёрт, а также актёр и композитор Роман Рязанцев.</t>
        </is>
      </c>
      <c r="L2944" s="2" t="inlineStr">
        <is>
          <t>https://www.kino-teatr.ru/teatr/movie/93184/annot/</t>
        </is>
      </c>
      <c r="M2944" s="2">
        <f>HYPERLINK("https://ru.wikipedia.org/w/index.php?search=%D0%A1%D0%BA%D0%B0%D0%B7%D0%BA%D0%B0%20%D0%B7%D0%B0%20%D1%81%D0%BA%D0%B0%D0%B7%D0%BA%D0%BE%D0%B9%20%281978-2000%29%201978%20%D1%84%D0%B8%D0%BB%D1%8C%D0%BC","искать")</f>
        <v/>
      </c>
      <c r="N2944" s="3" t="n"/>
      <c r="O2944" s="2" t="n"/>
      <c r="P2944" s="2" t="n"/>
    </row>
    <row r="2945">
      <c r="A2945" s="2" t="n">
        <v>2944</v>
      </c>
      <c r="B2945" s="2" t="inlineStr">
        <is>
          <t>не сюжет</t>
        </is>
      </c>
      <c r="C2945" s="2" t="n">
        <v>7452</v>
      </c>
      <c r="D2945" s="3" t="inlineStr">
        <is>
          <t>Город над головой</t>
        </is>
      </c>
      <c r="E2945" s="2" t="n">
        <v>1985</v>
      </c>
      <c r="F2945" s="2" t="inlineStr">
        <is>
          <t>телефильм</t>
        </is>
      </c>
      <c r="G2945" s="2" t="n"/>
      <c r="H2945" s="2" t="n">
        <v>392</v>
      </c>
      <c r="I2945" s="2" t="inlineStr"/>
      <c r="J2945" s="2" t="inlineStr">
        <is>
          <t>да</t>
        </is>
      </c>
      <c r="K2945" s="3" t="inlineStr">
        <is>
          <t>Телесериал. Режиссер Геннадий Павлов о фильме: "Проблема преемственности поколений воспринимается в наше время особенно остро. Поэтому сюжет о семейной династии метростроевцев выбран не случайно. Нас вместе со сценаристами Иосифом и Виктором Ольшанскими побудило стремление отдать дань уважения строителям Московского метро и зрителей "заразить" оптимизмом наших героев, одержимых этой идеей.</t>
        </is>
      </c>
      <c r="L2945" s="2" t="inlineStr">
        <is>
          <t>Кино_СССР сводный каталог.xlsx: список телефильмов</t>
        </is>
      </c>
      <c r="M2945" s="2">
        <f>HYPERLINK("https://ru.wikipedia.org/w/index.php?search=%D0%93%D0%BE%D1%80%D0%BE%D0%B4%20%D0%BD%D0%B0%D0%B4%20%D0%B3%D0%BE%D0%BB%D0%BE%D0%B2%D0%BE%D0%B9%201985%20%D1%84%D0%B8%D0%BB%D1%8C%D0%BC","искать")</f>
        <v/>
      </c>
      <c r="N2945" s="3" t="n"/>
      <c r="O2945" s="2" t="n"/>
      <c r="P2945" s="2" t="n"/>
    </row>
    <row r="2946">
      <c r="A2946" s="2" t="n">
        <v>2945</v>
      </c>
      <c r="B2946" s="2" t="inlineStr">
        <is>
          <t>не сюжет</t>
        </is>
      </c>
      <c r="C2946" s="2" t="n">
        <v>9347</v>
      </c>
      <c r="D2946" s="3" t="inlineStr">
        <is>
          <t>Дохунда</t>
        </is>
      </c>
      <c r="E2946" s="2" t="n">
        <v>1936</v>
      </c>
      <c r="F2946" s="2" t="inlineStr">
        <is>
          <t>кинофильм</t>
        </is>
      </c>
      <c r="G2946" s="2" t="n"/>
      <c r="H2946" s="2" t="n">
        <v>393</v>
      </c>
      <c r="I2946" s="2" t="inlineStr"/>
      <c r="J2946" s="2" t="inlineStr">
        <is>
          <t>да</t>
        </is>
      </c>
      <c r="K2946" s="3" t="inlineStr">
        <is>
          <t>Легендарный фильм Льва Кулешова, экранизация романа Садриддина Айни, который должен был стать первым среднеазиатским полнометражным игровым фильмом, но остался незаконченным. Эта работа сильно повлияла на создание своеобразного стиля среднеазиатского кинематографа советского периода. Восстановлена на основе оригинального режиссёрского сценария, иллюстрированного кадрами актёрских репетиций.</t>
        </is>
      </c>
      <c r="L2946" s="2" t="inlineStr">
        <is>
          <t>Кино_СССР сводный каталог.xlsx: список фильмов (доп.)</t>
        </is>
      </c>
      <c r="M2946" s="2">
        <f>HYPERLINK("https://ru.wikipedia.org/w/index.php?search=%D0%94%D0%BE%D1%85%D1%83%D0%BD%D0%B4%D0%B0%201936%20%D1%84%D0%B8%D0%BB%D1%8C%D0%BC","искать")</f>
        <v/>
      </c>
      <c r="N2946" s="3" t="n"/>
      <c r="O2946" s="2" t="n"/>
      <c r="P2946" s="2" t="n"/>
    </row>
    <row r="2947">
      <c r="A2947" s="2" t="n">
        <v>2946</v>
      </c>
      <c r="B2947" s="2" t="inlineStr">
        <is>
          <t>не сюжет</t>
        </is>
      </c>
      <c r="C2947" s="2" t="n">
        <v>9664</v>
      </c>
      <c r="D2947" s="3" t="inlineStr">
        <is>
          <t>Сорок сердец</t>
        </is>
      </c>
      <c r="E2947" s="2" t="n">
        <v>1930</v>
      </c>
      <c r="F2947" s="2" t="inlineStr">
        <is>
          <t>кинофильм</t>
        </is>
      </c>
      <c r="G2947" s="2" t="n"/>
      <c r="H2947" s="2" t="n">
        <v>394</v>
      </c>
      <c r="I2947" s="2" t="inlineStr"/>
      <c r="J2947" s="2" t="inlineStr">
        <is>
          <t>да</t>
        </is>
      </c>
      <c r="K2947" s="3" t="inlineStr">
        <is>
          <t>Чёрно-белый немой агитационный фильм. В картине соединены документальные и игровые кадры, а также мультипликационные вставки, выполненные одним из основателей советской мультипликации Иваном Ивановым-Вано. Фильм был снят к 10-летию плана ГОЭЛРО. Сорок сердец — это строящиеся в соответствии с планом сорок районных электростанций, которые будут снабжать энергией социалистическое строительство.</t>
        </is>
      </c>
      <c r="L2947" s="2" t="inlineStr">
        <is>
          <t>Кино_СССР сводный каталог.xlsx: список фильмов (доп.)</t>
        </is>
      </c>
      <c r="M2947" s="2">
        <f>HYPERLINK("https://ru.wikipedia.org/w/index.php?search=%D0%A1%D0%BE%D1%80%D0%BE%D0%BA%20%D1%81%D0%B5%D1%80%D0%B4%D0%B5%D1%86%201930%20%D1%84%D0%B8%D0%BB%D1%8C%D0%BC","искать")</f>
        <v/>
      </c>
      <c r="N2947" s="3" t="n"/>
      <c r="O2947" s="2" t="n"/>
      <c r="P2947" s="2" t="n"/>
    </row>
    <row r="2948">
      <c r="A2948" s="2" t="n">
        <v>2947</v>
      </c>
      <c r="B2948" s="2" t="inlineStr">
        <is>
          <t>не сюжет</t>
        </is>
      </c>
      <c r="C2948" s="2" t="n">
        <v>10828</v>
      </c>
      <c r="D2948" s="3" t="inlineStr">
        <is>
          <t>Этот фантастический мир. Выпуск 2</t>
        </is>
      </c>
      <c r="E2948" s="2" t="n">
        <v>1979</v>
      </c>
      <c r="F2948" s="2" t="inlineStr">
        <is>
          <t>фильм-спектакль</t>
        </is>
      </c>
      <c r="G2948" s="2" t="inlineStr">
        <is>
          <t>Главная редакция программ для детей и юношества ЦТ</t>
        </is>
      </c>
      <c r="H2948" s="2" t="n">
        <v>396</v>
      </c>
      <c r="I2948" s="2" t="inlineStr"/>
      <c r="J2948" s="2" t="inlineStr">
        <is>
          <t>да</t>
        </is>
      </c>
      <c r="K2948" s="3" t="inlineStr">
        <is>
          <t>Во втором выпуске популярного цикла "Этот фантастический мир" зрителям были представлены фрагменты произведений советских и зарубежных фантастов: "Алло, Парнас!" Валентина Берестова, "Янки при дворе короля Артура" Марка Твена, "Маракотова бездна" Артура Конан Дойля и "Победитель невозможного" Евгения Велтистова.
Начиная с этого выпуска постоянным ведущим передачи стал космонавт Георгий Гречко.</t>
        </is>
      </c>
      <c r="L2948" s="2" t="inlineStr">
        <is>
          <t>https://www.kino-teatr.ru/teatr/movie/16650/annot/</t>
        </is>
      </c>
      <c r="M2948" s="2">
        <f>HYPERLINK("https://ru.wikipedia.org/w/index.php?search=%D0%AD%D1%82%D0%BE%D1%82%20%D1%84%D0%B0%D0%BD%D1%82%D0%B0%D1%81%D1%82%D0%B8%D1%87%D0%B5%D1%81%D0%BA%D0%B8%D0%B9%20%D0%BC%D0%B8%D1%80.%20%D0%92%D1%8B%D0%BF%D1%83%D1%81%D0%BA%202%201979%20%D1%84%D0%B8%D0%BB%D1%8C%D0%BC","искать")</f>
        <v/>
      </c>
      <c r="N2948" s="3" t="n"/>
      <c r="O2948" s="2" t="n"/>
      <c r="P2948" s="2" t="n"/>
    </row>
    <row r="2949">
      <c r="A2949" s="2" t="n">
        <v>2948</v>
      </c>
      <c r="B2949" s="2" t="inlineStr">
        <is>
          <t>не сюжет</t>
        </is>
      </c>
      <c r="C2949" s="2" t="n">
        <v>7521</v>
      </c>
      <c r="D2949" s="3" t="inlineStr">
        <is>
          <t>Дни хирурга Мишкина</t>
        </is>
      </c>
      <c r="E2949" s="2" t="n">
        <v>1976</v>
      </c>
      <c r="F2949" s="2" t="inlineStr">
        <is>
          <t>телефильм</t>
        </is>
      </c>
      <c r="G2949" s="2" t="n"/>
      <c r="H2949" s="2" t="n">
        <v>398</v>
      </c>
      <c r="I2949" s="2" t="inlineStr"/>
      <c r="J2949" s="2" t="inlineStr">
        <is>
          <t>да</t>
        </is>
      </c>
      <c r="K2949" s="3" t="inlineStr">
        <is>
          <t>Главный герой — талантливый хирург Мишкин — заведующий хирургическим отделением в больнице маленького городка Хотуницы. Он талантливый хирург по призванию, не стремится к карьере, не ищет званий, а просто беззаветно предан своей профессии. Спасая людей, Мишкин получает удовлетворение и радость, но также и горе, и боль. Не всегда получается так, как хочется, но всегда надо работать в полную силу.</t>
        </is>
      </c>
      <c r="L2949" s="2" t="inlineStr">
        <is>
          <t>https://ru.wikipedia.org/w/index.php?title=%D0%94%D0%BD%D0%B8_%D1%85%D0%B8%D1%80%D1%83%D1%80%D0%B3%D0%B0_%D0%9C%D0%B8%D1%88%D0%BA%D0%B8%D0%BD%D0%B0&amp;oldid=154695075</t>
        </is>
      </c>
      <c r="M2949" s="2">
        <f>HYPERLINK("https://ru.wikipedia.org/w/index.php?search=%D0%94%D0%BD%D0%B8%20%D1%85%D0%B8%D1%80%D1%83%D1%80%D0%B3%D0%B0%20%D0%9C%D0%B8%D1%88%D0%BA%D0%B8%D0%BD%D0%B0%201976%20%D1%84%D0%B8%D0%BB%D1%8C%D0%BC","искать")</f>
        <v/>
      </c>
      <c r="N2949" s="3" t="n"/>
      <c r="O2949" s="2" t="n"/>
      <c r="P2949" s="2" t="n"/>
    </row>
    <row r="2950">
      <c r="A2950" s="2" t="n">
        <v>2949</v>
      </c>
      <c r="B2950" s="2" t="inlineStr">
        <is>
          <t>не сюжет</t>
        </is>
      </c>
      <c r="C2950" s="2" t="n">
        <v>8562</v>
      </c>
      <c r="D2950" s="3" t="inlineStr">
        <is>
          <t>Чинара</t>
        </is>
      </c>
      <c r="E2950" s="2" t="n">
        <v>1973</v>
      </c>
      <c r="F2950" s="2" t="inlineStr">
        <is>
          <t>телефильм</t>
        </is>
      </c>
      <c r="G2950" s="2" t="n"/>
      <c r="H2950" s="2" t="n">
        <v>400</v>
      </c>
      <c r="I2950" s="2" t="inlineStr"/>
      <c r="J2950" s="2" t="inlineStr">
        <is>
          <t>да</t>
        </is>
      </c>
      <c r="K2950" s="3" t="inlineStr">
        <is>
          <t>По мотивам одноименного романа Аскада Мухтара. О семье старика Ачила-Бува, о его детях и внуках, живущих в узбекском кишлаке, о старой чинаре, прикрывающей своими ветвями молодую поросль. Старик всегда оказывается в трудную минуту с теми, кому нужны его совет и помощь. И "пока шумит старая чинара своей листвой, будем живы и мы", - так говорил его дед, так будут говорить его внуки, и дети их детей.</t>
        </is>
      </c>
      <c r="L2950" s="2" t="inlineStr">
        <is>
          <t>Кино_СССР сводный каталог.xlsx: список телефильмов</t>
        </is>
      </c>
      <c r="M2950" s="2">
        <f>HYPERLINK("https://ru.wikipedia.org/w/index.php?search=%D0%A7%D0%B8%D0%BD%D0%B0%D1%80%D0%B0%201973%20%D1%84%D0%B8%D0%BB%D1%8C%D0%BC","искать")</f>
        <v/>
      </c>
      <c r="N2950" s="3" t="n"/>
      <c r="O2950" s="2" t="n"/>
      <c r="P2950" s="2" t="n"/>
    </row>
    <row r="2951">
      <c r="A2951" s="2" t="n">
        <v>2950</v>
      </c>
      <c r="B2951" s="2" t="inlineStr">
        <is>
          <t>не сюжет</t>
        </is>
      </c>
      <c r="C2951" s="2" t="n">
        <v>10857</v>
      </c>
      <c r="D2951" s="3" t="inlineStr">
        <is>
          <t>Патриоты</t>
        </is>
      </c>
      <c r="E2951" s="2" t="n">
        <v>1980</v>
      </c>
      <c r="F2951" s="2" t="inlineStr">
        <is>
          <t>фильм-спектакль</t>
        </is>
      </c>
      <c r="G2951" s="2" t="inlineStr">
        <is>
          <t>Литовское телевидение</t>
        </is>
      </c>
      <c r="H2951" s="2" t="n">
        <v>400</v>
      </c>
      <c r="I2951" s="2" t="inlineStr"/>
      <c r="J2951" s="2" t="inlineStr">
        <is>
          <t>да</t>
        </is>
      </c>
      <c r="K2951" s="3" t="inlineStr">
        <is>
          <t>По одноименной пьесе П.Вайчюлайтиса.
Мошенничество чиновников, жажда денег и хорошей жизни, их аморальность сравнивается с порядочностью интеллигенции, интриги и страх всё потерять, когда меняется власть; создаются комические ситуации только, кажется, не надо верить, что что-то изменится, потому что кресло чиновника меняет и приличных людей.... идея пьесы и спектакля посмеяться над пороками людей.</t>
        </is>
      </c>
      <c r="L2951" s="2" t="inlineStr">
        <is>
          <t>https://www.kino-teatr.ru/teatr/movie/107326/annot/</t>
        </is>
      </c>
      <c r="M2951" s="2">
        <f>HYPERLINK("https://ru.wikipedia.org/w/index.php?search=%D0%9F%D0%B0%D1%82%D1%80%D0%B8%D0%BE%D1%82%D1%8B%201980%20%D1%84%D0%B8%D0%BB%D1%8C%D0%BC","искать")</f>
        <v/>
      </c>
      <c r="N2951" s="3" t="n"/>
      <c r="O2951" s="2" t="n"/>
      <c r="P2951" s="2" t="n"/>
    </row>
    <row r="2952">
      <c r="A2952" s="2" t="n">
        <v>2951</v>
      </c>
      <c r="B2952" s="2" t="inlineStr">
        <is>
          <t>не сюжет</t>
        </is>
      </c>
      <c r="C2952" s="2" t="n">
        <v>10735</v>
      </c>
      <c r="D2952" s="3" t="inlineStr">
        <is>
          <t>Господа Головлёвы</t>
        </is>
      </c>
      <c r="E2952" s="2" t="n">
        <v>1978</v>
      </c>
      <c r="F2952" s="2" t="inlineStr">
        <is>
          <t>фильм-спектакль</t>
        </is>
      </c>
      <c r="G2952" s="2" t="inlineStr">
        <is>
          <t>Творческое объединение "Экран"</t>
        </is>
      </c>
      <c r="H2952" s="2" t="n">
        <v>401</v>
      </c>
      <c r="I2952" s="2" t="inlineStr"/>
      <c r="J2952" s="2" t="inlineStr">
        <is>
          <t>да</t>
        </is>
      </c>
      <c r="K2952" s="3" t="inlineStr">
        <is>
          <t>По одноименному роману М. Е. Салтыкова-Щедрина в постановке Государственного академического Малого театра Союза ССР.
Спектакль «Господа Головлевы» по роману Салтыкова-Щедрина ярко, образно и с большим мастерством преподносит нам дух той эпохи, которую Н. Некрасов определил как: «Бывали хуже времена, но не было подлей». Отчетливо проступает образ нынешней России, хотя произведению уже более 130 лет.</t>
        </is>
      </c>
      <c r="L2952" s="2" t="inlineStr">
        <is>
          <t>https://www.kino-teatr.ru/teatr/movie/79996/annot/</t>
        </is>
      </c>
      <c r="M2952" s="2">
        <f>HYPERLINK("https://ru.wikipedia.org/w/index.php?search=%D0%93%D0%BE%D1%81%D0%BF%D0%BE%D0%B4%D0%B0%20%D0%93%D0%BE%D0%BB%D0%BE%D0%B2%D0%BB%D1%91%D0%B2%D1%8B%201978%20%D1%84%D0%B8%D0%BB%D1%8C%D0%BC","искать")</f>
        <v/>
      </c>
      <c r="N2952" s="3" t="n"/>
      <c r="O2952" s="2" t="n"/>
      <c r="P2952" s="2" t="n"/>
    </row>
    <row r="2953">
      <c r="A2953" s="2" t="n">
        <v>2952</v>
      </c>
      <c r="B2953" s="2" t="inlineStr">
        <is>
          <t>не сюжет</t>
        </is>
      </c>
      <c r="C2953" s="2" t="n">
        <v>7369</v>
      </c>
      <c r="D2953" s="3" t="inlineStr">
        <is>
          <t>Волшебный камень</t>
        </is>
      </c>
      <c r="E2953" s="2" t="n">
        <v>1979</v>
      </c>
      <c r="F2953" s="2" t="inlineStr">
        <is>
          <t>телефильм</t>
        </is>
      </c>
      <c r="G2953" s="2" t="n"/>
      <c r="H2953" s="2" t="n">
        <v>402</v>
      </c>
      <c r="I2953" s="2" t="inlineStr"/>
      <c r="J2953" s="2" t="inlineStr">
        <is>
          <t>да</t>
        </is>
      </c>
      <c r="K2953" s="3" t="inlineStr">
        <is>
          <t>Веселую и немного страшную историю написала эстонская советская писательница Хельо Мянд (1926-2020). В одном, казалось бы, довольно обычном лесу живут бабушка-кролик Сабине, бабушка-волк Суси Зуузи и бабушка-медведь Адельхейд вместе со своими внуками Мааре, Суло и Тайси. Неподалеку от их домов посреди лесной поляны стоит серый мшистый камень, который ничем не предаст свою тайну случайному прохожему.</t>
        </is>
      </c>
      <c r="L2953" s="2" t="inlineStr">
        <is>
          <t>Кино_СССР сводный каталог.xlsx: список телефильмов</t>
        </is>
      </c>
      <c r="M2953" s="2">
        <f>HYPERLINK("https://ru.wikipedia.org/w/index.php?search=%D0%92%D0%BE%D0%BB%D1%88%D0%B5%D0%B1%D0%BD%D1%8B%D0%B9%20%D0%BA%D0%B0%D0%BC%D0%B5%D0%BD%D1%8C%201979%20%D1%84%D0%B8%D0%BB%D1%8C%D0%BC","искать")</f>
        <v/>
      </c>
      <c r="N2953" s="3" t="n"/>
      <c r="O2953" s="2" t="n"/>
      <c r="P2953" s="2" t="n"/>
    </row>
    <row r="2954">
      <c r="A2954" s="2" t="n">
        <v>2953</v>
      </c>
      <c r="B2954" s="2" t="inlineStr">
        <is>
          <t>не сюжет</t>
        </is>
      </c>
      <c r="C2954" s="2" t="n">
        <v>11218</v>
      </c>
      <c r="D2954" s="3" t="inlineStr">
        <is>
          <t>Новоселье в старом доме</t>
        </is>
      </c>
      <c r="E2954" s="2" t="n">
        <v>1988</v>
      </c>
      <c r="F2954" s="2" t="inlineStr">
        <is>
          <t>фильм-спектакль</t>
        </is>
      </c>
      <c r="G2954" s="2" t="inlineStr">
        <is>
          <t>Главная редакция литературно-драматических программ ЦТ</t>
        </is>
      </c>
      <c r="H2954" s="2" t="n">
        <v>402</v>
      </c>
      <c r="I2954" s="2" t="inlineStr"/>
      <c r="J2954" s="2" t="inlineStr">
        <is>
          <t>да</t>
        </is>
      </c>
      <c r="K2954" s="3" t="inlineStr">
        <is>
          <t>По одноименной пьесе Александра Кравцова в постановке Московского драматического театра имени К.С. Станиславского.
Героини спектакля - Дарья Власьевна и Никодимовна - живут в одной коммунальной квартире. Тяжелые испытания в годы Великой Отечественной войны выпали на долю этих женщин. Однако на всю жизнь они сохранили веру в добро и справедливость, готовность в любую минуту придти на помощь ближнему.</t>
        </is>
      </c>
      <c r="L2954" s="2" t="inlineStr">
        <is>
          <t>https://www.kino-teatr.ru/teatr/movie/81692/annot/</t>
        </is>
      </c>
      <c r="M2954" s="2">
        <f>HYPERLINK("https://ru.wikipedia.org/w/index.php?search=%D0%9D%D0%BE%D0%B2%D0%BE%D1%81%D0%B5%D0%BB%D1%8C%D0%B5%20%D0%B2%20%D1%81%D1%82%D0%B0%D1%80%D0%BE%D0%BC%20%D0%B4%D0%BE%D0%BC%D0%B5%201988%20%D1%84%D0%B8%D0%BB%D1%8C%D0%BC","искать")</f>
        <v/>
      </c>
      <c r="N2954" s="3" t="n"/>
      <c r="O2954" s="2" t="n"/>
      <c r="P2954" s="2" t="n"/>
    </row>
    <row r="2955">
      <c r="A2955" s="2" t="n">
        <v>2954</v>
      </c>
      <c r="B2955" s="2" t="inlineStr">
        <is>
          <t>не сюжет</t>
        </is>
      </c>
      <c r="C2955" s="2" t="n">
        <v>7594</v>
      </c>
      <c r="D2955" s="3" t="inlineStr">
        <is>
          <t>Жертва науки</t>
        </is>
      </c>
      <c r="E2955" s="2" t="n">
        <v>1981</v>
      </c>
      <c r="F2955" s="2" t="inlineStr">
        <is>
          <t>телефильм</t>
        </is>
      </c>
      <c r="G2955" s="2" t="n"/>
      <c r="H2955" s="2" t="n">
        <v>403</v>
      </c>
      <c r="I2955" s="2" t="inlineStr"/>
      <c r="J2955" s="2" t="inlineStr">
        <is>
          <t>да</t>
        </is>
      </c>
      <c r="K2955" s="3" t="inlineStr">
        <is>
          <t>По мотивам одноименной новеллы известного югославского писателя Бранислава Нушича. Сатирическая кинокомедия об однообразной, скучной и во многом бессмысленной жизни мелких чиновников в неком провинциальном городе. Действие фильма происходит в начале XX столетия. Господин Паё - бесценный работник канцелярии уездной управы, он может наизусть назвать номер и число издания любого приказа и постановления.</t>
        </is>
      </c>
      <c r="L2955" s="2" t="inlineStr">
        <is>
          <t>Кино_СССР сводный каталог.xlsx: список телефильмов</t>
        </is>
      </c>
      <c r="M2955" s="2">
        <f>HYPERLINK("https://ru.wikipedia.org/w/index.php?search=%D0%96%D0%B5%D1%80%D1%82%D0%B2%D0%B0%20%D0%BD%D0%B0%D1%83%D0%BA%D0%B8%201981%20%D1%84%D0%B8%D0%BB%D1%8C%D0%BC","искать")</f>
        <v/>
      </c>
      <c r="N2955" s="3" t="n"/>
      <c r="O2955" s="2" t="n"/>
      <c r="P2955" s="2" t="n"/>
    </row>
    <row r="2956">
      <c r="A2956" s="2" t="n">
        <v>2955</v>
      </c>
      <c r="B2956" s="2" t="inlineStr">
        <is>
          <t>не сюжет</t>
        </is>
      </c>
      <c r="C2956" s="2" t="n">
        <v>10880</v>
      </c>
      <c r="D2956" s="3" t="inlineStr">
        <is>
          <t>Доходное место</t>
        </is>
      </c>
      <c r="E2956" s="2" t="n">
        <v>1981</v>
      </c>
      <c r="F2956" s="2" t="inlineStr">
        <is>
          <t>фильм-спектакль</t>
        </is>
      </c>
      <c r="G2956" s="2" t="n"/>
      <c r="H2956" s="2" t="n">
        <v>403</v>
      </c>
      <c r="I2956" s="2" t="inlineStr"/>
      <c r="J2956" s="2" t="inlineStr">
        <is>
          <t>да</t>
        </is>
      </c>
      <c r="K2956" s="3" t="inlineStr">
        <is>
          <t>Знаменитый спектакль Малого театра в постановке Михаила Царева. Из всех великих комедий Островского «Доходное место» меньше других располагает к умилению стариной или заковыристыми русскими словечками. Тут не до благолепия: речь идет о том, как реальная жизнь буквально выворачивает молодому человеку руки и вправляет ему мозги, а значит, заставляет забыть о высоких книжных идеалах чести и достоинства.</t>
        </is>
      </c>
      <c r="L2956" s="2" t="inlineStr">
        <is>
          <t>https://www.kino-teatr.ru/teatr/movie/81729/annot/</t>
        </is>
      </c>
      <c r="M2956" s="2">
        <f>HYPERLINK("https://ru.wikipedia.org/w/index.php?search=%D0%94%D0%BE%D1%85%D0%BE%D0%B4%D0%BD%D0%BE%D0%B5%20%D0%BC%D0%B5%D1%81%D1%82%D0%BE%201981%20%D1%84%D0%B8%D0%BB%D1%8C%D0%BC","искать")</f>
        <v/>
      </c>
      <c r="N2956" s="3" t="n"/>
      <c r="O2956" s="2" t="n"/>
      <c r="P2956" s="2" t="n"/>
    </row>
    <row r="2957">
      <c r="A2957" s="2" t="n">
        <v>2956</v>
      </c>
      <c r="B2957" s="2" t="inlineStr">
        <is>
          <t>не сюжет</t>
        </is>
      </c>
      <c r="C2957" s="2" t="n">
        <v>10865</v>
      </c>
      <c r="D2957" s="3" t="inlineStr">
        <is>
          <t>Р РµРІРЅРёРІР°СЏ Рє СЃРµР±Рµ СЃР°РјРѕР№</t>
        </is>
      </c>
      <c r="E2957" s="2" t="n">
        <v>1980</v>
      </c>
      <c r="F2957" s="2" t="inlineStr">
        <is>
          <t>фильм-спектакль</t>
        </is>
      </c>
      <c r="G2957" s="2" t="n"/>
      <c r="H2957" s="2" t="n">
        <v>404</v>
      </c>
      <c r="I2957" s="2" t="inlineStr"/>
      <c r="J2957" s="2" t="inlineStr">
        <is>
          <t>да</t>
        </is>
      </c>
      <c r="K2957" s="3" t="inlineStr">
        <is>
          <t>РџРѕ РѕРґРЅРѕРёРјРµРЅРЅРѕР№ РєРѕРјРµРґРёРё РўРёСЂСЃРѕ РґРµ РњРѕР»РёРЅС‹ РІ РїРѕСЃС‚Р°РЅРѕРІРєРµ Р“РѕСЃСѓРґР°СЂСЃС‚РІРµРЅРЅРѕРіРѕ Р°РєР°РґРµРјРёС‡РµСЃРєРѕРіРѕ РњР°Р»РѕРіРѕ С‚РµР°С‚СЂР° РЎРѕСЋР·Р° РЎРЎР . РЎСЋР¶РµС‚ РїРѕСЃС‚СЂРѕРµРЅ РЅР° РјРЅРѕР¶РµСЃС‚РІРµ С‡РёСЃС‚Рѕ С‚РµР°С‚СЂР°Р»СЊРЅС‹С… СѓСЃР»РѕРІРЅРѕСЃС‚РµР№, С…Р°СЂР°РєС‚РµСЂРЅС‹С… РґР»СЏ РёСЃРїР°РЅСЃРєРёС… РєРѕРјРµРґРёР№ "РїР»Р°С‰Р° Рё С€РїР°РіРё".</t>
        </is>
      </c>
      <c r="L2957" s="2" t="inlineStr">
        <is>
          <t>https://www.kino-teatr.ru/teatr/movie/37784/annot/</t>
        </is>
      </c>
      <c r="M2957" s="2">
        <f>HYPERLINK("https://ru.wikipedia.org/w/index.php?search=%D0%A0%20%D0%A0%C2%B5%D0%A0%D0%86%D0%A0%D0%85%D0%A0%D1%91%D0%A0%D0%86%D0%A0%C2%B0%D0%A1%D0%8F%20%D0%A0%D1%94%20%D0%A1%D0%83%D0%A0%C2%B5%D0%A0%C2%B1%D0%A0%C2%B5%20%D0%A1%D0%83%D0%A0%C2%B0%D0%A0%D1%98%D0%A0%D1%95%D0%A0%E2%84%96%201980%20%D1%84%D0%B8%D0%BB%D1%8C%D0%BC","искать")</f>
        <v/>
      </c>
      <c r="N2957" s="3" t="n"/>
      <c r="O2957" s="2" t="n"/>
      <c r="P2957" s="2" t="n"/>
    </row>
    <row r="2958">
      <c r="A2958" s="2" t="n">
        <v>2957</v>
      </c>
      <c r="B2958" s="2" t="inlineStr">
        <is>
          <t>не сюжет</t>
        </is>
      </c>
      <c r="C2958" s="2" t="n">
        <v>9047</v>
      </c>
      <c r="D2958" s="3" t="inlineStr">
        <is>
          <t>Сломанный свет</t>
        </is>
      </c>
      <c r="E2958" s="2" t="n">
        <v>1990</v>
      </c>
      <c r="F2958" s="2" t="inlineStr">
        <is>
          <t>кинофильм</t>
        </is>
      </c>
      <c r="G2958" s="2" t="n"/>
      <c r="H2958" s="2" t="n">
        <v>409</v>
      </c>
      <c r="I2958" s="2" t="inlineStr"/>
      <c r="J2958" s="2" t="inlineStr">
        <is>
          <t>да</t>
        </is>
      </c>
      <c r="K2958" s="3" t="inlineStr">
        <is>
          <t>Фильм-притча, фильм предвидение. Посвящен судьбе творческих людей в СССР в конце 1980-х годов. Одна из немногих лент, рассказывающих о первых признаках великой трагедии великой империи под названием "СССР"... В прокат фильм не вышел - не решен вопрос с правами на фильм. Студия "Эдельвейс", где он был снят, распалась в начале 1990-х годов, фильм никому не был продан, и владельцев ленты уже невозможно найти.</t>
        </is>
      </c>
      <c r="L2958" s="2" t="inlineStr">
        <is>
          <t>Кино_СССР сводный каталог.xlsx: список фильмов (доп.)</t>
        </is>
      </c>
      <c r="M2958" s="2">
        <f>HYPERLINK("https://ru.wikipedia.org/w/index.php?search=%D0%A1%D0%BB%D0%BE%D0%BC%D0%B0%D0%BD%D0%BD%D1%8B%D0%B9%20%D1%81%D0%B2%D0%B5%D1%82%201990%20%D1%84%D0%B8%D0%BB%D1%8C%D0%BC","искать")</f>
        <v/>
      </c>
      <c r="N2958" s="3" t="n"/>
      <c r="O2958" s="2" t="n"/>
      <c r="P2958" s="2" t="n"/>
    </row>
    <row r="2959">
      <c r="A2959" s="2" t="n">
        <v>2958</v>
      </c>
      <c r="B2959" s="2" t="inlineStr">
        <is>
          <t>не сюжет</t>
        </is>
      </c>
      <c r="C2959" s="2" t="n">
        <v>10401</v>
      </c>
      <c r="D2959" s="3" t="inlineStr">
        <is>
          <t>Конкурс продолжается. Иоганн Себастьян Бах</t>
        </is>
      </c>
      <c r="E2959" s="2" t="n">
        <v>1971</v>
      </c>
      <c r="F2959" s="2" t="inlineStr">
        <is>
          <t>фильм-спектакль</t>
        </is>
      </c>
      <c r="G2959" s="2" t="n"/>
      <c r="H2959" s="2" t="n">
        <v>411</v>
      </c>
      <c r="I2959" s="2" t="inlineStr"/>
      <c r="J2959" s="2" t="inlineStr">
        <is>
          <t>да</t>
        </is>
      </c>
      <c r="K2959" s="3" t="inlineStr">
        <is>
          <t>В послевоенные годы, в Советском Союзе в срочном порядке начали вспоминать. Вспоминать мирное время, возрождать культуру, в том числе и музыкальную...
Одним из таких отрывков памяти и явился телеспектакль «Конкурс продолжается. Иоганн Себастьян Бах» о жизни и творчестве великого немецкого композитора. В телеспектакль включены музыкальные номера в исполнении Д.Ойстраха, С.Рихтера, З.Долухановой, В.Третьякова.</t>
        </is>
      </c>
      <c r="L2959" s="2" t="inlineStr">
        <is>
          <t>https://www.kino-teatr.ru/teatr/movie/88870/annot/</t>
        </is>
      </c>
      <c r="M2959" s="2">
        <f>HYPERLINK("https://ru.wikipedia.org/w/index.php?search=%D0%9A%D0%BE%D0%BD%D0%BA%D1%83%D1%80%D1%81%20%D0%BF%D1%80%D0%BE%D0%B4%D0%BE%D0%BB%D0%B6%D0%B0%D0%B5%D1%82%D1%81%D1%8F.%20%D0%98%D0%BE%D0%B3%D0%B0%D0%BD%D0%BD%20%D0%A1%D0%B5%D0%B1%D0%B0%D1%81%D1%82%D1%8C%D1%8F%D0%BD%20%D0%91%D0%B0%D1%85%201971%20%D1%84%D0%B8%D0%BB%D1%8C%D0%BC","искать")</f>
        <v/>
      </c>
      <c r="N2959" s="3" t="n"/>
      <c r="O2959" s="2" t="n"/>
      <c r="P2959" s="2" t="n"/>
    </row>
    <row r="2960">
      <c r="A2960" s="2" t="n">
        <v>2959</v>
      </c>
      <c r="B2960" s="2" t="inlineStr">
        <is>
          <t>не сюжет</t>
        </is>
      </c>
      <c r="C2960" s="2" t="n">
        <v>8145</v>
      </c>
      <c r="D2960" s="3" t="inlineStr">
        <is>
          <t>Поездка через город (киноальманах)</t>
        </is>
      </c>
      <c r="E2960" s="2" t="n">
        <v>1979</v>
      </c>
      <c r="F2960" s="2" t="inlineStr">
        <is>
          <t>телефильм</t>
        </is>
      </c>
      <c r="G2960" s="2" t="n"/>
      <c r="H2960" s="2" t="n">
        <v>412</v>
      </c>
      <c r="I2960" s="2" t="inlineStr"/>
      <c r="J2960" s="2" t="inlineStr">
        <is>
          <t>да</t>
        </is>
      </c>
      <c r="K2960" s="3" t="inlineStr">
        <is>
          <t>Комедия про ответственность людей за свои поступки...
Если бы водитель Петров не повез свой грохочущий багаж через ночной город, вряд ли кому-то бы пришло в голову устраивать среди ночи скандал за скандалом...
Комедия о современном Дон-Жуане, в которой смешное и грустное переплетаются заставляя героев задуматься о жизни...
Подробнее на Кино-Театр.РУ https://www.kino-teatr.ru/kino/movie/sov/14890/annot/s849/</t>
        </is>
      </c>
      <c r="L2960" s="2" t="inlineStr">
        <is>
          <t>Кино_СССР сводный каталог.xlsx: список телефильмов</t>
        </is>
      </c>
      <c r="M2960" s="2">
        <f>HYPERLINK("https://ru.wikipedia.org/w/index.php?search=%D0%9F%D0%BE%D0%B5%D0%B7%D0%B4%D0%BA%D0%B0%20%D1%87%D0%B5%D1%80%D0%B5%D0%B7%20%D0%B3%D0%BE%D1%80%D0%BE%D0%B4%20%28%D0%BA%D0%B8%D0%BD%D0%BE%D0%B0%D0%BB%D1%8C%D0%BC%D0%B0%D0%BD%D0%B0%D1%85%29%201979%20%D1%84%D0%B8%D0%BB%D1%8C%D0%BC","искать")</f>
        <v/>
      </c>
      <c r="N2960" s="3" t="n"/>
      <c r="O2960" s="2" t="n"/>
      <c r="P2960" s="2" t="n"/>
    </row>
    <row r="2961">
      <c r="A2961" s="2" t="n">
        <v>2960</v>
      </c>
      <c r="B2961" s="2" t="inlineStr">
        <is>
          <t>не сюжет</t>
        </is>
      </c>
      <c r="C2961" s="2" t="n">
        <v>13516</v>
      </c>
      <c r="D2961" s="3" t="inlineStr">
        <is>
          <t>Андрей Свислоцкий</t>
        </is>
      </c>
      <c r="E2961" s="2" t="n">
        <v>1991</v>
      </c>
      <c r="F2961" s="2" t="inlineStr">
        <is>
          <t>мультфильм</t>
        </is>
      </c>
      <c r="G2961" s="2" t="inlineStr">
        <is>
          <t>Пилот</t>
        </is>
      </c>
      <c r="H2961" s="2" t="n">
        <v>412</v>
      </c>
      <c r="I2961" s="2" t="inlineStr"/>
      <c r="J2961" s="2" t="inlineStr">
        <is>
          <t>да</t>
        </is>
      </c>
      <c r="K2961" s="3" t="inlineStr">
        <is>
          <t>Странный фильм о повседневной жизни странных людей, которые со стороны выглядят, как все остальные. В фильме полностью отсутствует музыка и слова, только птичьи голоса, шелест листьев, звук смеха вдалеке. Этот фильм, в котором тесно переплелись реализм и сюрреализм, настолько, насколько это возможно в художественной анимации в конце нашего тысячилетия. Для взрослых
Призы фестивалей "Оберхаузен92" и "Краков92"</t>
        </is>
      </c>
      <c r="L2961" s="2" t="inlineStr">
        <is>
          <t>https://animator.ru/db/?p=show_film&amp;fid=4807</t>
        </is>
      </c>
      <c r="M2961" s="2">
        <f>HYPERLINK("https://ru.wikipedia.org/w/index.php?search=%D0%90%D0%BD%D0%B4%D1%80%D0%B5%D0%B9%20%D0%A1%D0%B2%D0%B8%D1%81%D0%BB%D0%BE%D1%86%D0%BA%D0%B8%D0%B9%201991%20%D1%84%D0%B8%D0%BB%D1%8C%D0%BC","искать")</f>
        <v/>
      </c>
      <c r="N2961" s="3" t="n"/>
      <c r="O2961" s="2" t="n"/>
      <c r="P2961" s="2" t="n"/>
    </row>
    <row r="2962">
      <c r="A2962" s="2" t="n">
        <v>2961</v>
      </c>
      <c r="B2962" s="2" t="inlineStr">
        <is>
          <t>не сюжет</t>
        </is>
      </c>
      <c r="C2962" s="2" t="n">
        <v>11103</v>
      </c>
      <c r="D2962" s="3" t="inlineStr">
        <is>
          <t>Гибель поэта</t>
        </is>
      </c>
      <c r="E2962" s="2" t="n">
        <v>1986</v>
      </c>
      <c r="F2962" s="2" t="inlineStr">
        <is>
          <t>фильм-спектакль</t>
        </is>
      </c>
      <c r="G2962" s="2" t="inlineStr">
        <is>
          <t>Гл. ред. лит-драм программ</t>
        </is>
      </c>
      <c r="H2962" s="2" t="n">
        <v>415</v>
      </c>
      <c r="I2962" s="2" t="inlineStr"/>
      <c r="J2962" s="2" t="inlineStr">
        <is>
          <t>да</t>
        </is>
      </c>
      <c r="K2962" s="3" t="inlineStr">
        <is>
          <t>О жизни, творчестве и гибели выдающегося испанского поэта Федерико Гарсиа Лорки. В телеспектакль включены стихотворения и отрывки из пьес Ф. Гарсиа Лорки: "Драма без названия", "Мариана Пинеда", "Кровавая свадьба", а также стихотворения Роберта Рождественского "Гитара Гарсиа Лорки" и Николая Асеева "Песнь о Гарсиа Лорке", документальная запись выступления Рафаэля Альберти - испанского поэта, друга Гарисиа Лорки.</t>
        </is>
      </c>
      <c r="L2962" s="2" t="inlineStr">
        <is>
          <t>https://www.kino-teatr.ru/teatr/movie/17229/annot/</t>
        </is>
      </c>
      <c r="M2962" s="2">
        <f>HYPERLINK("https://ru.wikipedia.org/w/index.php?search=%D0%93%D0%B8%D0%B1%D0%B5%D0%BB%D1%8C%20%D0%BF%D0%BE%D1%8D%D1%82%D0%B0%201986%20%D1%84%D0%B8%D0%BB%D1%8C%D0%BC","искать")</f>
        <v/>
      </c>
      <c r="N2962" s="3" t="n"/>
      <c r="O2962" s="2" t="n"/>
      <c r="P2962" s="2" t="n"/>
    </row>
    <row r="2963">
      <c r="A2963" s="2" t="n">
        <v>2962</v>
      </c>
      <c r="B2963" s="2" t="inlineStr">
        <is>
          <t>не сюжет</t>
        </is>
      </c>
      <c r="C2963" s="2" t="n">
        <v>9606</v>
      </c>
      <c r="D2963" s="3" t="inlineStr">
        <is>
          <t>Пустыня</t>
        </is>
      </c>
      <c r="E2963" s="2" t="n">
        <v>1991</v>
      </c>
      <c r="F2963" s="2" t="inlineStr">
        <is>
          <t>кинофильм</t>
        </is>
      </c>
      <c r="G2963" s="2" t="n"/>
      <c r="H2963" s="2" t="n">
        <v>418</v>
      </c>
      <c r="I2963" s="2" t="inlineStr"/>
      <c r="J2963" s="2" t="inlineStr">
        <is>
          <t>да</t>
        </is>
      </c>
      <c r="K2963" s="3" t="inlineStr">
        <is>
          <t>Сюжет фильма - история жизни Иисуса, его роль в духовной жизни человечества, взаимоотношения с Иудой, отношения с властью - строится на библейских мотивах и версиях рассказов Леонида Андреева "Иуда Искариот" и "Елеазар". Населяя картину полуреальными, полусимволическими персонажами - вместе с тем исторически понятными зрителю, режиссер представляет нам два мира, обреченных на постоянное болезненное соприкосновение.</t>
        </is>
      </c>
      <c r="L2963" s="2" t="inlineStr">
        <is>
          <t>Кино_СССР сводный каталог.xlsx: список фильмов (доп.)</t>
        </is>
      </c>
      <c r="M2963" s="2">
        <f>HYPERLINK("https://ru.wikipedia.org/w/index.php?search=%D0%9F%D1%83%D1%81%D1%82%D1%8B%D0%BD%D1%8F%201991%20%D1%84%D0%B8%D0%BB%D1%8C%D0%BC","искать")</f>
        <v/>
      </c>
      <c r="N2963" s="3" t="n"/>
      <c r="O2963" s="2" t="n"/>
      <c r="P2963" s="2" t="n"/>
    </row>
    <row r="2964">
      <c r="A2964" s="2" t="n">
        <v>2963</v>
      </c>
      <c r="B2964" s="2" t="inlineStr">
        <is>
          <t>не сюжет</t>
        </is>
      </c>
      <c r="C2964" s="2" t="n">
        <v>9310</v>
      </c>
      <c r="D2964" s="3" t="inlineStr">
        <is>
          <t>Голубое и розовое</t>
        </is>
      </c>
      <c r="E2964" s="2" t="n">
        <v>1938</v>
      </c>
      <c r="F2964" s="2" t="inlineStr">
        <is>
          <t>кинофильм</t>
        </is>
      </c>
      <c r="G2964" s="2" t="n"/>
      <c r="H2964" s="2" t="n">
        <v>419</v>
      </c>
      <c r="I2964" s="2" t="inlineStr"/>
      <c r="J2964" s="2" t="inlineStr">
        <is>
          <t>да</t>
        </is>
      </c>
      <c r="K2964" s="3" t="inlineStr">
        <is>
          <t>Из книги Янины Жеймо "Длинный путь от барабанщицы в цирке до Золушки в кино": "Также закрыли картину "Голубое и розовое" по пьесе Александры Бруштейн, хотя осталось снять всего пару сцен, - приказ того же наркома кинематографии Дукельского. Когда режиссер фильма Владимир Юренев попытался выяснить причину, Дукельский ответил: "Кому нужна эта детская картина, если пьесу "Голубое и розовое" можно посмотреть в театре?".</t>
        </is>
      </c>
      <c r="L2964" s="2" t="inlineStr">
        <is>
          <t>Кино_СССР сводный каталог.xlsx: список фильмов (доп.)</t>
        </is>
      </c>
      <c r="M2964" s="2">
        <f>HYPERLINK("https://ru.wikipedia.org/w/index.php?search=%D0%93%D0%BE%D0%BB%D1%83%D0%B1%D0%BE%D0%B5%20%D0%B8%20%D1%80%D0%BE%D0%B7%D0%BE%D0%B2%D0%BE%D0%B5%201938%20%D1%84%D0%B8%D0%BB%D1%8C%D0%BC","искать")</f>
        <v/>
      </c>
      <c r="N2964" s="3" t="n"/>
      <c r="O2964" s="2" t="n"/>
      <c r="P2964" s="2" t="n"/>
    </row>
    <row r="2965">
      <c r="A2965" s="2" t="n">
        <v>2964</v>
      </c>
      <c r="B2965" s="2" t="inlineStr">
        <is>
          <t>не сюжет</t>
        </is>
      </c>
      <c r="C2965" s="2" t="n">
        <v>11078</v>
      </c>
      <c r="D2965" s="3" t="inlineStr">
        <is>
          <t>Рђ.Рџ. Р§РµС…РѕРІ. Р Р°СЃСЃРєР°Р·С‹</t>
        </is>
      </c>
      <c r="E2965" s="2" t="n">
        <v>1985</v>
      </c>
      <c r="F2965" s="2" t="inlineStr">
        <is>
          <t>фильм-спектакль</t>
        </is>
      </c>
      <c r="G2965" s="2" t="n"/>
      <c r="H2965" s="2" t="n">
        <v>422</v>
      </c>
      <c r="I2965" s="2" t="inlineStr"/>
      <c r="J2965" s="2" t="inlineStr">
        <is>
          <t>да</t>
        </is>
      </c>
      <c r="K2965" s="3" t="inlineStr">
        <is>
          <t>Р’ РјРѕРЅРѕСЃРїРµРєС‚Р°РєР»Рµ РІРЅРёРјР°РЅРёСЋ Р·СЂРёС‚РµР»СЏ РїСЂРµРґР»Р°РіР°СЋС‚СЃСЏ СЂР°СЃСЃРєР°Р·С‹ РђРЅС‚РѕРЅР° РџР°РІР»РѕРІРёС‡Р° Р§РµС…РѕРІР° "РђРЅРЅР° РЅР° С€РµРµ" Рё "Рћ Р»СЋР±РІРё" РІ РёСЃРїРѕР»РЅРµРЅРёРё РёР·РІРµСЃС‚РЅРѕРіРѕ Р°РєС‚РµСЂР°, РїСЂРёР·РЅР°РЅРЅРѕРіРѕ РјР°СЃС‚РµСЂР° С…СѓРґРѕР¶РµСЃС‚РІРµРЅРЅРѕРіРѕ СЃР»РѕРІР°, РЅР°СЂРѕРґРЅРѕРіРѕ Р°СЂС‚РёСЃС‚Р° РЎРЎРЎР Р РѕСЃС‚РёСЃР»Р°РІР° РЇРЅРѕРІРёС‡Р° РџР»СЏС‚С‚Р°.</t>
        </is>
      </c>
      <c r="L2965" s="2" t="inlineStr">
        <is>
          <t>https://www.kino-teatr.ru/teatr/movie/102275/annot/</t>
        </is>
      </c>
      <c r="M2965" s="2">
        <f>HYPERLINK("https://ru.wikipedia.org/w/index.php?search=%D0%A0%D1%92.%D0%A0%D1%9F.%20%D0%A0%C2%A7%D0%A0%C2%B5%D0%A1%E2%80%A6%D0%A0%D1%95%D0%A0%D0%86.%20%D0%A0%20%D0%A0%C2%B0%D0%A1%D0%83%D0%A1%D0%83%D0%A0%D1%94%D0%A0%C2%B0%D0%A0%C2%B7%D0%A1%E2%80%B9%201985%20%D1%84%D0%B8%D0%BB%D1%8C%D0%BC","искать")</f>
        <v/>
      </c>
      <c r="N2965" s="3" t="n"/>
      <c r="O2965" s="2" t="n"/>
      <c r="P2965" s="2" t="n"/>
    </row>
    <row r="2966">
      <c r="A2966" s="2" t="n">
        <v>2965</v>
      </c>
      <c r="B2966" s="2" t="inlineStr">
        <is>
          <t>не сюжет</t>
        </is>
      </c>
      <c r="C2966" s="2" t="n">
        <v>10018</v>
      </c>
      <c r="D2966" s="3" t="inlineStr">
        <is>
          <t>Двое</t>
        </is>
      </c>
      <c r="E2966" s="2" t="n">
        <v>1987</v>
      </c>
      <c r="F2966" s="2" t="inlineStr">
        <is>
          <t>телефильм</t>
        </is>
      </c>
      <c r="G2966" s="2" t="inlineStr">
        <is>
          <t>"Таллинфильм" по заказу Гостелерадио СССР</t>
        </is>
      </c>
      <c r="H2966" s="2" t="n">
        <v>425</v>
      </c>
      <c r="I2966" s="2" t="inlineStr"/>
      <c r="J2966" s="2" t="inlineStr">
        <is>
          <t>да</t>
        </is>
      </c>
      <c r="K2966" s="3" t="inlineStr">
        <is>
          <t>По мотивам новеллы эстонского писателя Арво Валтона "Мустамяэская любовь".
Жители большого современного города зачастую не знакомы со своими соседями, хотя прожили под одной крышей с ними много лет. Герои фильма, мужчина и женщина, мечтающие о семье и детях, живут совсем рядом. Они вполне могли бы познакомиться и полюбить друг друга. Все их мечты могли бы осуществиться, но встреча двух одиноких сердец так и не состоялась.</t>
        </is>
      </c>
      <c r="L2966" s="2" t="inlineStr">
        <is>
          <t>https://www.kino-teatr.ru/short/movie/sov/81128/annot/</t>
        </is>
      </c>
      <c r="M2966" s="2">
        <f>HYPERLINK("https://ru.wikipedia.org/w/index.php?search=%D0%94%D0%B2%D0%BE%D0%B5%201987%20%D1%84%D0%B8%D0%BB%D1%8C%D0%BC","искать")</f>
        <v/>
      </c>
      <c r="N2966" s="3" t="n"/>
      <c r="O2966" s="2" t="n"/>
      <c r="P2966" s="2" t="n"/>
    </row>
    <row r="2967">
      <c r="A2967" s="2" t="n">
        <v>2966</v>
      </c>
      <c r="B2967" s="2" t="inlineStr">
        <is>
          <t>не сюжет</t>
        </is>
      </c>
      <c r="C2967" s="2" t="n">
        <v>9698</v>
      </c>
      <c r="D2967" s="3" t="inlineStr">
        <is>
          <t>Трое</t>
        </is>
      </c>
      <c r="E2967" s="2" t="n">
        <v>1988</v>
      </c>
      <c r="F2967" s="2" t="inlineStr">
        <is>
          <t>кинофильм</t>
        </is>
      </c>
      <c r="G2967" s="2" t="n"/>
      <c r="H2967" s="2" t="n">
        <v>428</v>
      </c>
      <c r="I2967" s="2" t="inlineStr"/>
      <c r="J2967" s="2" t="inlineStr">
        <is>
          <t>да</t>
        </is>
      </c>
      <c r="K2967" s="3" t="inlineStr">
        <is>
          <t>Приютились на берегу Иссык-Куля, под раскаленным солнцем трое представителей социального дна. Нет у них ни дома, ни денег, ни продуктов, ни одежды, ни светлого будущего. А рядом с ними, с изгоями, настоящие люди, у которых все как у людей. Археологическая партия, куда они нанялись рыть какую-то траншею, жратва на продовольственном «складе», охраняемом могучим, упитанным жлобом с разомлевшим от жары взглядом и крестом на шее.</t>
        </is>
      </c>
      <c r="L2967" s="2" t="inlineStr">
        <is>
          <t>Кино_СССР сводный каталог.xlsx: список фильмов (доп.)</t>
        </is>
      </c>
      <c r="M2967" s="2">
        <f>HYPERLINK("https://ru.wikipedia.org/w/index.php?search=%D0%A2%D1%80%D0%BE%D0%B5%201988%20%D1%84%D0%B8%D0%BB%D1%8C%D0%BC","искать")</f>
        <v/>
      </c>
      <c r="N2967" s="3" t="n"/>
      <c r="O2967" s="2" t="n"/>
      <c r="P2967" s="2" t="n"/>
    </row>
    <row r="2968">
      <c r="A2968" s="2" t="n">
        <v>2967</v>
      </c>
      <c r="B2968" s="2" t="inlineStr">
        <is>
          <t>не сюжет</t>
        </is>
      </c>
      <c r="C2968" s="2" t="n">
        <v>10533</v>
      </c>
      <c r="D2968" s="3" t="inlineStr">
        <is>
          <t>Хроника одной репетиции</t>
        </is>
      </c>
      <c r="E2968" s="2" t="n">
        <v>1973</v>
      </c>
      <c r="F2968" s="2" t="inlineStr">
        <is>
          <t>фильм-спектакль</t>
        </is>
      </c>
      <c r="G2968" s="2" t="n"/>
      <c r="H2968" s="2" t="n">
        <v>429</v>
      </c>
      <c r="I2968" s="2" t="inlineStr"/>
      <c r="J2968" s="2" t="inlineStr">
        <is>
          <t>да</t>
        </is>
      </c>
      <c r="K2968" s="3" t="inlineStr">
        <is>
          <t>Знакомство с творчеством артиста Ленинградского академического Большого драматического театра им. М.Горького О.В.Басилашвили. В фильме использованы фрагменты телеспектакля "Аввакум Захов" по произведениям Андрея Гуляшки и спектаклей БДТ: "Ревизор" по комедии Н.Гоголя, "Лиса и виноград" по пьесе Г.Фигейреду, "Мольер" по пьесе М.Булгакова, "Три сестры" по пьесе А.Чехова и "104 страницы про любовь" по произведению Э.Радзинского.</t>
        </is>
      </c>
      <c r="L2968" s="2" t="inlineStr">
        <is>
          <t>https://www.kino-teatr.ru/teatr/movie/108516/annot/</t>
        </is>
      </c>
      <c r="M2968" s="2">
        <f>HYPERLINK("https://ru.wikipedia.org/w/index.php?search=%D0%A5%D1%80%D0%BE%D0%BD%D0%B8%D0%BA%D0%B0%20%D0%BE%D0%B4%D0%BD%D0%BE%D0%B9%20%D1%80%D0%B5%D0%BF%D0%B5%D1%82%D0%B8%D1%86%D0%B8%D0%B8%201973%20%D1%84%D0%B8%D0%BB%D1%8C%D0%BC","искать")</f>
        <v/>
      </c>
      <c r="N2968" s="3" t="n"/>
      <c r="O2968" s="2" t="n"/>
      <c r="P2968" s="2" t="n"/>
    </row>
    <row r="2969">
      <c r="A2969" s="2" t="n">
        <v>2968</v>
      </c>
      <c r="B2969" s="2" t="inlineStr">
        <is>
          <t>не сюжет</t>
        </is>
      </c>
      <c r="C2969" s="2" t="n">
        <v>7356</v>
      </c>
      <c r="D2969" s="3" t="inlineStr">
        <is>
          <t>Возвращение Коста</t>
        </is>
      </c>
      <c r="E2969" s="2" t="n">
        <v>1967</v>
      </c>
      <c r="F2969" s="2" t="inlineStr">
        <is>
          <t>телефильм</t>
        </is>
      </c>
      <c r="G2969" s="2" t="n"/>
      <c r="H2969" s="2" t="n">
        <v>434</v>
      </c>
      <c r="I2969" s="2" t="inlineStr"/>
      <c r="J2969" s="2" t="inlineStr">
        <is>
          <t>да</t>
        </is>
      </c>
      <c r="K2969" s="3" t="inlineStr">
        <is>
          <t>Первый художественный фильм, созданный в республике, посвящен великому осетинскому поэту Коста Хетагурову, названному Всемирным Советом Мира в числе лучших писателей, поэтов, мыслителей истории. Создатели фильма назвали его "музыкальной поэмой". Это - точное обозначение жанра произведения, в котором арии и народные хоры органически сплетаются с монологами Коста - его раздумьями о жизни и поэзии, с подлинными стихотворениями поэта.</t>
        </is>
      </c>
      <c r="L2969" s="2" t="inlineStr">
        <is>
          <t>Кино_СССР сводный каталог.xlsx: список телефильмов</t>
        </is>
      </c>
      <c r="M2969" s="2">
        <f>HYPERLINK("https://ru.wikipedia.org/w/index.php?search=%D0%92%D0%BE%D0%B7%D0%B2%D1%80%D0%B0%D1%89%D0%B5%D0%BD%D0%B8%D0%B5%20%D0%9A%D0%BE%D1%81%D1%82%D0%B0%201967%20%D1%84%D0%B8%D0%BB%D1%8C%D0%BC","искать")</f>
        <v/>
      </c>
      <c r="N2969" s="3" t="n"/>
      <c r="O2969" s="2" t="n"/>
      <c r="P2969" s="2" t="n"/>
    </row>
    <row r="2970">
      <c r="A2970" s="2" t="n">
        <v>2969</v>
      </c>
      <c r="B2970" s="2" t="inlineStr">
        <is>
          <t>не сюжет</t>
        </is>
      </c>
      <c r="C2970" s="2" t="n">
        <v>10811</v>
      </c>
      <c r="D2970" s="3" t="inlineStr">
        <is>
          <t>Молодая хозяйка Нискавуори</t>
        </is>
      </c>
      <c r="E2970" s="2" t="n">
        <v>1979</v>
      </c>
      <c r="F2970" s="2" t="inlineStr">
        <is>
          <t>фильм-спектакль</t>
        </is>
      </c>
      <c r="G2970" s="2" t="n"/>
      <c r="H2970" s="2" t="n">
        <v>439</v>
      </c>
      <c r="I2970" s="2" t="inlineStr"/>
      <c r="J2970" s="2" t="inlineStr">
        <is>
          <t>да</t>
        </is>
      </c>
      <c r="K2970" s="3" t="inlineStr">
        <is>
          <t>Самое известное из произведений замечательного классика финской литературы Хеллы Вуолийоки - сага о семье Нискавуори - состоит из пяти пьес. Первая из них, “Молодая хозяйка Нискавуори”, отображающая финский национальный характер, повествует о любви, переменах в жизни, разочарованиях и взглядах на нравственность откровенных, упрямых людей из глубинки, которым нужно приспособиться к новым обстоятельствам. Действие происходит в 1880 году.</t>
        </is>
      </c>
      <c r="L2970" s="2" t="inlineStr">
        <is>
          <t>https://www.kino-teatr.ru/teatr/movie/80218/annot/</t>
        </is>
      </c>
      <c r="M2970" s="2">
        <f>HYPERLINK("https://ru.wikipedia.org/w/index.php?search=%D0%9C%D0%BE%D0%BB%D0%BE%D0%B4%D0%B0%D1%8F%20%D1%85%D0%BE%D0%B7%D1%8F%D0%B9%D0%BA%D0%B0%20%D0%9D%D0%B8%D1%81%D0%BA%D0%B0%D0%B2%D1%83%D0%BE%D1%80%D0%B8%201979%20%D1%84%D0%B8%D0%BB%D1%8C%D0%BC","искать")</f>
        <v/>
      </c>
      <c r="N2970" s="3" t="n"/>
      <c r="O2970" s="2" t="n"/>
      <c r="P2970" s="2" t="n"/>
    </row>
    <row r="2971">
      <c r="A2971" s="2" t="n">
        <v>2970</v>
      </c>
      <c r="B2971" s="2" t="inlineStr">
        <is>
          <t>не сюжет</t>
        </is>
      </c>
      <c r="C2971" s="2" t="n">
        <v>11241</v>
      </c>
      <c r="D2971" s="3" t="inlineStr">
        <is>
          <t>Я знаю силу слов</t>
        </is>
      </c>
      <c r="E2971" s="2" t="n">
        <v>1988</v>
      </c>
      <c r="F2971" s="2" t="inlineStr">
        <is>
          <t>фильм-спектакль</t>
        </is>
      </c>
      <c r="G2971" s="2" t="inlineStr">
        <is>
          <t>Главная редакция литературно-драматических программ ЦТ</t>
        </is>
      </c>
      <c r="H2971" s="2" t="n">
        <v>440</v>
      </c>
      <c r="I2971" s="2" t="inlineStr"/>
      <c r="J2971" s="2" t="inlineStr">
        <is>
          <t>да</t>
        </is>
      </c>
      <c r="K2971" s="3" t="inlineStr">
        <is>
          <t>По сценической композиции Юрия Астафьева в постановке Московского театра имени Ленинского комсомола.
Спектакль построен в форме монолога о Владимире Маяковском в виде новелл, каждая из которых - о конкретном периоде жизни поэта. Время действия - 20-е, 30-е годы. Составлен по воспоминаниям современников В.Маяковского - Н. Асеева, Л. Брик, М. Горького, В. Каменского, Л. Кассиля, В. Катаева, П. Лавута, Б. Пастернака. М. Цветаевой и других.</t>
        </is>
      </c>
      <c r="L2971" s="2" t="inlineStr">
        <is>
          <t>https://www.kino-teatr.ru/teatr/movie/82088/annot/</t>
        </is>
      </c>
      <c r="M2971" s="2">
        <f>HYPERLINK("https://ru.wikipedia.org/w/index.php?search=%D0%AF%20%D0%B7%D0%BD%D0%B0%D1%8E%20%D1%81%D0%B8%D0%BB%D1%83%20%D1%81%D0%BB%D0%BE%D0%B2%201988%20%D1%84%D0%B8%D0%BB%D1%8C%D0%BC","искать")</f>
        <v/>
      </c>
      <c r="N2971" s="3" t="n"/>
      <c r="O2971" s="2" t="n"/>
      <c r="P2971" s="2" t="n"/>
    </row>
    <row r="2972">
      <c r="A2972" s="2" t="n">
        <v>2971</v>
      </c>
      <c r="B2972" s="2" t="inlineStr">
        <is>
          <t>не сюжет</t>
        </is>
      </c>
      <c r="C2972" s="2" t="n">
        <v>7483</v>
      </c>
      <c r="D2972" s="3" t="inlineStr">
        <is>
          <t>Дверь, открытая для тебя</t>
        </is>
      </c>
      <c r="E2972" s="2" t="n">
        <v>1984</v>
      </c>
      <c r="F2972" s="2" t="inlineStr">
        <is>
          <t>телефильм</t>
        </is>
      </c>
      <c r="G2972" s="2" t="n"/>
      <c r="H2972" s="2" t="n">
        <v>442</v>
      </c>
      <c r="I2972" s="2" t="inlineStr"/>
      <c r="J2972" s="2" t="inlineStr">
        <is>
          <t>да</t>
        </is>
      </c>
      <c r="K2972" s="3" t="inlineStr">
        <is>
          <t>Об одном из современных колхозов Советской Латвии. Красной нитью проходит через фильм тема преемственности и ответственности.
традиционный в общем-то сюжет из колхозной жизни, вместивший в себя что-то от фильма о «деловом человеке», что-то от фильма об «одинокой женщине», традиционная «председательская» роль для Дзидры Ритенберг (какая уж по счету!)… Но из картины тем не менее выносишь ощущение какого—то свежего, нынешнего знания о жизни.</t>
        </is>
      </c>
      <c r="L2972" s="2" t="inlineStr">
        <is>
          <t>https://ru.wikipedia.org/w/index.php?title=%D0%94%D0%B2%D0%B5%D1%80%D1%8C%2C_%D0%BE%D1%82%D0%BA%D1%80%D1%8B%D1%82%D0%B0%D1%8F_%D0%B4%D0%BB%D1%8F_%D1%82%D0%B5%D0%B1%D1%8F&amp;oldid=154694421</t>
        </is>
      </c>
      <c r="M2972" s="2">
        <f>HYPERLINK("https://ru.wikipedia.org/w/index.php?search=%D0%94%D0%B2%D0%B5%D1%80%D1%8C%2C%20%D0%BE%D1%82%D0%BA%D1%80%D1%8B%D1%82%D0%B0%D1%8F%20%D0%B4%D0%BB%D1%8F%20%D1%82%D0%B5%D0%B1%D1%8F%201984%20%D1%84%D0%B8%D0%BB%D1%8C%D0%BC","искать")</f>
        <v/>
      </c>
      <c r="N2972" s="3" t="n"/>
      <c r="O2972" s="2" t="n"/>
      <c r="P2972" s="2" t="n"/>
    </row>
    <row r="2973">
      <c r="A2973" s="2" t="n">
        <v>2972</v>
      </c>
      <c r="B2973" s="2" t="inlineStr">
        <is>
          <t>не сюжет</t>
        </is>
      </c>
      <c r="C2973" s="2" t="n">
        <v>7232</v>
      </c>
      <c r="D2973" s="3" t="inlineStr">
        <is>
          <t>Бал в Савойе</t>
        </is>
      </c>
      <c r="E2973" s="2" t="n">
        <v>1985</v>
      </c>
      <c r="F2973" s="2" t="inlineStr">
        <is>
          <t>телефильм</t>
        </is>
      </c>
      <c r="G2973" s="2" t="n"/>
      <c r="H2973" s="2" t="n">
        <v>448</v>
      </c>
      <c r="I2973" s="2" t="inlineStr"/>
      <c r="J2973" s="2" t="inlineStr">
        <is>
          <t>да</t>
        </is>
      </c>
      <c r="K2973" s="3" t="inlineStr">
        <is>
          <t>Телефильм по одноименной оперетте венгерского композитора Пала Абрахама.
Легко запоминающиеся мелодии, энергичные танцевальные ритмы, веселые и остроумные повороты сюжета и сегодня привлекают и радуют зрителей всего мира. Итак, персонажи оперетты - очаровательная Мадлен и находчивая Дези, беспечный Жестен и неунывающий Мустафа-бей - приглашают на "Бал в "Савойе"!
Подробнее на Кино-Театр.РУ https://www.kino-teatr.ru/kino/movie/sov/17094/annot/</t>
        </is>
      </c>
      <c r="L2973" s="2" t="inlineStr">
        <is>
          <t>Кино_СССР сводный каталог.xlsx: список телефильмов</t>
        </is>
      </c>
      <c r="M2973" s="2">
        <f>HYPERLINK("https://ru.wikipedia.org/w/index.php?search=%D0%91%D0%B0%D0%BB%20%D0%B2%20%D0%A1%D0%B0%D0%B2%D0%BE%D0%B9%D0%B5%201985%20%D1%84%D0%B8%D0%BB%D1%8C%D0%BC","искать")</f>
        <v/>
      </c>
      <c r="N2973" s="3" t="n"/>
      <c r="O2973" s="2" t="n"/>
      <c r="P2973" s="2" t="n"/>
    </row>
    <row r="2974">
      <c r="A2974" s="2" t="n">
        <v>2973</v>
      </c>
      <c r="B2974" s="2" t="inlineStr">
        <is>
          <t>не сюжет</t>
        </is>
      </c>
      <c r="C2974" s="2" t="n">
        <v>10430</v>
      </c>
      <c r="D2974" s="3" t="inlineStr">
        <is>
          <t>Бертольт Брехт. Песни и баллады</t>
        </is>
      </c>
      <c r="E2974" s="2" t="n">
        <v>1972</v>
      </c>
      <c r="F2974" s="2" t="inlineStr">
        <is>
          <t>фильм-спектакль</t>
        </is>
      </c>
      <c r="G2974" s="2" t="inlineStr">
        <is>
          <t>Центральное телевидение</t>
        </is>
      </c>
      <c r="H2974" s="2" t="n">
        <v>449</v>
      </c>
      <c r="I2974" s="2" t="inlineStr"/>
      <c r="J2974" s="2" t="inlineStr">
        <is>
          <t>да</t>
        </is>
      </c>
      <c r="K2974" s="3" t="inlineStr">
        <is>
          <t>В фильме исполнялись произведения Бертольта Брехта:
- Легенда о мертвом солдате
- Непобедимая надпись
- Песня штурмовика
- Баллада о матери и солдате
- Крестовый поход детей
- Бараний марш
- Все или никто
Песни из "Трехгрошевой оперы":
- Рассказы о Господине Койнере
- Две песни из пьесы "Хэппи энд"
- Буковские эллегии
- Содатская песня
Использовалась музыка композиторов: Ганса Эйслера, Курта Вайля, Кирилла Акимова в инструментовке М.Дунаевского.</t>
        </is>
      </c>
      <c r="L2974" s="2" t="inlineStr">
        <is>
          <t>https://www.kino-teatr.ru/teatr/movie/106491/annot/</t>
        </is>
      </c>
      <c r="M2974" s="2">
        <f>HYPERLINK("https://ru.wikipedia.org/w/index.php?search=%D0%91%D0%B5%D1%80%D1%82%D0%BE%D0%BB%D1%8C%D1%82%20%D0%91%D1%80%D0%B5%D1%85%D1%82.%20%D0%9F%D0%B5%D1%81%D0%BD%D0%B8%20%D0%B8%20%D0%B1%D0%B0%D0%BB%D0%BB%D0%B0%D0%B4%D1%8B%201972%20%D1%84%D0%B8%D0%BB%D1%8C%D0%BC","искать")</f>
        <v/>
      </c>
      <c r="N2974" s="3" t="n"/>
      <c r="O2974" s="2" t="n"/>
      <c r="P2974" s="2" t="n"/>
    </row>
    <row r="2975">
      <c r="A2975" s="2" t="n">
        <v>2974</v>
      </c>
      <c r="B2975" s="2" t="inlineStr">
        <is>
          <t>не сюжет</t>
        </is>
      </c>
      <c r="C2975" s="2" t="n">
        <v>10107</v>
      </c>
      <c r="D2975" s="3" t="inlineStr">
        <is>
          <t>Зима тревоги нашей</t>
        </is>
      </c>
      <c r="E2975" s="2" t="n">
        <v>1963</v>
      </c>
      <c r="F2975" s="2" t="inlineStr">
        <is>
          <t>фильм-спектакль</t>
        </is>
      </c>
      <c r="G2975" s="2" t="inlineStr">
        <is>
          <t>Ленинградское телевидение</t>
        </is>
      </c>
      <c r="H2975" s="2" t="n">
        <v>452</v>
      </c>
      <c r="I2975" s="2" t="inlineStr"/>
      <c r="J2975" s="2" t="inlineStr">
        <is>
          <t>да</t>
        </is>
      </c>
      <c r="K2975" s="3" t="inlineStr">
        <is>
          <t>По одноименному роману Дж. Стейнбека о переживаниях человека, поступившегося своими принципами.
Итен Аллен Хоули, потомок могущественного семейства, получивший высшее образование, знаток истории и литературы, поклонник латыни, вынужден работать продавцом в лавке какого-то макаронника Марулло. Репутация Итена безупречна, но подобно змее, он сбрасывает старую кожу, чтобы явиться в образе чудовища, перед которым будут трепетать даже городские магнаты.</t>
        </is>
      </c>
      <c r="L2975" s="2" t="inlineStr">
        <is>
          <t>https://www.kino-teatr.ru/teatr/movie/17105/annot/</t>
        </is>
      </c>
      <c r="M2975" s="2">
        <f>HYPERLINK("https://ru.wikipedia.org/w/index.php?search=%D0%97%D0%B8%D0%BC%D0%B0%20%D1%82%D1%80%D0%B5%D0%B2%D0%BE%D0%B3%D0%B8%20%D0%BD%D0%B0%D1%88%D0%B5%D0%B9%201963%20%D1%84%D0%B8%D0%BB%D1%8C%D0%BC","искать")</f>
        <v/>
      </c>
      <c r="N2975" s="3" t="n"/>
      <c r="O2975" s="2" t="n"/>
      <c r="P2975" s="2" t="n"/>
    </row>
    <row r="2976">
      <c r="A2976" s="2" t="n">
        <v>2975</v>
      </c>
      <c r="B2976" s="2" t="inlineStr">
        <is>
          <t>не сюжет</t>
        </is>
      </c>
      <c r="C2976" s="2" t="n">
        <v>7294</v>
      </c>
      <c r="D2976" s="3" t="inlineStr">
        <is>
          <t>В лесах под Ковелем</t>
        </is>
      </c>
      <c r="E2976" s="2" t="n">
        <v>1984</v>
      </c>
      <c r="F2976" s="2" t="inlineStr">
        <is>
          <t>телефильм</t>
        </is>
      </c>
      <c r="G2976" s="2" t="inlineStr">
        <is>
          <t>к/с им. Довженко</t>
        </is>
      </c>
      <c r="H2976" s="2" t="n">
        <v>455</v>
      </c>
      <c r="I2976" s="2" t="inlineStr"/>
      <c r="J2976" s="2" t="inlineStr">
        <is>
          <t>да</t>
        </is>
      </c>
      <c r="K2976" s="3" t="inlineStr">
        <is>
          <t>Трёхсерийный телевизионный фильм «В лесах под Ковелем» (киностудия им. А. Довженко) снят на основе мемуаров генерал-майора А. Ф. Фёдорова, дважды Героя Советского Союза. Он повествует о партизанском движении на Украине во время Великой Отечественной войны, являясь продолжением телефильма «Подпольный обком действует», поставленного по одноимённой книге воспоминаний. События фильма разворачиваются в 1943 году, в районе Ковельского железнодорожного узла.</t>
        </is>
      </c>
      <c r="L2976" s="2" t="inlineStr">
        <is>
          <t>https://ru.wikipedia.org/w/index.php?title=%D0%92_%D0%BB%D0%B5%D1%81%D0%B0%D1%85_%D0%BF%D0%BE%D0%B4_%D0%9A%D0%BE%D0%B2%D0%B5%D0%BB%D0%B5%D0%BC&amp;oldid=151508347</t>
        </is>
      </c>
      <c r="M2976" s="2">
        <f>HYPERLINK("https://ru.wikipedia.org/w/index.php?search=%D0%92%20%D0%BB%D0%B5%D1%81%D0%B0%D1%85%20%D0%BF%D0%BE%D0%B4%20%D0%9A%D0%BE%D0%B2%D0%B5%D0%BB%D0%B5%D0%BC%201984%20%D1%84%D0%B8%D0%BB%D1%8C%D0%BC","искать")</f>
        <v/>
      </c>
      <c r="N2976" s="3" t="n"/>
      <c r="O2976" s="2" t="n"/>
      <c r="P2976" s="2" t="n"/>
    </row>
    <row r="2977">
      <c r="A2977" s="2" t="n">
        <v>2976</v>
      </c>
      <c r="B2977" s="2" t="inlineStr">
        <is>
          <t>не сюжет</t>
        </is>
      </c>
      <c r="C2977" s="2" t="n">
        <v>11323</v>
      </c>
      <c r="D2977" s="3" t="inlineStr">
        <is>
          <t>Смерть Калошина</t>
        </is>
      </c>
      <c r="E2977" s="2" t="n">
        <v>1990</v>
      </c>
      <c r="F2977" s="2" t="inlineStr">
        <is>
          <t>фильм-спектакль</t>
        </is>
      </c>
      <c r="G2977" s="2" t="inlineStr">
        <is>
          <t>Ленинградское ТВ</t>
        </is>
      </c>
      <c r="H2977" s="2" t="n">
        <v>457</v>
      </c>
      <c r="I2977" s="2" t="inlineStr"/>
      <c r="J2977" s="2" t="inlineStr">
        <is>
          <t>да</t>
        </is>
      </c>
      <c r="K2977" s="3" t="inlineStr">
        <is>
          <t>Телевизионный творческий центр "Лира" предлагает вашему вниманию премьеру спектакля, поставленного на Ленинградском телевидении известным театральным режиссером з.д.и. РСФСР Ефимом Падве по мотивам рассказов и пьесы "История с метранпажем" талантливого советского драматурга и прозаика Александра Вампилова.
Вас ждет встреча с интересным прочтением его произведений, тем более, что Е.Падве известен как один из глубоких интерпретаторов творчества Вампилова.</t>
        </is>
      </c>
      <c r="L2977" s="2" t="inlineStr">
        <is>
          <t>https://www.kino-teatr.ru/teatr/movie/79769/annot/</t>
        </is>
      </c>
      <c r="M2977" s="2">
        <f>HYPERLINK("https://ru.wikipedia.org/w/index.php?search=%D0%A1%D0%BC%D0%B5%D1%80%D1%82%D1%8C%20%D0%9A%D0%B0%D0%BB%D0%BE%D1%88%D0%B8%D0%BD%D0%B0%201990%20%D1%84%D0%B8%D0%BB%D1%8C%D0%BC","искать")</f>
        <v/>
      </c>
      <c r="N2977" s="3" t="n"/>
      <c r="O2977" s="2" t="n"/>
      <c r="P2977" s="2" t="n"/>
    </row>
    <row r="2978">
      <c r="A2978" s="2" t="n">
        <v>2977</v>
      </c>
      <c r="B2978" s="2" t="inlineStr">
        <is>
          <t>не сюжет</t>
        </is>
      </c>
      <c r="C2978" s="2" t="n">
        <v>13498</v>
      </c>
      <c r="D2978" s="3" t="inlineStr">
        <is>
          <t>Будет ласковый дождь</t>
        </is>
      </c>
      <c r="E2978" s="2" t="n">
        <v>1984</v>
      </c>
      <c r="F2978" s="2" t="inlineStr">
        <is>
          <t>мультфильм</t>
        </is>
      </c>
      <c r="G2978" s="2" t="inlineStr">
        <is>
          <t>УЗБЕКФИЛЬМ</t>
        </is>
      </c>
      <c r="H2978" s="2" t="n">
        <v>465</v>
      </c>
      <c r="I2978" s="2" t="inlineStr"/>
      <c r="J2978" s="2" t="inlineStr">
        <is>
          <t>да</t>
        </is>
      </c>
      <c r="K2978" s="3" t="inlineStr">
        <is>
          <t>По мотивам произведений Рэя Брэдбери.Будет ласковый дождь, будет запах земли.Щебет юрких стрижей от зари до зари,И ночные рулады лягушек в прудах.И цветение слив в белопенных садах;Огнегрудый комочек слетит на забор,И малиновки трель выткет звонкий узор.И никто, и никто не вспомянет войнуПережито-забыто, ворошить ни к чемуИ ни птица, ни ива слезы не прольет,Если сгинет с Земли человеческий родИ весна... и Весна встретит новый рассветНе заметив, что нас уже нет.</t>
        </is>
      </c>
      <c r="L2978" s="2" t="inlineStr">
        <is>
          <t>2026-10_мультфильмы_список_владельца.xlsx; https://animator.ru/db/?p=show_film&amp;fid=4788</t>
        </is>
      </c>
      <c r="M2978" s="2">
        <f>HYPERLINK("https://ru.wikipedia.org/w/index.php?search=%D0%91%D1%83%D0%B4%D0%B5%D1%82%20%D0%BB%D0%B0%D1%81%D0%BA%D0%BE%D0%B2%D1%8B%D0%B9%20%D0%B4%D0%BE%D0%B6%D0%B4%D1%8C%201984%20%D1%84%D0%B8%D0%BB%D1%8C%D0%BC","искать")</f>
        <v/>
      </c>
      <c r="N2978" s="3" t="n"/>
      <c r="O2978" s="2" t="n"/>
      <c r="P2978" s="2" t="n"/>
    </row>
    <row r="2979">
      <c r="A2979" s="2" t="n">
        <v>2978</v>
      </c>
      <c r="B2979" s="2" t="inlineStr">
        <is>
          <t>не сюжет</t>
        </is>
      </c>
      <c r="C2979" s="2" t="n">
        <v>11277</v>
      </c>
      <c r="D2979" s="3" t="inlineStr">
        <is>
          <t>Сад без земли</t>
        </is>
      </c>
      <c r="E2979" s="2" t="n">
        <v>1989</v>
      </c>
      <c r="F2979" s="2" t="inlineStr">
        <is>
          <t>фильм-спектакль</t>
        </is>
      </c>
      <c r="G2979" s="2" t="inlineStr">
        <is>
          <t>Главная редакция литературно-драматических программ ЦТ</t>
        </is>
      </c>
      <c r="H2979" s="2" t="n">
        <v>474</v>
      </c>
      <c r="I2979" s="2" t="inlineStr"/>
      <c r="J2979" s="2" t="inlineStr">
        <is>
          <t>да</t>
        </is>
      </c>
      <c r="K2979" s="3" t="inlineStr">
        <is>
          <t>По одноименной пьесе Людмилы Разумовской в постановке Ташкентского государственного русского академического театра драмы имени М. Горького.
Неустроенность судеб молодых героев заставляет задуматься над причинами жизненных неудач не только действующих лиц, но и зрителей. Неразумно обвинять в своих нестчастьях окружающих людей или обстоятельства. Надо иметь мужество заглянуть в самих себя и попробовать осознать, в чем ты виноват сам и не нарушил ли ты нравственные законы.</t>
        </is>
      </c>
      <c r="L2979" s="2" t="inlineStr">
        <is>
          <t>https://www.kino-teatr.ru/teatr/movie/103953/annot/</t>
        </is>
      </c>
      <c r="M2979" s="2">
        <f>HYPERLINK("https://ru.wikipedia.org/w/index.php?search=%D0%A1%D0%B0%D0%B4%20%D0%B1%D0%B5%D0%B7%20%D0%B7%D0%B5%D0%BC%D0%BB%D0%B8%201989%20%D1%84%D0%B8%D0%BB%D1%8C%D0%BC","искать")</f>
        <v/>
      </c>
      <c r="N2979" s="3" t="n"/>
      <c r="O2979" s="2" t="n"/>
      <c r="P2979" s="2" t="n"/>
    </row>
    <row r="2980">
      <c r="A2980" s="2" t="n">
        <v>2979</v>
      </c>
      <c r="B2980" s="2" t="inlineStr">
        <is>
          <t>не сюжет</t>
        </is>
      </c>
      <c r="C2980" s="2" t="n">
        <v>11272</v>
      </c>
      <c r="D2980" s="3" t="inlineStr">
        <is>
          <t>Победительница</t>
        </is>
      </c>
      <c r="E2980" s="2" t="n">
        <v>1989</v>
      </c>
      <c r="F2980" s="2" t="inlineStr">
        <is>
          <t>фильм-спектакль</t>
        </is>
      </c>
      <c r="G2980" s="2" t="inlineStr">
        <is>
          <t>Главная редакция литературно-драматических программ ЦТ</t>
        </is>
      </c>
      <c r="H2980" s="2" t="n">
        <v>475</v>
      </c>
      <c r="I2980" s="2" t="inlineStr"/>
      <c r="J2980" s="2" t="inlineStr">
        <is>
          <t>да</t>
        </is>
      </c>
      <c r="K2980" s="3" t="inlineStr">
        <is>
          <t>По одноименной пьесе А.Арбузова в постановке Ленинградского государственного академического драматического театра имени Ленсовета.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is>
      </c>
      <c r="L2980" s="2" t="inlineStr">
        <is>
          <t>https://www.kino-teatr.ru/teatr/movie/81500/annot/</t>
        </is>
      </c>
      <c r="M2980" s="2">
        <f>HYPERLINK("https://ru.wikipedia.org/w/index.php?search=%D0%9F%D0%BE%D0%B1%D0%B5%D0%B4%D0%B8%D1%82%D0%B5%D0%BB%D1%8C%D0%BD%D0%B8%D1%86%D0%B0%201989%20%D1%84%D0%B8%D0%BB%D1%8C%D0%BC","искать")</f>
        <v/>
      </c>
      <c r="N2980" s="3" t="n"/>
      <c r="O2980" s="2" t="n"/>
      <c r="P2980" s="2" t="n"/>
    </row>
    <row r="2981">
      <c r="A2981" s="2" t="n">
        <v>2980</v>
      </c>
      <c r="B2981" s="2" t="inlineStr">
        <is>
          <t>не сюжет</t>
        </is>
      </c>
      <c r="C2981" s="2" t="n">
        <v>11351</v>
      </c>
      <c r="D2981" s="3" t="inlineStr">
        <is>
          <t>Хранители</t>
        </is>
      </c>
      <c r="E2981" s="2" t="n">
        <v>1991</v>
      </c>
      <c r="F2981" s="2" t="inlineStr">
        <is>
          <t>фильм-спектакль</t>
        </is>
      </c>
      <c r="G2981" s="2" t="inlineStr">
        <is>
          <t>Ленинградское телевидение</t>
        </is>
      </c>
      <c r="H2981" s="2" t="n">
        <v>476</v>
      </c>
      <c r="I2981" s="2" t="inlineStr"/>
      <c r="J2981" s="2" t="inlineStr">
        <is>
          <t>да</t>
        </is>
      </c>
      <c r="K2981" s="3" t="inlineStr">
        <is>
          <t>Литературной основой телеспектакля стала первая часть эпопеи Джона Толкина «Властелин колец» в переводе Владимира Муравьёва и Андрея Кистяковского, созданном в 1980-е годы. В этом варианте текста Арагорн носит прозвище Бродяжник, фамилия Бэггинс переводится Торбинс, Рохан называется Ристанией, а Ривенделл — Раздолом. В сценарии (в отличие от вышедшей позже кинотрилогии Питера Джексона) сохранены все основные сюжетные ходы — в частности, в спектакле действует Том Бомбадил.</t>
        </is>
      </c>
      <c r="L2981" s="2" t="inlineStr">
        <is>
          <t>https://ru.wikipedia.org/w/index.php?title=%D0%A5%D1%80%D0%B0%D0%BD%D0%B8%D1%82%D0%B5%D0%BB%D0%B8_%28%D1%82%D0%B5%D0%BB%D0%B5%D1%81%D0%BF%D0%B5%D0%BA%D1%82%D0%B0%D0%BA%D0%BB%D1%8C%29&amp;oldid=154148163</t>
        </is>
      </c>
      <c r="M2981" s="2">
        <f>HYPERLINK("https://ru.wikipedia.org/w/index.php?search=%D0%A5%D1%80%D0%B0%D0%BD%D0%B8%D1%82%D0%B5%D0%BB%D0%B8%201991%20%D1%84%D0%B8%D0%BB%D1%8C%D0%BC","искать")</f>
        <v/>
      </c>
      <c r="N2981" s="3" t="n"/>
      <c r="O2981" s="2" t="n"/>
      <c r="P2981" s="2" t="n"/>
    </row>
    <row r="2982">
      <c r="A2982" s="2" t="n">
        <v>2981</v>
      </c>
      <c r="B2982" s="2" t="inlineStr">
        <is>
          <t>не сюжет</t>
        </is>
      </c>
      <c r="C2982" s="2" t="n">
        <v>10599</v>
      </c>
      <c r="D2982" s="3" t="inlineStr">
        <is>
          <t>Бенефис Ларисы Голубкиной</t>
        </is>
      </c>
      <c r="E2982" s="2" t="n">
        <v>1975</v>
      </c>
      <c r="F2982" s="2" t="inlineStr">
        <is>
          <t>фильм-спектакль</t>
        </is>
      </c>
      <c r="G2982" s="2" t="inlineStr">
        <is>
          <t>Главная редакция музыкальных программ ЦТ</t>
        </is>
      </c>
      <c r="H2982" s="2" t="n">
        <v>481</v>
      </c>
      <c r="I2982" s="2" t="inlineStr"/>
      <c r="J2982" s="2" t="inlineStr">
        <is>
          <t>да</t>
        </is>
      </c>
      <c r="K2982" s="3" t="inlineStr">
        <is>
          <t>Мюзикл, поставленный по мотивам пьесы Бернарда Шоу «Пигмалион» Бернарда Шоу, продолжил традицию телевизионных "Бенефисов", где в качестве главного героя выступал популярный артист театра или кино.
На этот раз Евгений Гинзбург и Борис Пургалин обратились к классической пьесе, в которой бенефициантке Ларисе Голубкиной предстояло сыграть роль Элизы Дулиттл.
Сюжетную линию удачно дополняли музыкальные номера, современные песни, забавные пародийные эпизоды и лирические отступления.</t>
        </is>
      </c>
      <c r="L2982" s="2" t="inlineStr">
        <is>
          <t>https://www.kino-teatr.ru/teatr/movie/79803/annot/</t>
        </is>
      </c>
      <c r="M2982" s="2">
        <f>HYPERLINK("https://ru.wikipedia.org/w/index.php?search=%D0%91%D0%B5%D0%BD%D0%B5%D1%84%D0%B8%D1%81%20%D0%9B%D0%B0%D1%80%D0%B8%D1%81%D1%8B%20%D0%93%D0%BE%D0%BB%D1%83%D0%B1%D0%BA%D0%B8%D0%BD%D0%BE%D0%B9%201975%20%D1%84%D0%B8%D0%BB%D1%8C%D0%BC","искать")</f>
        <v/>
      </c>
      <c r="N2982" s="3" t="n"/>
      <c r="O2982" s="2" t="n"/>
      <c r="P2982" s="2" t="n"/>
    </row>
    <row r="2983">
      <c r="A2983" s="2" t="n">
        <v>2982</v>
      </c>
      <c r="B2983" s="2" t="inlineStr">
        <is>
          <t>не сюжет</t>
        </is>
      </c>
      <c r="C2983" s="2" t="n">
        <v>14417</v>
      </c>
      <c r="D2983" s="3" t="inlineStr">
        <is>
          <t>Клуб путешественников</t>
        </is>
      </c>
      <c r="E2983" s="2" t="n">
        <v>1984</v>
      </c>
      <c r="F2983" s="2" t="inlineStr">
        <is>
          <t>мультфильм</t>
        </is>
      </c>
      <c r="G2983" s="2" t="n"/>
      <c r="H2983" s="2" t="n">
        <v>482</v>
      </c>
      <c r="I2983" s="2" t="inlineStr"/>
      <c r="J2983" s="2" t="inlineStr">
        <is>
          <t>да</t>
        </is>
      </c>
      <c r="K2983" s="3" t="inlineStr">
        <is>
          <t>Мультипликационный фильм состоит из названий тематических рубрик к передаче "Клуб путешественников": "Семь морей", "Вести из экспедиций", "В мире интересных фактов", "Традиции, нравы, обычаи", "Клуб отвечает на письма зрителей", "Литературные путешествия", "Великие реки мира", "Горы мира", "Отечество моё", "Быт, обычаи, культура народов мира", "Экспедиция клуба путешественников", "Из истории географических открытий", "Города мира", "По странам и континетам", "Из глубины веков".</t>
        </is>
      </c>
      <c r="L2983" s="2" t="inlineStr">
        <is>
          <t>https://animator.ru/db/?p=show_film&amp;fid=6653</t>
        </is>
      </c>
      <c r="M2983" s="2">
        <f>HYPERLINK("https://ru.wikipedia.org/w/index.php?search=%D0%9A%D0%BB%D1%83%D0%B1%20%D0%BF%D1%83%D1%82%D0%B5%D1%88%D0%B5%D1%81%D1%82%D0%B2%D0%B5%D0%BD%D0%BD%D0%B8%D0%BA%D0%BE%D0%B2%201984%20%D1%84%D0%B8%D0%BB%D1%8C%D0%BC","искать")</f>
        <v/>
      </c>
      <c r="N2983" s="3" t="n"/>
      <c r="O2983" s="2" t="n"/>
      <c r="P2983" s="2" t="n"/>
    </row>
    <row r="2984">
      <c r="A2984" s="2" t="n">
        <v>2983</v>
      </c>
      <c r="B2984" s="2" t="inlineStr">
        <is>
          <t>не сюжет</t>
        </is>
      </c>
      <c r="C2984" s="2" t="n">
        <v>11071</v>
      </c>
      <c r="D2984" s="3" t="inlineStr">
        <is>
          <t>Печка на колесе</t>
        </is>
      </c>
      <c r="E2984" s="2" t="n">
        <v>1985</v>
      </c>
      <c r="F2984" s="2" t="inlineStr">
        <is>
          <t>фильм-спектакль</t>
        </is>
      </c>
      <c r="G2984" s="2" t="inlineStr">
        <is>
          <t>Главная редакция литературно-драматический программ ЦТ</t>
        </is>
      </c>
      <c r="H2984" s="2" t="n">
        <v>485</v>
      </c>
      <c r="I2984" s="2" t="inlineStr"/>
      <c r="J2984" s="2" t="inlineStr">
        <is>
          <t>да</t>
        </is>
      </c>
      <c r="K2984" s="3" t="inlineStr">
        <is>
          <t>Фильм-спектакль по пьесе Н.Семеновой.
В основе — спектакль театра имени Моссовета, режиссер — Б.Щедрин.
Русский абсурд. Героиня комедии — мать пятерых детей, телятница Фрося, которая живет в неперспективной деревне и не хочет покидать родной дом, свою «печку на колесе». В главной роли — Наталья Тенякова. Настоящая горожанка необыкновенно органична в роли деревенской простушки. Манеру речи актриса позаимствовала у деревенской жительницы, рядом с домом которой Тенякова снимала дачу.</t>
        </is>
      </c>
      <c r="L2984" s="2" t="inlineStr">
        <is>
          <t>https://www.kino-teatr.ru/teatr/movie/9827/annot/</t>
        </is>
      </c>
      <c r="M2984" s="2">
        <f>HYPERLINK("https://ru.wikipedia.org/w/index.php?search=%D0%9F%D0%B5%D1%87%D0%BA%D0%B0%20%D0%BD%D0%B0%20%D0%BA%D0%BE%D0%BB%D0%B5%D1%81%D0%B5%201985%20%D1%84%D0%B8%D0%BB%D1%8C%D0%BC","искать")</f>
        <v/>
      </c>
      <c r="N2984" s="3" t="n"/>
      <c r="O2984" s="2" t="n"/>
      <c r="P2984" s="2" t="n"/>
    </row>
    <row r="2985">
      <c r="A2985" s="2" t="n">
        <v>2984</v>
      </c>
      <c r="B2985" s="2" t="inlineStr">
        <is>
          <t>не сюжет</t>
        </is>
      </c>
      <c r="C2985" s="2" t="n">
        <v>8839</v>
      </c>
      <c r="D2985" s="3" t="inlineStr">
        <is>
          <t>Миф о Леониде</t>
        </is>
      </c>
      <c r="E2985" s="2" t="n">
        <v>1991</v>
      </c>
      <c r="F2985" s="2" t="inlineStr">
        <is>
          <t>кинофильм</t>
        </is>
      </c>
      <c r="G2985" s="2" t="n"/>
      <c r="H2985" s="2" t="n">
        <v>496</v>
      </c>
      <c r="I2985" s="2" t="inlineStr"/>
      <c r="J2985" s="2" t="inlineStr">
        <is>
          <t>да</t>
        </is>
      </c>
      <c r="K2985" s="3" t="inlineStr">
        <is>
          <t>Индивидуальный бунт «маленького человека» Леонида Николаева превращается в итоге в один из наиболее громких судебных процессов 1930-х годов.
В противовес официальной политической версии убийства, уцелевший в ходе «чисток» генерал НКВД А. М. Орлов (на Западе А. Орлова называли генералом, так как его звание майор госбезопасности соответствовало армейскому званию комбрига) излагает свою, бытовую версию убийства, в которой Николаев предстаёт героем, посягнувшим на жизнь государственного деятеля.</t>
        </is>
      </c>
      <c r="L2985" s="2" t="inlineStr">
        <is>
          <t>https://ru.wikipedia.org/w/index.php?title=%D0%9C%D0%B8%D1%84_%D0%BE_%D0%9B%D0%B5%D0%BE%D0%BD%D0%B8%D0%B4%D0%B5&amp;oldid=146286577</t>
        </is>
      </c>
      <c r="M2985" s="2">
        <f>HYPERLINK("https://ru.wikipedia.org/w/index.php?search=%D0%9C%D0%B8%D1%84%20%D0%BE%20%D0%9B%D0%B5%D0%BE%D0%BD%D0%B8%D0%B4%D0%B5%201991%20%D1%84%D0%B8%D0%BB%D1%8C%D0%BC","искать")</f>
        <v/>
      </c>
      <c r="N2985" s="3" t="n"/>
      <c r="O2985" s="2" t="n"/>
      <c r="P2985" s="2" t="n"/>
    </row>
    <row r="2986">
      <c r="A2986" s="2" t="n">
        <v>2985</v>
      </c>
      <c r="B2986" s="2" t="inlineStr">
        <is>
          <t>не сюжет</t>
        </is>
      </c>
      <c r="C2986" s="2" t="n">
        <v>10186</v>
      </c>
      <c r="D2986" s="3" t="inlineStr">
        <is>
          <t>Волчица</t>
        </is>
      </c>
      <c r="E2986" s="2" t="n">
        <v>1967</v>
      </c>
      <c r="F2986" s="2" t="inlineStr">
        <is>
          <t>фильм-спектакль</t>
        </is>
      </c>
      <c r="G2986" s="2" t="inlineStr">
        <is>
          <t>Укртелефильм</t>
        </is>
      </c>
      <c r="H2986" s="2" t="n">
        <v>503</v>
      </c>
      <c r="I2986" s="2" t="inlineStr"/>
      <c r="J2986" s="2" t="inlineStr">
        <is>
          <t>да</t>
        </is>
      </c>
      <c r="K2986" s="3" t="inlineStr">
        <is>
          <t>Экранизация пьесы А.Ананьева по одноимённому рассказу Ольги Кобылянской.
Фильм-спектакль с участием актеров Черновицкого украинского музыкально-драматического театра им. О. Кобылянской.
В центре произведения образ "твёрдой как камень" Зои Жмут, которая в погоне за наживой становится волчицей для собственных детей. Спектакль, осуждая тёмные стороны жизни буковинских крестьян, обусловленные социальной действительностью, показывая губительную власть земли, высвечивает лучшие черты народного характера.</t>
        </is>
      </c>
      <c r="L2986" s="2" t="inlineStr">
        <is>
          <t>https://www.kino-teatr.ru/teatr/movie/98340/annot/</t>
        </is>
      </c>
      <c r="M2986" s="2">
        <f>HYPERLINK("https://ru.wikipedia.org/w/index.php?search=%D0%92%D0%BE%D0%BB%D1%87%D0%B8%D1%86%D0%B0%201967%20%D1%84%D0%B8%D0%BB%D1%8C%D0%BC","искать")</f>
        <v/>
      </c>
      <c r="N2986" s="3" t="n"/>
      <c r="O2986" s="2" t="n"/>
      <c r="P2986" s="2" t="n"/>
    </row>
    <row r="2987">
      <c r="A2987" s="2" t="n">
        <v>2986</v>
      </c>
      <c r="B2987" s="2" t="inlineStr">
        <is>
          <t>не сюжет</t>
        </is>
      </c>
      <c r="C2987" s="2" t="n">
        <v>10156</v>
      </c>
      <c r="D2987" s="3" t="inlineStr">
        <is>
          <t>Страх и отчаяние в Третьей империи</t>
        </is>
      </c>
      <c r="E2987" s="2" t="n">
        <v>1965</v>
      </c>
      <c r="F2987" s="2" t="inlineStr">
        <is>
          <t>фильм-спектакль</t>
        </is>
      </c>
      <c r="G2987" s="2" t="inlineStr">
        <is>
          <t>Ленинградское телевидение</t>
        </is>
      </c>
      <c r="H2987" s="2" t="n">
        <v>506</v>
      </c>
      <c r="I2987" s="2" t="inlineStr"/>
      <c r="J2987" s="2" t="inlineStr">
        <is>
          <t>да</t>
        </is>
      </c>
      <c r="K2987" s="3" t="inlineStr">
        <is>
          <t>Ленинградское телевидение 1965 года представляет постановку по мотивам сцен пьесы-обозрения Бертольда Брехта .
Германии под властью фашизма были посвящены хроникальные драматические сцены «Страх и отчаяние в Третьей империи», написанные Бертольдом Брехтом в 1938 году. Театры всего мира ставят его пьесы, открывая в них все новые стороны, привлекающие зрителей шестидесятых годов.
Постановка брехтовских пьес — такой же экзамен на зрелость для театральной труппы, как трагедия Шекспира или комедия Мольера.</t>
        </is>
      </c>
      <c r="L2987" s="2" t="inlineStr">
        <is>
          <t>https://www.kino-teatr.ru/teatr/movie/12245/annot/</t>
        </is>
      </c>
      <c r="M2987" s="2">
        <f>HYPERLINK("https://ru.wikipedia.org/w/index.php?search=%D0%A1%D1%82%D1%80%D0%B0%D1%85%20%D0%B8%20%D0%BE%D1%82%D1%87%D0%B0%D1%8F%D0%BD%D0%B8%D0%B5%20%D0%B2%20%D0%A2%D1%80%D0%B5%D1%82%D1%8C%D0%B5%D0%B9%20%D0%B8%D0%BC%D0%BF%D0%B5%D1%80%D0%B8%D0%B8%201965%20%D1%84%D0%B8%D0%BB%D1%8C%D0%BC","искать")</f>
        <v/>
      </c>
      <c r="N2987" s="3" t="n"/>
      <c r="O2987" s="2" t="n"/>
      <c r="P2987" s="2" t="n"/>
    </row>
    <row r="2988">
      <c r="A2988" s="2" t="n">
        <v>2987</v>
      </c>
      <c r="B2988" s="2" t="inlineStr">
        <is>
          <t>не сюжет</t>
        </is>
      </c>
      <c r="C2988" s="2" t="n">
        <v>10420</v>
      </c>
      <c r="D2988" s="3" t="inlineStr">
        <is>
          <t>Суббота, воскресенье, понедельник</t>
        </is>
      </c>
      <c r="E2988" s="2" t="n">
        <v>1971</v>
      </c>
      <c r="F2988" s="2" t="inlineStr">
        <is>
          <t>фильм-спектакль</t>
        </is>
      </c>
      <c r="G2988" s="2" t="inlineStr">
        <is>
          <t>Главная редакция литературно-драматических программ</t>
        </is>
      </c>
      <c r="H2988" s="2" t="n">
        <v>507</v>
      </c>
      <c r="I2988" s="2" t="inlineStr"/>
      <c r="J2988" s="2" t="inlineStr">
        <is>
          <t>да</t>
        </is>
      </c>
      <c r="K2988" s="3" t="inlineStr">
        <is>
          <t>Трагикомедия Эдуардо де Филиппо в постановке театра им. Ермоловой.
Три дня из жизни простых неаполитанцев.
Всего три дня выхвачены из жизни героев пьесы, но вся их жизнь — и прошедшая, и будущая — словно на ладони. Люди тут бесхитростны, чистосердечны и искренни. Они обладают удивительной притягательностью. Это темпераментные люди. Но что поделаешь с неаполитанцами, если даже обсуждение рецепта обжаривания лука для рагу насыщено пылающей страстью! Они романтичны, немного смешны и простодушны, как дети.</t>
        </is>
      </c>
      <c r="L2988" s="2" t="inlineStr">
        <is>
          <t>https://www.kino-teatr.ru/teatr/movie/81382/annot/</t>
        </is>
      </c>
      <c r="M2988" s="2">
        <f>HYPERLINK("https://ru.wikipedia.org/w/index.php?search=%D0%A1%D1%83%D0%B1%D0%B1%D0%BE%D1%82%D0%B0%2C%20%D0%B2%D0%BE%D1%81%D0%BA%D1%80%D0%B5%D1%81%D0%B5%D0%BD%D1%8C%D0%B5%2C%20%D0%BF%D0%BE%D0%BD%D0%B5%D0%B4%D0%B5%D0%BB%D1%8C%D0%BD%D0%B8%D0%BA%201971%20%D1%84%D0%B8%D0%BB%D1%8C%D0%BC","искать")</f>
        <v/>
      </c>
      <c r="N2988" s="3" t="n"/>
      <c r="O2988" s="2" t="n"/>
      <c r="P2988" s="2" t="n"/>
    </row>
    <row r="2989">
      <c r="A2989" s="2" t="n">
        <v>2988</v>
      </c>
      <c r="B2989" s="2" t="inlineStr">
        <is>
          <t>не сюжет</t>
        </is>
      </c>
      <c r="C2989" s="2" t="n">
        <v>11195</v>
      </c>
      <c r="D2989" s="3" t="inlineStr">
        <is>
          <t>Дон Жуан</t>
        </is>
      </c>
      <c r="E2989" s="2" t="n">
        <v>1988</v>
      </c>
      <c r="F2989" s="2" t="inlineStr">
        <is>
          <t>фильм-спектакль</t>
        </is>
      </c>
      <c r="G2989" s="2" t="inlineStr">
        <is>
          <t>Главная редакция литературно-драматических программ ЦТ</t>
        </is>
      </c>
      <c r="H2989" s="2" t="n">
        <v>507</v>
      </c>
      <c r="I2989" s="2" t="inlineStr"/>
      <c r="J2989" s="2" t="inlineStr">
        <is>
          <t>да</t>
        </is>
      </c>
      <c r="K2989" s="3" t="inlineStr">
        <is>
          <t>"Дон Жуан" - спектакль, поставленный ГАЦТК им. Образцова. Кукольный театр - мир особенно ясный и счастливый - отбрасывает всевозможные ограничения и предубеждения. Сам спектакль Дон Жуан ироничен. Он - пародия на мюзикл. Язык спектакля, понятный всем и каждому , - писал Зиновий Гердт.
Каждая картина - самостоятельный вид штампованного мюзикла: исторический мюзикл, мюзикл кошмаров, даже есть детективно - мордобойный мюзикл. И, конечно, вступительное слово читает сам автор - Сергей Владимирович Образцов.</t>
        </is>
      </c>
      <c r="L2989" s="2" t="inlineStr">
        <is>
          <t>https://www.kino-teatr.ru/teatr/movie/89548/annot/</t>
        </is>
      </c>
      <c r="M2989" s="2">
        <f>HYPERLINK("https://ru.wikipedia.org/w/index.php?search=%D0%94%D0%BE%D0%BD%20%D0%96%D1%83%D0%B0%D0%BD%201988%20%D1%84%D0%B8%D0%BB%D1%8C%D0%BC","искать")</f>
        <v/>
      </c>
      <c r="N2989" s="3" t="n"/>
      <c r="O2989" s="2" t="n"/>
      <c r="P2989" s="2" t="n"/>
    </row>
    <row r="2990">
      <c r="A2990" s="2" t="n">
        <v>2989</v>
      </c>
      <c r="B2990" s="2" t="inlineStr">
        <is>
          <t>не сюжет</t>
        </is>
      </c>
      <c r="C2990" s="2" t="n">
        <v>10587</v>
      </c>
      <c r="D2990" s="3" t="inlineStr">
        <is>
          <t>Р РѕРјРµРѕ Рё Р”Р¶СѓР»СЊРµС‚С‚Р°</t>
        </is>
      </c>
      <c r="E2990" s="2" t="n">
        <v>1974</v>
      </c>
      <c r="F2990" s="2" t="inlineStr">
        <is>
          <t>фильм-спектакль</t>
        </is>
      </c>
      <c r="G2990" s="2" t="n"/>
      <c r="H2990" s="2" t="n">
        <v>508</v>
      </c>
      <c r="I2990" s="2" t="inlineStr"/>
      <c r="J2990" s="2" t="inlineStr">
        <is>
          <t>да</t>
        </is>
      </c>
      <c r="K2990" s="3" t="inlineStr">
        <is>
          <t>Р¤РёР»СЊРј-Р±Р°Р»РµС‚ РЎ.РџСЂРѕРєРѕС„СЊРµРІР° "Р РѕРјРµРѕ Рё Р”Р¶СѓР»СЊРµС‚С‚Р°" РїРѕ РѕРґРЅРѕРёРјРµРЅРЅРѕР№ С‚СЂР°РіРµРґРёРё РЈ.РЁРµРєСЃРїРёСЂР° РІ РїРѕСЃС‚Р°РЅРѕРІРєРµ Р“РѕСЃСѓРґР°СЂСЃС‚РІРµРЅРЅРѕРіРѕ Р°РєР°РґРµРјРёС‡РµСЃРєРѕРіРѕ Р‘РѕР»СЊС€РѕРіРѕ С‚РµР°С‚СЂР° РЎРѕСЋР·Р° РЎРЎР .
Р›РёР±СЂРµС‚С‚Рѕ - РЎ.Р Р°РґР»РѕРІ, Рђ.РџРёРѕС‚СЂРѕРІСЃРєРёР№, РЎ.РџСЂРѕРєРѕС„СЊРµРІ. РҐРѕСЂРµРѕРіСЂР°С„РёСЏ Р›.Р›Р°РІСЂРѕРІСЃРєРѕРіРѕ. Р”РёСЂРёР¶РµСЂ - Рђ.Р–СЋСЂР°Р№С‚РёСЃ.
Р—Р°РїРёСЃСЊ РїРѕ С‚СЂР°РЅСЃР»СЏС†РёРё 26.09.1974 Рі.</t>
        </is>
      </c>
      <c r="L2990" s="2" t="inlineStr">
        <is>
          <t>https://www.kino-teatr.ru/teatr/movie/102959/annot/</t>
        </is>
      </c>
      <c r="M2990" s="2">
        <f>HYPERLINK("https://ru.wikipedia.org/w/index.php?search=%D0%A0%20%D0%A0%D1%95%D0%A0%D1%98%D0%A0%C2%B5%D0%A0%D1%95%20%D0%A0%D1%91%20%D0%A0%E2%80%9D%D0%A0%C2%B6%D0%A1%D1%93%D0%A0%C2%BB%D0%A1%D0%8A%D0%A0%C2%B5%D0%A1%E2%80%9A%D0%A1%E2%80%9A%D0%A0%C2%B0%201974%20%D1%84%D0%B8%D0%BB%D1%8C%D0%BC","искать")</f>
        <v/>
      </c>
      <c r="N2990" s="3" t="n"/>
      <c r="O2990" s="2" t="n"/>
      <c r="P2990" s="2" t="n"/>
    </row>
    <row r="2991">
      <c r="A2991" s="2" t="n">
        <v>2990</v>
      </c>
      <c r="B2991" s="2" t="inlineStr">
        <is>
          <t>не сюжет</t>
        </is>
      </c>
      <c r="C2991" s="2" t="n">
        <v>10888</v>
      </c>
      <c r="D2991" s="3" t="inlineStr">
        <is>
          <t>Леший</t>
        </is>
      </c>
      <c r="E2991" s="2" t="n">
        <v>1981</v>
      </c>
      <c r="F2991" s="2" t="inlineStr">
        <is>
          <t>фильм-спектакль</t>
        </is>
      </c>
      <c r="G2991" s="2" t="inlineStr">
        <is>
          <t>ТО "Экран", Государственный Академический Театр имени Евгения Вахтангова</t>
        </is>
      </c>
      <c r="H2991" s="2" t="n">
        <v>509</v>
      </c>
      <c r="I2991" s="2" t="inlineStr"/>
      <c r="J2991" s="2" t="inlineStr">
        <is>
          <t>да</t>
        </is>
      </c>
      <c r="K2991" s="3" t="inlineStr">
        <is>
          <t>По одноименной пьесе Чехова в постановке театра имени Евгения Вахтангова.
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is>
      </c>
      <c r="L2991" s="2" t="inlineStr">
        <is>
          <t>https://www.kino-teatr.ru/teatr/movie/81550/annot/</t>
        </is>
      </c>
      <c r="M2991" s="2">
        <f>HYPERLINK("https://ru.wikipedia.org/w/index.php?search=%D0%9B%D0%B5%D1%88%D0%B8%D0%B9%201981%20%D1%84%D0%B8%D0%BB%D1%8C%D0%BC","искать")</f>
        <v/>
      </c>
      <c r="N2991" s="3" t="n"/>
      <c r="O2991" s="2" t="n"/>
      <c r="P2991" s="2" t="n"/>
    </row>
    <row r="2992">
      <c r="A2992" s="2" t="n">
        <v>2991</v>
      </c>
      <c r="B2992" s="2" t="inlineStr">
        <is>
          <t>не сюжет</t>
        </is>
      </c>
      <c r="C2992" s="2" t="n">
        <v>7596</v>
      </c>
      <c r="D2992" s="3" t="inlineStr">
        <is>
          <t>Жизнь Берлиоза</t>
        </is>
      </c>
      <c r="E2992" s="2" t="n">
        <v>1982</v>
      </c>
      <c r="F2992" s="2" t="inlineStr">
        <is>
          <t>телефильм</t>
        </is>
      </c>
      <c r="G2992" s="2" t="n"/>
      <c r="H2992" s="2" t="n">
        <v>514</v>
      </c>
      <c r="I2992" s="2" t="inlineStr"/>
      <c r="J2992" s="2" t="inlineStr">
        <is>
          <t>да</t>
        </is>
      </c>
      <c r="K2992" s="3" t="inlineStr">
        <is>
          <t>Телесериал посвящен жизни и творчеству великого французского композитора XIX столетия Гектора Берлиоза, автора знаменитой «Фантастической симфонии», яркого представителя романтизма в музыке; художника, чей талант намного опередил свое время. Сама жизнь Берлиоза была наполнена событиями, счастливыми и печальными, творческими поисками, общением с талантливыми современниками, одни из которых поражались глубиной и искренностью музыки композитора, другие вспоминали о Гекторе Берлиозе как о «напыщенном комедианте».</t>
        </is>
      </c>
      <c r="L2992" s="2" t="inlineStr">
        <is>
          <t>Кино_СССР сводный каталог.xlsx: список телефильмов</t>
        </is>
      </c>
      <c r="M2992" s="2">
        <f>HYPERLINK("https://ru.wikipedia.org/w/index.php?search=%D0%96%D0%B8%D0%B7%D0%BD%D1%8C%20%D0%91%D0%B5%D1%80%D0%BB%D0%B8%D0%BE%D0%B7%D0%B0%201982%20%D1%84%D0%B8%D0%BB%D1%8C%D0%BC","искать")</f>
        <v/>
      </c>
      <c r="N2992" s="3" t="n"/>
      <c r="O2992" s="2" t="n"/>
      <c r="P2992" s="2" t="n"/>
    </row>
    <row r="2993">
      <c r="A2993" s="2" t="n">
        <v>2992</v>
      </c>
      <c r="B2993" s="2" t="inlineStr">
        <is>
          <t>не сюжет</t>
        </is>
      </c>
      <c r="C2993" s="2" t="n">
        <v>8868</v>
      </c>
      <c r="D2993" s="3" t="inlineStr">
        <is>
          <t>Небылицы про Ивана</t>
        </is>
      </c>
      <c r="E2993" s="2" t="n">
        <v>1989</v>
      </c>
      <c r="F2993" s="2" t="inlineStr">
        <is>
          <t>кинофильм</t>
        </is>
      </c>
      <c r="G2993" s="2" t="n"/>
      <c r="H2993" s="2" t="n">
        <v>516</v>
      </c>
      <c r="I2993" s="2" t="inlineStr"/>
      <c r="J2993" s="2" t="inlineStr">
        <is>
          <t>да</t>
        </is>
      </c>
      <c r="K2993" s="3" t="inlineStr">
        <is>
          <t>Фильм-притча. Действие происходит на Прикарпатье в годы Первой мировой войны. В центре сюжета — перипетии жизненного пути путешественника, авантюриста, путешествующего актёра и философа Ивана Калиты, вечного и неунывающего борца за справедливость. Его оружие — Великий Смех, который таит в себе мудрую лукавинку, язвительную остроту, скабрёзную шутку и философскую притчу.
Иван Калита — прикарпатский Ходжа Насреддин. Он — и неподкупная совесть народа, и его лукавый герой, весело выпутывающийся из сложных ситуаций.</t>
        </is>
      </c>
      <c r="L2993" s="2" t="inlineStr">
        <is>
          <t>https://ru.wikipedia.org/w/index.php?title=%D0%9D%D0%B5%D0%B1%D1%8B%D0%BB%D0%B8%D1%86%D1%8B_%D0%BF%D1%80%D0%BE_%D0%98%D0%B2%D0%B0%D0%BD%D0%B0&amp;oldid=154700472</t>
        </is>
      </c>
      <c r="M2993" s="2">
        <f>HYPERLINK("https://ru.wikipedia.org/w/index.php?search=%D0%9D%D0%B5%D0%B1%D1%8B%D0%BB%D0%B8%D1%86%D1%8B%20%D0%BF%D1%80%D0%BE%20%D0%98%D0%B2%D0%B0%D0%BD%D0%B0%201989%20%D1%84%D0%B8%D0%BB%D1%8C%D0%BC","искать")</f>
        <v/>
      </c>
      <c r="N2993" s="3" t="n"/>
      <c r="O2993" s="2" t="n"/>
      <c r="P2993" s="2" t="n"/>
    </row>
    <row r="2994">
      <c r="A2994" s="2" t="n">
        <v>2993</v>
      </c>
      <c r="B2994" s="2" t="inlineStr">
        <is>
          <t>не сюжет</t>
        </is>
      </c>
      <c r="C2994" s="2" t="n">
        <v>10669</v>
      </c>
      <c r="D2994" s="3" t="inlineStr">
        <is>
          <t>Рамаяна</t>
        </is>
      </c>
      <c r="E2994" s="2" t="n">
        <v>1976</v>
      </c>
      <c r="F2994" s="2" t="inlineStr">
        <is>
          <t>фильм-спектакль</t>
        </is>
      </c>
      <c r="G2994" s="2" t="inlineStr">
        <is>
          <t>Творческое объединение "Экран"</t>
        </is>
      </c>
      <c r="H2994" s="2" t="n">
        <v>520</v>
      </c>
      <c r="I2994" s="2" t="inlineStr"/>
      <c r="J2994" s="2" t="inlineStr">
        <is>
          <t>да</t>
        </is>
      </c>
      <c r="K2994" s="3" t="inlineStr">
        <is>
          <t>Пьеса Натальи Гусевой по древнеиндийскому эпосу в постановке Государственного центрального детского театра.
Рама – преданный сын своих родителей, понимающий брат, сильный мужчина, бесстрашный воин, верный муж и мудрый правитель.
Это не просто обычная история. В ней содержатся учения древних мудрецов, которые представлены посредством аллегорического повествования в сочетании с философией и бхакти. Персонажи Рамы, Ситы, Лакшманы, Бхараты, Ханумана и Раваны являются неотъемлемыми элементами культурного сознания Индии.</t>
        </is>
      </c>
      <c r="L2994" s="2" t="inlineStr">
        <is>
          <t>https://www.kino-teatr.ru/teatr/movie/89962/annot/</t>
        </is>
      </c>
      <c r="M2994" s="2">
        <f>HYPERLINK("https://ru.wikipedia.org/w/index.php?search=%D0%A0%D0%B0%D0%BC%D0%B0%D1%8F%D0%BD%D0%B0%201976%20%D1%84%D0%B8%D0%BB%D1%8C%D0%BC","искать")</f>
        <v/>
      </c>
      <c r="N2994" s="3" t="n"/>
      <c r="O2994" s="2" t="n"/>
      <c r="P2994" s="2" t="n"/>
    </row>
    <row r="2995">
      <c r="A2995" s="2" t="n">
        <v>2994</v>
      </c>
      <c r="B2995" s="2" t="inlineStr">
        <is>
          <t>не сюжет</t>
        </is>
      </c>
      <c r="C2995" s="2" t="n">
        <v>11216</v>
      </c>
      <c r="D2995" s="3" t="inlineStr">
        <is>
          <t>Мертвые души</t>
        </is>
      </c>
      <c r="E2995" s="2" t="n">
        <v>1988</v>
      </c>
      <c r="F2995" s="2" t="inlineStr">
        <is>
          <t>фильм-спектакль</t>
        </is>
      </c>
      <c r="G2995" s="2" t="n"/>
      <c r="H2995" s="2" t="n">
        <v>520</v>
      </c>
      <c r="I2995" s="2" t="inlineStr"/>
      <c r="J2995" s="2" t="inlineStr">
        <is>
          <t>да</t>
        </is>
      </c>
      <c r="K2995" s="3" t="inlineStr">
        <is>
          <t>В 1985 году А. Филиппенко и М. Розовский становятся лауреатами посвященного 175-летию со дня рождения Н.В. Гоголя конкурса артистов-чтецов за «Повесть о капитане Копейкине». Вскоре появился моноспектакль «Мёртвые души». 18 мая 1988 года на сцене Московского драматического театра имени К.С. Станиславского в рамках культурной программы творческого объединения «Союзтеатр» состоялась премьера моноспектакля Александра Филиппенко «Мёртвые души». Затем спектакль возобновлялся в других декорациях и шёл в различных театрах.</t>
        </is>
      </c>
      <c r="L2995" s="2" t="inlineStr">
        <is>
          <t>https://www.kino-teatr.ru/teatr/movie/99074/annot/</t>
        </is>
      </c>
      <c r="M2995" s="2">
        <f>HYPERLINK("https://ru.wikipedia.org/w/index.php?search=%D0%9C%D0%B5%D1%80%D1%82%D0%B2%D1%8B%D0%B5%20%D0%B4%D1%83%D1%88%D0%B8%201988%20%D1%84%D0%B8%D0%BB%D1%8C%D0%BC","искать")</f>
        <v/>
      </c>
      <c r="N2995" s="3" t="n"/>
      <c r="O2995" s="2" t="n"/>
      <c r="P2995" s="2" t="n"/>
    </row>
    <row r="2996">
      <c r="A2996" s="2" t="n">
        <v>2995</v>
      </c>
      <c r="B2996" s="2" t="inlineStr">
        <is>
          <t>не сюжет</t>
        </is>
      </c>
      <c r="C2996" s="2" t="n">
        <v>8119</v>
      </c>
      <c r="D2996" s="3" t="inlineStr">
        <is>
          <t>Пляска смерти</t>
        </is>
      </c>
      <c r="E2996" s="2" t="n">
        <v>1991</v>
      </c>
      <c r="F2996" s="2" t="inlineStr">
        <is>
          <t>телефильм</t>
        </is>
      </c>
      <c r="G2996" s="2" t="n"/>
      <c r="H2996" s="2" t="n">
        <v>526</v>
      </c>
      <c r="I2996" s="2" t="inlineStr"/>
      <c r="J2996" s="2" t="inlineStr">
        <is>
          <t>да</t>
        </is>
      </c>
      <c r="K2996" s="3" t="inlineStr">
        <is>
          <t>История создания художественного шедевра XV века — фрагмента «Пляски смерти» работы Бернта Нотке, в соборе Святого Николая в Таллине. Оригинальный шедевр был создан художником в церкви Святой Марии в Любеке, и был уничтожен при пожаре во время Второй мировой войны. Но также существует фрагмент в Таллине, обычно приписываемый Нотке. Фильм даёт свою версию появления таллинской копии, согласно которой работа была выполнена коллективно одним из учеников Нотке и Михелем Ситтовым, и оказалась незаконченной из-за эпидемии чумы.</t>
        </is>
      </c>
      <c r="L2996" s="2" t="inlineStr">
        <is>
          <t>https://ru.wikipedia.org/w/index.php?title=%D0%9F%D0%BB%D1%8F%D1%81%D0%BA%D0%B0_%D1%81%D0%BC%D0%B5%D1%80%D1%82%D0%B8_%28%D1%84%D0%B8%D0%BB%D1%8C%D0%BC%2C_1991%29&amp;oldid=154702565</t>
        </is>
      </c>
      <c r="M2996" s="2">
        <f>HYPERLINK("https://ru.wikipedia.org/w/index.php?search=%D0%9F%D0%BB%D1%8F%D1%81%D0%BA%D0%B0%20%D1%81%D0%BC%D0%B5%D1%80%D1%82%D0%B8%201991%20%D1%84%D0%B8%D0%BB%D1%8C%D0%BC","искать")</f>
        <v/>
      </c>
      <c r="N2996" s="3" t="n"/>
      <c r="O2996" s="2" t="n"/>
      <c r="P2996" s="2" t="n"/>
    </row>
    <row r="2997">
      <c r="A2997" s="2" t="n">
        <v>2996</v>
      </c>
      <c r="B2997" s="2" t="inlineStr">
        <is>
          <t>не сюжет</t>
        </is>
      </c>
      <c r="C2997" s="2" t="n">
        <v>8595</v>
      </c>
      <c r="D2997" s="3" t="inlineStr">
        <is>
          <t>Эти разные, разные, разные лица</t>
        </is>
      </c>
      <c r="E2997" s="2" t="n">
        <v>1971</v>
      </c>
      <c r="F2997" s="2" t="inlineStr">
        <is>
          <t>телефильм</t>
        </is>
      </c>
      <c r="G2997" s="2" t="n"/>
      <c r="H2997" s="2" t="n">
        <v>529</v>
      </c>
      <c r="I2997" s="2" t="inlineStr"/>
      <c r="J2997" s="2" t="inlineStr">
        <is>
          <t>да</t>
        </is>
      </c>
      <c r="K2997" s="3" t="inlineStr">
        <is>
          <t>Фильм состоит из семи самостоятельных новелл по маленьким рассказам А. П. Чехова:
Смерть чиновника
Пересолил
Оратор
Ночь перед судом
Дочь Альбиона
Сапоги
Хамелеон
Роли всех 24 персонажей этих рассказов исполняет Игорь Ильинский (за исключением Зиночки Съеловой в «Ночи перед судом», которая ненадолго появляется в кадре только со спины и произносит несколько слов за кадром, а также двух других женских персонажей — жены Червякова в «Смерти чиновника» и актрисы в «Сапогах», которые также представлены только голосами за кадром).</t>
        </is>
      </c>
      <c r="L2997" s="2" t="inlineStr">
        <is>
          <t>https://ru.wikipedia.org/w/index.php?title=%D0%AD%D1%82%D0%B8_%D1%80%D0%B0%D0%B7%D0%BD%D1%8B%D0%B5%2C_%D1%80%D0%B0%D0%B7%D0%BD%D1%8B%D0%B5%2C_%D1%80%D0%B0%D0%B7%D0%BD%D1%8B%D0%B5_%D0%BB%D0%B8%D1%86%D0%B0%E2%80%A6&amp;oldid=146585690</t>
        </is>
      </c>
      <c r="M2997" s="2">
        <f>HYPERLINK("https://ru.wikipedia.org/w/index.php?search=%D0%AD%D1%82%D0%B8%20%D1%80%D0%B0%D0%B7%D0%BD%D1%8B%D0%B5%2C%20%D1%80%D0%B0%D0%B7%D0%BD%D1%8B%D0%B5%2C%20%D1%80%D0%B0%D0%B7%D0%BD%D1%8B%D0%B5%20%D0%BB%D0%B8%D1%86%D0%B0%201971%20%D1%84%D0%B8%D0%BB%D1%8C%D0%BC","искать")</f>
        <v/>
      </c>
      <c r="N2997" s="3" t="n"/>
      <c r="O2997" s="2" t="n"/>
      <c r="P2997" s="2" t="n"/>
    </row>
    <row r="2998">
      <c r="A2998" s="2" t="n">
        <v>2997</v>
      </c>
      <c r="B2998" s="2" t="inlineStr">
        <is>
          <t>не сюжет</t>
        </is>
      </c>
      <c r="C2998" s="2" t="n">
        <v>10193</v>
      </c>
      <c r="D2998" s="3" t="inlineStr">
        <is>
          <t>Евгений Онегин</t>
        </is>
      </c>
      <c r="E2998" s="2" t="n">
        <v>1967</v>
      </c>
      <c r="F2998" s="2" t="inlineStr">
        <is>
          <t>фильм-спектакль</t>
        </is>
      </c>
      <c r="G2998" s="2" t="inlineStr">
        <is>
          <t>Ленинградское ТВ</t>
        </is>
      </c>
      <c r="H2998" s="2" t="n">
        <v>533</v>
      </c>
      <c r="I2998" s="2" t="inlineStr"/>
      <c r="J2998" s="2" t="inlineStr">
        <is>
          <t>да</t>
        </is>
      </c>
      <c r="K2998" s="3" t="inlineStr">
        <is>
          <t>Первая и вторая главы "Евгения Онегина" в исполнении Сергея Юрского.
Впервые Сергей Юрский прочел на телевидении "Евгения Онегина" почти сорок лет назад. И тогда, тридцатилетний Юрский читал поэму тридцатилетнего Пушкина, и самое замечательное в этом было то, как совместились мироощущения ровесников, актера и поэта. Как улетучилась в миг извечная чтецкая дистанция, и Пушкин, язвительный и романтичный, Пушкин-болтун и мудрец, хулиган и философ предстал перед зрителями не только в лирических отступлениях, но и в персонажах поэмы.</t>
        </is>
      </c>
      <c r="L2998" s="2" t="inlineStr">
        <is>
          <t>https://www.kino-teatr.ru/teatr/movie/92871/annot/</t>
        </is>
      </c>
      <c r="M2998" s="2">
        <f>HYPERLINK("https://ru.wikipedia.org/w/index.php?search=%D0%95%D0%B2%D0%B3%D0%B5%D0%BD%D0%B8%D0%B9%20%D0%9E%D0%BD%D0%B5%D0%B3%D0%B8%D0%BD%201967%20%D1%84%D0%B8%D0%BB%D1%8C%D0%BC","искать")</f>
        <v/>
      </c>
      <c r="N2998" s="3" t="n"/>
      <c r="O2998" s="2" t="n"/>
      <c r="P2998" s="2" t="n"/>
    </row>
    <row r="2999">
      <c r="A2999" s="2" t="n">
        <v>2998</v>
      </c>
      <c r="B2999" s="2" t="inlineStr">
        <is>
          <t>не сюжет</t>
        </is>
      </c>
      <c r="C2999" s="2" t="n">
        <v>10317</v>
      </c>
      <c r="D2999" s="3" t="inlineStr">
        <is>
          <t>Мёртвые души</t>
        </is>
      </c>
      <c r="E2999" s="2" t="n">
        <v>1969</v>
      </c>
      <c r="F2999" s="2" t="inlineStr">
        <is>
          <t>фильм-спектакль</t>
        </is>
      </c>
      <c r="G2999" s="2" t="inlineStr">
        <is>
          <t>Ленинградское телевидение</t>
        </is>
      </c>
      <c r="H2999" s="2" t="n">
        <v>545</v>
      </c>
      <c r="I2999" s="2" t="inlineStr"/>
      <c r="J2999" s="2" t="inlineStr">
        <is>
          <t>да</t>
        </is>
      </c>
      <c r="K2999" s="3" t="inlineStr">
        <is>
          <t>Сатирическая трагикомедия по одноименной поэме Н.В.Гоголя.
Работу над " Мёртвыми душами " Гоголь начал еще в 1835 году по совету Пушкина и на сюжет, подсказанный им. В "Мертвых душах" Гоголь поставил самые острые и больные вопросы современной жизни. Уже само название поэмы - "Мёртвые души" - имело огромную разоблачающую силу, носило в себе, по словам Герцена, "что-то наводящее ужас", "иначе он не мог назвать; не ревизские - мёртвые души, а все эти Ноздрёвы. Маниловы и все им подобные - вот мёртвые души, и мы их встречаем на каждом шагу..."</t>
        </is>
      </c>
      <c r="L2999" s="2" t="inlineStr">
        <is>
          <t>https://www.kino-teatr.ru/teatr/movie/14306/annot/</t>
        </is>
      </c>
      <c r="M2999" s="2">
        <f>HYPERLINK("https://ru.wikipedia.org/w/index.php?search=%D0%9C%D1%91%D1%80%D1%82%D0%B2%D1%8B%D0%B5%20%D0%B4%D1%83%D1%88%D0%B8%201969%20%D1%84%D0%B8%D0%BB%D1%8C%D0%BC","искать")</f>
        <v/>
      </c>
      <c r="N2999" s="3" t="n"/>
      <c r="O2999" s="2" t="n"/>
      <c r="P2999" s="2" t="n"/>
    </row>
    <row r="3000">
      <c r="A3000" s="2" t="n">
        <v>2999</v>
      </c>
      <c r="B3000" s="2" t="inlineStr">
        <is>
          <t>не сюжет</t>
        </is>
      </c>
      <c r="C3000" s="2" t="n">
        <v>10713</v>
      </c>
      <c r="D3000" s="3" t="inlineStr">
        <is>
          <t>Р Р°СЃСЃРєР°Р· РѕС‚ РїРµСЂРІРѕРіРѕ Р»РёС†Р°</t>
        </is>
      </c>
      <c r="E3000" s="2" t="n">
        <v>1977</v>
      </c>
      <c r="F3000" s="2" t="inlineStr">
        <is>
          <t>фильм-спектакль</t>
        </is>
      </c>
      <c r="G3000" s="2" t="n"/>
      <c r="H3000" s="2" t="n">
        <v>545</v>
      </c>
      <c r="I3000" s="2" t="inlineStr"/>
      <c r="J3000" s="2" t="inlineStr">
        <is>
          <t>да</t>
        </is>
      </c>
      <c r="K3000" s="3" t="inlineStr">
        <is>
          <t>РџРѕ РїСЊРµСЃРµ Рђ. Р“СЂРµР±РЅРµРІР° "Р Р°СЃСЃРєР°Р· РѕС‚ РїРµСЂРІРѕРіРѕ Р»РёС†Р°. Р”РЅРµРІРЅРёРє РґРёСЂРµРєС‚РѕСЂР° С€РєРѕР»С‹" РІ РїРѕСЃС‚Р°РЅРѕРІРєРµ РњРѕСЃРєРѕРІСЃРєРѕРіРѕ РґСЂР°РјР°С‚РёС‡РµСЃРєРѕРіРѕ С‚РµР°С‚СЂР° РЅР° РњР°Р»РѕР№ Р‘СЂРѕРЅРЅРѕР№.
Р’ РѕСЃРЅРѕРІСѓ РґСЂР°РјР°С‚СѓСЂРіРёС‡РµСЃРєРѕРіРѕ Р·Р°РјС‹СЃР»Р° РїРѕР»РѕР¶РµРЅ РїСЂРёРЅС†РёРї РјРѕРЅРѕР»РѕРіР°. РџСЊРµСЃР° РЅРѕСЃРёС‚ С…Р°СЂР°РєС‚РµСЂ СЂР°Р·РјС‹С€Р»РµРЅРёР№ РїРѕ РїРѕРІРѕРґСѓ РїСЂРѕР±Р»РµРј, СЃРІСЏР·Р°РЅРЅС‹С… СЃ РІРѕСЃРїРёС‚Р°РЅРёРµРј РґРµС‚РµР№ РІ СЃСЂРµРґРЅРµР№ С€РєРѕР»Рµ.</t>
        </is>
      </c>
      <c r="L3000" s="2" t="inlineStr">
        <is>
          <t>https://www.kino-teatr.ru/teatr/movie/104382/annot/</t>
        </is>
      </c>
      <c r="M3000" s="2">
        <f>HYPERLINK("https://ru.wikipedia.org/w/index.php?search=%D0%A0%20%D0%A0%C2%B0%D0%A1%D0%83%D0%A1%D0%83%D0%A0%D1%94%D0%A0%C2%B0%D0%A0%C2%B7%20%D0%A0%D1%95%D0%A1%E2%80%9A%20%D0%A0%D1%97%D0%A0%C2%B5%D0%A1%D0%82%D0%A0%D0%86%D0%A0%D1%95%D0%A0%D1%96%D0%A0%D1%95%20%D0%A0%C2%BB%D0%A0%D1%91%D0%A1%E2%80%A0%D0%A0%C2%B0%201977%20%D1%84%D0%B8%D0%BB%D1%8C%D0%BC","искать")</f>
        <v/>
      </c>
      <c r="N3000" s="3" t="n"/>
      <c r="O3000" s="2" t="n"/>
      <c r="P3000" s="2" t="n"/>
    </row>
    <row r="3001">
      <c r="A3001" s="2" t="n">
        <v>3000</v>
      </c>
      <c r="B3001" s="2" t="inlineStr">
        <is>
          <t>не сюжет</t>
        </is>
      </c>
      <c r="C3001" s="2" t="n">
        <v>8386</v>
      </c>
      <c r="D3001" s="3" t="inlineStr">
        <is>
          <t>Софья Ковалевская</t>
        </is>
      </c>
      <c r="E3001" s="2" t="n">
        <v>1985</v>
      </c>
      <c r="F3001" s="2" t="inlineStr">
        <is>
          <t>телефильм</t>
        </is>
      </c>
      <c r="G3001" s="2" t="n"/>
      <c r="H3001" s="2" t="n">
        <v>548</v>
      </c>
      <c r="I3001" s="2" t="inlineStr"/>
      <c r="J3001" s="2" t="inlineStr">
        <is>
          <t>да</t>
        </is>
      </c>
      <c r="K3001" s="3" t="inlineStr">
        <is>
          <t>О первой женщине, ставшей членом-корреспондентом, представляющей Петербургскую Академию Наук, а также первой в мире женщине — профессоре математики. Повествование основывается на воспоминаниях повзрослевшей дочери Софьи и Владимира Ковалевских Софии (в семейном кругу — Фуфа). Именно она спустя годы после смерти матери пытается разобраться с её истинной сущностью. Понять, что же Софья Ковалевская представляла собой не только как математик и общественный деятель, но и как личность, жизнь которой была полна всевозможными событиями и трудностями.</t>
        </is>
      </c>
      <c r="L3001" s="2" t="inlineStr">
        <is>
          <t>https://ru.wikipedia.org/w/index.php?title=%D0%A1%D0%BE%D1%84%D1%8C%D1%8F_%D0%9A%D0%BE%D0%B2%D0%B0%D0%BB%D0%B5%D0%B2%D1%81%D0%BA%D0%B0%D1%8F_%28%D1%84%D0%B8%D0%BB%D1%8C%D0%BC%29&amp;oldid=154704984</t>
        </is>
      </c>
      <c r="M3001" s="2">
        <f>HYPERLINK("https://ru.wikipedia.org/w/index.php?search=%D0%A1%D0%BE%D1%84%D1%8C%D1%8F%20%D0%9A%D0%BE%D0%B2%D0%B0%D0%BB%D0%B5%D0%B2%D1%81%D0%BA%D0%B0%D1%8F%201985%20%D1%84%D0%B8%D0%BB%D1%8C%D0%BC","искать")</f>
        <v/>
      </c>
      <c r="N3001" s="3" t="n"/>
      <c r="O3001" s="2" t="n"/>
      <c r="P3001" s="2" t="n"/>
    </row>
    <row r="3002">
      <c r="A3002" s="2" t="n">
        <v>3001</v>
      </c>
      <c r="B3002" s="2" t="inlineStr">
        <is>
          <t>не сюжет</t>
        </is>
      </c>
      <c r="C3002" s="2" t="n">
        <v>9957</v>
      </c>
      <c r="D3002" s="3" t="inlineStr">
        <is>
          <t>Разжалованный</t>
        </is>
      </c>
      <c r="E3002" s="2" t="n">
        <v>1980</v>
      </c>
      <c r="F3002" s="2" t="inlineStr">
        <is>
          <t>кинофильм</t>
        </is>
      </c>
      <c r="G3002" s="2" t="inlineStr">
        <is>
          <t>Мосфильм, ЭМТО при участии киностудии Ленфильм</t>
        </is>
      </c>
      <c r="H3002" s="2" t="n">
        <v>560</v>
      </c>
      <c r="I3002" s="2" t="inlineStr"/>
      <c r="J3002" s="2" t="inlineStr">
        <is>
          <t>да</t>
        </is>
      </c>
      <c r="K3002" s="3" t="inlineStr">
        <is>
          <t>О ставшем таксистом разжалованном начальнике ГАИ. Сценарий написан Александром Сокуровым по мотивам одноимённого рассказа 1976 года Григория Бакланова, однако, писатель снял своё имя с титров, так как по его словам — у него были «совершенно иные мотивы для написания этого рассказа».
Наше повествование — о совершенно странном и необычном человеке, начавшем новую жизнь после разжалования с государственной службы. С одной стороны, за ним тянется хвост прошлых проблем…, с другой — еще не осознанное и непонятое по последствиям внутреннее ощущение ВОЗРОЖДЕНИЯ.</t>
        </is>
      </c>
      <c r="L3002" s="2" t="inlineStr">
        <is>
          <t>https://ru.wikipedia.org/w/index.php?title=%D0%A0%D0%B0%D0%B7%D0%B6%D0%B0%D0%BB%D0%BE%D0%B2%D0%B0%D0%BD%D0%BD%D1%8B%D0%B9_%28%D1%84%D0%B8%D0%BB%D1%8C%D0%BC%2C_1980%29&amp;oldid=154671283</t>
        </is>
      </c>
      <c r="M3002" s="2">
        <f>HYPERLINK("https://ru.wikipedia.org/w/index.php?search=%D0%A0%D0%B0%D0%B7%D0%B6%D0%B0%D0%BB%D0%BE%D0%B2%D0%B0%D0%BD%D0%BD%D1%8B%D0%B9%201980%20%D1%84%D0%B8%D0%BB%D1%8C%D0%BC","искать")</f>
        <v/>
      </c>
      <c r="N3002" s="3" t="n"/>
      <c r="O3002" s="2" t="n"/>
      <c r="P3002" s="2" t="n"/>
    </row>
    <row r="3003">
      <c r="A3003" s="2" t="n">
        <v>3002</v>
      </c>
      <c r="B3003" s="2" t="inlineStr">
        <is>
          <t>не сюжет</t>
        </is>
      </c>
      <c r="C3003" s="2" t="n">
        <v>11283</v>
      </c>
      <c r="D3003" s="3" t="inlineStr">
        <is>
          <t>Стариковское дело</t>
        </is>
      </c>
      <c r="E3003" s="2" t="n">
        <v>1989</v>
      </c>
      <c r="F3003" s="2" t="inlineStr">
        <is>
          <t>фильм-спектакль</t>
        </is>
      </c>
      <c r="G3003" s="2" t="inlineStr">
        <is>
          <t>Главная редакция литературно-драматических программ ЦТ</t>
        </is>
      </c>
      <c r="H3003" s="2" t="n">
        <v>564</v>
      </c>
      <c r="I3003" s="2" t="inlineStr"/>
      <c r="J3003" s="2" t="inlineStr">
        <is>
          <t>да</t>
        </is>
      </c>
      <c r="K3003" s="3" t="inlineStr">
        <is>
          <t>Телеспектакль Константина Антропова в постановке театра "Школа современной пьесы" по мотивам рассказов Василия Шукшина «Горе», «Как умирал старик», «Дядя Ермолай».
"Стариковское дело — спокойно думать о смерти. И тогда-то и открывается человеку вся сокрытая, изумительная, вечная красота Жизни". Спектакль о нелегкой старости много повидавших и переживших людей. Михаил Глузский — исполнитель одной из главных ролей в этом спектакле — как-то сказал: «Сойдя со сцены, актер умирает вместе со зрителями, которые его видели, а благодаря кино, актер остается надолго».</t>
        </is>
      </c>
      <c r="L3003" s="2" t="inlineStr">
        <is>
          <t>https://www.kino-teatr.ru/teatr/movie/81607/annot/</t>
        </is>
      </c>
      <c r="M3003" s="2">
        <f>HYPERLINK("https://ru.wikipedia.org/w/index.php?search=%D0%A1%D1%82%D0%B0%D1%80%D0%B8%D0%BA%D0%BE%D0%B2%D1%81%D0%BA%D0%BE%D0%B5%20%D0%B4%D0%B5%D0%BB%D0%BE%201989%20%D1%84%D0%B8%D0%BB%D1%8C%D0%BC","искать")</f>
        <v/>
      </c>
      <c r="N3003" s="3" t="n"/>
      <c r="O3003" s="2" t="n"/>
      <c r="P3003" s="2" t="n"/>
    </row>
    <row r="3004">
      <c r="A3004" s="2" t="n">
        <v>3003</v>
      </c>
      <c r="B3004" s="2" t="inlineStr">
        <is>
          <t>не сюжет</t>
        </is>
      </c>
      <c r="C3004" s="2" t="n">
        <v>9819</v>
      </c>
      <c r="D3004" s="3" t="inlineStr">
        <is>
          <t>Апрель</t>
        </is>
      </c>
      <c r="E3004" s="2" t="n">
        <v>1962</v>
      </c>
      <c r="F3004" s="2" t="inlineStr">
        <is>
          <t>кинофильм</t>
        </is>
      </c>
      <c r="G3004" s="2" t="inlineStr">
        <is>
          <t>Грузия-фильм</t>
        </is>
      </c>
      <c r="H3004" s="2" t="n">
        <v>570</v>
      </c>
      <c r="I3004" s="2" t="inlineStr"/>
      <c r="J3004" s="2" t="inlineStr">
        <is>
          <t>да</t>
        </is>
      </c>
      <c r="K3004" s="3" t="inlineStr">
        <is>
          <t>«Жажда приобретательства убивает в лю­дях способность радоваться, грустить, то есть способность жить, превращает их в мещан. Фильм был снят намеренно без диалогов, мы придумали несуществующий язык, и на этом языке во второй полови­не картины персонажи бранят друг друга. Не ищите перевода — и так все понятно. Картина более тридцати лет пролежала на полке. В этом фильме, который я снял В 1962 году, я узнаю молодых людей, моих товарищей, какими они были в те време­на, когда мы все как беды боялись превра­титься в советского буржуа, раба благопо­лучия».
Отар Иоселиани</t>
        </is>
      </c>
      <c r="L3004" s="2" t="inlineStr">
        <is>
          <t>https://www.kino-teatr.ru/short/movie/sov/16361/annot/</t>
        </is>
      </c>
      <c r="M3004" s="2">
        <f>HYPERLINK("https://ru.wikipedia.org/w/index.php?search=%D0%90%D0%BF%D1%80%D0%B5%D0%BB%D1%8C%201962%20%D1%84%D0%B8%D0%BB%D1%8C%D0%BC","искать")</f>
        <v/>
      </c>
      <c r="N3004" s="3" t="n"/>
      <c r="O3004" s="2" t="n"/>
      <c r="P3004" s="2" t="n"/>
    </row>
    <row r="3005">
      <c r="A3005" s="2" t="n">
        <v>3004</v>
      </c>
      <c r="B3005" s="2" t="inlineStr">
        <is>
          <t>не сюжет</t>
        </is>
      </c>
      <c r="C3005" s="2" t="n">
        <v>10008</v>
      </c>
      <c r="D3005" s="3" t="inlineStr">
        <is>
          <t>Семья</t>
        </is>
      </c>
      <c r="E3005" s="2" t="n">
        <v>1985</v>
      </c>
      <c r="F3005" s="2" t="inlineStr">
        <is>
          <t>кинофильм</t>
        </is>
      </c>
      <c r="G3005" s="2" t="inlineStr">
        <is>
          <t>Грузия-фильм</t>
        </is>
      </c>
      <c r="H3005" s="2" t="n">
        <v>570</v>
      </c>
      <c r="I3005" s="2" t="inlineStr"/>
      <c r="J3005" s="2" t="inlineStr">
        <is>
          <t>да</t>
        </is>
      </c>
      <c r="K3005" s="3" t="inlineStr">
        <is>
          <t>В короткометражке "Семья" предощущение надвигающегося хаоса проявляется не в урбанистических пейзажах или присутствии социальных изгоев в кадре — моделью распада культурного бытия становится большая семья, членам которой все труднее сосуществовать в тбилисской квартире. Однако семейный портрет в интерьере не превращается в пестрый пейзаж грузинского общества середины восьмидесятых годов — автору мешает ощущение принадлежности к салону, оно не дает возможности освободиться от ложной ностальгии по интеллигентным и благородным предкам, светлому и радостному прошлому.</t>
        </is>
      </c>
      <c r="L3005" s="2" t="inlineStr">
        <is>
          <t>https://www.kino-teatr.ru/short/movie/sov/12354/annot/</t>
        </is>
      </c>
      <c r="M3005" s="2">
        <f>HYPERLINK("https://ru.wikipedia.org/w/index.php?search=%D0%A1%D0%B5%D0%BC%D1%8C%D1%8F%201985%20%D1%84%D0%B8%D0%BB%D1%8C%D0%BC","искать")</f>
        <v/>
      </c>
      <c r="N3005" s="3" t="n"/>
      <c r="O3005" s="2" t="n"/>
      <c r="P3005" s="2" t="n"/>
    </row>
    <row r="3006">
      <c r="A3006" s="2" t="n">
        <v>3005</v>
      </c>
      <c r="B3006" s="2" t="inlineStr">
        <is>
          <t>не сюжет</t>
        </is>
      </c>
      <c r="C3006" s="2" t="n">
        <v>7562</v>
      </c>
      <c r="D3006" s="3" t="inlineStr">
        <is>
          <t>Другая драма</t>
        </is>
      </c>
      <c r="E3006" s="2" t="n">
        <v>1990</v>
      </c>
      <c r="F3006" s="2" t="inlineStr">
        <is>
          <t>телефильм</t>
        </is>
      </c>
      <c r="G3006" s="2" t="n"/>
      <c r="H3006" s="2" t="n">
        <v>580</v>
      </c>
      <c r="I3006" s="2" t="inlineStr"/>
      <c r="J3006" s="2" t="inlineStr">
        <is>
          <t>да</t>
        </is>
      </c>
      <c r="K3006" s="3" t="inlineStr">
        <is>
          <t>Фильм-биография поэта Бориса Пастернака, где жизнь писателя переплетается со сценами из его романа «Доктор Живаго».
«Пастернак», с его изображениями чувствительного поэта, хватающегося за лоб и размышляющего о глубоких мыслях о любви, жизни и смерти, может показаться многим нерусским напыщенным и претенциозным. … В конце концов, этот Пастернак остается неуловимой фигурой, тщательно замаскированной под всеми этими грандиозными заявлениями о любви, жизни и смерти. В своем стремлении раскрыть сущность русской души г-н Некрасов в конечном итоге упускает из виду самого человека.</t>
        </is>
      </c>
      <c r="L3006" s="2" t="inlineStr">
        <is>
          <t>https://ru.wikipedia.org/w/index.php?title=%D0%94%D1%80%D1%83%D0%B3%D0%B0%D1%8F_%D0%B4%D1%80%D0%B0%D0%BC%D0%B0&amp;oldid=154695351</t>
        </is>
      </c>
      <c r="M3006" s="2">
        <f>HYPERLINK("https://ru.wikipedia.org/w/index.php?search=%D0%94%D1%80%D1%83%D0%B3%D0%B0%D1%8F%20%D0%B4%D1%80%D0%B0%D0%BC%D0%B0%201990%20%D1%84%D0%B8%D0%BB%D1%8C%D0%BC","искать")</f>
        <v/>
      </c>
      <c r="N3006" s="3" t="n"/>
      <c r="O3006" s="2" t="n"/>
      <c r="P3006" s="2" t="n"/>
    </row>
    <row r="3007">
      <c r="A3007" s="2" t="n">
        <v>3006</v>
      </c>
      <c r="B3007" s="2" t="inlineStr">
        <is>
          <t>не сюжет</t>
        </is>
      </c>
      <c r="C3007" s="2" t="n">
        <v>9260</v>
      </c>
      <c r="D3007" s="3" t="inlineStr">
        <is>
          <t>В городе Сочи тёмные ночи</t>
        </is>
      </c>
      <c r="E3007" s="2" t="n">
        <v>1989</v>
      </c>
      <c r="F3007" s="2" t="inlineStr">
        <is>
          <t>кинофильм</t>
        </is>
      </c>
      <c r="G3007" s="2" t="n"/>
      <c r="H3007" s="2" t="n">
        <v>587</v>
      </c>
      <c r="I3007" s="2" t="inlineStr"/>
      <c r="J3007" s="2" t="inlineStr">
        <is>
          <t>да</t>
        </is>
      </c>
      <c r="K3007" s="3" t="inlineStr">
        <is>
          <t>Действие картины происходит в разных городах — Москве, северном провинциальном городке и в Сочи. Персонажи — обычные люди — врачи и артисты, продавцы и рабочие, оказавшиеся перед лицом последствий событий времён Перестройки. Главные герои: Лена (Наталья Негода) — 24-летняя недоучившаяся студентка, брошенная любимым человеком и пытающаяся наладить свою жизнь. Сантехник Степаныч 45 лет (Алексей Жарков) — матёрый аферист, ловко входящий в доверие к людям и исчезающий с крупными суммами денег.
Другие действующие лица — их знакомые, коллеги, родные, пути которых постоянно пересекаются.</t>
        </is>
      </c>
      <c r="L3007" s="2" t="inlineStr">
        <is>
          <t>https://ru.wikipedia.org/w/index.php?title=%D0%92_%D0%B3%D0%BE%D1%80%D0%BE%D0%B4%D0%B5_%D0%A1%D0%BE%D1%87%D0%B8_%D1%82%D1%91%D0%BC%D0%BD%D1%8B%D0%B5_%D0%BD%D0%BE%D1%87%D0%B8&amp;oldid=153006538</t>
        </is>
      </c>
      <c r="M3007" s="2">
        <f>HYPERLINK("https://ru.wikipedia.org/w/index.php?search=%D0%92%20%D0%B3%D0%BE%D1%80%D0%BE%D0%B4%D0%B5%20%D0%A1%D0%BE%D1%87%D0%B8%20%D1%82%D1%91%D0%BC%D0%BD%D1%8B%D0%B5%20%D0%BD%D0%BE%D1%87%D0%B8%201989%20%D1%84%D0%B8%D0%BB%D1%8C%D0%BC","искать")</f>
        <v/>
      </c>
      <c r="N3007" s="3" t="n"/>
      <c r="O3007" s="2" t="n"/>
      <c r="P3007" s="2" t="n"/>
    </row>
    <row r="3008">
      <c r="A3008" s="2" t="n">
        <v>3007</v>
      </c>
      <c r="B3008" s="2" t="inlineStr">
        <is>
          <t>не сюжет</t>
        </is>
      </c>
      <c r="C3008" s="2" t="n">
        <v>10377</v>
      </c>
      <c r="D3008" s="3" t="inlineStr">
        <is>
          <t>Чайка русской сцены</t>
        </is>
      </c>
      <c r="E3008" s="2" t="n">
        <v>1970</v>
      </c>
      <c r="F3008" s="2" t="inlineStr">
        <is>
          <t>фильм-спектакль</t>
        </is>
      </c>
      <c r="G3008" s="2" t="inlineStr">
        <is>
          <t>Ленинградское телевидение, Подборки фильмов, фильмы про актеров</t>
        </is>
      </c>
      <c r="H3008" s="2" t="n">
        <v>591</v>
      </c>
      <c r="I3008" s="2" t="inlineStr"/>
      <c r="J3008" s="2" t="inlineStr">
        <is>
          <t>да</t>
        </is>
      </c>
      <c r="K3008" s="3" t="inlineStr">
        <is>
          <t>Спектакль о великой русской актрисе Вере Федоровне Комиссаржевской.
Судьба великой русской актрисы словно вобрала в себя все боли и взлеты этой нелегкой профессии, и если бывают жизни типичные, то Комиссаржевская стала совершенным "типом" Мельпомены, богини, ненасытно требующей души и плоти артиста. Не зря именно Веру Федоровну назвали "чайкой русской сцены", признав только за ней право неким тревожным символом распахнуть крылья на театральном занавесе. Удивительно, но даже незначительные детали ее биографии какими-то незримыми нитями связаны с нашим представлением о настоящем актере.</t>
        </is>
      </c>
      <c r="L3008" s="2" t="inlineStr">
        <is>
          <t>https://www.kino-teatr.ru/teatr/movie/92989/annot/</t>
        </is>
      </c>
      <c r="M3008" s="2">
        <f>HYPERLINK("https://ru.wikipedia.org/w/index.php?search=%D0%A7%D0%B0%D0%B9%D0%BA%D0%B0%20%D1%80%D1%83%D1%81%D1%81%D0%BA%D0%BE%D0%B9%20%D1%81%D1%86%D0%B5%D0%BD%D1%8B%201970%20%D1%84%D0%B8%D0%BB%D1%8C%D0%BC","искать")</f>
        <v/>
      </c>
      <c r="N3008" s="3" t="n"/>
      <c r="O3008" s="2" t="n"/>
      <c r="P3008" s="2" t="n"/>
    </row>
    <row r="3009">
      <c r="A3009" s="2" t="n">
        <v>3008</v>
      </c>
      <c r="B3009" s="2" t="inlineStr">
        <is>
          <t>не сюжет</t>
        </is>
      </c>
      <c r="C3009" s="2" t="n">
        <v>11290</v>
      </c>
      <c r="D3009" s="3" t="inlineStr">
        <is>
          <t>Энергичные люди</t>
        </is>
      </c>
      <c r="E3009" s="2" t="n">
        <v>1989</v>
      </c>
      <c r="F3009" s="2" t="inlineStr">
        <is>
          <t>фильм-спектакль</t>
        </is>
      </c>
      <c r="G3009" s="2" t="inlineStr">
        <is>
          <t>БДТ, Ленинградское Телевидение</t>
        </is>
      </c>
      <c r="H3009" s="2" t="n">
        <v>596</v>
      </c>
      <c r="I3009" s="2" t="inlineStr"/>
      <c r="J3009" s="2" t="inlineStr">
        <is>
          <t>да</t>
        </is>
      </c>
      <c r="K3009" s="3" t="inlineStr">
        <is>
          <t>22 июня 1974 года в БДТ состоялась премьера спектакля «Энергичные люди» Василия Шукшина. Пьесу в БДТ принес сам Василий Макарович. Критика тогда "Энергичных людей" приняла в штыки, а публика - с восторгом. Спектакль несколько десятилетий оставался в репертуаре театра. Герои пьесы Шукшина — действительно, энергичные люди в полном смысле этого слова. Мастера на все руки, хваткие и не чистые на руку, хапуги и воры, которых можно назвать бизнесменами эпохи социализма, которым не нашлось применения с их практической сметкой, умом. Товстоногов и актеры вдохнули в этих персонажей подлинную жизнь.</t>
        </is>
      </c>
      <c r="L3009" s="2" t="inlineStr">
        <is>
          <t>https://www.kino-teatr.ru/teatr/movie/17401/annot/</t>
        </is>
      </c>
      <c r="M3009" s="2">
        <f>HYPERLINK("https://ru.wikipedia.org/w/index.php?search=%D0%AD%D0%BD%D0%B5%D1%80%D0%B3%D0%B8%D1%87%D0%BD%D1%8B%D0%B5%20%D0%BB%D1%8E%D0%B4%D0%B8%201989%20%D1%84%D0%B8%D0%BB%D1%8C%D0%BC","искать")</f>
        <v/>
      </c>
      <c r="N3009" s="3" t="n"/>
      <c r="O3009" s="2" t="n"/>
      <c r="P3009" s="2" t="n"/>
    </row>
    <row r="3010">
      <c r="A3010" s="2" t="n">
        <v>3009</v>
      </c>
      <c r="B3010" s="2" t="inlineStr">
        <is>
          <t>не сюжет</t>
        </is>
      </c>
      <c r="C3010" s="2" t="n">
        <v>11180</v>
      </c>
      <c r="D3010" s="3" t="inlineStr">
        <is>
          <t>Песнь о великом походе</t>
        </is>
      </c>
      <c r="E3010" s="2" t="n">
        <v>1987</v>
      </c>
      <c r="F3010" s="2" t="inlineStr">
        <is>
          <t>фильм-спектакль</t>
        </is>
      </c>
      <c r="G3010" s="2" t="inlineStr">
        <is>
          <t>Центральное телевидение</t>
        </is>
      </c>
      <c r="H3010" s="2" t="n">
        <v>600</v>
      </c>
      <c r="I3010" s="2" t="inlineStr"/>
      <c r="J3010" s="2" t="inlineStr">
        <is>
          <t>да</t>
        </is>
      </c>
      <c r="K3010" s="3" t="inlineStr">
        <is>
          <t>Поэму Сергея Есенина "Песнь о великом походе" читает Валерий Золотухин.
"Песнь о великом походе" была написана летом 1924 года.Поэма посвящалась трагедии гражданской, братоубийственной войны, развивала тему справедливой мести рабочих и крестьян.
При жизни Есенина у поэмы была сложная история публикации, потребовавшей от него много сил и нервов. Литературные критики писали о ней противоречиво - от хвалебных отзывов до полного неприятия, что понятно, ведь поэма действительно необычна для Есенина. Отмечали, что "Песнь о великом походе" близка к "Слову о полку Игореве", которое Есенин хорошо знал.</t>
        </is>
      </c>
      <c r="L3010" s="2" t="inlineStr">
        <is>
          <t>https://www.kino-teatr.ru/teatr/movie/101526/annot/</t>
        </is>
      </c>
      <c r="M3010" s="2">
        <f>HYPERLINK("https://ru.wikipedia.org/w/index.php?search=%D0%9F%D0%B5%D1%81%D0%BD%D1%8C%20%D0%BE%20%D0%B2%D0%B5%D0%BB%D0%B8%D0%BA%D0%BE%D0%BC%20%D0%BF%D0%BE%D1%85%D0%BE%D0%B4%D0%B5%201987%20%D1%84%D0%B8%D0%BB%D1%8C%D0%BC","искать")</f>
        <v/>
      </c>
      <c r="N3010" s="3" t="n"/>
      <c r="O3010" s="2" t="n"/>
      <c r="P3010" s="2" t="n"/>
    </row>
    <row r="3011">
      <c r="A3011" s="2" t="n">
        <v>3010</v>
      </c>
      <c r="B3011" s="2" t="inlineStr">
        <is>
          <t>не сюжет</t>
        </is>
      </c>
      <c r="C3011" s="2" t="n">
        <v>10838</v>
      </c>
      <c r="D3011" s="3" t="inlineStr">
        <is>
          <t>Версия</t>
        </is>
      </c>
      <c r="E3011" s="2" t="n">
        <v>1980</v>
      </c>
      <c r="F3011" s="2" t="inlineStr">
        <is>
          <t>фильм-спектакль</t>
        </is>
      </c>
      <c r="G3011" s="2" t="n"/>
      <c r="H3011" s="2" t="n">
        <v>604</v>
      </c>
      <c r="I3011" s="2" t="inlineStr"/>
      <c r="J3011" s="2" t="inlineStr">
        <is>
          <t>да</t>
        </is>
      </c>
      <c r="K3011" s="3" t="inlineStr">
        <is>
          <t>Постановка одноименной пьесы А.Штейна в государственном академическом театре имени Моссовета.
Это рассказ о судьбе художника, пути поэта в революции, а в более широком понимании — об отношении к своему времени, о том, как жить в современном мире. «Через игру Георгия Тараторкина в спектакль входит душа Блока, такая, какой мы ее познали в его стихах, дневниках, воспоминаниях современников», — писал о работе актера автор пьесы А. Штейн. Поэма разрыва — о доблестях, о подвигах, о славе — была почти пропета как любимая и знакомая мелодия. Мелодия опустевшего сердца. Так, видимо, происходило и с Блоком.</t>
        </is>
      </c>
      <c r="L3011" s="2" t="inlineStr">
        <is>
          <t>https://www.kino-teatr.ru/teatr/movie/81473/annot/</t>
        </is>
      </c>
      <c r="M3011" s="2">
        <f>HYPERLINK("https://ru.wikipedia.org/w/index.php?search=%D0%92%D0%B5%D1%80%D1%81%D0%B8%D1%8F%201980%20%D1%84%D0%B8%D0%BB%D1%8C%D0%BC","искать")</f>
        <v/>
      </c>
      <c r="N3011" s="3" t="n"/>
      <c r="O3011" s="2" t="n"/>
      <c r="P3011" s="2" t="n"/>
    </row>
    <row r="3012">
      <c r="A3012" s="2" t="n">
        <v>3011</v>
      </c>
      <c r="B3012" s="2" t="inlineStr">
        <is>
          <t>не сюжет</t>
        </is>
      </c>
      <c r="C3012" s="2" t="n">
        <v>10153</v>
      </c>
      <c r="D3012" s="3" t="inlineStr">
        <is>
          <t>Римские рассказы</t>
        </is>
      </c>
      <c r="E3012" s="2" t="n">
        <v>1965</v>
      </c>
      <c r="F3012" s="2" t="inlineStr">
        <is>
          <t>фильм-спектакль</t>
        </is>
      </c>
      <c r="G3012" s="2" t="inlineStr">
        <is>
          <t>Ленинградское ТВ</t>
        </is>
      </c>
      <c r="H3012" s="2" t="n">
        <v>617</v>
      </c>
      <c r="I3012" s="2" t="inlineStr"/>
      <c r="J3012" s="2" t="inlineStr">
        <is>
          <t>да</t>
        </is>
      </c>
      <c r="K3012" s="3" t="inlineStr">
        <is>
          <t>По новеллам Альберто Моравиа: “Счастье в витрине”, “Одиночество”, “Сильнейший”, “В родной семье”, “Клементина”.
«Римские рассказы» были написаны вначале 50 годов. Персонажи романа и рассказов — простые люди Рима, вынужденные искать пути выживания любой ценой и чаще всего ценою отказа от морали. В «Римских рассказах» — послевоенная Италия. Повествование идет от первого лица, почти всегда это простой римский парень из тех, кто водит такси, стоит за прилавком, моет посуду в ресторане, бродит в поисках работы, может с отчаяния стать вором и грабителем, а если повезет, устроиться сниматься в кино на роль гангстера.</t>
        </is>
      </c>
      <c r="L3012" s="2" t="inlineStr">
        <is>
          <t>https://www.kino-teatr.ru/teatr/movie/79534/annot/</t>
        </is>
      </c>
      <c r="M3012" s="2">
        <f>HYPERLINK("https://ru.wikipedia.org/w/index.php?search=%D0%A0%D0%B8%D0%BC%D1%81%D0%BA%D0%B8%D0%B5%20%D1%80%D0%B0%D1%81%D1%81%D0%BA%D0%B0%D0%B7%D1%8B%201965%20%D1%84%D0%B8%D0%BB%D1%8C%D0%BC","искать")</f>
        <v/>
      </c>
      <c r="N3012" s="3" t="n"/>
      <c r="O3012" s="2" t="n"/>
      <c r="P3012" s="2" t="n"/>
    </row>
    <row r="3013">
      <c r="A3013" s="2" t="n">
        <v>3012</v>
      </c>
      <c r="B3013" s="2" t="inlineStr">
        <is>
          <t>не сюжет</t>
        </is>
      </c>
      <c r="C3013" s="2" t="n">
        <v>10457</v>
      </c>
      <c r="D3013" s="3" t="inlineStr">
        <is>
          <t>Необыкновенный концерт</t>
        </is>
      </c>
      <c r="E3013" s="2" t="n">
        <v>1972</v>
      </c>
      <c r="F3013" s="2" t="inlineStr">
        <is>
          <t>фильм-спектакль</t>
        </is>
      </c>
      <c r="G3013" s="2" t="inlineStr">
        <is>
          <t>Гостелерадиофонд</t>
        </is>
      </c>
      <c r="H3013" s="2" t="n">
        <v>631</v>
      </c>
      <c r="I3013" s="2" t="inlineStr"/>
      <c r="J3013" s="2" t="inlineStr">
        <is>
          <t>да</t>
        </is>
      </c>
      <c r="K3013" s="3" t="inlineStr">
        <is>
          <t>Легендарный спектакль театра кукол Сергея Образцова.
"Необыкновенный концерт" - это своего рода ревю. Здесь мы смеемся не над жанрами, а над такими артистами, которые своим дурным исполнением портят эти жанры, - говорил С.В. Образцов. Созданный выдающимся русским режиссером, "Необыкновенный концерт" и поныне является самым известным кукольным спектаклем ХХ века, уникальным явлением мирового сценического искусства. Премьера спектакля состоялась в 1946 году - и с этого момента началось его триумфальное шествие по всей планете. Все жанры эстрады - в блистательном пародийно-сатирическом спектакле Театра Кукол им. С.В. Образцова</t>
        </is>
      </c>
      <c r="L3013" s="2" t="inlineStr">
        <is>
          <t>https://www.kino-teatr.ru/teatr/movie/82734/annot/</t>
        </is>
      </c>
      <c r="M3013" s="2">
        <f>HYPERLINK("https://ru.wikipedia.org/w/index.php?search=%D0%9D%D0%B5%D0%BE%D0%B1%D1%8B%D0%BA%D0%BD%D0%BE%D0%B2%D0%B5%D0%BD%D0%BD%D1%8B%D0%B9%20%D0%BA%D0%BE%D0%BD%D1%86%D0%B5%D1%80%D1%82%201972%20%D1%84%D0%B8%D0%BB%D1%8C%D0%BC","искать")</f>
        <v/>
      </c>
      <c r="N3013" s="3" t="n"/>
      <c r="O3013" s="2" t="n"/>
      <c r="P3013" s="2" t="n"/>
    </row>
    <row r="3014">
      <c r="A3014" s="2" t="n">
        <v>3013</v>
      </c>
      <c r="B3014" s="2" t="inlineStr">
        <is>
          <t>не сюжет</t>
        </is>
      </c>
      <c r="C3014" s="2" t="n">
        <v>10936</v>
      </c>
      <c r="D3014" s="3" t="inlineStr">
        <is>
          <t>Дети Ванюшина</t>
        </is>
      </c>
      <c r="E3014" s="2" t="n">
        <v>1982</v>
      </c>
      <c r="F3014" s="2" t="inlineStr">
        <is>
          <t>фильм-спектакль</t>
        </is>
      </c>
      <c r="G3014" s="2" t="inlineStr">
        <is>
          <t>ЦТ</t>
        </is>
      </c>
      <c r="H3014" s="2" t="n">
        <v>663</v>
      </c>
      <c r="I3014" s="2" t="inlineStr"/>
      <c r="J3014" s="2" t="inlineStr">
        <is>
          <t>да</t>
        </is>
      </c>
      <c r="K3014" s="3" t="inlineStr">
        <is>
          <t>Одноименная пьеса Найденова в исполнении актеров Государственного академического Малого театра Союза ССР.
«Дети Ванюшина» — одно из самых значительных произведений русской драматургии, которое больше столетия не сходит с театральных подмостков. Все меньше и меньше остается зрителей, которые ходят на драматурга. Все больше и больше становится зрителей, которые ходят на исполнителя. « Дети Ванюшина » — это тяжелая семейно-бытовая драма из тех великих нечитаемых пьес, которые скоро прочно будут забыты вопреки очевидным литературным достоинствам. Спектакль Малого театра с Михаилом Царевым в главной роли — это впечатляющее зрелище, апофеоз школы Малого театра.</t>
        </is>
      </c>
      <c r="L3014" s="2" t="inlineStr">
        <is>
          <t>https://www.kino-teatr.ru/teatr/movie/13670/annot/</t>
        </is>
      </c>
      <c r="M3014" s="2">
        <f>HYPERLINK("https://ru.wikipedia.org/w/index.php?search=%D0%94%D0%B5%D1%82%D0%B8%20%D0%92%D0%B0%D0%BD%D1%8E%D1%88%D0%B8%D0%BD%D0%B0%201982%20%D1%84%D0%B8%D0%BB%D1%8C%D0%BC","искать")</f>
        <v/>
      </c>
      <c r="N3014" s="3" t="n"/>
      <c r="O3014" s="2" t="n"/>
      <c r="P3014" s="2" t="n"/>
    </row>
    <row r="3015">
      <c r="A3015" s="2" t="n">
        <v>3014</v>
      </c>
      <c r="B3015" s="2" t="inlineStr">
        <is>
          <t>не сюжет</t>
        </is>
      </c>
      <c r="C3015" s="2" t="n">
        <v>11232</v>
      </c>
      <c r="D3015" s="3" t="inlineStr">
        <is>
          <t>У войны не женское лицо</t>
        </is>
      </c>
      <c r="E3015" s="2" t="n">
        <v>1988</v>
      </c>
      <c r="F3015" s="2" t="inlineStr">
        <is>
          <t>фильм-спектакль</t>
        </is>
      </c>
      <c r="G3015" s="2" t="inlineStr">
        <is>
          <t>Главная редакция литературно-драматических программ ЦТ</t>
        </is>
      </c>
      <c r="H3015" s="2" t="n">
        <v>663</v>
      </c>
      <c r="I3015" s="2" t="inlineStr"/>
      <c r="J3015" s="2" t="inlineStr">
        <is>
          <t>да</t>
        </is>
      </c>
      <c r="K3015" s="3" t="inlineStr">
        <is>
          <t>По мотивам одноименной документальной повести Светланы Алексиевич в постановке Московского театра драмы и комедии на Таганке.
В основу этого произведения легли уникальные документальные рассказы женщин, чья молодость прошла на войне.
Женский взгляд на действительность военного времени – это простая человеческая правда, наполненная пронзительными подробностями, которые кажутся невероятными. Это – правда, которая не упоминается в официальных документах, фильмах и книгах советского времени, которая не встречается даже в воспоминаниях ветеранов-мужчин. Это спектакль о жизни, в которой важное место занимали такие понятия как честь, любовь к родине, милосердие.</t>
        </is>
      </c>
      <c r="L3015" s="2" t="inlineStr">
        <is>
          <t>https://www.kino-teatr.ru/teatr/movie/81923/annot/</t>
        </is>
      </c>
      <c r="M3015" s="2">
        <f>HYPERLINK("https://ru.wikipedia.org/w/index.php?search=%D0%A3%20%D0%B2%D0%BE%D0%B9%D0%BD%D1%8B%20%D0%BD%D0%B5%20%D0%B6%D0%B5%D0%BD%D1%81%D0%BA%D0%BE%D0%B5%20%D0%BB%D0%B8%D1%86%D0%BE%201988%20%D1%84%D0%B8%D0%BB%D1%8C%D0%BC","искать")</f>
        <v/>
      </c>
      <c r="N3015" s="3" t="n"/>
      <c r="O3015" s="2" t="n"/>
      <c r="P3015" s="2" t="n"/>
    </row>
    <row r="3016">
      <c r="A3016" s="2" t="n">
        <v>3015</v>
      </c>
      <c r="B3016" s="2" t="inlineStr">
        <is>
          <t>не сюжет</t>
        </is>
      </c>
      <c r="C3016" s="2" t="n">
        <v>11007</v>
      </c>
      <c r="D3016" s="3" t="inlineStr">
        <is>
          <t>Пятый десяток</t>
        </is>
      </c>
      <c r="E3016" s="2" t="n">
        <v>1983</v>
      </c>
      <c r="F3016" s="2" t="inlineStr">
        <is>
          <t>фильм-спектакль</t>
        </is>
      </c>
      <c r="G3016" s="2" t="n"/>
      <c r="H3016" s="2" t="n">
        <v>666</v>
      </c>
      <c r="I3016" s="2" t="inlineStr"/>
      <c r="J3016" s="2" t="inlineStr">
        <is>
          <t>да</t>
        </is>
      </c>
      <c r="K3016" s="3" t="inlineStr">
        <is>
          <t>Спектакль театра Ленсовета.
В библиотекарше Елочкиной нет ничего необычного. Невысокая, худенькая, простенькая женщина, которой пошел уже пятый десяток. В жизни с ней всякое бывало: нелегкий труд, тысячи обязанностей, неудачная любовь. У нее усталое, будто стертое лицо, ломкий, чуть надтреснутый голос. Есть в ней что-то по-детски наивное, откровенное до беззащитности. Но при всей житейской незащищенности есть в ней и скрытая энергия, та духовная неуступчивость, которая помогает хранить верность своим убеждениям, идеалам. Ни в чем и нигде не шла Елочкина против своей совести. Часто потом сокрушалась, проклинала свой характер, но завтра снова поступала так же.</t>
        </is>
      </c>
      <c r="L3016" s="2" t="inlineStr">
        <is>
          <t>https://www.kino-teatr.ru/teatr/movie/80328/annot/</t>
        </is>
      </c>
      <c r="M3016" s="2">
        <f>HYPERLINK("https://ru.wikipedia.org/w/index.php?search=%D0%9F%D1%8F%D1%82%D1%8B%D0%B9%20%D0%B4%D0%B5%D1%81%D1%8F%D1%82%D0%BE%D0%BA%201983%20%D1%84%D0%B8%D0%BB%D1%8C%D0%BC","искать")</f>
        <v/>
      </c>
      <c r="N3016" s="3" t="n"/>
      <c r="O3016" s="2" t="n"/>
      <c r="P3016" s="2" t="n"/>
    </row>
    <row r="3017">
      <c r="A3017" s="2" t="n">
        <v>3016</v>
      </c>
      <c r="B3017" s="2" t="inlineStr">
        <is>
          <t>не сюжет</t>
        </is>
      </c>
      <c r="C3017" s="2" t="n">
        <v>10151</v>
      </c>
      <c r="D3017" s="3" t="inlineStr">
        <is>
          <t>Под каштанами Праги</t>
        </is>
      </c>
      <c r="E3017" s="2" t="n">
        <v>1965</v>
      </c>
      <c r="F3017" s="2" t="inlineStr">
        <is>
          <t>фильм-спектакль</t>
        </is>
      </c>
      <c r="G3017" s="2" t="inlineStr">
        <is>
          <t>Гл. ред. лит-драм программ ЦТ</t>
        </is>
      </c>
      <c r="H3017" s="2" t="n">
        <v>679</v>
      </c>
      <c r="I3017" s="2" t="inlineStr"/>
      <c r="J3017" s="2" t="inlineStr">
        <is>
          <t>да</t>
        </is>
      </c>
      <c r="K3017" s="3" t="inlineStr">
        <is>
          <t>Постановка по одноименной пьесе Константина Симонова. Действие происходит в последние дни второй мировой войны в Праге.
Эту пьесу Константин Симонов писал в конце войны специально для его музы - актрисы Валентины Серовой. Впрочем, пьеса принесла успех многим, например Татьяне Окуневской, игравшей в театре Ленинского комсомола. Спектакль был особенно популярен в послевоенные годы, и с 1946 года он шел по всей стране. Телеверсия 1965 года тоже была беспроигрышна. В стране уже появлялась фронтовая ностальгия, а в оттепель как никогда была востребована романтика с флером заграницы, на роль которой вместо ремарковского Парижа прекрасно подходила близкая нам симоновская Прага.</t>
        </is>
      </c>
      <c r="L3017" s="2" t="inlineStr">
        <is>
          <t>https://www.kino-teatr.ru/teatr/movie/37971/annot/</t>
        </is>
      </c>
      <c r="M3017" s="2">
        <f>HYPERLINK("https://ru.wikipedia.org/w/index.php?search=%D0%9F%D0%BE%D0%B4%20%D0%BA%D0%B0%D1%88%D1%82%D0%B0%D0%BD%D0%B0%D0%BC%D0%B8%20%D0%9F%D1%80%D0%B0%D0%B3%D0%B8%201965%20%D1%84%D0%B8%D0%BB%D1%8C%D0%BC","искать")</f>
        <v/>
      </c>
      <c r="N3017" s="3" t="n"/>
      <c r="O3017" s="2" t="n"/>
      <c r="P3017" s="2" t="n"/>
    </row>
    <row r="3018">
      <c r="A3018" s="2" t="n">
        <v>3017</v>
      </c>
      <c r="B3018" s="2" t="inlineStr">
        <is>
          <t>не сюжет</t>
        </is>
      </c>
      <c r="C3018" s="2" t="n">
        <v>10049</v>
      </c>
      <c r="D3018" s="3" t="inlineStr">
        <is>
          <t>Родник</t>
        </is>
      </c>
      <c r="E3018" s="2" t="n">
        <v>1990</v>
      </c>
      <c r="F3018" s="2" t="inlineStr">
        <is>
          <t>телефильм</t>
        </is>
      </c>
      <c r="G3018" s="2" t="n"/>
      <c r="H3018" s="2" t="n">
        <v>686</v>
      </c>
      <c r="I3018" s="2" t="inlineStr"/>
      <c r="J3018" s="2" t="inlineStr">
        <is>
          <t>да</t>
        </is>
      </c>
      <c r="K3018" s="3" t="inlineStr">
        <is>
          <t>Порою очень сложно отличить грёзы от реальности. Что есть мечта?
Забвение или полёт? Мечта содружествует с любовью, которая без выбора может вдруг овладеть каждым.
Любовь незримо присутствует во всём: в горении свечи, дрожании лепестка, шёпоте ветра или трепете
крыльев бабочки… Провал в никуда, падение в вечность, бесконечность парения…
Пласт проблем и каждодневных накоплений забот, страданий, ожиданий.
Но вдруг: погружение в себя, в свою сущность, в своё изначальное.
И отрыв: головокружение, падение, парение, погружение в свежесть росы, влаги, родника…
Наконец: просветление, очищение, ясность мысли, радость существования.
А затем: вновь полёт, слияние и растворение в вечности!</t>
        </is>
      </c>
      <c r="L3018" s="2" t="inlineStr">
        <is>
          <t>https://www.kino-teatr.ru/short/movie/sov/103177/annot/</t>
        </is>
      </c>
      <c r="M3018" s="2">
        <f>HYPERLINK("https://ru.wikipedia.org/w/index.php?search=%D0%A0%D0%BE%D0%B4%D0%BD%D0%B8%D0%BA%201990%20%D1%84%D0%B8%D0%BB%D1%8C%D0%BC","искать")</f>
        <v/>
      </c>
      <c r="N3018" s="3" t="n"/>
      <c r="O3018" s="2" t="n"/>
      <c r="P3018" s="2" t="n"/>
    </row>
    <row r="3019">
      <c r="A3019" s="2" t="n">
        <v>3018</v>
      </c>
      <c r="B3019" s="2" t="inlineStr">
        <is>
          <t>не сюжет</t>
        </is>
      </c>
      <c r="C3019" s="2" t="n">
        <v>7315</v>
      </c>
      <c r="D3019" s="3" t="inlineStr">
        <is>
          <t>Вашингтонский корреспондент</t>
        </is>
      </c>
      <c r="E3019" s="2" t="n">
        <v>1972</v>
      </c>
      <c r="F3019" s="2" t="inlineStr">
        <is>
          <t>телефильм</t>
        </is>
      </c>
      <c r="G3019" s="2" t="inlineStr">
        <is>
          <t>Беларусьфильм</t>
        </is>
      </c>
      <c r="H3019" s="2" t="n">
        <v>689</v>
      </c>
      <c r="I3019" s="2" t="inlineStr"/>
      <c r="J3019" s="2" t="inlineStr">
        <is>
          <t>да</t>
        </is>
      </c>
      <c r="K3019" s="3" t="inlineStr">
        <is>
          <t>Советский журналист Пётр Громов, корреспондент одного из центральных изданий, после длительной служебной командировки подводит итог своего восьмилетнего пребывания в столице Соединённых Штатов.
Он вспоминает о событиях, оказавших влияние на ход истории, на взаимоотношения двух ведущих мировых держав: убийства президента Джона Кеннеди, сенатора Роберта Кеннеди и борца за гражданские права Мартина Лютера Кинга.
Война во Вьетнаме, расовые столкновения в крупных американских городах, идеологические разногласия между либералами и консерваторами становятся объектом обсуждений в престижном вашингтонском Пресс-клубе, где нередко проводят часы досуга самые популярные и успешные журналисты.</t>
        </is>
      </c>
      <c r="L3019" s="2" t="inlineStr">
        <is>
          <t>https://ru.wikipedia.org/w/index.php?title=%D0%92%D0%B0%D1%88%D0%B8%D0%BD%D0%B3%D1%82%D0%BE%D0%BD%D1%81%D0%BA%D0%B8%D0%B9_%D0%BA%D0%BE%D1%80%D1%80%D0%B5%D1%81%D0%BF%D0%BE%D0%BD%D0%B4%D0%B5%D0%BD%D1%82&amp;oldid=154692595</t>
        </is>
      </c>
      <c r="M3019" s="2">
        <f>HYPERLINK("https://ru.wikipedia.org/w/index.php?search=%D0%92%D0%B0%D1%88%D0%B8%D0%BD%D0%B3%D1%82%D0%BE%D0%BD%D1%81%D0%BA%D0%B8%D0%B9%20%D0%BA%D0%BE%D1%80%D1%80%D0%B5%D1%81%D0%BF%D0%BE%D0%BD%D0%B4%D0%B5%D0%BD%D1%82%201972%20%D1%84%D0%B8%D0%BB%D1%8C%D0%BC","искать")</f>
        <v/>
      </c>
      <c r="N3019" s="3" t="n"/>
      <c r="O3019" s="2" t="n"/>
      <c r="P3019" s="2" t="n"/>
    </row>
    <row r="3020">
      <c r="A3020" s="2" t="n">
        <v>3019</v>
      </c>
      <c r="B3020" s="2" t="inlineStr">
        <is>
          <t>не сюжет</t>
        </is>
      </c>
      <c r="C3020" s="2" t="n">
        <v>10174</v>
      </c>
      <c r="D3020" s="3" t="inlineStr">
        <is>
          <t>Смуглая леди сонетов</t>
        </is>
      </c>
      <c r="E3020" s="2" t="n">
        <v>1966</v>
      </c>
      <c r="F3020" s="2" t="inlineStr">
        <is>
          <t>фильм-спектакль</t>
        </is>
      </c>
      <c r="G3020" s="2" t="inlineStr">
        <is>
          <t>Ленинградское Телевидение</t>
        </is>
      </c>
      <c r="H3020" s="2" t="n">
        <v>712</v>
      </c>
      <c r="I3020" s="2" t="inlineStr"/>
      <c r="J3020" s="2" t="inlineStr">
        <is>
          <t>да</t>
        </is>
      </c>
      <c r="K3020" s="3" t="inlineStr">
        <is>
          <t>Телеспектакль по пьесе Бернарда Шоу.
Речь идет о самом легендарном поэте и драматурге - о Уильяме Шекспире. Каким был в жизни этот гениальный человек? Как он сочинял свои пьесы, как объяснялся в любви, как оценивал собственное творчество? Обо всем этом рассказывает спектакль. В центре постановки - взаимоотношения Шекспира с королевой Англии Елизаветой и поэтической музой и возлюбленной, Смуглой Леди. Шекспир непредсказуем и импульсивен, его не всегда способны понять окружающие. Одно можно утверждать об английском поэте наверняка: он, как никто другой, умел видеть красоту и поэзию в реальной жизни. Спектакль воссоздает мир, как бы увиденный глазами Шекспира.
В спектакле звучит музыка Бенджамина Бриттена.</t>
        </is>
      </c>
      <c r="L3020" s="2" t="inlineStr">
        <is>
          <t>https://www.kino-teatr.ru/teatr/movie/85345/annot/</t>
        </is>
      </c>
      <c r="M3020" s="2">
        <f>HYPERLINK("https://ru.wikipedia.org/w/index.php?search=%D0%A1%D0%BC%D1%83%D0%B3%D0%BB%D0%B0%D1%8F%20%D0%BB%D0%B5%D0%B4%D0%B8%20%D1%81%D0%BE%D0%BD%D0%B5%D1%82%D0%BE%D0%B2%201966%20%D1%84%D0%B8%D0%BB%D1%8C%D0%BC","искать")</f>
        <v/>
      </c>
      <c r="N3020" s="3" t="n"/>
      <c r="O3020" s="2" t="n"/>
      <c r="P3020" s="2" t="n"/>
    </row>
    <row r="3021">
      <c r="A3021" s="2" t="n">
        <v>3020</v>
      </c>
      <c r="B3021" s="2" t="inlineStr">
        <is>
          <t>не сюжет</t>
        </is>
      </c>
      <c r="C3021" s="2" t="n">
        <v>10664</v>
      </c>
      <c r="D3021" s="3" t="inlineStr">
        <is>
          <t>По страницам "Сатирикона"</t>
        </is>
      </c>
      <c r="E3021" s="2" t="n">
        <v>1976</v>
      </c>
      <c r="F3021" s="2" t="inlineStr">
        <is>
          <t>фильм-спектакль</t>
        </is>
      </c>
      <c r="G3021" s="2" t="n"/>
      <c r="H3021" s="2" t="n">
        <v>740</v>
      </c>
      <c r="I3021" s="2" t="inlineStr"/>
      <c r="J3021" s="2" t="inlineStr">
        <is>
          <t>да</t>
        </is>
      </c>
      <c r="K3021" s="3" t="inlineStr">
        <is>
          <t>Спектакль поставлен по рассказам из журнала "Сатирикон".
Журнал появился в России в начале ХХ века и одна из его задач была -
моральное исправление общества путем сатиры на нравы.
Журнал сразу же завоевал всеобщую популярность.
Люди работающие в нем, высмеивали мещанство и пошлость, боролись с духовной деградацией русского общества.
Этот журнал выгодно отличало от других высокое литературное качество.
В журнале печатались многие известные писатели и поэты: Саша Черный, А. Куприн, Л. Андреев, Н. Тэффи, А. Бухов, А. Толстой, А. Грин, С. Маршак, В. Маяковский.
Создал журнал "Сатирикон" и основным его автором был Аркадий Аверченко.
В телеспектакле инсценированы рассказы А. Бухова " Неотвратимое", "Рассказы об Италии", Н. Тэффи "Маляр"</t>
        </is>
      </c>
      <c r="L3021" s="2" t="inlineStr">
        <is>
          <t>https://www.kino-teatr.ru/teatr/movie/83020/annot/</t>
        </is>
      </c>
      <c r="M3021" s="2">
        <f>HYPERLINK("https://ru.wikipedia.org/w/index.php?search=%D0%9F%D0%BE%20%D1%81%D1%82%D1%80%D0%B0%D0%BD%D0%B8%D1%86%D0%B0%D0%BC%20%22%D0%A1%D0%B0%D1%82%D0%B8%D1%80%D0%B8%D0%BA%D0%BE%D0%BD%D0%B0%22%201976%20%D1%84%D0%B8%D0%BB%D1%8C%D0%BC","искать")</f>
        <v/>
      </c>
      <c r="N3021" s="3" t="n"/>
      <c r="O3021" s="2" t="n"/>
      <c r="P3021" s="2" t="n"/>
    </row>
    <row r="3022">
      <c r="A3022" s="2" t="n">
        <v>3021</v>
      </c>
      <c r="B3022" s="2" t="inlineStr">
        <is>
          <t>не сюжет</t>
        </is>
      </c>
      <c r="C3022" s="2" t="n">
        <v>10909</v>
      </c>
      <c r="D3022" s="3" t="inlineStr">
        <is>
          <t>С любовью к женщине</t>
        </is>
      </c>
      <c r="E3022" s="2" t="n">
        <v>1981</v>
      </c>
      <c r="F3022" s="2" t="inlineStr">
        <is>
          <t>фильм-спектакль</t>
        </is>
      </c>
      <c r="G3022" s="2" t="inlineStr">
        <is>
          <t>Центральное телевидение</t>
        </is>
      </c>
      <c r="H3022" s="2" t="n">
        <v>743</v>
      </c>
      <c r="I3022" s="2" t="inlineStr"/>
      <c r="J3022" s="2" t="inlineStr">
        <is>
          <t>да</t>
        </is>
      </c>
      <c r="K3022" s="3" t="inlineStr">
        <is>
          <t>Актеры Михаил Глузский, Леонид Марков, Алексей Кузнецов, Армен Джигарханян, Эммануил Виторган, Борис Щербаков, Александр Кутепов читают стихи советских поэтов о любви - Евгения Винокурова, Расула Гамзатова, Давида Кугультинова, Кайсына Кулиева, Эдуардаса Межелайтиса, Юстинаса Маруинкявичуса, Бориса Олейника, Александра Прокофьева, Александра Твардовского, Геворка Эмина, Льва Ошанина, Михаила Светлова, Ярослава Смелякова, Степана Щипачева.
Передача была снята к Международному женскому дню в те времена, когда мужчины, один раз в году считали себя обязанными говорить женщинам комплименты и дарить цветы. Тем приятнее получить признание в любви от самых обаятельных мужчин второй половины XX века, внеурочно, просто так, из любви к женщине.</t>
        </is>
      </c>
      <c r="L3022" s="2" t="inlineStr">
        <is>
          <t>https://www.kino-teatr.ru/teatr/movie/104629/annot/</t>
        </is>
      </c>
      <c r="M3022" s="2">
        <f>HYPERLINK("https://ru.wikipedia.org/w/index.php?search=%D0%A1%20%D0%BB%D1%8E%D0%B1%D0%BE%D0%B2%D1%8C%D1%8E%20%D0%BA%20%D0%B6%D0%B5%D0%BD%D1%89%D0%B8%D0%BD%D0%B5%201981%20%D1%84%D0%B8%D0%BB%D1%8C%D0%BC","искать")</f>
        <v/>
      </c>
      <c r="N3022" s="3" t="n"/>
      <c r="O3022" s="2" t="n"/>
      <c r="P3022" s="2" t="n"/>
    </row>
    <row r="3023">
      <c r="A3023" s="2" t="n">
        <v>3022</v>
      </c>
      <c r="B3023" s="2" t="inlineStr">
        <is>
          <t>не сюжет</t>
        </is>
      </c>
      <c r="C3023" s="2" t="n">
        <v>9675</v>
      </c>
      <c r="D3023" s="3" t="inlineStr">
        <is>
          <t>Сто солдат и две девушки</t>
        </is>
      </c>
      <c r="E3023" s="2" t="n">
        <v>1989</v>
      </c>
      <c r="F3023" s="2" t="inlineStr">
        <is>
          <t>кинофильм</t>
        </is>
      </c>
      <c r="G3023" s="2" t="n"/>
      <c r="H3023" s="2" t="n">
        <v>744</v>
      </c>
      <c r="I3023" s="2" t="inlineStr"/>
      <c r="J3023" s="2" t="inlineStr">
        <is>
          <t>да</t>
        </is>
      </c>
      <c r="K3023" s="3" t="inlineStr">
        <is>
          <t>Великая Отечественная война. Героиня фильма — Аля Буланина, одна из двух девушек-санинструкторов в роте солдат на участке фронта подо Ржевом.
Фильм снят по воспоминаниям — режиссёр и сценарист Сергей Микаэлян родился в 1923 году, участвовал в Великой Отечественной войне, был ранен — как раз подо Ржевом. По его словам, он специально искал «вылитые копии тех, кто окружал меня тогда, в далеком сорок втором», роли в фильме играют в основном непрофессиональные актёры, активно задействованы солдаты Ленинградского военного округа. Появление этого фильма Микаэлян объяснял так:.
Мне, чудом уцелевшему в мясорубке под Ржевом, давно хотелось рассказать о войне, увиденной глазами солдата. Из окопа. Рассказать когда-то заклейменную «окопную правду»</t>
        </is>
      </c>
      <c r="L3023" s="2" t="inlineStr">
        <is>
          <t>https://ru.wikipedia.org/w/index.php?title=%D0%A1%D1%82%D0%BE_%D1%81%D0%BE%D0%BB%D0%B4%D0%B0%D1%82_%D0%B8_%D0%B4%D0%B2%D0%B5_%D0%B4%D0%B5%D0%B2%D1%83%D1%88%D0%BA%D0%B8&amp;oldid=154708196</t>
        </is>
      </c>
      <c r="M3023" s="2">
        <f>HYPERLINK("https://ru.wikipedia.org/w/index.php?search=%D0%A1%D1%82%D0%BE%20%D1%81%D0%BE%D0%BB%D0%B4%D0%B0%D1%82%20%D0%B8%20%D0%B4%D0%B2%D0%B5%20%D0%B4%D0%B5%D0%B2%D1%83%D1%88%D0%BA%D0%B8%201989%20%D1%84%D0%B8%D0%BB%D1%8C%D0%BC","искать")</f>
        <v/>
      </c>
      <c r="N3023" s="3" t="n"/>
      <c r="O3023" s="2" t="n"/>
      <c r="P3023" s="2" t="n"/>
    </row>
    <row r="3024">
      <c r="A3024" s="2" t="n">
        <v>3023</v>
      </c>
      <c r="B3024" s="2" t="inlineStr">
        <is>
          <t>не сюжет</t>
        </is>
      </c>
      <c r="C3024" s="2" t="n">
        <v>10544</v>
      </c>
      <c r="D3024" s="3" t="inlineStr">
        <is>
          <t>Бенефис Сергея Мартинсона</t>
        </is>
      </c>
      <c r="E3024" s="2" t="n">
        <v>1974</v>
      </c>
      <c r="F3024" s="2" t="inlineStr">
        <is>
          <t>фильм-спектакль</t>
        </is>
      </c>
      <c r="G3024" s="2" t="inlineStr">
        <is>
          <t>Главная редакция музыкальных программ ЦТ</t>
        </is>
      </c>
      <c r="H3024" s="2" t="n">
        <v>744</v>
      </c>
      <c r="I3024" s="2" t="inlineStr"/>
      <c r="J3024" s="2" t="inlineStr">
        <is>
          <t>да</t>
        </is>
      </c>
      <c r="K3024" s="3" t="inlineStr">
        <is>
          <t>Бенефис Сергея Мартинсона. В передаче использованы фрагменты из кинофильмов "Антон Иванович сердится", "Свадьба", "Сильва", "Золотой ключик".
3-й из бенефисов, созданных Е.Гинзбургом и Б.Пургалиным.
На этот раз в роли бенефицианта выступает Сергей Александрович Мартинсон, актер яркого комедийного дарования, эксцентрик, мастер пантомимы, буффонады и гротеска. Актер очень популярный и вместе с тем явно недовостребованный. По словам самого Евгения Гинзбурга, сложив вместе все роли, сыгранные Мартинсоном в кино, он был поражен невысоким общим метражем воображаемой ленты. А ведь Сергей Мартинсон был одним из самых популярных мастеров театра и кино, снявшимся в более чем 60 художественных фильмах, причем первый из них датируется 1924 годом!</t>
        </is>
      </c>
      <c r="L3024" s="2" t="inlineStr">
        <is>
          <t>https://www.kino-teatr.ru/teatr/movie/80632/annot/</t>
        </is>
      </c>
      <c r="M3024" s="2">
        <f>HYPERLINK("https://ru.wikipedia.org/w/index.php?search=%D0%91%D0%B5%D0%BD%D0%B5%D1%84%D0%B8%D1%81%20%D0%A1%D0%B5%D1%80%D0%B3%D0%B5%D1%8F%20%D0%9C%D0%B0%D1%80%D1%82%D0%B8%D0%BD%D1%81%D0%BE%D0%BD%D0%B0%201974%20%D1%84%D0%B8%D0%BB%D1%8C%D0%BC","искать")</f>
        <v/>
      </c>
      <c r="N3024" s="3" t="n"/>
      <c r="O3024" s="2" t="n"/>
      <c r="P3024" s="2" t="n"/>
    </row>
    <row r="3025">
      <c r="A3025" s="2" t="n">
        <v>3024</v>
      </c>
      <c r="B3025" s="2" t="inlineStr">
        <is>
          <t>не сюжет</t>
        </is>
      </c>
      <c r="C3025" s="2" t="n">
        <v>10826</v>
      </c>
      <c r="D3025" s="3" t="inlineStr">
        <is>
          <t>Эрнест Хемингуэй. Страницы жизни и творчества</t>
        </is>
      </c>
      <c r="E3025" s="2" t="n">
        <v>1979</v>
      </c>
      <c r="F3025" s="2" t="inlineStr">
        <is>
          <t>фильм-спектакль</t>
        </is>
      </c>
      <c r="G3025" s="2" t="inlineStr">
        <is>
          <t>Центральное телевидение</t>
        </is>
      </c>
      <c r="H3025" s="2" t="n">
        <v>749</v>
      </c>
      <c r="I3025" s="2" t="inlineStr"/>
      <c r="J3025" s="2" t="inlineStr">
        <is>
          <t>да</t>
        </is>
      </c>
      <c r="K3025" s="3" t="inlineStr">
        <is>
          <t>О жизни и творчестве американского писателя Эрнеста Хемингуэя.
В 60-е годы вслед за общественной жизнью в СССР значительно потеплели и отношения Москвы и Вашингтона. Советская интеллигенция начала жадно поглощать произведения американских писателей, самым популярным среди которых был Эрнест Хемингуэй. Портрет бородатого писателя в грубо связанном свитере появился на книжных полках положительных героев советских фильмов. Популярность его творчества у широких читательских кругов сохранялась и в 70-е годы, — время создания передачи.
В качестве ведущего выступает Армен Джигарханян.
Отрывки из романов «Праздник, который всегда с тобой», «Прощай, оружие», «Иметь или не иметь», «По ком звонит колокол» читают Афанасий Кочетков и Евгений Герасимов.</t>
        </is>
      </c>
      <c r="L3025" s="2" t="inlineStr">
        <is>
          <t>https://www.kino-teatr.ru/teatr/movie/104762/annot/</t>
        </is>
      </c>
      <c r="M3025" s="2">
        <f>HYPERLINK("https://ru.wikipedia.org/w/index.php?search=%D0%AD%D1%80%D0%BD%D0%B5%D1%81%D1%82%20%D0%A5%D0%B5%D0%BC%D0%B8%D0%BD%D0%B3%D1%83%D1%8D%D0%B9.%20%D0%A1%D1%82%D1%80%D0%B0%D0%BD%D0%B8%D1%86%D1%8B%20%D0%B6%D0%B8%D0%B7%D0%BD%D0%B8%20%D0%B8%20%D1%82%D0%B2%D0%BE%D1%80%D1%87%D0%B5%D1%81%D1%82%D0%B2%D0%B0%201979%20%D1%84%D0%B8%D0%BB%D1%8C%D0%BC","искать")</f>
        <v/>
      </c>
      <c r="N3025" s="3" t="n"/>
      <c r="O3025" s="2" t="n"/>
      <c r="P3025" s="2" t="n"/>
    </row>
    <row r="3026">
      <c r="A3026" s="2" t="n">
        <v>3025</v>
      </c>
      <c r="B3026" s="2" t="inlineStr">
        <is>
          <t>не сюжет</t>
        </is>
      </c>
      <c r="C3026" s="2" t="n">
        <v>8008</v>
      </c>
      <c r="D3026" s="3" t="inlineStr">
        <is>
          <t>Нос</t>
        </is>
      </c>
      <c r="E3026" s="2" t="n">
        <v>1977</v>
      </c>
      <c r="F3026" s="2" t="inlineStr">
        <is>
          <t>телефильм</t>
        </is>
      </c>
      <c r="G3026" s="2" t="n"/>
      <c r="H3026" s="2" t="n">
        <v>775</v>
      </c>
      <c r="I3026" s="2" t="inlineStr"/>
      <c r="J3026" s="2" t="inlineStr">
        <is>
          <t>да</t>
        </is>
      </c>
      <c r="K3026" s="3" t="inlineStr">
        <is>
          <t>Для Ролана Быкова – режиссера и исполнителя главной роли картины – Николай Васильевич Гоголь был писателем особенным. Ведь свою первую значительную роль Быков получил в экранизации гоголевской «Шинели». «Шинель» - мое рождение, моя судьба, мое счастье, моя биография...», - говорил Ролан Быков. Возможно, именно поэтому он выстраивал свои «отношения» с Гоголем с особым трепетом и осторожностью: если, например, во время съемок «Носа» у Быкова что-то не получалось, он спокойно говорил: «Значит, Гоголь не хочет»… И если «Шинель» открыла зрителям Ролана Быкова как нового яркого актера, то благодаря гоголевскому «Носу» появился режиссер Быков, впервые снявший не легкий детский, а серьезный «взрослый» фильм, ставший бережным и глубоким «кинопрочтением» гоголевской повести.</t>
        </is>
      </c>
      <c r="L3026" s="2" t="inlineStr">
        <is>
          <t>Кино_СССР сводный каталог.xlsx: список телефильмов</t>
        </is>
      </c>
      <c r="M3026" s="2">
        <f>HYPERLINK("https://ru.wikipedia.org/w/index.php?search=%D0%9D%D0%BE%D1%81%201977%20%D1%84%D0%B8%D0%BB%D1%8C%D0%BC","искать")</f>
        <v/>
      </c>
      <c r="N3026" s="3" t="n"/>
      <c r="O3026" s="2" t="n"/>
      <c r="P3026" s="2" t="n"/>
    </row>
    <row r="3027">
      <c r="A3027" s="2" t="n">
        <v>3026</v>
      </c>
      <c r="B3027" s="2" t="inlineStr">
        <is>
          <t>не сюжет</t>
        </is>
      </c>
      <c r="C3027" s="2" t="n">
        <v>10820</v>
      </c>
      <c r="D3027" s="3" t="inlineStr">
        <is>
          <t>Старосветские помещики</t>
        </is>
      </c>
      <c r="E3027" s="2" t="n">
        <v>1979</v>
      </c>
      <c r="F3027" s="2" t="inlineStr">
        <is>
          <t>фильм-спектакль</t>
        </is>
      </c>
      <c r="G3027" s="2" t="inlineStr">
        <is>
          <t>Ленинградское телевидение, Подборки фильмов, экранизации Гоголя</t>
        </is>
      </c>
      <c r="H3027" s="2" t="n">
        <v>781</v>
      </c>
      <c r="I3027" s="2" t="inlineStr"/>
      <c r="J3027" s="2" t="inlineStr">
        <is>
          <t>да</t>
        </is>
      </c>
      <c r="K3027" s="3" t="inlineStr">
        <is>
          <t>Телеспектакль по одноименной повести Н.В. Гоголя.
Старики Афанасий Иванович Товстогуб и жена его Пульхерия Ивановна живут уединенно в одной из отдаленных деревень, называемых в Малороссии старосветскими. Жизнь их так тиха, что гостю, заехавшему ненароком в низенький барский домик, утопающий в зелени сада, страсти и тревожные волнения внешнего мира кажутся не существующими вовсе. Маленькие комнаты домика заставлены всевозможными вещицами, двери поют на разные лады, кладовые заполнены припасами, приготовлением которых беспрестанно заняты дворовые под управлением Пульхерии Ивановны. Несмотря на то что хозяйство обкрадывается приказчиком и лакеями, благословенная земля производит всего в таком количестве, что Афанасий Иванович и Пульхерия Ивановна совсем не замечают хищений.</t>
        </is>
      </c>
      <c r="L3027" s="2" t="inlineStr">
        <is>
          <t>https://www.kino-teatr.ru/teatr/movie/90436/annot/</t>
        </is>
      </c>
      <c r="M3027" s="2">
        <f>HYPERLINK("https://ru.wikipedia.org/w/index.php?search=%D0%A1%D1%82%D0%B0%D1%80%D0%BE%D1%81%D0%B2%D0%B5%D1%82%D1%81%D0%BA%D0%B8%D0%B5%20%D0%BF%D0%BE%D0%BC%D0%B5%D1%89%D0%B8%D0%BA%D0%B8%201979%20%D1%84%D0%B8%D0%BB%D1%8C%D0%BC","искать")</f>
        <v/>
      </c>
      <c r="N3027" s="3" t="n"/>
      <c r="O3027" s="2" t="n"/>
      <c r="P3027" s="2" t="n"/>
    </row>
    <row r="3028">
      <c r="A3028" s="2" t="n">
        <v>3027</v>
      </c>
      <c r="B3028" s="2" t="inlineStr">
        <is>
          <t>не сюжет</t>
        </is>
      </c>
      <c r="C3028" s="2" t="n">
        <v>11330</v>
      </c>
      <c r="D3028" s="3" t="inlineStr">
        <is>
          <t>Шарады Бродвея</t>
        </is>
      </c>
      <c r="E3028" s="2" t="n">
        <v>1990</v>
      </c>
      <c r="F3028" s="2" t="inlineStr">
        <is>
          <t>фильм-спектакль</t>
        </is>
      </c>
      <c r="G3028" s="2" t="inlineStr">
        <is>
          <t>Главная редакция литературно-художественных программ ЦТ</t>
        </is>
      </c>
      <c r="H3028" s="2" t="n">
        <v>785</v>
      </c>
      <c r="I3028" s="2" t="inlineStr"/>
      <c r="J3028" s="2" t="inlineStr">
        <is>
          <t>да</t>
        </is>
      </c>
      <c r="K3028" s="3" t="inlineStr">
        <is>
          <t>Спектакль Театра Советской Армии.
Комедия-шоу по пьсе М. Орр и Р. Дэнем "Шарады Бродвея".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 Театральный мир предстает в своем подлинном, неприкрашенном обличье. Здесь рядом с блеском огней и шумом аплодисментов живут тщеславие, предательство, вероломство.
Людмила Касаткина играет в спектакле главную роль - звезду театрального Бродвея Марго Чаннинг. Она безумно талантлива на сцене, но не может противостоять самой обыкновенной интриге из реальной жизни. Спектакль "Шарады Бродвея" предлагает зрителю взглянуть на оборотную сторону жизни знаменитых артистов, которые живут в окружении поклонников и блещут в огнях рампы.</t>
        </is>
      </c>
      <c r="L3028" s="2" t="inlineStr">
        <is>
          <t>https://www.kino-teatr.ru/teatr/movie/80065/annot/</t>
        </is>
      </c>
      <c r="M3028" s="2">
        <f>HYPERLINK("https://ru.wikipedia.org/w/index.php?search=%D0%A8%D0%B0%D1%80%D0%B0%D0%B4%D1%8B%20%D0%91%D1%80%D0%BE%D0%B4%D0%B2%D0%B5%D1%8F%201990%20%D1%84%D0%B8%D0%BB%D1%8C%D0%BC","искать")</f>
        <v/>
      </c>
      <c r="N3028" s="3" t="n"/>
      <c r="O3028" s="2" t="n"/>
      <c r="P3028" s="2" t="n"/>
    </row>
    <row r="3029">
      <c r="A3029" s="2" t="n">
        <v>3028</v>
      </c>
      <c r="B3029" s="2" t="inlineStr">
        <is>
          <t>не сюжет</t>
        </is>
      </c>
      <c r="C3029" s="2" t="n">
        <v>10109</v>
      </c>
      <c r="D3029" s="3" t="inlineStr">
        <is>
          <t>Кюхля</t>
        </is>
      </c>
      <c r="E3029" s="2" t="n">
        <v>1963</v>
      </c>
      <c r="F3029" s="2" t="inlineStr">
        <is>
          <t>фильм-спектакль</t>
        </is>
      </c>
      <c r="G3029" s="2" t="inlineStr">
        <is>
          <t>Ленинградское телевидение</t>
        </is>
      </c>
      <c r="H3029" s="2" t="n">
        <v>790</v>
      </c>
      <c r="I3029" s="2" t="inlineStr"/>
      <c r="J3029" s="2" t="inlineStr">
        <is>
          <t>да</t>
        </is>
      </c>
      <c r="K3029" s="3" t="inlineStr">
        <is>
          <t>По одноименному роману Юрия Тынянова. В центре телеспектакля - образ декабриста Вильгельма Карловича Кюхельбекера.
"Я хочу еще и еще раз напомнить, что спектакль этот игрался "вживую", так как видеозаписи еще не было, что он имел всего пять трактовых репетиций с камерой,что за полтора часа действия Сергей Юрский пять раз переодевался и три раза полностью перегримировывался, что актеры бесшумно переходили с места на место, а мест действия было более сорока, что операторы за время действия совершали со своими тяжелейшими камерами километровые переезды, и последнее, но самое главное, что спектакль этот игрался на первую, тогда единственную телепрограмму страны, то есть имел стомиллионную аудиторию. Какая это была ответственность! Какое это было волнение!"
А.Белинский " Старое танго"</t>
        </is>
      </c>
      <c r="L3029" s="2" t="inlineStr">
        <is>
          <t>https://www.kino-teatr.ru/teatr/movie/8283/annot/</t>
        </is>
      </c>
      <c r="M3029" s="2">
        <f>HYPERLINK("https://ru.wikipedia.org/w/index.php?search=%D0%9A%D1%8E%D1%85%D0%BB%D1%8F%201963%20%D1%84%D0%B8%D0%BB%D1%8C%D0%BC","искать")</f>
        <v/>
      </c>
      <c r="N3029" s="3" t="n"/>
      <c r="O3029" s="2" t="n"/>
      <c r="P3029" s="2" t="n"/>
    </row>
    <row r="3030">
      <c r="A3030" s="2" t="n">
        <v>3029</v>
      </c>
      <c r="B3030" s="2" t="inlineStr">
        <is>
          <t>не сюжет</t>
        </is>
      </c>
      <c r="C3030" s="2" t="n">
        <v>10579</v>
      </c>
      <c r="D3030" s="3" t="inlineStr">
        <is>
          <t>Перед заходом солнца</t>
        </is>
      </c>
      <c r="E3030" s="2" t="n">
        <v>1974</v>
      </c>
      <c r="F3030" s="2" t="inlineStr">
        <is>
          <t>фильм-спектакль</t>
        </is>
      </c>
      <c r="G3030" s="2" t="inlineStr">
        <is>
          <t>ТО "Экран"</t>
        </is>
      </c>
      <c r="H3030" s="2" t="n">
        <v>798</v>
      </c>
      <c r="I3030" s="2" t="inlineStr"/>
      <c r="J3030" s="2" t="inlineStr">
        <is>
          <t>да</t>
        </is>
      </c>
      <c r="K3030" s="3" t="inlineStr">
        <is>
          <t>По одноименной Г.Гауптмана в постановке Государственного академического Малого театра Союза ССР. Режиссер Л.Хейфец.
У пьесы «Перед заходом солнца» мистически интересная сценическая судьба. Написанная в начале 1930-х, на родине драматурга пьеса увидела свет рампы накануне прихода Гитлера к власти. У нас Сушкевич сыграл Клаузена незадолго до начала войны, Астангов — в год смерти Сталина, Симонов — за год до смещения Хрущева.
«Перед заходом солнца» — одна из немногих пьес XX века, которую и по тематике, и по уровню ее художественного осмысления можно сопоставить с творениями таких титанов, как Шекспир и Гете. Прямая генетическая связь с «Королем Лиром» здесь очевидна. Еще более ощутимо влияние Гете с его фаустовской темой горделивого бунта свободной личности против неумолимых законов бытия.</t>
        </is>
      </c>
      <c r="L3030" s="2" t="inlineStr">
        <is>
          <t>https://www.kino-teatr.ru/teatr/movie/5066/annot/</t>
        </is>
      </c>
      <c r="M3030" s="2">
        <f>HYPERLINK("https://ru.wikipedia.org/w/index.php?search=%D0%9F%D0%B5%D1%80%D0%B5%D0%B4%20%D0%B7%D0%B0%D1%85%D0%BE%D0%B4%D0%BE%D0%BC%20%D1%81%D0%BE%D0%BB%D0%BD%D1%86%D0%B0%201974%20%D1%84%D0%B8%D0%BB%D1%8C%D0%BC","искать")</f>
        <v/>
      </c>
      <c r="N3030" s="3" t="n"/>
      <c r="O3030" s="2" t="n"/>
      <c r="P3030" s="2" t="n"/>
    </row>
    <row r="3031">
      <c r="A3031" s="2" t="n">
        <v>3030</v>
      </c>
      <c r="B3031" s="2" t="inlineStr">
        <is>
          <t>не сюжет</t>
        </is>
      </c>
      <c r="C3031" s="2" t="n">
        <v>11616</v>
      </c>
      <c r="D3031" s="3" t="inlineStr">
        <is>
          <t>Юноша Фридрих Энгельс</t>
        </is>
      </c>
      <c r="E3031" s="2" t="n">
        <v>1970</v>
      </c>
      <c r="F3031" s="2" t="inlineStr">
        <is>
          <t>мультфильм</t>
        </is>
      </c>
      <c r="G3031" s="2" t="inlineStr">
        <is>
          <t>Союзмультфильм, DEFA-film</t>
        </is>
      </c>
      <c r="H3031" s="2" t="n">
        <v>809</v>
      </c>
      <c r="I3031" s="2" t="inlineStr"/>
      <c r="J3031" s="2" t="inlineStr">
        <is>
          <t>да</t>
        </is>
      </c>
      <c r="K3031" s="3" t="inlineStr">
        <is>
          <t>Фильм о юных годах Фридриха Энгелься сделан на материале его писем и рисунков. В 1838 году молодой Энгельс приезжает в Бремен, чтобы, выполняя желание родителей, завершить всое коммерческо5е образование. Письма Фридриха сестре Марии и друзьям - Вильгельму и Фридриху Греберам отражают сложный путь поисков истины, раздумья его о свободе, религии, политике, науке. Четыре года, проведенные в Бремене, - это время становления личности Энгельса, время формирования главного интереса его жизни. В эти годы он изучает философию Гегеля и политическую экономию; печатается в газетах, изучает положение рабочих на немецких фабриках, во время воинской службы в Берлине посещыет университетские лекции...Эти четыре года определили многое в жизни Энгелься, подготовили почву для его пожизненного сотрудничества с Марксом</t>
        </is>
      </c>
      <c r="L3031" s="2" t="inlineStr">
        <is>
          <t>https://gosfilmofond.ru/films/247583/</t>
        </is>
      </c>
      <c r="M3031" s="2">
        <f>HYPERLINK("https://ru.wikipedia.org/w/index.php?search=%D0%AE%D0%BD%D0%BE%D1%88%D0%B0%20%D0%A4%D1%80%D0%B8%D0%B4%D1%80%D0%B8%D1%85%20%D0%AD%D0%BD%D0%B3%D0%B5%D0%BB%D1%8C%D1%81%201970%20%D1%84%D0%B8%D0%BB%D1%8C%D0%BC","искать")</f>
        <v/>
      </c>
      <c r="N3031" s="3" t="n"/>
      <c r="O3031" s="2" t="n"/>
      <c r="P3031" s="2" t="n"/>
    </row>
    <row r="3032">
      <c r="A3032" s="2" t="n">
        <v>3031</v>
      </c>
      <c r="B3032" s="2" t="inlineStr">
        <is>
          <t>не сюжет</t>
        </is>
      </c>
      <c r="C3032" s="2" t="n">
        <v>10659</v>
      </c>
      <c r="D3032" s="3" t="inlineStr">
        <is>
          <t>Ноев ковчег</t>
        </is>
      </c>
      <c r="E3032" s="2" t="n">
        <v>1976</v>
      </c>
      <c r="F3032" s="2" t="inlineStr">
        <is>
          <t>фильм-спектакль</t>
        </is>
      </c>
      <c r="G3032" s="2" t="inlineStr">
        <is>
          <t>Экран</t>
        </is>
      </c>
      <c r="H3032" s="2" t="n">
        <v>843</v>
      </c>
      <c r="I3032" s="2" t="inlineStr"/>
      <c r="J3032" s="2" t="inlineStr">
        <is>
          <t>да</t>
        </is>
      </c>
      <c r="K3032" s="3" t="inlineStr">
        <is>
          <t>По пьесе И.Штока.
Эта постановка была задумана как продолжение спектакля "Божественная комедия". В то время многие удивлялись, каким чудом "Ноев ковчег" вышел: настолько его содержание было остро-сатирическим. Ни "Божественная комедия", ни "Ноев ковчег" отнюдь не атеистические спектакли, и, тем более, не являются насмешкой над Ветхим Заветом, как иногда хотят представить. Цитата: Кукольный театр - мир особенный, удивительный, ясный, счастливый. Центральный театр кукол, который мы вам представляем, отбрасывает всевозможные ограничения и предубеждения. С. Образцов не раз говорил об ироничности, как непременном качестве творческого процесса актера с куклой. Театр кукол рассчитывает на детское в каждом человеке. По самой своей природе он относится к той человечной и доброй, веселой и доверчивой основе, что роднит нас: взрослых и детей.</t>
        </is>
      </c>
      <c r="L3032" s="2" t="inlineStr">
        <is>
          <t>https://www.kino-teatr.ru/teatr/movie/89547/annot/</t>
        </is>
      </c>
      <c r="M3032" s="2">
        <f>HYPERLINK("https://ru.wikipedia.org/w/index.php?search=%D0%9D%D0%BE%D0%B5%D0%B2%20%D0%BA%D0%BE%D0%B2%D1%87%D0%B5%D0%B3%201976%20%D1%84%D0%B8%D0%BB%D1%8C%D0%BC","искать")</f>
        <v/>
      </c>
      <c r="N3032" s="3" t="n"/>
      <c r="O3032" s="2" t="n"/>
      <c r="P3032" s="2" t="n"/>
    </row>
    <row r="3033">
      <c r="A3033" s="2" t="n">
        <v>3032</v>
      </c>
      <c r="B3033" s="2" t="inlineStr">
        <is>
          <t>не сюжет</t>
        </is>
      </c>
      <c r="C3033" s="2" t="n">
        <v>10362</v>
      </c>
      <c r="D3033" s="3" t="inlineStr">
        <is>
          <t>На смерть поэтов</t>
        </is>
      </c>
      <c r="E3033" s="2" t="n">
        <v>1970</v>
      </c>
      <c r="F3033" s="2" t="inlineStr">
        <is>
          <t>фильм-спектакль</t>
        </is>
      </c>
      <c r="G3033" s="2" t="inlineStr">
        <is>
          <t>Ленинградское телевидение</t>
        </is>
      </c>
      <c r="H3033" s="2" t="n">
        <v>862</v>
      </c>
      <c r="I3033" s="2" t="inlineStr"/>
      <c r="J3033" s="2" t="inlineStr">
        <is>
          <t>да</t>
        </is>
      </c>
      <c r="K3033" s="3" t="inlineStr">
        <is>
          <t>Фильм основан на моноспектакле Виктора Харитонова и посвящен Михаилу Лермонтову и Шандору Петёфи, венгерскому поэту, расстрелянному карателями Николая I.
Из книги Ю. Панича "Колесо счастья": "Фильм после просмотра "положили на полку". Причина - отрицательный отзыв о каких- то деталях сценария, прозвучавший из уст самого Ираклия Андронникова. Талантливый Ираклий Андронников считал себя монополистом на освещение темы Леромонтова по ТВ. А тут кто-то посмел... Повторяю, фильм "положили на полку", то есть похоронили навсегда. Единственная копия лежала в хранилищах Ленинградского телевидения в ожидании утилизации кинопленки."
Стараниями Виктора Харитонова фильм был показан в 1991 году в телевизионной передаче "Премьера через четверть века", в которой участвовала режиссер Л. Панич, получившая возможность впервые приехать на родину после эмиграции 1972 года.</t>
        </is>
      </c>
      <c r="L3033" s="2" t="inlineStr">
        <is>
          <t>https://www.kino-teatr.ru/teatr/movie/86427/annot/</t>
        </is>
      </c>
      <c r="M3033" s="2">
        <f>HYPERLINK("https://ru.wikipedia.org/w/index.php?search=%D0%9D%D0%B0%20%D1%81%D0%BC%D0%B5%D1%80%D1%82%D1%8C%20%D0%BF%D0%BE%D1%8D%D1%82%D0%BE%D0%B2%201970%20%D1%84%D0%B8%D0%BB%D1%8C%D0%BC","искать")</f>
        <v/>
      </c>
      <c r="N3033" s="3" t="n"/>
      <c r="O3033" s="2" t="n"/>
      <c r="P3033" s="2" t="n"/>
    </row>
    <row r="3034">
      <c r="A3034" s="2" t="n">
        <v>3033</v>
      </c>
      <c r="B3034" s="2" t="inlineStr">
        <is>
          <t>не сюжет</t>
        </is>
      </c>
      <c r="C3034" s="2" t="n">
        <v>9110</v>
      </c>
      <c r="D3034" s="3" t="inlineStr">
        <is>
          <t>Три дня</t>
        </is>
      </c>
      <c r="E3034" s="2" t="n">
        <v>1991</v>
      </c>
      <c r="F3034" s="2" t="inlineStr">
        <is>
          <t>кинофильм</t>
        </is>
      </c>
      <c r="G3034" s="2" t="n"/>
      <c r="H3034" s="2" t="n">
        <v>872</v>
      </c>
      <c r="I3034" s="2" t="inlineStr"/>
      <c r="J3034" s="2" t="inlineStr">
        <is>
          <t>да</t>
        </is>
      </c>
      <c r="K3034" s="3" t="inlineStr">
        <is>
          <t>Фильм датирован 1991 годом, но снимался в 1989—1990. Картина предвосхищает события, случившиеся после августовского путча в 1991 году.
Принято обозначать этот фильм как антиисторию четырёх молодых людей в неком мёртвом городе K.
Внешне город и правда мертв: объекты съёмок у Бартаса почти всегда одни и те же: заброшенные сараи, дешёвые гостиницы, пустые причалы, провинциальные кабаки с грандиозными русскими пьянками под хиты 1990-х и тёмные углы: места обитания тёмной энергии (не в фольклорно-бытовом, а в философско-космологическом смысле), места, где света нет.
В фильме ничтожно мало диалогов, Голубева говорит вполголоса, будто про себя (стилистика этого фильма определит её игру в последующих фильмах раз и навсегда), герои картины будто в постоянном ожидании некого События, которое так и не случится. Ориентиры героям придется искать самим, и не всегда успешно.</t>
        </is>
      </c>
      <c r="L3034" s="2" t="inlineStr">
        <is>
          <t>https://ru.wikipedia.org/w/index.php?title=%D0%A2%D1%80%D0%B8_%D0%B4%D0%BD%D1%8F_%28%D1%84%D0%B8%D0%BB%D1%8C%D0%BC%2C_1991%29&amp;oldid=149730789</t>
        </is>
      </c>
      <c r="M3034" s="2">
        <f>HYPERLINK("https://ru.wikipedia.org/w/index.php?search=%D0%A2%D1%80%D0%B8%20%D0%B4%D0%BD%D1%8F%201991%20%D1%84%D0%B8%D0%BB%D1%8C%D0%BC","искать")</f>
        <v/>
      </c>
      <c r="N3034" s="3" t="n"/>
      <c r="O3034" s="2" t="n"/>
      <c r="P3034" s="2" t="n"/>
    </row>
    <row r="3035">
      <c r="A3035" s="2" t="n">
        <v>3034</v>
      </c>
      <c r="B3035" s="2" t="inlineStr">
        <is>
          <t>не сюжет</t>
        </is>
      </c>
      <c r="C3035" s="2" t="n">
        <v>10319</v>
      </c>
      <c r="D3035" s="3" t="inlineStr">
        <is>
          <t>На пороге</t>
        </is>
      </c>
      <c r="E3035" s="2" t="n">
        <v>1969</v>
      </c>
      <c r="F3035" s="2" t="inlineStr">
        <is>
          <t>фильм-спектакль</t>
        </is>
      </c>
      <c r="G3035" s="2" t="n"/>
      <c r="H3035" s="2" t="n">
        <v>874</v>
      </c>
      <c r="I3035" s="2" t="inlineStr"/>
      <c r="J3035" s="2" t="inlineStr">
        <is>
          <t>да</t>
        </is>
      </c>
      <c r="K3035" s="3" t="inlineStr">
        <is>
          <t>Спектакль на тему взаимоотношений в "Могучей кучке" после смерти композитора Бородина.«Могучая кучка» (Балакиревский кружок, Новая русская музыкальная школа) — творческое содружество российских композиторов, сложившееся в конце 1850-х и начале 1860-х годов. Название дал кружку его идеолог — критик В. В. Стасов. Впервые название встречается в статье Стасова «Славянский концерт г. Балакирева» (1867): «Сколько поэзии, чувства, таланта и умения есть у маленькой, но уже могучей кучки русских музыкантов». В «Могучую кучку» входили: Балакирев Милий Алексеевич (руководитель), Бородин Александр Порфирьевич, Кюи Цезарь Антонович, Мусоргский Модест Петрович, Римский-Корсаков Николай Андреевич. К середине 1870-х годов «Могучая кучка» как сплочённая группа перестала существовать. Деятельность «Могучей кучки» стала эпохой в развитии русского и мирового музыкального искусства.</t>
        </is>
      </c>
      <c r="L3035" s="2" t="inlineStr">
        <is>
          <t>https://www.kino-teatr.ru/teatr/movie/93768/annot/</t>
        </is>
      </c>
      <c r="M3035" s="2">
        <f>HYPERLINK("https://ru.wikipedia.org/w/index.php?search=%D0%9D%D0%B0%20%D0%BF%D0%BE%D1%80%D0%BE%D0%B3%D0%B5%201969%20%D1%84%D0%B8%D0%BB%D1%8C%D0%BC","искать")</f>
        <v/>
      </c>
      <c r="N3035" s="3" t="n"/>
      <c r="O3035" s="2" t="n"/>
      <c r="P3035" s="2" t="n"/>
    </row>
    <row r="3036">
      <c r="A3036" s="2" t="n">
        <v>3035</v>
      </c>
      <c r="B3036" s="2" t="inlineStr">
        <is>
          <t>не сюжет</t>
        </is>
      </c>
      <c r="C3036" s="2" t="n">
        <v>9151</v>
      </c>
      <c r="D3036" s="3" t="inlineStr">
        <is>
          <t>Цензуру к памяти не допускаю</t>
        </is>
      </c>
      <c r="E3036" s="2" t="n">
        <v>1991</v>
      </c>
      <c r="F3036" s="2" t="inlineStr">
        <is>
          <t>кинофильм</t>
        </is>
      </c>
      <c r="G3036" s="2" t="n"/>
      <c r="H3036" s="2" t="n">
        <v>935</v>
      </c>
      <c r="I3036" s="2" t="inlineStr"/>
      <c r="J3036" s="2" t="inlineStr">
        <is>
          <t>да</t>
        </is>
      </c>
      <c r="K3036" s="3" t="inlineStr">
        <is>
          <t>В центре повествования фильма герой, в роли которого выступает сам Александр Пороховщиков — личность с твёрдым характером, отмеченная стигмой потомка «врага народа». Его дед, дворянин, инженер-конструктор, был репрессирован и погиб в ГУЛАГе.
Основные сюжетные линии выстроены вокруг рефлексии героя: он стремится осмыслить семейную трагедию, реконструировать обстоятельства разрушения судьбы рода и реабилитировать репутацию деда. Это путь от преодоления атмосферы страха и цензуры к сохранению аутентичной памяти о прошлом.
В процессе поиска истины протагонист подвергает анализу своё наследие, обнаруживая глубокое влияние репрессий на судьбы родных; особое внимание уделяется длительному табуированию подобных воспоминаний под гнётом цензуры.
Фильм представляет собой исповедальный нарратив, в котором герой категорически отвергает «цензуру памяти», подчёркивая необходимость объективного осмысления семейной и национальной истории.</t>
        </is>
      </c>
      <c r="L3036" s="2" t="inlineStr">
        <is>
          <t>https://ru.wikipedia.org/w/index.php?title=%D0%A6%D0%B5%D0%BD%D0%B7%D1%83%D1%80%D1%83_%D0%BA_%D0%BF%D0%B0%D0%BC%D1%8F%D1%82%D0%B8_%D0%BD%D0%B5_%D0%B4%D0%BE%D0%BF%D1%83%D1%81%D0%BA%D0%B0%D1%8E_%28%D1%84%D0%B8%D0%BB%D1%8C%D0%BC%29&amp;oldid=154185358</t>
        </is>
      </c>
      <c r="M3036" s="2">
        <f>HYPERLINK("https://ru.wikipedia.org/w/index.php?search=%D0%A6%D0%B5%D0%BD%D0%B7%D1%83%D1%80%D1%83%20%D0%BA%20%D0%BF%D0%B0%D0%BC%D1%8F%D1%82%D0%B8%20%D0%BD%D0%B5%20%D0%B4%D0%BE%D0%BF%D1%83%D1%81%D0%BA%D0%B0%D1%8E%201991%20%D1%84%D0%B8%D0%BB%D1%8C%D0%BC","искать")</f>
        <v/>
      </c>
      <c r="N3036" s="3" t="n"/>
      <c r="O3036" s="2" t="n"/>
      <c r="P3036" s="2" t="n"/>
    </row>
    <row r="3037">
      <c r="A3037" s="2" t="n">
        <v>3036</v>
      </c>
      <c r="B3037" s="2" t="inlineStr">
        <is>
          <t>не сюжет</t>
        </is>
      </c>
      <c r="C3037" s="2" t="n">
        <v>9968</v>
      </c>
      <c r="D3037" s="3" t="inlineStr">
        <is>
          <t>...Иванов</t>
        </is>
      </c>
      <c r="E3037" s="2" t="n">
        <v>1981</v>
      </c>
      <c r="F3037" s="2" t="inlineStr">
        <is>
          <t>кинофильм</t>
        </is>
      </c>
      <c r="G3037" s="2" t="inlineStr">
        <is>
          <t>Мосфильм, ВГИК</t>
        </is>
      </c>
      <c r="H3037" s="2" t="n">
        <v>985</v>
      </c>
      <c r="I3037" s="2" t="inlineStr"/>
      <c r="J3037" s="2" t="inlineStr">
        <is>
          <t>да</t>
        </is>
      </c>
      <c r="K3037" s="3" t="inlineStr">
        <is>
          <t>Игровая кинозарисовка, учебная работа по киноосвещению, композиции и спецсъемкам А.Ильховского (3 курс, ВГИК, кафедра операторского мастерства, мастер-руководитель А.Симонов) с участием ансамбля "Аквариум".
В 80-м Олег Осетинский странным образом материализовался в круге Майка и БГ. Он был не музыкантом, а театральным режиссером и драматургом, к тому же обладал магическим даром влияния на людей. Свою дочь Полину он сделал пианисткой международного класса. Осетинский пришел и сказал: «Петь вы не умеете, играть не умеете, песни писать не умеете, а я вас научу». И два вполне состоявшихся рок-музыканта в течение года послушно выполняли все его указания, а Майк особенно. Мать певца Галина Флорентьевна Науменко считает, что Осетинский сделал его артистом. Отношения с Гребенщиковым сложились не так гладко, однако именно Осетинский познакомил студентов ВГИКа Александра Ильховского и Александра Нехорошего с «Аквариумом». В результате на свет появился фильм «Иванов» с участием БГ.</t>
        </is>
      </c>
      <c r="L3037" s="2" t="inlineStr">
        <is>
          <t>https://www.kino-teatr.ru/short/movie/sov/16704/annot/</t>
        </is>
      </c>
      <c r="M3037" s="2">
        <f>HYPERLINK("https://ru.wikipedia.org/w/index.php?search=...%D0%98%D0%B2%D0%B0%D0%BD%D0%BE%D0%B2%201981%20%D1%84%D0%B8%D0%BB%D1%8C%D0%BC","искать")</f>
        <v/>
      </c>
      <c r="N3037" s="3" t="n"/>
      <c r="O3037" s="2" t="n"/>
      <c r="P3037" s="2" t="n"/>
    </row>
    <row r="3038">
      <c r="A3038" s="2" t="n">
        <v>3037</v>
      </c>
      <c r="B3038" s="2" t="inlineStr">
        <is>
          <t>не сюжет</t>
        </is>
      </c>
      <c r="C3038" s="2" t="n">
        <v>10205</v>
      </c>
      <c r="D3038" s="3" t="inlineStr">
        <is>
          <t>Медея</t>
        </is>
      </c>
      <c r="E3038" s="2" t="n">
        <v>1967</v>
      </c>
      <c r="F3038" s="2" t="inlineStr">
        <is>
          <t>фильм-спектакль</t>
        </is>
      </c>
      <c r="G3038" s="2" t="inlineStr">
        <is>
          <t>Главная редакция литературно-драматических программ</t>
        </is>
      </c>
      <c r="H3038" s="2" t="n">
        <v>986</v>
      </c>
      <c r="I3038" s="2" t="inlineStr"/>
      <c r="J3038" s="2" t="inlineStr">
        <is>
          <t>да</t>
        </is>
      </c>
      <c r="K3038" s="3" t="inlineStr">
        <is>
          <t>«Медея» — один из самых ярких спектаклей театра Маяковского, премьера которого состоялась в 1961 году.
Театр Маяковского впервые в СССР поставил «Медею», а Евгений Самойлов стал первым исполнителем роли Ясона на российской сцене. В творческом союзе с Охлопковым артист создал психологически точный характер убежденного эгоиста и современного прагматика, практичного и безнравственного. Взрывной темперамент и трагический пафос исполнения финальной сцены (отчаяние отца убитых детей) потрясали зрителей.
Евгения Козырёва создала мощный трагически-острый характер, её Медея главенствует на сцене, вовлекая зрителя в совершенно особый мир античной драмы, где не работают привычные нормы жизни, а всё живёт по своим особым законам. Спектакль стремится максимально приблизится к античному театру, это особое действо, абсолютно непохожее на другие постановки.
Симфонический оркестр: дирижёр Ю.Силантьев; Академическая республиканская хоровая капелла: худ.рук. А.Юрлов; Балетмейстер Н.Гришина.</t>
        </is>
      </c>
      <c r="L3038" s="2" t="inlineStr">
        <is>
          <t>https://www.kino-teatr.ru/teatr/movie/81589/annot/</t>
        </is>
      </c>
      <c r="M3038" s="2">
        <f>HYPERLINK("https://ru.wikipedia.org/w/index.php?search=%D0%9C%D0%B5%D0%B4%D0%B5%D1%8F%201967%20%D1%84%D0%B8%D0%BB%D1%8C%D0%BC","искать")</f>
        <v/>
      </c>
      <c r="N3038" s="3" t="n"/>
      <c r="O3038" s="2" t="n"/>
      <c r="P3038" s="2" t="n"/>
    </row>
    <row r="3039">
      <c r="A3039" s="2" t="n">
        <v>3038</v>
      </c>
      <c r="B3039" s="2" t="inlineStr">
        <is>
          <t>не сюжет</t>
        </is>
      </c>
      <c r="C3039" s="2" t="n">
        <v>10023</v>
      </c>
      <c r="D3039" s="3" t="inlineStr">
        <is>
          <t>Сон</t>
        </is>
      </c>
      <c r="E3039" s="2" t="n">
        <v>1987</v>
      </c>
      <c r="F3039" s="2" t="inlineStr">
        <is>
          <t>телефильм</t>
        </is>
      </c>
      <c r="G3039" s="2" t="n"/>
      <c r="H3039" s="2" t="n">
        <v>988</v>
      </c>
      <c r="I3039" s="2" t="inlineStr"/>
      <c r="J3039" s="2" t="inlineStr">
        <is>
          <t>да</t>
        </is>
      </c>
      <c r="K3039" s="3" t="inlineStr">
        <is>
          <t>Недавно найденный и отреставрированный фильм первой волны ленинградского киноавангарда времён начала перестройки: «Сон» был снят в 1987 году, «Путь» — в 1988.
В своё время фильм демонстрировался на квартирниках и подпольных показах, а также участвовал в первых фестивалях параллельного кино. Затем существовавший в единственном экземпляре фильм посчитали утраченным.
Сон и явь — два противоположных по восприятию состояния человека. Иногда, в особых случаях, человек не в состоянии понять, в какой реальности находится его сознание: спит ли разум и генерирует при этом те образы, которые в данный момент рисуют человеку картину мира, отличающуюся от привычной, или зрительные рецепторы доносят ему истинное положение предметов в пространстве и времени. Порой грань эта бывает настолько расплывчата и зыбка, что человек вполне способен увязнуть и застрять навсегда в вечном сне, в непостигаемом желе из цветовых пятен, сгустков настроения и отдельных фигур, несущих не то добро, не то зло.</t>
        </is>
      </c>
      <c r="L3039" s="2" t="inlineStr">
        <is>
          <t>https://ru.wikipedia.org/w/index.php?title=%D0%A1%D0%BE%D0%BD_%28%D1%84%D0%B8%D0%BB%D1%8C%D0%BC%2C_1987%29&amp;oldid=155623861</t>
        </is>
      </c>
      <c r="M3039" s="2">
        <f>HYPERLINK("https://ru.wikipedia.org/w/index.php?search=%D0%A1%D0%BE%D0%BD%201987%20%D1%84%D0%B8%D0%BB%D1%8C%D0%BC","искать")</f>
        <v/>
      </c>
      <c r="N3039" s="3" t="n"/>
      <c r="O3039" s="2" t="n"/>
      <c r="P3039" s="2" t="n"/>
    </row>
    <row r="3040">
      <c r="A3040" s="2" t="n">
        <v>3039</v>
      </c>
      <c r="B3040" s="2" t="inlineStr">
        <is>
          <t>не сюжет</t>
        </is>
      </c>
      <c r="C3040" s="2" t="n">
        <v>7757</v>
      </c>
      <c r="D3040" s="3" t="inlineStr">
        <is>
          <t>Короткие истории</t>
        </is>
      </c>
      <c r="E3040" s="2" t="n">
        <v>1963</v>
      </c>
      <c r="F3040" s="2" t="inlineStr">
        <is>
          <t>телефильм</t>
        </is>
      </c>
      <c r="G3040" s="2" t="n"/>
      <c r="H3040" s="2" t="n">
        <v>1035</v>
      </c>
      <c r="I3040" s="2" t="inlineStr"/>
      <c r="J3040" s="2" t="inlineStr">
        <is>
          <t>да</t>
        </is>
      </c>
      <c r="K3040" s="3" t="inlineStr">
        <is>
          <t>Фильм представляет собой трёхсерийную подборку из инсценировок нескольких юмористических рассказов советских и зарубежных авторов, опубликованных в серии брошюр Библиотечка журнала «Крокодил», действие которых происходит в кафе, в учреждении, в бассейне, на кухне и тому подобных местах.
Первая серия:
«Улыбнись, товарищ!»
«Интересно…» (музыкально-танцевальная)
«Вопрос о лопнувшей трубе»
«Я стучу на машинке» (музыкально-танцевальная)
«И так бывает…» (мультфильм)
«Осторожный человек»
«Времена года» (музыкально-графическая)
«Семейный вечер»
«Шутки-малютки» (очень короткие истории, 11 серий)
Вторая серия:
«Условия развода»
«Телефон» (музыкально-танцевальная)
«Калиновский»
«Сестра Моника» (графическая)
«Случай в самолёте»
«Мошенник»
«Тайна комнаты № 216»
«Шутки-малютки» (очень короткие истории, 10 серий)
Третья серия:
«Порядок прежде всего»
«В суде»
«Однажды…» (музыкально-танцевальная)
«Слоны из мух»
«Умелец»
«Маэстро» (музыкальная)
«Следите за моралью»:
«Гостеприимство»
«Поучительная история»
«Легенда о блуждающих зеркалах».</t>
        </is>
      </c>
      <c r="L3040" s="2" t="inlineStr">
        <is>
          <t>https://ru.wikipedia.org/w/index.php?title=%D0%9A%D0%BE%D1%80%D0%BE%D1%82%D0%BA%D0%B8%D0%B5_%D0%B8%D1%81%D1%82%D0%BE%D1%80%D0%B8%D0%B8_%28%D1%84%D0%B8%D0%BB%D1%8C%D0%BC%2C_1963%29&amp;oldid=153566486</t>
        </is>
      </c>
      <c r="M3040" s="2">
        <f>HYPERLINK("https://ru.wikipedia.org/w/index.php?search=%D0%9A%D0%BE%D1%80%D0%BE%D1%82%D0%BA%D0%B8%D0%B5%20%D0%B8%D1%81%D1%82%D0%BE%D1%80%D0%B8%D0%B8%201963%20%D1%84%D0%B8%D0%BB%D1%8C%D0%BC","искать")</f>
        <v/>
      </c>
      <c r="N3040" s="3" t="n"/>
      <c r="O3040" s="2" t="n"/>
      <c r="P3040" s="2" t="n"/>
    </row>
    <row r="3041">
      <c r="A3041" s="2" t="n">
        <v>3040</v>
      </c>
      <c r="B3041" s="2" t="inlineStr">
        <is>
          <t>не сюжет</t>
        </is>
      </c>
      <c r="C3041" s="2" t="n">
        <v>10484</v>
      </c>
      <c r="D3041" s="3" t="inlineStr">
        <is>
          <t>Балалайкин и К°</t>
        </is>
      </c>
      <c r="E3041" s="2" t="n">
        <v>1973</v>
      </c>
      <c r="F3041" s="2" t="inlineStr">
        <is>
          <t>фильм-спектакль</t>
        </is>
      </c>
      <c r="G3041" s="2" t="inlineStr">
        <is>
          <t>ТО "Экран"</t>
        </is>
      </c>
      <c r="H3041" s="2" t="n">
        <v>1047</v>
      </c>
      <c r="I3041" s="2" t="inlineStr"/>
      <c r="J3041" s="2" t="inlineStr">
        <is>
          <t>да</t>
        </is>
      </c>
      <c r="K3041" s="3" t="inlineStr">
        <is>
          <t>Спектакль театра "Современник" в постановке Г.А.Товстоногова.
Постановка Георгия Товстоногова. «Балалайкин и К°» был программным спектаклем театра, оправданием его гордого названия. Сергей Михалков составил пьесу из отрывков «Современной идиллии» Салтыкова-Щедрина — сатирического романа, высмеивающего трусливую либеральную интеллигенцию XIX века. Постреформенные 1870-е и послеоттепельные 1970-е оказались удивительно похожи. Прежние высокие идеалы заброшены, в чести молчалинская покладистость и умение «годить», то есть не жить, а существовать, дожидаясь лучших времен. Показанный театром процесс превращения героев в «благонамеренных скотин» современники вполне обоснованно приняли на свой счет. Это была необыкновенная для тех времен смелость высказывания. Актуальность и публицистичность пьесы, режиссерское мастерство Георгия Товстоногова, талант молодых актеров — Валентина Гафта, Игоря Кваши, Олега Табакова, Андрея Мягкова, которые с азартом, как можно себе представить, «отрывались», изображая чудовищных гротескных персонажей Щедрина.</t>
        </is>
      </c>
      <c r="L3041" s="2" t="inlineStr">
        <is>
          <t>https://www.kino-teatr.ru/teatr/movie/354/annot/</t>
        </is>
      </c>
      <c r="M3041" s="2">
        <f>HYPERLINK("https://ru.wikipedia.org/w/index.php?search=%D0%91%D0%B0%D0%BB%D0%B0%D0%BB%D0%B0%D0%B9%D0%BA%D0%B8%D0%BD%20%D0%B8%20%D0%9A%C2%B0%201973%20%D1%84%D0%B8%D0%BB%D1%8C%D0%BC","искать")</f>
        <v/>
      </c>
      <c r="N3041" s="3" t="n"/>
      <c r="O3041" s="2" t="n"/>
      <c r="P3041" s="2" t="n"/>
    </row>
    <row r="3042">
      <c r="A3042" s="2" t="n">
        <v>3041</v>
      </c>
      <c r="B3042" s="2" t="inlineStr">
        <is>
          <t>не сюжет</t>
        </is>
      </c>
      <c r="C3042" s="2" t="n">
        <v>10850</v>
      </c>
      <c r="D3042" s="3" t="inlineStr">
        <is>
          <t>Мне от любви покоя не найти</t>
        </is>
      </c>
      <c r="E3042" s="2" t="n">
        <v>1980</v>
      </c>
      <c r="F3042" s="2" t="inlineStr">
        <is>
          <t>фильм-спектакль</t>
        </is>
      </c>
      <c r="G3042" s="2" t="n"/>
      <c r="H3042" s="2" t="n">
        <v>1090</v>
      </c>
      <c r="I3042" s="2" t="inlineStr"/>
      <c r="J3042" s="2" t="inlineStr">
        <is>
          <t>да</t>
        </is>
      </c>
      <c r="K3042" s="3" t="inlineStr">
        <is>
          <t>Телеспектакль создан по мотивам пьес и сонетов Шекспира (1980 г). В нем Маргарита Терехова играет сразу пять ролей: Клеопатру, Дездемону, Офелию, Катарину и леди Анну.
Миры, совершенно непохожие, во многом далекие друг от друга.
Вспомнилось пушкинское простое: "Шекспир понял страсти". А сколько нужно поработать, как нужно выложиться, чтобы эти страсти понял (хотя бы уловил) зритель! И не театру ли дано перевести, передать то, что спрессовано, законспектировано в слове, что вовек не снилось философам и мудрецам?..
Роман Виктюк рассказывал, что Маргариту Терехову он пригласил на эту роль без всяких колебаний, потому что, по его мнению, только эта актриса смогла сыграть, любовь, женственность, страсть в самых разных и неожиданных ее проявлениях. Маргарита Терехова — одна из немногих артисток, в которых одновременно уживаются несколько женских начал. Это редкий и замечательно ценный дар. Этот спектакль — бенефис замечательной актрисы. В театре Терехова играла роли большие и маленькие, лирические и драматические. Театру я обязана всем или почти всем, что умею, — говорит актриса.</t>
        </is>
      </c>
      <c r="L3042" s="2" t="inlineStr">
        <is>
          <t>https://www.kino-teatr.ru/teatr/movie/101723/annot/</t>
        </is>
      </c>
      <c r="M3042" s="2">
        <f>HYPERLINK("https://ru.wikipedia.org/w/index.php?search=%D0%9C%D0%BD%D0%B5%20%D0%BE%D1%82%20%D0%BB%D1%8E%D0%B1%D0%B2%D0%B8%20%D0%BF%D0%BE%D0%BA%D0%BE%D1%8F%20%D0%BD%D0%B5%20%D0%BD%D0%B0%D0%B9%D1%82%D0%B8%201980%20%D1%84%D0%B8%D0%BB%D1%8C%D0%BC","искать")</f>
        <v/>
      </c>
      <c r="N3042" s="3" t="n"/>
      <c r="O3042" s="2" t="n"/>
      <c r="P3042" s="2" t="n"/>
    </row>
    <row r="3043">
      <c r="A3043" s="2" t="n">
        <v>3042</v>
      </c>
      <c r="B3043" s="2" t="inlineStr">
        <is>
          <t>не сюжет</t>
        </is>
      </c>
      <c r="C3043" s="2" t="n">
        <v>11022</v>
      </c>
      <c r="D3043" s="3" t="inlineStr">
        <is>
          <t>Эдит Пиаф</t>
        </is>
      </c>
      <c r="E3043" s="2" t="n">
        <v>1983</v>
      </c>
      <c r="F3043" s="2" t="inlineStr">
        <is>
          <t>фильм-спектакль</t>
        </is>
      </c>
      <c r="G3043" s="2" t="inlineStr">
        <is>
          <t>Гл. ред. литературно-художественных программ</t>
        </is>
      </c>
      <c r="H3043" s="2" t="n">
        <v>1160</v>
      </c>
      <c r="I3043" s="2" t="inlineStr"/>
      <c r="J3043" s="2" t="inlineStr">
        <is>
          <t>да</t>
        </is>
      </c>
      <c r="K3043" s="3" t="inlineStr">
        <is>
          <t>Спектакль о жизни и любви великой французской певицы поставлен Борисом Щедриным в государственном академическом театре имени Моссовета.
Пьеса В. Легентова написана по книгам Эдит Пиаф «Моя жизнь» и «На балу удачи». Голос Эдит Пиаф — один из самых узнаваемых голосов ушедшего века. В музыке, исполняемой ею, сплелись страсть, боль, ожидание и любовь. Она пользовалась в нашей стране огромной популярностью. Ее многочисленные студийные записи и концертные выступления выпускались у нас на граммофонных пластинках большими тиражами. А песни из репертуара Эдит Пиаф исполнялись известными певицами. Ее судьба не раз привлекала драматургов и режиссеров. Один из самых легендарных спектаклей о судьбе певицы — «Эдит Пиаф» в театре Моссовета. Главную роль исполняла Нина Дробышева. На этот спектакль приезжали со всех концов страны и из-за рубежа. Спектакль, проживший такую же яркую жизнь, как судьба, в нем рассказанная. Откровенность жизни певицы, умноженная на искренность актерского мастерства Дробышевой, давала тот взрывной силы эффект, благодаря которому никто не мог равнодушно смотреть на хрупкую фигурку, которая словно собирала вокруг себя свет и энергию.</t>
        </is>
      </c>
      <c r="L3043" s="2" t="inlineStr">
        <is>
          <t>https://www.kino-teatr.ru/teatr/movie/81499/annot/</t>
        </is>
      </c>
      <c r="M3043" s="2">
        <f>HYPERLINK("https://ru.wikipedia.org/w/index.php?search=%D0%AD%D0%B4%D0%B8%D1%82%20%D0%9F%D0%B8%D0%B0%D1%84%201983%20%D1%84%D0%B8%D0%BB%D1%8C%D0%BC","искать")</f>
        <v/>
      </c>
      <c r="N3043" s="3" t="n"/>
      <c r="O3043" s="2" t="n"/>
      <c r="P3043" s="2" t="n"/>
    </row>
    <row r="3044">
      <c r="A3044" s="2" t="n">
        <v>3043</v>
      </c>
      <c r="B3044" s="2" t="inlineStr">
        <is>
          <t>не сюжет</t>
        </is>
      </c>
      <c r="C3044" s="2" t="n">
        <v>10809</v>
      </c>
      <c r="D3044" s="3" t="inlineStr">
        <is>
          <t>Мамуре</t>
        </is>
      </c>
      <c r="E3044" s="2" t="n">
        <v>1979</v>
      </c>
      <c r="F3044" s="2" t="inlineStr">
        <is>
          <t>фильм-спектакль</t>
        </is>
      </c>
      <c r="G3044" s="2" t="n"/>
      <c r="H3044" s="2" t="n">
        <v>1206</v>
      </c>
      <c r="I3044" s="2" t="inlineStr"/>
      <c r="J3044" s="2" t="inlineStr">
        <is>
          <t>да</t>
        </is>
      </c>
      <c r="K3044" s="3" t="inlineStr">
        <is>
          <t>Спектакль Малого театра, поставленный режиссером Борисом Александровичем Львовым-Анохиным специально для старейшей актрисы Малого театра Елены Гоголевой к ее 60-му сезону. И после этого Гоголева играла столетнюю главу рода Муре, не вставая с кресла. Работая над образом, актриса познакомилась со стооднолетней француженкой, проживавшей тогда в Москве, и, как сама признавалась, многому у нее научилась. Актриса очень переживала, получится у нее роль или нет. А режиссер, поддерживая ее, говорил, «Сыграете! Да вам и играть нечего — хулиганьте, только разрешите себе хулиганить!», «Это мне-то хулиганить, трагической актрисе?!» Спектакль получился замечательным, тонким, изящным.
Французскую пьесу Жана Сармана нашла и перевела на русский язык дочь писателя Куприна Ксения, сама актриса. Она вернулась в СССР вопреки советам отца и прожила в Москве не самые свои лучшие годы. Игравшая в кино и театре Франции, она в России числилась в театре Пушкина, но не играла. Говорили, что для нее нет ролей. Вот она и искала пьесы и переводила их. Без нее мы бы Мамуре не увидели. Кстати, у Гоголевой, в плане игры в театре, была очень схожая ситуация, и пьеса Мамуре стала для нее не только триумфом, но и спасением.</t>
        </is>
      </c>
      <c r="L3044" s="2" t="inlineStr">
        <is>
          <t>https://www.kino-teatr.ru/teatr/movie/82047/annot/</t>
        </is>
      </c>
      <c r="M3044" s="2">
        <f>HYPERLINK("https://ru.wikipedia.org/w/index.php?search=%D0%9C%D0%B0%D0%BC%D1%83%D1%80%D0%B5%201979%20%D1%84%D0%B8%D0%BB%D1%8C%D0%BC","искать")</f>
        <v/>
      </c>
      <c r="N3044" s="3" t="n"/>
      <c r="O3044" s="2" t="n"/>
      <c r="P3044" s="2" t="n"/>
    </row>
    <row r="3045">
      <c r="A3045" s="2" t="n">
        <v>3044</v>
      </c>
      <c r="B3045" s="2" t="inlineStr">
        <is>
          <t>не сюжет</t>
        </is>
      </c>
      <c r="C3045" s="2" t="n">
        <v>10827</v>
      </c>
      <c r="D3045" s="3" t="inlineStr">
        <is>
          <t>Этот фантастический мир. Выпуск 1</t>
        </is>
      </c>
      <c r="E3045" s="2" t="n">
        <v>1979</v>
      </c>
      <c r="F3045" s="2" t="inlineStr">
        <is>
          <t>фильм-спектакль</t>
        </is>
      </c>
      <c r="G3045" s="2" t="inlineStr">
        <is>
          <t>Главная редакция программ для детей и юношества ЦТ</t>
        </is>
      </c>
      <c r="H3045" s="2" t="n">
        <v>1267</v>
      </c>
      <c r="I3045" s="2" t="inlineStr"/>
      <c r="J3045" s="2" t="inlineStr">
        <is>
          <t>да</t>
        </is>
      </c>
      <c r="K3045" s="3" t="inlineStr">
        <is>
          <t>Первый выпуск телеальманаха по произведениям советских и зарубежных фантастов, впоследствии регулярно выходившего на Центральном Телевидении СССР до 1990 года.
Изначально передача задумывалась как литературная викторина для школьников, которым после просмотра предстояло определить, фрагменты каких произведений были инсценированы. Однако после первых выпусков стало очевидно, что программа приобрела огромную популярность не только у школьников, но и у всех любителей жанра фантастики. Поэтому в дальнейшем передача стала выходить в несколько ином формате - в виде телеальманаха, в котором несколько сюжетов из разных произведений были связаны одной темой.
Бессменным ведущим "ЭФМ", начиная со второго выпуска, стал космонавт Георгий Михайлович Гречко.
Создан на основе следующих произведений: Жюль Верн «Из пушки на Луну», Герберт Уэллс «Человек, который мог творить чудеса», Станислав Лем «Путешествие четырнадцатое».
А первый выпуск передачи "Этот фантастический мир" провели космонавт Константин Феоктистов, актер Виктор Сергачёв и школьник Кирилл Агеев. В качестве задания для юных зрителей были выбраны фрагменты из произведений Жюля Верна «Из пушки на Луну», Герберта Уэллса «Человек, который мог творить чудеса» и Станислава Лема «Путешествие четырнадцатое».</t>
        </is>
      </c>
      <c r="L3045" s="2" t="inlineStr">
        <is>
          <t>https://www.kino-teatr.ru/teatr/movie/11696/annot/</t>
        </is>
      </c>
      <c r="M3045" s="2">
        <f>HYPERLINK("https://ru.wikipedia.org/w/index.php?search=%D0%AD%D1%82%D0%BE%D1%82%20%D1%84%D0%B0%D0%BD%D1%82%D0%B0%D1%81%D1%82%D0%B8%D1%87%D0%B5%D1%81%D0%BA%D0%B8%D0%B9%20%D0%BC%D0%B8%D1%80.%20%D0%92%D1%8B%D0%BF%D1%83%D1%81%D0%BA%201%201979%20%D1%84%D0%B8%D0%BB%D1%8C%D0%BC","искать")</f>
        <v/>
      </c>
      <c r="N3045" s="3" t="n"/>
      <c r="O3045" s="2" t="n"/>
      <c r="P3045" s="2" t="n"/>
    </row>
    <row r="3046">
      <c r="A3046" s="2" t="n">
        <v>3045</v>
      </c>
      <c r="B3046" s="2" t="inlineStr">
        <is>
          <t>не сюжет</t>
        </is>
      </c>
      <c r="C3046" s="2" t="n">
        <v>11153</v>
      </c>
      <c r="D3046" s="3" t="inlineStr">
        <is>
          <t>Живой труп</t>
        </is>
      </c>
      <c r="E3046" s="2" t="n">
        <v>1987</v>
      </c>
      <c r="F3046" s="2" t="inlineStr">
        <is>
          <t>фильм-спектакль</t>
        </is>
      </c>
      <c r="G3046" s="2" t="inlineStr">
        <is>
          <t>Главная редакция литературно-драматических программ ЦТ</t>
        </is>
      </c>
      <c r="H3046" s="2" t="n">
        <v>1280</v>
      </c>
      <c r="I3046" s="2" t="inlineStr"/>
      <c r="J3046" s="2" t="inlineStr">
        <is>
          <t>да</t>
        </is>
      </c>
      <c r="K3046" s="3" t="inlineStr">
        <is>
          <t>По одноименной драме Л.Н.Толстого. Телевариант спектакля театра им. Моссовета.
Написанная в 1900-м, драма «Живой труп» попала в печать лишь в 1911-м, когда автора не стало, и тогда же впервые была поставлена на Александринской сцене. О том, почему Лев Толстой с ее обнародованием не торопился, остается догадываться — возможно, мотивы тут были вполне личные: семейная катастрофа Феди Протасова слишком легко проецировалась на коллизии яснополянского гнезда, на собственные отношения автора с женой, «безупречной женщиной» (говоря протасовскими словами), общая жизнь с которой утратила смысл. В роли Федора Протасова в этом телеварианте спектакля театра им. Моссовета выступил Леонид Марков. «Гнетущий человек» — говорили про его героя критики. Его часто упрекали в том, что сегодня сочли бы, пожалуй, достоинством: Марков умел сосредоточиться на личной, а не на социальной драме героя, создавал характер, а не тип. Он много играл классических ролей, но персонажи его, возможно, не отдавая себе в том отчета, страдали депрессией вполне современной — тяжелым стыдом сильного человека, измученного серостью совкового «застоя». И сгибались под тяжестью русской тоски, к смене времен равнодушной и висевшей, как родовое проклятие. О его Феде Протасове говорили: «перегоревший человек».</t>
        </is>
      </c>
      <c r="L3046" s="2" t="inlineStr">
        <is>
          <t>https://www.kino-teatr.ru/teatr/movie/2235/annot/</t>
        </is>
      </c>
      <c r="M3046" s="2">
        <f>HYPERLINK("https://ru.wikipedia.org/w/index.php?search=%D0%96%D0%B8%D0%B2%D0%BE%D0%B9%20%D1%82%D1%80%D1%83%D0%BF%201987%20%D1%84%D0%B8%D0%BB%D1%8C%D0%BC","искать")</f>
        <v/>
      </c>
      <c r="N3046" s="3" t="n"/>
      <c r="O3046" s="2" t="n"/>
      <c r="P3046" s="2" t="n"/>
    </row>
    <row r="3047">
      <c r="A3047" s="2" t="n">
        <v>3046</v>
      </c>
      <c r="B3047" s="2" t="inlineStr">
        <is>
          <t>не сюжет</t>
        </is>
      </c>
      <c r="C3047" s="2" t="n">
        <v>10955</v>
      </c>
      <c r="D3047" s="3" t="inlineStr">
        <is>
          <t>Повесть о молодых супругах</t>
        </is>
      </c>
      <c r="E3047" s="2" t="n">
        <v>1982</v>
      </c>
      <c r="F3047" s="2" t="inlineStr">
        <is>
          <t>фильм-спектакль</t>
        </is>
      </c>
      <c r="G3047" s="2" t="inlineStr">
        <is>
          <t>Главная редакция литературно-драматических программ Центрального телевидения</t>
        </is>
      </c>
      <c r="H3047" s="2" t="n">
        <v>1386</v>
      </c>
      <c r="I3047" s="2" t="inlineStr"/>
      <c r="J3047" s="2" t="inlineStr">
        <is>
          <t>да</t>
        </is>
      </c>
      <c r="K3047" s="3" t="inlineStr">
        <is>
          <t>По мотивам пьесы Евгения Шварца.
Пьеса о молодоженах и их друзьях. О том как важно за повседневностью не растерять прежних чувств.
"Его (Е.Шварца) последняя пьеса — «Повесть о молодых супругах». Он читал мне в Комарове, где мы часто встречались, отдельные наброски этой пьесы, которую так и не успел довести до окончательной отделки. В первоначальных вариантах не было двух персонажей пьесы — кукол. Речь шла только о молодоженах и их друзьях. Шварц хотел поделиться своими раздумьями о том, как важно молодой паре «притереться» друг к другу, чтобы наступило полное взаимопонимание. Его удручала мысль о непрочности многих юношеских браков, он желал как-то помочь советом старого человека. В нем говорил и голос отца, безгранично любившего свою дочь. Если бы он мог привести в эту пьесу своего доброго волшебника, он бы это сделал.
Ему нужно было, чтобы обыденная жизнь была освещена взором «со стороны». А «со стороны», значит, каким-то особым взглядом. Так родилась мысль о введении мудрых кукол, проживших бог знает сколько лет, знавших еще бабушек и дедушек молодыми и наделенных светлой мудростью. Герои пьесы так и не услышали их голосов. Но зрители поняли их речи. Через многие годы вернувшись к произведению с реально-бытовым сюжетом, Шварц вернулся и к важному для него приему — через «остранение» прийти к обобщению того, что обычно заслоняется повседневностью." (М.Янковский)</t>
        </is>
      </c>
      <c r="L3047" s="2" t="inlineStr">
        <is>
          <t>https://www.kino-teatr.ru/teatr/movie/16402/annot/</t>
        </is>
      </c>
      <c r="M3047" s="2">
        <f>HYPERLINK("https://ru.wikipedia.org/w/index.php?search=%D0%9F%D0%BE%D0%B2%D0%B5%D1%81%D1%82%D1%8C%20%D0%BE%20%D0%BC%D0%BE%D0%BB%D0%BE%D0%B4%D1%8B%D1%85%20%D1%81%D1%83%D0%BF%D1%80%D1%83%D0%B3%D0%B0%D1%85%201982%20%D1%84%D0%B8%D0%BB%D1%8C%D0%BC","искать")</f>
        <v/>
      </c>
      <c r="N3047" s="3" t="n"/>
      <c r="O3047" s="2" t="n"/>
      <c r="P3047" s="2" t="n"/>
    </row>
    <row r="3048">
      <c r="A3048" s="2" t="n">
        <v>3047</v>
      </c>
      <c r="B3048" s="2" t="inlineStr">
        <is>
          <t>не сюжет</t>
        </is>
      </c>
      <c r="C3048" s="2" t="n">
        <v>10703</v>
      </c>
      <c r="D3048" s="3" t="inlineStr">
        <is>
          <t>Насмешливое моё счастье</t>
        </is>
      </c>
      <c r="E3048" s="2" t="n">
        <v>1977</v>
      </c>
      <c r="F3048" s="2" t="inlineStr">
        <is>
          <t>фильм-спектакль</t>
        </is>
      </c>
      <c r="G3048" s="2" t="inlineStr">
        <is>
          <t>Укртелефильм</t>
        </is>
      </c>
      <c r="H3048" s="2" t="n">
        <v>1445</v>
      </c>
      <c r="I3048" s="2" t="inlineStr"/>
      <c r="J3048" s="2" t="inlineStr">
        <is>
          <t>да</t>
        </is>
      </c>
      <c r="K3048" s="3" t="inlineStr">
        <is>
          <t>Сценический роман в письмах.
Постановка Киевского Государственного академического русского драматического театра им. Леси Украинки.
Время действия: 1884-1904 годы. "Я думаю, главное кроется в пьесе, то есть в поразительно современных, западающих в душу каждого человека мыслях Чехова. Они так умны, тонки, пронзительны, исповедальны, правдивы, парадоксальны, образны - они на все времена. И если артисты доносят их до зрителя искренне, с душой, умом и сердцем, то зритель счастливо внимает им, задумывается над своей жизнью и внутренне эмоционально благодарит и Чехова, и театр за глоток нравственного кислорода, который нужен людям всегда. В письмах Чехова звучит неподдельная боль, почти отчаяние от трагического непонимания обществом дара таланта, боль, отвергающая банальность в восприятии литературы и искусства. Ставя и играя "Насмешливое моё счастье", мы поневоле прикасаемся и к глубоко запрятанной личной драме Чехова. Горечь Чехова, помноженная на вынужденное одиночество - почти тюрьму - в Ялте, где ему приходилось проводить зимы из-за болезни, рождала эти удивительные по своей трезвости и мудрой безнадежности мысли, под которыми и сегодня могут подписаться многие". Эти слова принадлежат режиссеру спектакля, его создателю - Михаилу Юрьевичу Резниковичу. Этот спектакль дважды видел подмостки Театра русской драмы. Впервые это произошло в 1966 году. Поставленный тогда спектакль с неизменным успехом шел на сцене восемнадцать лет.</t>
        </is>
      </c>
      <c r="L3048" s="2" t="inlineStr">
        <is>
          <t>https://www.kino-teatr.ru/teatr/movie/86845/annot/</t>
        </is>
      </c>
      <c r="M3048" s="2">
        <f>HYPERLINK("https://ru.wikipedia.org/w/index.php?search=%D0%9D%D0%B0%D1%81%D0%BC%D0%B5%D1%88%D0%BB%D0%B8%D0%B2%D0%BE%D0%B5%20%D0%BC%D0%BE%D1%91%20%D1%81%D1%87%D0%B0%D1%81%D1%82%D1%8C%D0%B5%201977%20%D1%84%D0%B8%D0%BB%D1%8C%D0%BC","искать")</f>
        <v/>
      </c>
      <c r="N3048" s="3" t="n"/>
      <c r="O3048" s="2" t="n"/>
      <c r="P3048" s="2" t="n"/>
    </row>
    <row r="3049">
      <c r="A3049" s="2" t="n">
        <v>3048</v>
      </c>
      <c r="B3049" s="2" t="inlineStr">
        <is>
          <t>не сюжет</t>
        </is>
      </c>
      <c r="C3049" s="2" t="n">
        <v>11326</v>
      </c>
      <c r="D3049" s="3" t="inlineStr">
        <is>
          <t>Судьба Короля</t>
        </is>
      </c>
      <c r="E3049" s="2" t="n">
        <v>1990</v>
      </c>
      <c r="F3049" s="2" t="inlineStr">
        <is>
          <t>фильм-спектакль</t>
        </is>
      </c>
      <c r="G3049" s="2" t="inlineStr">
        <is>
          <t>Ленинградское телевидение</t>
        </is>
      </c>
      <c r="H3049" s="2" t="n">
        <v>1702</v>
      </c>
      <c r="I3049" s="2" t="inlineStr"/>
      <c r="J3049" s="2" t="inlineStr">
        <is>
          <t>да</t>
        </is>
      </c>
      <c r="K3049" s="3" t="inlineStr">
        <is>
          <t>По пьесе Регины Леснер «Король рок-н-ролла».
Фильм-спектакль «Судьба короля» устами Максима Леонидова рассказывает о творчестве Короля рок-н-ролла Элвиса Пресли.
История эта началась в начале 80-х, когда в Ленинградском театральном институте силами студенческого театра был поставлен спектакль «Ах, эти звезды!». Спектакль представлял собой серию остроумных пародий и блестящих стилизаций, выстроенных в виде воображаемого гала-концерта звезд мировой и советской эстрады — от Эллы Фицджеральд и Эдит Пиаф до Аллы Пугачевой и Эдиты Пьехи и от Леонида Утесова и «Битлз» до современных рок-групп и ВИА. Главным действующим лицом на сцене был довольно неплохой анонимный музыкальный ансамбль, лидер которого Максим Леонидов по ходу спектакля играл Армстронга, Маккартни, Макаревича и великолепно сымитировал короля рок-н-ролла Элвиса Пресли. Спектакль шел на сценах питерских театров почти два года и неизменно собирал полные залы. По окончании института авторы и идеологи спектакля — Леонидов, Фоменко и Рубин решили не останавливаться на достигнутом. Так родился бит-квартет «Секрет». Премьера спектакля «Король рок-н-ролла» шла в Ленинграде десять дней подряд с лишь одним выходным. Леонидов, как нетрудно догадаться, играл самого Элвиса. Отец же Макса, заслуженный артист РСФСР Леонид Леонидов, исполнил роль полковника Паркера, менеджера и злого гения Пресли. Трагическую судьбу Элвиса «Секрет» превратил в яркое и динамичное шоу, что вовсе не заслонило от зрителей всех перипетий жизни Короля рок-н-ролла.
Существующая видеоверсия - телепередача Бориса Гершта, режиссёр Ленинградского телевидения, в которую включены фрагменты спектакля и интервью с музыкантами группы "Секрет" и Леонидом Леонидовым.</t>
        </is>
      </c>
      <c r="L3049" s="2" t="inlineStr">
        <is>
          <t>https://www.kino-teatr.ru/teatr/movie/105081/annot/</t>
        </is>
      </c>
      <c r="M3049" s="2">
        <f>HYPERLINK("https://ru.wikipedia.org/w/index.php?search=%D0%A1%D1%83%D0%B4%D1%8C%D0%B1%D0%B0%20%D0%9A%D0%BE%D1%80%D0%BE%D0%BB%D1%8F%201990%20%D1%84%D0%B8%D0%BB%D1%8C%D0%BC","искать")</f>
        <v/>
      </c>
      <c r="N3049" s="3" t="n"/>
      <c r="O3049" s="2" t="n"/>
      <c r="P3049" s="2" t="n"/>
    </row>
    <row r="3050">
      <c r="A3050" s="2" t="n">
        <v>3049</v>
      </c>
      <c r="B3050" s="2" t="inlineStr">
        <is>
          <t>не сюжет</t>
        </is>
      </c>
      <c r="C3050" s="2" t="n">
        <v>10179</v>
      </c>
      <c r="D3050" s="3" t="inlineStr">
        <is>
          <t>Кабачок "13 стульев" (1966-1980)</t>
        </is>
      </c>
      <c r="E3050" s="2" t="n">
        <v>1966</v>
      </c>
      <c r="F3050" s="2" t="inlineStr">
        <is>
          <t>фильм-спектакль</t>
        </is>
      </c>
      <c r="G3050" s="2" t="inlineStr">
        <is>
          <t>Центральное телевидение, ТО "Экран"</t>
        </is>
      </c>
      <c r="H3050" s="2" t="n">
        <v>4924</v>
      </c>
      <c r="I3050" s="2" t="inlineStr"/>
      <c r="J3050" s="2" t="inlineStr">
        <is>
          <t>да</t>
        </is>
      </c>
      <c r="K3050" s="3" t="inlineStr">
        <is>
          <t>Однажды Александр Белявский, которого много снимали в Польше, привез в Москву множество юмористических журналов. Вместе с Георгием Зелинским, режиссером театра Сатиры они разработали идею телетеатра миниатюр, который сначала назвали «Добрый вечер». Задуманная первоначально трилогия превратилась почти в
бесконечность из-за писем телезрителей, да и пристрастия к спектаклю главы государства. Первым ведущим был Белявский. Потом решили сменить название, и был объявлен конкурс. «Кабачок 13 стульев» звучало менее размыто и более узнаваемо, к тому же это соответствовало количеству участников каждой серии.
Телеспектакль 60-х-70-х годов, имевший в стране колоссальный успех, «Кабачок» обладал острой критической направленностью и искрометным юмором. Третьим беспроигрышным составляющим стали лучшие европейские шлягеры, которые лучшие актеры Москвы «исполняли» под фонограмму. Миниатюры были взяты из польского сатирического журнала «Шпильки», и это позволило в условиях застоя смеяться над собственными недостатками, поскольку эзопов язык создателей телеспектакля был хорошо понятен зрителям. Все понимали, что видят на экране вовсе не поляков.
Персонажи были настолько типажны, что каждый узнавал в тупом и самодовольном пане Директоре своего собственного начальника; в счетоводе Вотрубе - хитрого «серого кардинала» при Директоре, кладущего деньги а свой карман; в прозаике пане Зюзе бездарного литератора, мусолящего выигрышную и совершенно беспроблемную тему; в тараторящих дамочках Каролинке и Катарине пустеньких барышень, идущих на поводу у моды; в бармене Беспальчике - немного циничного наблюдателя, знатока человеческих душ... Некоторые передачи запрещались цензурой и выходили с опозданием. Обычно передачи выходили с регулярностью раз в неделю - по субботам, в прайм-таймовское время - когда все зрители отдыхали дома.
Андрею Миронову удалось провести всего две передачи: подвела харизматичность - зрители посчитали, что он затмил остальных актеров и это разрушает передачу, на роль ведущего нужен более нейтральный актер. И Андрей Миронов был заменен Михаилом Державиным, создавшим образ среднего поляка - несколько фатоватого, не блещущего умом, но обладающего обаянием.
Михаил Державин появлялся первым еще у входа в «Кабачок», как постоянный завсегдатай, решивший скоротать вечер за кружкой пива. Он произносил свой монолог и раздвигал бамбуковую занавеску.
Юмористические сценки и шлягеры равномерно чередовались, чтобы ни то ни другое не утомляло зрителя. Первые передачи были черно-белыми и шли не в записи,поэтому возникали неприятности из-за появления актрис в мини-юбках, сбоя во времени. Когда «Кабачок» получил свою студию в Останкино, он стал цветным, но уже шел в записи. Шлягеры пан Ведущий добросовестно переводил, заглушая мелодию, и на студию пришло много писем с требованием "заткнуть" его и дать послушать хорошую музыку, поскольку зарубежную эстраду давали в то время только на Новый год и на Пасху, «Кабачок 13 стульев» оказался единственным сериалом, знакомящим зрителей с новыми европейскими песнями.
Почти все исполнители играли на сцене театра Сатиры, однако были и актеры других театров (Рудольф Рудин, Виктория Лепко, Георгий Вицин...).
В юбилейный, десятый год передачи все ее участники были награждены званиями,премиями и ценными подарками от советского руководства. Польша присвоила «Кабачку» звание «заслуженного коллектива культуры Польской Народной Республики». Это был 1979 год.
Неприятности у авторов начались осенью 1980-го – с забастовки в ПНР докеров Гданьска в августе–сентябре и рождением профсоюза "Солидарность". Руководство СССР спешно заменяло комсомольского функционера и своего ставленника Каню, не справившегося с ситуацией, на умного и прагматичного генерала Ярузельского. Любой намек на Польшу в то время казался призывом к бунту. Последний раз передача вышела в эфир 13 июля 1980 г. Позднее, когда горячка схлынула и были предприняты несколько попыток возродить спектакль. Сначала «Кабачок» заменили «Домом и его обитателями», но передача была очень скучной. Потом еще одну попытку сделал Ю.Волынцев, уже с «Кабачком» – увы, зрители не приняли обновленный «Кабачок».
Наконец, в 1996 году Анна Макагон, режиссер театра "У камина", предложила вновь возродить спектакль. Некоторые актеры (Аросева и Державин) отказались в нем участвовать. Была отснята одна серия, которую показали на канале 2х2. Но грянул дефолт 1998 г. Спонсор (ТНО "Славянская бумага") обанкротился, и из-за отсутствия средств съемки больше не возобновились.
В дальнейшем, с наступлением эпохи гласности, роль «Кабачка» заметно снизилась. Спектакли были прекращены. Попытка Юрия Волынцева возобновить спектакль не имела успеха, поскольку «нельзя дважды войти в одну реку»: многие актеры умерли, тип юмора очень изменился, а спектакль стал казаться каплей в море перестройки. Это неизбежность, хоть и стоит пожалеть, понастальгировать о тех уютных временах, наполненных грустной и веселой иронией.</t>
        </is>
      </c>
      <c r="L3050" s="2" t="inlineStr">
        <is>
          <t>https://www.kino-teatr.ru/teatr/movie/2807/annot/</t>
        </is>
      </c>
      <c r="M3050" s="2">
        <f>HYPERLINK("https://ru.wikipedia.org/w/index.php?search=%D0%9A%D0%B0%D0%B1%D0%B0%D1%87%D0%BE%D0%BA%20%2213%20%D1%81%D1%82%D1%83%D0%BB%D1%8C%D0%B5%D0%B2%22%20%281966-1980%29%201966%20%D1%84%D0%B8%D0%BB%D1%8C%D0%BC","искать")</f>
        <v/>
      </c>
      <c r="N3050" s="3" t="n"/>
      <c r="O3050" s="2" t="n"/>
      <c r="P3050" s="2" t="n"/>
    </row>
    <row r="3051">
      <c r="A3051" s="2" t="n">
        <v>3050</v>
      </c>
      <c r="B3051" s="2" t="inlineStr">
        <is>
          <t>короткая</t>
        </is>
      </c>
      <c r="C3051" s="2" t="n">
        <v>11396</v>
      </c>
      <c r="D3051" s="3" t="inlineStr">
        <is>
          <t>Круговая панорама</t>
        </is>
      </c>
      <c r="E3051" s="2" t="n">
        <v>1958</v>
      </c>
      <c r="F3051" s="2" t="inlineStr">
        <is>
          <t>мультфильм</t>
        </is>
      </c>
      <c r="G3051" s="2" t="inlineStr">
        <is>
          <t>Союзмультфильм</t>
        </is>
      </c>
      <c r="H3051" s="2" t="n">
        <v>0</v>
      </c>
      <c r="I3051" s="2" t="inlineStr"/>
      <c r="J3051" s="2" t="inlineStr">
        <is>
          <t>?</t>
        </is>
      </c>
      <c r="K3051" s="3" t="inlineStr"/>
      <c r="L3051" s="2" t="inlineStr">
        <is>
          <t>https://animator.ru/db/?p=show_film&amp;fid=2019</t>
        </is>
      </c>
      <c r="M3051" s="2">
        <f>HYPERLINK("https://ru.wikipedia.org/w/index.php?search=%D0%9A%D1%80%D1%83%D0%B3%D0%BE%D0%B2%D0%B0%D1%8F%20%D0%BF%D0%B0%D0%BD%D0%BE%D1%80%D0%B0%D0%BC%D0%B0%201958%20%D1%84%D0%B8%D0%BB%D1%8C%D0%BC","искать")</f>
        <v/>
      </c>
      <c r="N3051" s="3" t="n"/>
      <c r="O3051" s="2" t="n"/>
      <c r="P3051" s="2" t="n"/>
    </row>
    <row r="3052">
      <c r="A3052" s="2" t="n">
        <v>3051</v>
      </c>
      <c r="B3052" s="2" t="inlineStr">
        <is>
          <t>короткая</t>
        </is>
      </c>
      <c r="C3052" s="2" t="n">
        <v>11397</v>
      </c>
      <c r="D3052" s="3" t="inlineStr">
        <is>
          <t>Ровно в 3:15</t>
        </is>
      </c>
      <c r="E3052" s="2" t="n">
        <v>1959</v>
      </c>
      <c r="F3052" s="2" t="inlineStr">
        <is>
          <t>мультфильм</t>
        </is>
      </c>
      <c r="G3052" s="2" t="inlineStr">
        <is>
          <t>Союзмультфильм</t>
        </is>
      </c>
      <c r="H3052" s="2" t="n">
        <v>0</v>
      </c>
      <c r="I3052" s="2" t="inlineStr"/>
      <c r="J3052" s="2" t="inlineStr">
        <is>
          <t>?</t>
        </is>
      </c>
      <c r="K3052" s="3" t="inlineStr"/>
      <c r="L3052" s="2" t="inlineStr">
        <is>
          <t>https://animator.ru/db/?p=show_film&amp;fid=2037</t>
        </is>
      </c>
      <c r="M3052" s="2">
        <f>HYPERLINK("https://ru.wikipedia.org/w/index.php?search=%D0%A0%D0%BE%D0%B2%D0%BD%D0%BE%20%D0%B2%203%3A15%201959%20%D1%84%D0%B8%D0%BB%D1%8C%D0%BC","искать")</f>
        <v/>
      </c>
      <c r="N3052" s="3" t="n"/>
      <c r="O3052" s="2" t="n"/>
      <c r="P3052" s="2" t="n"/>
    </row>
    <row r="3053">
      <c r="A3053" s="2" t="n">
        <v>3052</v>
      </c>
      <c r="B3053" s="2" t="inlineStr">
        <is>
          <t>короткая</t>
        </is>
      </c>
      <c r="C3053" s="2" t="n">
        <v>11408</v>
      </c>
      <c r="D3053" s="3" t="inlineStr">
        <is>
          <t>Наш доктор</t>
        </is>
      </c>
      <c r="E3053" s="2" t="n">
        <v>1961</v>
      </c>
      <c r="F3053" s="2" t="inlineStr">
        <is>
          <t>мультфильм</t>
        </is>
      </c>
      <c r="G3053" s="2" t="inlineStr">
        <is>
          <t>Союзмультфильм</t>
        </is>
      </c>
      <c r="H3053" s="2" t="n">
        <v>0</v>
      </c>
      <c r="I3053" s="2" t="inlineStr"/>
      <c r="J3053" s="2" t="inlineStr">
        <is>
          <t>?</t>
        </is>
      </c>
      <c r="K3053" s="3" t="inlineStr"/>
      <c r="L3053" s="2" t="inlineStr">
        <is>
          <t>https://animator.ru/db/?p=show_film&amp;fid=2087</t>
        </is>
      </c>
      <c r="M3053" s="2">
        <f>HYPERLINK("https://ru.wikipedia.org/w/index.php?search=%D0%9D%D0%B0%D1%88%20%D0%B4%D0%BE%D0%BA%D1%82%D0%BE%D1%80%201961%20%D1%84%D0%B8%D0%BB%D1%8C%D0%BC","искать")</f>
        <v/>
      </c>
      <c r="N3053" s="3" t="n"/>
      <c r="O3053" s="2" t="n"/>
      <c r="P3053" s="2" t="n"/>
    </row>
    <row r="3054">
      <c r="A3054" s="2" t="n">
        <v>3053</v>
      </c>
      <c r="B3054" s="2" t="inlineStr">
        <is>
          <t>короткая</t>
        </is>
      </c>
      <c r="C3054" s="2" t="n">
        <v>11448</v>
      </c>
      <c r="D3054" s="3" t="inlineStr">
        <is>
          <t>Маугли. 1. Ракша</t>
        </is>
      </c>
      <c r="E3054" s="2" t="n">
        <v>1967</v>
      </c>
      <c r="F3054" s="2" t="inlineStr">
        <is>
          <t>мультфильм</t>
        </is>
      </c>
      <c r="G3054" s="2" t="inlineStr">
        <is>
          <t>Союзмультфильм</t>
        </is>
      </c>
      <c r="H3054" s="2" t="n">
        <v>0</v>
      </c>
      <c r="I3054" s="2" t="inlineStr"/>
      <c r="J3054" s="2" t="inlineStr">
        <is>
          <t>?</t>
        </is>
      </c>
      <c r="K3054" s="3" t="inlineStr"/>
      <c r="L3054" s="2" t="inlineStr">
        <is>
          <t>https://animator.ru/db/?p=show_film&amp;fid=2219</t>
        </is>
      </c>
      <c r="M3054" s="2">
        <f>HYPERLINK("https://ru.wikipedia.org/w/index.php?search=%D0%9C%D0%B0%D1%83%D0%B3%D0%BB%D0%B8.%201.%20%D0%A0%D0%B0%D0%BA%D1%88%D0%B0%201967%20%D1%84%D0%B8%D0%BB%D1%8C%D0%BC","искать")</f>
        <v/>
      </c>
      <c r="N3054" s="3" t="n"/>
      <c r="O3054" s="2" t="n"/>
      <c r="P3054" s="2" t="n"/>
    </row>
    <row r="3055">
      <c r="A3055" s="2" t="n">
        <v>3054</v>
      </c>
      <c r="B3055" s="2" t="inlineStr">
        <is>
          <t>короткая</t>
        </is>
      </c>
      <c r="C3055" s="2" t="n">
        <v>11472</v>
      </c>
      <c r="D3055" s="3" t="inlineStr">
        <is>
          <t>Калейдоскоп-68. Забор</t>
        </is>
      </c>
      <c r="E3055" s="2" t="n">
        <v>1968</v>
      </c>
      <c r="F3055" s="2" t="inlineStr">
        <is>
          <t>мультфильм</t>
        </is>
      </c>
      <c r="G3055" s="2" t="inlineStr">
        <is>
          <t>Союзмультфильм</t>
        </is>
      </c>
      <c r="H3055" s="2" t="n">
        <v>0</v>
      </c>
      <c r="I3055" s="2" t="inlineStr"/>
      <c r="J3055" s="2" t="inlineStr">
        <is>
          <t>?</t>
        </is>
      </c>
      <c r="K3055" s="3" t="inlineStr"/>
      <c r="L3055" s="2" t="inlineStr">
        <is>
          <t>https://animator.ru/db/?p=show_film&amp;fid=2243</t>
        </is>
      </c>
      <c r="M3055" s="2">
        <f>HYPERLINK("https://ru.wikipedia.org/w/index.php?search=%D0%9A%D0%B0%D0%BB%D0%B5%D0%B9%D0%B4%D0%BE%D1%81%D0%BA%D0%BE%D0%BF-68.%20%D0%97%D0%B0%D0%B1%D0%BE%D1%80%201968%20%D1%84%D0%B8%D0%BB%D1%8C%D0%BC","искать")</f>
        <v/>
      </c>
      <c r="N3055" s="3" t="n"/>
      <c r="O3055" s="2" t="n"/>
      <c r="P3055" s="2" t="n"/>
    </row>
    <row r="3056">
      <c r="A3056" s="2" t="n">
        <v>3055</v>
      </c>
      <c r="B3056" s="2" t="inlineStr">
        <is>
          <t>короткая</t>
        </is>
      </c>
      <c r="C3056" s="2" t="n">
        <v>11480</v>
      </c>
      <c r="D3056" s="3" t="inlineStr">
        <is>
          <t>Карлсон. 1. Малыш и Карлсон</t>
        </is>
      </c>
      <c r="E3056" s="2" t="n">
        <v>1968</v>
      </c>
      <c r="F3056" s="2" t="inlineStr">
        <is>
          <t>мультфильм</t>
        </is>
      </c>
      <c r="G3056" s="2" t="inlineStr">
        <is>
          <t>Союзмультфильм</t>
        </is>
      </c>
      <c r="H3056" s="2" t="n">
        <v>0</v>
      </c>
      <c r="I3056" s="2" t="inlineStr"/>
      <c r="J3056" s="2" t="inlineStr">
        <is>
          <t>?</t>
        </is>
      </c>
      <c r="K3056" s="3" t="inlineStr"/>
      <c r="L3056" s="2" t="inlineStr">
        <is>
          <t>https://animator.ru/db/?p=show_film&amp;fid=2251</t>
        </is>
      </c>
      <c r="M3056" s="2">
        <f>HYPERLINK("https://ru.wikipedia.org/w/index.php?search=%D0%9A%D0%B0%D1%80%D0%BB%D1%81%D0%BE%D0%BD.%201.%20%D0%9C%D0%B0%D0%BB%D1%8B%D1%88%20%D0%B8%20%D0%9A%D0%B0%D1%80%D0%BB%D1%81%D0%BE%D0%BD%201968%20%D1%84%D0%B8%D0%BB%D1%8C%D0%BC","искать")</f>
        <v/>
      </c>
      <c r="N3056" s="3" t="n"/>
      <c r="O3056" s="2" t="n"/>
      <c r="P3056" s="2" t="n"/>
    </row>
    <row r="3057">
      <c r="A3057" s="2" t="n">
        <v>3056</v>
      </c>
      <c r="B3057" s="2" t="inlineStr">
        <is>
          <t>короткая</t>
        </is>
      </c>
      <c r="C3057" s="2" t="n">
        <v>11482</v>
      </c>
      <c r="D3057" s="3" t="inlineStr">
        <is>
          <t>Маугли. 2. Похищение</t>
        </is>
      </c>
      <c r="E3057" s="2" t="n">
        <v>1968</v>
      </c>
      <c r="F3057" s="2" t="inlineStr">
        <is>
          <t>мультфильм</t>
        </is>
      </c>
      <c r="G3057" s="2" t="inlineStr">
        <is>
          <t>Союзмультфильм</t>
        </is>
      </c>
      <c r="H3057" s="2" t="n">
        <v>0</v>
      </c>
      <c r="I3057" s="2" t="inlineStr"/>
      <c r="J3057" s="2" t="inlineStr">
        <is>
          <t>?</t>
        </is>
      </c>
      <c r="K3057" s="3" t="inlineStr"/>
      <c r="L3057" s="2" t="inlineStr">
        <is>
          <t>https://animator.ru/db/?p=show_film&amp;fid=2253</t>
        </is>
      </c>
      <c r="M3057" s="2">
        <f>HYPERLINK("https://ru.wikipedia.org/w/index.php?search=%D0%9C%D0%B0%D1%83%D0%B3%D0%BB%D0%B8.%202.%20%D0%9F%D0%BE%D1%85%D0%B8%D1%89%D0%B5%D0%BD%D0%B8%D0%B5%201968%20%D1%84%D0%B8%D0%BB%D1%8C%D0%BC","искать")</f>
        <v/>
      </c>
      <c r="N3057" s="3" t="n"/>
      <c r="O3057" s="2" t="n"/>
      <c r="P3057" s="2" t="n"/>
    </row>
    <row r="3058">
      <c r="A3058" s="2" t="n">
        <v>3057</v>
      </c>
      <c r="B3058" s="2" t="inlineStr">
        <is>
          <t>короткая</t>
        </is>
      </c>
      <c r="C3058" s="2" t="n">
        <v>11523</v>
      </c>
      <c r="D3058" s="3" t="inlineStr">
        <is>
          <t>Маугли. 3. Последняя охота Акелы</t>
        </is>
      </c>
      <c r="E3058" s="2" t="n">
        <v>1969</v>
      </c>
      <c r="F3058" s="2" t="inlineStr">
        <is>
          <t>мультфильм</t>
        </is>
      </c>
      <c r="G3058" s="2" t="inlineStr">
        <is>
          <t>Союзмультфильм</t>
        </is>
      </c>
      <c r="H3058" s="2" t="n">
        <v>0</v>
      </c>
      <c r="I3058" s="2" t="inlineStr"/>
      <c r="J3058" s="2" t="inlineStr">
        <is>
          <t>?</t>
        </is>
      </c>
      <c r="K3058" s="3" t="inlineStr"/>
      <c r="L3058" s="2" t="inlineStr">
        <is>
          <t>https://animator.ru/db/?p=show_film&amp;fid=2294</t>
        </is>
      </c>
      <c r="M3058" s="2">
        <f>HYPERLINK("https://ru.wikipedia.org/w/index.php?search=%D0%9C%D0%B0%D1%83%D0%B3%D0%BB%D0%B8.%203.%20%D0%9F%D0%BE%D1%81%D0%BB%D0%B5%D0%B4%D0%BD%D1%8F%D1%8F%20%D0%BE%D1%85%D0%BE%D1%82%D0%B0%20%D0%90%D0%BA%D0%B5%D0%BB%D1%8B%201969%20%D1%84%D0%B8%D0%BB%D1%8C%D0%BC","искать")</f>
        <v/>
      </c>
      <c r="N3058" s="3" t="n"/>
      <c r="O3058" s="2" t="n"/>
      <c r="P3058" s="2" t="n"/>
    </row>
    <row r="3059">
      <c r="A3059" s="2" t="n">
        <v>3058</v>
      </c>
      <c r="B3059" s="2" t="inlineStr">
        <is>
          <t>короткая</t>
        </is>
      </c>
      <c r="C3059" s="2" t="n">
        <v>11543</v>
      </c>
      <c r="D3059" s="3" t="inlineStr">
        <is>
          <t>ЮБИЛЕЙ ("Фитиль" N 5)</t>
        </is>
      </c>
      <c r="E3059" s="2" t="n">
        <v>1962</v>
      </c>
      <c r="F3059" s="2" t="inlineStr">
        <is>
          <t>мультфильм</t>
        </is>
      </c>
      <c r="G3059" s="2" t="inlineStr">
        <is>
          <t>Союзмультфильм</t>
        </is>
      </c>
      <c r="H3059" s="2" t="n">
        <v>0</v>
      </c>
      <c r="I3059" s="2" t="inlineStr"/>
      <c r="J3059" s="2" t="inlineStr">
        <is>
          <t>?</t>
        </is>
      </c>
      <c r="K3059" s="3" t="inlineStr"/>
      <c r="L3059" s="2" t="inlineStr">
        <is>
          <t>https://animator.ru/db/?p=show_film&amp;fid=2375</t>
        </is>
      </c>
      <c r="M3059" s="2">
        <f>HYPERLINK("https://ru.wikipedia.org/w/index.php?search=%D0%AE%D0%91%D0%98%D0%9B%D0%95%D0%99%20%28%22%D0%A4%D0%B8%D1%82%D0%B8%D0%BB%D1%8C%22%20N%205%29%201962%20%D1%84%D0%B8%D0%BB%D1%8C%D0%BC","искать")</f>
        <v/>
      </c>
      <c r="N3059" s="3" t="n"/>
      <c r="O3059" s="2" t="n"/>
      <c r="P3059" s="2" t="n"/>
    </row>
    <row r="3060">
      <c r="A3060" s="2" t="n">
        <v>3059</v>
      </c>
      <c r="B3060" s="2" t="inlineStr">
        <is>
          <t>короткая</t>
        </is>
      </c>
      <c r="C3060" s="2" t="n">
        <v>11552</v>
      </c>
      <c r="D3060" s="3" t="inlineStr">
        <is>
          <t>КОЛОБОК ("Фитиль" N 22)</t>
        </is>
      </c>
      <c r="E3060" s="2" t="n">
        <v>1964</v>
      </c>
      <c r="F3060" s="2" t="inlineStr">
        <is>
          <t>мультфильм</t>
        </is>
      </c>
      <c r="G3060" s="2" t="inlineStr">
        <is>
          <t>Союзмультфильм</t>
        </is>
      </c>
      <c r="H3060" s="2" t="n">
        <v>0</v>
      </c>
      <c r="I3060" s="2" t="inlineStr"/>
      <c r="J3060" s="2" t="inlineStr">
        <is>
          <t>?</t>
        </is>
      </c>
      <c r="K3060" s="3" t="inlineStr"/>
      <c r="L3060" s="2" t="inlineStr">
        <is>
          <t>https://animator.ru/db/?p=show_film&amp;fid=2385</t>
        </is>
      </c>
      <c r="M3060" s="2">
        <f>HYPERLINK("https://ru.wikipedia.org/w/index.php?search=%D0%9A%D0%9E%D0%9B%D0%9E%D0%91%D0%9E%D0%9A%20%28%22%D0%A4%D0%B8%D1%82%D0%B8%D0%BB%D1%8C%22%20N%2022%29%201964%20%D1%84%D0%B8%D0%BB%D1%8C%D0%BC","искать")</f>
        <v/>
      </c>
      <c r="N3060" s="3" t="n"/>
      <c r="O3060" s="2" t="n"/>
      <c r="P3060" s="2" t="n"/>
    </row>
    <row r="3061">
      <c r="A3061" s="2" t="n">
        <v>3060</v>
      </c>
      <c r="B3061" s="2" t="inlineStr">
        <is>
          <t>короткая</t>
        </is>
      </c>
      <c r="C3061" s="2" t="n">
        <v>11554</v>
      </c>
      <c r="D3061" s="3" t="inlineStr">
        <is>
          <t>НЕЗАСЛУЖЕННЫЙ ПЕНСИОНЕР ("Фитиль" N 37)</t>
        </is>
      </c>
      <c r="E3061" s="2" t="n">
        <v>1965</v>
      </c>
      <c r="F3061" s="2" t="inlineStr">
        <is>
          <t>мультфильм</t>
        </is>
      </c>
      <c r="G3061" s="2" t="inlineStr">
        <is>
          <t>Союзмультфильм</t>
        </is>
      </c>
      <c r="H3061" s="2" t="n">
        <v>0</v>
      </c>
      <c r="I3061" s="2" t="inlineStr"/>
      <c r="J3061" s="2" t="inlineStr">
        <is>
          <t>?</t>
        </is>
      </c>
      <c r="K3061" s="3" t="inlineStr"/>
      <c r="L3061" s="2" t="inlineStr">
        <is>
          <t>https://animator.ru/db/?p=show_film&amp;fid=2387</t>
        </is>
      </c>
      <c r="M3061" s="2">
        <f>HYPERLINK("https://ru.wikipedia.org/w/index.php?search=%D0%9D%D0%95%D0%97%D0%90%D0%A1%D0%9B%D0%A3%D0%96%D0%95%D0%9D%D0%9D%D0%AB%D0%99%20%D0%9F%D0%95%D0%9D%D0%A1%D0%98%D0%9E%D0%9D%D0%95%D0%A0%20%28%22%D0%A4%D0%B8%D1%82%D0%B8%D0%BB%D1%8C%22%20N%2037%29%201965%20%D1%84%D0%B8%D0%BB%D1%8C%D0%BC","искать")</f>
        <v/>
      </c>
      <c r="N3061" s="3" t="n"/>
      <c r="O3061" s="2" t="n"/>
      <c r="P3061" s="2" t="n"/>
    </row>
    <row r="3062">
      <c r="A3062" s="2" t="n">
        <v>3061</v>
      </c>
      <c r="B3062" s="2" t="inlineStr">
        <is>
          <t>короткая</t>
        </is>
      </c>
      <c r="C3062" s="2" t="n">
        <v>11560</v>
      </c>
      <c r="D3062" s="3" t="inlineStr">
        <is>
          <t>А ВОТ И Я! ("Фитиль" N 58)</t>
        </is>
      </c>
      <c r="E3062" s="2" t="n">
        <v>1967</v>
      </c>
      <c r="F3062" s="2" t="inlineStr">
        <is>
          <t>мультфильм</t>
        </is>
      </c>
      <c r="G3062" s="2" t="inlineStr">
        <is>
          <t>Союзмультфильм</t>
        </is>
      </c>
      <c r="H3062" s="2" t="n">
        <v>0</v>
      </c>
      <c r="I3062" s="2" t="inlineStr"/>
      <c r="J3062" s="2" t="inlineStr">
        <is>
          <t>?</t>
        </is>
      </c>
      <c r="K3062" s="3" t="inlineStr"/>
      <c r="L3062" s="2" t="inlineStr">
        <is>
          <t>https://animator.ru/db/?p=show_film&amp;fid=2396</t>
        </is>
      </c>
      <c r="M3062" s="2">
        <f>HYPERLINK("https://ru.wikipedia.org/w/index.php?search=%D0%90%20%D0%92%D0%9E%D0%A2%20%D0%98%20%D0%AF%21%20%28%22%D0%A4%D0%B8%D1%82%D0%B8%D0%BB%D1%8C%22%20N%2058%29%201967%20%D1%84%D0%B8%D0%BB%D1%8C%D0%BC","искать")</f>
        <v/>
      </c>
      <c r="N3062" s="3" t="n"/>
      <c r="O3062" s="2" t="n"/>
      <c r="P3062" s="2" t="n"/>
    </row>
    <row r="3063">
      <c r="A3063" s="2" t="n">
        <v>3062</v>
      </c>
      <c r="B3063" s="2" t="inlineStr">
        <is>
          <t>короткая</t>
        </is>
      </c>
      <c r="C3063" s="2" t="n">
        <v>11561</v>
      </c>
      <c r="D3063" s="3" t="inlineStr">
        <is>
          <t>ШТУРМОВЩИНА ("Фитиль" N 59)</t>
        </is>
      </c>
      <c r="E3063" s="2" t="n">
        <v>1967</v>
      </c>
      <c r="F3063" s="2" t="inlineStr">
        <is>
          <t>мультфильм</t>
        </is>
      </c>
      <c r="G3063" s="2" t="inlineStr">
        <is>
          <t>Союзмультфильм</t>
        </is>
      </c>
      <c r="H3063" s="2" t="n">
        <v>0</v>
      </c>
      <c r="I3063" s="2" t="inlineStr"/>
      <c r="J3063" s="2" t="inlineStr">
        <is>
          <t>?</t>
        </is>
      </c>
      <c r="K3063" s="3" t="inlineStr"/>
      <c r="L3063" s="2" t="inlineStr">
        <is>
          <t>https://animator.ru/db/?p=show_film&amp;fid=2397</t>
        </is>
      </c>
      <c r="M3063" s="2">
        <f>HYPERLINK("https://ru.wikipedia.org/w/index.php?search=%D0%A8%D0%A2%D0%A3%D0%A0%D0%9C%D0%9E%D0%92%D0%A9%D0%98%D0%9D%D0%90%20%28%22%D0%A4%D0%B8%D1%82%D0%B8%D0%BB%D1%8C%22%20N%2059%29%201967%20%D1%84%D0%B8%D0%BB%D1%8C%D0%BC","искать")</f>
        <v/>
      </c>
      <c r="N3063" s="3" t="n"/>
      <c r="O3063" s="2" t="n"/>
      <c r="P3063" s="2" t="n"/>
    </row>
    <row r="3064">
      <c r="A3064" s="2" t="n">
        <v>3063</v>
      </c>
      <c r="B3064" s="2" t="inlineStr">
        <is>
          <t>короткая</t>
        </is>
      </c>
      <c r="C3064" s="2" t="n">
        <v>11563</v>
      </c>
      <c r="D3064" s="3" t="inlineStr">
        <is>
          <t>ЭВРИКА ("Фитиль" N 64)</t>
        </is>
      </c>
      <c r="E3064" s="2" t="n">
        <v>1967</v>
      </c>
      <c r="F3064" s="2" t="inlineStr">
        <is>
          <t>мультфильм</t>
        </is>
      </c>
      <c r="G3064" s="2" t="inlineStr">
        <is>
          <t>Союзмультфильм</t>
        </is>
      </c>
      <c r="H3064" s="2" t="n">
        <v>0</v>
      </c>
      <c r="I3064" s="2" t="inlineStr"/>
      <c r="J3064" s="2" t="inlineStr">
        <is>
          <t>?</t>
        </is>
      </c>
      <c r="K3064" s="3" t="inlineStr"/>
      <c r="L3064" s="2" t="inlineStr">
        <is>
          <t>https://animator.ru/db/?p=show_film&amp;fid=2399</t>
        </is>
      </c>
      <c r="M3064" s="2">
        <f>HYPERLINK("https://ru.wikipedia.org/w/index.php?search=%D0%AD%D0%92%D0%A0%D0%98%D0%9A%D0%90%20%28%22%D0%A4%D0%B8%D1%82%D0%B8%D0%BB%D1%8C%22%20N%2064%29%201967%20%D1%84%D0%B8%D0%BB%D1%8C%D0%BC","искать")</f>
        <v/>
      </c>
      <c r="N3064" s="3" t="n"/>
      <c r="O3064" s="2" t="n"/>
      <c r="P3064" s="2" t="n"/>
    </row>
    <row r="3065">
      <c r="A3065" s="2" t="n">
        <v>3064</v>
      </c>
      <c r="B3065" s="2" t="inlineStr">
        <is>
          <t>короткая</t>
        </is>
      </c>
      <c r="C3065" s="2" t="n">
        <v>11565</v>
      </c>
      <c r="D3065" s="3" t="inlineStr">
        <is>
          <t>МЕСТО ПОД СОЛНЦЕМ ("Фитиль" N 68)</t>
        </is>
      </c>
      <c r="E3065" s="2" t="n">
        <v>1968</v>
      </c>
      <c r="F3065" s="2" t="inlineStr">
        <is>
          <t>мультфильм</t>
        </is>
      </c>
      <c r="G3065" s="2" t="inlineStr">
        <is>
          <t>Союзмультфильм</t>
        </is>
      </c>
      <c r="H3065" s="2" t="n">
        <v>0</v>
      </c>
      <c r="I3065" s="2" t="inlineStr"/>
      <c r="J3065" s="2" t="inlineStr">
        <is>
          <t>?</t>
        </is>
      </c>
      <c r="K3065" s="3" t="inlineStr"/>
      <c r="L3065" s="2" t="inlineStr">
        <is>
          <t>https://animator.ru/db/?p=show_film&amp;fid=2401</t>
        </is>
      </c>
      <c r="M3065" s="2">
        <f>HYPERLINK("https://ru.wikipedia.org/w/index.php?search=%D0%9C%D0%95%D0%A1%D0%A2%D0%9E%20%D0%9F%D0%9E%D0%94%20%D0%A1%D0%9E%D0%9B%D0%9D%D0%A6%D0%95%D0%9C%20%28%22%D0%A4%D0%B8%D1%82%D0%B8%D0%BB%D1%8C%22%20N%2068%29%201968%20%D1%84%D0%B8%D0%BB%D1%8C%D0%BC","искать")</f>
        <v/>
      </c>
      <c r="N3065" s="3" t="n"/>
      <c r="O3065" s="2" t="n"/>
      <c r="P3065" s="2" t="n"/>
    </row>
    <row r="3066">
      <c r="A3066" s="2" t="n">
        <v>3065</v>
      </c>
      <c r="B3066" s="2" t="inlineStr">
        <is>
          <t>короткая</t>
        </is>
      </c>
      <c r="C3066" s="2" t="n">
        <v>11568</v>
      </c>
      <c r="D3066" s="3" t="inlineStr">
        <is>
          <t>ЗВАНИЕ -- СИЛА ("Фитиль" N 75)</t>
        </is>
      </c>
      <c r="E3066" s="2" t="n">
        <v>1968</v>
      </c>
      <c r="F3066" s="2" t="inlineStr">
        <is>
          <t>мультфильм</t>
        </is>
      </c>
      <c r="G3066" s="2" t="inlineStr">
        <is>
          <t>Союзмультфильм</t>
        </is>
      </c>
      <c r="H3066" s="2" t="n">
        <v>0</v>
      </c>
      <c r="I3066" s="2" t="inlineStr"/>
      <c r="J3066" s="2" t="inlineStr">
        <is>
          <t>?</t>
        </is>
      </c>
      <c r="K3066" s="3" t="inlineStr"/>
      <c r="L3066" s="2" t="inlineStr">
        <is>
          <t>https://animator.ru/db/?p=show_film&amp;fid=2404</t>
        </is>
      </c>
      <c r="M3066" s="2">
        <f>HYPERLINK("https://ru.wikipedia.org/w/index.php?search=%D0%97%D0%92%D0%90%D0%9D%D0%98%D0%95%20--%20%D0%A1%D0%98%D0%9B%D0%90%20%28%22%D0%A4%D0%B8%D1%82%D0%B8%D0%BB%D1%8C%22%20N%2075%29%201968%20%D1%84%D0%B8%D0%BB%D1%8C%D0%BC","искать")</f>
        <v/>
      </c>
      <c r="N3066" s="3" t="n"/>
      <c r="O3066" s="2" t="n"/>
      <c r="P3066" s="2" t="n"/>
    </row>
    <row r="3067">
      <c r="A3067" s="2" t="n">
        <v>3066</v>
      </c>
      <c r="B3067" s="2" t="inlineStr">
        <is>
          <t>короткая</t>
        </is>
      </c>
      <c r="C3067" s="2" t="n">
        <v>11571</v>
      </c>
      <c r="D3067" s="3" t="inlineStr">
        <is>
          <t>ДОИСТОРИЧЕСКАЯ НОВИНКА ("Фитиль" N 81)</t>
        </is>
      </c>
      <c r="E3067" s="2" t="n">
        <v>1969</v>
      </c>
      <c r="F3067" s="2" t="inlineStr">
        <is>
          <t>мультфильм</t>
        </is>
      </c>
      <c r="G3067" s="2" t="inlineStr">
        <is>
          <t>Союзмультфильм</t>
        </is>
      </c>
      <c r="H3067" s="2" t="n">
        <v>0</v>
      </c>
      <c r="I3067" s="2" t="inlineStr"/>
      <c r="J3067" s="2" t="inlineStr">
        <is>
          <t>?</t>
        </is>
      </c>
      <c r="K3067" s="3" t="inlineStr"/>
      <c r="L3067" s="2" t="inlineStr">
        <is>
          <t>https://animator.ru/db/?p=show_film&amp;fid=2407</t>
        </is>
      </c>
      <c r="M3067" s="2">
        <f>HYPERLINK("https://ru.wikipedia.org/w/index.php?search=%D0%94%D0%9E%D0%98%D0%A1%D0%A2%D0%9E%D0%A0%D0%98%D0%A7%D0%95%D0%A1%D0%9A%D0%90%D0%AF%20%D0%9D%D0%9E%D0%92%D0%98%D0%9D%D0%9A%D0%90%20%28%22%D0%A4%D0%B8%D1%82%D0%B8%D0%BB%D1%8C%22%20N%2081%29%201969%20%D1%84%D0%B8%D0%BB%D1%8C%D0%BC","искать")</f>
        <v/>
      </c>
      <c r="N3067" s="3" t="n"/>
      <c r="O3067" s="2" t="n"/>
      <c r="P3067" s="2" t="n"/>
    </row>
    <row r="3068">
      <c r="A3068" s="2" t="n">
        <v>3067</v>
      </c>
      <c r="B3068" s="2" t="inlineStr">
        <is>
          <t>короткая</t>
        </is>
      </c>
      <c r="C3068" s="2" t="n">
        <v>11573</v>
      </c>
      <c r="D3068" s="3" t="inlineStr">
        <is>
          <t>БЕГУНЫ И ОПЕКУНЫ ("Фитиль" N 84)</t>
        </is>
      </c>
      <c r="E3068" s="2" t="n">
        <v>1969</v>
      </c>
      <c r="F3068" s="2" t="inlineStr">
        <is>
          <t>мультфильм</t>
        </is>
      </c>
      <c r="G3068" s="2" t="inlineStr">
        <is>
          <t>Союзмультфильм</t>
        </is>
      </c>
      <c r="H3068" s="2" t="n">
        <v>0</v>
      </c>
      <c r="I3068" s="2" t="inlineStr"/>
      <c r="J3068" s="2" t="inlineStr">
        <is>
          <t>?</t>
        </is>
      </c>
      <c r="K3068" s="3" t="inlineStr"/>
      <c r="L3068" s="2" t="inlineStr">
        <is>
          <t>https://animator.ru/db/?p=show_film&amp;fid=2409</t>
        </is>
      </c>
      <c r="M3068" s="2">
        <f>HYPERLINK("https://ru.wikipedia.org/w/index.php?search=%D0%91%D0%95%D0%93%D0%A3%D0%9D%D0%AB%20%D0%98%20%D0%9E%D0%9F%D0%95%D0%9A%D0%A3%D0%9D%D0%AB%20%28%22%D0%A4%D0%B8%D1%82%D0%B8%D0%BB%D1%8C%22%20N%2084%29%201969%20%D1%84%D0%B8%D0%BB%D1%8C%D0%BC","искать")</f>
        <v/>
      </c>
      <c r="N3068" s="3" t="n"/>
      <c r="O3068" s="2" t="n"/>
      <c r="P3068" s="2" t="n"/>
    </row>
    <row r="3069">
      <c r="A3069" s="2" t="n">
        <v>3068</v>
      </c>
      <c r="B3069" s="2" t="inlineStr">
        <is>
          <t>короткая</t>
        </is>
      </c>
      <c r="C3069" s="2" t="n">
        <v>11574</v>
      </c>
      <c r="D3069" s="3" t="inlineStr">
        <is>
          <t>БЕДСТВИЕ ("Фитиль" N 88)</t>
        </is>
      </c>
      <c r="E3069" s="2" t="n">
        <v>1969</v>
      </c>
      <c r="F3069" s="2" t="inlineStr">
        <is>
          <t>мультфильм</t>
        </is>
      </c>
      <c r="G3069" s="2" t="inlineStr">
        <is>
          <t>Союзмультфильм</t>
        </is>
      </c>
      <c r="H3069" s="2" t="n">
        <v>0</v>
      </c>
      <c r="I3069" s="2" t="inlineStr"/>
      <c r="J3069" s="2" t="inlineStr">
        <is>
          <t>?</t>
        </is>
      </c>
      <c r="K3069" s="3" t="inlineStr"/>
      <c r="L3069" s="2" t="inlineStr">
        <is>
          <t>https://animator.ru/db/?p=show_film&amp;fid=2410</t>
        </is>
      </c>
      <c r="M3069" s="2">
        <f>HYPERLINK("https://ru.wikipedia.org/w/index.php?search=%D0%91%D0%95%D0%94%D0%A1%D0%A2%D0%92%D0%98%D0%95%20%28%22%D0%A4%D0%B8%D1%82%D0%B8%D0%BB%D1%8C%22%20N%2088%29%201969%20%D1%84%D0%B8%D0%BB%D1%8C%D0%BC","искать")</f>
        <v/>
      </c>
      <c r="N3069" s="3" t="n"/>
      <c r="O3069" s="2" t="n"/>
      <c r="P3069" s="2" t="n"/>
    </row>
    <row r="3070">
      <c r="A3070" s="2" t="n">
        <v>3069</v>
      </c>
      <c r="B3070" s="2" t="inlineStr">
        <is>
          <t>короткая</t>
        </is>
      </c>
      <c r="C3070" s="2" t="n">
        <v>11575</v>
      </c>
      <c r="D3070" s="3" t="inlineStr">
        <is>
          <t>СТРАШНЫЙ СОН ("Фитиль" N 89)</t>
        </is>
      </c>
      <c r="E3070" s="2" t="n">
        <v>1969</v>
      </c>
      <c r="F3070" s="2" t="inlineStr">
        <is>
          <t>мультфильм</t>
        </is>
      </c>
      <c r="G3070" s="2" t="inlineStr">
        <is>
          <t>Союзмультфильм</t>
        </is>
      </c>
      <c r="H3070" s="2" t="n">
        <v>0</v>
      </c>
      <c r="I3070" s="2" t="inlineStr"/>
      <c r="J3070" s="2" t="inlineStr">
        <is>
          <t>?</t>
        </is>
      </c>
      <c r="K3070" s="3" t="inlineStr"/>
      <c r="L3070" s="2" t="inlineStr">
        <is>
          <t>https://animator.ru/db/?p=show_film&amp;fid=2411</t>
        </is>
      </c>
      <c r="M3070" s="2">
        <f>HYPERLINK("https://ru.wikipedia.org/w/index.php?search=%D0%A1%D0%A2%D0%A0%D0%90%D0%A8%D0%9D%D0%AB%D0%99%20%D0%A1%D0%9E%D0%9D%20%28%22%D0%A4%D0%B8%D1%82%D0%B8%D0%BB%D1%8C%22%20N%2089%29%201969%20%D1%84%D0%B8%D0%BB%D1%8C%D0%BC","искать")</f>
        <v/>
      </c>
      <c r="N3070" s="3" t="n"/>
      <c r="O3070" s="2" t="n"/>
      <c r="P3070" s="2" t="n"/>
    </row>
    <row r="3071">
      <c r="A3071" s="2" t="n">
        <v>3070</v>
      </c>
      <c r="B3071" s="2" t="inlineStr">
        <is>
          <t>короткая</t>
        </is>
      </c>
      <c r="C3071" s="2" t="n">
        <v>11579</v>
      </c>
      <c r="D3071" s="3" t="inlineStr">
        <is>
          <t>Маленькая повесть о большом мыльном пузыре</t>
        </is>
      </c>
      <c r="E3071" s="2" t="n">
        <v>1933</v>
      </c>
      <c r="F3071" s="2" t="inlineStr">
        <is>
          <t>мультфильм</t>
        </is>
      </c>
      <c r="G3071" s="2" t="inlineStr">
        <is>
          <t>СОЮЗКИНОХРОНИКА, СОЮЗФИЛЬМ</t>
        </is>
      </c>
      <c r="H3071" s="2" t="n">
        <v>0</v>
      </c>
      <c r="I3071" s="2" t="inlineStr"/>
      <c r="J3071" s="2" t="inlineStr">
        <is>
          <t>?</t>
        </is>
      </c>
      <c r="K3071" s="3" t="inlineStr"/>
      <c r="L3071" s="2" t="inlineStr">
        <is>
          <t>https://animator.ru/db/?p=show_film&amp;fid=2434</t>
        </is>
      </c>
      <c r="M3071" s="2">
        <f>HYPERLINK("https://ru.wikipedia.org/w/index.php?search=%D0%9C%D0%B0%D0%BB%D0%B5%D0%BD%D1%8C%D0%BA%D0%B0%D1%8F%20%D0%BF%D0%BE%D0%B2%D0%B5%D1%81%D1%82%D1%8C%20%D0%BE%20%D0%B1%D0%BE%D0%BB%D1%8C%D1%88%D0%BE%D0%BC%20%D0%BC%D1%8B%D0%BB%D1%8C%D0%BD%D0%BE%D0%BC%20%D0%BF%D1%83%D0%B7%D1%8B%D1%80%D0%B5%201933%20%D1%84%D0%B8%D0%BB%D1%8C%D0%BC","искать")</f>
        <v/>
      </c>
      <c r="N3071" s="3" t="n"/>
      <c r="O3071" s="2" t="n"/>
      <c r="P3071" s="2" t="n"/>
    </row>
    <row r="3072">
      <c r="A3072" s="2" t="n">
        <v>3071</v>
      </c>
      <c r="B3072" s="2" t="inlineStr">
        <is>
          <t>короткая</t>
        </is>
      </c>
      <c r="C3072" s="2" t="n">
        <v>11584</v>
      </c>
      <c r="D3072" s="3" t="inlineStr">
        <is>
          <t>Маугли. 4. Битва</t>
        </is>
      </c>
      <c r="E3072" s="2" t="n">
        <v>1970</v>
      </c>
      <c r="F3072" s="2" t="inlineStr">
        <is>
          <t>мультфильм</t>
        </is>
      </c>
      <c r="G3072" s="2" t="inlineStr">
        <is>
          <t>Союзмультфильм</t>
        </is>
      </c>
      <c r="H3072" s="2" t="n">
        <v>0</v>
      </c>
      <c r="I3072" s="2" t="inlineStr"/>
      <c r="J3072" s="2" t="inlineStr">
        <is>
          <t>?</t>
        </is>
      </c>
      <c r="K3072" s="3" t="inlineStr"/>
      <c r="L3072" s="2" t="inlineStr">
        <is>
          <t>https://animator.ru/db/?p=show_film&amp;fid=2497</t>
        </is>
      </c>
      <c r="M3072" s="2">
        <f>HYPERLINK("https://ru.wikipedia.org/w/index.php?search=%D0%9C%D0%B0%D1%83%D0%B3%D0%BB%D0%B8.%204.%20%D0%91%D0%B8%D1%82%D0%B2%D0%B0%201970%20%D1%84%D0%B8%D0%BB%D1%8C%D0%BC","искать")</f>
        <v/>
      </c>
      <c r="N3072" s="3" t="n"/>
      <c r="O3072" s="2" t="n"/>
      <c r="P3072" s="2" t="n"/>
    </row>
    <row r="3073">
      <c r="A3073" s="2" t="n">
        <v>3072</v>
      </c>
      <c r="B3073" s="2" t="inlineStr">
        <is>
          <t>короткая</t>
        </is>
      </c>
      <c r="C3073" s="2" t="n">
        <v>11593</v>
      </c>
      <c r="D3073" s="3" t="inlineStr">
        <is>
          <t>Калейдоскоп-70. Дедка и репка</t>
        </is>
      </c>
      <c r="E3073" s="2" t="n">
        <v>1970</v>
      </c>
      <c r="F3073" s="2" t="inlineStr">
        <is>
          <t>мультфильм</t>
        </is>
      </c>
      <c r="G3073" s="2" t="inlineStr">
        <is>
          <t>Союзмультфильм</t>
        </is>
      </c>
      <c r="H3073" s="2" t="n">
        <v>0</v>
      </c>
      <c r="I3073" s="2" t="inlineStr"/>
      <c r="J3073" s="2" t="inlineStr">
        <is>
          <t>?</t>
        </is>
      </c>
      <c r="K3073" s="3" t="inlineStr"/>
      <c r="L3073" s="2" t="inlineStr">
        <is>
          <t>https://animator.ru/db/?p=show_film&amp;fid=2506</t>
        </is>
      </c>
      <c r="M3073" s="2">
        <f>HYPERLINK("https://ru.wikipedia.org/w/index.php?search=%D0%9A%D0%B0%D0%BB%D0%B5%D0%B9%D0%B4%D0%BE%D1%81%D0%BA%D0%BE%D0%BF-70.%20%D0%94%D0%B5%D0%B4%D0%BA%D0%B0%20%D0%B8%20%D1%80%D0%B5%D0%BF%D0%BA%D0%B0%201970%20%D1%84%D0%B8%D0%BB%D1%8C%D0%BC","искать")</f>
        <v/>
      </c>
      <c r="N3073" s="3" t="n"/>
      <c r="O3073" s="2" t="n"/>
      <c r="P3073" s="2" t="n"/>
    </row>
    <row r="3074">
      <c r="A3074" s="2" t="n">
        <v>3073</v>
      </c>
      <c r="B3074" s="2" t="inlineStr">
        <is>
          <t>короткая</t>
        </is>
      </c>
      <c r="C3074" s="2" t="n">
        <v>11613</v>
      </c>
      <c r="D3074" s="3" t="inlineStr">
        <is>
          <t>СУК ("Фитиль" N 103)</t>
        </is>
      </c>
      <c r="E3074" s="2" t="n">
        <v>1970</v>
      </c>
      <c r="F3074" s="2" t="inlineStr">
        <is>
          <t>мультфильм</t>
        </is>
      </c>
      <c r="G3074" s="2" t="inlineStr">
        <is>
          <t>Союзмультфильм</t>
        </is>
      </c>
      <c r="H3074" s="2" t="n">
        <v>0</v>
      </c>
      <c r="I3074" s="2" t="inlineStr"/>
      <c r="J3074" s="2" t="inlineStr">
        <is>
          <t>?</t>
        </is>
      </c>
      <c r="K3074" s="3" t="inlineStr"/>
      <c r="L3074" s="2" t="inlineStr">
        <is>
          <t>https://animator.ru/db/?p=show_film&amp;fid=2526</t>
        </is>
      </c>
      <c r="M3074" s="2">
        <f>HYPERLINK("https://ru.wikipedia.org/w/index.php?search=%D0%A1%D0%A3%D0%9A%20%28%22%D0%A4%D0%B8%D1%82%D0%B8%D0%BB%D1%8C%22%20N%20103%29%201970%20%D1%84%D0%B8%D0%BB%D1%8C%D0%BC","искать")</f>
        <v/>
      </c>
      <c r="N3074" s="3" t="n"/>
      <c r="O3074" s="2" t="n"/>
      <c r="P3074" s="2" t="n"/>
    </row>
    <row r="3075">
      <c r="A3075" s="2" t="n">
        <v>3074</v>
      </c>
      <c r="B3075" s="2" t="inlineStr">
        <is>
          <t>короткая</t>
        </is>
      </c>
      <c r="C3075" s="2" t="n">
        <v>11623</v>
      </c>
      <c r="D3075" s="3" t="inlineStr">
        <is>
          <t>Маугли. 5. Возвращение к людям</t>
        </is>
      </c>
      <c r="E3075" s="2" t="n">
        <v>1971</v>
      </c>
      <c r="F3075" s="2" t="inlineStr">
        <is>
          <t>мультфильм</t>
        </is>
      </c>
      <c r="G3075" s="2" t="inlineStr">
        <is>
          <t>Союзмультфильм</t>
        </is>
      </c>
      <c r="H3075" s="2" t="n">
        <v>0</v>
      </c>
      <c r="I3075" s="2" t="inlineStr"/>
      <c r="J3075" s="2" t="inlineStr">
        <is>
          <t>?</t>
        </is>
      </c>
      <c r="K3075" s="3" t="inlineStr"/>
      <c r="L3075" s="2" t="inlineStr">
        <is>
          <t>https://animator.ru/db/?p=show_film&amp;fid=2537</t>
        </is>
      </c>
      <c r="M3075" s="2">
        <f>HYPERLINK("https://ru.wikipedia.org/w/index.php?search=%D0%9C%D0%B0%D1%83%D0%B3%D0%BB%D0%B8.%205.%20%D0%92%D0%BE%D0%B7%D0%B2%D1%80%D0%B0%D1%89%D0%B5%D0%BD%D0%B8%D0%B5%20%D0%BA%20%D0%BB%D1%8E%D0%B4%D1%8F%D0%BC%201971%20%D1%84%D0%B8%D0%BB%D1%8C%D0%BC","искать")</f>
        <v/>
      </c>
      <c r="N3075" s="3" t="n"/>
      <c r="O3075" s="2" t="n"/>
      <c r="P3075" s="2" t="n"/>
    </row>
    <row r="3076">
      <c r="A3076" s="2" t="n">
        <v>3075</v>
      </c>
      <c r="B3076" s="2" t="inlineStr">
        <is>
          <t>короткая</t>
        </is>
      </c>
      <c r="C3076" s="2" t="n">
        <v>11625</v>
      </c>
      <c r="D3076" s="3" t="inlineStr">
        <is>
          <t>ДОБИЛСЯ СВОЕГО (Фитиль N 109)</t>
        </is>
      </c>
      <c r="E3076" s="2" t="n">
        <v>1971</v>
      </c>
      <c r="F3076" s="2" t="inlineStr">
        <is>
          <t>мультфильм</t>
        </is>
      </c>
      <c r="G3076" s="2" t="inlineStr">
        <is>
          <t>Союзмультфильм</t>
        </is>
      </c>
      <c r="H3076" s="2" t="n">
        <v>0</v>
      </c>
      <c r="I3076" s="2" t="inlineStr"/>
      <c r="J3076" s="2" t="inlineStr">
        <is>
          <t>?</t>
        </is>
      </c>
      <c r="K3076" s="3" t="inlineStr"/>
      <c r="L3076" s="2" t="inlineStr">
        <is>
          <t>https://animator.ru/db/?p=show_film&amp;fid=2539</t>
        </is>
      </c>
      <c r="M3076" s="2">
        <f>HYPERLINK("https://ru.wikipedia.org/w/index.php?search=%D0%94%D0%9E%D0%91%D0%98%D0%9B%D0%A1%D0%AF%20%D0%A1%D0%92%D0%9E%D0%95%D0%93%D0%9E%20%28%D0%A4%D0%B8%D1%82%D0%B8%D0%BB%D1%8C%20N%20109%29%201971%20%D1%84%D0%B8%D0%BB%D1%8C%D0%BC","искать")</f>
        <v/>
      </c>
      <c r="N3076" s="3" t="n"/>
      <c r="O3076" s="2" t="n"/>
      <c r="P3076" s="2" t="n"/>
    </row>
    <row r="3077">
      <c r="A3077" s="2" t="n">
        <v>3076</v>
      </c>
      <c r="B3077" s="2" t="inlineStr">
        <is>
          <t>короткая</t>
        </is>
      </c>
      <c r="C3077" s="2" t="n">
        <v>11633</v>
      </c>
      <c r="D3077" s="3" t="inlineStr">
        <is>
          <t>ЛИЧНЫЙ ПРИМЕР ("Фитиль" N 111)</t>
        </is>
      </c>
      <c r="E3077" s="2" t="n">
        <v>1971</v>
      </c>
      <c r="F3077" s="2" t="inlineStr">
        <is>
          <t>мультфильм</t>
        </is>
      </c>
      <c r="G3077" s="2" t="inlineStr">
        <is>
          <t>Союзмультфильм</t>
        </is>
      </c>
      <c r="H3077" s="2" t="n">
        <v>0</v>
      </c>
      <c r="I3077" s="2" t="inlineStr"/>
      <c r="J3077" s="2" t="inlineStr">
        <is>
          <t>?</t>
        </is>
      </c>
      <c r="K3077" s="3" t="inlineStr"/>
      <c r="L3077" s="2" t="inlineStr">
        <is>
          <t>https://animator.ru/db/?p=show_film&amp;fid=2547</t>
        </is>
      </c>
      <c r="M3077" s="2">
        <f>HYPERLINK("https://ru.wikipedia.org/w/index.php?search=%D0%9B%D0%98%D0%A7%D0%9D%D0%AB%D0%99%20%D0%9F%D0%A0%D0%98%D0%9C%D0%95%D0%A0%20%28%22%D0%A4%D0%B8%D1%82%D0%B8%D0%BB%D1%8C%22%20N%20111%29%201971%20%D1%84%D0%B8%D0%BB%D1%8C%D0%BC","искать")</f>
        <v/>
      </c>
      <c r="N3077" s="3" t="n"/>
      <c r="O3077" s="2" t="n"/>
      <c r="P3077" s="2" t="n"/>
    </row>
    <row r="3078">
      <c r="A3078" s="2" t="n">
        <v>3077</v>
      </c>
      <c r="B3078" s="2" t="inlineStr">
        <is>
          <t>короткая</t>
        </is>
      </c>
      <c r="C3078" s="2" t="n">
        <v>11670</v>
      </c>
      <c r="D3078" s="3" t="inlineStr">
        <is>
          <t>ИЗ-ЗА ЦАРАПИНЫ (Фитиль N 115)</t>
        </is>
      </c>
      <c r="E3078" s="2" t="n">
        <v>1971</v>
      </c>
      <c r="F3078" s="2" t="inlineStr">
        <is>
          <t>мультфильм</t>
        </is>
      </c>
      <c r="G3078" s="2" t="inlineStr">
        <is>
          <t>Союзмультфильм</t>
        </is>
      </c>
      <c r="H3078" s="2" t="n">
        <v>0</v>
      </c>
      <c r="I3078" s="2" t="inlineStr"/>
      <c r="J3078" s="2" t="inlineStr">
        <is>
          <t>?</t>
        </is>
      </c>
      <c r="K3078" s="3" t="inlineStr"/>
      <c r="L3078" s="2" t="inlineStr">
        <is>
          <t>https://animator.ru/db/?p=show_film&amp;fid=2584</t>
        </is>
      </c>
      <c r="M3078" s="2">
        <f>HYPERLINK("https://ru.wikipedia.org/w/index.php?search=%D0%98%D0%97-%D0%97%D0%90%20%D0%A6%D0%90%D0%A0%D0%90%D0%9F%D0%98%D0%9D%D0%AB%20%28%D0%A4%D0%B8%D1%82%D0%B8%D0%BB%D1%8C%20N%20115%29%201971%20%D1%84%D0%B8%D0%BB%D1%8C%D0%BC","искать")</f>
        <v/>
      </c>
      <c r="N3078" s="3" t="n"/>
      <c r="O3078" s="2" t="n"/>
      <c r="P3078" s="2" t="n"/>
    </row>
    <row r="3079">
      <c r="A3079" s="2" t="n">
        <v>3078</v>
      </c>
      <c r="B3079" s="2" t="inlineStr">
        <is>
          <t>короткая</t>
        </is>
      </c>
      <c r="C3079" s="2" t="n">
        <v>11681</v>
      </c>
      <c r="D3079" s="3" t="inlineStr">
        <is>
          <t>ОЧЕРЕДНАЯ НЕДЕЛЯ ("Фитиль" N 118)</t>
        </is>
      </c>
      <c r="E3079" s="2" t="n">
        <v>1972</v>
      </c>
      <c r="F3079" s="2" t="inlineStr">
        <is>
          <t>мультфильм</t>
        </is>
      </c>
      <c r="G3079" s="2" t="inlineStr">
        <is>
          <t>Союзмультфильм</t>
        </is>
      </c>
      <c r="H3079" s="2" t="n">
        <v>0</v>
      </c>
      <c r="I3079" s="2" t="inlineStr"/>
      <c r="J3079" s="2" t="inlineStr">
        <is>
          <t>?</t>
        </is>
      </c>
      <c r="K3079" s="3" t="inlineStr"/>
      <c r="L3079" s="2" t="inlineStr">
        <is>
          <t>https://animator.ru/db/?p=show_film&amp;fid=2595</t>
        </is>
      </c>
      <c r="M3079" s="2">
        <f>HYPERLINK("https://ru.wikipedia.org/w/index.php?search=%D0%9E%D0%A7%D0%95%D0%A0%D0%95%D0%94%D0%9D%D0%90%D0%AF%20%D0%9D%D0%95%D0%94%D0%95%D0%9B%D0%AF%20%28%22%D0%A4%D0%B8%D1%82%D0%B8%D0%BB%D1%8C%22%20N%20118%29%201972%20%D1%84%D0%B8%D0%BB%D1%8C%D0%BC","искать")</f>
        <v/>
      </c>
      <c r="N3079" s="3" t="n"/>
      <c r="O3079" s="2" t="n"/>
      <c r="P3079" s="2" t="n"/>
    </row>
    <row r="3080">
      <c r="A3080" s="2" t="n">
        <v>3079</v>
      </c>
      <c r="B3080" s="2" t="inlineStr">
        <is>
          <t>короткая</t>
        </is>
      </c>
      <c r="C3080" s="2" t="n">
        <v>11686</v>
      </c>
      <c r="D3080" s="3" t="inlineStr">
        <is>
          <t>С днем рождения</t>
        </is>
      </c>
      <c r="E3080" s="2" t="n">
        <v>1972</v>
      </c>
      <c r="F3080" s="2" t="inlineStr">
        <is>
          <t>мультфильм</t>
        </is>
      </c>
      <c r="G3080" s="2" t="inlineStr">
        <is>
          <t>Союзмультфильм</t>
        </is>
      </c>
      <c r="H3080" s="2" t="n">
        <v>0</v>
      </c>
      <c r="I3080" s="2" t="inlineStr"/>
      <c r="J3080" s="2" t="inlineStr">
        <is>
          <t>?</t>
        </is>
      </c>
      <c r="K3080" s="3" t="inlineStr"/>
      <c r="L3080" s="2" t="inlineStr">
        <is>
          <t>https://animator.ru/db/?p=show_film&amp;fid=2600</t>
        </is>
      </c>
      <c r="M3080" s="2">
        <f>HYPERLINK("https://ru.wikipedia.org/w/index.php?search=%D0%A1%20%D0%B4%D0%BD%D0%B5%D0%BC%20%D1%80%D0%BE%D0%B6%D0%B4%D0%B5%D0%BD%D0%B8%D1%8F%201972%20%D1%84%D0%B8%D0%BB%D1%8C%D0%BC","искать")</f>
        <v/>
      </c>
      <c r="N3080" s="3" t="n"/>
      <c r="O3080" s="2" t="n"/>
      <c r="P3080" s="2" t="n"/>
    </row>
    <row r="3081">
      <c r="A3081" s="2" t="n">
        <v>3080</v>
      </c>
      <c r="B3081" s="2" t="inlineStr">
        <is>
          <t>короткая</t>
        </is>
      </c>
      <c r="C3081" s="2" t="n">
        <v>11718</v>
      </c>
      <c r="D3081" s="3" t="inlineStr">
        <is>
          <t>ТОЛЬКО ДЛЯ ВЗРОСЛЫХ (Выпуск 2)</t>
        </is>
      </c>
      <c r="E3081" s="2" t="n">
        <v>1973</v>
      </c>
      <c r="F3081" s="2" t="inlineStr">
        <is>
          <t>мультфильм</t>
        </is>
      </c>
      <c r="G3081" s="2" t="inlineStr">
        <is>
          <t>Союзмультфильм</t>
        </is>
      </c>
      <c r="H3081" s="2" t="n">
        <v>0</v>
      </c>
      <c r="I3081" s="2" t="inlineStr"/>
      <c r="J3081" s="2" t="inlineStr">
        <is>
          <t>?</t>
        </is>
      </c>
      <c r="K3081" s="3" t="inlineStr"/>
      <c r="L3081" s="2" t="inlineStr">
        <is>
          <t>https://animator.ru/db/?p=show_film&amp;fid=2632</t>
        </is>
      </c>
      <c r="M3081" s="2">
        <f>HYPERLINK("https://ru.wikipedia.org/w/index.php?search=%D0%A2%D0%9E%D0%9B%D0%AC%D0%9A%D0%9E%20%D0%94%D0%9B%D0%AF%20%D0%92%D0%97%D0%A0%D0%9E%D0%A1%D0%9B%D0%AB%D0%A5%20%28%D0%92%D1%8B%D0%BF%D1%83%D1%81%D0%BA%202%29%201973%20%D1%84%D0%B8%D0%BB%D1%8C%D0%BC","искать")</f>
        <v/>
      </c>
      <c r="N3081" s="3" t="n"/>
      <c r="O3081" s="2" t="n"/>
      <c r="P3081" s="2" t="n"/>
    </row>
    <row r="3082">
      <c r="A3082" s="2" t="n">
        <v>3081</v>
      </c>
      <c r="B3082" s="2" t="inlineStr">
        <is>
          <t>короткая</t>
        </is>
      </c>
      <c r="C3082" s="2" t="n">
        <v>11723</v>
      </c>
      <c r="D3082" s="3" t="inlineStr">
        <is>
          <t>ЖИЗНЕННЫЙ ОПЫТ ("Фитиль" N 135)</t>
        </is>
      </c>
      <c r="E3082" s="2" t="n">
        <v>1973</v>
      </c>
      <c r="F3082" s="2" t="inlineStr">
        <is>
          <t>мультфильм</t>
        </is>
      </c>
      <c r="G3082" s="2" t="inlineStr">
        <is>
          <t>Союзмультфильм</t>
        </is>
      </c>
      <c r="H3082" s="2" t="n">
        <v>0</v>
      </c>
      <c r="I3082" s="2" t="inlineStr"/>
      <c r="J3082" s="2" t="inlineStr">
        <is>
          <t>?</t>
        </is>
      </c>
      <c r="K3082" s="3" t="inlineStr"/>
      <c r="L3082" s="2" t="inlineStr">
        <is>
          <t>https://animator.ru/db/?p=show_film&amp;fid=2637</t>
        </is>
      </c>
      <c r="M3082" s="2">
        <f>HYPERLINK("https://ru.wikipedia.org/w/index.php?search=%D0%96%D0%98%D0%97%D0%9D%D0%95%D0%9D%D0%9D%D0%AB%D0%99%20%D0%9E%D0%9F%D0%AB%D0%A2%20%28%22%D0%A4%D0%B8%D1%82%D0%B8%D0%BB%D1%8C%22%20N%20135%29%201973%20%D1%84%D0%B8%D0%BB%D1%8C%D0%BC","искать")</f>
        <v/>
      </c>
      <c r="N3082" s="3" t="n"/>
      <c r="O3082" s="2" t="n"/>
      <c r="P3082" s="2" t="n"/>
    </row>
    <row r="3083">
      <c r="A3083" s="2" t="n">
        <v>3082</v>
      </c>
      <c r="B3083" s="2" t="inlineStr">
        <is>
          <t>короткая</t>
        </is>
      </c>
      <c r="C3083" s="2" t="n">
        <v>11727</v>
      </c>
      <c r="D3083" s="3" t="inlineStr">
        <is>
          <t>ВАЖНОЕ ЛИЦО ("Фитиль" N 140)</t>
        </is>
      </c>
      <c r="E3083" s="2" t="n">
        <v>1974</v>
      </c>
      <c r="F3083" s="2" t="inlineStr">
        <is>
          <t>мультфильм</t>
        </is>
      </c>
      <c r="G3083" s="2" t="inlineStr">
        <is>
          <t>Союзмультфильм</t>
        </is>
      </c>
      <c r="H3083" s="2" t="n">
        <v>0</v>
      </c>
      <c r="I3083" s="2" t="inlineStr"/>
      <c r="J3083" s="2" t="inlineStr">
        <is>
          <t>?</t>
        </is>
      </c>
      <c r="K3083" s="3" t="inlineStr"/>
      <c r="L3083" s="2" t="inlineStr">
        <is>
          <t>https://animator.ru/db/?p=show_film&amp;fid=2641</t>
        </is>
      </c>
      <c r="M3083" s="2">
        <f>HYPERLINK("https://ru.wikipedia.org/w/index.php?search=%D0%92%D0%90%D0%96%D0%9D%D0%9E%D0%95%20%D0%9B%D0%98%D0%A6%D0%9E%20%28%22%D0%A4%D0%B8%D1%82%D0%B8%D0%BB%D1%8C%22%20N%20140%29%201974%20%D1%84%D0%B8%D0%BB%D1%8C%D0%BC","искать")</f>
        <v/>
      </c>
      <c r="N3083" s="3" t="n"/>
      <c r="O3083" s="2" t="n"/>
      <c r="P3083" s="2" t="n"/>
    </row>
    <row r="3084">
      <c r="A3084" s="2" t="n">
        <v>3083</v>
      </c>
      <c r="B3084" s="2" t="inlineStr">
        <is>
          <t>короткая</t>
        </is>
      </c>
      <c r="C3084" s="2" t="n">
        <v>11736</v>
      </c>
      <c r="D3084" s="3" t="inlineStr">
        <is>
          <t>ЗУБОК ("Фитиль" N 141)</t>
        </is>
      </c>
      <c r="E3084" s="2" t="n">
        <v>1974</v>
      </c>
      <c r="F3084" s="2" t="inlineStr">
        <is>
          <t>мультфильм</t>
        </is>
      </c>
      <c r="G3084" s="2" t="inlineStr">
        <is>
          <t>Союзмультфильм</t>
        </is>
      </c>
      <c r="H3084" s="2" t="n">
        <v>0</v>
      </c>
      <c r="I3084" s="2" t="inlineStr"/>
      <c r="J3084" s="2" t="inlineStr">
        <is>
          <t>?</t>
        </is>
      </c>
      <c r="K3084" s="3" t="inlineStr"/>
      <c r="L3084" s="2" t="inlineStr">
        <is>
          <t>https://animator.ru/db/?p=show_film&amp;fid=2650</t>
        </is>
      </c>
      <c r="M3084" s="2">
        <f>HYPERLINK("https://ru.wikipedia.org/w/index.php?search=%D0%97%D0%A3%D0%91%D0%9E%D0%9A%20%28%22%D0%A4%D0%B8%D1%82%D0%B8%D0%BB%D1%8C%22%20N%20141%29%201974%20%D1%84%D0%B8%D0%BB%D1%8C%D0%BC","искать")</f>
        <v/>
      </c>
      <c r="N3084" s="3" t="n"/>
      <c r="O3084" s="2" t="n"/>
      <c r="P3084" s="2" t="n"/>
    </row>
    <row r="3085">
      <c r="A3085" s="2" t="n">
        <v>3084</v>
      </c>
      <c r="B3085" s="2" t="inlineStr">
        <is>
          <t>короткая</t>
        </is>
      </c>
      <c r="C3085" s="2" t="n">
        <v>11751</v>
      </c>
      <c r="D3085" s="3" t="inlineStr">
        <is>
          <t>СЮРПРИЗ ("Фитиль" N 145)</t>
        </is>
      </c>
      <c r="E3085" s="2" t="n">
        <v>1974</v>
      </c>
      <c r="F3085" s="2" t="inlineStr">
        <is>
          <t>мультфильм</t>
        </is>
      </c>
      <c r="G3085" s="2" t="inlineStr">
        <is>
          <t>Союзмультфильм</t>
        </is>
      </c>
      <c r="H3085" s="2" t="n">
        <v>0</v>
      </c>
      <c r="I3085" s="2" t="inlineStr"/>
      <c r="J3085" s="2" t="inlineStr">
        <is>
          <t>?</t>
        </is>
      </c>
      <c r="K3085" s="3" t="inlineStr"/>
      <c r="L3085" s="2" t="inlineStr">
        <is>
          <t>https://animator.ru/db/?p=show_film&amp;fid=2665</t>
        </is>
      </c>
      <c r="M3085" s="2">
        <f>HYPERLINK("https://ru.wikipedia.org/w/index.php?search=%D0%A1%D0%AE%D0%A0%D0%9F%D0%A0%D0%98%D0%97%20%28%22%D0%A4%D0%B8%D1%82%D0%B8%D0%BB%D1%8C%22%20N%20145%29%201974%20%D1%84%D0%B8%D0%BB%D1%8C%D0%BC","искать")</f>
        <v/>
      </c>
      <c r="N3085" s="3" t="n"/>
      <c r="O3085" s="2" t="n"/>
      <c r="P3085" s="2" t="n"/>
    </row>
    <row r="3086">
      <c r="A3086" s="2" t="n">
        <v>3085</v>
      </c>
      <c r="B3086" s="2" t="inlineStr">
        <is>
          <t>короткая</t>
        </is>
      </c>
      <c r="C3086" s="2" t="n">
        <v>11836</v>
      </c>
      <c r="D3086" s="3" t="inlineStr">
        <is>
          <t>КОТЕНОК ПО ИМЕНИ ГАВ (Выпуск 2)</t>
        </is>
      </c>
      <c r="E3086" s="2" t="n">
        <v>1977</v>
      </c>
      <c r="F3086" s="2" t="inlineStr">
        <is>
          <t>мультфильм</t>
        </is>
      </c>
      <c r="G3086" s="2" t="inlineStr">
        <is>
          <t>Союзмультфильм</t>
        </is>
      </c>
      <c r="H3086" s="2" t="n">
        <v>0</v>
      </c>
      <c r="I3086" s="2" t="inlineStr"/>
      <c r="J3086" s="2" t="inlineStr">
        <is>
          <t>?</t>
        </is>
      </c>
      <c r="K3086" s="3" t="inlineStr"/>
      <c r="L3086" s="2" t="inlineStr">
        <is>
          <t>https://animator.ru/db/?p=show_film&amp;fid=2751</t>
        </is>
      </c>
      <c r="M3086" s="2">
        <f>HYPERLINK("https://ru.wikipedia.org/w/index.php?search=%D0%9A%D0%9E%D0%A2%D0%95%D0%9D%D0%9E%D0%9A%20%D0%9F%D0%9E%20%D0%98%D0%9C%D0%95%D0%9D%D0%98%20%D0%93%D0%90%D0%92%20%28%D0%92%D1%8B%D0%BF%D1%83%D1%81%D0%BA%202%29%201977%20%D1%84%D0%B8%D0%BB%D1%8C%D0%BC","искать")</f>
        <v/>
      </c>
      <c r="N3086" s="3" t="n"/>
      <c r="O3086" s="2" t="n"/>
      <c r="P3086" s="2" t="n"/>
    </row>
    <row r="3087">
      <c r="A3087" s="2" t="n">
        <v>3086</v>
      </c>
      <c r="B3087" s="2" t="inlineStr">
        <is>
          <t>короткая</t>
        </is>
      </c>
      <c r="C3087" s="2" t="n">
        <v>11847</v>
      </c>
      <c r="D3087" s="3" t="inlineStr">
        <is>
          <t>ОПАСНО ДЛЯ ЖИЗНИ ("Фитиль" N 174)</t>
        </is>
      </c>
      <c r="E3087" s="2" t="n">
        <v>1977</v>
      </c>
      <c r="F3087" s="2" t="inlineStr">
        <is>
          <t>мультфильм</t>
        </is>
      </c>
      <c r="G3087" s="2" t="inlineStr">
        <is>
          <t>Союзмультфильм</t>
        </is>
      </c>
      <c r="H3087" s="2" t="n">
        <v>0</v>
      </c>
      <c r="I3087" s="2" t="inlineStr"/>
      <c r="J3087" s="2" t="inlineStr">
        <is>
          <t>?</t>
        </is>
      </c>
      <c r="K3087" s="3" t="inlineStr"/>
      <c r="L3087" s="2" t="inlineStr">
        <is>
          <t>https://animator.ru/db/?p=show_film&amp;fid=2762</t>
        </is>
      </c>
      <c r="M3087" s="2">
        <f>HYPERLINK("https://ru.wikipedia.org/w/index.php?search=%D0%9E%D0%9F%D0%90%D0%A1%D0%9D%D0%9E%20%D0%94%D0%9B%D0%AF%20%D0%96%D0%98%D0%97%D0%9D%D0%98%20%28%22%D0%A4%D0%B8%D1%82%D0%B8%D0%BB%D1%8C%22%20N%20174%29%201977%20%D1%84%D0%B8%D0%BB%D1%8C%D0%BC","искать")</f>
        <v/>
      </c>
      <c r="N3087" s="3" t="n"/>
      <c r="O3087" s="2" t="n"/>
      <c r="P3087" s="2" t="n"/>
    </row>
    <row r="3088">
      <c r="A3088" s="2" t="n">
        <v>3087</v>
      </c>
      <c r="B3088" s="2" t="inlineStr">
        <is>
          <t>короткая</t>
        </is>
      </c>
      <c r="C3088" s="2" t="n">
        <v>11879</v>
      </c>
      <c r="D3088" s="3" t="inlineStr">
        <is>
          <t>На задней парте (1/4)</t>
        </is>
      </c>
      <c r="E3088" s="2" t="n">
        <v>1978</v>
      </c>
      <c r="F3088" s="2" t="inlineStr">
        <is>
          <t>мультфильм</t>
        </is>
      </c>
      <c r="G3088" s="2" t="inlineStr">
        <is>
          <t>Союзмультфильм</t>
        </is>
      </c>
      <c r="H3088" s="2" t="n">
        <v>0</v>
      </c>
      <c r="I3088" s="2" t="inlineStr"/>
      <c r="J3088" s="2" t="inlineStr">
        <is>
          <t>?</t>
        </is>
      </c>
      <c r="K3088" s="3" t="inlineStr"/>
      <c r="L3088" s="2" t="inlineStr">
        <is>
          <t>https://animator.ru/db/?p=show_film&amp;fid=2794</t>
        </is>
      </c>
      <c r="M3088" s="2">
        <f>HYPERLINK("https://ru.wikipedia.org/w/index.php?search=%D0%9D%D0%B0%20%D0%B7%D0%B0%D0%B4%D0%BD%D0%B5%D0%B9%20%D0%BF%D0%B0%D1%80%D1%82%D0%B5%20%281/4%29%201978%20%D1%84%D0%B8%D0%BB%D1%8C%D0%BC","искать")</f>
        <v/>
      </c>
      <c r="N3088" s="3" t="n"/>
      <c r="O3088" s="2" t="n"/>
      <c r="P3088" s="2" t="n"/>
    </row>
    <row r="3089">
      <c r="A3089" s="2" t="n">
        <v>3088</v>
      </c>
      <c r="B3089" s="2" t="inlineStr">
        <is>
          <t>короткая</t>
        </is>
      </c>
      <c r="C3089" s="2" t="n">
        <v>11882</v>
      </c>
      <c r="D3089" s="3" t="inlineStr">
        <is>
          <t>Фитиль. Обыкновенное чудо ("Киевнаучфильм")</t>
        </is>
      </c>
      <c r="E3089" s="2" t="n">
        <v>1978</v>
      </c>
      <c r="F3089" s="2" t="inlineStr">
        <is>
          <t>мультфильм</t>
        </is>
      </c>
      <c r="G3089" s="2" t="inlineStr">
        <is>
          <t>Союзмультфильм</t>
        </is>
      </c>
      <c r="H3089" s="2" t="n">
        <v>0</v>
      </c>
      <c r="I3089" s="2" t="inlineStr"/>
      <c r="J3089" s="2" t="inlineStr">
        <is>
          <t>?</t>
        </is>
      </c>
      <c r="K3089" s="3" t="inlineStr"/>
      <c r="L3089" s="2" t="inlineStr">
        <is>
          <t>https://animator.ru/db/?p=show_film&amp;fid=2797</t>
        </is>
      </c>
      <c r="M3089" s="2">
        <f>HYPERLINK("https://ru.wikipedia.org/w/index.php?search=%D0%A4%D0%B8%D1%82%D0%B8%D0%BB%D1%8C.%20%D0%9E%D0%B1%D1%8B%D0%BA%D0%BD%D0%BE%D0%B2%D0%B5%D0%BD%D0%BD%D0%BE%D0%B5%20%D1%87%D1%83%D0%B4%D0%BE%20%28%22%D0%9A%D0%B8%D0%B5%D0%B2%D0%BD%D0%B0%D1%83%D1%87%D1%84%D0%B8%D0%BB%D1%8C%D0%BC%22%29%201978%20%D1%84%D0%B8%D0%BB%D1%8C%D0%BC","искать")</f>
        <v/>
      </c>
      <c r="N3089" s="3" t="n"/>
      <c r="O3089" s="2" t="n"/>
      <c r="P3089" s="2" t="n"/>
    </row>
    <row r="3090">
      <c r="A3090" s="2" t="n">
        <v>3089</v>
      </c>
      <c r="B3090" s="2" t="inlineStr">
        <is>
          <t>короткая</t>
        </is>
      </c>
      <c r="C3090" s="2" t="n">
        <v>11891</v>
      </c>
      <c r="D3090" s="3" t="inlineStr">
        <is>
          <t>Простоквашино. 1. Трое из Простоквашино</t>
        </is>
      </c>
      <c r="E3090" s="2" t="n">
        <v>1978</v>
      </c>
      <c r="F3090" s="2" t="inlineStr">
        <is>
          <t>мультфильм</t>
        </is>
      </c>
      <c r="G3090" s="2" t="inlineStr">
        <is>
          <t>Союзмультфильм</t>
        </is>
      </c>
      <c r="H3090" s="2" t="n">
        <v>0</v>
      </c>
      <c r="I3090" s="2" t="inlineStr"/>
      <c r="J3090" s="2" t="inlineStr">
        <is>
          <t>?</t>
        </is>
      </c>
      <c r="K3090" s="3" t="inlineStr"/>
      <c r="L3090" s="2" t="inlineStr">
        <is>
          <t>https://animator.ru/db/?p=show_film&amp;fid=2806</t>
        </is>
      </c>
      <c r="M3090" s="2">
        <f>HYPERLINK("https://ru.wikipedia.org/w/index.php?search=%D0%9F%D1%80%D0%BE%D1%81%D1%82%D0%BE%D0%BA%D0%B2%D0%B0%D1%88%D0%B8%D0%BD%D0%BE.%201.%20%D0%A2%D1%80%D0%BE%D0%B5%20%D0%B8%D0%B7%20%D0%9F%D1%80%D0%BE%D1%81%D1%82%D0%BE%D0%BA%D0%B2%D0%B0%D1%88%D0%B8%D0%BD%D0%BE%201978%20%D1%84%D0%B8%D0%BB%D1%8C%D0%BC","искать")</f>
        <v/>
      </c>
      <c r="N3090" s="3" t="n"/>
      <c r="O3090" s="2" t="n"/>
      <c r="P3090" s="2" t="n"/>
    </row>
    <row r="3091">
      <c r="A3091" s="2" t="n">
        <v>3090</v>
      </c>
      <c r="B3091" s="2" t="inlineStr">
        <is>
          <t>короткая</t>
        </is>
      </c>
      <c r="C3091" s="2" t="n">
        <v>11893</v>
      </c>
      <c r="D3091" s="3" t="inlineStr">
        <is>
          <t>БАБА-ЯГА ПРОТИВ! (Выпуск 1)</t>
        </is>
      </c>
      <c r="E3091" s="2" t="n">
        <v>1980</v>
      </c>
      <c r="F3091" s="2" t="inlineStr">
        <is>
          <t>мультфильм</t>
        </is>
      </c>
      <c r="G3091" s="2" t="inlineStr">
        <is>
          <t>Союзмультфильм</t>
        </is>
      </c>
      <c r="H3091" s="2" t="n">
        <v>0</v>
      </c>
      <c r="I3091" s="2" t="inlineStr"/>
      <c r="J3091" s="2" t="inlineStr">
        <is>
          <t>?</t>
        </is>
      </c>
      <c r="K3091" s="3" t="inlineStr"/>
      <c r="L3091" s="2" t="inlineStr">
        <is>
          <t>https://animator.ru/db/?p=show_film&amp;fid=2808</t>
        </is>
      </c>
      <c r="M3091" s="2">
        <f>HYPERLINK("https://ru.wikipedia.org/w/index.php?search=%D0%91%D0%90%D0%91%D0%90-%D0%AF%D0%93%D0%90%20%D0%9F%D0%A0%D0%9E%D0%A2%D0%98%D0%92%21%20%28%D0%92%D1%8B%D0%BF%D1%83%D1%81%D0%BA%201%29%201980%20%D1%84%D0%B8%D0%BB%D1%8C%D0%BC","искать")</f>
        <v/>
      </c>
      <c r="N3091" s="3" t="n"/>
      <c r="O3091" s="2" t="n"/>
      <c r="P3091" s="2" t="n"/>
    </row>
    <row r="3092">
      <c r="A3092" s="2" t="n">
        <v>3091</v>
      </c>
      <c r="B3092" s="2" t="inlineStr">
        <is>
          <t>короткая</t>
        </is>
      </c>
      <c r="C3092" s="2" t="n">
        <v>11907</v>
      </c>
      <c r="D3092" s="3" t="inlineStr">
        <is>
          <t>КОТЕНОК ПО ИМЕНИ ГАВ (Выпуск 3)</t>
        </is>
      </c>
      <c r="E3092" s="2" t="n">
        <v>1979</v>
      </c>
      <c r="F3092" s="2" t="inlineStr">
        <is>
          <t>мультфильм</t>
        </is>
      </c>
      <c r="G3092" s="2" t="inlineStr">
        <is>
          <t>Союзмультфильм</t>
        </is>
      </c>
      <c r="H3092" s="2" t="n">
        <v>0</v>
      </c>
      <c r="I3092" s="2" t="inlineStr"/>
      <c r="J3092" s="2" t="inlineStr">
        <is>
          <t>?</t>
        </is>
      </c>
      <c r="K3092" s="3" t="inlineStr"/>
      <c r="L3092" s="2" t="inlineStr">
        <is>
          <t>https://animator.ru/db/?p=show_film&amp;fid=2822</t>
        </is>
      </c>
      <c r="M3092" s="2">
        <f>HYPERLINK("https://ru.wikipedia.org/w/index.php?search=%D0%9A%D0%9E%D0%A2%D0%95%D0%9D%D0%9E%D0%9A%20%D0%9F%D0%9E%20%D0%98%D0%9C%D0%95%D0%9D%D0%98%20%D0%93%D0%90%D0%92%20%28%D0%92%D1%8B%D0%BF%D1%83%D1%81%D0%BA%203%29%201979%20%D1%84%D0%B8%D0%BB%D1%8C%D0%BC","искать")</f>
        <v/>
      </c>
      <c r="N3092" s="3" t="n"/>
      <c r="O3092" s="2" t="n"/>
      <c r="P3092" s="2" t="n"/>
    </row>
    <row r="3093">
      <c r="A3093" s="2" t="n">
        <v>3092</v>
      </c>
      <c r="B3093" s="2" t="inlineStr">
        <is>
          <t>короткая</t>
        </is>
      </c>
      <c r="C3093" s="2" t="n">
        <v>11930</v>
      </c>
      <c r="D3093" s="3" t="inlineStr">
        <is>
          <t>БАБА-ЯГА ПРОТИВ! (Выпуск 2)</t>
        </is>
      </c>
      <c r="E3093" s="2" t="n">
        <v>1980</v>
      </c>
      <c r="F3093" s="2" t="inlineStr">
        <is>
          <t>мультфильм</t>
        </is>
      </c>
      <c r="G3093" s="2" t="inlineStr">
        <is>
          <t>Союзмультфильм</t>
        </is>
      </c>
      <c r="H3093" s="2" t="n">
        <v>0</v>
      </c>
      <c r="I3093" s="2" t="inlineStr"/>
      <c r="J3093" s="2" t="inlineStr">
        <is>
          <t>?</t>
        </is>
      </c>
      <c r="K3093" s="3" t="inlineStr"/>
      <c r="L3093" s="2" t="inlineStr">
        <is>
          <t>https://animator.ru/db/?p=show_film&amp;fid=2845</t>
        </is>
      </c>
      <c r="M3093" s="2">
        <f>HYPERLINK("https://ru.wikipedia.org/w/index.php?search=%D0%91%D0%90%D0%91%D0%90-%D0%AF%D0%93%D0%90%20%D0%9F%D0%A0%D0%9E%D0%A2%D0%98%D0%92%21%20%28%D0%92%D1%8B%D0%BF%D1%83%D1%81%D0%BA%202%29%201980%20%D1%84%D0%B8%D0%BB%D1%8C%D0%BC","искать")</f>
        <v/>
      </c>
      <c r="N3093" s="3" t="n"/>
      <c r="O3093" s="2" t="n"/>
      <c r="P3093" s="2" t="n"/>
    </row>
    <row r="3094">
      <c r="A3094" s="2" t="n">
        <v>3093</v>
      </c>
      <c r="B3094" s="2" t="inlineStr">
        <is>
          <t>короткая</t>
        </is>
      </c>
      <c r="C3094" s="2" t="n">
        <v>11931</v>
      </c>
      <c r="D3094" s="3" t="inlineStr">
        <is>
          <t>БАБА-ЯГА ПРОТИВ! (Выпуск 3)</t>
        </is>
      </c>
      <c r="E3094" s="2" t="n">
        <v>1980</v>
      </c>
      <c r="F3094" s="2" t="inlineStr">
        <is>
          <t>мультфильм</t>
        </is>
      </c>
      <c r="G3094" s="2" t="inlineStr">
        <is>
          <t>Союзмультфильм</t>
        </is>
      </c>
      <c r="H3094" s="2" t="n">
        <v>0</v>
      </c>
      <c r="I3094" s="2" t="inlineStr"/>
      <c r="J3094" s="2" t="inlineStr">
        <is>
          <t>?</t>
        </is>
      </c>
      <c r="K3094" s="3" t="inlineStr"/>
      <c r="L3094" s="2" t="inlineStr">
        <is>
          <t>https://animator.ru/db/?p=show_film&amp;fid=2846</t>
        </is>
      </c>
      <c r="M3094" s="2">
        <f>HYPERLINK("https://ru.wikipedia.org/w/index.php?search=%D0%91%D0%90%D0%91%D0%90-%D0%AF%D0%93%D0%90%20%D0%9F%D0%A0%D0%9E%D0%A2%D0%98%D0%92%21%20%28%D0%92%D1%8B%D0%BF%D1%83%D1%81%D0%BA%203%29%201980%20%D1%84%D0%B8%D0%BB%D1%8C%D0%BC","искать")</f>
        <v/>
      </c>
      <c r="N3094" s="3" t="n"/>
      <c r="O3094" s="2" t="n"/>
      <c r="P3094" s="2" t="n"/>
    </row>
    <row r="3095">
      <c r="A3095" s="2" t="n">
        <v>3094</v>
      </c>
      <c r="B3095" s="2" t="inlineStr">
        <is>
          <t>короткая</t>
        </is>
      </c>
      <c r="C3095" s="2" t="n">
        <v>11940</v>
      </c>
      <c r="D3095" s="3" t="inlineStr">
        <is>
          <t>КОТЕНОК ПО ИМЕНИ ГАВ (выпуск 4)</t>
        </is>
      </c>
      <c r="E3095" s="2" t="n">
        <v>1980</v>
      </c>
      <c r="F3095" s="2" t="inlineStr">
        <is>
          <t>мультфильм</t>
        </is>
      </c>
      <c r="G3095" s="2" t="inlineStr">
        <is>
          <t>Союзмультфильм</t>
        </is>
      </c>
      <c r="H3095" s="2" t="n">
        <v>0</v>
      </c>
      <c r="I3095" s="2" t="inlineStr"/>
      <c r="J3095" s="2" t="inlineStr">
        <is>
          <t>?</t>
        </is>
      </c>
      <c r="K3095" s="3" t="inlineStr"/>
      <c r="L3095" s="2" t="inlineStr">
        <is>
          <t>https://animator.ru/db/?p=show_film&amp;fid=2856</t>
        </is>
      </c>
      <c r="M3095" s="2">
        <f>HYPERLINK("https://ru.wikipedia.org/w/index.php?search=%D0%9A%D0%9E%D0%A2%D0%95%D0%9D%D0%9E%D0%9A%20%D0%9F%D0%9E%20%D0%98%D0%9C%D0%95%D0%9D%D0%98%20%D0%93%D0%90%D0%92%20%28%D0%B2%D1%8B%D0%BF%D1%83%D1%81%D0%BA%204%29%201980%20%D1%84%D0%B8%D0%BB%D1%8C%D0%BC","искать")</f>
        <v/>
      </c>
      <c r="N3095" s="3" t="n"/>
      <c r="O3095" s="2" t="n"/>
      <c r="P3095" s="2" t="n"/>
    </row>
    <row r="3096">
      <c r="A3096" s="2" t="n">
        <v>3095</v>
      </c>
      <c r="B3096" s="2" t="inlineStr">
        <is>
          <t>короткая</t>
        </is>
      </c>
      <c r="C3096" s="2" t="n">
        <v>11949</v>
      </c>
      <c r="D3096" s="3" t="inlineStr">
        <is>
          <t>САМЫЙ МАЛЕНЬКИЙ ГНОМ (Выпуск 2)</t>
        </is>
      </c>
      <c r="E3096" s="2" t="n">
        <v>1980</v>
      </c>
      <c r="F3096" s="2" t="inlineStr">
        <is>
          <t>мультфильм</t>
        </is>
      </c>
      <c r="G3096" s="2" t="inlineStr">
        <is>
          <t>Союзмультфильм</t>
        </is>
      </c>
      <c r="H3096" s="2" t="n">
        <v>0</v>
      </c>
      <c r="I3096" s="2" t="inlineStr"/>
      <c r="J3096" s="2" t="inlineStr">
        <is>
          <t>?</t>
        </is>
      </c>
      <c r="K3096" s="3" t="inlineStr"/>
      <c r="L3096" s="2" t="inlineStr">
        <is>
          <t>https://animator.ru/db/?p=show_film&amp;fid=2865</t>
        </is>
      </c>
      <c r="M3096" s="2">
        <f>HYPERLINK("https://ru.wikipedia.org/w/index.php?search=%D0%A1%D0%90%D0%9C%D0%AB%D0%99%20%D0%9C%D0%90%D0%9B%D0%95%D0%9D%D0%AC%D0%9A%D0%98%D0%99%20%D0%93%D0%9D%D0%9E%D0%9C%20%28%D0%92%D1%8B%D0%BF%D1%83%D1%81%D0%BA%202%29%201980%20%D1%84%D0%B8%D0%BB%D1%8C%D0%BC","искать")</f>
        <v/>
      </c>
      <c r="N3096" s="3" t="n"/>
      <c r="O3096" s="2" t="n"/>
      <c r="P3096" s="2" t="n"/>
    </row>
    <row r="3097">
      <c r="A3097" s="2" t="n">
        <v>3096</v>
      </c>
      <c r="B3097" s="2" t="inlineStr">
        <is>
          <t>короткая</t>
        </is>
      </c>
      <c r="C3097" s="2" t="n">
        <v>11965</v>
      </c>
      <c r="D3097" s="3" t="inlineStr">
        <is>
          <t>Журнал n 1</t>
        </is>
      </c>
      <c r="E3097" s="2" t="n">
        <v>1938</v>
      </c>
      <c r="F3097" s="2" t="inlineStr">
        <is>
          <t>мультфильм</t>
        </is>
      </c>
      <c r="G3097" s="2" t="inlineStr">
        <is>
          <t>Союзмультфильм</t>
        </is>
      </c>
      <c r="H3097" s="2" t="n">
        <v>0</v>
      </c>
      <c r="I3097" s="2" t="inlineStr"/>
      <c r="J3097" s="2" t="inlineStr">
        <is>
          <t>?</t>
        </is>
      </c>
      <c r="K3097" s="3" t="inlineStr"/>
      <c r="L3097" s="2" t="inlineStr">
        <is>
          <t>https://animator.ru/db/?p=show_film&amp;fid=2887</t>
        </is>
      </c>
      <c r="M3097" s="2">
        <f>HYPERLINK("https://ru.wikipedia.org/w/index.php?search=%D0%96%D1%83%D1%80%D0%BD%D0%B0%D0%BB%20n%201%201938%20%D1%84%D0%B8%D0%BB%D1%8C%D0%BC","искать")</f>
        <v/>
      </c>
      <c r="N3097" s="3" t="n"/>
      <c r="O3097" s="2" t="n"/>
      <c r="P3097" s="2" t="n"/>
    </row>
    <row r="3098">
      <c r="A3098" s="2" t="n">
        <v>3097</v>
      </c>
      <c r="B3098" s="2" t="inlineStr">
        <is>
          <t>короткая</t>
        </is>
      </c>
      <c r="C3098" s="2" t="n">
        <v>11988</v>
      </c>
      <c r="D3098" s="3" t="inlineStr">
        <is>
          <t>САМЫЙ МАЛЕНЬКИЙ ГНОМ (Выпуск 3)</t>
        </is>
      </c>
      <c r="E3098" s="2" t="n">
        <v>1981</v>
      </c>
      <c r="F3098" s="2" t="inlineStr">
        <is>
          <t>мультфильм</t>
        </is>
      </c>
      <c r="G3098" s="2" t="inlineStr">
        <is>
          <t>Союзмультфильм</t>
        </is>
      </c>
      <c r="H3098" s="2" t="n">
        <v>0</v>
      </c>
      <c r="I3098" s="2" t="inlineStr"/>
      <c r="J3098" s="2" t="inlineStr">
        <is>
          <t>?</t>
        </is>
      </c>
      <c r="K3098" s="3" t="inlineStr"/>
      <c r="L3098" s="2" t="inlineStr">
        <is>
          <t>https://animator.ru/db/?p=show_film&amp;fid=3102</t>
        </is>
      </c>
      <c r="M3098" s="2">
        <f>HYPERLINK("https://ru.wikipedia.org/w/index.php?search=%D0%A1%D0%90%D0%9C%D0%AB%D0%99%20%D0%9C%D0%90%D0%9B%D0%95%D0%9D%D0%AC%D0%9A%D0%98%D0%99%20%D0%93%D0%9D%D0%9E%D0%9C%20%28%D0%92%D1%8B%D0%BF%D1%83%D1%81%D0%BA%203%29%201981%20%D1%84%D0%B8%D0%BB%D1%8C%D0%BC","искать")</f>
        <v/>
      </c>
      <c r="N3098" s="3" t="n"/>
      <c r="O3098" s="2" t="n"/>
      <c r="P3098" s="2" t="n"/>
    </row>
    <row r="3099">
      <c r="A3099" s="2" t="n">
        <v>3098</v>
      </c>
      <c r="B3099" s="2" t="inlineStr">
        <is>
          <t>короткая</t>
        </is>
      </c>
      <c r="C3099" s="2" t="n">
        <v>12022</v>
      </c>
      <c r="D3099" s="3" t="inlineStr">
        <is>
          <t>Пуговица</t>
        </is>
      </c>
      <c r="E3099" s="2" t="n">
        <v>1982</v>
      </c>
      <c r="F3099" s="2" t="inlineStr">
        <is>
          <t>мультфильм</t>
        </is>
      </c>
      <c r="G3099" s="2" t="inlineStr">
        <is>
          <t>Союзмультфильм</t>
        </is>
      </c>
      <c r="H3099" s="2" t="n">
        <v>0</v>
      </c>
      <c r="I3099" s="2" t="inlineStr"/>
      <c r="J3099" s="2" t="inlineStr">
        <is>
          <t>?</t>
        </is>
      </c>
      <c r="K3099" s="3" t="inlineStr"/>
      <c r="L3099" s="2" t="inlineStr">
        <is>
          <t>https://animator.ru/db/?p=show_film&amp;fid=3136</t>
        </is>
      </c>
      <c r="M3099" s="2">
        <f>HYPERLINK("https://ru.wikipedia.org/w/index.php?search=%D0%9F%D1%83%D0%B3%D0%BE%D0%B2%D0%B8%D1%86%D0%B0%201982%20%D1%84%D0%B8%D0%BB%D1%8C%D0%BC","искать")</f>
        <v/>
      </c>
      <c r="N3099" s="3" t="n"/>
      <c r="O3099" s="2" t="n"/>
      <c r="P3099" s="2" t="n"/>
    </row>
    <row r="3100">
      <c r="A3100" s="2" t="n">
        <v>3099</v>
      </c>
      <c r="B3100" s="2" t="inlineStr">
        <is>
          <t>короткая</t>
        </is>
      </c>
      <c r="C3100" s="2" t="n">
        <v>12030</v>
      </c>
      <c r="D3100" s="3" t="inlineStr">
        <is>
          <t>БОЦМАН И ПОПУГАЙ (Выпуск 2)</t>
        </is>
      </c>
      <c r="E3100" s="2" t="n">
        <v>1983</v>
      </c>
      <c r="F3100" s="2" t="inlineStr">
        <is>
          <t>мультфильм</t>
        </is>
      </c>
      <c r="G3100" s="2" t="inlineStr">
        <is>
          <t>Союзмультфильм</t>
        </is>
      </c>
      <c r="H3100" s="2" t="n">
        <v>0</v>
      </c>
      <c r="I3100" s="2" t="inlineStr"/>
      <c r="J3100" s="2" t="inlineStr">
        <is>
          <t>?</t>
        </is>
      </c>
      <c r="K3100" s="3" t="inlineStr"/>
      <c r="L3100" s="2" t="inlineStr">
        <is>
          <t>https://animator.ru/db/?p=show_film&amp;fid=3144</t>
        </is>
      </c>
      <c r="M3100" s="2">
        <f>HYPERLINK("https://ru.wikipedia.org/w/index.php?search=%D0%91%D0%9E%D0%A6%D0%9C%D0%90%D0%9D%20%D0%98%20%D0%9F%D0%9E%D0%9F%D0%A3%D0%93%D0%90%D0%99%20%28%D0%92%D1%8B%D0%BF%D1%83%D1%81%D0%BA%202%29%201983%20%D1%84%D0%B8%D0%BB%D1%8C%D0%BC","искать")</f>
        <v/>
      </c>
      <c r="N3100" s="3" t="n"/>
      <c r="O3100" s="2" t="n"/>
      <c r="P3100" s="2" t="n"/>
    </row>
    <row r="3101">
      <c r="A3101" s="2" t="n">
        <v>3100</v>
      </c>
      <c r="B3101" s="2" t="inlineStr">
        <is>
          <t>короткая</t>
        </is>
      </c>
      <c r="C3101" s="2" t="n">
        <v>12049</v>
      </c>
      <c r="D3101" s="3" t="inlineStr">
        <is>
          <t>О, море, море!</t>
        </is>
      </c>
      <c r="E3101" s="2" t="n">
        <v>1983</v>
      </c>
      <c r="F3101" s="2" t="inlineStr">
        <is>
          <t>мультфильм</t>
        </is>
      </c>
      <c r="G3101" s="2" t="inlineStr">
        <is>
          <t>Союзмультфильм</t>
        </is>
      </c>
      <c r="H3101" s="2" t="n">
        <v>0</v>
      </c>
      <c r="I3101" s="2" t="inlineStr"/>
      <c r="J3101" s="2" t="inlineStr">
        <is>
          <t>?</t>
        </is>
      </c>
      <c r="K3101" s="3" t="inlineStr"/>
      <c r="L3101" s="2" t="inlineStr">
        <is>
          <t>https://animator.ru/db/?p=show_film&amp;fid=3164</t>
        </is>
      </c>
      <c r="M3101" s="2">
        <f>HYPERLINK("https://ru.wikipedia.org/w/index.php?search=%D0%9E%2C%20%D0%BC%D0%BE%D1%80%D0%B5%2C%20%D0%BC%D0%BE%D1%80%D0%B5%21%201983%20%D1%84%D0%B8%D0%BB%D1%8C%D0%BC","искать")</f>
        <v/>
      </c>
      <c r="N3101" s="3" t="n"/>
      <c r="O3101" s="2" t="n"/>
      <c r="P3101" s="2" t="n"/>
    </row>
    <row r="3102">
      <c r="A3102" s="2" t="n">
        <v>3101</v>
      </c>
      <c r="B3102" s="2" t="inlineStr">
        <is>
          <t>короткая</t>
        </is>
      </c>
      <c r="C3102" s="2" t="n">
        <v>12057</v>
      </c>
      <c r="D3102" s="3" t="inlineStr">
        <is>
          <t>САМЫЙ МАЛЕНЬКИЙ ГНОМ (Выпуск 4)</t>
        </is>
      </c>
      <c r="E3102" s="2" t="n">
        <v>1983</v>
      </c>
      <c r="F3102" s="2" t="inlineStr">
        <is>
          <t>мультфильм</t>
        </is>
      </c>
      <c r="G3102" s="2" t="inlineStr">
        <is>
          <t>Союзмультфильм</t>
        </is>
      </c>
      <c r="H3102" s="2" t="n">
        <v>0</v>
      </c>
      <c r="I3102" s="2" t="inlineStr"/>
      <c r="J3102" s="2" t="inlineStr">
        <is>
          <t>?</t>
        </is>
      </c>
      <c r="K3102" s="3" t="inlineStr"/>
      <c r="L3102" s="2" t="inlineStr">
        <is>
          <t>https://animator.ru/db/?p=show_film&amp;fid=3172</t>
        </is>
      </c>
      <c r="M3102" s="2">
        <f>HYPERLINK("https://ru.wikipedia.org/w/index.php?search=%D0%A1%D0%90%D0%9C%D0%AB%D0%99%20%D0%9C%D0%90%D0%9B%D0%95%D0%9D%D0%AC%D0%9A%D0%98%D0%99%20%D0%93%D0%9D%D0%9E%D0%9C%20%28%D0%92%D1%8B%D0%BF%D1%83%D1%81%D0%BA%204%29%201983%20%D1%84%D0%B8%D0%BB%D1%8C%D0%BC","искать")</f>
        <v/>
      </c>
      <c r="N3102" s="3" t="n"/>
      <c r="O3102" s="2" t="n"/>
      <c r="P3102" s="2" t="n"/>
    </row>
    <row r="3103">
      <c r="A3103" s="2" t="n">
        <v>3102</v>
      </c>
      <c r="B3103" s="2" t="inlineStr">
        <is>
          <t>короткая</t>
        </is>
      </c>
      <c r="C3103" s="2" t="n">
        <v>12086</v>
      </c>
      <c r="D3103" s="3" t="inlineStr">
        <is>
          <t>Обезьянки. Осторожно, обезьянки!</t>
        </is>
      </c>
      <c r="E3103" s="2" t="n">
        <v>1984</v>
      </c>
      <c r="F3103" s="2" t="inlineStr">
        <is>
          <t>мультфильм</t>
        </is>
      </c>
      <c r="G3103" s="2" t="inlineStr">
        <is>
          <t>Союзмультфильм</t>
        </is>
      </c>
      <c r="H3103" s="2" t="n">
        <v>0</v>
      </c>
      <c r="I3103" s="2" t="inlineStr"/>
      <c r="J3103" s="2" t="inlineStr">
        <is>
          <t>?</t>
        </is>
      </c>
      <c r="K3103" s="3" t="inlineStr"/>
      <c r="L3103" s="2" t="inlineStr">
        <is>
          <t>https://animator.ru/db/?p=show_film&amp;fid=3202</t>
        </is>
      </c>
      <c r="M3103" s="2">
        <f>HYPERLINK("https://ru.wikipedia.org/w/index.php?search=%D0%9E%D0%B1%D0%B5%D0%B7%D1%8C%D1%8F%D0%BD%D0%BA%D0%B8.%20%D0%9E%D1%81%D1%82%D0%BE%D1%80%D0%BE%D0%B6%D0%BD%D0%BE%2C%20%D0%BE%D0%B1%D0%B5%D0%B7%D1%8C%D1%8F%D0%BD%D0%BA%D0%B8%21%201984%20%D1%84%D0%B8%D0%BB%D1%8C%D0%BC","искать")</f>
        <v/>
      </c>
      <c r="N3103" s="3" t="n"/>
      <c r="O3103" s="2" t="n"/>
      <c r="P3103" s="2" t="n"/>
    </row>
    <row r="3104">
      <c r="A3104" s="2" t="n">
        <v>3103</v>
      </c>
      <c r="B3104" s="2" t="inlineStr">
        <is>
          <t>короткая</t>
        </is>
      </c>
      <c r="C3104" s="2" t="n">
        <v>12088</v>
      </c>
      <c r="D3104" s="3" t="inlineStr">
        <is>
          <t>Переменка n 3. Алхимик</t>
        </is>
      </c>
      <c r="E3104" s="2" t="n">
        <v>1984</v>
      </c>
      <c r="F3104" s="2" t="inlineStr">
        <is>
          <t>мультфильм</t>
        </is>
      </c>
      <c r="G3104" s="2" t="inlineStr">
        <is>
          <t>Союзмультфильм</t>
        </is>
      </c>
      <c r="H3104" s="2" t="n">
        <v>0</v>
      </c>
      <c r="I3104" s="2" t="inlineStr"/>
      <c r="J3104" s="2" t="inlineStr">
        <is>
          <t>?</t>
        </is>
      </c>
      <c r="K3104" s="3" t="inlineStr"/>
      <c r="L3104" s="2" t="inlineStr">
        <is>
          <t>https://animator.ru/db/?p=show_film&amp;fid=3204</t>
        </is>
      </c>
      <c r="M3104" s="2">
        <f>HYPERLINK("https://ru.wikipedia.org/w/index.php?search=%D0%9F%D0%B5%D1%80%D0%B5%D0%BC%D0%B5%D0%BD%D0%BA%D0%B0%20n%203.%20%D0%90%D0%BB%D1%85%D0%B8%D0%BC%D0%B8%D0%BA%201984%20%D1%84%D0%B8%D0%BB%D1%8C%D0%BC","искать")</f>
        <v/>
      </c>
      <c r="N3104" s="3" t="n"/>
      <c r="O3104" s="2" t="n"/>
      <c r="P3104" s="2" t="n"/>
    </row>
    <row r="3105">
      <c r="A3105" s="2" t="n">
        <v>3104</v>
      </c>
      <c r="B3105" s="2" t="inlineStr">
        <is>
          <t>короткая</t>
        </is>
      </c>
      <c r="C3105" s="2" t="n">
        <v>12089</v>
      </c>
      <c r="D3105" s="3" t="inlineStr">
        <is>
          <t>Переменка n 3. Наш дом</t>
        </is>
      </c>
      <c r="E3105" s="2" t="n">
        <v>1984</v>
      </c>
      <c r="F3105" s="2" t="inlineStr">
        <is>
          <t>мультфильм</t>
        </is>
      </c>
      <c r="G3105" s="2" t="inlineStr">
        <is>
          <t>Союзмультфильм</t>
        </is>
      </c>
      <c r="H3105" s="2" t="n">
        <v>0</v>
      </c>
      <c r="I3105" s="2" t="inlineStr"/>
      <c r="J3105" s="2" t="inlineStr">
        <is>
          <t>?</t>
        </is>
      </c>
      <c r="K3105" s="3" t="inlineStr"/>
      <c r="L3105" s="2" t="inlineStr">
        <is>
          <t>https://animator.ru/db/?p=show_film&amp;fid=3205</t>
        </is>
      </c>
      <c r="M3105" s="2">
        <f>HYPERLINK("https://ru.wikipedia.org/w/index.php?search=%D0%9F%D0%B5%D1%80%D0%B5%D0%BC%D0%B5%D0%BD%D0%BA%D0%B0%20n%203.%20%D0%9D%D0%B0%D1%88%20%D0%B4%D0%BE%D0%BC%201984%20%D1%84%D0%B8%D0%BB%D1%8C%D0%BC","искать")</f>
        <v/>
      </c>
      <c r="N3105" s="3" t="n"/>
      <c r="O3105" s="2" t="n"/>
      <c r="P3105" s="2" t="n"/>
    </row>
    <row r="3106">
      <c r="A3106" s="2" t="n">
        <v>3105</v>
      </c>
      <c r="B3106" s="2" t="inlineStr">
        <is>
          <t>короткая</t>
        </is>
      </c>
      <c r="C3106" s="2" t="n">
        <v>12102</v>
      </c>
      <c r="D3106" s="3" t="inlineStr">
        <is>
          <t>Агент уходит в океан</t>
        </is>
      </c>
      <c r="E3106" s="2" t="n">
        <v>1989</v>
      </c>
      <c r="F3106" s="2" t="inlineStr">
        <is>
          <t>мультфильм</t>
        </is>
      </c>
      <c r="G3106" s="2" t="inlineStr">
        <is>
          <t>Союзмультфильм</t>
        </is>
      </c>
      <c r="H3106" s="2" t="n">
        <v>0</v>
      </c>
      <c r="I3106" s="2" t="inlineStr"/>
      <c r="J3106" s="2" t="inlineStr">
        <is>
          <t>?</t>
        </is>
      </c>
      <c r="K3106" s="3" t="inlineStr"/>
      <c r="L3106" s="2" t="inlineStr">
        <is>
          <t>https://animator.ru/db/?p=show_film&amp;fid=3218</t>
        </is>
      </c>
      <c r="M3106" s="2">
        <f>HYPERLINK("https://ru.wikipedia.org/w/index.php?search=%D0%90%D0%B3%D0%B5%D0%BD%D1%82%20%D1%83%D1%85%D0%BE%D0%B4%D0%B8%D1%82%20%D0%B2%20%D0%BE%D0%BA%D0%B5%D0%B0%D0%BD%201989%20%D1%84%D0%B8%D0%BB%D1%8C%D0%BC","искать")</f>
        <v/>
      </c>
      <c r="N3106" s="3" t="n"/>
      <c r="O3106" s="2" t="n"/>
      <c r="P3106" s="2" t="n"/>
    </row>
    <row r="3107">
      <c r="A3107" s="2" t="n">
        <v>3106</v>
      </c>
      <c r="B3107" s="2" t="inlineStr">
        <is>
          <t>короткая</t>
        </is>
      </c>
      <c r="C3107" s="2" t="n">
        <v>12104</v>
      </c>
      <c r="D3107" s="3" t="inlineStr">
        <is>
          <t>В объятьях русской разведки</t>
        </is>
      </c>
      <c r="E3107" s="2" t="n">
        <v>1989</v>
      </c>
      <c r="F3107" s="2" t="inlineStr">
        <is>
          <t>мультфильм</t>
        </is>
      </c>
      <c r="G3107" s="2" t="inlineStr">
        <is>
          <t>Союзмультфильм</t>
        </is>
      </c>
      <c r="H3107" s="2" t="n">
        <v>0</v>
      </c>
      <c r="I3107" s="2" t="inlineStr"/>
      <c r="J3107" s="2" t="inlineStr">
        <is>
          <t>?</t>
        </is>
      </c>
      <c r="K3107" s="3" t="inlineStr"/>
      <c r="L3107" s="2" t="inlineStr">
        <is>
          <t>https://animator.ru/db/?p=show_film&amp;fid=3220</t>
        </is>
      </c>
      <c r="M3107" s="2">
        <f>HYPERLINK("https://ru.wikipedia.org/w/index.php?search=%D0%92%20%D0%BE%D0%B1%D1%8A%D1%8F%D1%82%D1%8C%D1%8F%D1%85%20%D1%80%D1%83%D1%81%D1%81%D0%BA%D0%BE%D0%B9%20%D1%80%D0%B0%D0%B7%D0%B2%D0%B5%D0%B4%D0%BA%D0%B8%201989%20%D1%84%D0%B8%D0%BB%D1%8C%D0%BC","искать")</f>
        <v/>
      </c>
      <c r="N3107" s="3" t="n"/>
      <c r="O3107" s="2" t="n"/>
      <c r="P3107" s="2" t="n"/>
    </row>
    <row r="3108">
      <c r="A3108" s="2" t="n">
        <v>3107</v>
      </c>
      <c r="B3108" s="2" t="inlineStr">
        <is>
          <t>короткая</t>
        </is>
      </c>
      <c r="C3108" s="2" t="n">
        <v>12105</v>
      </c>
      <c r="D3108" s="3" t="inlineStr">
        <is>
          <t>Ай-ай-ай!</t>
        </is>
      </c>
      <c r="E3108" s="2" t="n">
        <v>1989</v>
      </c>
      <c r="F3108" s="2" t="inlineStr">
        <is>
          <t>мультфильм</t>
        </is>
      </c>
      <c r="G3108" s="2" t="inlineStr">
        <is>
          <t>Союзмультфильм</t>
        </is>
      </c>
      <c r="H3108" s="2" t="n">
        <v>0</v>
      </c>
      <c r="I3108" s="2" t="inlineStr"/>
      <c r="J3108" s="2" t="inlineStr">
        <is>
          <t>?</t>
        </is>
      </c>
      <c r="K3108" s="3" t="inlineStr"/>
      <c r="L3108" s="2" t="inlineStr">
        <is>
          <t>https://animator.ru/db/?p=show_film&amp;fid=3221</t>
        </is>
      </c>
      <c r="M3108" s="2">
        <f>HYPERLINK("https://ru.wikipedia.org/w/index.php?search=%D0%90%D0%B9-%D0%B0%D0%B9-%D0%B0%D0%B9%21%201989%20%D1%84%D0%B8%D0%BB%D1%8C%D0%BC","искать")</f>
        <v/>
      </c>
      <c r="N3108" s="3" t="n"/>
      <c r="O3108" s="2" t="n"/>
      <c r="P3108" s="2" t="n"/>
    </row>
    <row r="3109">
      <c r="A3109" s="2" t="n">
        <v>3108</v>
      </c>
      <c r="B3109" s="2" t="inlineStr">
        <is>
          <t>короткая</t>
        </is>
      </c>
      <c r="C3109" s="2" t="n">
        <v>12119</v>
      </c>
      <c r="D3109" s="3" t="inlineStr">
        <is>
          <t>Древнегреческие легенды. Рождение Эрота</t>
        </is>
      </c>
      <c r="E3109" s="2" t="n">
        <v>1989</v>
      </c>
      <c r="F3109" s="2" t="inlineStr">
        <is>
          <t>мультфильм</t>
        </is>
      </c>
      <c r="G3109" s="2" t="inlineStr">
        <is>
          <t>Союзмультфильм</t>
        </is>
      </c>
      <c r="H3109" s="2" t="n">
        <v>0</v>
      </c>
      <c r="I3109" s="2" t="inlineStr"/>
      <c r="J3109" s="2" t="inlineStr">
        <is>
          <t>?</t>
        </is>
      </c>
      <c r="K3109" s="3" t="inlineStr"/>
      <c r="L3109" s="2" t="inlineStr">
        <is>
          <t>https://animator.ru/db/?p=show_film&amp;fid=3235</t>
        </is>
      </c>
      <c r="M3109" s="2">
        <f>HYPERLINK("https://ru.wikipedia.org/w/index.php?search=%D0%94%D1%80%D0%B5%D0%B2%D0%BD%D0%B5%D0%B3%D1%80%D0%B5%D1%87%D0%B5%D1%81%D0%BA%D0%B8%D0%B5%20%D0%BB%D0%B5%D0%B3%D0%B5%D0%BD%D0%B4%D1%8B.%20%D0%A0%D0%BE%D0%B6%D0%B4%D0%B5%D0%BD%D0%B8%D0%B5%20%D0%AD%D1%80%D0%BE%D1%82%D0%B0%201989%20%D1%84%D0%B8%D0%BB%D1%8C%D0%BC","искать")</f>
        <v/>
      </c>
      <c r="N3109" s="3" t="n"/>
      <c r="O3109" s="2" t="n"/>
      <c r="P3109" s="2" t="n"/>
    </row>
    <row r="3110">
      <c r="A3110" s="2" t="n">
        <v>3109</v>
      </c>
      <c r="B3110" s="2" t="inlineStr">
        <is>
          <t>короткая</t>
        </is>
      </c>
      <c r="C3110" s="2" t="n">
        <v>12123</v>
      </c>
      <c r="D3110" s="3" t="inlineStr">
        <is>
          <t>Счастливый старт 1</t>
        </is>
      </c>
      <c r="E3110" s="2" t="n">
        <v>1989</v>
      </c>
      <c r="F3110" s="2" t="inlineStr">
        <is>
          <t>мультфильм</t>
        </is>
      </c>
      <c r="G3110" s="2" t="inlineStr">
        <is>
          <t>Союзмультфильм</t>
        </is>
      </c>
      <c r="H3110" s="2" t="n">
        <v>0</v>
      </c>
      <c r="I3110" s="2" t="inlineStr"/>
      <c r="J3110" s="2" t="inlineStr">
        <is>
          <t>?</t>
        </is>
      </c>
      <c r="K3110" s="3" t="inlineStr"/>
      <c r="L3110" s="2" t="inlineStr">
        <is>
          <t>https://animator.ru/db/?p=show_film&amp;fid=3239</t>
        </is>
      </c>
      <c r="M3110" s="2">
        <f>HYPERLINK("https://ru.wikipedia.org/w/index.php?search=%D0%A1%D1%87%D0%B0%D1%81%D1%82%D0%BB%D0%B8%D0%B2%D1%8B%D0%B9%20%D1%81%D1%82%D0%B0%D1%80%D1%82%201%201989%20%D1%84%D0%B8%D0%BB%D1%8C%D0%BC","искать")</f>
        <v/>
      </c>
      <c r="N3110" s="3" t="n"/>
      <c r="O3110" s="2" t="n"/>
      <c r="P3110" s="2" t="n"/>
    </row>
    <row r="3111">
      <c r="A3111" s="2" t="n">
        <v>3110</v>
      </c>
      <c r="B3111" s="2" t="inlineStr">
        <is>
          <t>короткая</t>
        </is>
      </c>
      <c r="C3111" s="2" t="n">
        <v>12135</v>
      </c>
      <c r="D3111" s="3" t="inlineStr">
        <is>
          <t>БОЦМАН И ПОПУГАЙ (Выпуск 3)</t>
        </is>
      </c>
      <c r="E3111" s="2" t="n">
        <v>1985</v>
      </c>
      <c r="F3111" s="2" t="inlineStr">
        <is>
          <t>мультфильм</t>
        </is>
      </c>
      <c r="G3111" s="2" t="inlineStr">
        <is>
          <t>Союзмультфильм</t>
        </is>
      </c>
      <c r="H3111" s="2" t="n">
        <v>0</v>
      </c>
      <c r="I3111" s="2" t="inlineStr"/>
      <c r="J3111" s="2" t="inlineStr">
        <is>
          <t>?</t>
        </is>
      </c>
      <c r="K3111" s="3" t="inlineStr"/>
      <c r="L3111" s="2" t="inlineStr">
        <is>
          <t>https://animator.ru/db/?p=show_film&amp;fid=3251</t>
        </is>
      </c>
      <c r="M3111" s="2">
        <f>HYPERLINK("https://ru.wikipedia.org/w/index.php?search=%D0%91%D0%9E%D0%A6%D0%9C%D0%90%D0%9D%20%D0%98%20%D0%9F%D0%9E%D0%9F%D0%A3%D0%93%D0%90%D0%99%20%28%D0%92%D1%8B%D0%BF%D1%83%D1%81%D0%BA%203%29%201985%20%D1%84%D0%B8%D0%BB%D1%8C%D0%BC","искать")</f>
        <v/>
      </c>
      <c r="N3111" s="3" t="n"/>
      <c r="O3111" s="2" t="n"/>
      <c r="P3111" s="2" t="n"/>
    </row>
    <row r="3112">
      <c r="A3112" s="2" t="n">
        <v>3111</v>
      </c>
      <c r="B3112" s="2" t="inlineStr">
        <is>
          <t>короткая</t>
        </is>
      </c>
      <c r="C3112" s="2" t="n">
        <v>12149</v>
      </c>
      <c r="D3112" s="3" t="inlineStr">
        <is>
          <t>Обезьянки и грабители</t>
        </is>
      </c>
      <c r="E3112" s="2" t="n">
        <v>1985</v>
      </c>
      <c r="F3112" s="2" t="inlineStr">
        <is>
          <t>мультфильм</t>
        </is>
      </c>
      <c r="G3112" s="2" t="inlineStr">
        <is>
          <t>Союзмультфильм</t>
        </is>
      </c>
      <c r="H3112" s="2" t="n">
        <v>0</v>
      </c>
      <c r="I3112" s="2" t="inlineStr"/>
      <c r="J3112" s="2" t="inlineStr">
        <is>
          <t>?</t>
        </is>
      </c>
      <c r="K3112" s="3" t="inlineStr"/>
      <c r="L3112" s="2" t="inlineStr">
        <is>
          <t>https://animator.ru/db/?p=show_film&amp;fid=3265</t>
        </is>
      </c>
      <c r="M3112" s="2">
        <f>HYPERLINK("https://ru.wikipedia.org/w/index.php?search=%D0%9E%D0%B1%D0%B5%D0%B7%D1%8C%D1%8F%D0%BD%D0%BA%D0%B8%20%D0%B8%20%D0%B3%D1%80%D0%B0%D0%B1%D0%B8%D1%82%D0%B5%D0%BB%D0%B8%201985%20%D1%84%D0%B8%D0%BB%D1%8C%D0%BC","искать")</f>
        <v/>
      </c>
      <c r="N3112" s="3" t="n"/>
      <c r="O3112" s="2" t="n"/>
      <c r="P3112" s="2" t="n"/>
    </row>
    <row r="3113">
      <c r="A3113" s="2" t="n">
        <v>3112</v>
      </c>
      <c r="B3113" s="2" t="inlineStr">
        <is>
          <t>короткая</t>
        </is>
      </c>
      <c r="C3113" s="2" t="n">
        <v>12227</v>
      </c>
      <c r="D3113" s="3" t="inlineStr">
        <is>
          <t>С девяти до шести</t>
        </is>
      </c>
      <c r="E3113" s="2" t="n">
        <v>1987</v>
      </c>
      <c r="F3113" s="2" t="inlineStr">
        <is>
          <t>мультфильм</t>
        </is>
      </c>
      <c r="G3113" s="2" t="inlineStr">
        <is>
          <t>Союзмультфильм</t>
        </is>
      </c>
      <c r="H3113" s="2" t="n">
        <v>0</v>
      </c>
      <c r="I3113" s="2" t="inlineStr"/>
      <c r="J3113" s="2" t="inlineStr">
        <is>
          <t>?</t>
        </is>
      </c>
      <c r="K3113" s="3" t="inlineStr"/>
      <c r="L3113" s="2" t="inlineStr">
        <is>
          <t>https://animator.ru/db/?p=show_film&amp;fid=3344</t>
        </is>
      </c>
      <c r="M3113" s="2">
        <f>HYPERLINK("https://ru.wikipedia.org/w/index.php?search=%D0%A1%20%D0%B4%D0%B5%D0%B2%D1%8F%D1%82%D0%B8%20%D0%B4%D0%BE%20%D1%88%D0%B5%D1%81%D1%82%D0%B8%201987%20%D1%84%D0%B8%D0%BB%D1%8C%D0%BC","искать")</f>
        <v/>
      </c>
      <c r="N3113" s="3" t="n"/>
      <c r="O3113" s="2" t="n"/>
      <c r="P3113" s="2" t="n"/>
    </row>
    <row r="3114">
      <c r="A3114" s="2" t="n">
        <v>3113</v>
      </c>
      <c r="B3114" s="2" t="inlineStr">
        <is>
          <t>короткая</t>
        </is>
      </c>
      <c r="C3114" s="2" t="n">
        <v>12240</v>
      </c>
      <c r="D3114" s="3" t="inlineStr">
        <is>
          <t>Жили-были дед и баба</t>
        </is>
      </c>
      <c r="E3114" s="2" t="n">
        <v>1988</v>
      </c>
      <c r="F3114" s="2" t="inlineStr">
        <is>
          <t>мультфильм</t>
        </is>
      </c>
      <c r="G3114" s="2" t="inlineStr">
        <is>
          <t>Союзмультфильм</t>
        </is>
      </c>
      <c r="H3114" s="2" t="n">
        <v>0</v>
      </c>
      <c r="I3114" s="2" t="inlineStr"/>
      <c r="J3114" s="2" t="inlineStr">
        <is>
          <t>?</t>
        </is>
      </c>
      <c r="K3114" s="3" t="inlineStr"/>
      <c r="L3114" s="2" t="inlineStr">
        <is>
          <t>https://animator.ru/db/?p=show_film&amp;fid=3357</t>
        </is>
      </c>
      <c r="M3114" s="2">
        <f>HYPERLINK("https://ru.wikipedia.org/w/index.php?search=%D0%96%D0%B8%D0%BB%D0%B8-%D0%B1%D1%8B%D0%BB%D0%B8%20%D0%B4%D0%B5%D0%B4%20%D0%B8%20%D0%B1%D0%B0%D0%B1%D0%B0%201988%20%D1%84%D0%B8%D0%BB%D1%8C%D0%BC","искать")</f>
        <v/>
      </c>
      <c r="N3114" s="3" t="n"/>
      <c r="O3114" s="2" t="n"/>
      <c r="P3114" s="2" t="n"/>
    </row>
    <row r="3115">
      <c r="A3115" s="2" t="n">
        <v>3114</v>
      </c>
      <c r="B3115" s="2" t="inlineStr">
        <is>
          <t>короткая</t>
        </is>
      </c>
      <c r="C3115" s="2" t="n">
        <v>12314</v>
      </c>
      <c r="D3115" s="3" t="inlineStr">
        <is>
          <t>Семь агафонов</t>
        </is>
      </c>
      <c r="E3115" s="2" t="n">
        <v>1975</v>
      </c>
      <c r="F3115" s="2" t="inlineStr">
        <is>
          <t>мультфильм</t>
        </is>
      </c>
      <c r="G3115" s="2" t="inlineStr">
        <is>
          <t>САРАТОВТЕЛЕФИЛЬМ</t>
        </is>
      </c>
      <c r="H3115" s="2" t="n">
        <v>0</v>
      </c>
      <c r="I3115" s="2" t="inlineStr"/>
      <c r="J3115" s="2" t="inlineStr">
        <is>
          <t>?</t>
        </is>
      </c>
      <c r="K3115" s="3" t="inlineStr"/>
      <c r="L3115" s="2" t="inlineStr">
        <is>
          <t>https://animator.ru/db/?p=show_film&amp;fid=3431</t>
        </is>
      </c>
      <c r="M3115" s="2">
        <f>HYPERLINK("https://ru.wikipedia.org/w/index.php?search=%D0%A1%D0%B5%D0%BC%D1%8C%20%D0%B0%D0%B3%D0%B0%D1%84%D0%BE%D0%BD%D0%BE%D0%B2%201975%20%D1%84%D0%B8%D0%BB%D1%8C%D0%BC","искать")</f>
        <v/>
      </c>
      <c r="N3115" s="3" t="n"/>
      <c r="O3115" s="2" t="n"/>
      <c r="P3115" s="2" t="n"/>
    </row>
    <row r="3116">
      <c r="A3116" s="2" t="n">
        <v>3115</v>
      </c>
      <c r="B3116" s="2" t="inlineStr">
        <is>
          <t>короткая</t>
        </is>
      </c>
      <c r="C3116" s="2" t="n">
        <v>12318</v>
      </c>
      <c r="D3116" s="3" t="inlineStr">
        <is>
          <t>А нам поможет робот</t>
        </is>
      </c>
      <c r="E3116" s="2" t="n">
        <v>1975</v>
      </c>
      <c r="F3116" s="2" t="inlineStr">
        <is>
          <t>мультфильм</t>
        </is>
      </c>
      <c r="G3116" s="2" t="inlineStr">
        <is>
          <t>КИЕВНАУЧФИЛЬМ</t>
        </is>
      </c>
      <c r="H3116" s="2" t="n">
        <v>0</v>
      </c>
      <c r="I3116" s="2" t="inlineStr"/>
      <c r="J3116" s="2" t="inlineStr">
        <is>
          <t>?</t>
        </is>
      </c>
      <c r="K3116" s="3" t="inlineStr"/>
      <c r="L3116" s="2" t="inlineStr">
        <is>
          <t>https://animator.ru/db/?p=show_film&amp;fid=3480</t>
        </is>
      </c>
      <c r="M3116" s="2">
        <f>HYPERLINK("https://ru.wikipedia.org/w/index.php?search=%D0%90%20%D0%BD%D0%B0%D0%BC%20%D0%BF%D0%BE%D0%BC%D0%BE%D0%B6%D0%B5%D1%82%20%D1%80%D0%BE%D0%B1%D0%BE%D1%82%201975%20%D1%84%D0%B8%D0%BB%D1%8C%D0%BC","искать")</f>
        <v/>
      </c>
      <c r="N3116" s="3" t="n"/>
      <c r="O3116" s="2" t="n"/>
      <c r="P3116" s="2" t="n"/>
    </row>
    <row r="3117">
      <c r="A3117" s="2" t="n">
        <v>3116</v>
      </c>
      <c r="B3117" s="2" t="inlineStr">
        <is>
          <t>короткая</t>
        </is>
      </c>
      <c r="C3117" s="2" t="n">
        <v>12321</v>
      </c>
      <c r="D3117" s="3" t="inlineStr">
        <is>
          <t>АНОНИМКА ("Фитиль" N 95)</t>
        </is>
      </c>
      <c r="E3117" s="2" t="n">
        <v>1970</v>
      </c>
      <c r="F3117" s="2" t="inlineStr">
        <is>
          <t>мультфильм</t>
        </is>
      </c>
      <c r="G3117" s="2" t="inlineStr">
        <is>
          <t>КИЕВНАУЧФИЛЬМ</t>
        </is>
      </c>
      <c r="H3117" s="2" t="n">
        <v>0</v>
      </c>
      <c r="I3117" s="2" t="inlineStr"/>
      <c r="J3117" s="2" t="inlineStr">
        <is>
          <t>?</t>
        </is>
      </c>
      <c r="K3117" s="3" t="inlineStr"/>
      <c r="L3117" s="2" t="inlineStr">
        <is>
          <t>https://animator.ru/db/?p=show_film&amp;fid=3485</t>
        </is>
      </c>
      <c r="M3117" s="2">
        <f>HYPERLINK("https://ru.wikipedia.org/w/index.php?search=%D0%90%D0%9D%D0%9E%D0%9D%D0%98%D0%9C%D0%9A%D0%90%20%28%22%D0%A4%D0%B8%D1%82%D0%B8%D0%BB%D1%8C%22%20N%2095%29%201970%20%D1%84%D0%B8%D0%BB%D1%8C%D0%BC","искать")</f>
        <v/>
      </c>
      <c r="N3117" s="3" t="n"/>
      <c r="O3117" s="2" t="n"/>
      <c r="P3117" s="2" t="n"/>
    </row>
    <row r="3118">
      <c r="A3118" s="2" t="n">
        <v>3117</v>
      </c>
      <c r="B3118" s="2" t="inlineStr">
        <is>
          <t>короткая</t>
        </is>
      </c>
      <c r="C3118" s="2" t="n">
        <v>12323</v>
      </c>
      <c r="D3118" s="3" t="inlineStr">
        <is>
          <t>Башмачки</t>
        </is>
      </c>
      <c r="E3118" s="2" t="n">
        <v>1982</v>
      </c>
      <c r="F3118" s="2" t="inlineStr">
        <is>
          <t>мультфильм</t>
        </is>
      </c>
      <c r="G3118" s="2" t="inlineStr">
        <is>
          <t>КИЕВНАУЧФИЛЬМ</t>
        </is>
      </c>
      <c r="H3118" s="2" t="n">
        <v>0</v>
      </c>
      <c r="I3118" s="2" t="inlineStr"/>
      <c r="J3118" s="2" t="inlineStr">
        <is>
          <t>?</t>
        </is>
      </c>
      <c r="K3118" s="3" t="inlineStr"/>
      <c r="L3118" s="2" t="inlineStr">
        <is>
          <t>https://animator.ru/db/?p=show_film&amp;fid=3487</t>
        </is>
      </c>
      <c r="M3118" s="2">
        <f>HYPERLINK("https://ru.wikipedia.org/w/index.php?search=%D0%91%D0%B0%D1%88%D0%BC%D0%B0%D1%87%D0%BA%D0%B8%201982%20%D1%84%D0%B8%D0%BB%D1%8C%D0%BC","искать")</f>
        <v/>
      </c>
      <c r="N3118" s="3" t="n"/>
      <c r="O3118" s="2" t="n"/>
      <c r="P3118" s="2" t="n"/>
    </row>
    <row r="3119">
      <c r="A3119" s="2" t="n">
        <v>3118</v>
      </c>
      <c r="B3119" s="2" t="inlineStr">
        <is>
          <t>короткая</t>
        </is>
      </c>
      <c r="C3119" s="2" t="n">
        <v>12330</v>
      </c>
      <c r="D3119" s="3" t="inlineStr">
        <is>
          <t>Бумажный змей</t>
        </is>
      </c>
      <c r="E3119" s="2" t="n">
        <v>1978</v>
      </c>
      <c r="F3119" s="2" t="inlineStr">
        <is>
          <t>мультфильм</t>
        </is>
      </c>
      <c r="G3119" s="2" t="inlineStr">
        <is>
          <t>КИЕВНАУЧФИЛЬМ</t>
        </is>
      </c>
      <c r="H3119" s="2" t="n">
        <v>0</v>
      </c>
      <c r="I3119" s="2" t="inlineStr"/>
      <c r="J3119" s="2" t="inlineStr">
        <is>
          <t>?</t>
        </is>
      </c>
      <c r="K3119" s="3" t="inlineStr"/>
      <c r="L3119" s="2" t="inlineStr">
        <is>
          <t>https://animator.ru/db/?p=show_film&amp;fid=3494</t>
        </is>
      </c>
      <c r="M3119" s="2">
        <f>HYPERLINK("https://ru.wikipedia.org/w/index.php?search=%D0%91%D1%83%D0%BC%D0%B0%D0%B6%D0%BD%D1%8B%D0%B9%20%D0%B7%D0%BC%D0%B5%D0%B9%201978%20%D1%84%D0%B8%D0%BB%D1%8C%D0%BC","искать")</f>
        <v/>
      </c>
      <c r="N3119" s="3" t="n"/>
      <c r="O3119" s="2" t="n"/>
      <c r="P3119" s="2" t="n"/>
    </row>
    <row r="3120">
      <c r="A3120" s="2" t="n">
        <v>3119</v>
      </c>
      <c r="B3120" s="2" t="inlineStr">
        <is>
          <t>короткая</t>
        </is>
      </c>
      <c r="C3120" s="2" t="n">
        <v>12331</v>
      </c>
      <c r="D3120" s="3" t="inlineStr">
        <is>
          <t>Была у слона мечта</t>
        </is>
      </c>
      <c r="E3120" s="2" t="n">
        <v>1973</v>
      </c>
      <c r="F3120" s="2" t="inlineStr">
        <is>
          <t>мультфильм</t>
        </is>
      </c>
      <c r="G3120" s="2" t="inlineStr">
        <is>
          <t>КИЕВНАУЧФИЛЬМ</t>
        </is>
      </c>
      <c r="H3120" s="2" t="n">
        <v>0</v>
      </c>
      <c r="I3120" s="2" t="inlineStr"/>
      <c r="J3120" s="2" t="inlineStr">
        <is>
          <t>?</t>
        </is>
      </c>
      <c r="K3120" s="3" t="inlineStr"/>
      <c r="L3120" s="2" t="inlineStr">
        <is>
          <t>https://animator.ru/db/?p=show_film&amp;fid=3495</t>
        </is>
      </c>
      <c r="M3120" s="2">
        <f>HYPERLINK("https://ru.wikipedia.org/w/index.php?search=%D0%91%D1%8B%D0%BB%D0%B0%20%D1%83%20%D1%81%D0%BB%D0%BE%D0%BD%D0%B0%20%D0%BC%D0%B5%D1%87%D1%82%D0%B0%201973%20%D1%84%D0%B8%D0%BB%D1%8C%D0%BC","искать")</f>
        <v/>
      </c>
      <c r="N3120" s="3" t="n"/>
      <c r="O3120" s="2" t="n"/>
      <c r="P3120" s="2" t="n"/>
    </row>
    <row r="3121">
      <c r="A3121" s="2" t="n">
        <v>3120</v>
      </c>
      <c r="B3121" s="2" t="inlineStr">
        <is>
          <t>короткая</t>
        </is>
      </c>
      <c r="C3121" s="2" t="n">
        <v>12337</v>
      </c>
      <c r="D3121" s="3" t="inlineStr">
        <is>
          <t>Взгляд</t>
        </is>
      </c>
      <c r="E3121" s="2" t="n">
        <v>1984</v>
      </c>
      <c r="F3121" s="2" t="inlineStr">
        <is>
          <t>мультфильм</t>
        </is>
      </c>
      <c r="G3121" s="2" t="inlineStr">
        <is>
          <t>КИЕВНАУЧФИЛЬМ</t>
        </is>
      </c>
      <c r="H3121" s="2" t="n">
        <v>0</v>
      </c>
      <c r="I3121" s="2" t="inlineStr"/>
      <c r="J3121" s="2" t="inlineStr">
        <is>
          <t>?</t>
        </is>
      </c>
      <c r="K3121" s="3" t="inlineStr"/>
      <c r="L3121" s="2" t="inlineStr">
        <is>
          <t>https://animator.ru/db/?p=show_film&amp;fid=3503</t>
        </is>
      </c>
      <c r="M3121" s="2">
        <f>HYPERLINK("https://ru.wikipedia.org/w/index.php?search=%D0%92%D0%B7%D0%B3%D0%BB%D1%8F%D0%B4%201984%20%D1%84%D0%B8%D0%BB%D1%8C%D0%BC","искать")</f>
        <v/>
      </c>
      <c r="N3121" s="3" t="n"/>
      <c r="O3121" s="2" t="n"/>
      <c r="P3121" s="2" t="n"/>
    </row>
    <row r="3122">
      <c r="A3122" s="2" t="n">
        <v>3121</v>
      </c>
      <c r="B3122" s="2" t="inlineStr">
        <is>
          <t>короткая</t>
        </is>
      </c>
      <c r="C3122" s="2" t="n">
        <v>12347</v>
      </c>
      <c r="D3122" s="3" t="inlineStr">
        <is>
          <t>Где ты, мой конь?</t>
        </is>
      </c>
      <c r="E3122" s="2" t="n">
        <v>1988</v>
      </c>
      <c r="F3122" s="2" t="inlineStr">
        <is>
          <t>мультфильм</t>
        </is>
      </c>
      <c r="G3122" s="2" t="inlineStr">
        <is>
          <t>КИЕВНАУЧФИЛЬМ</t>
        </is>
      </c>
      <c r="H3122" s="2" t="n">
        <v>0</v>
      </c>
      <c r="I3122" s="2" t="inlineStr"/>
      <c r="J3122" s="2" t="inlineStr">
        <is>
          <t>?</t>
        </is>
      </c>
      <c r="K3122" s="3" t="inlineStr"/>
      <c r="L3122" s="2" t="inlineStr">
        <is>
          <t>https://animator.ru/db/?p=show_film&amp;fid=3514</t>
        </is>
      </c>
      <c r="M3122" s="2">
        <f>HYPERLINK("https://ru.wikipedia.org/w/index.php?search=%D0%93%D0%B4%D0%B5%20%D1%82%D1%8B%2C%20%D0%BC%D0%BE%D0%B9%20%D0%BA%D0%BE%D0%BD%D1%8C%3F%201988%20%D1%84%D0%B8%D0%BB%D1%8C%D0%BC","искать")</f>
        <v/>
      </c>
      <c r="N3122" s="3" t="n"/>
      <c r="O3122" s="2" t="n"/>
      <c r="P3122" s="2" t="n"/>
    </row>
    <row r="3123">
      <c r="A3123" s="2" t="n">
        <v>3122</v>
      </c>
      <c r="B3123" s="2" t="inlineStr">
        <is>
          <t>короткая</t>
        </is>
      </c>
      <c r="C3123" s="2" t="n">
        <v>12348</v>
      </c>
      <c r="D3123" s="3" t="inlineStr">
        <is>
          <t>Горшок-насмешник</t>
        </is>
      </c>
      <c r="E3123" s="2" t="n">
        <v>1990</v>
      </c>
      <c r="F3123" s="2" t="inlineStr">
        <is>
          <t>мультфильм</t>
        </is>
      </c>
      <c r="G3123" s="2" t="inlineStr">
        <is>
          <t>КИЕВНАУЧФИЛЬМ</t>
        </is>
      </c>
      <c r="H3123" s="2" t="n">
        <v>0</v>
      </c>
      <c r="I3123" s="2" t="inlineStr"/>
      <c r="J3123" s="2" t="inlineStr">
        <is>
          <t>?</t>
        </is>
      </c>
      <c r="K3123" s="3" t="inlineStr"/>
      <c r="L3123" s="2" t="inlineStr">
        <is>
          <t>https://animator.ru/db/?p=show_film&amp;fid=3515</t>
        </is>
      </c>
      <c r="M3123" s="2">
        <f>HYPERLINK("https://ru.wikipedia.org/w/index.php?search=%D0%93%D0%BE%D1%80%D1%88%D0%BE%D0%BA-%D0%BD%D0%B0%D1%81%D0%BC%D0%B5%D1%88%D0%BD%D0%B8%D0%BA%201990%20%D1%84%D0%B8%D0%BB%D1%8C%D0%BC","искать")</f>
        <v/>
      </c>
      <c r="N3123" s="3" t="n"/>
      <c r="O3123" s="2" t="n"/>
      <c r="P3123" s="2" t="n"/>
    </row>
    <row r="3124">
      <c r="A3124" s="2" t="n">
        <v>3123</v>
      </c>
      <c r="B3124" s="2" t="inlineStr">
        <is>
          <t>короткая</t>
        </is>
      </c>
      <c r="C3124" s="2" t="n">
        <v>12353</v>
      </c>
      <c r="D3124" s="3" t="inlineStr">
        <is>
          <t>Девочка и зайцы</t>
        </is>
      </c>
      <c r="E3124" s="2" t="n">
        <v>1985</v>
      </c>
      <c r="F3124" s="2" t="inlineStr">
        <is>
          <t>мультфильм</t>
        </is>
      </c>
      <c r="G3124" s="2" t="inlineStr">
        <is>
          <t>КИЕВНАУЧФИЛЬМ</t>
        </is>
      </c>
      <c r="H3124" s="2" t="n">
        <v>0</v>
      </c>
      <c r="I3124" s="2" t="inlineStr"/>
      <c r="J3124" s="2" t="inlineStr">
        <is>
          <t>?</t>
        </is>
      </c>
      <c r="K3124" s="3" t="inlineStr"/>
      <c r="L3124" s="2" t="inlineStr">
        <is>
          <t>https://animator.ru/db/?p=show_film&amp;fid=3520</t>
        </is>
      </c>
      <c r="M3124" s="2">
        <f>HYPERLINK("https://ru.wikipedia.org/w/index.php?search=%D0%94%D0%B5%D0%B2%D0%BE%D1%87%D0%BA%D0%B0%20%D0%B8%20%D0%B7%D0%B0%D0%B9%D1%86%D1%8B%201985%20%D1%84%D0%B8%D0%BB%D1%8C%D0%BC","искать")</f>
        <v/>
      </c>
      <c r="N3124" s="3" t="n"/>
      <c r="O3124" s="2" t="n"/>
      <c r="P3124" s="2" t="n"/>
    </row>
    <row r="3125">
      <c r="A3125" s="2" t="n">
        <v>3124</v>
      </c>
      <c r="B3125" s="2" t="inlineStr">
        <is>
          <t>короткая</t>
        </is>
      </c>
      <c r="C3125" s="2" t="n">
        <v>12355</v>
      </c>
      <c r="D3125" s="3" t="inlineStr">
        <is>
          <t>День везения</t>
        </is>
      </c>
      <c r="E3125" s="2" t="n">
        <v>1983</v>
      </c>
      <c r="F3125" s="2" t="inlineStr">
        <is>
          <t>мультфильм</t>
        </is>
      </c>
      <c r="G3125" s="2" t="inlineStr">
        <is>
          <t>КИЕВНАУЧФИЛЬМ</t>
        </is>
      </c>
      <c r="H3125" s="2" t="n">
        <v>0</v>
      </c>
      <c r="I3125" s="2" t="inlineStr"/>
      <c r="J3125" s="2" t="inlineStr">
        <is>
          <t>?</t>
        </is>
      </c>
      <c r="K3125" s="3" t="inlineStr"/>
      <c r="L3125" s="2" t="inlineStr">
        <is>
          <t>https://animator.ru/db/?p=show_film&amp;fid=3522</t>
        </is>
      </c>
      <c r="M3125" s="2">
        <f>HYPERLINK("https://ru.wikipedia.org/w/index.php?search=%D0%94%D0%B5%D0%BD%D1%8C%20%D0%B2%D0%B5%D0%B7%D0%B5%D0%BD%D0%B8%D1%8F%201983%20%D1%84%D0%B8%D0%BB%D1%8C%D0%BC","искать")</f>
        <v/>
      </c>
      <c r="N3125" s="3" t="n"/>
      <c r="O3125" s="2" t="n"/>
      <c r="P3125" s="2" t="n"/>
    </row>
    <row r="3126">
      <c r="A3126" s="2" t="n">
        <v>3125</v>
      </c>
      <c r="B3126" s="2" t="inlineStr">
        <is>
          <t>короткая</t>
        </is>
      </c>
      <c r="C3126" s="2" t="n">
        <v>12357</v>
      </c>
      <c r="D3126" s="3" t="inlineStr">
        <is>
          <t>Дерево и кошка</t>
        </is>
      </c>
      <c r="E3126" s="2" t="n">
        <v>1983</v>
      </c>
      <c r="F3126" s="2" t="inlineStr">
        <is>
          <t>мультфильм</t>
        </is>
      </c>
      <c r="G3126" s="2" t="inlineStr">
        <is>
          <t>КИЕВНАУЧФИЛЬМ</t>
        </is>
      </c>
      <c r="H3126" s="2" t="n">
        <v>0</v>
      </c>
      <c r="I3126" s="2" t="inlineStr"/>
      <c r="J3126" s="2" t="inlineStr">
        <is>
          <t>?</t>
        </is>
      </c>
      <c r="K3126" s="3" t="inlineStr"/>
      <c r="L3126" s="2" t="inlineStr">
        <is>
          <t>https://animator.ru/db/?p=show_film&amp;fid=3524</t>
        </is>
      </c>
      <c r="M3126" s="2">
        <f>HYPERLINK("https://ru.wikipedia.org/w/index.php?search=%D0%94%D0%B5%D1%80%D0%B5%D0%B2%D0%BE%20%D0%B8%20%D0%BA%D0%BE%D1%88%D0%BA%D0%B0%201983%20%D1%84%D0%B8%D0%BB%D1%8C%D0%BC","искать")</f>
        <v/>
      </c>
      <c r="N3126" s="3" t="n"/>
      <c r="O3126" s="2" t="n"/>
      <c r="P3126" s="2" t="n"/>
    </row>
    <row r="3127">
      <c r="A3127" s="2" t="n">
        <v>3126</v>
      </c>
      <c r="B3127" s="2" t="inlineStr">
        <is>
          <t>короткая</t>
        </is>
      </c>
      <c r="C3127" s="2" t="n">
        <v>12359</v>
      </c>
      <c r="D3127" s="3" t="inlineStr">
        <is>
          <t>Доброе имя</t>
        </is>
      </c>
      <c r="E3127" s="2" t="n">
        <v>1971</v>
      </c>
      <c r="F3127" s="2" t="inlineStr">
        <is>
          <t>мультфильм</t>
        </is>
      </c>
      <c r="G3127" s="2" t="inlineStr">
        <is>
          <t>КИЕВНАУЧФИЛЬМ</t>
        </is>
      </c>
      <c r="H3127" s="2" t="n">
        <v>0</v>
      </c>
      <c r="I3127" s="2" t="inlineStr"/>
      <c r="J3127" s="2" t="inlineStr">
        <is>
          <t>?</t>
        </is>
      </c>
      <c r="K3127" s="3" t="inlineStr"/>
      <c r="L3127" s="2" t="inlineStr">
        <is>
          <t>https://animator.ru/db/?p=show_film&amp;fid=3526</t>
        </is>
      </c>
      <c r="M3127" s="2">
        <f>HYPERLINK("https://ru.wikipedia.org/w/index.php?search=%D0%94%D0%BE%D0%B1%D1%80%D0%BE%D0%B5%20%D0%B8%D0%BC%D1%8F%201971%20%D1%84%D0%B8%D0%BB%D1%8C%D0%BC","искать")</f>
        <v/>
      </c>
      <c r="N3127" s="3" t="n"/>
      <c r="O3127" s="2" t="n"/>
      <c r="P3127" s="2" t="n"/>
    </row>
    <row r="3128">
      <c r="A3128" s="2" t="n">
        <v>3127</v>
      </c>
      <c r="B3128" s="2" t="inlineStr">
        <is>
          <t>короткая</t>
        </is>
      </c>
      <c r="C3128" s="2" t="n">
        <v>12371</v>
      </c>
      <c r="D3128" s="3" t="inlineStr">
        <is>
          <t>Жили-пили</t>
        </is>
      </c>
      <c r="E3128" s="2" t="n">
        <v>1985</v>
      </c>
      <c r="F3128" s="2" t="inlineStr">
        <is>
          <t>мультфильм</t>
        </is>
      </c>
      <c r="G3128" s="2" t="inlineStr">
        <is>
          <t>КИЕВНАУЧФИЛЬМ</t>
        </is>
      </c>
      <c r="H3128" s="2" t="n">
        <v>0</v>
      </c>
      <c r="I3128" s="2" t="inlineStr"/>
      <c r="J3128" s="2" t="inlineStr">
        <is>
          <t>?</t>
        </is>
      </c>
      <c r="K3128" s="3" t="inlineStr"/>
      <c r="L3128" s="2" t="inlineStr">
        <is>
          <t>https://animator.ru/db/?p=show_film&amp;fid=3539</t>
        </is>
      </c>
      <c r="M3128" s="2">
        <f>HYPERLINK("https://ru.wikipedia.org/w/index.php?search=%D0%96%D0%B8%D0%BB%D0%B8-%D0%BF%D0%B8%D0%BB%D0%B8%201985%20%D1%84%D0%B8%D0%BB%D1%8C%D0%BC","искать")</f>
        <v/>
      </c>
      <c r="N3128" s="3" t="n"/>
      <c r="O3128" s="2" t="n"/>
      <c r="P3128" s="2" t="n"/>
    </row>
    <row r="3129">
      <c r="A3129" s="2" t="n">
        <v>3128</v>
      </c>
      <c r="B3129" s="2" t="inlineStr">
        <is>
          <t>короткая</t>
        </is>
      </c>
      <c r="C3129" s="2" t="n">
        <v>12374</v>
      </c>
      <c r="D3129" s="3" t="inlineStr">
        <is>
          <t>Зайчишка заблудился</t>
        </is>
      </c>
      <c r="E3129" s="2" t="n">
        <v>1973</v>
      </c>
      <c r="F3129" s="2" t="inlineStr">
        <is>
          <t>мультфильм</t>
        </is>
      </c>
      <c r="G3129" s="2" t="inlineStr">
        <is>
          <t>КИЕВНАУЧФИЛЬМ</t>
        </is>
      </c>
      <c r="H3129" s="2" t="n">
        <v>0</v>
      </c>
      <c r="I3129" s="2" t="inlineStr"/>
      <c r="J3129" s="2" t="inlineStr">
        <is>
          <t>?</t>
        </is>
      </c>
      <c r="K3129" s="3" t="inlineStr"/>
      <c r="L3129" s="2" t="inlineStr">
        <is>
          <t>https://animator.ru/db/?p=show_film&amp;fid=3542</t>
        </is>
      </c>
      <c r="M3129" s="2">
        <f>HYPERLINK("https://ru.wikipedia.org/w/index.php?search=%D0%97%D0%B0%D0%B9%D1%87%D0%B8%D1%88%D0%BA%D0%B0%20%D0%B7%D0%B0%D0%B1%D0%BB%D1%83%D0%B4%D0%B8%D0%BB%D1%81%D1%8F%201973%20%D1%84%D0%B8%D0%BB%D1%8C%D0%BC","искать")</f>
        <v/>
      </c>
      <c r="N3129" s="3" t="n"/>
      <c r="O3129" s="2" t="n"/>
      <c r="P3129" s="2" t="n"/>
    </row>
    <row r="3130">
      <c r="A3130" s="2" t="n">
        <v>3129</v>
      </c>
      <c r="B3130" s="2" t="inlineStr">
        <is>
          <t>короткая</t>
        </is>
      </c>
      <c r="C3130" s="2" t="n">
        <v>12375</v>
      </c>
      <c r="D3130" s="3" t="inlineStr">
        <is>
          <t>Закон отменяется</t>
        </is>
      </c>
      <c r="E3130" s="2" t="n">
        <v>1972</v>
      </c>
      <c r="F3130" s="2" t="inlineStr">
        <is>
          <t>мультфильм</t>
        </is>
      </c>
      <c r="G3130" s="2" t="inlineStr">
        <is>
          <t>КИЕВНАУЧФИЛЬМ</t>
        </is>
      </c>
      <c r="H3130" s="2" t="n">
        <v>0</v>
      </c>
      <c r="I3130" s="2" t="inlineStr"/>
      <c r="J3130" s="2" t="inlineStr">
        <is>
          <t>?</t>
        </is>
      </c>
      <c r="K3130" s="3" t="inlineStr"/>
      <c r="L3130" s="2" t="inlineStr">
        <is>
          <t>https://animator.ru/db/?p=show_film&amp;fid=3543</t>
        </is>
      </c>
      <c r="M3130" s="2">
        <f>HYPERLINK("https://ru.wikipedia.org/w/index.php?search=%D0%97%D0%B0%D0%BA%D0%BE%D0%BD%20%D0%BE%D1%82%D0%BC%D0%B5%D0%BD%D1%8F%D0%B5%D1%82%D1%81%D1%8F%201972%20%D1%84%D0%B8%D0%BB%D1%8C%D0%BC","искать")</f>
        <v/>
      </c>
      <c r="N3130" s="3" t="n"/>
      <c r="O3130" s="2" t="n"/>
      <c r="P3130" s="2" t="n"/>
    </row>
    <row r="3131">
      <c r="A3131" s="2" t="n">
        <v>3130</v>
      </c>
      <c r="B3131" s="2" t="inlineStr">
        <is>
          <t>короткая</t>
        </is>
      </c>
      <c r="C3131" s="2" t="n">
        <v>12388</v>
      </c>
      <c r="D3131" s="3" t="inlineStr">
        <is>
          <t>Ивасик-телесик</t>
        </is>
      </c>
      <c r="E3131" s="2" t="n">
        <v>1968</v>
      </c>
      <c r="F3131" s="2" t="inlineStr">
        <is>
          <t>мультфильм</t>
        </is>
      </c>
      <c r="G3131" s="2" t="inlineStr">
        <is>
          <t>КИЕВНАУЧФИЛЬМ</t>
        </is>
      </c>
      <c r="H3131" s="2" t="n">
        <v>0</v>
      </c>
      <c r="I3131" s="2" t="inlineStr"/>
      <c r="J3131" s="2" t="inlineStr">
        <is>
          <t>?</t>
        </is>
      </c>
      <c r="K3131" s="3" t="inlineStr"/>
      <c r="L3131" s="2" t="inlineStr">
        <is>
          <t>https://animator.ru/db/?p=show_film&amp;fid=3559</t>
        </is>
      </c>
      <c r="M3131" s="2">
        <f>HYPERLINK("https://ru.wikipedia.org/w/index.php?search=%D0%98%D0%B2%D0%B0%D1%81%D0%B8%D0%BA-%D1%82%D0%B5%D0%BB%D0%B5%D1%81%D0%B8%D0%BA%201968%20%D1%84%D0%B8%D0%BB%D1%8C%D0%BC","искать")</f>
        <v/>
      </c>
      <c r="N3131" s="3" t="n"/>
      <c r="O3131" s="2" t="n"/>
      <c r="P3131" s="2" t="n"/>
    </row>
    <row r="3132">
      <c r="A3132" s="2" t="n">
        <v>3131</v>
      </c>
      <c r="B3132" s="2" t="inlineStr">
        <is>
          <t>короткая</t>
        </is>
      </c>
      <c r="C3132" s="2" t="n">
        <v>12410</v>
      </c>
      <c r="D3132" s="3" t="inlineStr">
        <is>
          <t>Как кормили медвежонка</t>
        </is>
      </c>
      <c r="E3132" s="2" t="n">
        <v>1976</v>
      </c>
      <c r="F3132" s="2" t="inlineStr">
        <is>
          <t>мультфильм</t>
        </is>
      </c>
      <c r="G3132" s="2" t="inlineStr">
        <is>
          <t>КИЕВНАУЧФИЛЬМ</t>
        </is>
      </c>
      <c r="H3132" s="2" t="n">
        <v>0</v>
      </c>
      <c r="I3132" s="2" t="inlineStr"/>
      <c r="J3132" s="2" t="inlineStr">
        <is>
          <t>?</t>
        </is>
      </c>
      <c r="K3132" s="3" t="inlineStr"/>
      <c r="L3132" s="2" t="inlineStr">
        <is>
          <t>https://animator.ru/db/?p=show_film&amp;fid=3581</t>
        </is>
      </c>
      <c r="M3132" s="2">
        <f>HYPERLINK("https://ru.wikipedia.org/w/index.php?search=%D0%9A%D0%B0%D0%BA%20%D0%BA%D0%BE%D1%80%D0%BC%D0%B8%D0%BB%D0%B8%20%D0%BC%D0%B5%D0%B4%D0%B2%D0%B5%D0%B6%D0%BE%D0%BD%D0%BA%D0%B0%201976%20%D1%84%D0%B8%D0%BB%D1%8C%D0%BC","искать")</f>
        <v/>
      </c>
      <c r="N3132" s="3" t="n"/>
      <c r="O3132" s="2" t="n"/>
      <c r="P3132" s="2" t="n"/>
    </row>
    <row r="3133">
      <c r="A3133" s="2" t="n">
        <v>3132</v>
      </c>
      <c r="B3133" s="2" t="inlineStr">
        <is>
          <t>короткая</t>
        </is>
      </c>
      <c r="C3133" s="2" t="n">
        <v>12418</v>
      </c>
      <c r="D3133" s="3" t="inlineStr">
        <is>
          <t>Кавардак</t>
        </is>
      </c>
      <c r="E3133" s="2" t="n">
        <v>1988</v>
      </c>
      <c r="F3133" s="2" t="inlineStr">
        <is>
          <t>мультфильм</t>
        </is>
      </c>
      <c r="G3133" s="2" t="inlineStr">
        <is>
          <t>КИЕВНАУЧФИЛЬМ</t>
        </is>
      </c>
      <c r="H3133" s="2" t="n">
        <v>0</v>
      </c>
      <c r="I3133" s="2" t="inlineStr"/>
      <c r="J3133" s="2" t="inlineStr">
        <is>
          <t>?</t>
        </is>
      </c>
      <c r="K3133" s="3" t="inlineStr"/>
      <c r="L3133" s="2" t="inlineStr">
        <is>
          <t>https://animator.ru/db/?p=show_film&amp;fid=3589</t>
        </is>
      </c>
      <c r="M3133" s="2">
        <f>HYPERLINK("https://ru.wikipedia.org/w/index.php?search=%D0%9A%D0%B0%D0%B2%D0%B0%D1%80%D0%B4%D0%B0%D0%BA%201988%20%D1%84%D0%B8%D0%BB%D1%8C%D0%BC","искать")</f>
        <v/>
      </c>
      <c r="N3133" s="3" t="n"/>
      <c r="O3133" s="2" t="n"/>
      <c r="P3133" s="2" t="n"/>
    </row>
    <row r="3134">
      <c r="A3134" s="2" t="n">
        <v>3133</v>
      </c>
      <c r="B3134" s="2" t="inlineStr">
        <is>
          <t>короткая</t>
        </is>
      </c>
      <c r="C3134" s="2" t="n">
        <v>12419</v>
      </c>
      <c r="D3134" s="3" t="inlineStr">
        <is>
          <t>Камень на дороге. Спор</t>
        </is>
      </c>
      <c r="E3134" s="2" t="n">
        <v>1968</v>
      </c>
      <c r="F3134" s="2" t="inlineStr">
        <is>
          <t>мультфильм</t>
        </is>
      </c>
      <c r="G3134" s="2" t="inlineStr">
        <is>
          <t>КИЕВНАУЧФИЛЬМ</t>
        </is>
      </c>
      <c r="H3134" s="2" t="n">
        <v>0</v>
      </c>
      <c r="I3134" s="2" t="inlineStr"/>
      <c r="J3134" s="2" t="inlineStr">
        <is>
          <t>?</t>
        </is>
      </c>
      <c r="K3134" s="3" t="inlineStr"/>
      <c r="L3134" s="2" t="inlineStr">
        <is>
          <t>https://animator.ru/db/?p=show_film&amp;fid=3590</t>
        </is>
      </c>
      <c r="M3134" s="2">
        <f>HYPERLINK("https://ru.wikipedia.org/w/index.php?search=%D0%9A%D0%B0%D0%BC%D0%B5%D0%BD%D1%8C%20%D0%BD%D0%B0%20%D0%B4%D0%BE%D1%80%D0%BE%D0%B3%D0%B5.%20%D0%A1%D0%BF%D0%BE%D1%80%201968%20%D1%84%D0%B8%D0%BB%D1%8C%D0%BC","искать")</f>
        <v/>
      </c>
      <c r="N3134" s="3" t="n"/>
      <c r="O3134" s="2" t="n"/>
      <c r="P3134" s="2" t="n"/>
    </row>
    <row r="3135">
      <c r="A3135" s="2" t="n">
        <v>3134</v>
      </c>
      <c r="B3135" s="2" t="inlineStr">
        <is>
          <t>короткая</t>
        </is>
      </c>
      <c r="C3135" s="2" t="n">
        <v>12420</v>
      </c>
      <c r="D3135" s="3" t="inlineStr">
        <is>
          <t>Камень на дороге. Демагог</t>
        </is>
      </c>
      <c r="E3135" s="2" t="n">
        <v>1968</v>
      </c>
      <c r="F3135" s="2" t="inlineStr">
        <is>
          <t>мультфильм</t>
        </is>
      </c>
      <c r="G3135" s="2" t="inlineStr">
        <is>
          <t>КИЕВНАУЧФИЛЬМ</t>
        </is>
      </c>
      <c r="H3135" s="2" t="n">
        <v>0</v>
      </c>
      <c r="I3135" s="2" t="inlineStr"/>
      <c r="J3135" s="2" t="inlineStr">
        <is>
          <t>?</t>
        </is>
      </c>
      <c r="K3135" s="3" t="inlineStr"/>
      <c r="L3135" s="2" t="inlineStr">
        <is>
          <t>https://animator.ru/db/?p=show_film&amp;fid=3591</t>
        </is>
      </c>
      <c r="M3135" s="2">
        <f>HYPERLINK("https://ru.wikipedia.org/w/index.php?search=%D0%9A%D0%B0%D0%BC%D0%B5%D0%BD%D1%8C%20%D0%BD%D0%B0%20%D0%B4%D0%BE%D1%80%D0%BE%D0%B3%D0%B5.%20%D0%94%D0%B5%D0%BC%D0%B0%D0%B3%D0%BE%D0%B3%201968%20%D1%84%D0%B8%D0%BB%D1%8C%D0%BC","искать")</f>
        <v/>
      </c>
      <c r="N3135" s="3" t="n"/>
      <c r="O3135" s="2" t="n"/>
      <c r="P3135" s="2" t="n"/>
    </row>
    <row r="3136">
      <c r="A3136" s="2" t="n">
        <v>3135</v>
      </c>
      <c r="B3136" s="2" t="inlineStr">
        <is>
          <t>короткая</t>
        </is>
      </c>
      <c r="C3136" s="2" t="n">
        <v>12421</v>
      </c>
      <c r="D3136" s="3" t="inlineStr">
        <is>
          <t>Камень на дороге. Колонна</t>
        </is>
      </c>
      <c r="E3136" s="2" t="n">
        <v>1968</v>
      </c>
      <c r="F3136" s="2" t="inlineStr">
        <is>
          <t>мультфильм</t>
        </is>
      </c>
      <c r="G3136" s="2" t="inlineStr">
        <is>
          <t>КИЕВНАУЧФИЛЬМ</t>
        </is>
      </c>
      <c r="H3136" s="2" t="n">
        <v>0</v>
      </c>
      <c r="I3136" s="2" t="inlineStr"/>
      <c r="J3136" s="2" t="inlineStr">
        <is>
          <t>?</t>
        </is>
      </c>
      <c r="K3136" s="3" t="inlineStr"/>
      <c r="L3136" s="2" t="inlineStr">
        <is>
          <t>https://animator.ru/db/?p=show_film&amp;fid=3592</t>
        </is>
      </c>
      <c r="M3136" s="2">
        <f>HYPERLINK("https://ru.wikipedia.org/w/index.php?search=%D0%9A%D0%B0%D0%BC%D0%B5%D0%BD%D1%8C%20%D0%BD%D0%B0%20%D0%B4%D0%BE%D1%80%D0%BE%D0%B3%D0%B5.%20%D0%9A%D0%BE%D0%BB%D0%BE%D0%BD%D0%BD%D0%B0%201968%20%D1%84%D0%B8%D0%BB%D1%8C%D0%BC","искать")</f>
        <v/>
      </c>
      <c r="N3136" s="3" t="n"/>
      <c r="O3136" s="2" t="n"/>
      <c r="P3136" s="2" t="n"/>
    </row>
    <row r="3137">
      <c r="A3137" s="2" t="n">
        <v>3136</v>
      </c>
      <c r="B3137" s="2" t="inlineStr">
        <is>
          <t>короткая</t>
        </is>
      </c>
      <c r="C3137" s="2" t="n">
        <v>12427</v>
      </c>
      <c r="D3137" s="3" t="inlineStr">
        <is>
          <t>Козлик и его горе</t>
        </is>
      </c>
      <c r="E3137" s="2" t="n">
        <v>1976</v>
      </c>
      <c r="F3137" s="2" t="inlineStr">
        <is>
          <t>мультфильм</t>
        </is>
      </c>
      <c r="G3137" s="2" t="inlineStr">
        <is>
          <t>КИЕВНАУЧФИЛЬМ</t>
        </is>
      </c>
      <c r="H3137" s="2" t="n">
        <v>0</v>
      </c>
      <c r="I3137" s="2" t="inlineStr"/>
      <c r="J3137" s="2" t="inlineStr">
        <is>
          <t>?</t>
        </is>
      </c>
      <c r="K3137" s="3" t="inlineStr"/>
      <c r="L3137" s="2" t="inlineStr">
        <is>
          <t>https://animator.ru/db/?p=show_film&amp;fid=3598</t>
        </is>
      </c>
      <c r="M3137" s="2">
        <f>HYPERLINK("https://ru.wikipedia.org/w/index.php?search=%D0%9A%D0%BE%D0%B7%D0%BB%D0%B8%D0%BA%20%D0%B8%20%D0%B5%D0%B3%D0%BE%20%D0%B3%D0%BE%D1%80%D0%B5%201976%20%D1%84%D0%B8%D0%BB%D1%8C%D0%BC","искать")</f>
        <v/>
      </c>
      <c r="N3137" s="3" t="n"/>
      <c r="O3137" s="2" t="n"/>
      <c r="P3137" s="2" t="n"/>
    </row>
    <row r="3138">
      <c r="A3138" s="2" t="n">
        <v>3137</v>
      </c>
      <c r="B3138" s="2" t="inlineStr">
        <is>
          <t>короткая</t>
        </is>
      </c>
      <c r="C3138" s="2" t="n">
        <v>12428</v>
      </c>
      <c r="D3138" s="3" t="inlineStr">
        <is>
          <t>Козлик и ослик</t>
        </is>
      </c>
      <c r="E3138" s="2" t="n">
        <v>1974</v>
      </c>
      <c r="F3138" s="2" t="inlineStr">
        <is>
          <t>мультфильм</t>
        </is>
      </c>
      <c r="G3138" s="2" t="inlineStr">
        <is>
          <t>КИЕВНАУЧФИЛЬМ</t>
        </is>
      </c>
      <c r="H3138" s="2" t="n">
        <v>0</v>
      </c>
      <c r="I3138" s="2" t="inlineStr"/>
      <c r="J3138" s="2" t="inlineStr">
        <is>
          <t>?</t>
        </is>
      </c>
      <c r="K3138" s="3" t="inlineStr"/>
      <c r="L3138" s="2" t="inlineStr">
        <is>
          <t>https://animator.ru/db/?p=show_film&amp;fid=3599</t>
        </is>
      </c>
      <c r="M3138" s="2">
        <f>HYPERLINK("https://ru.wikipedia.org/w/index.php?search=%D0%9A%D0%BE%D0%B7%D0%BB%D0%B8%D0%BA%20%D0%B8%20%D0%BE%D1%81%D0%BB%D0%B8%D0%BA%201974%20%D1%84%D0%B8%D0%BB%D1%8C%D0%BC","искать")</f>
        <v/>
      </c>
      <c r="N3138" s="3" t="n"/>
      <c r="O3138" s="2" t="n"/>
      <c r="P3138" s="2" t="n"/>
    </row>
    <row r="3139">
      <c r="A3139" s="2" t="n">
        <v>3138</v>
      </c>
      <c r="B3139" s="2" t="inlineStr">
        <is>
          <t>короткая</t>
        </is>
      </c>
      <c r="C3139" s="2" t="n">
        <v>12435</v>
      </c>
      <c r="D3139" s="3" t="inlineStr">
        <is>
          <t>Кот Базилио и мышонок Пик</t>
        </is>
      </c>
      <c r="E3139" s="2" t="n">
        <v>1974</v>
      </c>
      <c r="F3139" s="2" t="inlineStr">
        <is>
          <t>мультфильм</t>
        </is>
      </c>
      <c r="G3139" s="2" t="inlineStr">
        <is>
          <t>КИЕВНАУЧФИЛЬМ</t>
        </is>
      </c>
      <c r="H3139" s="2" t="n">
        <v>0</v>
      </c>
      <c r="I3139" s="2" t="inlineStr"/>
      <c r="J3139" s="2" t="inlineStr">
        <is>
          <t>?</t>
        </is>
      </c>
      <c r="K3139" s="3" t="inlineStr"/>
      <c r="L3139" s="2" t="inlineStr">
        <is>
          <t>https://animator.ru/db/?p=show_film&amp;fid=3606</t>
        </is>
      </c>
      <c r="M3139" s="2">
        <f>HYPERLINK("https://ru.wikipedia.org/w/index.php?search=%D0%9A%D0%BE%D1%82%20%D0%91%D0%B0%D0%B7%D0%B8%D0%BB%D0%B8%D0%BE%20%D0%B8%20%D0%BC%D1%8B%D1%88%D0%BE%D0%BD%D0%BE%D0%BA%20%D0%9F%D0%B8%D0%BA%201974%20%D1%84%D0%B8%D0%BB%D1%8C%D0%BC","искать")</f>
        <v/>
      </c>
      <c r="N3139" s="3" t="n"/>
      <c r="O3139" s="2" t="n"/>
      <c r="P3139" s="2" t="n"/>
    </row>
    <row r="3140">
      <c r="A3140" s="2" t="n">
        <v>3139</v>
      </c>
      <c r="B3140" s="2" t="inlineStr">
        <is>
          <t>короткая</t>
        </is>
      </c>
      <c r="C3140" s="2" t="n">
        <v>12437</v>
      </c>
      <c r="D3140" s="3" t="inlineStr">
        <is>
          <t>Крылатый мастер</t>
        </is>
      </c>
      <c r="E3140" s="2" t="n">
        <v>1981</v>
      </c>
      <c r="F3140" s="2" t="inlineStr">
        <is>
          <t>мультфильм</t>
        </is>
      </c>
      <c r="G3140" s="2" t="inlineStr">
        <is>
          <t>КИЕВНАУЧФИЛЬМ</t>
        </is>
      </c>
      <c r="H3140" s="2" t="n">
        <v>0</v>
      </c>
      <c r="I3140" s="2" t="inlineStr"/>
      <c r="J3140" s="2" t="inlineStr">
        <is>
          <t>?</t>
        </is>
      </c>
      <c r="K3140" s="3" t="inlineStr"/>
      <c r="L3140" s="2" t="inlineStr">
        <is>
          <t>https://animator.ru/db/?p=show_film&amp;fid=3608</t>
        </is>
      </c>
      <c r="M3140" s="2">
        <f>HYPERLINK("https://ru.wikipedia.org/w/index.php?search=%D0%9A%D1%80%D1%8B%D0%BB%D0%B0%D1%82%D1%8B%D0%B9%20%D0%BC%D0%B0%D1%81%D1%82%D0%B5%D1%80%201981%20%D1%84%D0%B8%D0%BB%D1%8C%D0%BC","искать")</f>
        <v/>
      </c>
      <c r="N3140" s="3" t="n"/>
      <c r="O3140" s="2" t="n"/>
      <c r="P3140" s="2" t="n"/>
    </row>
    <row r="3141">
      <c r="A3141" s="2" t="n">
        <v>3140</v>
      </c>
      <c r="B3141" s="2" t="inlineStr">
        <is>
          <t>короткая</t>
        </is>
      </c>
      <c r="C3141" s="2" t="n">
        <v>12442</v>
      </c>
      <c r="D3141" s="3" t="inlineStr">
        <is>
          <t>Ладушки, ладушки...</t>
        </is>
      </c>
      <c r="E3141" s="2" t="n">
        <v>1985</v>
      </c>
      <c r="F3141" s="2" t="inlineStr">
        <is>
          <t>мультфильм</t>
        </is>
      </c>
      <c r="G3141" s="2" t="inlineStr">
        <is>
          <t>КИЕВНАУЧФИЛЬМ</t>
        </is>
      </c>
      <c r="H3141" s="2" t="n">
        <v>0</v>
      </c>
      <c r="I3141" s="2" t="inlineStr"/>
      <c r="J3141" s="2" t="inlineStr">
        <is>
          <t>?</t>
        </is>
      </c>
      <c r="K3141" s="3" t="inlineStr"/>
      <c r="L3141" s="2" t="inlineStr">
        <is>
          <t>https://animator.ru/db/?p=show_film&amp;fid=3613</t>
        </is>
      </c>
      <c r="M3141" s="2">
        <f>HYPERLINK("https://ru.wikipedia.org/w/index.php?search=%D0%9B%D0%B0%D0%B4%D1%83%D1%88%D0%BA%D0%B8%2C%20%D0%BB%D0%B0%D0%B4%D1%83%D1%88%D0%BA%D0%B8...%201985%20%D1%84%D0%B8%D0%BB%D1%8C%D0%BC","искать")</f>
        <v/>
      </c>
      <c r="N3141" s="3" t="n"/>
      <c r="O3141" s="2" t="n"/>
      <c r="P3141" s="2" t="n"/>
    </row>
    <row r="3142">
      <c r="A3142" s="2" t="n">
        <v>3141</v>
      </c>
      <c r="B3142" s="2" t="inlineStr">
        <is>
          <t>короткая</t>
        </is>
      </c>
      <c r="C3142" s="2" t="n">
        <v>12450</v>
      </c>
      <c r="D3142" s="3" t="inlineStr">
        <is>
          <t>Мальчик с уздечкой</t>
        </is>
      </c>
      <c r="E3142" s="2" t="n">
        <v>1974</v>
      </c>
      <c r="F3142" s="2" t="inlineStr">
        <is>
          <t>мультфильм</t>
        </is>
      </c>
      <c r="G3142" s="2" t="inlineStr">
        <is>
          <t>КИЕВНАУЧФИЛЬМ</t>
        </is>
      </c>
      <c r="H3142" s="2" t="n">
        <v>0</v>
      </c>
      <c r="I3142" s="2" t="inlineStr"/>
      <c r="J3142" s="2" t="inlineStr">
        <is>
          <t>?</t>
        </is>
      </c>
      <c r="K3142" s="3" t="inlineStr"/>
      <c r="L3142" s="2" t="inlineStr">
        <is>
          <t>https://animator.ru/db/?p=show_film&amp;fid=3621</t>
        </is>
      </c>
      <c r="M3142" s="2">
        <f>HYPERLINK("https://ru.wikipedia.org/w/index.php?search=%D0%9C%D0%B0%D0%BB%D1%8C%D1%87%D0%B8%D0%BA%20%D1%81%20%D1%83%D0%B7%D0%B4%D0%B5%D1%87%D0%BA%D0%BE%D0%B9%201974%20%D1%84%D0%B8%D0%BB%D1%8C%D0%BC","искать")</f>
        <v/>
      </c>
      <c r="N3142" s="3" t="n"/>
      <c r="O3142" s="2" t="n"/>
      <c r="P3142" s="2" t="n"/>
    </row>
    <row r="3143">
      <c r="A3143" s="2" t="n">
        <v>3142</v>
      </c>
      <c r="B3143" s="2" t="inlineStr">
        <is>
          <t>короткая</t>
        </is>
      </c>
      <c r="C3143" s="2" t="n">
        <v>12464</v>
      </c>
      <c r="D3143" s="3" t="inlineStr">
        <is>
          <t>Мы - женщины. Сладкая жизнь</t>
        </is>
      </c>
      <c r="E3143" s="2" t="n">
        <v>1988</v>
      </c>
      <c r="F3143" s="2" t="inlineStr">
        <is>
          <t>мультфильм</t>
        </is>
      </c>
      <c r="G3143" s="2" t="inlineStr">
        <is>
          <t>КИЕВНАУЧФИЛЬМ</t>
        </is>
      </c>
      <c r="H3143" s="2" t="n">
        <v>0</v>
      </c>
      <c r="I3143" s="2" t="inlineStr"/>
      <c r="J3143" s="2" t="inlineStr">
        <is>
          <t>?</t>
        </is>
      </c>
      <c r="K3143" s="3" t="inlineStr"/>
      <c r="L3143" s="2" t="inlineStr">
        <is>
          <t>https://animator.ru/db/?p=show_film&amp;fid=3636</t>
        </is>
      </c>
      <c r="M3143" s="2">
        <f>HYPERLINK("https://ru.wikipedia.org/w/index.php?search=%D0%9C%D1%8B%20-%20%D0%B6%D0%B5%D0%BD%D1%89%D0%B8%D0%BD%D1%8B.%20%D0%A1%D0%BB%D0%B0%D0%B4%D0%BA%D0%B0%D1%8F%20%D0%B6%D0%B8%D0%B7%D0%BD%D1%8C%201988%20%D1%84%D0%B8%D0%BB%D1%8C%D0%BC","искать")</f>
        <v/>
      </c>
      <c r="N3143" s="3" t="n"/>
      <c r="O3143" s="2" t="n"/>
      <c r="P3143" s="2" t="n"/>
    </row>
    <row r="3144">
      <c r="A3144" s="2" t="n">
        <v>3143</v>
      </c>
      <c r="B3144" s="2" t="inlineStr">
        <is>
          <t>короткая</t>
        </is>
      </c>
      <c r="C3144" s="2" t="n">
        <v>12467</v>
      </c>
      <c r="D3144" s="3" t="inlineStr">
        <is>
          <t>Мышонок, который хотел быть похожим на человека</t>
        </is>
      </c>
      <c r="E3144" s="2" t="n">
        <v>1973</v>
      </c>
      <c r="F3144" s="2" t="inlineStr">
        <is>
          <t>мультфильм</t>
        </is>
      </c>
      <c r="G3144" s="2" t="inlineStr">
        <is>
          <t>КИЕВНАУЧФИЛЬМ</t>
        </is>
      </c>
      <c r="H3144" s="2" t="n">
        <v>0</v>
      </c>
      <c r="I3144" s="2" t="inlineStr"/>
      <c r="J3144" s="2" t="inlineStr">
        <is>
          <t>?</t>
        </is>
      </c>
      <c r="K3144" s="3" t="inlineStr"/>
      <c r="L3144" s="2" t="inlineStr">
        <is>
          <t>https://animator.ru/db/?p=show_film&amp;fid=3639</t>
        </is>
      </c>
      <c r="M3144" s="2">
        <f>HYPERLINK("https://ru.wikipedia.org/w/index.php?search=%D0%9C%D1%8B%D1%88%D0%BE%D0%BD%D0%BE%D0%BA%2C%20%D0%BA%D0%BE%D1%82%D0%BE%D1%80%D1%8B%D0%B9%20%D1%85%D0%BE%D1%82%D0%B5%D0%BB%20%D0%B1%D1%8B%D1%82%D1%8C%20%D0%BF%D0%BE%D1%85%D0%BE%D0%B6%D0%B8%D0%BC%20%D0%BD%D0%B0%20%D1%87%D0%B5%D0%BB%D0%BE%D0%B2%D0%B5%D0%BA%D0%B0%201973%20%D1%84%D0%B8%D0%BB%D1%8C%D0%BC","искать")</f>
        <v/>
      </c>
      <c r="N3144" s="3" t="n"/>
      <c r="O3144" s="2" t="n"/>
      <c r="P3144" s="2" t="n"/>
    </row>
    <row r="3145">
      <c r="A3145" s="2" t="n">
        <v>3144</v>
      </c>
      <c r="B3145" s="2" t="inlineStr">
        <is>
          <t>короткая</t>
        </is>
      </c>
      <c r="C3145" s="2" t="n">
        <v>12468</v>
      </c>
      <c r="D3145" s="3" t="inlineStr">
        <is>
          <t>Настоящий медвежонок</t>
        </is>
      </c>
      <c r="E3145" s="2" t="n">
        <v>1977</v>
      </c>
      <c r="F3145" s="2" t="inlineStr">
        <is>
          <t>мультфильм</t>
        </is>
      </c>
      <c r="G3145" s="2" t="inlineStr">
        <is>
          <t>КИЕВНАУЧФИЛЬМ</t>
        </is>
      </c>
      <c r="H3145" s="2" t="n">
        <v>0</v>
      </c>
      <c r="I3145" s="2" t="inlineStr"/>
      <c r="J3145" s="2" t="inlineStr">
        <is>
          <t>?</t>
        </is>
      </c>
      <c r="K3145" s="3" t="inlineStr"/>
      <c r="L3145" s="2" t="inlineStr">
        <is>
          <t>https://animator.ru/db/?p=show_film&amp;fid=3640</t>
        </is>
      </c>
      <c r="M3145" s="2">
        <f>HYPERLINK("https://ru.wikipedia.org/w/index.php?search=%D0%9D%D0%B0%D1%81%D1%82%D0%BE%D1%8F%D1%89%D0%B8%D0%B9%20%D0%BC%D0%B5%D0%B4%D0%B2%D0%B5%D0%B6%D0%BE%D0%BD%D0%BE%D0%BA%201977%20%D1%84%D0%B8%D0%BB%D1%8C%D0%BC","искать")</f>
        <v/>
      </c>
      <c r="N3145" s="3" t="n"/>
      <c r="O3145" s="2" t="n"/>
      <c r="P3145" s="2" t="n"/>
    </row>
    <row r="3146">
      <c r="A3146" s="2" t="n">
        <v>3145</v>
      </c>
      <c r="B3146" s="2" t="inlineStr">
        <is>
          <t>короткая</t>
        </is>
      </c>
      <c r="C3146" s="2" t="n">
        <v>12471</v>
      </c>
      <c r="D3146" s="3" t="inlineStr">
        <is>
          <t>Некогда! Некогда!</t>
        </is>
      </c>
      <c r="E3146" s="2" t="n">
        <v>1975</v>
      </c>
      <c r="F3146" s="2" t="inlineStr">
        <is>
          <t>мультфильм</t>
        </is>
      </c>
      <c r="G3146" s="2" t="inlineStr">
        <is>
          <t>КИЕВНАУЧФИЛЬМ</t>
        </is>
      </c>
      <c r="H3146" s="2" t="n">
        <v>0</v>
      </c>
      <c r="I3146" s="2" t="inlineStr"/>
      <c r="J3146" s="2" t="inlineStr">
        <is>
          <t>?</t>
        </is>
      </c>
      <c r="K3146" s="3" t="inlineStr"/>
      <c r="L3146" s="2" t="inlineStr">
        <is>
          <t>https://animator.ru/db/?p=show_film&amp;fid=3643</t>
        </is>
      </c>
      <c r="M3146" s="2">
        <f>HYPERLINK("https://ru.wikipedia.org/w/index.php?search=%D0%9D%D0%B5%D0%BA%D0%BE%D0%B3%D0%B4%D0%B0%21%20%D0%9D%D0%B5%D0%BA%D0%BE%D0%B3%D0%B4%D0%B0%21%201975%20%D1%84%D0%B8%D0%BB%D1%8C%D0%BC","искать")</f>
        <v/>
      </c>
      <c r="N3146" s="3" t="n"/>
      <c r="O3146" s="2" t="n"/>
      <c r="P3146" s="2" t="n"/>
    </row>
    <row r="3147">
      <c r="A3147" s="2" t="n">
        <v>3146</v>
      </c>
      <c r="B3147" s="2" t="inlineStr">
        <is>
          <t>короткая</t>
        </is>
      </c>
      <c r="C3147" s="2" t="n">
        <v>12474</v>
      </c>
      <c r="D3147" s="3" t="inlineStr">
        <is>
          <t>Несчастливая звезда</t>
        </is>
      </c>
      <c r="E3147" s="2" t="n">
        <v>1981</v>
      </c>
      <c r="F3147" s="2" t="inlineStr">
        <is>
          <t>мультфильм</t>
        </is>
      </c>
      <c r="G3147" s="2" t="inlineStr">
        <is>
          <t>КИЕВНАУЧФИЛЬМ</t>
        </is>
      </c>
      <c r="H3147" s="2" t="n">
        <v>0</v>
      </c>
      <c r="I3147" s="2" t="inlineStr"/>
      <c r="J3147" s="2" t="inlineStr">
        <is>
          <t>?</t>
        </is>
      </c>
      <c r="K3147" s="3" t="inlineStr"/>
      <c r="L3147" s="2" t="inlineStr">
        <is>
          <t>https://animator.ru/db/?p=show_film&amp;fid=3647</t>
        </is>
      </c>
      <c r="M3147" s="2">
        <f>HYPERLINK("https://ru.wikipedia.org/w/index.php?search=%D0%9D%D0%B5%D1%81%D1%87%D0%B0%D1%81%D1%82%D0%BB%D0%B8%D0%B2%D0%B0%D1%8F%20%D0%B7%D0%B2%D0%B5%D0%B7%D0%B4%D0%B0%201981%20%D1%84%D0%B8%D0%BB%D1%8C%D0%BC","искать")</f>
        <v/>
      </c>
      <c r="N3147" s="3" t="n"/>
      <c r="O3147" s="2" t="n"/>
      <c r="P3147" s="2" t="n"/>
    </row>
    <row r="3148">
      <c r="A3148" s="2" t="n">
        <v>3147</v>
      </c>
      <c r="B3148" s="2" t="inlineStr">
        <is>
          <t>короткая</t>
        </is>
      </c>
      <c r="C3148" s="2" t="n">
        <v>12477</v>
      </c>
      <c r="D3148" s="3" t="inlineStr">
        <is>
          <t>Однажды я пришел домой...</t>
        </is>
      </c>
      <c r="E3148" s="2" t="n">
        <v>1981</v>
      </c>
      <c r="F3148" s="2" t="inlineStr">
        <is>
          <t>мультфильм</t>
        </is>
      </c>
      <c r="G3148" s="2" t="inlineStr">
        <is>
          <t>КИЕВНАУЧФИЛЬМ</t>
        </is>
      </c>
      <c r="H3148" s="2" t="n">
        <v>0</v>
      </c>
      <c r="I3148" s="2" t="inlineStr"/>
      <c r="J3148" s="2" t="inlineStr">
        <is>
          <t>?</t>
        </is>
      </c>
      <c r="K3148" s="3" t="inlineStr"/>
      <c r="L3148" s="2" t="inlineStr">
        <is>
          <t>https://animator.ru/db/?p=show_film&amp;fid=3652</t>
        </is>
      </c>
      <c r="M3148" s="2">
        <f>HYPERLINK("https://ru.wikipedia.org/w/index.php?search=%D0%9E%D0%B4%D0%BD%D0%B0%D0%B6%D0%B4%D1%8B%20%D1%8F%20%D0%BF%D1%80%D0%B8%D1%88%D0%B5%D0%BB%20%D0%B4%D0%BE%D0%BC%D0%BE%D0%B9...%201981%20%D1%84%D0%B8%D0%BB%D1%8C%D0%BC","искать")</f>
        <v/>
      </c>
      <c r="N3148" s="3" t="n"/>
      <c r="O3148" s="2" t="n"/>
      <c r="P3148" s="2" t="n"/>
    </row>
    <row r="3149">
      <c r="A3149" s="2" t="n">
        <v>3148</v>
      </c>
      <c r="B3149" s="2" t="inlineStr">
        <is>
          <t>короткая</t>
        </is>
      </c>
      <c r="C3149" s="2" t="n">
        <v>12480</v>
      </c>
      <c r="D3149" s="3" t="inlineStr">
        <is>
          <t>Окно</t>
        </is>
      </c>
      <c r="E3149" s="2" t="n">
        <v>1987</v>
      </c>
      <c r="F3149" s="2" t="inlineStr">
        <is>
          <t>мультфильм</t>
        </is>
      </c>
      <c r="G3149" s="2" t="inlineStr">
        <is>
          <t>КИЕВНАУЧФИЛЬМ</t>
        </is>
      </c>
      <c r="H3149" s="2" t="n">
        <v>0</v>
      </c>
      <c r="I3149" s="2" t="inlineStr"/>
      <c r="J3149" s="2" t="inlineStr">
        <is>
          <t>?</t>
        </is>
      </c>
      <c r="K3149" s="3" t="inlineStr"/>
      <c r="L3149" s="2" t="inlineStr">
        <is>
          <t>https://animator.ru/db/?p=show_film&amp;fid=3655</t>
        </is>
      </c>
      <c r="M3149" s="2">
        <f>HYPERLINK("https://ru.wikipedia.org/w/index.php?search=%D0%9E%D0%BA%D0%BD%D0%BE%201987%20%D1%84%D0%B8%D0%BB%D1%8C%D0%BC","искать")</f>
        <v/>
      </c>
      <c r="N3149" s="3" t="n"/>
      <c r="O3149" s="2" t="n"/>
      <c r="P3149" s="2" t="n"/>
    </row>
    <row r="3150">
      <c r="A3150" s="2" t="n">
        <v>3149</v>
      </c>
      <c r="B3150" s="2" t="inlineStr">
        <is>
          <t>короткая</t>
        </is>
      </c>
      <c r="C3150" s="2" t="n">
        <v>12486</v>
      </c>
      <c r="D3150" s="3" t="inlineStr">
        <is>
          <t>Остров сокровищ. Фильм 1. Карта капитана Флинта</t>
        </is>
      </c>
      <c r="E3150" s="2" t="n">
        <v>1986</v>
      </c>
      <c r="F3150" s="2" t="inlineStr">
        <is>
          <t>мультфильм</t>
        </is>
      </c>
      <c r="G3150" s="2" t="inlineStr">
        <is>
          <t>КИЕВНАУЧФИЛЬМ</t>
        </is>
      </c>
      <c r="H3150" s="2" t="n">
        <v>0</v>
      </c>
      <c r="I3150" s="2" t="inlineStr"/>
      <c r="J3150" s="2" t="inlineStr">
        <is>
          <t>?</t>
        </is>
      </c>
      <c r="K3150" s="3" t="inlineStr"/>
      <c r="L3150" s="2" t="inlineStr">
        <is>
          <t>https://animator.ru/db/?p=show_film&amp;fid=3661</t>
        </is>
      </c>
      <c r="M3150" s="2">
        <f>HYPERLINK("https://ru.wikipedia.org/w/index.php?search=%D0%9E%D1%81%D1%82%D1%80%D0%BE%D0%B2%20%D1%81%D0%BE%D0%BA%D1%80%D0%BE%D0%B2%D0%B8%D1%89.%20%D0%A4%D0%B8%D0%BB%D1%8C%D0%BC%201.%20%D0%9A%D0%B0%D1%80%D1%82%D0%B0%20%D0%BA%D0%B0%D0%BF%D0%B8%D1%82%D0%B0%D0%BD%D0%B0%20%D0%A4%D0%BB%D0%B8%D0%BD%D1%82%D0%B0%201986%20%D1%84%D0%B8%D0%BB%D1%8C%D0%BC","искать")</f>
        <v/>
      </c>
      <c r="N3150" s="3" t="n"/>
      <c r="O3150" s="2" t="n"/>
      <c r="P3150" s="2" t="n"/>
    </row>
    <row r="3151">
      <c r="A3151" s="2" t="n">
        <v>3150</v>
      </c>
      <c r="B3151" s="2" t="inlineStr">
        <is>
          <t>короткая</t>
        </is>
      </c>
      <c r="C3151" s="2" t="n">
        <v>12487</v>
      </c>
      <c r="D3151" s="3" t="inlineStr">
        <is>
          <t>Остров сокровищ. Сокровища капитана флинта</t>
        </is>
      </c>
      <c r="E3151" s="2" t="n">
        <v>1988</v>
      </c>
      <c r="F3151" s="2" t="inlineStr">
        <is>
          <t>мультфильм</t>
        </is>
      </c>
      <c r="G3151" s="2" t="inlineStr">
        <is>
          <t>КИЕВНАУЧФИЛЬМ</t>
        </is>
      </c>
      <c r="H3151" s="2" t="n">
        <v>0</v>
      </c>
      <c r="I3151" s="2" t="inlineStr"/>
      <c r="J3151" s="2" t="inlineStr">
        <is>
          <t>?</t>
        </is>
      </c>
      <c r="K3151" s="3" t="inlineStr"/>
      <c r="L3151" s="2" t="inlineStr">
        <is>
          <t>https://animator.ru/db/?p=show_film&amp;fid=3662</t>
        </is>
      </c>
      <c r="M3151" s="2">
        <f>HYPERLINK("https://ru.wikipedia.org/w/index.php?search=%D0%9E%D1%81%D1%82%D1%80%D0%BE%D0%B2%20%D1%81%D0%BE%D0%BA%D1%80%D0%BE%D0%B2%D0%B8%D1%89.%20%D0%A1%D0%BE%D0%BA%D1%80%D0%BE%D0%B2%D0%B8%D1%89%D0%B0%20%D0%BA%D0%B0%D0%BF%D0%B8%D1%82%D0%B0%D0%BD%D0%B0%20%D1%84%D0%BB%D0%B8%D0%BD%D1%82%D0%B0%201988%20%D1%84%D0%B8%D0%BB%D1%8C%D0%BC","искать")</f>
        <v/>
      </c>
      <c r="N3151" s="3" t="n"/>
      <c r="O3151" s="2" t="n"/>
      <c r="P3151" s="2" t="n"/>
    </row>
    <row r="3152">
      <c r="A3152" s="2" t="n">
        <v>3151</v>
      </c>
      <c r="B3152" s="2" t="inlineStr">
        <is>
          <t>короткая</t>
        </is>
      </c>
      <c r="C3152" s="2" t="n">
        <v>12490</v>
      </c>
      <c r="D3152" s="3" t="inlineStr">
        <is>
          <t>Отцовская наука</t>
        </is>
      </c>
      <c r="E3152" s="2" t="n">
        <v>1986</v>
      </c>
      <c r="F3152" s="2" t="inlineStr">
        <is>
          <t>мультфильм</t>
        </is>
      </c>
      <c r="G3152" s="2" t="inlineStr">
        <is>
          <t>КИЕВНАУЧФИЛЬМ</t>
        </is>
      </c>
      <c r="H3152" s="2" t="n">
        <v>0</v>
      </c>
      <c r="I3152" s="2" t="inlineStr"/>
      <c r="J3152" s="2" t="inlineStr">
        <is>
          <t>?</t>
        </is>
      </c>
      <c r="K3152" s="3" t="inlineStr"/>
      <c r="L3152" s="2" t="inlineStr">
        <is>
          <t>https://animator.ru/db/?p=show_film&amp;fid=3665</t>
        </is>
      </c>
      <c r="M3152" s="2">
        <f>HYPERLINK("https://ru.wikipedia.org/w/index.php?search=%D0%9E%D1%82%D1%86%D0%BE%D0%B2%D1%81%D0%BA%D0%B0%D1%8F%20%D0%BD%D0%B0%D1%83%D0%BA%D0%B0%201986%20%D1%84%D0%B8%D0%BB%D1%8C%D0%BC","искать")</f>
        <v/>
      </c>
      <c r="N3152" s="3" t="n"/>
      <c r="O3152" s="2" t="n"/>
      <c r="P3152" s="2" t="n"/>
    </row>
    <row r="3153">
      <c r="A3153" s="2" t="n">
        <v>3152</v>
      </c>
      <c r="B3153" s="2" t="inlineStr">
        <is>
          <t>короткая</t>
        </is>
      </c>
      <c r="C3153" s="2" t="n">
        <v>12500</v>
      </c>
      <c r="D3153" s="3" t="inlineStr">
        <is>
          <t>Парасолька становится дружинником</t>
        </is>
      </c>
      <c r="E3153" s="2" t="n">
        <v>1976</v>
      </c>
      <c r="F3153" s="2" t="inlineStr">
        <is>
          <t>мультфильм</t>
        </is>
      </c>
      <c r="G3153" s="2" t="inlineStr">
        <is>
          <t>КИЕВНАУЧФИЛЬМ</t>
        </is>
      </c>
      <c r="H3153" s="2" t="n">
        <v>0</v>
      </c>
      <c r="I3153" s="2" t="inlineStr"/>
      <c r="J3153" s="2" t="inlineStr">
        <is>
          <t>?</t>
        </is>
      </c>
      <c r="K3153" s="3" t="inlineStr"/>
      <c r="L3153" s="2" t="inlineStr">
        <is>
          <t>https://animator.ru/db/?p=show_film&amp;fid=3675</t>
        </is>
      </c>
      <c r="M3153" s="2">
        <f>HYPERLINK("https://ru.wikipedia.org/w/index.php?search=%D0%9F%D0%B0%D1%80%D0%B0%D1%81%D0%BE%D0%BB%D1%8C%D0%BA%D0%B0%20%D1%81%D1%82%D0%B0%D0%BD%D0%BE%D0%B2%D0%B8%D1%82%D1%81%D1%8F%20%D0%B4%D1%80%D1%83%D0%B6%D0%B8%D0%BD%D0%BD%D0%B8%D0%BA%D0%BE%D0%BC%201976%20%D1%84%D0%B8%D0%BB%D1%8C%D0%BC","искать")</f>
        <v/>
      </c>
      <c r="N3153" s="3" t="n"/>
      <c r="O3153" s="2" t="n"/>
      <c r="P3153" s="2" t="n"/>
    </row>
    <row r="3154">
      <c r="A3154" s="2" t="n">
        <v>3153</v>
      </c>
      <c r="B3154" s="2" t="inlineStr">
        <is>
          <t>короткая</t>
        </is>
      </c>
      <c r="C3154" s="2" t="n">
        <v>12501</v>
      </c>
      <c r="D3154" s="3" t="inlineStr">
        <is>
          <t>Партизанская Снегурочка</t>
        </is>
      </c>
      <c r="E3154" s="2" t="n">
        <v>1981</v>
      </c>
      <c r="F3154" s="2" t="inlineStr">
        <is>
          <t>мультфильм</t>
        </is>
      </c>
      <c r="G3154" s="2" t="inlineStr">
        <is>
          <t>КИЕВНАУЧФИЛЬМ</t>
        </is>
      </c>
      <c r="H3154" s="2" t="n">
        <v>0</v>
      </c>
      <c r="I3154" s="2" t="inlineStr"/>
      <c r="J3154" s="2" t="inlineStr">
        <is>
          <t>?</t>
        </is>
      </c>
      <c r="K3154" s="3" t="inlineStr"/>
      <c r="L3154" s="2" t="inlineStr">
        <is>
          <t>https://animator.ru/db/?p=show_film&amp;fid=3676</t>
        </is>
      </c>
      <c r="M3154" s="2">
        <f>HYPERLINK("https://ru.wikipedia.org/w/index.php?search=%D0%9F%D0%B0%D1%80%D1%82%D0%B8%D0%B7%D0%B0%D0%BD%D1%81%D0%BA%D0%B0%D1%8F%20%D0%A1%D0%BD%D0%B5%D0%B3%D1%83%D1%80%D0%BE%D1%87%D0%BA%D0%B0%201981%20%D1%84%D0%B8%D0%BB%D1%8C%D0%BC","искать")</f>
        <v/>
      </c>
      <c r="N3154" s="3" t="n"/>
      <c r="O3154" s="2" t="n"/>
      <c r="P3154" s="2" t="n"/>
    </row>
    <row r="3155">
      <c r="A3155" s="2" t="n">
        <v>3154</v>
      </c>
      <c r="B3155" s="2" t="inlineStr">
        <is>
          <t>короткая</t>
        </is>
      </c>
      <c r="C3155" s="2" t="n">
        <v>12502</v>
      </c>
      <c r="D3155" s="3" t="inlineStr">
        <is>
          <t>Первая зима</t>
        </is>
      </c>
      <c r="E3155" s="2" t="n">
        <v>1978</v>
      </c>
      <c r="F3155" s="2" t="inlineStr">
        <is>
          <t>мультфильм</t>
        </is>
      </c>
      <c r="G3155" s="2" t="inlineStr">
        <is>
          <t>КИЕВНАУЧФИЛЬМ</t>
        </is>
      </c>
      <c r="H3155" s="2" t="n">
        <v>0</v>
      </c>
      <c r="I3155" s="2" t="inlineStr"/>
      <c r="J3155" s="2" t="inlineStr">
        <is>
          <t>?</t>
        </is>
      </c>
      <c r="K3155" s="3" t="inlineStr"/>
      <c r="L3155" s="2" t="inlineStr">
        <is>
          <t>https://animator.ru/db/?p=show_film&amp;fid=3677</t>
        </is>
      </c>
      <c r="M3155" s="2">
        <f>HYPERLINK("https://ru.wikipedia.org/w/index.php?search=%D0%9F%D0%B5%D1%80%D0%B2%D0%B0%D1%8F%20%D0%B7%D0%B8%D0%BC%D0%B0%201978%20%D1%84%D0%B8%D0%BB%D1%8C%D0%BC","искать")</f>
        <v/>
      </c>
      <c r="N3155" s="3" t="n"/>
      <c r="O3155" s="2" t="n"/>
      <c r="P3155" s="2" t="n"/>
    </row>
    <row r="3156">
      <c r="A3156" s="2" t="n">
        <v>3155</v>
      </c>
      <c r="B3156" s="2" t="inlineStr">
        <is>
          <t>короткая</t>
        </is>
      </c>
      <c r="C3156" s="2" t="n">
        <v>12504</v>
      </c>
      <c r="D3156" s="3" t="inlineStr">
        <is>
          <t>Песочные часы</t>
        </is>
      </c>
      <c r="E3156" s="2" t="n">
        <v>1987</v>
      </c>
      <c r="F3156" s="2" t="inlineStr">
        <is>
          <t>мультфильм</t>
        </is>
      </c>
      <c r="G3156" s="2" t="inlineStr">
        <is>
          <t>КИЕВНАУЧФИЛЬМ</t>
        </is>
      </c>
      <c r="H3156" s="2" t="n">
        <v>0</v>
      </c>
      <c r="I3156" s="2" t="inlineStr"/>
      <c r="J3156" s="2" t="inlineStr">
        <is>
          <t>?</t>
        </is>
      </c>
      <c r="K3156" s="3" t="inlineStr"/>
      <c r="L3156" s="2" t="inlineStr">
        <is>
          <t>https://animator.ru/db/?p=show_film&amp;fid=3679</t>
        </is>
      </c>
      <c r="M3156" s="2">
        <f>HYPERLINK("https://ru.wikipedia.org/w/index.php?search=%D0%9F%D0%B5%D1%81%D0%BE%D1%87%D0%BD%D1%8B%D0%B5%20%D1%87%D0%B0%D1%81%D1%8B%201987%20%D1%84%D0%B8%D0%BB%D1%8C%D0%BC","искать")</f>
        <v/>
      </c>
      <c r="N3156" s="3" t="n"/>
      <c r="O3156" s="2" t="n"/>
      <c r="P3156" s="2" t="n"/>
    </row>
    <row r="3157">
      <c r="A3157" s="2" t="n">
        <v>3156</v>
      </c>
      <c r="B3157" s="2" t="inlineStr">
        <is>
          <t>короткая</t>
        </is>
      </c>
      <c r="C3157" s="2" t="n">
        <v>12506</v>
      </c>
      <c r="D3157" s="3" t="inlineStr">
        <is>
          <t>Пирог со смеяникой</t>
        </is>
      </c>
      <c r="E3157" s="2" t="n">
        <v>1980</v>
      </c>
      <c r="F3157" s="2" t="inlineStr">
        <is>
          <t>мультфильм</t>
        </is>
      </c>
      <c r="G3157" s="2" t="inlineStr">
        <is>
          <t>КИЕВНАУЧФИЛЬМ</t>
        </is>
      </c>
      <c r="H3157" s="2" t="n">
        <v>0</v>
      </c>
      <c r="I3157" s="2" t="inlineStr"/>
      <c r="J3157" s="2" t="inlineStr">
        <is>
          <t>?</t>
        </is>
      </c>
      <c r="K3157" s="3" t="inlineStr"/>
      <c r="L3157" s="2" t="inlineStr">
        <is>
          <t>https://animator.ru/db/?p=show_film&amp;fid=3681</t>
        </is>
      </c>
      <c r="M3157" s="2">
        <f>HYPERLINK("https://ru.wikipedia.org/w/index.php?search=%D0%9F%D0%B8%D1%80%D0%BE%D0%B3%20%D1%81%D0%BE%20%D1%81%D0%BC%D0%B5%D1%8F%D0%BD%D0%B8%D0%BA%D0%BE%D0%B9%201980%20%D1%84%D0%B8%D0%BB%D1%8C%D0%BC","искать")</f>
        <v/>
      </c>
      <c r="N3157" s="3" t="n"/>
      <c r="O3157" s="2" t="n"/>
      <c r="P3157" s="2" t="n"/>
    </row>
    <row r="3158">
      <c r="A3158" s="2" t="n">
        <v>3157</v>
      </c>
      <c r="B3158" s="2" t="inlineStr">
        <is>
          <t>короткая</t>
        </is>
      </c>
      <c r="C3158" s="2" t="n">
        <v>12513</v>
      </c>
      <c r="D3158" s="3" t="inlineStr">
        <is>
          <t>Почемучка</t>
        </is>
      </c>
      <c r="E3158" s="2" t="n">
        <v>1977</v>
      </c>
      <c r="F3158" s="2" t="inlineStr">
        <is>
          <t>мультфильм</t>
        </is>
      </c>
      <c r="G3158" s="2" t="inlineStr">
        <is>
          <t>КИЕВНАУЧФИЛЬМ</t>
        </is>
      </c>
      <c r="H3158" s="2" t="n">
        <v>0</v>
      </c>
      <c r="I3158" s="2" t="inlineStr"/>
      <c r="J3158" s="2" t="inlineStr">
        <is>
          <t>?</t>
        </is>
      </c>
      <c r="K3158" s="3" t="inlineStr"/>
      <c r="L3158" s="2" t="inlineStr">
        <is>
          <t>https://animator.ru/db/?p=show_film&amp;fid=3688</t>
        </is>
      </c>
      <c r="M3158" s="2">
        <f>HYPERLINK("https://ru.wikipedia.org/w/index.php?search=%D0%9F%D0%BE%D1%87%D0%B5%D0%BC%D1%83%D1%87%D0%BA%D0%B0%201977%20%D1%84%D0%B8%D0%BB%D1%8C%D0%BC","искать")</f>
        <v/>
      </c>
      <c r="N3158" s="3" t="n"/>
      <c r="O3158" s="2" t="n"/>
      <c r="P3158" s="2" t="n"/>
    </row>
    <row r="3159">
      <c r="A3159" s="2" t="n">
        <v>3158</v>
      </c>
      <c r="B3159" s="2" t="inlineStr">
        <is>
          <t>короткая</t>
        </is>
      </c>
      <c r="C3159" s="2" t="n">
        <v>12514</v>
      </c>
      <c r="D3159" s="3" t="inlineStr">
        <is>
          <t>Приключения на даче</t>
        </is>
      </c>
      <c r="E3159" s="2" t="n">
        <v>1980</v>
      </c>
      <c r="F3159" s="2" t="inlineStr">
        <is>
          <t>мультфильм</t>
        </is>
      </c>
      <c r="G3159" s="2" t="inlineStr">
        <is>
          <t>КИЕВНАУЧФИЛЬМ</t>
        </is>
      </c>
      <c r="H3159" s="2" t="n">
        <v>0</v>
      </c>
      <c r="I3159" s="2" t="inlineStr"/>
      <c r="J3159" s="2" t="inlineStr">
        <is>
          <t>?</t>
        </is>
      </c>
      <c r="K3159" s="3" t="inlineStr"/>
      <c r="L3159" s="2" t="inlineStr">
        <is>
          <t>https://animator.ru/db/?p=show_film&amp;fid=3689</t>
        </is>
      </c>
      <c r="M3159" s="2">
        <f>HYPERLINK("https://ru.wikipedia.org/w/index.php?search=%D0%9F%D1%80%D0%B8%D0%BA%D0%BB%D1%8E%D1%87%D0%B5%D0%BD%D0%B8%D1%8F%20%D0%BD%D0%B0%20%D0%B4%D0%B0%D1%87%D0%B5%201980%20%D1%84%D0%B8%D0%BB%D1%8C%D0%BC","искать")</f>
        <v/>
      </c>
      <c r="N3159" s="3" t="n"/>
      <c r="O3159" s="2" t="n"/>
      <c r="P3159" s="2" t="n"/>
    </row>
    <row r="3160">
      <c r="A3160" s="2" t="n">
        <v>3159</v>
      </c>
      <c r="B3160" s="2" t="inlineStr">
        <is>
          <t>короткая</t>
        </is>
      </c>
      <c r="C3160" s="2" t="n">
        <v>12516</v>
      </c>
      <c r="D3160" s="3" t="inlineStr">
        <is>
          <t>Приключения Жирафки</t>
        </is>
      </c>
      <c r="E3160" s="2" t="n">
        <v>1973</v>
      </c>
      <c r="F3160" s="2" t="inlineStr">
        <is>
          <t>мультфильм</t>
        </is>
      </c>
      <c r="G3160" s="2" t="inlineStr">
        <is>
          <t>КИЕВНАУЧФИЛЬМ</t>
        </is>
      </c>
      <c r="H3160" s="2" t="n">
        <v>0</v>
      </c>
      <c r="I3160" s="2" t="inlineStr"/>
      <c r="J3160" s="2" t="inlineStr">
        <is>
          <t>?</t>
        </is>
      </c>
      <c r="K3160" s="3" t="inlineStr"/>
      <c r="L3160" s="2" t="inlineStr">
        <is>
          <t>https://animator.ru/db/?p=show_film&amp;fid=3691</t>
        </is>
      </c>
      <c r="M3160" s="2">
        <f>HYPERLINK("https://ru.wikipedia.org/w/index.php?search=%D0%9F%D1%80%D0%B8%D0%BA%D0%BB%D1%8E%D1%87%D0%B5%D0%BD%D0%B8%D1%8F%20%D0%96%D0%B8%D1%80%D0%B0%D1%84%D0%BA%D0%B8%201973%20%D1%84%D0%B8%D0%BB%D1%8C%D0%BC","искать")</f>
        <v/>
      </c>
      <c r="N3160" s="3" t="n"/>
      <c r="O3160" s="2" t="n"/>
      <c r="P3160" s="2" t="n"/>
    </row>
    <row r="3161">
      <c r="A3161" s="2" t="n">
        <v>3160</v>
      </c>
      <c r="B3161" s="2" t="inlineStr">
        <is>
          <t>короткая</t>
        </is>
      </c>
      <c r="C3161" s="2" t="n">
        <v>12518</v>
      </c>
      <c r="D3161" s="3" t="inlineStr">
        <is>
          <t>ПРИКЛЮЧЕНИЯ КАПИТАНА ВРУНГЕЛЯ (Серии 4-6)</t>
        </is>
      </c>
      <c r="E3161" s="2" t="n">
        <v>1977</v>
      </c>
      <c r="F3161" s="2" t="inlineStr">
        <is>
          <t>мультфильм</t>
        </is>
      </c>
      <c r="G3161" s="2" t="inlineStr">
        <is>
          <t>КИЕВНАУЧФИЛЬМ</t>
        </is>
      </c>
      <c r="H3161" s="2" t="n">
        <v>0</v>
      </c>
      <c r="I3161" s="2" t="inlineStr"/>
      <c r="J3161" s="2" t="inlineStr">
        <is>
          <t>?</t>
        </is>
      </c>
      <c r="K3161" s="3" t="inlineStr"/>
      <c r="L3161" s="2" t="inlineStr">
        <is>
          <t>https://animator.ru/db/?p=show_film&amp;fid=3693</t>
        </is>
      </c>
      <c r="M3161" s="2">
        <f>HYPERLINK("https://ru.wikipedia.org/w/index.php?search=%D0%9F%D0%A0%D0%98%D0%9A%D0%9B%D0%AE%D0%A7%D0%95%D0%9D%D0%98%D0%AF%20%D0%9A%D0%90%D0%9F%D0%98%D0%A2%D0%90%D0%9D%D0%90%20%D0%92%D0%A0%D0%A3%D0%9D%D0%93%D0%95%D0%9B%D0%AF%20%28%D0%A1%D0%B5%D1%80%D0%B8%D0%B8%204-6%29%201977%20%D1%84%D0%B8%D0%BB%D1%8C%D0%BC","искать")</f>
        <v/>
      </c>
      <c r="N3161" s="3" t="n"/>
      <c r="O3161" s="2" t="n"/>
      <c r="P3161" s="2" t="n"/>
    </row>
    <row r="3162">
      <c r="A3162" s="2" t="n">
        <v>3161</v>
      </c>
      <c r="B3162" s="2" t="inlineStr">
        <is>
          <t>короткая</t>
        </is>
      </c>
      <c r="C3162" s="2" t="n">
        <v>12519</v>
      </c>
      <c r="D3162" s="3" t="inlineStr">
        <is>
          <t>ПРИКЛЮЧЕНИЯ КАПИТАНА ВРУНГЕЛЯ (Серии 7-9)</t>
        </is>
      </c>
      <c r="E3162" s="2" t="n">
        <v>1978</v>
      </c>
      <c r="F3162" s="2" t="inlineStr">
        <is>
          <t>мультфильм</t>
        </is>
      </c>
      <c r="G3162" s="2" t="inlineStr">
        <is>
          <t>КИЕВНАУЧФИЛЬМ</t>
        </is>
      </c>
      <c r="H3162" s="2" t="n">
        <v>0</v>
      </c>
      <c r="I3162" s="2" t="inlineStr"/>
      <c r="J3162" s="2" t="inlineStr">
        <is>
          <t>?</t>
        </is>
      </c>
      <c r="K3162" s="3" t="inlineStr"/>
      <c r="L3162" s="2" t="inlineStr">
        <is>
          <t>https://animator.ru/db/?p=show_film&amp;fid=3694</t>
        </is>
      </c>
      <c r="M3162" s="2">
        <f>HYPERLINK("https://ru.wikipedia.org/w/index.php?search=%D0%9F%D0%A0%D0%98%D0%9A%D0%9B%D0%AE%D0%A7%D0%95%D0%9D%D0%98%D0%AF%20%D0%9A%D0%90%D0%9F%D0%98%D0%A2%D0%90%D0%9D%D0%90%20%D0%92%D0%A0%D0%A3%D0%9D%D0%93%D0%95%D0%9B%D0%AF%20%28%D0%A1%D0%B5%D1%80%D0%B8%D0%B8%207-9%29%201978%20%D1%84%D0%B8%D0%BB%D1%8C%D0%BC","искать")</f>
        <v/>
      </c>
      <c r="N3162" s="3" t="n"/>
      <c r="O3162" s="2" t="n"/>
      <c r="P3162" s="2" t="n"/>
    </row>
    <row r="3163">
      <c r="A3163" s="2" t="n">
        <v>3162</v>
      </c>
      <c r="B3163" s="2" t="inlineStr">
        <is>
          <t>короткая</t>
        </is>
      </c>
      <c r="C3163" s="2" t="n">
        <v>12520</v>
      </c>
      <c r="D3163" s="3" t="inlineStr">
        <is>
          <t>ПРИКЛЮЧЕНИЯ КАПИТАНА ВРУНГЕЛЯ (Серии 10-13)</t>
        </is>
      </c>
      <c r="E3163" s="2" t="n">
        <v>1979</v>
      </c>
      <c r="F3163" s="2" t="inlineStr">
        <is>
          <t>мультфильм</t>
        </is>
      </c>
      <c r="G3163" s="2" t="inlineStr">
        <is>
          <t>КИЕВНАУЧФИЛЬМ</t>
        </is>
      </c>
      <c r="H3163" s="2" t="n">
        <v>0</v>
      </c>
      <c r="I3163" s="2" t="inlineStr"/>
      <c r="J3163" s="2" t="inlineStr">
        <is>
          <t>?</t>
        </is>
      </c>
      <c r="K3163" s="3" t="inlineStr"/>
      <c r="L3163" s="2" t="inlineStr">
        <is>
          <t>https://animator.ru/db/?p=show_film&amp;fid=3695</t>
        </is>
      </c>
      <c r="M3163" s="2">
        <f>HYPERLINK("https://ru.wikipedia.org/w/index.php?search=%D0%9F%D0%A0%D0%98%D0%9A%D0%9B%D0%AE%D0%A7%D0%95%D0%9D%D0%98%D0%AF%20%D0%9A%D0%90%D0%9F%D0%98%D0%A2%D0%90%D0%9D%D0%90%20%D0%92%D0%A0%D0%A3%D0%9D%D0%93%D0%95%D0%9B%D0%AF%20%28%D0%A1%D0%B5%D1%80%D0%B8%D0%B8%2010-13%29%201979%20%D1%84%D0%B8%D0%BB%D1%8C%D0%BC","искать")</f>
        <v/>
      </c>
      <c r="N3163" s="3" t="n"/>
      <c r="O3163" s="2" t="n"/>
      <c r="P3163" s="2" t="n"/>
    </row>
    <row r="3164">
      <c r="A3164" s="2" t="n">
        <v>3163</v>
      </c>
      <c r="B3164" s="2" t="inlineStr">
        <is>
          <t>короткая</t>
        </is>
      </c>
      <c r="C3164" s="2" t="n">
        <v>12525</v>
      </c>
      <c r="D3164" s="3" t="inlineStr">
        <is>
          <t>Про больших и маленьких</t>
        </is>
      </c>
      <c r="E3164" s="2" t="n">
        <v>1981</v>
      </c>
      <c r="F3164" s="2" t="inlineStr">
        <is>
          <t>мультфильм</t>
        </is>
      </c>
      <c r="G3164" s="2" t="inlineStr">
        <is>
          <t>КИЕВНАУЧФИЛЬМ</t>
        </is>
      </c>
      <c r="H3164" s="2" t="n">
        <v>0</v>
      </c>
      <c r="I3164" s="2" t="inlineStr"/>
      <c r="J3164" s="2" t="inlineStr">
        <is>
          <t>?</t>
        </is>
      </c>
      <c r="K3164" s="3" t="inlineStr"/>
      <c r="L3164" s="2" t="inlineStr">
        <is>
          <t>https://animator.ru/db/?p=show_film&amp;fid=3701</t>
        </is>
      </c>
      <c r="M3164" s="2">
        <f>HYPERLINK("https://ru.wikipedia.org/w/index.php?search=%D0%9F%D1%80%D0%BE%20%D0%B1%D0%BE%D0%BB%D1%8C%D1%88%D0%B8%D1%85%20%D0%B8%20%D0%BC%D0%B0%D0%BB%D0%B5%D0%BD%D1%8C%D0%BA%D0%B8%D1%85%201981%20%D1%84%D0%B8%D0%BB%D1%8C%D0%BC","искать")</f>
        <v/>
      </c>
      <c r="N3164" s="3" t="n"/>
      <c r="O3164" s="2" t="n"/>
      <c r="P3164" s="2" t="n"/>
    </row>
    <row r="3165">
      <c r="A3165" s="2" t="n">
        <v>3164</v>
      </c>
      <c r="B3165" s="2" t="inlineStr">
        <is>
          <t>короткая</t>
        </is>
      </c>
      <c r="C3165" s="2" t="n">
        <v>12527</v>
      </c>
      <c r="D3165" s="3" t="inlineStr">
        <is>
          <t>Про Мышонка, который хотел стать сильным</t>
        </is>
      </c>
      <c r="E3165" s="2" t="n">
        <v>1983</v>
      </c>
      <c r="F3165" s="2" t="inlineStr">
        <is>
          <t>мультфильм</t>
        </is>
      </c>
      <c r="G3165" s="2" t="inlineStr">
        <is>
          <t>КИЕВНАУЧФИЛЬМ</t>
        </is>
      </c>
      <c r="H3165" s="2" t="n">
        <v>0</v>
      </c>
      <c r="I3165" s="2" t="inlineStr"/>
      <c r="J3165" s="2" t="inlineStr">
        <is>
          <t>?</t>
        </is>
      </c>
      <c r="K3165" s="3" t="inlineStr"/>
      <c r="L3165" s="2" t="inlineStr">
        <is>
          <t>https://animator.ru/db/?p=show_film&amp;fid=3703</t>
        </is>
      </c>
      <c r="M3165" s="2">
        <f>HYPERLINK("https://ru.wikipedia.org/w/index.php?search=%D0%9F%D1%80%D0%BE%20%D0%9C%D1%8B%D1%88%D0%BE%D0%BD%D0%BA%D0%B0%2C%20%D0%BA%D0%BE%D1%82%D0%BE%D1%80%D1%8B%D0%B9%20%D1%85%D0%BE%D1%82%D0%B5%D0%BB%20%D1%81%D1%82%D0%B0%D1%82%D1%8C%20%D1%81%D0%B8%D0%BB%D1%8C%D0%BD%D1%8B%D0%BC%201983%20%D1%84%D0%B8%D0%BB%D1%8C%D0%BC","искать")</f>
        <v/>
      </c>
      <c r="N3165" s="3" t="n"/>
      <c r="O3165" s="2" t="n"/>
      <c r="P3165" s="2" t="n"/>
    </row>
    <row r="3166">
      <c r="A3166" s="2" t="n">
        <v>3165</v>
      </c>
      <c r="B3166" s="2" t="inlineStr">
        <is>
          <t>короткая</t>
        </is>
      </c>
      <c r="C3166" s="2" t="n">
        <v>12530</v>
      </c>
      <c r="D3166" s="3" t="inlineStr">
        <is>
          <t>ПРОГНОЗ ПОГОДЫ ("Фитиль" N 149)</t>
        </is>
      </c>
      <c r="E3166" s="2" t="n">
        <v>1974</v>
      </c>
      <c r="F3166" s="2" t="inlineStr">
        <is>
          <t>мультфильм</t>
        </is>
      </c>
      <c r="G3166" s="2" t="inlineStr">
        <is>
          <t>КИЕВНАУЧФИЛЬМ</t>
        </is>
      </c>
      <c r="H3166" s="2" t="n">
        <v>0</v>
      </c>
      <c r="I3166" s="2" t="inlineStr"/>
      <c r="J3166" s="2" t="inlineStr">
        <is>
          <t>?</t>
        </is>
      </c>
      <c r="K3166" s="3" t="inlineStr"/>
      <c r="L3166" s="2" t="inlineStr">
        <is>
          <t>https://animator.ru/db/?p=show_film&amp;fid=3706</t>
        </is>
      </c>
      <c r="M3166" s="2">
        <f>HYPERLINK("https://ru.wikipedia.org/w/index.php?search=%D0%9F%D0%A0%D0%9E%D0%93%D0%9D%D0%9E%D0%97%20%D0%9F%D0%9E%D0%93%D0%9E%D0%94%D0%AB%20%28%22%D0%A4%D0%B8%D1%82%D0%B8%D0%BB%D1%8C%22%20N%20149%29%201974%20%D1%84%D0%B8%D0%BB%D1%8C%D0%BC","искать")</f>
        <v/>
      </c>
      <c r="N3166" s="3" t="n"/>
      <c r="O3166" s="2" t="n"/>
      <c r="P3166" s="2" t="n"/>
    </row>
    <row r="3167">
      <c r="A3167" s="2" t="n">
        <v>3166</v>
      </c>
      <c r="B3167" s="2" t="inlineStr">
        <is>
          <t>короткая</t>
        </is>
      </c>
      <c r="C3167" s="2" t="n">
        <v>12533</v>
      </c>
      <c r="D3167" s="3" t="inlineStr">
        <is>
          <t>Пьяные волки</t>
        </is>
      </c>
      <c r="E3167" s="2" t="n">
        <v>1962</v>
      </c>
      <c r="F3167" s="2" t="inlineStr">
        <is>
          <t>мультфильм</t>
        </is>
      </c>
      <c r="G3167" s="2" t="inlineStr">
        <is>
          <t>КИЕВНАУЧФИЛЬМ</t>
        </is>
      </c>
      <c r="H3167" s="2" t="n">
        <v>0</v>
      </c>
      <c r="I3167" s="2" t="inlineStr"/>
      <c r="J3167" s="2" t="inlineStr">
        <is>
          <t>?</t>
        </is>
      </c>
      <c r="K3167" s="3" t="inlineStr"/>
      <c r="L3167" s="2" t="inlineStr">
        <is>
          <t>https://animator.ru/db/?p=show_film&amp;fid=3710</t>
        </is>
      </c>
      <c r="M3167" s="2">
        <f>HYPERLINK("https://ru.wikipedia.org/w/index.php?search=%D0%9F%D1%8C%D1%8F%D0%BD%D1%8B%D0%B5%20%D0%B2%D0%BE%D0%BB%D0%BA%D0%B8%201962%20%D1%84%D0%B8%D0%BB%D1%8C%D0%BC","искать")</f>
        <v/>
      </c>
      <c r="N3167" s="3" t="n"/>
      <c r="O3167" s="2" t="n"/>
      <c r="P3167" s="2" t="n"/>
    </row>
    <row r="3168">
      <c r="A3168" s="2" t="n">
        <v>3167</v>
      </c>
      <c r="B3168" s="2" t="inlineStr">
        <is>
          <t>короткая</t>
        </is>
      </c>
      <c r="C3168" s="2" t="n">
        <v>12536</v>
      </c>
      <c r="D3168" s="3" t="inlineStr">
        <is>
          <t>Салют</t>
        </is>
      </c>
      <c r="E3168" s="2" t="n">
        <v>1975</v>
      </c>
      <c r="F3168" s="2" t="inlineStr">
        <is>
          <t>мультфильм</t>
        </is>
      </c>
      <c r="G3168" s="2" t="inlineStr">
        <is>
          <t>КИЕВНАУЧФИЛЬМ</t>
        </is>
      </c>
      <c r="H3168" s="2" t="n">
        <v>0</v>
      </c>
      <c r="I3168" s="2" t="inlineStr"/>
      <c r="J3168" s="2" t="inlineStr">
        <is>
          <t>?</t>
        </is>
      </c>
      <c r="K3168" s="3" t="inlineStr"/>
      <c r="L3168" s="2" t="inlineStr">
        <is>
          <t>https://animator.ru/db/?p=show_film&amp;fid=3714</t>
        </is>
      </c>
      <c r="M3168" s="2">
        <f>HYPERLINK("https://ru.wikipedia.org/w/index.php?search=%D0%A1%D0%B0%D0%BB%D1%8E%D1%82%201975%20%D1%84%D0%B8%D0%BB%D1%8C%D0%BC","искать")</f>
        <v/>
      </c>
      <c r="N3168" s="3" t="n"/>
      <c r="O3168" s="2" t="n"/>
      <c r="P3168" s="2" t="n"/>
    </row>
    <row r="3169">
      <c r="A3169" s="2" t="n">
        <v>3168</v>
      </c>
      <c r="B3169" s="2" t="inlineStr">
        <is>
          <t>короткая</t>
        </is>
      </c>
      <c r="C3169" s="2" t="n">
        <v>12542</v>
      </c>
      <c r="D3169" s="3" t="inlineStr">
        <is>
          <t>СВОЯ КОПЕЙКА ("Фитиль" N 142)</t>
        </is>
      </c>
      <c r="E3169" s="2" t="n">
        <v>1974</v>
      </c>
      <c r="F3169" s="2" t="inlineStr">
        <is>
          <t>мультфильм</t>
        </is>
      </c>
      <c r="G3169" s="2" t="inlineStr">
        <is>
          <t>КИЕВНАУЧФИЛЬМ</t>
        </is>
      </c>
      <c r="H3169" s="2" t="n">
        <v>0</v>
      </c>
      <c r="I3169" s="2" t="inlineStr"/>
      <c r="J3169" s="2" t="inlineStr">
        <is>
          <t>?</t>
        </is>
      </c>
      <c r="K3169" s="3" t="inlineStr"/>
      <c r="L3169" s="2" t="inlineStr">
        <is>
          <t>https://animator.ru/db/?p=show_film&amp;fid=3720</t>
        </is>
      </c>
      <c r="M3169" s="2">
        <f>HYPERLINK("https://ru.wikipedia.org/w/index.php?search=%D0%A1%D0%92%D0%9E%D0%AF%20%D0%9A%D0%9E%D0%9F%D0%95%D0%99%D0%9A%D0%90%20%28%22%D0%A4%D0%B8%D1%82%D0%B8%D0%BB%D1%8C%22%20N%20142%29%201974%20%D1%84%D0%B8%D0%BB%D1%8C%D0%BC","искать")</f>
        <v/>
      </c>
      <c r="N3169" s="3" t="n"/>
      <c r="O3169" s="2" t="n"/>
      <c r="P3169" s="2" t="n"/>
    </row>
    <row r="3170">
      <c r="A3170" s="2" t="n">
        <v>3169</v>
      </c>
      <c r="B3170" s="2" t="inlineStr">
        <is>
          <t>короткая</t>
        </is>
      </c>
      <c r="C3170" s="2" t="n">
        <v>12544</v>
      </c>
      <c r="D3170" s="3" t="inlineStr">
        <is>
          <t>Секрет приворотного зелья</t>
        </is>
      </c>
      <c r="E3170" s="2" t="n">
        <v>1980</v>
      </c>
      <c r="F3170" s="2" t="inlineStr">
        <is>
          <t>мультфильм</t>
        </is>
      </c>
      <c r="G3170" s="2" t="inlineStr">
        <is>
          <t>КИЕВНАУЧФИЛЬМ</t>
        </is>
      </c>
      <c r="H3170" s="2" t="n">
        <v>0</v>
      </c>
      <c r="I3170" s="2" t="inlineStr"/>
      <c r="J3170" s="2" t="inlineStr">
        <is>
          <t>?</t>
        </is>
      </c>
      <c r="K3170" s="3" t="inlineStr"/>
      <c r="L3170" s="2" t="inlineStr">
        <is>
          <t>https://animator.ru/db/?p=show_film&amp;fid=3722</t>
        </is>
      </c>
      <c r="M3170" s="2">
        <f>HYPERLINK("https://ru.wikipedia.org/w/index.php?search=%D0%A1%D0%B5%D0%BA%D1%80%D0%B5%D1%82%20%D0%BF%D1%80%D0%B8%D0%B2%D0%BE%D1%80%D0%BE%D1%82%D0%BD%D0%BE%D0%B3%D0%BE%20%D0%B7%D0%B5%D0%BB%D1%8C%D1%8F%201980%20%D1%84%D0%B8%D0%BB%D1%8C%D0%BC","искать")</f>
        <v/>
      </c>
      <c r="N3170" s="3" t="n"/>
      <c r="O3170" s="2" t="n"/>
      <c r="P3170" s="2" t="n"/>
    </row>
    <row r="3171">
      <c r="A3171" s="2" t="n">
        <v>3170</v>
      </c>
      <c r="B3171" s="2" t="inlineStr">
        <is>
          <t>короткая</t>
        </is>
      </c>
      <c r="C3171" s="2" t="n">
        <v>12547</v>
      </c>
      <c r="D3171" s="3" t="inlineStr">
        <is>
          <t>Сказка о белой льдинке</t>
        </is>
      </c>
      <c r="E3171" s="2" t="n">
        <v>1974</v>
      </c>
      <c r="F3171" s="2" t="inlineStr">
        <is>
          <t>мультфильм</t>
        </is>
      </c>
      <c r="G3171" s="2" t="inlineStr">
        <is>
          <t>КИЕВНАУЧФИЛЬМ</t>
        </is>
      </c>
      <c r="H3171" s="2" t="n">
        <v>0</v>
      </c>
      <c r="I3171" s="2" t="inlineStr"/>
      <c r="J3171" s="2" t="inlineStr">
        <is>
          <t>?</t>
        </is>
      </c>
      <c r="K3171" s="3" t="inlineStr"/>
      <c r="L3171" s="2" t="inlineStr">
        <is>
          <t>https://animator.ru/db/?p=show_film&amp;fid=3726</t>
        </is>
      </c>
      <c r="M3171" s="2">
        <f>HYPERLINK("https://ru.wikipedia.org/w/index.php?search=%D0%A1%D0%BA%D0%B0%D0%B7%D0%BA%D0%B0%20%D0%BE%20%D0%B1%D0%B5%D0%BB%D0%BE%D0%B9%20%D0%BB%D1%8C%D0%B4%D0%B8%D0%BD%D0%BA%D0%B5%201974%20%D1%84%D0%B8%D0%BB%D1%8C%D0%BC","искать")</f>
        <v/>
      </c>
      <c r="N3171" s="3" t="n"/>
      <c r="O3171" s="2" t="n"/>
      <c r="P3171" s="2" t="n"/>
    </row>
    <row r="3172">
      <c r="A3172" s="2" t="n">
        <v>3171</v>
      </c>
      <c r="B3172" s="2" t="inlineStr">
        <is>
          <t>короткая</t>
        </is>
      </c>
      <c r="C3172" s="2" t="n">
        <v>12551</v>
      </c>
      <c r="D3172" s="3" t="inlineStr">
        <is>
          <t>Сказка о чудесном докторе</t>
        </is>
      </c>
      <c r="E3172" s="2" t="n">
        <v>1979</v>
      </c>
      <c r="F3172" s="2" t="inlineStr">
        <is>
          <t>мультфильм</t>
        </is>
      </c>
      <c r="G3172" s="2" t="inlineStr">
        <is>
          <t>КИЕВНАУЧФИЛЬМ</t>
        </is>
      </c>
      <c r="H3172" s="2" t="n">
        <v>0</v>
      </c>
      <c r="I3172" s="2" t="inlineStr"/>
      <c r="J3172" s="2" t="inlineStr">
        <is>
          <t>?</t>
        </is>
      </c>
      <c r="K3172" s="3" t="inlineStr"/>
      <c r="L3172" s="2" t="inlineStr">
        <is>
          <t>https://animator.ru/db/?p=show_film&amp;fid=3730</t>
        </is>
      </c>
      <c r="M3172" s="2">
        <f>HYPERLINK("https://ru.wikipedia.org/w/index.php?search=%D0%A1%D0%BA%D0%B0%D0%B7%D0%BA%D0%B0%20%D0%BE%20%D1%87%D1%83%D0%B4%D0%B5%D1%81%D0%BD%D0%BE%D0%BC%20%D0%B4%D0%BE%D0%BA%D1%82%D0%BE%D1%80%D0%B5%201979%20%D1%84%D0%B8%D0%BB%D1%8C%D0%BC","искать")</f>
        <v/>
      </c>
      <c r="N3172" s="3" t="n"/>
      <c r="O3172" s="2" t="n"/>
      <c r="P3172" s="2" t="n"/>
    </row>
    <row r="3173">
      <c r="A3173" s="2" t="n">
        <v>3172</v>
      </c>
      <c r="B3173" s="2" t="inlineStr">
        <is>
          <t>короткая</t>
        </is>
      </c>
      <c r="C3173" s="2" t="n">
        <v>12555</v>
      </c>
      <c r="D3173" s="3" t="inlineStr">
        <is>
          <t>Сказка про чугайстра</t>
        </is>
      </c>
      <c r="E3173" s="2" t="n">
        <v>1978</v>
      </c>
      <c r="F3173" s="2" t="inlineStr">
        <is>
          <t>мультфильм</t>
        </is>
      </c>
      <c r="G3173" s="2" t="inlineStr">
        <is>
          <t>КИЕВНАУЧФИЛЬМ</t>
        </is>
      </c>
      <c r="H3173" s="2" t="n">
        <v>0</v>
      </c>
      <c r="I3173" s="2" t="inlineStr"/>
      <c r="J3173" s="2" t="inlineStr">
        <is>
          <t>?</t>
        </is>
      </c>
      <c r="K3173" s="3" t="inlineStr"/>
      <c r="L3173" s="2" t="inlineStr">
        <is>
          <t>https://animator.ru/db/?p=show_film&amp;fid=3734</t>
        </is>
      </c>
      <c r="M3173" s="2">
        <f>HYPERLINK("https://ru.wikipedia.org/w/index.php?search=%D0%A1%D0%BA%D0%B0%D0%B7%D0%BA%D0%B0%20%D0%BF%D1%80%D0%BE%20%D1%87%D1%83%D0%B3%D0%B0%D0%B9%D1%81%D1%82%D1%80%D0%B0%201978%20%D1%84%D0%B8%D0%BB%D1%8C%D0%BC","искать")</f>
        <v/>
      </c>
      <c r="N3173" s="3" t="n"/>
      <c r="O3173" s="2" t="n"/>
      <c r="P3173" s="2" t="n"/>
    </row>
    <row r="3174">
      <c r="A3174" s="2" t="n">
        <v>3173</v>
      </c>
      <c r="B3174" s="2" t="inlineStr">
        <is>
          <t>короткая</t>
        </is>
      </c>
      <c r="C3174" s="2" t="n">
        <v>12560</v>
      </c>
      <c r="D3174" s="3" t="inlineStr">
        <is>
          <t>Солнечный каравай</t>
        </is>
      </c>
      <c r="E3174" s="2" t="n">
        <v>1981</v>
      </c>
      <c r="F3174" s="2" t="inlineStr">
        <is>
          <t>мультфильм</t>
        </is>
      </c>
      <c r="G3174" s="2" t="inlineStr">
        <is>
          <t>КИЕВНАУЧФИЛЬМ</t>
        </is>
      </c>
      <c r="H3174" s="2" t="n">
        <v>0</v>
      </c>
      <c r="I3174" s="2" t="inlineStr"/>
      <c r="J3174" s="2" t="inlineStr">
        <is>
          <t>?</t>
        </is>
      </c>
      <c r="K3174" s="3" t="inlineStr"/>
      <c r="L3174" s="2" t="inlineStr">
        <is>
          <t>https://animator.ru/db/?p=show_film&amp;fid=3739</t>
        </is>
      </c>
      <c r="M3174" s="2">
        <f>HYPERLINK("https://ru.wikipedia.org/w/index.php?search=%D0%A1%D0%BE%D0%BB%D0%BD%D0%B5%D1%87%D0%BD%D1%8B%D0%B9%20%D0%BA%D0%B0%D1%80%D0%B0%D0%B2%D0%B0%D0%B9%201981%20%D1%84%D0%B8%D0%BB%D1%8C%D0%BC","искать")</f>
        <v/>
      </c>
      <c r="N3174" s="3" t="n"/>
      <c r="O3174" s="2" t="n"/>
      <c r="P3174" s="2" t="n"/>
    </row>
    <row r="3175">
      <c r="A3175" s="2" t="n">
        <v>3174</v>
      </c>
      <c r="B3175" s="2" t="inlineStr">
        <is>
          <t>короткая</t>
        </is>
      </c>
      <c r="C3175" s="2" t="n">
        <v>12562</v>
      </c>
      <c r="D3175" s="3" t="inlineStr">
        <is>
          <t>Солнышонок, Андрейка и темнота</t>
        </is>
      </c>
      <c r="E3175" s="2" t="n">
        <v>1980</v>
      </c>
      <c r="F3175" s="2" t="inlineStr">
        <is>
          <t>мультфильм</t>
        </is>
      </c>
      <c r="G3175" s="2" t="inlineStr">
        <is>
          <t>КИЕВНАУЧФИЛЬМ</t>
        </is>
      </c>
      <c r="H3175" s="2" t="n">
        <v>0</v>
      </c>
      <c r="I3175" s="2" t="inlineStr"/>
      <c r="J3175" s="2" t="inlineStr">
        <is>
          <t>?</t>
        </is>
      </c>
      <c r="K3175" s="3" t="inlineStr"/>
      <c r="L3175" s="2" t="inlineStr">
        <is>
          <t>https://animator.ru/db/?p=show_film&amp;fid=3741</t>
        </is>
      </c>
      <c r="M3175" s="2">
        <f>HYPERLINK("https://ru.wikipedia.org/w/index.php?search=%D0%A1%D0%BE%D0%BB%D0%BD%D1%8B%D1%88%D0%BE%D0%BD%D0%BE%D0%BA%2C%20%D0%90%D0%BD%D0%B4%D1%80%D0%B5%D0%B9%D0%BA%D0%B0%20%D0%B8%20%D1%82%D0%B5%D0%BC%D0%BD%D0%BE%D1%82%D0%B0%201980%20%D1%84%D0%B8%D0%BB%D1%8C%D0%BC","искать")</f>
        <v/>
      </c>
      <c r="N3175" s="3" t="n"/>
      <c r="O3175" s="2" t="n"/>
      <c r="P3175" s="2" t="n"/>
    </row>
    <row r="3176">
      <c r="A3176" s="2" t="n">
        <v>3175</v>
      </c>
      <c r="B3176" s="2" t="inlineStr">
        <is>
          <t>короткая</t>
        </is>
      </c>
      <c r="C3176" s="2" t="n">
        <v>12565</v>
      </c>
      <c r="D3176" s="3" t="inlineStr">
        <is>
          <t>Сочинение про дедушку</t>
        </is>
      </c>
      <c r="E3176" s="2" t="n">
        <v>1987</v>
      </c>
      <c r="F3176" s="2" t="inlineStr">
        <is>
          <t>мультфильм</t>
        </is>
      </c>
      <c r="G3176" s="2" t="inlineStr">
        <is>
          <t>КИЕВНАУЧФИЛЬМ</t>
        </is>
      </c>
      <c r="H3176" s="2" t="n">
        <v>0</v>
      </c>
      <c r="I3176" s="2" t="inlineStr"/>
      <c r="J3176" s="2" t="inlineStr">
        <is>
          <t>?</t>
        </is>
      </c>
      <c r="K3176" s="3" t="inlineStr"/>
      <c r="L3176" s="2" t="inlineStr">
        <is>
          <t>https://animator.ru/db/?p=show_film&amp;fid=3744</t>
        </is>
      </c>
      <c r="M3176" s="2">
        <f>HYPERLINK("https://ru.wikipedia.org/w/index.php?search=%D0%A1%D0%BE%D1%87%D0%B8%D0%BD%D0%B5%D0%BD%D0%B8%D0%B5%20%D0%BF%D1%80%D0%BE%20%D0%B4%D0%B5%D0%B4%D1%83%D1%88%D0%BA%D1%83%201987%20%D1%84%D0%B8%D0%BB%D1%8C%D0%BC","искать")</f>
        <v/>
      </c>
      <c r="N3176" s="3" t="n"/>
      <c r="O3176" s="2" t="n"/>
      <c r="P3176" s="2" t="n"/>
    </row>
    <row r="3177">
      <c r="A3177" s="2" t="n">
        <v>3176</v>
      </c>
      <c r="B3177" s="2" t="inlineStr">
        <is>
          <t>короткая</t>
        </is>
      </c>
      <c r="C3177" s="2" t="n">
        <v>12576</v>
      </c>
      <c r="D3177" s="3" t="inlineStr">
        <is>
          <t>Счастливый конец</t>
        </is>
      </c>
      <c r="E3177" s="2" t="n">
        <v>1969</v>
      </c>
      <c r="F3177" s="2" t="inlineStr">
        <is>
          <t>мультфильм</t>
        </is>
      </c>
      <c r="G3177" s="2" t="inlineStr">
        <is>
          <t>КИЕВНАУЧФИЛЬМ</t>
        </is>
      </c>
      <c r="H3177" s="2" t="n">
        <v>0</v>
      </c>
      <c r="I3177" s="2" t="inlineStr"/>
      <c r="J3177" s="2" t="inlineStr">
        <is>
          <t>?</t>
        </is>
      </c>
      <c r="K3177" s="3" t="inlineStr"/>
      <c r="L3177" s="2" t="inlineStr">
        <is>
          <t>https://animator.ru/db/?p=show_film&amp;fid=3756</t>
        </is>
      </c>
      <c r="M3177" s="2">
        <f>HYPERLINK("https://ru.wikipedia.org/w/index.php?search=%D0%A1%D1%87%D0%B0%D1%81%D1%82%D0%BB%D0%B8%D0%B2%D1%8B%D0%B9%20%D0%BA%D0%BE%D0%BD%D0%B5%D1%86%201969%20%D1%84%D0%B8%D0%BB%D1%8C%D0%BC","искать")</f>
        <v/>
      </c>
      <c r="N3177" s="3" t="n"/>
      <c r="O3177" s="2" t="n"/>
      <c r="P3177" s="2" t="n"/>
    </row>
    <row r="3178">
      <c r="A3178" s="2" t="n">
        <v>3177</v>
      </c>
      <c r="B3178" s="2" t="inlineStr">
        <is>
          <t>короткая</t>
        </is>
      </c>
      <c r="C3178" s="2" t="n">
        <v>12583</v>
      </c>
      <c r="D3178" s="3" t="inlineStr">
        <is>
          <t>Три Ивана</t>
        </is>
      </c>
      <c r="E3178" s="2" t="n">
        <v>1982</v>
      </c>
      <c r="F3178" s="2" t="inlineStr">
        <is>
          <t>мультфильм</t>
        </is>
      </c>
      <c r="G3178" s="2" t="inlineStr">
        <is>
          <t>КИЕВНАУЧФИЛЬМ</t>
        </is>
      </c>
      <c r="H3178" s="2" t="n">
        <v>0</v>
      </c>
      <c r="I3178" s="2" t="inlineStr"/>
      <c r="J3178" s="2" t="inlineStr">
        <is>
          <t>?</t>
        </is>
      </c>
      <c r="K3178" s="3" t="inlineStr"/>
      <c r="L3178" s="2" t="inlineStr">
        <is>
          <t>https://animator.ru/db/?p=show_film&amp;fid=3763</t>
        </is>
      </c>
      <c r="M3178" s="2">
        <f>HYPERLINK("https://ru.wikipedia.org/w/index.php?search=%D0%A2%D1%80%D0%B8%20%D0%98%D0%B2%D0%B0%D0%BD%D0%B0%201982%20%D1%84%D0%B8%D0%BB%D1%8C%D0%BC","искать")</f>
        <v/>
      </c>
      <c r="N3178" s="3" t="n"/>
      <c r="O3178" s="2" t="n"/>
      <c r="P3178" s="2" t="n"/>
    </row>
    <row r="3179">
      <c r="A3179" s="2" t="n">
        <v>3178</v>
      </c>
      <c r="B3179" s="2" t="inlineStr">
        <is>
          <t>короткая</t>
        </is>
      </c>
      <c r="C3179" s="2" t="n">
        <v>12588</v>
      </c>
      <c r="D3179" s="3" t="inlineStr">
        <is>
          <t>Тяп-ляп</t>
        </is>
      </c>
      <c r="E3179" s="2" t="n">
        <v>1977</v>
      </c>
      <c r="F3179" s="2" t="inlineStr">
        <is>
          <t>мультфильм</t>
        </is>
      </c>
      <c r="G3179" s="2" t="inlineStr">
        <is>
          <t>КИЕВНАУЧФИЛЬМ</t>
        </is>
      </c>
      <c r="H3179" s="2" t="n">
        <v>0</v>
      </c>
      <c r="I3179" s="2" t="inlineStr"/>
      <c r="J3179" s="2" t="inlineStr">
        <is>
          <t>?</t>
        </is>
      </c>
      <c r="K3179" s="3" t="inlineStr"/>
      <c r="L3179" s="2" t="inlineStr">
        <is>
          <t>https://animator.ru/db/?p=show_film&amp;fid=3768</t>
        </is>
      </c>
      <c r="M3179" s="2">
        <f>HYPERLINK("https://ru.wikipedia.org/w/index.php?search=%D0%A2%D1%8F%D0%BF-%D0%BB%D1%8F%D0%BF%201977%20%D1%84%D0%B8%D0%BB%D1%8C%D0%BC","искать")</f>
        <v/>
      </c>
      <c r="N3179" s="3" t="n"/>
      <c r="O3179" s="2" t="n"/>
      <c r="P3179" s="2" t="n"/>
    </row>
    <row r="3180">
      <c r="A3180" s="2" t="n">
        <v>3179</v>
      </c>
      <c r="B3180" s="2" t="inlineStr">
        <is>
          <t>короткая</t>
        </is>
      </c>
      <c r="C3180" s="2" t="n">
        <v>12589</v>
      </c>
      <c r="D3180" s="3" t="inlineStr">
        <is>
          <t>Удивительный китенок</t>
        </is>
      </c>
      <c r="E3180" s="2" t="n">
        <v>1971</v>
      </c>
      <c r="F3180" s="2" t="inlineStr">
        <is>
          <t>мультфильм</t>
        </is>
      </c>
      <c r="G3180" s="2" t="inlineStr">
        <is>
          <t>КИЕВНАУЧФИЛЬМ</t>
        </is>
      </c>
      <c r="H3180" s="2" t="n">
        <v>0</v>
      </c>
      <c r="I3180" s="2" t="inlineStr"/>
      <c r="J3180" s="2" t="inlineStr">
        <is>
          <t>?</t>
        </is>
      </c>
      <c r="K3180" s="3" t="inlineStr"/>
      <c r="L3180" s="2" t="inlineStr">
        <is>
          <t>https://animator.ru/db/?p=show_film&amp;fid=3769</t>
        </is>
      </c>
      <c r="M3180" s="2">
        <f>HYPERLINK("https://ru.wikipedia.org/w/index.php?search=%D0%A3%D0%B4%D0%B8%D0%B2%D0%B8%D1%82%D0%B5%D0%BB%D1%8C%D0%BD%D1%8B%D0%B9%20%D0%BA%D0%B8%D1%82%D0%B5%D0%BD%D0%BE%D0%BA%201971%20%D1%84%D0%B8%D0%BB%D1%8C%D0%BC","искать")</f>
        <v/>
      </c>
      <c r="N3180" s="3" t="n"/>
      <c r="O3180" s="2" t="n"/>
      <c r="P3180" s="2" t="n"/>
    </row>
    <row r="3181">
      <c r="A3181" s="2" t="n">
        <v>3180</v>
      </c>
      <c r="B3181" s="2" t="inlineStr">
        <is>
          <t>короткая</t>
        </is>
      </c>
      <c r="C3181" s="2" t="n">
        <v>12590</v>
      </c>
      <c r="D3181" s="3" t="inlineStr">
        <is>
          <t>УЗЕЛКИ НА ПАМЯТЬ ("Фитиль" N 173)</t>
        </is>
      </c>
      <c r="E3181" s="2" t="n">
        <v>1977</v>
      </c>
      <c r="F3181" s="2" t="inlineStr">
        <is>
          <t>мультфильм</t>
        </is>
      </c>
      <c r="G3181" s="2" t="inlineStr">
        <is>
          <t>КИЕВНАУЧФИЛЬМ</t>
        </is>
      </c>
      <c r="H3181" s="2" t="n">
        <v>0</v>
      </c>
      <c r="I3181" s="2" t="inlineStr"/>
      <c r="J3181" s="2" t="inlineStr">
        <is>
          <t>?</t>
        </is>
      </c>
      <c r="K3181" s="3" t="inlineStr"/>
      <c r="L3181" s="2" t="inlineStr">
        <is>
          <t>https://animator.ru/db/?p=show_film&amp;fid=3770</t>
        </is>
      </c>
      <c r="M3181" s="2">
        <f>HYPERLINK("https://ru.wikipedia.org/w/index.php?search=%D0%A3%D0%97%D0%95%D0%9B%D0%9A%D0%98%20%D0%9D%D0%90%20%D0%9F%D0%90%D0%9C%D0%AF%D0%A2%D0%AC%20%28%22%D0%A4%D0%B8%D1%82%D0%B8%D0%BB%D1%8C%22%20N%20173%29%201977%20%D1%84%D0%B8%D0%BB%D1%8C%D0%BC","искать")</f>
        <v/>
      </c>
      <c r="N3181" s="3" t="n"/>
      <c r="O3181" s="2" t="n"/>
      <c r="P3181" s="2" t="n"/>
    </row>
    <row r="3182">
      <c r="A3182" s="2" t="n">
        <v>3181</v>
      </c>
      <c r="B3182" s="2" t="inlineStr">
        <is>
          <t>короткая</t>
        </is>
      </c>
      <c r="C3182" s="2" t="n">
        <v>12592</v>
      </c>
      <c r="D3182" s="3" t="inlineStr">
        <is>
          <t>Услуга</t>
        </is>
      </c>
      <c r="E3182" s="2" t="n">
        <v>1983</v>
      </c>
      <c r="F3182" s="2" t="inlineStr">
        <is>
          <t>мультфильм</t>
        </is>
      </c>
      <c r="G3182" s="2" t="inlineStr">
        <is>
          <t>КИЕВНАУЧФИЛЬМ</t>
        </is>
      </c>
      <c r="H3182" s="2" t="n">
        <v>0</v>
      </c>
      <c r="I3182" s="2" t="inlineStr"/>
      <c r="J3182" s="2" t="inlineStr">
        <is>
          <t>?</t>
        </is>
      </c>
      <c r="K3182" s="3" t="inlineStr"/>
      <c r="L3182" s="2" t="inlineStr">
        <is>
          <t>https://animator.ru/db/?p=show_film&amp;fid=3772</t>
        </is>
      </c>
      <c r="M3182" s="2">
        <f>HYPERLINK("https://ru.wikipedia.org/w/index.php?search=%D0%A3%D1%81%D0%BB%D1%83%D0%B3%D0%B0%201983%20%D1%84%D0%B8%D0%BB%D1%8C%D0%BC","искать")</f>
        <v/>
      </c>
      <c r="N3182" s="3" t="n"/>
      <c r="O3182" s="2" t="n"/>
      <c r="P3182" s="2" t="n"/>
    </row>
    <row r="3183">
      <c r="A3183" s="2" t="n">
        <v>3182</v>
      </c>
      <c r="B3183" s="2" t="inlineStr">
        <is>
          <t>короткая</t>
        </is>
      </c>
      <c r="C3183" s="2" t="n">
        <v>12595</v>
      </c>
      <c r="D3183" s="3" t="inlineStr">
        <is>
          <t>Цветное молоко</t>
        </is>
      </c>
      <c r="E3183" s="2" t="n">
        <v>1979</v>
      </c>
      <c r="F3183" s="2" t="inlineStr">
        <is>
          <t>мультфильм</t>
        </is>
      </c>
      <c r="G3183" s="2" t="inlineStr">
        <is>
          <t>КИЕВНАУЧФИЛЬМ</t>
        </is>
      </c>
      <c r="H3183" s="2" t="n">
        <v>0</v>
      </c>
      <c r="I3183" s="2" t="inlineStr"/>
      <c r="J3183" s="2" t="inlineStr">
        <is>
          <t>?</t>
        </is>
      </c>
      <c r="K3183" s="3" t="inlineStr"/>
      <c r="L3183" s="2" t="inlineStr">
        <is>
          <t>https://animator.ru/db/?p=show_film&amp;fid=3775</t>
        </is>
      </c>
      <c r="M3183" s="2">
        <f>HYPERLINK("https://ru.wikipedia.org/w/index.php?search=%D0%A6%D0%B2%D0%B5%D1%82%D0%BD%D0%BE%D0%B5%20%D0%BC%D0%BE%D0%BB%D0%BE%D0%BA%D0%BE%201979%20%D1%84%D0%B8%D0%BB%D1%8C%D0%BC","искать")</f>
        <v/>
      </c>
      <c r="N3183" s="3" t="n"/>
      <c r="O3183" s="2" t="n"/>
      <c r="P3183" s="2" t="n"/>
    </row>
    <row r="3184">
      <c r="A3184" s="2" t="n">
        <v>3183</v>
      </c>
      <c r="B3184" s="2" t="inlineStr">
        <is>
          <t>короткая</t>
        </is>
      </c>
      <c r="C3184" s="2" t="n">
        <v>12608</v>
      </c>
      <c r="D3184" s="3" t="inlineStr">
        <is>
          <t>Это что еще такое?</t>
        </is>
      </c>
      <c r="E3184" s="2" t="n">
        <v>1989</v>
      </c>
      <c r="F3184" s="2" t="inlineStr">
        <is>
          <t>мультфильм</t>
        </is>
      </c>
      <c r="G3184" s="2" t="inlineStr">
        <is>
          <t>КИЕВНАУЧФИЛЬМ</t>
        </is>
      </c>
      <c r="H3184" s="2" t="n">
        <v>0</v>
      </c>
      <c r="I3184" s="2" t="inlineStr"/>
      <c r="J3184" s="2" t="inlineStr">
        <is>
          <t>?</t>
        </is>
      </c>
      <c r="K3184" s="3" t="inlineStr"/>
      <c r="L3184" s="2" t="inlineStr">
        <is>
          <t>https://animator.ru/db/?p=show_film&amp;fid=3788</t>
        </is>
      </c>
      <c r="M3184" s="2">
        <f>HYPERLINK("https://ru.wikipedia.org/w/index.php?search=%D0%AD%D1%82%D0%BE%20%D1%87%D1%82%D0%BE%20%D0%B5%D1%89%D0%B5%20%D1%82%D0%B0%D0%BA%D0%BE%D0%B5%3F%201989%20%D1%84%D0%B8%D0%BB%D1%8C%D0%BC","искать")</f>
        <v/>
      </c>
      <c r="N3184" s="3" t="n"/>
      <c r="O3184" s="2" t="n"/>
      <c r="P3184" s="2" t="n"/>
    </row>
    <row r="3185">
      <c r="A3185" s="2" t="n">
        <v>3184</v>
      </c>
      <c r="B3185" s="2" t="inlineStr">
        <is>
          <t>короткая</t>
        </is>
      </c>
      <c r="C3185" s="2" t="n">
        <v>12609</v>
      </c>
      <c r="D3185" s="3" t="inlineStr">
        <is>
          <t>ПЕРВЫЙ УРОК ("Фитиль" N )</t>
        </is>
      </c>
      <c r="E3185" s="2" t="n">
        <v>1975</v>
      </c>
      <c r="F3185" s="2" t="inlineStr">
        <is>
          <t>мультфильм</t>
        </is>
      </c>
      <c r="G3185" s="2" t="inlineStr">
        <is>
          <t>КИЕВНАУЧФИЛЬМ</t>
        </is>
      </c>
      <c r="H3185" s="2" t="n">
        <v>0</v>
      </c>
      <c r="I3185" s="2" t="inlineStr"/>
      <c r="J3185" s="2" t="inlineStr">
        <is>
          <t>?</t>
        </is>
      </c>
      <c r="K3185" s="3" t="inlineStr"/>
      <c r="L3185" s="2" t="inlineStr">
        <is>
          <t>https://animator.ru/db/?p=show_film&amp;fid=3789</t>
        </is>
      </c>
      <c r="M3185" s="2">
        <f>HYPERLINK("https://ru.wikipedia.org/w/index.php?search=%D0%9F%D0%95%D0%A0%D0%92%D0%AB%D0%99%20%D0%A3%D0%A0%D0%9E%D0%9A%20%28%22%D0%A4%D0%B8%D1%82%D0%B8%D0%BB%D1%8C%22%20N%20%29%201975%20%D1%84%D0%B8%D0%BB%D1%8C%D0%BC","искать")</f>
        <v/>
      </c>
      <c r="N3185" s="3" t="n"/>
      <c r="O3185" s="2" t="n"/>
      <c r="P3185" s="2" t="n"/>
    </row>
    <row r="3186">
      <c r="A3186" s="2" t="n">
        <v>3185</v>
      </c>
      <c r="B3186" s="2" t="inlineStr">
        <is>
          <t>короткая</t>
        </is>
      </c>
      <c r="C3186" s="2" t="n">
        <v>12610</v>
      </c>
      <c r="D3186" s="3" t="inlineStr">
        <is>
          <t>Доктор Айболит. 1. Доктор Айболит и его звери</t>
        </is>
      </c>
      <c r="E3186" s="2" t="n">
        <v>1984</v>
      </c>
      <c r="F3186" s="2" t="inlineStr">
        <is>
          <t>мультфильм</t>
        </is>
      </c>
      <c r="G3186" s="2" t="inlineStr">
        <is>
          <t>КИЕВНАУЧФИЛЬМ</t>
        </is>
      </c>
      <c r="H3186" s="2" t="n">
        <v>0</v>
      </c>
      <c r="I3186" s="2" t="inlineStr"/>
      <c r="J3186" s="2" t="inlineStr">
        <is>
          <t>?</t>
        </is>
      </c>
      <c r="K3186" s="3" t="inlineStr"/>
      <c r="L3186" s="2" t="inlineStr">
        <is>
          <t>https://animator.ru/db/?p=show_film&amp;fid=3790</t>
        </is>
      </c>
      <c r="M3186" s="2">
        <f>HYPERLINK("https://ru.wikipedia.org/w/index.php?search=%D0%94%D0%BE%D0%BA%D1%82%D0%BE%D1%80%20%D0%90%D0%B9%D0%B1%D0%BE%D0%BB%D0%B8%D1%82.%201.%20%D0%94%D0%BE%D0%BA%D1%82%D0%BE%D1%80%20%D0%90%D0%B9%D0%B1%D0%BE%D0%BB%D0%B8%D1%82%20%D0%B8%20%D0%B5%D0%B3%D0%BE%20%D0%B7%D0%B2%D0%B5%D1%80%D0%B8%201984%20%D1%84%D0%B8%D0%BB%D1%8C%D0%BC","искать")</f>
        <v/>
      </c>
      <c r="N3186" s="3" t="n"/>
      <c r="O3186" s="2" t="n"/>
      <c r="P3186" s="2" t="n"/>
    </row>
    <row r="3187">
      <c r="A3187" s="2" t="n">
        <v>3186</v>
      </c>
      <c r="B3187" s="2" t="inlineStr">
        <is>
          <t>короткая</t>
        </is>
      </c>
      <c r="C3187" s="2" t="n">
        <v>12611</v>
      </c>
      <c r="D3187" s="3" t="inlineStr">
        <is>
          <t>Мультипликационные титры (Большой фитиль)</t>
        </is>
      </c>
      <c r="E3187" s="2" t="n">
        <v>1964</v>
      </c>
      <c r="F3187" s="2" t="inlineStr">
        <is>
          <t>мультфильм</t>
        </is>
      </c>
      <c r="G3187" s="2" t="inlineStr">
        <is>
          <t>Союзмультфильм</t>
        </is>
      </c>
      <c r="H3187" s="2" t="n">
        <v>0</v>
      </c>
      <c r="I3187" s="2" t="inlineStr"/>
      <c r="J3187" s="2" t="inlineStr">
        <is>
          <t>?</t>
        </is>
      </c>
      <c r="K3187" s="3" t="inlineStr"/>
      <c r="L3187" s="2" t="inlineStr">
        <is>
          <t>https://animator.ru/db/?p=show_film&amp;fid=3791</t>
        </is>
      </c>
      <c r="M3187" s="2">
        <f>HYPERLINK("https://ru.wikipedia.org/w/index.php?search=%D0%9C%D1%83%D0%BB%D1%8C%D1%82%D0%B8%D0%BF%D0%BB%D0%B8%D0%BA%D0%B0%D1%86%D0%B8%D0%BE%D0%BD%D0%BD%D1%8B%D0%B5%20%D1%82%D0%B8%D1%82%D1%80%D1%8B%20%28%D0%91%D0%BE%D0%BB%D1%8C%D1%88%D0%BE%D0%B9%20%D1%84%D0%B8%D1%82%D0%B8%D0%BB%D1%8C%29%201964%20%D1%84%D0%B8%D0%BB%D1%8C%D0%BC","искать")</f>
        <v/>
      </c>
      <c r="N3187" s="3" t="n"/>
      <c r="O3187" s="2" t="n"/>
      <c r="P3187" s="2" t="n"/>
    </row>
    <row r="3188">
      <c r="A3188" s="2" t="n">
        <v>3187</v>
      </c>
      <c r="B3188" s="2" t="inlineStr">
        <is>
          <t>короткая</t>
        </is>
      </c>
      <c r="C3188" s="2" t="n">
        <v>12612</v>
      </c>
      <c r="D3188" s="3" t="inlineStr">
        <is>
          <t>КЛУБОК ("Фитиль" N 2)</t>
        </is>
      </c>
      <c r="E3188" s="2" t="n">
        <v>1962</v>
      </c>
      <c r="F3188" s="2" t="inlineStr">
        <is>
          <t>мультфильм</t>
        </is>
      </c>
      <c r="G3188" s="2" t="inlineStr">
        <is>
          <t>Союзмультфильм</t>
        </is>
      </c>
      <c r="H3188" s="2" t="n">
        <v>0</v>
      </c>
      <c r="I3188" s="2" t="inlineStr"/>
      <c r="J3188" s="2" t="inlineStr">
        <is>
          <t>?</t>
        </is>
      </c>
      <c r="K3188" s="3" t="inlineStr"/>
      <c r="L3188" s="2" t="inlineStr">
        <is>
          <t>https://animator.ru/db/?p=show_film&amp;fid=3792</t>
        </is>
      </c>
      <c r="M3188" s="2">
        <f>HYPERLINK("https://ru.wikipedia.org/w/index.php?search=%D0%9A%D0%9B%D0%A3%D0%91%D0%9E%D0%9A%20%28%22%D0%A4%D0%B8%D1%82%D0%B8%D0%BB%D1%8C%22%20N%202%29%201962%20%D1%84%D0%B8%D0%BB%D1%8C%D0%BC","искать")</f>
        <v/>
      </c>
      <c r="N3188" s="3" t="n"/>
      <c r="O3188" s="2" t="n"/>
      <c r="P3188" s="2" t="n"/>
    </row>
    <row r="3189">
      <c r="A3189" s="2" t="n">
        <v>3188</v>
      </c>
      <c r="B3189" s="2" t="inlineStr">
        <is>
          <t>короткая</t>
        </is>
      </c>
      <c r="C3189" s="2" t="n">
        <v>12613</v>
      </c>
      <c r="D3189" s="3" t="inlineStr">
        <is>
          <t>РАССКАЗЫ О ШЕВЧЕНКО (Мультвставка)</t>
        </is>
      </c>
      <c r="E3189" s="2" t="n">
        <v>1974</v>
      </c>
      <c r="F3189" s="2" t="inlineStr">
        <is>
          <t>мультфильм</t>
        </is>
      </c>
      <c r="G3189" s="2" t="n"/>
      <c r="H3189" s="2" t="n">
        <v>0</v>
      </c>
      <c r="I3189" s="2" t="inlineStr"/>
      <c r="J3189" s="2" t="inlineStr">
        <is>
          <t>?</t>
        </is>
      </c>
      <c r="K3189" s="3" t="inlineStr"/>
      <c r="L3189" s="2" t="inlineStr">
        <is>
          <t>https://animator.ru/db/?p=show_film&amp;fid=3793</t>
        </is>
      </c>
      <c r="M3189" s="2">
        <f>HYPERLINK("https://ru.wikipedia.org/w/index.php?search=%D0%A0%D0%90%D0%A1%D0%A1%D0%9A%D0%90%D0%97%D0%AB%20%D0%9E%20%D0%A8%D0%95%D0%92%D0%A7%D0%95%D0%9D%D0%9A%D0%9E%20%28%D0%9C%D1%83%D0%BB%D1%8C%D1%82%D0%B2%D1%81%D1%82%D0%B0%D0%B2%D0%BA%D0%B0%29%201974%20%D1%84%D0%B8%D0%BB%D1%8C%D0%BC","искать")</f>
        <v/>
      </c>
      <c r="N3189" s="3" t="n"/>
      <c r="O3189" s="2" t="n"/>
      <c r="P3189" s="2" t="n"/>
    </row>
    <row r="3190">
      <c r="A3190" s="2" t="n">
        <v>3189</v>
      </c>
      <c r="B3190" s="2" t="inlineStr">
        <is>
          <t>короткая</t>
        </is>
      </c>
      <c r="C3190" s="2" t="n">
        <v>12614</v>
      </c>
      <c r="D3190" s="3" t="inlineStr">
        <is>
          <t>ГЛУХАРЬ ("Фитиль" N 106)</t>
        </is>
      </c>
      <c r="E3190" s="2" t="n">
        <v>1971</v>
      </c>
      <c r="F3190" s="2" t="inlineStr">
        <is>
          <t>мультфильм</t>
        </is>
      </c>
      <c r="G3190" s="2" t="inlineStr">
        <is>
          <t>Союзмультфильм</t>
        </is>
      </c>
      <c r="H3190" s="2" t="n">
        <v>0</v>
      </c>
      <c r="I3190" s="2" t="inlineStr"/>
      <c r="J3190" s="2" t="inlineStr">
        <is>
          <t>?</t>
        </is>
      </c>
      <c r="K3190" s="3" t="inlineStr"/>
      <c r="L3190" s="2" t="inlineStr">
        <is>
          <t>https://animator.ru/db/?p=show_film&amp;fid=3794</t>
        </is>
      </c>
      <c r="M3190" s="2">
        <f>HYPERLINK("https://ru.wikipedia.org/w/index.php?search=%D0%93%D0%9B%D0%A3%D0%A5%D0%90%D0%A0%D0%AC%20%28%22%D0%A4%D0%B8%D1%82%D0%B8%D0%BB%D1%8C%22%20N%20106%29%201971%20%D1%84%D0%B8%D0%BB%D1%8C%D0%BC","искать")</f>
        <v/>
      </c>
      <c r="N3190" s="3" t="n"/>
      <c r="O3190" s="2" t="n"/>
      <c r="P3190" s="2" t="n"/>
    </row>
    <row r="3191">
      <c r="A3191" s="2" t="n">
        <v>3190</v>
      </c>
      <c r="B3191" s="2" t="inlineStr">
        <is>
          <t>короткая</t>
        </is>
      </c>
      <c r="C3191" s="2" t="n">
        <v>12615</v>
      </c>
      <c r="D3191" s="3" t="inlineStr">
        <is>
          <t>РЕШИТЕЛЬНЫЙ ПЕТУХ (Фитиль N 108)</t>
        </is>
      </c>
      <c r="E3191" s="2" t="n">
        <v>1971</v>
      </c>
      <c r="F3191" s="2" t="inlineStr">
        <is>
          <t>мультфильм</t>
        </is>
      </c>
      <c r="G3191" s="2" t="inlineStr">
        <is>
          <t>Союзмультфильм</t>
        </is>
      </c>
      <c r="H3191" s="2" t="n">
        <v>0</v>
      </c>
      <c r="I3191" s="2" t="inlineStr"/>
      <c r="J3191" s="2" t="inlineStr">
        <is>
          <t>?</t>
        </is>
      </c>
      <c r="K3191" s="3" t="inlineStr"/>
      <c r="L3191" s="2" t="inlineStr">
        <is>
          <t>https://animator.ru/db/?p=show_film&amp;fid=3795</t>
        </is>
      </c>
      <c r="M3191" s="2">
        <f>HYPERLINK("https://ru.wikipedia.org/w/index.php?search=%D0%A0%D0%95%D0%A8%D0%98%D0%A2%D0%95%D0%9B%D0%AC%D0%9D%D0%AB%D0%99%20%D0%9F%D0%95%D0%A2%D0%A3%D0%A5%20%28%D0%A4%D0%B8%D1%82%D0%B8%D0%BB%D1%8C%20N%20108%29%201971%20%D1%84%D0%B8%D0%BB%D1%8C%D0%BC","искать")</f>
        <v/>
      </c>
      <c r="N3191" s="3" t="n"/>
      <c r="O3191" s="2" t="n"/>
      <c r="P3191" s="2" t="n"/>
    </row>
    <row r="3192">
      <c r="A3192" s="2" t="n">
        <v>3191</v>
      </c>
      <c r="B3192" s="2" t="inlineStr">
        <is>
          <t>короткая</t>
        </is>
      </c>
      <c r="C3192" s="2" t="n">
        <v>12617</v>
      </c>
      <c r="D3192" s="3" t="inlineStr">
        <is>
          <t>ВСКРЫТЫЕ- РЕЗЕРВЫ ("Фитиль" N 262)</t>
        </is>
      </c>
      <c r="E3192" s="2" t="n">
        <v>1985</v>
      </c>
      <c r="F3192" s="2" t="inlineStr">
        <is>
          <t>мультфильм</t>
        </is>
      </c>
      <c r="G3192" s="2" t="inlineStr">
        <is>
          <t>Союзмультфильм</t>
        </is>
      </c>
      <c r="H3192" s="2" t="n">
        <v>0</v>
      </c>
      <c r="I3192" s="2" t="inlineStr"/>
      <c r="J3192" s="2" t="inlineStr">
        <is>
          <t>?</t>
        </is>
      </c>
      <c r="K3192" s="3" t="inlineStr"/>
      <c r="L3192" s="2" t="inlineStr">
        <is>
          <t>https://animator.ru/db/?p=show_film&amp;fid=3797</t>
        </is>
      </c>
      <c r="M3192" s="2">
        <f>HYPERLINK("https://ru.wikipedia.org/w/index.php?search=%D0%92%D0%A1%D0%9A%D0%A0%D0%AB%D0%A2%D0%AB%D0%95-%20%D0%A0%D0%95%D0%97%D0%95%D0%A0%D0%92%D0%AB%20%28%22%D0%A4%D0%B8%D1%82%D0%B8%D0%BB%D1%8C%22%20N%20262%29%201985%20%D1%84%D0%B8%D0%BB%D1%8C%D0%BC","искать")</f>
        <v/>
      </c>
      <c r="N3192" s="3" t="n"/>
      <c r="O3192" s="2" t="n"/>
      <c r="P3192" s="2" t="n"/>
    </row>
    <row r="3193">
      <c r="A3193" s="2" t="n">
        <v>3192</v>
      </c>
      <c r="B3193" s="2" t="inlineStr">
        <is>
          <t>короткая</t>
        </is>
      </c>
      <c r="C3193" s="2" t="n">
        <v>12619</v>
      </c>
      <c r="D3193" s="3" t="inlineStr">
        <is>
          <t>ЛУЖА ("Фитиль" N 283)</t>
        </is>
      </c>
      <c r="E3193" s="2" t="n">
        <v>1986</v>
      </c>
      <c r="F3193" s="2" t="inlineStr">
        <is>
          <t>мультфильм</t>
        </is>
      </c>
      <c r="G3193" s="2" t="inlineStr">
        <is>
          <t>КИЕВНАУЧФИЛЬМ</t>
        </is>
      </c>
      <c r="H3193" s="2" t="n">
        <v>0</v>
      </c>
      <c r="I3193" s="2" t="inlineStr"/>
      <c r="J3193" s="2" t="inlineStr">
        <is>
          <t>?</t>
        </is>
      </c>
      <c r="K3193" s="3" t="inlineStr"/>
      <c r="L3193" s="2" t="inlineStr">
        <is>
          <t>https://animator.ru/db/?p=show_film&amp;fid=3799</t>
        </is>
      </c>
      <c r="M3193" s="2">
        <f>HYPERLINK("https://ru.wikipedia.org/w/index.php?search=%D0%9B%D0%A3%D0%96%D0%90%20%28%22%D0%A4%D0%B8%D1%82%D0%B8%D0%BB%D1%8C%22%20N%20283%29%201986%20%D1%84%D0%B8%D0%BB%D1%8C%D0%BC","искать")</f>
        <v/>
      </c>
      <c r="N3193" s="3" t="n"/>
      <c r="O3193" s="2" t="n"/>
      <c r="P3193" s="2" t="n"/>
    </row>
    <row r="3194">
      <c r="A3194" s="2" t="n">
        <v>3193</v>
      </c>
      <c r="B3194" s="2" t="inlineStr">
        <is>
          <t>короткая</t>
        </is>
      </c>
      <c r="C3194" s="2" t="n">
        <v>12620</v>
      </c>
      <c r="D3194" s="3" t="inlineStr">
        <is>
          <t>ВОСПОМИНАНИЯ О БУДУЩЕМ ("Фитиль N 287)</t>
        </is>
      </c>
      <c r="E3194" s="2" t="n">
        <v>1986</v>
      </c>
      <c r="F3194" s="2" t="inlineStr">
        <is>
          <t>мультфильм</t>
        </is>
      </c>
      <c r="G3194" s="2" t="inlineStr">
        <is>
          <t>Союзмультфильм</t>
        </is>
      </c>
      <c r="H3194" s="2" t="n">
        <v>0</v>
      </c>
      <c r="I3194" s="2" t="inlineStr"/>
      <c r="J3194" s="2" t="inlineStr">
        <is>
          <t>?</t>
        </is>
      </c>
      <c r="K3194" s="3" t="inlineStr"/>
      <c r="L3194" s="2" t="inlineStr">
        <is>
          <t>https://animator.ru/db/?p=show_film&amp;fid=3800</t>
        </is>
      </c>
      <c r="M3194" s="2">
        <f>HYPERLINK("https://ru.wikipedia.org/w/index.php?search=%D0%92%D0%9E%D0%A1%D0%9F%D0%9E%D0%9C%D0%98%D0%9D%D0%90%D0%9D%D0%98%D0%AF%20%D0%9E%20%D0%91%D0%A3%D0%94%D0%A3%D0%A9%D0%95%D0%9C%20%28%22%D0%A4%D0%B8%D1%82%D0%B8%D0%BB%D1%8C%20N%20287%29%201986%20%D1%84%D0%B8%D0%BB%D1%8C%D0%BC","искать")</f>
        <v/>
      </c>
      <c r="N3194" s="3" t="n"/>
      <c r="O3194" s="2" t="n"/>
      <c r="P3194" s="2" t="n"/>
    </row>
    <row r="3195">
      <c r="A3195" s="2" t="n">
        <v>3194</v>
      </c>
      <c r="B3195" s="2" t="inlineStr">
        <is>
          <t>короткая</t>
        </is>
      </c>
      <c r="C3195" s="2" t="n">
        <v>12622</v>
      </c>
      <c r="D3195" s="3" t="inlineStr">
        <is>
          <t>ХИТРАЯ МЕХАНИКА ("Фитиль" N 288)</t>
        </is>
      </c>
      <c r="E3195" s="2" t="n">
        <v>1986</v>
      </c>
      <c r="F3195" s="2" t="inlineStr">
        <is>
          <t>мультфильм</t>
        </is>
      </c>
      <c r="G3195" s="2" t="inlineStr">
        <is>
          <t>Союзмультфильм</t>
        </is>
      </c>
      <c r="H3195" s="2" t="n">
        <v>0</v>
      </c>
      <c r="I3195" s="2" t="inlineStr"/>
      <c r="J3195" s="2" t="inlineStr">
        <is>
          <t>?</t>
        </is>
      </c>
      <c r="K3195" s="3" t="inlineStr"/>
      <c r="L3195" s="2" t="inlineStr">
        <is>
          <t>https://animator.ru/db/?p=show_film&amp;fid=3802</t>
        </is>
      </c>
      <c r="M3195" s="2">
        <f>HYPERLINK("https://ru.wikipedia.org/w/index.php?search=%D0%A5%D0%98%D0%A2%D0%A0%D0%90%D0%AF%20%D0%9C%D0%95%D0%A5%D0%90%D0%9D%D0%98%D0%9A%D0%90%20%28%22%D0%A4%D0%B8%D1%82%D0%B8%D0%BB%D1%8C%22%20N%20288%29%201986%20%D1%84%D0%B8%D0%BB%D1%8C%D0%BC","искать")</f>
        <v/>
      </c>
      <c r="N3195" s="3" t="n"/>
      <c r="O3195" s="2" t="n"/>
      <c r="P3195" s="2" t="n"/>
    </row>
    <row r="3196">
      <c r="A3196" s="2" t="n">
        <v>3195</v>
      </c>
      <c r="B3196" s="2" t="inlineStr">
        <is>
          <t>короткая</t>
        </is>
      </c>
      <c r="C3196" s="2" t="n">
        <v>12624</v>
      </c>
      <c r="D3196" s="3" t="inlineStr">
        <is>
          <t>НА ВСЯКИЙ СЛУЧАЙ ("Фитиль" N 292)</t>
        </is>
      </c>
      <c r="E3196" s="2" t="n">
        <v>1986</v>
      </c>
      <c r="F3196" s="2" t="inlineStr">
        <is>
          <t>мультфильм</t>
        </is>
      </c>
      <c r="G3196" s="2" t="inlineStr">
        <is>
          <t>Союзмультфильм</t>
        </is>
      </c>
      <c r="H3196" s="2" t="n">
        <v>0</v>
      </c>
      <c r="I3196" s="2" t="inlineStr"/>
      <c r="J3196" s="2" t="inlineStr">
        <is>
          <t>?</t>
        </is>
      </c>
      <c r="K3196" s="3" t="inlineStr"/>
      <c r="L3196" s="2" t="inlineStr">
        <is>
          <t>https://animator.ru/db/?p=show_film&amp;fid=3804</t>
        </is>
      </c>
      <c r="M3196" s="2">
        <f>HYPERLINK("https://ru.wikipedia.org/w/index.php?search=%D0%9D%D0%90%20%D0%92%D0%A1%D0%AF%D0%9A%D0%98%D0%99%20%D0%A1%D0%9B%D0%A3%D0%A7%D0%90%D0%99%20%28%22%D0%A4%D0%B8%D1%82%D0%B8%D0%BB%D1%8C%22%20N%20292%29%201986%20%D1%84%D0%B8%D0%BB%D1%8C%D0%BC","искать")</f>
        <v/>
      </c>
      <c r="N3196" s="3" t="n"/>
      <c r="O3196" s="2" t="n"/>
      <c r="P3196" s="2" t="n"/>
    </row>
    <row r="3197">
      <c r="A3197" s="2" t="n">
        <v>3196</v>
      </c>
      <c r="B3197" s="2" t="inlineStr">
        <is>
          <t>короткая</t>
        </is>
      </c>
      <c r="C3197" s="2" t="n">
        <v>12628</v>
      </c>
      <c r="D3197" s="3" t="inlineStr">
        <is>
          <t>ВОЛШЕБНЫЙ ПЕРСТЕНЬ ("Фитиль" N 298)</t>
        </is>
      </c>
      <c r="E3197" s="2" t="n">
        <v>1987</v>
      </c>
      <c r="F3197" s="2" t="inlineStr">
        <is>
          <t>мультфильм</t>
        </is>
      </c>
      <c r="G3197" s="2" t="inlineStr">
        <is>
          <t>Союзмультфильм</t>
        </is>
      </c>
      <c r="H3197" s="2" t="n">
        <v>0</v>
      </c>
      <c r="I3197" s="2" t="inlineStr"/>
      <c r="J3197" s="2" t="inlineStr">
        <is>
          <t>?</t>
        </is>
      </c>
      <c r="K3197" s="3" t="inlineStr"/>
      <c r="L3197" s="2" t="inlineStr">
        <is>
          <t>https://animator.ru/db/?p=show_film&amp;fid=3808</t>
        </is>
      </c>
      <c r="M3197" s="2">
        <f>HYPERLINK("https://ru.wikipedia.org/w/index.php?search=%D0%92%D0%9E%D0%9B%D0%A8%D0%95%D0%91%D0%9D%D0%AB%D0%99%20%D0%9F%D0%95%D0%A0%D0%A1%D0%A2%D0%95%D0%9D%D0%AC%20%28%22%D0%A4%D0%B8%D1%82%D0%B8%D0%BB%D1%8C%22%20N%20298%29%201987%20%D1%84%D0%B8%D0%BB%D1%8C%D0%BC","искать")</f>
        <v/>
      </c>
      <c r="N3197" s="3" t="n"/>
      <c r="O3197" s="2" t="n"/>
      <c r="P3197" s="2" t="n"/>
    </row>
    <row r="3198">
      <c r="A3198" s="2" t="n">
        <v>3197</v>
      </c>
      <c r="B3198" s="2" t="inlineStr">
        <is>
          <t>короткая</t>
        </is>
      </c>
      <c r="C3198" s="2" t="n">
        <v>12629</v>
      </c>
      <c r="D3198" s="3" t="inlineStr">
        <is>
          <t>СНИМАЕТСЯ КИНО ("Фитиль" N 299)</t>
        </is>
      </c>
      <c r="E3198" s="2" t="n">
        <v>1987</v>
      </c>
      <c r="F3198" s="2" t="inlineStr">
        <is>
          <t>мультфильм</t>
        </is>
      </c>
      <c r="G3198" s="2" t="inlineStr">
        <is>
          <t>КИЕВНАУЧФИЛЬМ</t>
        </is>
      </c>
      <c r="H3198" s="2" t="n">
        <v>0</v>
      </c>
      <c r="I3198" s="2" t="inlineStr"/>
      <c r="J3198" s="2" t="inlineStr">
        <is>
          <t>?</t>
        </is>
      </c>
      <c r="K3198" s="3" t="inlineStr"/>
      <c r="L3198" s="2" t="inlineStr">
        <is>
          <t>https://animator.ru/db/?p=show_film&amp;fid=3809</t>
        </is>
      </c>
      <c r="M3198" s="2">
        <f>HYPERLINK("https://ru.wikipedia.org/w/index.php?search=%D0%A1%D0%9D%D0%98%D0%9C%D0%90%D0%95%D0%A2%D0%A1%D0%AF%20%D0%9A%D0%98%D0%9D%D0%9E%20%28%22%D0%A4%D0%B8%D1%82%D0%B8%D0%BB%D1%8C%22%20N%20299%29%201987%20%D1%84%D0%B8%D0%BB%D1%8C%D0%BC","искать")</f>
        <v/>
      </c>
      <c r="N3198" s="3" t="n"/>
      <c r="O3198" s="2" t="n"/>
      <c r="P3198" s="2" t="n"/>
    </row>
    <row r="3199">
      <c r="A3199" s="2" t="n">
        <v>3198</v>
      </c>
      <c r="B3199" s="2" t="inlineStr">
        <is>
          <t>короткая</t>
        </is>
      </c>
      <c r="C3199" s="2" t="n">
        <v>12630</v>
      </c>
      <c r="D3199" s="3" t="inlineStr">
        <is>
          <t>УТРАЧЕННЫЕ ГРЕЗЫ ("Фитиль" N 322)</t>
        </is>
      </c>
      <c r="E3199" s="2" t="n">
        <v>1989</v>
      </c>
      <c r="F3199" s="2" t="inlineStr">
        <is>
          <t>мультфильм</t>
        </is>
      </c>
      <c r="G3199" s="2" t="inlineStr">
        <is>
          <t>Союзмультфильм</t>
        </is>
      </c>
      <c r="H3199" s="2" t="n">
        <v>0</v>
      </c>
      <c r="I3199" s="2" t="inlineStr"/>
      <c r="J3199" s="2" t="inlineStr">
        <is>
          <t>?</t>
        </is>
      </c>
      <c r="K3199" s="3" t="inlineStr"/>
      <c r="L3199" s="2" t="inlineStr">
        <is>
          <t>https://animator.ru/db/?p=show_film&amp;fid=3810</t>
        </is>
      </c>
      <c r="M3199" s="2">
        <f>HYPERLINK("https://ru.wikipedia.org/w/index.php?search=%D0%A3%D0%A2%D0%A0%D0%90%D0%A7%D0%95%D0%9D%D0%9D%D0%AB%D0%95%20%D0%93%D0%A0%D0%95%D0%97%D0%AB%20%28%22%D0%A4%D0%B8%D1%82%D0%B8%D0%BB%D1%8C%22%20N%20322%29%201989%20%D1%84%D0%B8%D0%BB%D1%8C%D0%BC","искать")</f>
        <v/>
      </c>
      <c r="N3199" s="3" t="n"/>
      <c r="O3199" s="2" t="n"/>
      <c r="P3199" s="2" t="n"/>
    </row>
    <row r="3200">
      <c r="A3200" s="2" t="n">
        <v>3199</v>
      </c>
      <c r="B3200" s="2" t="inlineStr">
        <is>
          <t>короткая</t>
        </is>
      </c>
      <c r="C3200" s="2" t="n">
        <v>12631</v>
      </c>
      <c r="D3200" s="3" t="inlineStr">
        <is>
          <t>ЧЕЛОВЕК НИОТКУДА ("Фитиль" N 323)</t>
        </is>
      </c>
      <c r="E3200" s="2" t="n">
        <v>1989</v>
      </c>
      <c r="F3200" s="2" t="inlineStr">
        <is>
          <t>мультфильм</t>
        </is>
      </c>
      <c r="G3200" s="2" t="inlineStr">
        <is>
          <t>Союзмультфильм</t>
        </is>
      </c>
      <c r="H3200" s="2" t="n">
        <v>0</v>
      </c>
      <c r="I3200" s="2" t="inlineStr"/>
      <c r="J3200" s="2" t="inlineStr">
        <is>
          <t>?</t>
        </is>
      </c>
      <c r="K3200" s="3" t="inlineStr"/>
      <c r="L3200" s="2" t="inlineStr">
        <is>
          <t>https://animator.ru/db/?p=show_film&amp;fid=3811</t>
        </is>
      </c>
      <c r="M3200" s="2">
        <f>HYPERLINK("https://ru.wikipedia.org/w/index.php?search=%D0%A7%D0%95%D0%9B%D0%9E%D0%92%D0%95%D0%9A%20%D0%9D%D0%98%D0%9E%D0%A2%D0%9A%D0%A3%D0%94%D0%90%20%28%22%D0%A4%D0%B8%D1%82%D0%B8%D0%BB%D1%8C%22%20N%20323%29%201989%20%D1%84%D0%B8%D0%BB%D1%8C%D0%BC","искать")</f>
        <v/>
      </c>
      <c r="N3200" s="3" t="n"/>
      <c r="O3200" s="2" t="n"/>
      <c r="P3200" s="2" t="n"/>
    </row>
    <row r="3201">
      <c r="A3201" s="2" t="n">
        <v>3200</v>
      </c>
      <c r="B3201" s="2" t="inlineStr">
        <is>
          <t>короткая</t>
        </is>
      </c>
      <c r="C3201" s="2" t="n">
        <v>12632</v>
      </c>
      <c r="D3201" s="3" t="inlineStr">
        <is>
          <t>УКАЗЧИК ("Фитиль" N 313)</t>
        </is>
      </c>
      <c r="E3201" s="2" t="n">
        <v>1988</v>
      </c>
      <c r="F3201" s="2" t="inlineStr">
        <is>
          <t>мультфильм</t>
        </is>
      </c>
      <c r="G3201" s="2" t="inlineStr">
        <is>
          <t>Союзмультфильм</t>
        </is>
      </c>
      <c r="H3201" s="2" t="n">
        <v>0</v>
      </c>
      <c r="I3201" s="2" t="inlineStr"/>
      <c r="J3201" s="2" t="inlineStr">
        <is>
          <t>?</t>
        </is>
      </c>
      <c r="K3201" s="3" t="inlineStr"/>
      <c r="L3201" s="2" t="inlineStr">
        <is>
          <t>https://animator.ru/db/?p=show_film&amp;fid=3812</t>
        </is>
      </c>
      <c r="M3201" s="2">
        <f>HYPERLINK("https://ru.wikipedia.org/w/index.php?search=%D0%A3%D0%9A%D0%90%D0%97%D0%A7%D0%98%D0%9A%20%28%22%D0%A4%D0%B8%D1%82%D0%B8%D0%BB%D1%8C%22%20N%20313%29%201988%20%D1%84%D0%B8%D0%BB%D1%8C%D0%BC","искать")</f>
        <v/>
      </c>
      <c r="N3201" s="3" t="n"/>
      <c r="O3201" s="2" t="n"/>
      <c r="P3201" s="2" t="n"/>
    </row>
    <row r="3202">
      <c r="A3202" s="2" t="n">
        <v>3201</v>
      </c>
      <c r="B3202" s="2" t="inlineStr">
        <is>
          <t>короткая</t>
        </is>
      </c>
      <c r="C3202" s="2" t="n">
        <v>12633</v>
      </c>
      <c r="D3202" s="3" t="inlineStr">
        <is>
          <t>КОМБАЙН ПОД МУХОЙ ("Фитиль" N 314)</t>
        </is>
      </c>
      <c r="E3202" s="2" t="n">
        <v>1988</v>
      </c>
      <c r="F3202" s="2" t="inlineStr">
        <is>
          <t>мультфильм</t>
        </is>
      </c>
      <c r="G3202" s="2" t="inlineStr">
        <is>
          <t>Союзмультфильм</t>
        </is>
      </c>
      <c r="H3202" s="2" t="n">
        <v>0</v>
      </c>
      <c r="I3202" s="2" t="inlineStr"/>
      <c r="J3202" s="2" t="inlineStr">
        <is>
          <t>?</t>
        </is>
      </c>
      <c r="K3202" s="3" t="inlineStr"/>
      <c r="L3202" s="2" t="inlineStr">
        <is>
          <t>https://animator.ru/db/?p=show_film&amp;fid=3813</t>
        </is>
      </c>
      <c r="M3202" s="2">
        <f>HYPERLINK("https://ru.wikipedia.org/w/index.php?search=%D0%9A%D0%9E%D0%9C%D0%91%D0%90%D0%99%D0%9D%20%D0%9F%D0%9E%D0%94%20%D0%9C%D0%A3%D0%A5%D0%9E%D0%99%20%28%22%D0%A4%D0%B8%D1%82%D0%B8%D0%BB%D1%8C%22%20N%20314%29%201988%20%D1%84%D0%B8%D0%BB%D1%8C%D0%BC","искать")</f>
        <v/>
      </c>
      <c r="N3202" s="3" t="n"/>
      <c r="O3202" s="2" t="n"/>
      <c r="P3202" s="2" t="n"/>
    </row>
    <row r="3203">
      <c r="A3203" s="2" t="n">
        <v>3202</v>
      </c>
      <c r="B3203" s="2" t="inlineStr">
        <is>
          <t>короткая</t>
        </is>
      </c>
      <c r="C3203" s="2" t="n">
        <v>12635</v>
      </c>
      <c r="D3203" s="3" t="inlineStr">
        <is>
          <t>ТРУБНЫЙ ГЛАС ("Фитиль" N 317)</t>
        </is>
      </c>
      <c r="E3203" s="2" t="n">
        <v>1988</v>
      </c>
      <c r="F3203" s="2" t="inlineStr">
        <is>
          <t>мультфильм</t>
        </is>
      </c>
      <c r="G3203" s="2" t="inlineStr">
        <is>
          <t>КИЕВНАУЧФИЛЬМ</t>
        </is>
      </c>
      <c r="H3203" s="2" t="n">
        <v>0</v>
      </c>
      <c r="I3203" s="2" t="inlineStr"/>
      <c r="J3203" s="2" t="inlineStr">
        <is>
          <t>?</t>
        </is>
      </c>
      <c r="K3203" s="3" t="inlineStr"/>
      <c r="L3203" s="2" t="inlineStr">
        <is>
          <t>https://animator.ru/db/?p=show_film&amp;fid=3815</t>
        </is>
      </c>
      <c r="M3203" s="2">
        <f>HYPERLINK("https://ru.wikipedia.org/w/index.php?search=%D0%A2%D0%A0%D0%A3%D0%91%D0%9D%D0%AB%D0%99%20%D0%93%D0%9B%D0%90%D0%A1%20%28%22%D0%A4%D0%B8%D1%82%D0%B8%D0%BB%D1%8C%22%20N%20317%29%201988%20%D1%84%D0%B8%D0%BB%D1%8C%D0%BC","искать")</f>
        <v/>
      </c>
      <c r="N3203" s="3" t="n"/>
      <c r="O3203" s="2" t="n"/>
      <c r="P3203" s="2" t="n"/>
    </row>
    <row r="3204">
      <c r="A3204" s="2" t="n">
        <v>3203</v>
      </c>
      <c r="B3204" s="2" t="inlineStr">
        <is>
          <t>короткая</t>
        </is>
      </c>
      <c r="C3204" s="2" t="n">
        <v>12636</v>
      </c>
      <c r="D3204" s="3" t="inlineStr">
        <is>
          <t>В ЗОНЕ ОСОБОГО ВНИМАНИЯ ("Фитиль" N 318)</t>
        </is>
      </c>
      <c r="E3204" s="2" t="n">
        <v>1988</v>
      </c>
      <c r="F3204" s="2" t="inlineStr">
        <is>
          <t>мультфильм</t>
        </is>
      </c>
      <c r="G3204" s="2" t="inlineStr">
        <is>
          <t>Союзмультфильм</t>
        </is>
      </c>
      <c r="H3204" s="2" t="n">
        <v>0</v>
      </c>
      <c r="I3204" s="2" t="inlineStr"/>
      <c r="J3204" s="2" t="inlineStr">
        <is>
          <t>?</t>
        </is>
      </c>
      <c r="K3204" s="3" t="inlineStr"/>
      <c r="L3204" s="2" t="inlineStr">
        <is>
          <t>https://animator.ru/db/?p=show_film&amp;fid=3816</t>
        </is>
      </c>
      <c r="M3204" s="2">
        <f>HYPERLINK("https://ru.wikipedia.org/w/index.php?search=%D0%92%20%D0%97%D0%9E%D0%9D%D0%95%20%D0%9E%D0%A1%D0%9E%D0%91%D0%9E%D0%93%D0%9E%20%D0%92%D0%9D%D0%98%D0%9C%D0%90%D0%9D%D0%98%D0%AF%20%28%22%D0%A4%D0%B8%D1%82%D0%B8%D0%BB%D1%8C%22%20N%20318%29%201988%20%D1%84%D0%B8%D0%BB%D1%8C%D0%BC","искать")</f>
        <v/>
      </c>
      <c r="N3204" s="3" t="n"/>
      <c r="O3204" s="2" t="n"/>
      <c r="P3204" s="2" t="n"/>
    </row>
    <row r="3205">
      <c r="A3205" s="2" t="n">
        <v>3204</v>
      </c>
      <c r="B3205" s="2" t="inlineStr">
        <is>
          <t>короткая</t>
        </is>
      </c>
      <c r="C3205" s="2" t="n">
        <v>12638</v>
      </c>
      <c r="D3205" s="3" t="inlineStr">
        <is>
          <t>ДОМ С ПРИВИДЕНИЯМИ ("Фитиль" N 321)</t>
        </is>
      </c>
      <c r="E3205" s="2" t="n">
        <v>1989</v>
      </c>
      <c r="F3205" s="2" t="inlineStr">
        <is>
          <t>мультфильм</t>
        </is>
      </c>
      <c r="G3205" s="2" t="inlineStr">
        <is>
          <t>КИЕВНАУЧФИЛЬМ</t>
        </is>
      </c>
      <c r="H3205" s="2" t="n">
        <v>0</v>
      </c>
      <c r="I3205" s="2" t="inlineStr"/>
      <c r="J3205" s="2" t="inlineStr">
        <is>
          <t>?</t>
        </is>
      </c>
      <c r="K3205" s="3" t="inlineStr"/>
      <c r="L3205" s="2" t="inlineStr">
        <is>
          <t>https://animator.ru/db/?p=show_film&amp;fid=3818</t>
        </is>
      </c>
      <c r="M3205" s="2">
        <f>HYPERLINK("https://ru.wikipedia.org/w/index.php?search=%D0%94%D0%9E%D0%9C%20%D0%A1%20%D0%9F%D0%A0%D0%98%D0%92%D0%98%D0%94%D0%95%D0%9D%D0%98%D0%AF%D0%9C%D0%98%20%28%22%D0%A4%D0%B8%D1%82%D0%B8%D0%BB%D1%8C%22%20N%20321%29%201989%20%D1%84%D0%B8%D0%BB%D1%8C%D0%BC","искать")</f>
        <v/>
      </c>
      <c r="N3205" s="3" t="n"/>
      <c r="O3205" s="2" t="n"/>
      <c r="P3205" s="2" t="n"/>
    </row>
    <row r="3206">
      <c r="A3206" s="2" t="n">
        <v>3205</v>
      </c>
      <c r="B3206" s="2" t="inlineStr">
        <is>
          <t>короткая</t>
        </is>
      </c>
      <c r="C3206" s="2" t="n">
        <v>12644</v>
      </c>
      <c r="D3206" s="3" t="inlineStr">
        <is>
          <t>ЧУЧЕЛО ("Фитиль" N 332)</t>
        </is>
      </c>
      <c r="E3206" s="2" t="n">
        <v>1990</v>
      </c>
      <c r="F3206" s="2" t="inlineStr">
        <is>
          <t>мультфильм</t>
        </is>
      </c>
      <c r="G3206" s="2" t="inlineStr">
        <is>
          <t>Союзмультфильм</t>
        </is>
      </c>
      <c r="H3206" s="2" t="n">
        <v>0</v>
      </c>
      <c r="I3206" s="2" t="inlineStr"/>
      <c r="J3206" s="2" t="inlineStr">
        <is>
          <t>?</t>
        </is>
      </c>
      <c r="K3206" s="3" t="inlineStr"/>
      <c r="L3206" s="2" t="inlineStr">
        <is>
          <t>https://animator.ru/db/?p=show_film&amp;fid=3824</t>
        </is>
      </c>
      <c r="M3206" s="2">
        <f>HYPERLINK("https://ru.wikipedia.org/w/index.php?search=%D0%A7%D0%A3%D0%A7%D0%95%D0%9B%D0%9E%20%28%22%D0%A4%D0%B8%D1%82%D0%B8%D0%BB%D1%8C%22%20N%20332%29%201990%20%D1%84%D0%B8%D0%BB%D1%8C%D0%BC","искать")</f>
        <v/>
      </c>
      <c r="N3206" s="3" t="n"/>
      <c r="O3206" s="2" t="n"/>
      <c r="P3206" s="2" t="n"/>
    </row>
    <row r="3207">
      <c r="A3207" s="2" t="n">
        <v>3206</v>
      </c>
      <c r="B3207" s="2" t="inlineStr">
        <is>
          <t>короткая</t>
        </is>
      </c>
      <c r="C3207" s="2" t="n">
        <v>12645</v>
      </c>
      <c r="D3207" s="3" t="inlineStr">
        <is>
          <t>ПРИЕХАЛИ ("Фитиль" N 333)</t>
        </is>
      </c>
      <c r="E3207" s="2" t="n">
        <v>1990</v>
      </c>
      <c r="F3207" s="2" t="inlineStr">
        <is>
          <t>мультфильм</t>
        </is>
      </c>
      <c r="G3207" s="2" t="inlineStr">
        <is>
          <t>Союзмультфильм</t>
        </is>
      </c>
      <c r="H3207" s="2" t="n">
        <v>0</v>
      </c>
      <c r="I3207" s="2" t="inlineStr"/>
      <c r="J3207" s="2" t="inlineStr">
        <is>
          <t>?</t>
        </is>
      </c>
      <c r="K3207" s="3" t="inlineStr"/>
      <c r="L3207" s="2" t="inlineStr">
        <is>
          <t>https://animator.ru/db/?p=show_film&amp;fid=3825</t>
        </is>
      </c>
      <c r="M3207" s="2">
        <f>HYPERLINK("https://ru.wikipedia.org/w/index.php?search=%D0%9F%D0%A0%D0%98%D0%95%D0%A5%D0%90%D0%9B%D0%98%20%28%22%D0%A4%D0%B8%D1%82%D0%B8%D0%BB%D1%8C%22%20N%20333%29%201990%20%D1%84%D0%B8%D0%BB%D1%8C%D0%BC","искать")</f>
        <v/>
      </c>
      <c r="N3207" s="3" t="n"/>
      <c r="O3207" s="2" t="n"/>
      <c r="P3207" s="2" t="n"/>
    </row>
    <row r="3208">
      <c r="A3208" s="2" t="n">
        <v>3207</v>
      </c>
      <c r="B3208" s="2" t="inlineStr">
        <is>
          <t>короткая</t>
        </is>
      </c>
      <c r="C3208" s="2" t="n">
        <v>12648</v>
      </c>
      <c r="D3208" s="3" t="inlineStr">
        <is>
          <t>СРЕДНЯЯ ИНДИВИДУАЛЬНОСТЬ ("Фитиль" N 310)</t>
        </is>
      </c>
      <c r="E3208" s="2" t="n">
        <v>1988</v>
      </c>
      <c r="F3208" s="2" t="inlineStr">
        <is>
          <t>мультфильм</t>
        </is>
      </c>
      <c r="G3208" s="2" t="inlineStr">
        <is>
          <t>Союзмультфильм</t>
        </is>
      </c>
      <c r="H3208" s="2" t="n">
        <v>0</v>
      </c>
      <c r="I3208" s="2" t="inlineStr"/>
      <c r="J3208" s="2" t="inlineStr">
        <is>
          <t>?</t>
        </is>
      </c>
      <c r="K3208" s="3" t="inlineStr"/>
      <c r="L3208" s="2" t="inlineStr">
        <is>
          <t>https://animator.ru/db/?p=show_film&amp;fid=3828</t>
        </is>
      </c>
      <c r="M3208" s="2">
        <f>HYPERLINK("https://ru.wikipedia.org/w/index.php?search=%D0%A1%D0%A0%D0%95%D0%94%D0%9D%D0%AF%D0%AF%20%D0%98%D0%9D%D0%94%D0%98%D0%92%D0%98%D0%94%D0%A3%D0%90%D0%9B%D0%AC%D0%9D%D0%9E%D0%A1%D0%A2%D0%AC%20%28%22%D0%A4%D0%B8%D1%82%D0%B8%D0%BB%D1%8C%22%20N%20310%29%201988%20%D1%84%D0%B8%D0%BB%D1%8C%D0%BC","искать")</f>
        <v/>
      </c>
      <c r="N3208" s="3" t="n"/>
      <c r="O3208" s="2" t="n"/>
      <c r="P3208" s="2" t="n"/>
    </row>
    <row r="3209">
      <c r="A3209" s="2" t="n">
        <v>3208</v>
      </c>
      <c r="B3209" s="2" t="inlineStr">
        <is>
          <t>короткая</t>
        </is>
      </c>
      <c r="C3209" s="2" t="n">
        <v>12650</v>
      </c>
      <c r="D3209" s="3" t="inlineStr">
        <is>
          <t>ИСПОРЧЕННЫЙ ТЕЛЕФОН ("Фитиль" N 336)</t>
        </is>
      </c>
      <c r="E3209" s="2" t="n">
        <v>1990</v>
      </c>
      <c r="F3209" s="2" t="inlineStr">
        <is>
          <t>мультфильм</t>
        </is>
      </c>
      <c r="G3209" s="2" t="inlineStr">
        <is>
          <t>Союзмультфильм</t>
        </is>
      </c>
      <c r="H3209" s="2" t="n">
        <v>0</v>
      </c>
      <c r="I3209" s="2" t="inlineStr"/>
      <c r="J3209" s="2" t="inlineStr">
        <is>
          <t>?</t>
        </is>
      </c>
      <c r="K3209" s="3" t="inlineStr"/>
      <c r="L3209" s="2" t="inlineStr">
        <is>
          <t>https://animator.ru/db/?p=show_film&amp;fid=3830</t>
        </is>
      </c>
      <c r="M3209" s="2">
        <f>HYPERLINK("https://ru.wikipedia.org/w/index.php?search=%D0%98%D0%A1%D0%9F%D0%9E%D0%A0%D0%A7%D0%95%D0%9D%D0%9D%D0%AB%D0%99%20%D0%A2%D0%95%D0%9B%D0%95%D0%A4%D0%9E%D0%9D%20%28%22%D0%A4%D0%B8%D1%82%D0%B8%D0%BB%D1%8C%22%20N%20336%29%201990%20%D1%84%D0%B8%D0%BB%D1%8C%D0%BC","искать")</f>
        <v/>
      </c>
      <c r="N3209" s="3" t="n"/>
      <c r="O3209" s="2" t="n"/>
      <c r="P3209" s="2" t="n"/>
    </row>
    <row r="3210">
      <c r="A3210" s="2" t="n">
        <v>3209</v>
      </c>
      <c r="B3210" s="2" t="inlineStr">
        <is>
          <t>короткая</t>
        </is>
      </c>
      <c r="C3210" s="2" t="n">
        <v>12651</v>
      </c>
      <c r="D3210" s="3" t="inlineStr">
        <is>
          <t>УХОДЯЩИЙ ОБЪЕКТ ("Фитиль" N 339)</t>
        </is>
      </c>
      <c r="E3210" s="2" t="n">
        <v>1990</v>
      </c>
      <c r="F3210" s="2" t="inlineStr">
        <is>
          <t>мультфильм</t>
        </is>
      </c>
      <c r="G3210" s="2" t="inlineStr">
        <is>
          <t>КИЕВНАУЧФИЛЬМ</t>
        </is>
      </c>
      <c r="H3210" s="2" t="n">
        <v>0</v>
      </c>
      <c r="I3210" s="2" t="inlineStr"/>
      <c r="J3210" s="2" t="inlineStr">
        <is>
          <t>?</t>
        </is>
      </c>
      <c r="K3210" s="3" t="inlineStr"/>
      <c r="L3210" s="2" t="inlineStr">
        <is>
          <t>https://animator.ru/db/?p=show_film&amp;fid=3831</t>
        </is>
      </c>
      <c r="M3210" s="2">
        <f>HYPERLINK("https://ru.wikipedia.org/w/index.php?search=%D0%A3%D0%A5%D0%9E%D0%94%D0%AF%D0%A9%D0%98%D0%99%20%D0%9E%D0%91%D0%AA%D0%95%D0%9A%D0%A2%20%28%22%D0%A4%D0%B8%D1%82%D0%B8%D0%BB%D1%8C%22%20N%20339%29%201990%20%D1%84%D0%B8%D0%BB%D1%8C%D0%BC","искать")</f>
        <v/>
      </c>
      <c r="N3210" s="3" t="n"/>
      <c r="O3210" s="2" t="n"/>
      <c r="P3210" s="2" t="n"/>
    </row>
    <row r="3211">
      <c r="A3211" s="2" t="n">
        <v>3210</v>
      </c>
      <c r="B3211" s="2" t="inlineStr">
        <is>
          <t>короткая</t>
        </is>
      </c>
      <c r="C3211" s="2" t="n">
        <v>12652</v>
      </c>
      <c r="D3211" s="3" t="inlineStr">
        <is>
          <t>НОКАУТ ("Фитиль" N 341)</t>
        </is>
      </c>
      <c r="E3211" s="2" t="n">
        <v>1990</v>
      </c>
      <c r="F3211" s="2" t="inlineStr">
        <is>
          <t>мультфильм</t>
        </is>
      </c>
      <c r="G3211" s="2" t="inlineStr">
        <is>
          <t>Союзмультфильм</t>
        </is>
      </c>
      <c r="H3211" s="2" t="n">
        <v>0</v>
      </c>
      <c r="I3211" s="2" t="inlineStr"/>
      <c r="J3211" s="2" t="inlineStr">
        <is>
          <t>?</t>
        </is>
      </c>
      <c r="K3211" s="3" t="inlineStr"/>
      <c r="L3211" s="2" t="inlineStr">
        <is>
          <t>https://animator.ru/db/?p=show_film&amp;fid=3832</t>
        </is>
      </c>
      <c r="M3211" s="2">
        <f>HYPERLINK("https://ru.wikipedia.org/w/index.php?search=%D0%9D%D0%9E%D0%9A%D0%90%D0%A3%D0%A2%20%28%22%D0%A4%D0%B8%D1%82%D0%B8%D0%BB%D1%8C%22%20N%20341%29%201990%20%D1%84%D0%B8%D0%BB%D1%8C%D0%BC","искать")</f>
        <v/>
      </c>
      <c r="N3211" s="3" t="n"/>
      <c r="O3211" s="2" t="n"/>
      <c r="P3211" s="2" t="n"/>
    </row>
    <row r="3212">
      <c r="A3212" s="2" t="n">
        <v>3211</v>
      </c>
      <c r="B3212" s="2" t="inlineStr">
        <is>
          <t>короткая</t>
        </is>
      </c>
      <c r="C3212" s="2" t="n">
        <v>12653</v>
      </c>
      <c r="D3212" s="3" t="inlineStr">
        <is>
          <t>ПРОГРЕССИВНЫЙ СТОЛБНЯК ("Фитиль" N 344)</t>
        </is>
      </c>
      <c r="E3212" s="2" t="n">
        <v>1991</v>
      </c>
      <c r="F3212" s="2" t="inlineStr">
        <is>
          <t>мультфильм</t>
        </is>
      </c>
      <c r="G3212" s="2" t="inlineStr">
        <is>
          <t>Союзмультфильм</t>
        </is>
      </c>
      <c r="H3212" s="2" t="n">
        <v>0</v>
      </c>
      <c r="I3212" s="2" t="inlineStr"/>
      <c r="J3212" s="2" t="inlineStr">
        <is>
          <t>?</t>
        </is>
      </c>
      <c r="K3212" s="3" t="inlineStr"/>
      <c r="L3212" s="2" t="inlineStr">
        <is>
          <t>https://animator.ru/db/?p=show_film&amp;fid=3833</t>
        </is>
      </c>
      <c r="M3212" s="2">
        <f>HYPERLINK("https://ru.wikipedia.org/w/index.php?search=%D0%9F%D0%A0%D0%9E%D0%93%D0%A0%D0%95%D0%A1%D0%A1%D0%98%D0%92%D0%9D%D0%AB%D0%99%20%D0%A1%D0%A2%D0%9E%D0%9B%D0%91%D0%9D%D0%AF%D0%9A%20%28%22%D0%A4%D0%B8%D1%82%D0%B8%D0%BB%D1%8C%22%20N%20344%29%201991%20%D1%84%D0%B8%D0%BB%D1%8C%D0%BC","искать")</f>
        <v/>
      </c>
      <c r="N3212" s="3" t="n"/>
      <c r="O3212" s="2" t="n"/>
      <c r="P3212" s="2" t="n"/>
    </row>
    <row r="3213">
      <c r="A3213" s="2" t="n">
        <v>3212</v>
      </c>
      <c r="B3213" s="2" t="inlineStr">
        <is>
          <t>короткая</t>
        </is>
      </c>
      <c r="C3213" s="2" t="n">
        <v>12656</v>
      </c>
      <c r="D3213" s="3" t="inlineStr">
        <is>
          <t>Не отвлекайся</t>
        </is>
      </c>
      <c r="E3213" s="2" t="n">
        <v>1991</v>
      </c>
      <c r="F3213" s="2" t="inlineStr">
        <is>
          <t>мультфильм</t>
        </is>
      </c>
      <c r="G3213" s="2" t="inlineStr">
        <is>
          <t>ПАНОРАМА ЛО КИНОФОНДА СССР</t>
        </is>
      </c>
      <c r="H3213" s="2" t="n">
        <v>0</v>
      </c>
      <c r="I3213" s="2" t="inlineStr"/>
      <c r="J3213" s="2" t="inlineStr">
        <is>
          <t>?</t>
        </is>
      </c>
      <c r="K3213" s="3" t="inlineStr"/>
      <c r="L3213" s="2" t="inlineStr">
        <is>
          <t>https://animator.ru/db/?p=show_film&amp;fid=3836</t>
        </is>
      </c>
      <c r="M3213" s="2">
        <f>HYPERLINK("https://ru.wikipedia.org/w/index.php?search=%D0%9D%D0%B5%20%D0%BE%D1%82%D0%B2%D0%BB%D0%B5%D0%BA%D0%B0%D0%B9%D1%81%D1%8F%201991%20%D1%84%D0%B8%D0%BB%D1%8C%D0%BC","искать")</f>
        <v/>
      </c>
      <c r="N3213" s="3" t="n"/>
      <c r="O3213" s="2" t="n"/>
      <c r="P3213" s="2" t="n"/>
    </row>
    <row r="3214">
      <c r="A3214" s="2" t="n">
        <v>3213</v>
      </c>
      <c r="B3214" s="2" t="inlineStr">
        <is>
          <t>короткая</t>
        </is>
      </c>
      <c r="C3214" s="2" t="n">
        <v>12657</v>
      </c>
      <c r="D3214" s="3" t="inlineStr">
        <is>
          <t>РУССКОЕ ЧУДО ("Фитиль" N 347)</t>
        </is>
      </c>
      <c r="E3214" s="2" t="n">
        <v>1991</v>
      </c>
      <c r="F3214" s="2" t="inlineStr">
        <is>
          <t>мультфильм</t>
        </is>
      </c>
      <c r="G3214" s="2" t="inlineStr">
        <is>
          <t>КИЕВНАУЧФИЛЬМ</t>
        </is>
      </c>
      <c r="H3214" s="2" t="n">
        <v>0</v>
      </c>
      <c r="I3214" s="2" t="inlineStr"/>
      <c r="J3214" s="2" t="inlineStr">
        <is>
          <t>?</t>
        </is>
      </c>
      <c r="K3214" s="3" t="inlineStr"/>
      <c r="L3214" s="2" t="inlineStr">
        <is>
          <t>https://animator.ru/db/?p=show_film&amp;fid=3837</t>
        </is>
      </c>
      <c r="M3214" s="2">
        <f>HYPERLINK("https://ru.wikipedia.org/w/index.php?search=%D0%A0%D0%A3%D0%A1%D0%A1%D0%9A%D0%9E%D0%95%20%D0%A7%D0%A3%D0%94%D0%9E%20%28%22%D0%A4%D0%B8%D1%82%D0%B8%D0%BB%D1%8C%22%20N%20347%29%201991%20%D1%84%D0%B8%D0%BB%D1%8C%D0%BC","искать")</f>
        <v/>
      </c>
      <c r="N3214" s="3" t="n"/>
      <c r="O3214" s="2" t="n"/>
      <c r="P3214" s="2" t="n"/>
    </row>
    <row r="3215">
      <c r="A3215" s="2" t="n">
        <v>3214</v>
      </c>
      <c r="B3215" s="2" t="inlineStr">
        <is>
          <t>короткая</t>
        </is>
      </c>
      <c r="C3215" s="2" t="n">
        <v>12658</v>
      </c>
      <c r="D3215" s="3" t="inlineStr">
        <is>
          <t>НЕ КО ДВОРУ ("Фитиль" N 348)</t>
        </is>
      </c>
      <c r="E3215" s="2" t="n">
        <v>1991</v>
      </c>
      <c r="F3215" s="2" t="inlineStr">
        <is>
          <t>мультфильм</t>
        </is>
      </c>
      <c r="G3215" s="2" t="inlineStr">
        <is>
          <t>Союзмультфильм</t>
        </is>
      </c>
      <c r="H3215" s="2" t="n">
        <v>0</v>
      </c>
      <c r="I3215" s="2" t="inlineStr"/>
      <c r="J3215" s="2" t="inlineStr">
        <is>
          <t>?</t>
        </is>
      </c>
      <c r="K3215" s="3" t="inlineStr"/>
      <c r="L3215" s="2" t="inlineStr">
        <is>
          <t>https://animator.ru/db/?p=show_film&amp;fid=3838</t>
        </is>
      </c>
      <c r="M3215" s="2">
        <f>HYPERLINK("https://ru.wikipedia.org/w/index.php?search=%D0%9D%D0%95%20%D0%9A%D0%9E%20%D0%94%D0%92%D0%9E%D0%A0%D0%A3%20%28%22%D0%A4%D0%B8%D1%82%D0%B8%D0%BB%D1%8C%22%20N%20348%29%201991%20%D1%84%D0%B8%D0%BB%D1%8C%D0%BC","искать")</f>
        <v/>
      </c>
      <c r="N3215" s="3" t="n"/>
      <c r="O3215" s="2" t="n"/>
      <c r="P3215" s="2" t="n"/>
    </row>
    <row r="3216">
      <c r="A3216" s="2" t="n">
        <v>3215</v>
      </c>
      <c r="B3216" s="2" t="inlineStr">
        <is>
          <t>короткая</t>
        </is>
      </c>
      <c r="C3216" s="2" t="n">
        <v>12664</v>
      </c>
      <c r="D3216" s="3" t="inlineStr">
        <is>
          <t>Бумажная сказка</t>
        </is>
      </c>
      <c r="E3216" s="2" t="n">
        <v>1976</v>
      </c>
      <c r="F3216" s="2" t="inlineStr">
        <is>
          <t>мультфильм</t>
        </is>
      </c>
      <c r="G3216" s="2" t="inlineStr">
        <is>
          <t>БЕЛАРУСЬФИЛЬМ НАЦИОНАЛЬНАЯ КИНОСТУДИЯ - ГП</t>
        </is>
      </c>
      <c r="H3216" s="2" t="n">
        <v>0</v>
      </c>
      <c r="I3216" s="2" t="inlineStr"/>
      <c r="J3216" s="2" t="inlineStr">
        <is>
          <t>?</t>
        </is>
      </c>
      <c r="K3216" s="3" t="inlineStr"/>
      <c r="L3216" s="2" t="inlineStr">
        <is>
          <t>https://animator.ru/db/?p=show_film&amp;fid=3857</t>
        </is>
      </c>
      <c r="M3216" s="2">
        <f>HYPERLINK("https://ru.wikipedia.org/w/index.php?search=%D0%91%D1%83%D0%BC%D0%B0%D0%B6%D0%BD%D0%B0%D1%8F%20%D1%81%D0%BA%D0%B0%D0%B7%D0%BA%D0%B0%201976%20%D1%84%D0%B8%D0%BB%D1%8C%D0%BC","искать")</f>
        <v/>
      </c>
      <c r="N3216" s="3" t="n"/>
      <c r="O3216" s="2" t="n"/>
      <c r="P3216" s="2" t="n"/>
    </row>
    <row r="3217">
      <c r="A3217" s="2" t="n">
        <v>3216</v>
      </c>
      <c r="B3217" s="2" t="inlineStr">
        <is>
          <t>короткая</t>
        </is>
      </c>
      <c r="C3217" s="2" t="n">
        <v>12671</v>
      </c>
      <c r="D3217" s="3" t="inlineStr">
        <is>
          <t>Отшельник и Роза</t>
        </is>
      </c>
      <c r="E3217" s="2" t="n">
        <v>1980</v>
      </c>
      <c r="F3217" s="2" t="inlineStr">
        <is>
          <t>мультфильм</t>
        </is>
      </c>
      <c r="G3217" s="2" t="inlineStr">
        <is>
          <t>БЕЛАРУСЬФИЛЬМ НАЦИОНАЛЬНАЯ КИНОСТУДИЯ - ГП</t>
        </is>
      </c>
      <c r="H3217" s="2" t="n">
        <v>0</v>
      </c>
      <c r="I3217" s="2" t="inlineStr"/>
      <c r="J3217" s="2" t="inlineStr">
        <is>
          <t>?</t>
        </is>
      </c>
      <c r="K3217" s="3" t="inlineStr"/>
      <c r="L3217" s="2" t="inlineStr">
        <is>
          <t>https://animator.ru/db/?p=show_film&amp;fid=3866</t>
        </is>
      </c>
      <c r="M3217" s="2">
        <f>HYPERLINK("https://ru.wikipedia.org/w/index.php?search=%D0%9E%D1%82%D1%88%D0%B5%D0%BB%D1%8C%D0%BD%D0%B8%D0%BA%20%D0%B8%20%D0%A0%D0%BE%D0%B7%D0%B0%201980%20%D1%84%D0%B8%D0%BB%D1%8C%D0%BC","искать")</f>
        <v/>
      </c>
      <c r="N3217" s="3" t="n"/>
      <c r="O3217" s="2" t="n"/>
      <c r="P3217" s="2" t="n"/>
    </row>
    <row r="3218">
      <c r="A3218" s="2" t="n">
        <v>3217</v>
      </c>
      <c r="B3218" s="2" t="inlineStr">
        <is>
          <t>короткая</t>
        </is>
      </c>
      <c r="C3218" s="2" t="n">
        <v>12672</v>
      </c>
      <c r="D3218" s="3" t="inlineStr">
        <is>
          <t>Пинчер Боб и семь колокольчиков</t>
        </is>
      </c>
      <c r="E3218" s="2" t="n">
        <v>1984</v>
      </c>
      <c r="F3218" s="2" t="inlineStr">
        <is>
          <t>мультфильм</t>
        </is>
      </c>
      <c r="G3218" s="2" t="inlineStr">
        <is>
          <t>БЕЛАРУСЬФИЛЬМ НАЦИОНАЛЬНАЯ КИНОСТУДИЯ - ГП</t>
        </is>
      </c>
      <c r="H3218" s="2" t="n">
        <v>0</v>
      </c>
      <c r="I3218" s="2" t="inlineStr"/>
      <c r="J3218" s="2" t="inlineStr">
        <is>
          <t>?</t>
        </is>
      </c>
      <c r="K3218" s="3" t="inlineStr"/>
      <c r="L3218" s="2" t="inlineStr">
        <is>
          <t>https://animator.ru/db/?p=show_film&amp;fid=3867</t>
        </is>
      </c>
      <c r="M3218" s="2">
        <f>HYPERLINK("https://ru.wikipedia.org/w/index.php?search=%D0%9F%D0%B8%D0%BD%D1%87%D0%B5%D1%80%20%D0%91%D0%BE%D0%B1%20%D0%B8%20%D1%81%D0%B5%D0%BC%D1%8C%20%D0%BA%D0%BE%D0%BB%D0%BE%D0%BA%D0%BE%D0%BB%D1%8C%D1%87%D0%B8%D0%BA%D0%BE%D0%B2%201984%20%D1%84%D0%B8%D0%BB%D1%8C%D0%BC","искать")</f>
        <v/>
      </c>
      <c r="N3218" s="3" t="n"/>
      <c r="O3218" s="2" t="n"/>
      <c r="P3218" s="2" t="n"/>
    </row>
    <row r="3219">
      <c r="A3219" s="2" t="n">
        <v>3218</v>
      </c>
      <c r="B3219" s="2" t="inlineStr">
        <is>
          <t>короткая</t>
        </is>
      </c>
      <c r="C3219" s="2" t="n">
        <v>12680</v>
      </c>
      <c r="D3219" s="3" t="inlineStr">
        <is>
          <t>Колдовское колесо</t>
        </is>
      </c>
      <c r="E3219" s="2" t="n">
        <v>1986</v>
      </c>
      <c r="F3219" s="2" t="inlineStr">
        <is>
          <t>мультфильм</t>
        </is>
      </c>
      <c r="G3219" s="2" t="inlineStr">
        <is>
          <t>БЕЛАРУСЬФИЛЬМ НАЦИОНАЛЬНАЯ КИНОСТУДИЯ - ГП</t>
        </is>
      </c>
      <c r="H3219" s="2" t="n">
        <v>0</v>
      </c>
      <c r="I3219" s="2" t="inlineStr"/>
      <c r="J3219" s="2" t="inlineStr">
        <is>
          <t>?</t>
        </is>
      </c>
      <c r="K3219" s="3" t="inlineStr"/>
      <c r="L3219" s="2" t="inlineStr">
        <is>
          <t>https://animator.ru/db/?p=show_film&amp;fid=3875</t>
        </is>
      </c>
      <c r="M3219" s="2">
        <f>HYPERLINK("https://ru.wikipedia.org/w/index.php?search=%D0%9A%D0%BE%D0%BB%D0%B4%D0%BE%D0%B2%D1%81%D0%BA%D0%BE%D0%B5%20%D0%BA%D0%BE%D0%BB%D0%B5%D1%81%D0%BE%201986%20%D1%84%D0%B8%D0%BB%D1%8C%D0%BC","искать")</f>
        <v/>
      </c>
      <c r="N3219" s="3" t="n"/>
      <c r="O3219" s="2" t="n"/>
      <c r="P3219" s="2" t="n"/>
    </row>
    <row r="3220">
      <c r="A3220" s="2" t="n">
        <v>3219</v>
      </c>
      <c r="B3220" s="2" t="inlineStr">
        <is>
          <t>короткая</t>
        </is>
      </c>
      <c r="C3220" s="2" t="n">
        <v>12689</v>
      </c>
      <c r="D3220" s="3" t="inlineStr">
        <is>
          <t>Лабиринт-1. Муха</t>
        </is>
      </c>
      <c r="E3220" s="2" t="n">
        <v>1990</v>
      </c>
      <c r="F3220" s="2" t="inlineStr">
        <is>
          <t>мультфильм</t>
        </is>
      </c>
      <c r="G3220" s="2" t="inlineStr">
        <is>
          <t>БЕЛАРУСЬФИЛЬМ НАЦИОНАЛЬНАЯ КИНОСТУДИЯ - ГП</t>
        </is>
      </c>
      <c r="H3220" s="2" t="n">
        <v>0</v>
      </c>
      <c r="I3220" s="2" t="inlineStr"/>
      <c r="J3220" s="2" t="inlineStr">
        <is>
          <t>?</t>
        </is>
      </c>
      <c r="K3220" s="3" t="inlineStr"/>
      <c r="L3220" s="2" t="inlineStr">
        <is>
          <t>https://animator.ru/db/?p=show_film&amp;fid=3884</t>
        </is>
      </c>
      <c r="M3220" s="2">
        <f>HYPERLINK("https://ru.wikipedia.org/w/index.php?search=%D0%9B%D0%B0%D0%B1%D0%B8%D1%80%D0%B8%D0%BD%D1%82-1.%20%D0%9C%D1%83%D1%85%D0%B0%201990%20%D1%84%D0%B8%D0%BB%D1%8C%D0%BC","искать")</f>
        <v/>
      </c>
      <c r="N3220" s="3" t="n"/>
      <c r="O3220" s="2" t="n"/>
      <c r="P3220" s="2" t="n"/>
    </row>
    <row r="3221">
      <c r="A3221" s="2" t="n">
        <v>3220</v>
      </c>
      <c r="B3221" s="2" t="inlineStr">
        <is>
          <t>короткая</t>
        </is>
      </c>
      <c r="C3221" s="2" t="n">
        <v>12690</v>
      </c>
      <c r="D3221" s="3" t="inlineStr">
        <is>
          <t>Лабиринт-1. Последний шаг</t>
        </is>
      </c>
      <c r="E3221" s="2" t="n">
        <v>1990</v>
      </c>
      <c r="F3221" s="2" t="inlineStr">
        <is>
          <t>мультфильм</t>
        </is>
      </c>
      <c r="G3221" s="2" t="inlineStr">
        <is>
          <t>БЕЛАРУСЬФИЛЬМ НАЦИОНАЛЬНАЯ КИНОСТУДИЯ - ГП</t>
        </is>
      </c>
      <c r="H3221" s="2" t="n">
        <v>0</v>
      </c>
      <c r="I3221" s="2" t="inlineStr"/>
      <c r="J3221" s="2" t="inlineStr">
        <is>
          <t>?</t>
        </is>
      </c>
      <c r="K3221" s="3" t="inlineStr"/>
      <c r="L3221" s="2" t="inlineStr">
        <is>
          <t>https://animator.ru/db/?p=show_film&amp;fid=3885</t>
        </is>
      </c>
      <c r="M3221" s="2">
        <f>HYPERLINK("https://ru.wikipedia.org/w/index.php?search=%D0%9B%D0%B0%D0%B1%D0%B8%D1%80%D0%B8%D0%BD%D1%82-1.%20%D0%9F%D0%BE%D1%81%D0%BB%D0%B5%D0%B4%D0%BD%D0%B8%D0%B9%20%D1%88%D0%B0%D0%B3%201990%20%D1%84%D0%B8%D0%BB%D1%8C%D0%BC","искать")</f>
        <v/>
      </c>
      <c r="N3221" s="3" t="n"/>
      <c r="O3221" s="2" t="n"/>
      <c r="P3221" s="2" t="n"/>
    </row>
    <row r="3222">
      <c r="A3222" s="2" t="n">
        <v>3221</v>
      </c>
      <c r="B3222" s="2" t="inlineStr">
        <is>
          <t>короткая</t>
        </is>
      </c>
      <c r="C3222" s="2" t="n">
        <v>12691</v>
      </c>
      <c r="D3222" s="3" t="inlineStr">
        <is>
          <t>Лабиринт-1. Икариада</t>
        </is>
      </c>
      <c r="E3222" s="2" t="n">
        <v>1990</v>
      </c>
      <c r="F3222" s="2" t="inlineStr">
        <is>
          <t>мультфильм</t>
        </is>
      </c>
      <c r="G3222" s="2" t="inlineStr">
        <is>
          <t>БЕЛАРУСЬФИЛЬМ НАЦИОНАЛЬНАЯ КИНОСТУДИЯ - ГП</t>
        </is>
      </c>
      <c r="H3222" s="2" t="n">
        <v>0</v>
      </c>
      <c r="I3222" s="2" t="inlineStr"/>
      <c r="J3222" s="2" t="inlineStr">
        <is>
          <t>?</t>
        </is>
      </c>
      <c r="K3222" s="3" t="inlineStr"/>
      <c r="L3222" s="2" t="inlineStr">
        <is>
          <t>https://animator.ru/db/?p=show_film&amp;fid=3886</t>
        </is>
      </c>
      <c r="M3222" s="2">
        <f>HYPERLINK("https://ru.wikipedia.org/w/index.php?search=%D0%9B%D0%B0%D0%B1%D0%B8%D1%80%D0%B8%D0%BD%D1%82-1.%20%D0%98%D0%BA%D0%B0%D1%80%D0%B8%D0%B0%D0%B4%D0%B0%201990%20%D1%84%D0%B8%D0%BB%D1%8C%D0%BC","искать")</f>
        <v/>
      </c>
      <c r="N3222" s="3" t="n"/>
      <c r="O3222" s="2" t="n"/>
      <c r="P3222" s="2" t="n"/>
    </row>
    <row r="3223">
      <c r="A3223" s="2" t="n">
        <v>3222</v>
      </c>
      <c r="B3223" s="2" t="inlineStr">
        <is>
          <t>короткая</t>
        </is>
      </c>
      <c r="C3223" s="2" t="n">
        <v>12692</v>
      </c>
      <c r="D3223" s="3" t="inlineStr">
        <is>
          <t>Лабиринт-1. Стрелочник</t>
        </is>
      </c>
      <c r="E3223" s="2" t="n">
        <v>1990</v>
      </c>
      <c r="F3223" s="2" t="inlineStr">
        <is>
          <t>мультфильм</t>
        </is>
      </c>
      <c r="G3223" s="2" t="inlineStr">
        <is>
          <t>БЕЛАРУСЬФИЛЬМ НАЦИОНАЛЬНАЯ КИНОСТУДИЯ - ГП</t>
        </is>
      </c>
      <c r="H3223" s="2" t="n">
        <v>0</v>
      </c>
      <c r="I3223" s="2" t="inlineStr"/>
      <c r="J3223" s="2" t="inlineStr">
        <is>
          <t>?</t>
        </is>
      </c>
      <c r="K3223" s="3" t="inlineStr"/>
      <c r="L3223" s="2" t="inlineStr">
        <is>
          <t>https://animator.ru/db/?p=show_film&amp;fid=3887</t>
        </is>
      </c>
      <c r="M3223" s="2">
        <f>HYPERLINK("https://ru.wikipedia.org/w/index.php?search=%D0%9B%D0%B0%D0%B1%D0%B8%D1%80%D0%B8%D0%BD%D1%82-1.%20%D0%A1%D1%82%D1%80%D0%B5%D0%BB%D0%BE%D1%87%D0%BD%D0%B8%D0%BA%201990%20%D1%84%D0%B8%D0%BB%D1%8C%D0%BC","искать")</f>
        <v/>
      </c>
      <c r="N3223" s="3" t="n"/>
      <c r="O3223" s="2" t="n"/>
      <c r="P3223" s="2" t="n"/>
    </row>
    <row r="3224">
      <c r="A3224" s="2" t="n">
        <v>3223</v>
      </c>
      <c r="B3224" s="2" t="inlineStr">
        <is>
          <t>короткая</t>
        </is>
      </c>
      <c r="C3224" s="2" t="n">
        <v>12693</v>
      </c>
      <c r="D3224" s="3" t="inlineStr">
        <is>
          <t>Лабиринт-1. Конец конического всадника</t>
        </is>
      </c>
      <c r="E3224" s="2" t="n">
        <v>1990</v>
      </c>
      <c r="F3224" s="2" t="inlineStr">
        <is>
          <t>мультфильм</t>
        </is>
      </c>
      <c r="G3224" s="2" t="inlineStr">
        <is>
          <t>БЕЛАРУСЬФИЛЬМ НАЦИОНАЛЬНАЯ КИНОСТУДИЯ - ГП</t>
        </is>
      </c>
      <c r="H3224" s="2" t="n">
        <v>0</v>
      </c>
      <c r="I3224" s="2" t="inlineStr"/>
      <c r="J3224" s="2" t="inlineStr">
        <is>
          <t>?</t>
        </is>
      </c>
      <c r="K3224" s="3" t="inlineStr"/>
      <c r="L3224" s="2" t="inlineStr">
        <is>
          <t>https://animator.ru/db/?p=show_film&amp;fid=3888</t>
        </is>
      </c>
      <c r="M3224" s="2">
        <f>HYPERLINK("https://ru.wikipedia.org/w/index.php?search=%D0%9B%D0%B0%D0%B1%D0%B8%D1%80%D0%B8%D0%BD%D1%82-1.%20%D0%9A%D0%BE%D0%BD%D0%B5%D1%86%20%D0%BA%D0%BE%D0%BD%D0%B8%D1%87%D0%B5%D1%81%D0%BA%D0%BE%D0%B3%D0%BE%20%D0%B2%D1%81%D0%B0%D0%B4%D0%BD%D0%B8%D0%BA%D0%B0%201990%20%D1%84%D0%B8%D0%BB%D1%8C%D0%BC","искать")</f>
        <v/>
      </c>
      <c r="N3224" s="3" t="n"/>
      <c r="O3224" s="2" t="n"/>
      <c r="P3224" s="2" t="n"/>
    </row>
    <row r="3225">
      <c r="A3225" s="2" t="n">
        <v>3224</v>
      </c>
      <c r="B3225" s="2" t="inlineStr">
        <is>
          <t>короткая</t>
        </is>
      </c>
      <c r="C3225" s="2" t="n">
        <v>12697</v>
      </c>
      <c r="D3225" s="3" t="inlineStr">
        <is>
          <t>Про кота, Васю и охотничью катавасию</t>
        </is>
      </c>
      <c r="E3225" s="2" t="n">
        <v>1981</v>
      </c>
      <c r="F3225" s="2" t="inlineStr">
        <is>
          <t>мультфильм</t>
        </is>
      </c>
      <c r="G3225" s="2" t="inlineStr">
        <is>
          <t>БЕЛАРУСЬФИЛЬМ НАЦИОНАЛЬНАЯ КИНОСТУДИЯ - ГП</t>
        </is>
      </c>
      <c r="H3225" s="2" t="n">
        <v>0</v>
      </c>
      <c r="I3225" s="2" t="inlineStr"/>
      <c r="J3225" s="2" t="inlineStr">
        <is>
          <t>?</t>
        </is>
      </c>
      <c r="K3225" s="3" t="inlineStr"/>
      <c r="L3225" s="2" t="inlineStr">
        <is>
          <t>https://animator.ru/db/?p=show_film&amp;fid=3892</t>
        </is>
      </c>
      <c r="M3225" s="2">
        <f>HYPERLINK("https://ru.wikipedia.org/w/index.php?search=%D0%9F%D1%80%D0%BE%20%D0%BA%D0%BE%D1%82%D0%B0%2C%20%D0%92%D0%B0%D1%81%D1%8E%20%D0%B8%20%D0%BE%D1%85%D0%BE%D1%82%D0%BD%D0%B8%D1%87%D1%8C%D1%8E%20%D0%BA%D0%B0%D1%82%D0%B0%D0%B2%D0%B0%D1%81%D0%B8%D1%8E%201981%20%D1%84%D0%B8%D0%BB%D1%8C%D0%BC","искать")</f>
        <v/>
      </c>
      <c r="N3225" s="3" t="n"/>
      <c r="O3225" s="2" t="n"/>
      <c r="P3225" s="2" t="n"/>
    </row>
    <row r="3226">
      <c r="A3226" s="2" t="n">
        <v>3225</v>
      </c>
      <c r="B3226" s="2" t="inlineStr">
        <is>
          <t>короткая</t>
        </is>
      </c>
      <c r="C3226" s="2" t="n">
        <v>12701</v>
      </c>
      <c r="D3226" s="3" t="inlineStr">
        <is>
          <t>Вам старт!</t>
        </is>
      </c>
      <c r="E3226" s="2" t="n">
        <v>1979</v>
      </c>
      <c r="F3226" s="2" t="inlineStr">
        <is>
          <t>мультфильм</t>
        </is>
      </c>
      <c r="G3226" s="2" t="inlineStr">
        <is>
          <t>БЕЛАРУСЬФИЛЬМ НАЦИОНАЛЬНАЯ КИНОСТУДИЯ - ГП</t>
        </is>
      </c>
      <c r="H3226" s="2" t="n">
        <v>0</v>
      </c>
      <c r="I3226" s="2" t="inlineStr"/>
      <c r="J3226" s="2" t="inlineStr">
        <is>
          <t>?</t>
        </is>
      </c>
      <c r="K3226" s="3" t="inlineStr"/>
      <c r="L3226" s="2" t="inlineStr">
        <is>
          <t>https://animator.ru/db/?p=show_film&amp;fid=3896</t>
        </is>
      </c>
      <c r="M3226" s="2">
        <f>HYPERLINK("https://ru.wikipedia.org/w/index.php?search=%D0%92%D0%B0%D0%BC%20%D1%81%D1%82%D0%B0%D1%80%D1%82%21%201979%20%D1%84%D0%B8%D0%BB%D1%8C%D0%BC","искать")</f>
        <v/>
      </c>
      <c r="N3226" s="3" t="n"/>
      <c r="O3226" s="2" t="n"/>
      <c r="P3226" s="2" t="n"/>
    </row>
    <row r="3227">
      <c r="A3227" s="2" t="n">
        <v>3226</v>
      </c>
      <c r="B3227" s="2" t="inlineStr">
        <is>
          <t>короткая</t>
        </is>
      </c>
      <c r="C3227" s="2" t="n">
        <v>12711</v>
      </c>
      <c r="D3227" s="3" t="inlineStr">
        <is>
          <t>Джиртдан</t>
        </is>
      </c>
      <c r="E3227" s="2" t="n">
        <v>1969</v>
      </c>
      <c r="F3227" s="2" t="inlineStr">
        <is>
          <t>мультфильм</t>
        </is>
      </c>
      <c r="G3227" s="2" t="inlineStr">
        <is>
          <t>АЗЕРБАЙДЖАНФИЛЬМ</t>
        </is>
      </c>
      <c r="H3227" s="2" t="n">
        <v>0</v>
      </c>
      <c r="I3227" s="2" t="inlineStr"/>
      <c r="J3227" s="2" t="inlineStr">
        <is>
          <t>?</t>
        </is>
      </c>
      <c r="K3227" s="3" t="inlineStr"/>
      <c r="L3227" s="2" t="inlineStr">
        <is>
          <t>https://animator.ru/db/?p=show_film&amp;fid=3917</t>
        </is>
      </c>
      <c r="M3227" s="2">
        <f>HYPERLINK("https://ru.wikipedia.org/w/index.php?search=%D0%94%D0%B6%D0%B8%D1%80%D1%82%D0%B4%D0%B0%D0%BD%201969%20%D1%84%D0%B8%D0%BB%D1%8C%D0%BC","искать")</f>
        <v/>
      </c>
      <c r="N3227" s="3" t="n"/>
      <c r="O3227" s="2" t="n"/>
      <c r="P3227" s="2" t="n"/>
    </row>
    <row r="3228">
      <c r="A3228" s="2" t="n">
        <v>3227</v>
      </c>
      <c r="B3228" s="2" t="inlineStr">
        <is>
          <t>короткая</t>
        </is>
      </c>
      <c r="C3228" s="2" t="n">
        <v>12712</v>
      </c>
      <c r="D3228" s="3" t="inlineStr">
        <is>
          <t>Медведь и мышь</t>
        </is>
      </c>
      <c r="E3228" s="2" t="n">
        <v>1970</v>
      </c>
      <c r="F3228" s="2" t="inlineStr">
        <is>
          <t>мультфильм</t>
        </is>
      </c>
      <c r="G3228" s="2" t="inlineStr">
        <is>
          <t>АЗЕРБАЙДЖАНФИЛЬМ</t>
        </is>
      </c>
      <c r="H3228" s="2" t="n">
        <v>0</v>
      </c>
      <c r="I3228" s="2" t="inlineStr"/>
      <c r="J3228" s="2" t="inlineStr">
        <is>
          <t>?</t>
        </is>
      </c>
      <c r="K3228" s="3" t="inlineStr"/>
      <c r="L3228" s="2" t="inlineStr">
        <is>
          <t>https://animator.ru/db/?p=show_film&amp;fid=3918</t>
        </is>
      </c>
      <c r="M3228" s="2">
        <f>HYPERLINK("https://ru.wikipedia.org/w/index.php?search=%D0%9C%D0%B5%D0%B4%D0%B2%D0%B5%D0%B4%D1%8C%20%D0%B8%20%D0%BC%D1%8B%D1%88%D1%8C%201970%20%D1%84%D0%B8%D0%BB%D1%8C%D0%BC","искать")</f>
        <v/>
      </c>
      <c r="N3228" s="3" t="n"/>
      <c r="O3228" s="2" t="n"/>
      <c r="P3228" s="2" t="n"/>
    </row>
    <row r="3229">
      <c r="A3229" s="2" t="n">
        <v>3228</v>
      </c>
      <c r="B3229" s="2" t="inlineStr">
        <is>
          <t>короткая</t>
        </is>
      </c>
      <c r="C3229" s="2" t="n">
        <v>12716</v>
      </c>
      <c r="D3229" s="3" t="inlineStr">
        <is>
          <t>Шакал сын шакала</t>
        </is>
      </c>
      <c r="E3229" s="2" t="n">
        <v>1972</v>
      </c>
      <c r="F3229" s="2" t="inlineStr">
        <is>
          <t>мультфильм</t>
        </is>
      </c>
      <c r="G3229" s="2" t="inlineStr">
        <is>
          <t>АЗЕРБАЙДЖАНФИЛЬМ</t>
        </is>
      </c>
      <c r="H3229" s="2" t="n">
        <v>0</v>
      </c>
      <c r="I3229" s="2" t="inlineStr"/>
      <c r="J3229" s="2" t="inlineStr">
        <is>
          <t>?</t>
        </is>
      </c>
      <c r="K3229" s="3" t="inlineStr"/>
      <c r="L3229" s="2" t="inlineStr">
        <is>
          <t>https://animator.ru/db/?p=show_film&amp;fid=3922</t>
        </is>
      </c>
      <c r="M3229" s="2">
        <f>HYPERLINK("https://ru.wikipedia.org/w/index.php?search=%D0%A8%D0%B0%D0%BA%D0%B0%D0%BB%20%D1%81%D1%8B%D0%BD%20%D1%88%D0%B0%D0%BA%D0%B0%D0%BB%D0%B0%201972%20%D1%84%D0%B8%D0%BB%D1%8C%D0%BC","искать")</f>
        <v/>
      </c>
      <c r="N3229" s="3" t="n"/>
      <c r="O3229" s="2" t="n"/>
      <c r="P3229" s="2" t="n"/>
    </row>
    <row r="3230">
      <c r="A3230" s="2" t="n">
        <v>3229</v>
      </c>
      <c r="B3230" s="2" t="inlineStr">
        <is>
          <t>короткая</t>
        </is>
      </c>
      <c r="C3230" s="2" t="n">
        <v>12717</v>
      </c>
      <c r="D3230" s="3" t="inlineStr">
        <is>
          <t>Новые похождения джиртдана</t>
        </is>
      </c>
      <c r="E3230" s="2" t="n">
        <v>1973</v>
      </c>
      <c r="F3230" s="2" t="inlineStr">
        <is>
          <t>мультфильм</t>
        </is>
      </c>
      <c r="G3230" s="2" t="inlineStr">
        <is>
          <t>АЗЕРБАЙДЖАНФИЛЬМ</t>
        </is>
      </c>
      <c r="H3230" s="2" t="n">
        <v>0</v>
      </c>
      <c r="I3230" s="2" t="inlineStr"/>
      <c r="J3230" s="2" t="inlineStr">
        <is>
          <t>?</t>
        </is>
      </c>
      <c r="K3230" s="3" t="inlineStr"/>
      <c r="L3230" s="2" t="inlineStr">
        <is>
          <t>https://animator.ru/db/?p=show_film&amp;fid=3923</t>
        </is>
      </c>
      <c r="M3230" s="2">
        <f>HYPERLINK("https://ru.wikipedia.org/w/index.php?search=%D0%9D%D0%BE%D0%B2%D1%8B%D0%B5%20%D0%BF%D0%BE%D1%85%D0%BE%D0%B6%D0%B4%D0%B5%D0%BD%D0%B8%D1%8F%20%D0%B4%D0%B6%D0%B8%D1%80%D1%82%D0%B4%D0%B0%D0%BD%D0%B0%201973%20%D1%84%D0%B8%D0%BB%D1%8C%D0%BC","искать")</f>
        <v/>
      </c>
      <c r="N3230" s="3" t="n"/>
      <c r="O3230" s="2" t="n"/>
      <c r="P3230" s="2" t="n"/>
    </row>
    <row r="3231">
      <c r="A3231" s="2" t="n">
        <v>3230</v>
      </c>
      <c r="B3231" s="2" t="inlineStr">
        <is>
          <t>короткая</t>
        </is>
      </c>
      <c r="C3231" s="2" t="n">
        <v>12719</v>
      </c>
      <c r="D3231" s="3" t="inlineStr">
        <is>
          <t>Прекрасная царевна нефть</t>
        </is>
      </c>
      <c r="E3231" s="2" t="n">
        <v>1974</v>
      </c>
      <c r="F3231" s="2" t="inlineStr">
        <is>
          <t>мультфильм</t>
        </is>
      </c>
      <c r="G3231" s="2" t="inlineStr">
        <is>
          <t>АЗЕРБАЙДЖАНФИЛЬМ</t>
        </is>
      </c>
      <c r="H3231" s="2" t="n">
        <v>0</v>
      </c>
      <c r="I3231" s="2" t="inlineStr"/>
      <c r="J3231" s="2" t="inlineStr">
        <is>
          <t>?</t>
        </is>
      </c>
      <c r="K3231" s="3" t="inlineStr"/>
      <c r="L3231" s="2" t="inlineStr">
        <is>
          <t>https://animator.ru/db/?p=show_film&amp;fid=3925</t>
        </is>
      </c>
      <c r="M3231" s="2">
        <f>HYPERLINK("https://ru.wikipedia.org/w/index.php?search=%D0%9F%D1%80%D0%B5%D0%BA%D1%80%D0%B0%D1%81%D0%BD%D0%B0%D1%8F%20%D1%86%D0%B0%D1%80%D0%B5%D0%B2%D0%BD%D0%B0%20%D0%BD%D0%B5%D1%84%D1%82%D1%8C%201974%20%D1%84%D0%B8%D0%BB%D1%8C%D0%BC","искать")</f>
        <v/>
      </c>
      <c r="N3231" s="3" t="n"/>
      <c r="O3231" s="2" t="n"/>
      <c r="P3231" s="2" t="n"/>
    </row>
    <row r="3232">
      <c r="A3232" s="2" t="n">
        <v>3231</v>
      </c>
      <c r="B3232" s="2" t="inlineStr">
        <is>
          <t>короткая</t>
        </is>
      </c>
      <c r="C3232" s="2" t="n">
        <v>12720</v>
      </c>
      <c r="D3232" s="3" t="inlineStr">
        <is>
          <t>Поиски друга</t>
        </is>
      </c>
      <c r="E3232" s="2" t="n">
        <v>1974</v>
      </c>
      <c r="F3232" s="2" t="inlineStr">
        <is>
          <t>мультфильм</t>
        </is>
      </c>
      <c r="G3232" s="2" t="inlineStr">
        <is>
          <t>АЗЕРБАЙДЖАНФИЛЬМ</t>
        </is>
      </c>
      <c r="H3232" s="2" t="n">
        <v>0</v>
      </c>
      <c r="I3232" s="2" t="inlineStr"/>
      <c r="J3232" s="2" t="inlineStr">
        <is>
          <t>?</t>
        </is>
      </c>
      <c r="K3232" s="3" t="inlineStr"/>
      <c r="L3232" s="2" t="inlineStr">
        <is>
          <t>https://animator.ru/db/?p=show_film&amp;fid=3926</t>
        </is>
      </c>
      <c r="M3232" s="2">
        <f>HYPERLINK("https://ru.wikipedia.org/w/index.php?search=%D0%9F%D0%BE%D0%B8%D1%81%D0%BA%D0%B8%20%D0%B4%D1%80%D1%83%D0%B3%D0%B0%201974%20%D1%84%D0%B8%D0%BB%D1%8C%D0%BC","искать")</f>
        <v/>
      </c>
      <c r="N3232" s="3" t="n"/>
      <c r="O3232" s="2" t="n"/>
      <c r="P3232" s="2" t="n"/>
    </row>
    <row r="3233">
      <c r="A3233" s="2" t="n">
        <v>3232</v>
      </c>
      <c r="B3233" s="2" t="inlineStr">
        <is>
          <t>короткая</t>
        </is>
      </c>
      <c r="C3233" s="2" t="n">
        <v>12721</v>
      </c>
      <c r="D3233" s="3" t="inlineStr">
        <is>
          <t>Джуджалярим</t>
        </is>
      </c>
      <c r="E3233" s="2" t="n">
        <v>1975</v>
      </c>
      <c r="F3233" s="2" t="inlineStr">
        <is>
          <t>мультфильм</t>
        </is>
      </c>
      <c r="G3233" s="2" t="inlineStr">
        <is>
          <t>АЗЕРБАЙДЖАНФИЛЬМ</t>
        </is>
      </c>
      <c r="H3233" s="2" t="n">
        <v>0</v>
      </c>
      <c r="I3233" s="2" t="inlineStr"/>
      <c r="J3233" s="2" t="inlineStr">
        <is>
          <t>?</t>
        </is>
      </c>
      <c r="K3233" s="3" t="inlineStr"/>
      <c r="L3233" s="2" t="inlineStr">
        <is>
          <t>https://animator.ru/db/?p=show_film&amp;fid=3927</t>
        </is>
      </c>
      <c r="M3233" s="2">
        <f>HYPERLINK("https://ru.wikipedia.org/w/index.php?search=%D0%94%D0%B6%D1%83%D0%B4%D0%B6%D0%B0%D0%BB%D1%8F%D1%80%D0%B8%D0%BC%201975%20%D1%84%D0%B8%D0%BB%D1%8C%D0%BC","искать")</f>
        <v/>
      </c>
      <c r="N3233" s="3" t="n"/>
      <c r="O3233" s="2" t="n"/>
      <c r="P3233" s="2" t="n"/>
    </row>
    <row r="3234">
      <c r="A3234" s="2" t="n">
        <v>3233</v>
      </c>
      <c r="B3234" s="2" t="inlineStr">
        <is>
          <t>короткая</t>
        </is>
      </c>
      <c r="C3234" s="2" t="n">
        <v>12736</v>
      </c>
      <c r="D3234" s="3" t="inlineStr">
        <is>
          <t>Без чувства меры</t>
        </is>
      </c>
      <c r="E3234" s="2" t="n">
        <v>1988</v>
      </c>
      <c r="F3234" s="2" t="inlineStr">
        <is>
          <t>мультфильм</t>
        </is>
      </c>
      <c r="G3234" s="2" t="inlineStr">
        <is>
          <t>АЗЕРБАЙДЖАНФИЛЬМ</t>
        </is>
      </c>
      <c r="H3234" s="2" t="n">
        <v>0</v>
      </c>
      <c r="I3234" s="2" t="inlineStr"/>
      <c r="J3234" s="2" t="inlineStr">
        <is>
          <t>?</t>
        </is>
      </c>
      <c r="K3234" s="3" t="inlineStr"/>
      <c r="L3234" s="2" t="inlineStr">
        <is>
          <t>https://animator.ru/db/?p=show_film&amp;fid=3945</t>
        </is>
      </c>
      <c r="M3234" s="2">
        <f>HYPERLINK("https://ru.wikipedia.org/w/index.php?search=%D0%91%D0%B5%D0%B7%20%D1%87%D1%83%D0%B2%D1%81%D1%82%D0%B2%D0%B0%20%D0%BC%D0%B5%D1%80%D1%8B%201988%20%D1%84%D0%B8%D0%BB%D1%8C%D0%BC","искать")</f>
        <v/>
      </c>
      <c r="N3234" s="3" t="n"/>
      <c r="O3234" s="2" t="n"/>
      <c r="P3234" s="2" t="n"/>
    </row>
    <row r="3235">
      <c r="A3235" s="2" t="n">
        <v>3234</v>
      </c>
      <c r="B3235" s="2" t="inlineStr">
        <is>
          <t>короткая</t>
        </is>
      </c>
      <c r="C3235" s="2" t="n">
        <v>12738</v>
      </c>
      <c r="D3235" s="3" t="inlineStr">
        <is>
          <t>Размышление</t>
        </is>
      </c>
      <c r="E3235" s="2" t="n">
        <v>1988</v>
      </c>
      <c r="F3235" s="2" t="inlineStr">
        <is>
          <t>мультфильм</t>
        </is>
      </c>
      <c r="G3235" s="2" t="inlineStr">
        <is>
          <t>АЗЕРБАЙДЖАНФИЛЬМ</t>
        </is>
      </c>
      <c r="H3235" s="2" t="n">
        <v>0</v>
      </c>
      <c r="I3235" s="2" t="inlineStr"/>
      <c r="J3235" s="2" t="inlineStr">
        <is>
          <t>?</t>
        </is>
      </c>
      <c r="K3235" s="3" t="inlineStr"/>
      <c r="L3235" s="2" t="inlineStr">
        <is>
          <t>https://animator.ru/db/?p=show_film&amp;fid=3947</t>
        </is>
      </c>
      <c r="M3235" s="2">
        <f>HYPERLINK("https://ru.wikipedia.org/w/index.php?search=%D0%A0%D0%B0%D0%B7%D0%BC%D1%8B%D1%88%D0%BB%D0%B5%D0%BD%D0%B8%D0%B5%201988%20%D1%84%D0%B8%D0%BB%D1%8C%D0%BC","искать")</f>
        <v/>
      </c>
      <c r="N3235" s="3" t="n"/>
      <c r="O3235" s="2" t="n"/>
      <c r="P3235" s="2" t="n"/>
    </row>
    <row r="3236">
      <c r="A3236" s="2" t="n">
        <v>3235</v>
      </c>
      <c r="B3236" s="2" t="inlineStr">
        <is>
          <t>короткая</t>
        </is>
      </c>
      <c r="C3236" s="2" t="n">
        <v>12749</v>
      </c>
      <c r="D3236" s="3" t="inlineStr">
        <is>
          <t>Мышонок Вай-Вай</t>
        </is>
      </c>
      <c r="E3236" s="2" t="n">
        <v>1971</v>
      </c>
      <c r="F3236" s="2" t="inlineStr">
        <is>
          <t>мультфильм</t>
        </is>
      </c>
      <c r="G3236" s="2" t="inlineStr">
        <is>
          <t>АРМЕНФИЛЬМ</t>
        </is>
      </c>
      <c r="H3236" s="2" t="n">
        <v>0</v>
      </c>
      <c r="I3236" s="2" t="inlineStr"/>
      <c r="J3236" s="2" t="inlineStr">
        <is>
          <t>?</t>
        </is>
      </c>
      <c r="K3236" s="3" t="inlineStr"/>
      <c r="L3236" s="2" t="inlineStr">
        <is>
          <t>https://animator.ru/db/?p=show_film&amp;fid=3958</t>
        </is>
      </c>
      <c r="M3236" s="2">
        <f>HYPERLINK("https://ru.wikipedia.org/w/index.php?search=%D0%9C%D1%8B%D1%88%D0%BE%D0%BD%D0%BE%D0%BA%20%D0%92%D0%B0%D0%B9-%D0%92%D0%B0%D0%B9%201971%20%D1%84%D0%B8%D0%BB%D1%8C%D0%BC","искать")</f>
        <v/>
      </c>
      <c r="N3236" s="3" t="n"/>
      <c r="O3236" s="2" t="n"/>
      <c r="P3236" s="2" t="n"/>
    </row>
    <row r="3237">
      <c r="A3237" s="2" t="n">
        <v>3236</v>
      </c>
      <c r="B3237" s="2" t="inlineStr">
        <is>
          <t>короткая</t>
        </is>
      </c>
      <c r="C3237" s="2" t="n">
        <v>12752</v>
      </c>
      <c r="D3237" s="3" t="inlineStr">
        <is>
          <t>Пингвин вин</t>
        </is>
      </c>
      <c r="E3237" s="2" t="n">
        <v>1972</v>
      </c>
      <c r="F3237" s="2" t="inlineStr">
        <is>
          <t>мультфильм</t>
        </is>
      </c>
      <c r="G3237" s="2" t="inlineStr">
        <is>
          <t>АРМЕНФИЛЬМ</t>
        </is>
      </c>
      <c r="H3237" s="2" t="n">
        <v>0</v>
      </c>
      <c r="I3237" s="2" t="inlineStr"/>
      <c r="J3237" s="2" t="inlineStr">
        <is>
          <t>?</t>
        </is>
      </c>
      <c r="K3237" s="3" t="inlineStr"/>
      <c r="L3237" s="2" t="inlineStr">
        <is>
          <t>https://animator.ru/db/?p=show_film&amp;fid=3961</t>
        </is>
      </c>
      <c r="M3237" s="2">
        <f>HYPERLINK("https://ru.wikipedia.org/w/index.php?search=%D0%9F%D0%B8%D0%BD%D0%B3%D0%B2%D0%B8%D0%BD%20%D0%B2%D0%B8%D0%BD%201972%20%D1%84%D0%B8%D0%BB%D1%8C%D0%BC","искать")</f>
        <v/>
      </c>
      <c r="N3237" s="3" t="n"/>
      <c r="O3237" s="2" t="n"/>
      <c r="P3237" s="2" t="n"/>
    </row>
    <row r="3238">
      <c r="A3238" s="2" t="n">
        <v>3237</v>
      </c>
      <c r="B3238" s="2" t="inlineStr">
        <is>
          <t>короткая</t>
        </is>
      </c>
      <c r="C3238" s="2" t="n">
        <v>12758</v>
      </c>
      <c r="D3238" s="3" t="inlineStr">
        <is>
          <t>Шлепанцы абу-гасана</t>
        </is>
      </c>
      <c r="E3238" s="2" t="n">
        <v>1974</v>
      </c>
      <c r="F3238" s="2" t="inlineStr">
        <is>
          <t>мультфильм</t>
        </is>
      </c>
      <c r="G3238" s="2" t="inlineStr">
        <is>
          <t>АРМЕНФИЛЬМ</t>
        </is>
      </c>
      <c r="H3238" s="2" t="n">
        <v>0</v>
      </c>
      <c r="I3238" s="2" t="inlineStr"/>
      <c r="J3238" s="2" t="inlineStr">
        <is>
          <t>?</t>
        </is>
      </c>
      <c r="K3238" s="3" t="inlineStr"/>
      <c r="L3238" s="2" t="inlineStr">
        <is>
          <t>https://animator.ru/db/?p=show_film&amp;fid=3967</t>
        </is>
      </c>
      <c r="M3238" s="2">
        <f>HYPERLINK("https://ru.wikipedia.org/w/index.php?search=%D0%A8%D0%BB%D0%B5%D0%BF%D0%B0%D0%BD%D1%86%D1%8B%20%D0%B0%D0%B1%D1%83-%D0%B3%D0%B0%D1%81%D0%B0%D0%BD%D0%B0%201974%20%D1%84%D0%B8%D0%BB%D1%8C%D0%BC","искать")</f>
        <v/>
      </c>
      <c r="N3238" s="3" t="n"/>
      <c r="O3238" s="2" t="n"/>
      <c r="P3238" s="2" t="n"/>
    </row>
    <row r="3239">
      <c r="A3239" s="2" t="n">
        <v>3238</v>
      </c>
      <c r="B3239" s="2" t="inlineStr">
        <is>
          <t>короткая</t>
        </is>
      </c>
      <c r="C3239" s="2" t="n">
        <v>12760</v>
      </c>
      <c r="D3239" s="3" t="inlineStr">
        <is>
          <t>Чоко</t>
        </is>
      </c>
      <c r="E3239" s="2" t="n">
        <v>1986</v>
      </c>
      <c r="F3239" s="2" t="inlineStr">
        <is>
          <t>мультфильм</t>
        </is>
      </c>
      <c r="G3239" s="2" t="inlineStr">
        <is>
          <t>АРМЕНФИЛЬМ</t>
        </is>
      </c>
      <c r="H3239" s="2" t="n">
        <v>0</v>
      </c>
      <c r="I3239" s="2" t="inlineStr"/>
      <c r="J3239" s="2" t="inlineStr">
        <is>
          <t>?</t>
        </is>
      </c>
      <c r="K3239" s="3" t="inlineStr"/>
      <c r="L3239" s="2" t="inlineStr">
        <is>
          <t>https://animator.ru/db/?p=show_film&amp;fid=3969</t>
        </is>
      </c>
      <c r="M3239" s="2">
        <f>HYPERLINK("https://ru.wikipedia.org/w/index.php?search=%D0%A7%D0%BE%D0%BA%D0%BE%201986%20%D1%84%D0%B8%D0%BB%D1%8C%D0%BC","искать")</f>
        <v/>
      </c>
      <c r="N3239" s="3" t="n"/>
      <c r="O3239" s="2" t="n"/>
      <c r="P3239" s="2" t="n"/>
    </row>
    <row r="3240">
      <c r="A3240" s="2" t="n">
        <v>3239</v>
      </c>
      <c r="B3240" s="2" t="inlineStr">
        <is>
          <t>короткая</t>
        </is>
      </c>
      <c r="C3240" s="2" t="n">
        <v>12763</v>
      </c>
      <c r="D3240" s="3" t="inlineStr">
        <is>
          <t>Гранатовая роща</t>
        </is>
      </c>
      <c r="E3240" s="2" t="n">
        <v>1987</v>
      </c>
      <c r="F3240" s="2" t="inlineStr">
        <is>
          <t>мультфильм</t>
        </is>
      </c>
      <c r="G3240" s="2" t="inlineStr">
        <is>
          <t>АРМЕНФИЛЬМ</t>
        </is>
      </c>
      <c r="H3240" s="2" t="n">
        <v>0</v>
      </c>
      <c r="I3240" s="2" t="inlineStr"/>
      <c r="J3240" s="2" t="inlineStr">
        <is>
          <t>?</t>
        </is>
      </c>
      <c r="K3240" s="3" t="inlineStr"/>
      <c r="L3240" s="2" t="inlineStr">
        <is>
          <t>https://animator.ru/db/?p=show_film&amp;fid=3972</t>
        </is>
      </c>
      <c r="M3240" s="2">
        <f>HYPERLINK("https://ru.wikipedia.org/w/index.php?search=%D0%93%D1%80%D0%B0%D0%BD%D0%B0%D1%82%D0%BE%D0%B2%D0%B0%D1%8F%20%D1%80%D0%BE%D1%89%D0%B0%201987%20%D1%84%D0%B8%D0%BB%D1%8C%D0%BC","искать")</f>
        <v/>
      </c>
      <c r="N3240" s="3" t="n"/>
      <c r="O3240" s="2" t="n"/>
      <c r="P3240" s="2" t="n"/>
    </row>
    <row r="3241">
      <c r="A3241" s="2" t="n">
        <v>3240</v>
      </c>
      <c r="B3241" s="2" t="inlineStr">
        <is>
          <t>короткая</t>
        </is>
      </c>
      <c r="C3241" s="2" t="n">
        <v>12777</v>
      </c>
      <c r="D3241" s="3" t="inlineStr">
        <is>
          <t>Защита диплома</t>
        </is>
      </c>
      <c r="E3241" s="2" t="n">
        <v>1980</v>
      </c>
      <c r="F3241" s="2" t="inlineStr">
        <is>
          <t>мультфильм</t>
        </is>
      </c>
      <c r="G3241" s="2" t="inlineStr">
        <is>
          <t>АЗЕРБАЙДЖАНФИЛЬМ, ГРУЗИЯ-ФИЛЬМ - АО</t>
        </is>
      </c>
      <c r="H3241" s="2" t="n">
        <v>0</v>
      </c>
      <c r="I3241" s="2" t="inlineStr"/>
      <c r="J3241" s="2" t="inlineStr">
        <is>
          <t>?</t>
        </is>
      </c>
      <c r="K3241" s="3" t="inlineStr"/>
      <c r="L3241" s="2" t="inlineStr">
        <is>
          <t>https://animator.ru/db/?p=show_film&amp;fid=3986</t>
        </is>
      </c>
      <c r="M3241" s="2">
        <f>HYPERLINK("https://ru.wikipedia.org/w/index.php?search=%D0%97%D0%B0%D1%89%D0%B8%D1%82%D0%B0%20%D0%B4%D0%B8%D0%BF%D0%BB%D0%BE%D0%BC%D0%B0%201980%20%D1%84%D0%B8%D0%BB%D1%8C%D0%BC","искать")</f>
        <v/>
      </c>
      <c r="N3241" s="3" t="n"/>
      <c r="O3241" s="2" t="n"/>
      <c r="P3241" s="2" t="n"/>
    </row>
    <row r="3242">
      <c r="A3242" s="2" t="n">
        <v>3241</v>
      </c>
      <c r="B3242" s="2" t="inlineStr">
        <is>
          <t>короткая</t>
        </is>
      </c>
      <c r="C3242" s="2" t="n">
        <v>12787</v>
      </c>
      <c r="D3242" s="3" t="inlineStr">
        <is>
          <t>Найденный сон</t>
        </is>
      </c>
      <c r="E3242" s="2" t="n">
        <v>1977</v>
      </c>
      <c r="F3242" s="2" t="inlineStr">
        <is>
          <t>мультфильм</t>
        </is>
      </c>
      <c r="G3242" s="2" t="inlineStr">
        <is>
          <t>АРМЕНФИЛЬМ</t>
        </is>
      </c>
      <c r="H3242" s="2" t="n">
        <v>0</v>
      </c>
      <c r="I3242" s="2" t="inlineStr"/>
      <c r="J3242" s="2" t="inlineStr">
        <is>
          <t>?</t>
        </is>
      </c>
      <c r="K3242" s="3" t="inlineStr"/>
      <c r="L3242" s="2" t="inlineStr">
        <is>
          <t>https://animator.ru/db/?p=show_film&amp;fid=3996</t>
        </is>
      </c>
      <c r="M3242" s="2">
        <f>HYPERLINK("https://ru.wikipedia.org/w/index.php?search=%D0%9D%D0%B0%D0%B9%D0%B4%D0%B5%D0%BD%D0%BD%D1%8B%D0%B9%20%D1%81%D0%BE%D0%BD%201977%20%D1%84%D0%B8%D0%BB%D1%8C%D0%BC","искать")</f>
        <v/>
      </c>
      <c r="N3242" s="3" t="n"/>
      <c r="O3242" s="2" t="n"/>
      <c r="P3242" s="2" t="n"/>
    </row>
    <row r="3243">
      <c r="A3243" s="2" t="n">
        <v>3242</v>
      </c>
      <c r="B3243" s="2" t="inlineStr">
        <is>
          <t>короткая</t>
        </is>
      </c>
      <c r="C3243" s="2" t="n">
        <v>12791</v>
      </c>
      <c r="D3243" s="3" t="inlineStr">
        <is>
          <t>Бакури и его друзья</t>
        </is>
      </c>
      <c r="E3243" s="2" t="n">
        <v>1969</v>
      </c>
      <c r="F3243" s="2" t="inlineStr">
        <is>
          <t>мультфильм</t>
        </is>
      </c>
      <c r="G3243" s="2" t="inlineStr">
        <is>
          <t>ГРУЗИЯ-ФИЛЬМ - АО</t>
        </is>
      </c>
      <c r="H3243" s="2" t="n">
        <v>0</v>
      </c>
      <c r="I3243" s="2" t="inlineStr"/>
      <c r="J3243" s="2" t="inlineStr">
        <is>
          <t>?</t>
        </is>
      </c>
      <c r="K3243" s="3" t="inlineStr"/>
      <c r="L3243" s="2" t="inlineStr">
        <is>
          <t>https://animator.ru/db/?p=show_film&amp;fid=4000</t>
        </is>
      </c>
      <c r="M3243" s="2">
        <f>HYPERLINK("https://ru.wikipedia.org/w/index.php?search=%D0%91%D0%B0%D0%BA%D1%83%D1%80%D0%B8%20%D0%B8%20%D0%B5%D0%B3%D0%BE%20%D0%B4%D1%80%D1%83%D0%B7%D1%8C%D1%8F%201969%20%D1%84%D0%B8%D0%BB%D1%8C%D0%BC","искать")</f>
        <v/>
      </c>
      <c r="N3243" s="3" t="n"/>
      <c r="O3243" s="2" t="n"/>
      <c r="P3243" s="2" t="n"/>
    </row>
    <row r="3244">
      <c r="A3244" s="2" t="n">
        <v>3243</v>
      </c>
      <c r="B3244" s="2" t="inlineStr">
        <is>
          <t>короткая</t>
        </is>
      </c>
      <c r="C3244" s="2" t="n">
        <v>12797</v>
      </c>
      <c r="D3244" s="3" t="inlineStr">
        <is>
          <t>Гость</t>
        </is>
      </c>
      <c r="E3244" s="2" t="n">
        <v>1975</v>
      </c>
      <c r="F3244" s="2" t="inlineStr">
        <is>
          <t>мультфильм</t>
        </is>
      </c>
      <c r="G3244" s="2" t="inlineStr">
        <is>
          <t>ГРУЗИЯ-ФИЛЬМ - АО</t>
        </is>
      </c>
      <c r="H3244" s="2" t="n">
        <v>0</v>
      </c>
      <c r="I3244" s="2" t="inlineStr"/>
      <c r="J3244" s="2" t="inlineStr">
        <is>
          <t>?</t>
        </is>
      </c>
      <c r="K3244" s="3" t="inlineStr"/>
      <c r="L3244" s="2" t="inlineStr">
        <is>
          <t>https://animator.ru/db/?p=show_film&amp;fid=4008</t>
        </is>
      </c>
      <c r="M3244" s="2">
        <f>HYPERLINK("https://ru.wikipedia.org/w/index.php?search=%D0%93%D0%BE%D1%81%D1%82%D1%8C%201975%20%D1%84%D0%B8%D0%BB%D1%8C%D0%BC","искать")</f>
        <v/>
      </c>
      <c r="N3244" s="3" t="n"/>
      <c r="O3244" s="2" t="n"/>
      <c r="P3244" s="2" t="n"/>
    </row>
    <row r="3245">
      <c r="A3245" s="2" t="n">
        <v>3244</v>
      </c>
      <c r="B3245" s="2" t="inlineStr">
        <is>
          <t>короткая</t>
        </is>
      </c>
      <c r="C3245" s="2" t="n">
        <v>12798</v>
      </c>
      <c r="D3245" s="3" t="inlineStr">
        <is>
          <t>Грустный роман</t>
        </is>
      </c>
      <c r="E3245" s="2" t="n">
        <v>1967</v>
      </c>
      <c r="F3245" s="2" t="inlineStr">
        <is>
          <t>мультфильм</t>
        </is>
      </c>
      <c r="G3245" s="2" t="inlineStr">
        <is>
          <t>ГРУЗИЯ-ФИЛЬМ - АО</t>
        </is>
      </c>
      <c r="H3245" s="2" t="n">
        <v>0</v>
      </c>
      <c r="I3245" s="2" t="inlineStr"/>
      <c r="J3245" s="2" t="inlineStr">
        <is>
          <t>?</t>
        </is>
      </c>
      <c r="K3245" s="3" t="inlineStr"/>
      <c r="L3245" s="2" t="inlineStr">
        <is>
          <t>https://animator.ru/db/?p=show_film&amp;fid=4009</t>
        </is>
      </c>
      <c r="M3245" s="2">
        <f>HYPERLINK("https://ru.wikipedia.org/w/index.php?search=%D0%93%D1%80%D1%83%D1%81%D1%82%D0%BD%D1%8B%D0%B9%20%D1%80%D0%BE%D0%BC%D0%B0%D0%BD%201967%20%D1%84%D0%B8%D0%BB%D1%8C%D0%BC","искать")</f>
        <v/>
      </c>
      <c r="N3245" s="3" t="n"/>
      <c r="O3245" s="2" t="n"/>
      <c r="P3245" s="2" t="n"/>
    </row>
    <row r="3246">
      <c r="A3246" s="2" t="n">
        <v>3245</v>
      </c>
      <c r="B3246" s="2" t="inlineStr">
        <is>
          <t>короткая</t>
        </is>
      </c>
      <c r="C3246" s="2" t="n">
        <v>12801</v>
      </c>
      <c r="D3246" s="3" t="inlineStr">
        <is>
          <t>Девочка и гусь</t>
        </is>
      </c>
      <c r="E3246" s="2" t="n">
        <v>1975</v>
      </c>
      <c r="F3246" s="2" t="inlineStr">
        <is>
          <t>мультфильм</t>
        </is>
      </c>
      <c r="G3246" s="2" t="inlineStr">
        <is>
          <t>ГРУЗИЯ-ФИЛЬМ - АО</t>
        </is>
      </c>
      <c r="H3246" s="2" t="n">
        <v>0</v>
      </c>
      <c r="I3246" s="2" t="inlineStr"/>
      <c r="J3246" s="2" t="inlineStr">
        <is>
          <t>?</t>
        </is>
      </c>
      <c r="K3246" s="3" t="inlineStr"/>
      <c r="L3246" s="2" t="inlineStr">
        <is>
          <t>https://animator.ru/db/?p=show_film&amp;fid=4012</t>
        </is>
      </c>
      <c r="M3246" s="2">
        <f>HYPERLINK("https://ru.wikipedia.org/w/index.php?search=%D0%94%D0%B5%D0%B2%D0%BE%D1%87%D0%BA%D0%B0%20%D0%B8%20%D0%B3%D1%83%D1%81%D1%8C%201975%20%D1%84%D0%B8%D0%BB%D1%8C%D0%BC","искать")</f>
        <v/>
      </c>
      <c r="N3246" s="3" t="n"/>
      <c r="O3246" s="2" t="n"/>
      <c r="P3246" s="2" t="n"/>
    </row>
    <row r="3247">
      <c r="A3247" s="2" t="n">
        <v>3246</v>
      </c>
      <c r="B3247" s="2" t="inlineStr">
        <is>
          <t>короткая</t>
        </is>
      </c>
      <c r="C3247" s="2" t="n">
        <v>12803</v>
      </c>
      <c r="D3247" s="3" t="inlineStr">
        <is>
          <t>День индустриализации</t>
        </is>
      </c>
      <c r="E3247" s="2" t="n">
        <v>1931</v>
      </c>
      <c r="F3247" s="2" t="inlineStr">
        <is>
          <t>мультфильм</t>
        </is>
      </c>
      <c r="G3247" s="2" t="n"/>
      <c r="H3247" s="2" t="n">
        <v>0</v>
      </c>
      <c r="I3247" s="2" t="inlineStr"/>
      <c r="J3247" s="2" t="inlineStr">
        <is>
          <t>?</t>
        </is>
      </c>
      <c r="K3247" s="3" t="inlineStr"/>
      <c r="L3247" s="2" t="inlineStr">
        <is>
          <t>https://animator.ru/db/?p=show_film&amp;fid=4014</t>
        </is>
      </c>
      <c r="M3247" s="2">
        <f>HYPERLINK("https://ru.wikipedia.org/w/index.php?search=%D0%94%D0%B5%D0%BD%D1%8C%20%D0%B8%D0%BD%D0%B4%D1%83%D1%81%D1%82%D1%80%D0%B8%D0%B0%D0%BB%D0%B8%D0%B7%D0%B0%D1%86%D0%B8%D0%B8%201931%20%D1%84%D0%B8%D0%BB%D1%8C%D0%BC","искать")</f>
        <v/>
      </c>
      <c r="N3247" s="3" t="n"/>
      <c r="O3247" s="2" t="n"/>
      <c r="P3247" s="2" t="n"/>
    </row>
    <row r="3248">
      <c r="A3248" s="2" t="n">
        <v>3247</v>
      </c>
      <c r="B3248" s="2" t="inlineStr">
        <is>
          <t>короткая</t>
        </is>
      </c>
      <c r="C3248" s="2" t="n">
        <v>12807</v>
      </c>
      <c r="D3248" s="3" t="inlineStr">
        <is>
          <t>Дом</t>
        </is>
      </c>
      <c r="E3248" s="2" t="n">
        <v>1974</v>
      </c>
      <c r="F3248" s="2" t="inlineStr">
        <is>
          <t>мультфильм</t>
        </is>
      </c>
      <c r="G3248" s="2" t="inlineStr">
        <is>
          <t>ГРУЗИЯ-ФИЛЬМ - АО</t>
        </is>
      </c>
      <c r="H3248" s="2" t="n">
        <v>0</v>
      </c>
      <c r="I3248" s="2" t="inlineStr"/>
      <c r="J3248" s="2" t="inlineStr">
        <is>
          <t>?</t>
        </is>
      </c>
      <c r="K3248" s="3" t="inlineStr"/>
      <c r="L3248" s="2" t="inlineStr">
        <is>
          <t>https://animator.ru/db/?p=show_film&amp;fid=4018</t>
        </is>
      </c>
      <c r="M3248" s="2">
        <f>HYPERLINK("https://ru.wikipedia.org/w/index.php?search=%D0%94%D0%BE%D0%BC%201974%20%D1%84%D0%B8%D0%BB%D1%8C%D0%BC","искать")</f>
        <v/>
      </c>
      <c r="N3248" s="3" t="n"/>
      <c r="O3248" s="2" t="n"/>
      <c r="P3248" s="2" t="n"/>
    </row>
    <row r="3249">
      <c r="A3249" s="2" t="n">
        <v>3248</v>
      </c>
      <c r="B3249" s="2" t="inlineStr">
        <is>
          <t>короткая</t>
        </is>
      </c>
      <c r="C3249" s="2" t="n">
        <v>12815</v>
      </c>
      <c r="D3249" s="3" t="inlineStr">
        <is>
          <t>Когда черт дирижирует</t>
        </is>
      </c>
      <c r="E3249" s="2" t="n">
        <v>1969</v>
      </c>
      <c r="F3249" s="2" t="inlineStr">
        <is>
          <t>мультфильм</t>
        </is>
      </c>
      <c r="G3249" s="2" t="inlineStr">
        <is>
          <t>ГРУЗИЯ-ФИЛЬМ - АО</t>
        </is>
      </c>
      <c r="H3249" s="2" t="n">
        <v>0</v>
      </c>
      <c r="I3249" s="2" t="inlineStr"/>
      <c r="J3249" s="2" t="inlineStr">
        <is>
          <t>?</t>
        </is>
      </c>
      <c r="K3249" s="3" t="inlineStr"/>
      <c r="L3249" s="2" t="inlineStr">
        <is>
          <t>https://animator.ru/db/?p=show_film&amp;fid=4026</t>
        </is>
      </c>
      <c r="M3249" s="2">
        <f>HYPERLINK("https://ru.wikipedia.org/w/index.php?search=%D0%9A%D0%BE%D0%B3%D0%B4%D0%B0%20%D1%87%D0%B5%D1%80%D1%82%20%D0%B4%D0%B8%D1%80%D0%B8%D0%B6%D0%B8%D1%80%D1%83%D0%B5%D1%82%201969%20%D1%84%D0%B8%D0%BB%D1%8C%D0%BC","искать")</f>
        <v/>
      </c>
      <c r="N3249" s="3" t="n"/>
      <c r="O3249" s="2" t="n"/>
      <c r="P3249" s="2" t="n"/>
    </row>
    <row r="3250">
      <c r="A3250" s="2" t="n">
        <v>3249</v>
      </c>
      <c r="B3250" s="2" t="inlineStr">
        <is>
          <t>короткая</t>
        </is>
      </c>
      <c r="C3250" s="2" t="n">
        <v>12816</v>
      </c>
      <c r="D3250" s="3" t="inlineStr">
        <is>
          <t>Колодец</t>
        </is>
      </c>
      <c r="E3250" s="2" t="n">
        <v>1974</v>
      </c>
      <c r="F3250" s="2" t="inlineStr">
        <is>
          <t>мультфильм</t>
        </is>
      </c>
      <c r="G3250" s="2" t="inlineStr">
        <is>
          <t>ГРУЗИЯ-ФИЛЬМ - АО</t>
        </is>
      </c>
      <c r="H3250" s="2" t="n">
        <v>0</v>
      </c>
      <c r="I3250" s="2" t="inlineStr"/>
      <c r="J3250" s="2" t="inlineStr">
        <is>
          <t>?</t>
        </is>
      </c>
      <c r="K3250" s="3" t="inlineStr"/>
      <c r="L3250" s="2" t="inlineStr">
        <is>
          <t>https://animator.ru/db/?p=show_film&amp;fid=4027</t>
        </is>
      </c>
      <c r="M3250" s="2">
        <f>HYPERLINK("https://ru.wikipedia.org/w/index.php?search=%D0%9A%D0%BE%D0%BB%D0%BE%D0%B4%D0%B5%D1%86%201974%20%D1%84%D0%B8%D0%BB%D1%8C%D0%BC","искать")</f>
        <v/>
      </c>
      <c r="N3250" s="3" t="n"/>
      <c r="O3250" s="2" t="n"/>
      <c r="P3250" s="2" t="n"/>
    </row>
    <row r="3251">
      <c r="A3251" s="2" t="n">
        <v>3250</v>
      </c>
      <c r="B3251" s="2" t="inlineStr">
        <is>
          <t>короткая</t>
        </is>
      </c>
      <c r="C3251" s="2" t="n">
        <v>12817</v>
      </c>
      <c r="D3251" s="3" t="inlineStr">
        <is>
          <t>Конкуренция</t>
        </is>
      </c>
      <c r="E3251" s="2" t="n">
        <v>1970</v>
      </c>
      <c r="F3251" s="2" t="inlineStr">
        <is>
          <t>мультфильм</t>
        </is>
      </c>
      <c r="G3251" s="2" t="inlineStr">
        <is>
          <t>ГРУЗИЯ-ФИЛЬМ - АО</t>
        </is>
      </c>
      <c r="H3251" s="2" t="n">
        <v>0</v>
      </c>
      <c r="I3251" s="2" t="inlineStr"/>
      <c r="J3251" s="2" t="inlineStr">
        <is>
          <t>?</t>
        </is>
      </c>
      <c r="K3251" s="3" t="inlineStr"/>
      <c r="L3251" s="2" t="inlineStr">
        <is>
          <t>https://animator.ru/db/?p=show_film&amp;fid=4028</t>
        </is>
      </c>
      <c r="M3251" s="2">
        <f>HYPERLINK("https://ru.wikipedia.org/w/index.php?search=%D0%9A%D0%BE%D0%BD%D0%BA%D1%83%D1%80%D0%B5%D0%BD%D1%86%D0%B8%D1%8F%201970%20%D1%84%D0%B8%D0%BB%D1%8C%D0%BC","искать")</f>
        <v/>
      </c>
      <c r="N3251" s="3" t="n"/>
      <c r="O3251" s="2" t="n"/>
      <c r="P3251" s="2" t="n"/>
    </row>
    <row r="3252">
      <c r="A3252" s="2" t="n">
        <v>3251</v>
      </c>
      <c r="B3252" s="2" t="inlineStr">
        <is>
          <t>короткая</t>
        </is>
      </c>
      <c r="C3252" s="2" t="n">
        <v>12819</v>
      </c>
      <c r="D3252" s="3" t="inlineStr">
        <is>
          <t>Лестница</t>
        </is>
      </c>
      <c r="E3252" s="2" t="n">
        <v>1970</v>
      </c>
      <c r="F3252" s="2" t="inlineStr">
        <is>
          <t>мультфильм</t>
        </is>
      </c>
      <c r="G3252" s="2" t="inlineStr">
        <is>
          <t>ГРУЗИЯ-ФИЛЬМ - АО</t>
        </is>
      </c>
      <c r="H3252" s="2" t="n">
        <v>0</v>
      </c>
      <c r="I3252" s="2" t="inlineStr"/>
      <c r="J3252" s="2" t="inlineStr">
        <is>
          <t>?</t>
        </is>
      </c>
      <c r="K3252" s="3" t="inlineStr"/>
      <c r="L3252" s="2" t="inlineStr">
        <is>
          <t>https://animator.ru/db/?p=show_film&amp;fid=4033</t>
        </is>
      </c>
      <c r="M3252" s="2">
        <f>HYPERLINK("https://ru.wikipedia.org/w/index.php?search=%D0%9B%D0%B5%D1%81%D1%82%D0%BD%D0%B8%D1%86%D0%B0%201970%20%D1%84%D0%B8%D0%BB%D1%8C%D0%BC","искать")</f>
        <v/>
      </c>
      <c r="N3252" s="3" t="n"/>
      <c r="O3252" s="2" t="n"/>
      <c r="P3252" s="2" t="n"/>
    </row>
    <row r="3253">
      <c r="A3253" s="2" t="n">
        <v>3252</v>
      </c>
      <c r="B3253" s="2" t="inlineStr">
        <is>
          <t>короткая</t>
        </is>
      </c>
      <c r="C3253" s="2" t="n">
        <v>12821</v>
      </c>
      <c r="D3253" s="3" t="inlineStr">
        <is>
          <t>Любознательный (Любопытный)</t>
        </is>
      </c>
      <c r="E3253" s="2" t="n">
        <v>1972</v>
      </c>
      <c r="F3253" s="2" t="inlineStr">
        <is>
          <t>мультфильм</t>
        </is>
      </c>
      <c r="G3253" s="2" t="inlineStr">
        <is>
          <t>ГРУЗИЯ-ФИЛЬМ - АО</t>
        </is>
      </c>
      <c r="H3253" s="2" t="n">
        <v>0</v>
      </c>
      <c r="I3253" s="2" t="inlineStr"/>
      <c r="J3253" s="2" t="inlineStr">
        <is>
          <t>?</t>
        </is>
      </c>
      <c r="K3253" s="3" t="inlineStr"/>
      <c r="L3253" s="2" t="inlineStr">
        <is>
          <t>https://animator.ru/db/?p=show_film&amp;fid=4035</t>
        </is>
      </c>
      <c r="M3253" s="2">
        <f>HYPERLINK("https://ru.wikipedia.org/w/index.php?search=%D0%9B%D1%8E%D0%B1%D0%BE%D0%B7%D0%BD%D0%B0%D1%82%D0%B5%D0%BB%D1%8C%D0%BD%D1%8B%D0%B9%20%28%D0%9B%D1%8E%D0%B1%D0%BE%D0%BF%D1%8B%D1%82%D0%BD%D1%8B%D0%B9%29%201972%20%D1%84%D0%B8%D0%BB%D1%8C%D0%BC","искать")</f>
        <v/>
      </c>
      <c r="N3253" s="3" t="n"/>
      <c r="O3253" s="2" t="n"/>
      <c r="P3253" s="2" t="n"/>
    </row>
    <row r="3254">
      <c r="A3254" s="2" t="n">
        <v>3253</v>
      </c>
      <c r="B3254" s="2" t="inlineStr">
        <is>
          <t>короткая</t>
        </is>
      </c>
      <c r="C3254" s="2" t="n">
        <v>12822</v>
      </c>
      <c r="D3254" s="3" t="inlineStr">
        <is>
          <t>Морская быль</t>
        </is>
      </c>
      <c r="E3254" s="2" t="n">
        <v>1974</v>
      </c>
      <c r="F3254" s="2" t="inlineStr">
        <is>
          <t>мультфильм</t>
        </is>
      </c>
      <c r="G3254" s="2" t="inlineStr">
        <is>
          <t>ГРУЗИЯ-ФИЛЬМ - АО</t>
        </is>
      </c>
      <c r="H3254" s="2" t="n">
        <v>0</v>
      </c>
      <c r="I3254" s="2" t="inlineStr"/>
      <c r="J3254" s="2" t="inlineStr">
        <is>
          <t>?</t>
        </is>
      </c>
      <c r="K3254" s="3" t="inlineStr"/>
      <c r="L3254" s="2" t="inlineStr">
        <is>
          <t>https://animator.ru/db/?p=show_film&amp;fid=4036</t>
        </is>
      </c>
      <c r="M3254" s="2">
        <f>HYPERLINK("https://ru.wikipedia.org/w/index.php?search=%D0%9C%D0%BE%D1%80%D1%81%D0%BA%D0%B0%D1%8F%20%D0%B1%D1%8B%D0%BB%D1%8C%201974%20%D1%84%D0%B8%D0%BB%D1%8C%D0%BC","искать")</f>
        <v/>
      </c>
      <c r="N3254" s="3" t="n"/>
      <c r="O3254" s="2" t="n"/>
      <c r="P3254" s="2" t="n"/>
    </row>
    <row r="3255">
      <c r="A3255" s="2" t="n">
        <v>3254</v>
      </c>
      <c r="B3255" s="2" t="inlineStr">
        <is>
          <t>короткая</t>
        </is>
      </c>
      <c r="C3255" s="2" t="n">
        <v>12823</v>
      </c>
      <c r="D3255" s="3" t="inlineStr">
        <is>
          <t>Моя любимая свирель (Наша сладкая свирель)</t>
        </is>
      </c>
      <c r="E3255" s="2" t="n">
        <v>1966</v>
      </c>
      <c r="F3255" s="2" t="inlineStr">
        <is>
          <t>мультфильм</t>
        </is>
      </c>
      <c r="G3255" s="2" t="inlineStr">
        <is>
          <t>ГРУЗИЯ-ФИЛЬМ - АО</t>
        </is>
      </c>
      <c r="H3255" s="2" t="n">
        <v>0</v>
      </c>
      <c r="I3255" s="2" t="inlineStr"/>
      <c r="J3255" s="2" t="inlineStr">
        <is>
          <t>?</t>
        </is>
      </c>
      <c r="K3255" s="3" t="inlineStr"/>
      <c r="L3255" s="2" t="inlineStr">
        <is>
          <t>https://animator.ru/db/?p=show_film&amp;fid=4037</t>
        </is>
      </c>
      <c r="M3255" s="2">
        <f>HYPERLINK("https://ru.wikipedia.org/w/index.php?search=%D0%9C%D0%BE%D1%8F%20%D0%BB%D1%8E%D0%B1%D0%B8%D0%BC%D0%B0%D1%8F%20%D1%81%D0%B2%D0%B8%D1%80%D0%B5%D0%BB%D1%8C%20%28%D0%9D%D0%B0%D1%88%D0%B0%20%D1%81%D0%BB%D0%B0%D0%B4%D0%BA%D0%B0%D1%8F%20%D1%81%D0%B2%D0%B8%D1%80%D0%B5%D0%BB%D1%8C%29%201966%20%D1%84%D0%B8%D0%BB%D1%8C%D0%BC","искать")</f>
        <v/>
      </c>
      <c r="N3255" s="3" t="n"/>
      <c r="O3255" s="2" t="n"/>
      <c r="P3255" s="2" t="n"/>
    </row>
    <row r="3256">
      <c r="A3256" s="2" t="n">
        <v>3255</v>
      </c>
      <c r="B3256" s="2" t="inlineStr">
        <is>
          <t>короткая</t>
        </is>
      </c>
      <c r="C3256" s="2" t="n">
        <v>12824</v>
      </c>
      <c r="D3256" s="3" t="inlineStr">
        <is>
          <t>Новолуние</t>
        </is>
      </c>
      <c r="E3256" s="2" t="n">
        <v>1972</v>
      </c>
      <c r="F3256" s="2" t="inlineStr">
        <is>
          <t>мультфильм</t>
        </is>
      </c>
      <c r="G3256" s="2" t="inlineStr">
        <is>
          <t>ГРУЗИЯ-ФИЛЬМ - АО</t>
        </is>
      </c>
      <c r="H3256" s="2" t="n">
        <v>0</v>
      </c>
      <c r="I3256" s="2" t="inlineStr"/>
      <c r="J3256" s="2" t="inlineStr">
        <is>
          <t>?</t>
        </is>
      </c>
      <c r="K3256" s="3" t="inlineStr"/>
      <c r="L3256" s="2" t="inlineStr">
        <is>
          <t>https://animator.ru/db/?p=show_film&amp;fid=4041</t>
        </is>
      </c>
      <c r="M3256" s="2">
        <f>HYPERLINK("https://ru.wikipedia.org/w/index.php?search=%D0%9D%D0%BE%D0%B2%D0%BE%D0%BB%D1%83%D0%BD%D0%B8%D0%B5%201972%20%D1%84%D0%B8%D0%BB%D1%8C%D0%BC","искать")</f>
        <v/>
      </c>
      <c r="N3256" s="3" t="n"/>
      <c r="O3256" s="2" t="n"/>
      <c r="P3256" s="2" t="n"/>
    </row>
    <row r="3257">
      <c r="A3257" s="2" t="n">
        <v>3256</v>
      </c>
      <c r="B3257" s="2" t="inlineStr">
        <is>
          <t>короткая</t>
        </is>
      </c>
      <c r="C3257" s="2" t="n">
        <v>12826</v>
      </c>
      <c r="D3257" s="3" t="inlineStr">
        <is>
          <t>Озорник (Сорванец)</t>
        </is>
      </c>
      <c r="E3257" s="2" t="n">
        <v>1958</v>
      </c>
      <c r="F3257" s="2" t="inlineStr">
        <is>
          <t>мультфильм</t>
        </is>
      </c>
      <c r="G3257" s="2" t="inlineStr">
        <is>
          <t>ГРУЗИЯ-ФИЛЬМ - АО</t>
        </is>
      </c>
      <c r="H3257" s="2" t="n">
        <v>0</v>
      </c>
      <c r="I3257" s="2" t="inlineStr"/>
      <c r="J3257" s="2" t="inlineStr">
        <is>
          <t>?</t>
        </is>
      </c>
      <c r="K3257" s="3" t="inlineStr"/>
      <c r="L3257" s="2" t="inlineStr">
        <is>
          <t>https://animator.ru/db/?p=show_film&amp;fid=4044</t>
        </is>
      </c>
      <c r="M3257" s="2">
        <f>HYPERLINK("https://ru.wikipedia.org/w/index.php?search=%D0%9E%D0%B7%D0%BE%D1%80%D0%BD%D0%B8%D0%BA%20%28%D0%A1%D0%BE%D1%80%D0%B2%D0%B0%D0%BD%D0%B5%D1%86%29%201958%20%D1%84%D0%B8%D0%BB%D1%8C%D0%BC","искать")</f>
        <v/>
      </c>
      <c r="N3257" s="3" t="n"/>
      <c r="O3257" s="2" t="n"/>
      <c r="P3257" s="2" t="n"/>
    </row>
    <row r="3258">
      <c r="A3258" s="2" t="n">
        <v>3257</v>
      </c>
      <c r="B3258" s="2" t="inlineStr">
        <is>
          <t>короткая</t>
        </is>
      </c>
      <c r="C3258" s="2" t="n">
        <v>12833</v>
      </c>
      <c r="D3258" s="3" t="inlineStr">
        <is>
          <t>ПЛАН И БОЛВАН ("Фитиль" N 38)</t>
        </is>
      </c>
      <c r="E3258" s="2" t="n">
        <v>1966</v>
      </c>
      <c r="F3258" s="2" t="inlineStr">
        <is>
          <t>мультфильм</t>
        </is>
      </c>
      <c r="G3258" s="2" t="inlineStr">
        <is>
          <t>ГРУЗИЯ-ФИЛЬМ - АО</t>
        </is>
      </c>
      <c r="H3258" s="2" t="n">
        <v>0</v>
      </c>
      <c r="I3258" s="2" t="inlineStr"/>
      <c r="J3258" s="2" t="inlineStr">
        <is>
          <t>?</t>
        </is>
      </c>
      <c r="K3258" s="3" t="inlineStr"/>
      <c r="L3258" s="2" t="inlineStr">
        <is>
          <t>https://animator.ru/db/?p=show_film&amp;fid=4052</t>
        </is>
      </c>
      <c r="M3258" s="2">
        <f>HYPERLINK("https://ru.wikipedia.org/w/index.php?search=%D0%9F%D0%9B%D0%90%D0%9D%20%D0%98%20%D0%91%D0%9E%D0%9B%D0%92%D0%90%D0%9D%20%28%22%D0%A4%D0%B8%D1%82%D0%B8%D0%BB%D1%8C%22%20N%2038%29%201966%20%D1%84%D0%B8%D0%BB%D1%8C%D0%BC","искать")</f>
        <v/>
      </c>
      <c r="N3258" s="3" t="n"/>
      <c r="O3258" s="2" t="n"/>
      <c r="P3258" s="2" t="n"/>
    </row>
    <row r="3259">
      <c r="A3259" s="2" t="n">
        <v>3258</v>
      </c>
      <c r="B3259" s="2" t="inlineStr">
        <is>
          <t>короткая</t>
        </is>
      </c>
      <c r="C3259" s="2" t="n">
        <v>12834</v>
      </c>
      <c r="D3259" s="3" t="inlineStr">
        <is>
          <t>Подарок ледяного деда</t>
        </is>
      </c>
      <c r="E3259" s="2" t="n">
        <v>1974</v>
      </c>
      <c r="F3259" s="2" t="inlineStr">
        <is>
          <t>мультфильм</t>
        </is>
      </c>
      <c r="G3259" s="2" t="inlineStr">
        <is>
          <t>ГРУЗИЯ-ФИЛЬМ - АО</t>
        </is>
      </c>
      <c r="H3259" s="2" t="n">
        <v>0</v>
      </c>
      <c r="I3259" s="2" t="inlineStr"/>
      <c r="J3259" s="2" t="inlineStr">
        <is>
          <t>?</t>
        </is>
      </c>
      <c r="K3259" s="3" t="inlineStr"/>
      <c r="L3259" s="2" t="inlineStr">
        <is>
          <t>https://animator.ru/db/?p=show_film&amp;fid=4053</t>
        </is>
      </c>
      <c r="M3259" s="2">
        <f>HYPERLINK("https://ru.wikipedia.org/w/index.php?search=%D0%9F%D0%BE%D0%B4%D0%B0%D1%80%D0%BE%D0%BA%20%D0%BB%D0%B5%D0%B4%D1%8F%D0%BD%D0%BE%D0%B3%D0%BE%20%D0%B4%D0%B5%D0%B4%D0%B0%201974%20%D1%84%D0%B8%D0%BB%D1%8C%D0%BC","искать")</f>
        <v/>
      </c>
      <c r="N3259" s="3" t="n"/>
      <c r="O3259" s="2" t="n"/>
      <c r="P3259" s="2" t="n"/>
    </row>
    <row r="3260">
      <c r="A3260" s="2" t="n">
        <v>3259</v>
      </c>
      <c r="B3260" s="2" t="inlineStr">
        <is>
          <t>короткая</t>
        </is>
      </c>
      <c r="C3260" s="2" t="n">
        <v>12837</v>
      </c>
      <c r="D3260" s="3" t="inlineStr">
        <is>
          <t>Присмотрись</t>
        </is>
      </c>
      <c r="E3260" s="2" t="n">
        <v>1964</v>
      </c>
      <c r="F3260" s="2" t="inlineStr">
        <is>
          <t>мультфильм</t>
        </is>
      </c>
      <c r="G3260" s="2" t="inlineStr">
        <is>
          <t>ГРУЗИЯ-ФИЛЬМ - АО</t>
        </is>
      </c>
      <c r="H3260" s="2" t="n">
        <v>0</v>
      </c>
      <c r="I3260" s="2" t="inlineStr"/>
      <c r="J3260" s="2" t="inlineStr">
        <is>
          <t>?</t>
        </is>
      </c>
      <c r="K3260" s="3" t="inlineStr"/>
      <c r="L3260" s="2" t="inlineStr">
        <is>
          <t>https://animator.ru/db/?p=show_film&amp;fid=4059</t>
        </is>
      </c>
      <c r="M3260" s="2">
        <f>HYPERLINK("https://ru.wikipedia.org/w/index.php?search=%D0%9F%D1%80%D0%B8%D1%81%D0%BC%D0%BE%D1%82%D1%80%D0%B8%D1%81%D1%8C%201964%20%D1%84%D0%B8%D0%BB%D1%8C%D0%BC","искать")</f>
        <v/>
      </c>
      <c r="N3260" s="3" t="n"/>
      <c r="O3260" s="2" t="n"/>
      <c r="P3260" s="2" t="n"/>
    </row>
    <row r="3261">
      <c r="A3261" s="2" t="n">
        <v>3260</v>
      </c>
      <c r="B3261" s="2" t="inlineStr">
        <is>
          <t>короткая</t>
        </is>
      </c>
      <c r="C3261" s="2" t="n">
        <v>12838</v>
      </c>
      <c r="D3261" s="3" t="inlineStr">
        <is>
          <t>Радиовещание</t>
        </is>
      </c>
      <c r="E3261" s="2" t="n">
        <v>1933</v>
      </c>
      <c r="F3261" s="2" t="inlineStr">
        <is>
          <t>мультфильм</t>
        </is>
      </c>
      <c r="G3261" s="2" t="n"/>
      <c r="H3261" s="2" t="n">
        <v>0</v>
      </c>
      <c r="I3261" s="2" t="inlineStr"/>
      <c r="J3261" s="2" t="inlineStr">
        <is>
          <t>?</t>
        </is>
      </c>
      <c r="K3261" s="3" t="inlineStr"/>
      <c r="L3261" s="2" t="inlineStr">
        <is>
          <t>https://animator.ru/db/?p=show_film&amp;fid=4060</t>
        </is>
      </c>
      <c r="M3261" s="2">
        <f>HYPERLINK("https://ru.wikipedia.org/w/index.php?search=%D0%A0%D0%B0%D0%B4%D0%B8%D0%BE%D0%B2%D0%B5%D1%89%D0%B0%D0%BD%D0%B8%D0%B5%201933%20%D1%84%D0%B8%D0%BB%D1%8C%D0%BC","искать")</f>
        <v/>
      </c>
      <c r="N3261" s="3" t="n"/>
      <c r="O3261" s="2" t="n"/>
      <c r="P3261" s="2" t="n"/>
    </row>
    <row r="3262">
      <c r="A3262" s="2" t="n">
        <v>3261</v>
      </c>
      <c r="B3262" s="2" t="inlineStr">
        <is>
          <t>короткая</t>
        </is>
      </c>
      <c r="C3262" s="2" t="n">
        <v>12842</v>
      </c>
      <c r="D3262" s="3" t="inlineStr">
        <is>
          <t>Садовник (Призвание)</t>
        </is>
      </c>
      <c r="E3262" s="2" t="n">
        <v>1975</v>
      </c>
      <c r="F3262" s="2" t="inlineStr">
        <is>
          <t>мультфильм</t>
        </is>
      </c>
      <c r="G3262" s="2" t="inlineStr">
        <is>
          <t>ГРУЗИЯ-ФИЛЬМ - АО</t>
        </is>
      </c>
      <c r="H3262" s="2" t="n">
        <v>0</v>
      </c>
      <c r="I3262" s="2" t="inlineStr"/>
      <c r="J3262" s="2" t="inlineStr">
        <is>
          <t>?</t>
        </is>
      </c>
      <c r="K3262" s="3" t="inlineStr"/>
      <c r="L3262" s="2" t="inlineStr">
        <is>
          <t>https://animator.ru/db/?p=show_film&amp;fid=4064</t>
        </is>
      </c>
      <c r="M3262" s="2">
        <f>HYPERLINK("https://ru.wikipedia.org/w/index.php?search=%D0%A1%D0%B0%D0%B4%D0%BE%D0%B2%D0%BD%D0%B8%D0%BA%20%28%D0%9F%D1%80%D0%B8%D0%B7%D0%B2%D0%B0%D0%BD%D0%B8%D0%B5%29%201975%20%D1%84%D0%B8%D0%BB%D1%8C%D0%BC","искать")</f>
        <v/>
      </c>
      <c r="N3262" s="3" t="n"/>
      <c r="O3262" s="2" t="n"/>
      <c r="P3262" s="2" t="n"/>
    </row>
    <row r="3263">
      <c r="A3263" s="2" t="n">
        <v>3262</v>
      </c>
      <c r="B3263" s="2" t="inlineStr">
        <is>
          <t>короткая</t>
        </is>
      </c>
      <c r="C3263" s="2" t="n">
        <v>12843</v>
      </c>
      <c r="D3263" s="3" t="inlineStr">
        <is>
          <t>Самоделкин в космосе</t>
        </is>
      </c>
      <c r="E3263" s="2" t="n">
        <v>1971</v>
      </c>
      <c r="F3263" s="2" t="inlineStr">
        <is>
          <t>мультфильм</t>
        </is>
      </c>
      <c r="G3263" s="2" t="inlineStr">
        <is>
          <t>ГРУЗИЯ-ФИЛЬМ - АО</t>
        </is>
      </c>
      <c r="H3263" s="2" t="n">
        <v>0</v>
      </c>
      <c r="I3263" s="2" t="inlineStr"/>
      <c r="J3263" s="2" t="inlineStr">
        <is>
          <t>?</t>
        </is>
      </c>
      <c r="K3263" s="3" t="inlineStr"/>
      <c r="L3263" s="2" t="inlineStr">
        <is>
          <t>https://animator.ru/db/?p=show_film&amp;fid=4065</t>
        </is>
      </c>
      <c r="M3263" s="2">
        <f>HYPERLINK("https://ru.wikipedia.org/w/index.php?search=%D0%A1%D0%B0%D0%BC%D0%BE%D0%B4%D0%B5%D0%BB%D0%BA%D0%B8%D0%BD%20%D0%B2%20%D0%BA%D0%BE%D1%81%D0%BC%D0%BE%D1%81%D0%B5%201971%20%D1%84%D0%B8%D0%BB%D1%8C%D0%BC","искать")</f>
        <v/>
      </c>
      <c r="N3263" s="3" t="n"/>
      <c r="O3263" s="2" t="n"/>
      <c r="P3263" s="2" t="n"/>
    </row>
    <row r="3264">
      <c r="A3264" s="2" t="n">
        <v>3263</v>
      </c>
      <c r="B3264" s="2" t="inlineStr">
        <is>
          <t>короткая</t>
        </is>
      </c>
      <c r="C3264" s="2" t="n">
        <v>12844</v>
      </c>
      <c r="D3264" s="3" t="inlineStr">
        <is>
          <t>Самоделкин под водой</t>
        </is>
      </c>
      <c r="E3264" s="2" t="n">
        <v>1977</v>
      </c>
      <c r="F3264" s="2" t="inlineStr">
        <is>
          <t>мультфильм</t>
        </is>
      </c>
      <c r="G3264" s="2" t="inlineStr">
        <is>
          <t>ГРУЗИЯ-ФИЛЬМ - АО</t>
        </is>
      </c>
      <c r="H3264" s="2" t="n">
        <v>0</v>
      </c>
      <c r="I3264" s="2" t="inlineStr"/>
      <c r="J3264" s="2" t="inlineStr">
        <is>
          <t>?</t>
        </is>
      </c>
      <c r="K3264" s="3" t="inlineStr"/>
      <c r="L3264" s="2" t="inlineStr">
        <is>
          <t>https://animator.ru/db/?p=show_film&amp;fid=4066</t>
        </is>
      </c>
      <c r="M3264" s="2">
        <f>HYPERLINK("https://ru.wikipedia.org/w/index.php?search=%D0%A1%D0%B0%D0%BC%D0%BE%D0%B4%D0%B5%D0%BB%D0%BA%D0%B8%D0%BD%20%D0%BF%D0%BE%D0%B4%20%D0%B2%D0%BE%D0%B4%D0%BE%D0%B9%201977%20%D1%84%D0%B8%D0%BB%D1%8C%D0%BC","искать")</f>
        <v/>
      </c>
      <c r="N3264" s="3" t="n"/>
      <c r="O3264" s="2" t="n"/>
      <c r="P3264" s="2" t="n"/>
    </row>
    <row r="3265">
      <c r="A3265" s="2" t="n">
        <v>3264</v>
      </c>
      <c r="B3265" s="2" t="inlineStr">
        <is>
          <t>короткая</t>
        </is>
      </c>
      <c r="C3265" s="2" t="n">
        <v>12852</v>
      </c>
      <c r="D3265" s="3" t="inlineStr">
        <is>
          <t>Трубка</t>
        </is>
      </c>
      <c r="E3265" s="2" t="n">
        <v>1975</v>
      </c>
      <c r="F3265" s="2" t="inlineStr">
        <is>
          <t>мультфильм</t>
        </is>
      </c>
      <c r="G3265" s="2" t="inlineStr">
        <is>
          <t>ГРУЗИЯ-ФИЛЬМ - АО</t>
        </is>
      </c>
      <c r="H3265" s="2" t="n">
        <v>0</v>
      </c>
      <c r="I3265" s="2" t="inlineStr"/>
      <c r="J3265" s="2" t="inlineStr">
        <is>
          <t>?</t>
        </is>
      </c>
      <c r="K3265" s="3" t="inlineStr"/>
      <c r="L3265" s="2" t="inlineStr">
        <is>
          <t>https://animator.ru/db/?p=show_film&amp;fid=4077</t>
        </is>
      </c>
      <c r="M3265" s="2">
        <f>HYPERLINK("https://ru.wikipedia.org/w/index.php?search=%D0%A2%D1%80%D1%83%D0%B1%D0%BA%D0%B0%201975%20%D1%84%D0%B8%D0%BB%D1%8C%D0%BC","искать")</f>
        <v/>
      </c>
      <c r="N3265" s="3" t="n"/>
      <c r="O3265" s="2" t="n"/>
      <c r="P3265" s="2" t="n"/>
    </row>
    <row r="3266">
      <c r="A3266" s="2" t="n">
        <v>3265</v>
      </c>
      <c r="B3266" s="2" t="inlineStr">
        <is>
          <t>короткая</t>
        </is>
      </c>
      <c r="C3266" s="2" t="n">
        <v>12855</v>
      </c>
      <c r="D3266" s="3" t="inlineStr">
        <is>
          <t>Четвертый решающий</t>
        </is>
      </c>
      <c r="E3266" s="2" t="n">
        <v>1932</v>
      </c>
      <c r="F3266" s="2" t="inlineStr">
        <is>
          <t>мультфильм</t>
        </is>
      </c>
      <c r="G3266" s="2" t="n"/>
      <c r="H3266" s="2" t="n">
        <v>0</v>
      </c>
      <c r="I3266" s="2" t="inlineStr"/>
      <c r="J3266" s="2" t="inlineStr">
        <is>
          <t>?</t>
        </is>
      </c>
      <c r="K3266" s="3" t="inlineStr"/>
      <c r="L3266" s="2" t="inlineStr">
        <is>
          <t>https://animator.ru/db/?p=show_film&amp;fid=4081</t>
        </is>
      </c>
      <c r="M3266" s="2">
        <f>HYPERLINK("https://ru.wikipedia.org/w/index.php?search=%D0%A7%D0%B5%D1%82%D0%B2%D0%B5%D1%80%D1%82%D1%8B%D0%B9%20%D1%80%D0%B5%D1%88%D0%B0%D1%8E%D1%89%D0%B8%D0%B9%201932%20%D1%84%D0%B8%D0%BB%D1%8C%D0%BC","искать")</f>
        <v/>
      </c>
      <c r="N3266" s="3" t="n"/>
      <c r="O3266" s="2" t="n"/>
      <c r="P3266" s="2" t="n"/>
    </row>
    <row r="3267">
      <c r="A3267" s="2" t="n">
        <v>3266</v>
      </c>
      <c r="B3267" s="2" t="inlineStr">
        <is>
          <t>короткая</t>
        </is>
      </c>
      <c r="C3267" s="2" t="n">
        <v>12857</v>
      </c>
      <c r="D3267" s="3" t="inlineStr">
        <is>
          <t>Я</t>
        </is>
      </c>
      <c r="E3267" s="2" t="n">
        <v>1970</v>
      </c>
      <c r="F3267" s="2" t="inlineStr">
        <is>
          <t>мультфильм</t>
        </is>
      </c>
      <c r="G3267" s="2" t="inlineStr">
        <is>
          <t>ГРУЗИЯ-ФИЛЬМ - АО</t>
        </is>
      </c>
      <c r="H3267" s="2" t="n">
        <v>0</v>
      </c>
      <c r="I3267" s="2" t="inlineStr"/>
      <c r="J3267" s="2" t="inlineStr">
        <is>
          <t>?</t>
        </is>
      </c>
      <c r="K3267" s="3" t="inlineStr"/>
      <c r="L3267" s="2" t="inlineStr">
        <is>
          <t>https://animator.ru/db/?p=show_film&amp;fid=4084</t>
        </is>
      </c>
      <c r="M3267" s="2">
        <f>HYPERLINK("https://ru.wikipedia.org/w/index.php?search=%D0%AF%201970%20%D1%84%D0%B8%D0%BB%D1%8C%D0%BC","искать")</f>
        <v/>
      </c>
      <c r="N3267" s="3" t="n"/>
      <c r="O3267" s="2" t="n"/>
      <c r="P3267" s="2" t="n"/>
    </row>
    <row r="3268">
      <c r="A3268" s="2" t="n">
        <v>3267</v>
      </c>
      <c r="B3268" s="2" t="inlineStr">
        <is>
          <t>короткая</t>
        </is>
      </c>
      <c r="C3268" s="2" t="n">
        <v>12858</v>
      </c>
      <c r="D3268" s="3" t="inlineStr">
        <is>
          <t>Бездельница</t>
        </is>
      </c>
      <c r="E3268" s="2" t="n">
        <v>1958</v>
      </c>
      <c r="F3268" s="2" t="inlineStr">
        <is>
          <t>мультфильм</t>
        </is>
      </c>
      <c r="G3268" s="2" t="inlineStr">
        <is>
          <t>ГРУЗИЯ-ФИЛЬМ - АО</t>
        </is>
      </c>
      <c r="H3268" s="2" t="n">
        <v>0</v>
      </c>
      <c r="I3268" s="2" t="inlineStr"/>
      <c r="J3268" s="2" t="inlineStr">
        <is>
          <t>?</t>
        </is>
      </c>
      <c r="K3268" s="3" t="inlineStr"/>
      <c r="L3268" s="2" t="inlineStr">
        <is>
          <t>https://animator.ru/db/?p=show_film&amp;fid=4088</t>
        </is>
      </c>
      <c r="M3268" s="2">
        <f>HYPERLINK("https://ru.wikipedia.org/w/index.php?search=%D0%91%D0%B5%D0%B7%D0%B4%D0%B5%D0%BB%D1%8C%D0%BD%D0%B8%D1%86%D0%B0%201958%20%D1%84%D0%B8%D0%BB%D1%8C%D0%BC","искать")</f>
        <v/>
      </c>
      <c r="N3268" s="3" t="n"/>
      <c r="O3268" s="2" t="n"/>
      <c r="P3268" s="2" t="n"/>
    </row>
    <row r="3269">
      <c r="A3269" s="2" t="n">
        <v>3268</v>
      </c>
      <c r="B3269" s="2" t="inlineStr">
        <is>
          <t>короткая</t>
        </is>
      </c>
      <c r="C3269" s="2" t="n">
        <v>12859</v>
      </c>
      <c r="D3269" s="3" t="inlineStr">
        <is>
          <t>Белые ночи</t>
        </is>
      </c>
      <c r="E3269" s="2" t="n">
        <v>1966</v>
      </c>
      <c r="F3269" s="2" t="inlineStr">
        <is>
          <t>мультфильм</t>
        </is>
      </c>
      <c r="G3269" s="2" t="inlineStr">
        <is>
          <t>ГРУЗИЯ-ФИЛЬМ - АО</t>
        </is>
      </c>
      <c r="H3269" s="2" t="n">
        <v>0</v>
      </c>
      <c r="I3269" s="2" t="inlineStr"/>
      <c r="J3269" s="2" t="inlineStr">
        <is>
          <t>?</t>
        </is>
      </c>
      <c r="K3269" s="3" t="inlineStr"/>
      <c r="L3269" s="2" t="inlineStr">
        <is>
          <t>https://animator.ru/db/?p=show_film&amp;fid=4089</t>
        </is>
      </c>
      <c r="M3269" s="2">
        <f>HYPERLINK("https://ru.wikipedia.org/w/index.php?search=%D0%91%D0%B5%D0%BB%D1%8B%D0%B5%20%D0%BD%D0%BE%D1%87%D0%B8%201966%20%D1%84%D0%B8%D0%BB%D1%8C%D0%BC","искать")</f>
        <v/>
      </c>
      <c r="N3269" s="3" t="n"/>
      <c r="O3269" s="2" t="n"/>
      <c r="P3269" s="2" t="n"/>
    </row>
    <row r="3270">
      <c r="A3270" s="2" t="n">
        <v>3269</v>
      </c>
      <c r="B3270" s="2" t="inlineStr">
        <is>
          <t>короткая</t>
        </is>
      </c>
      <c r="C3270" s="2" t="n">
        <v>12860</v>
      </c>
      <c r="D3270" s="3" t="inlineStr">
        <is>
          <t>Самайя</t>
        </is>
      </c>
      <c r="E3270" s="2" t="n">
        <v>1971</v>
      </c>
      <c r="F3270" s="2" t="inlineStr">
        <is>
          <t>мультфильм</t>
        </is>
      </c>
      <c r="G3270" s="2" t="inlineStr">
        <is>
          <t>ГРУЗИЯ-ФИЛЬМ - АО</t>
        </is>
      </c>
      <c r="H3270" s="2" t="n">
        <v>0</v>
      </c>
      <c r="I3270" s="2" t="inlineStr"/>
      <c r="J3270" s="2" t="inlineStr">
        <is>
          <t>?</t>
        </is>
      </c>
      <c r="K3270" s="3" t="inlineStr"/>
      <c r="L3270" s="2" t="inlineStr">
        <is>
          <t>https://animator.ru/db/?p=show_film&amp;fid=4090</t>
        </is>
      </c>
      <c r="M3270" s="2">
        <f>HYPERLINK("https://ru.wikipedia.org/w/index.php?search=%D0%A1%D0%B0%D0%BC%D0%B0%D0%B9%D1%8F%201971%20%D1%84%D0%B8%D0%BB%D1%8C%D0%BC","искать")</f>
        <v/>
      </c>
      <c r="N3270" s="3" t="n"/>
      <c r="O3270" s="2" t="n"/>
      <c r="P3270" s="2" t="n"/>
    </row>
    <row r="3271">
      <c r="A3271" s="2" t="n">
        <v>3270</v>
      </c>
      <c r="B3271" s="2" t="inlineStr">
        <is>
          <t>короткая</t>
        </is>
      </c>
      <c r="C3271" s="2" t="n">
        <v>12861</v>
      </c>
      <c r="D3271" s="3" t="inlineStr">
        <is>
          <t>Калейдоскоп</t>
        </is>
      </c>
      <c r="E3271" s="2" t="n">
        <v>1971</v>
      </c>
      <c r="F3271" s="2" t="inlineStr">
        <is>
          <t>мультфильм</t>
        </is>
      </c>
      <c r="G3271" s="2" t="inlineStr">
        <is>
          <t>ГРУЗИЯ-ФИЛЬМ - АО</t>
        </is>
      </c>
      <c r="H3271" s="2" t="n">
        <v>0</v>
      </c>
      <c r="I3271" s="2" t="inlineStr"/>
      <c r="J3271" s="2" t="inlineStr">
        <is>
          <t>?</t>
        </is>
      </c>
      <c r="K3271" s="3" t="inlineStr"/>
      <c r="L3271" s="2" t="inlineStr">
        <is>
          <t>https://animator.ru/db/?p=show_film&amp;fid=4091</t>
        </is>
      </c>
      <c r="M3271" s="2">
        <f>HYPERLINK("https://ru.wikipedia.org/w/index.php?search=%D0%9A%D0%B0%D0%BB%D0%B5%D0%B9%D0%B4%D0%BE%D1%81%D0%BA%D0%BE%D0%BF%201971%20%D1%84%D0%B8%D0%BB%D1%8C%D0%BC","искать")</f>
        <v/>
      </c>
      <c r="N3271" s="3" t="n"/>
      <c r="O3271" s="2" t="n"/>
      <c r="P3271" s="2" t="n"/>
    </row>
    <row r="3272">
      <c r="A3272" s="2" t="n">
        <v>3271</v>
      </c>
      <c r="B3272" s="2" t="inlineStr">
        <is>
          <t>короткая</t>
        </is>
      </c>
      <c r="C3272" s="2" t="n">
        <v>12862</v>
      </c>
      <c r="D3272" s="3" t="inlineStr">
        <is>
          <t>Весна</t>
        </is>
      </c>
      <c r="E3272" s="2" t="n">
        <v>1972</v>
      </c>
      <c r="F3272" s="2" t="inlineStr">
        <is>
          <t>мультфильм</t>
        </is>
      </c>
      <c r="G3272" s="2" t="inlineStr">
        <is>
          <t>ГРУЗИЯ-ФИЛЬМ - АО</t>
        </is>
      </c>
      <c r="H3272" s="2" t="n">
        <v>0</v>
      </c>
      <c r="I3272" s="2" t="inlineStr"/>
      <c r="J3272" s="2" t="inlineStr">
        <is>
          <t>?</t>
        </is>
      </c>
      <c r="K3272" s="3" t="inlineStr"/>
      <c r="L3272" s="2" t="inlineStr">
        <is>
          <t>https://animator.ru/db/?p=show_film&amp;fid=4092</t>
        </is>
      </c>
      <c r="M3272" s="2">
        <f>HYPERLINK("https://ru.wikipedia.org/w/index.php?search=%D0%92%D0%B5%D1%81%D0%BD%D0%B0%201972%20%D1%84%D0%B8%D0%BB%D1%8C%D0%BC","искать")</f>
        <v/>
      </c>
      <c r="N3272" s="3" t="n"/>
      <c r="O3272" s="2" t="n"/>
      <c r="P3272" s="2" t="n"/>
    </row>
    <row r="3273">
      <c r="A3273" s="2" t="n">
        <v>3272</v>
      </c>
      <c r="B3273" s="2" t="inlineStr">
        <is>
          <t>короткая</t>
        </is>
      </c>
      <c r="C3273" s="2" t="n">
        <v>12863</v>
      </c>
      <c r="D3273" s="3" t="inlineStr">
        <is>
          <t>Лев и кот</t>
        </is>
      </c>
      <c r="E3273" s="2" t="n">
        <v>1973</v>
      </c>
      <c r="F3273" s="2" t="inlineStr">
        <is>
          <t>мультфильм</t>
        </is>
      </c>
      <c r="G3273" s="2" t="inlineStr">
        <is>
          <t>ГРУЗИЯ-ФИЛЬМ - АО</t>
        </is>
      </c>
      <c r="H3273" s="2" t="n">
        <v>0</v>
      </c>
      <c r="I3273" s="2" t="inlineStr"/>
      <c r="J3273" s="2" t="inlineStr">
        <is>
          <t>?</t>
        </is>
      </c>
      <c r="K3273" s="3" t="inlineStr"/>
      <c r="L3273" s="2" t="inlineStr">
        <is>
          <t>https://animator.ru/db/?p=show_film&amp;fid=4093</t>
        </is>
      </c>
      <c r="M3273" s="2">
        <f>HYPERLINK("https://ru.wikipedia.org/w/index.php?search=%D0%9B%D0%B5%D0%B2%20%D0%B8%20%D0%BA%D0%BE%D1%82%201973%20%D1%84%D0%B8%D0%BB%D1%8C%D0%BC","искать")</f>
        <v/>
      </c>
      <c r="N3273" s="3" t="n"/>
      <c r="O3273" s="2" t="n"/>
      <c r="P3273" s="2" t="n"/>
    </row>
    <row r="3274">
      <c r="A3274" s="2" t="n">
        <v>3273</v>
      </c>
      <c r="B3274" s="2" t="inlineStr">
        <is>
          <t>короткая</t>
        </is>
      </c>
      <c r="C3274" s="2" t="n">
        <v>12864</v>
      </c>
      <c r="D3274" s="3" t="inlineStr">
        <is>
          <t>Дерево</t>
        </is>
      </c>
      <c r="E3274" s="2" t="n">
        <v>1973</v>
      </c>
      <c r="F3274" s="2" t="inlineStr">
        <is>
          <t>мультфильм</t>
        </is>
      </c>
      <c r="G3274" s="2" t="inlineStr">
        <is>
          <t>ГРУЗИЯ-ФИЛЬМ - АО</t>
        </is>
      </c>
      <c r="H3274" s="2" t="n">
        <v>0</v>
      </c>
      <c r="I3274" s="2" t="inlineStr"/>
      <c r="J3274" s="2" t="inlineStr">
        <is>
          <t>?</t>
        </is>
      </c>
      <c r="K3274" s="3" t="inlineStr"/>
      <c r="L3274" s="2" t="inlineStr">
        <is>
          <t>https://animator.ru/db/?p=show_film&amp;fid=4094</t>
        </is>
      </c>
      <c r="M3274" s="2">
        <f>HYPERLINK("https://ru.wikipedia.org/w/index.php?search=%D0%94%D0%B5%D1%80%D0%B5%D0%B2%D0%BE%201973%20%D1%84%D0%B8%D0%BB%D1%8C%D0%BC","искать")</f>
        <v/>
      </c>
      <c r="N3274" s="3" t="n"/>
      <c r="O3274" s="2" t="n"/>
      <c r="P3274" s="2" t="n"/>
    </row>
    <row r="3275">
      <c r="A3275" s="2" t="n">
        <v>3274</v>
      </c>
      <c r="B3275" s="2" t="inlineStr">
        <is>
          <t>короткая</t>
        </is>
      </c>
      <c r="C3275" s="2" t="n">
        <v>12865</v>
      </c>
      <c r="D3275" s="3" t="inlineStr">
        <is>
          <t>Шакро и Закро</t>
        </is>
      </c>
      <c r="E3275" s="2" t="n">
        <v>1973</v>
      </c>
      <c r="F3275" s="2" t="inlineStr">
        <is>
          <t>мультфильм</t>
        </is>
      </c>
      <c r="G3275" s="2" t="inlineStr">
        <is>
          <t>ГРУЗИЯ-ФИЛЬМ - АО</t>
        </is>
      </c>
      <c r="H3275" s="2" t="n">
        <v>0</v>
      </c>
      <c r="I3275" s="2" t="inlineStr"/>
      <c r="J3275" s="2" t="inlineStr">
        <is>
          <t>?</t>
        </is>
      </c>
      <c r="K3275" s="3" t="inlineStr"/>
      <c r="L3275" s="2" t="inlineStr">
        <is>
          <t>https://animator.ru/db/?p=show_film&amp;fid=4095</t>
        </is>
      </c>
      <c r="M3275" s="2">
        <f>HYPERLINK("https://ru.wikipedia.org/w/index.php?search=%D0%A8%D0%B0%D0%BA%D1%80%D0%BE%20%D0%B8%20%D0%97%D0%B0%D0%BA%D1%80%D0%BE%201973%20%D1%84%D0%B8%D0%BB%D1%8C%D0%BC","искать")</f>
        <v/>
      </c>
      <c r="N3275" s="3" t="n"/>
      <c r="O3275" s="2" t="n"/>
      <c r="P3275" s="2" t="n"/>
    </row>
    <row r="3276">
      <c r="A3276" s="2" t="n">
        <v>3275</v>
      </c>
      <c r="B3276" s="2" t="inlineStr">
        <is>
          <t>короткая</t>
        </is>
      </c>
      <c r="C3276" s="2" t="n">
        <v>12866</v>
      </c>
      <c r="D3276" s="3" t="inlineStr">
        <is>
          <t>Находчивый заяц</t>
        </is>
      </c>
      <c r="E3276" s="2" t="n">
        <v>1973</v>
      </c>
      <c r="F3276" s="2" t="inlineStr">
        <is>
          <t>мультфильм</t>
        </is>
      </c>
      <c r="G3276" s="2" t="inlineStr">
        <is>
          <t>ГРУЗИЯ-ФИЛЬМ - АО</t>
        </is>
      </c>
      <c r="H3276" s="2" t="n">
        <v>0</v>
      </c>
      <c r="I3276" s="2" t="inlineStr"/>
      <c r="J3276" s="2" t="inlineStr">
        <is>
          <t>?</t>
        </is>
      </c>
      <c r="K3276" s="3" t="inlineStr"/>
      <c r="L3276" s="2" t="inlineStr">
        <is>
          <t>https://animator.ru/db/?p=show_film&amp;fid=4096</t>
        </is>
      </c>
      <c r="M3276" s="2">
        <f>HYPERLINK("https://ru.wikipedia.org/w/index.php?search=%D0%9D%D0%B0%D1%85%D0%BE%D0%B4%D1%87%D0%B8%D0%B2%D1%8B%D0%B9%20%D0%B7%D0%B0%D1%8F%D1%86%201973%20%D1%84%D0%B8%D0%BB%D1%8C%D0%BC","искать")</f>
        <v/>
      </c>
      <c r="N3276" s="3" t="n"/>
      <c r="O3276" s="2" t="n"/>
      <c r="P3276" s="2" t="n"/>
    </row>
    <row r="3277">
      <c r="A3277" s="2" t="n">
        <v>3276</v>
      </c>
      <c r="B3277" s="2" t="inlineStr">
        <is>
          <t>короткая</t>
        </is>
      </c>
      <c r="C3277" s="2" t="n">
        <v>12867</v>
      </c>
      <c r="D3277" s="3" t="inlineStr">
        <is>
          <t>Бомбора начинает учиться</t>
        </is>
      </c>
      <c r="E3277" s="2" t="n">
        <v>1973</v>
      </c>
      <c r="F3277" s="2" t="inlineStr">
        <is>
          <t>мультфильм</t>
        </is>
      </c>
      <c r="G3277" s="2" t="inlineStr">
        <is>
          <t>ГРУЗИЯ-ФИЛЬМ - АО</t>
        </is>
      </c>
      <c r="H3277" s="2" t="n">
        <v>0</v>
      </c>
      <c r="I3277" s="2" t="inlineStr"/>
      <c r="J3277" s="2" t="inlineStr">
        <is>
          <t>?</t>
        </is>
      </c>
      <c r="K3277" s="3" t="inlineStr"/>
      <c r="L3277" s="2" t="inlineStr">
        <is>
          <t>https://animator.ru/db/?p=show_film&amp;fid=4097</t>
        </is>
      </c>
      <c r="M3277" s="2">
        <f>HYPERLINK("https://ru.wikipedia.org/w/index.php?search=%D0%91%D0%BE%D0%BC%D0%B1%D0%BE%D1%80%D0%B0%20%D0%BD%D0%B0%D1%87%D0%B8%D0%BD%D0%B0%D0%B5%D1%82%20%D1%83%D1%87%D0%B8%D1%82%D1%8C%D1%81%D1%8F%201973%20%D1%84%D0%B8%D0%BB%D1%8C%D0%BC","искать")</f>
        <v/>
      </c>
      <c r="N3277" s="3" t="n"/>
      <c r="O3277" s="2" t="n"/>
      <c r="P3277" s="2" t="n"/>
    </row>
    <row r="3278">
      <c r="A3278" s="2" t="n">
        <v>3277</v>
      </c>
      <c r="B3278" s="2" t="inlineStr">
        <is>
          <t>короткая</t>
        </is>
      </c>
      <c r="C3278" s="2" t="n">
        <v>12868</v>
      </c>
      <c r="D3278" s="3" t="inlineStr">
        <is>
          <t>Волшебное яйцо (груз.)</t>
        </is>
      </c>
      <c r="E3278" s="2" t="n">
        <v>1974</v>
      </c>
      <c r="F3278" s="2" t="inlineStr">
        <is>
          <t>мультфильм</t>
        </is>
      </c>
      <c r="G3278" s="2" t="inlineStr">
        <is>
          <t>ГРУЗИЯ-ФИЛЬМ - АО</t>
        </is>
      </c>
      <c r="H3278" s="2" t="n">
        <v>0</v>
      </c>
      <c r="I3278" s="2" t="inlineStr"/>
      <c r="J3278" s="2" t="inlineStr">
        <is>
          <t>?</t>
        </is>
      </c>
      <c r="K3278" s="3" t="inlineStr"/>
      <c r="L3278" s="2" t="inlineStr">
        <is>
          <t>https://animator.ru/db/?p=show_film&amp;fid=4098</t>
        </is>
      </c>
      <c r="M3278" s="2">
        <f>HYPERLINK("https://ru.wikipedia.org/w/index.php?search=%D0%92%D0%BE%D0%BB%D1%88%D0%B5%D0%B1%D0%BD%D0%BE%D0%B5%20%D1%8F%D0%B9%D1%86%D0%BE%20%28%D0%B3%D1%80%D1%83%D0%B7.%29%201974%20%D1%84%D0%B8%D0%BB%D1%8C%D0%BC","искать")</f>
        <v/>
      </c>
      <c r="N3278" s="3" t="n"/>
      <c r="O3278" s="2" t="n"/>
      <c r="P3278" s="2" t="n"/>
    </row>
    <row r="3279">
      <c r="A3279" s="2" t="n">
        <v>3278</v>
      </c>
      <c r="B3279" s="2" t="inlineStr">
        <is>
          <t>короткая</t>
        </is>
      </c>
      <c r="C3279" s="2" t="n">
        <v>12869</v>
      </c>
      <c r="D3279" s="3" t="inlineStr">
        <is>
          <t>Арбуз (Солнце и арбуз)</t>
        </is>
      </c>
      <c r="E3279" s="2" t="n">
        <v>1974</v>
      </c>
      <c r="F3279" s="2" t="inlineStr">
        <is>
          <t>мультфильм</t>
        </is>
      </c>
      <c r="G3279" s="2" t="inlineStr">
        <is>
          <t>ГРУЗИЯ-ФИЛЬМ - АО</t>
        </is>
      </c>
      <c r="H3279" s="2" t="n">
        <v>0</v>
      </c>
      <c r="I3279" s="2" t="inlineStr"/>
      <c r="J3279" s="2" t="inlineStr">
        <is>
          <t>?</t>
        </is>
      </c>
      <c r="K3279" s="3" t="inlineStr"/>
      <c r="L3279" s="2" t="inlineStr">
        <is>
          <t>https://animator.ru/db/?p=show_film&amp;fid=4099</t>
        </is>
      </c>
      <c r="M3279" s="2">
        <f>HYPERLINK("https://ru.wikipedia.org/w/index.php?search=%D0%90%D1%80%D0%B1%D1%83%D0%B7%20%28%D0%A1%D0%BE%D0%BB%D0%BD%D1%86%D0%B5%20%D0%B8%20%D0%B0%D1%80%D0%B1%D1%83%D0%B7%29%201974%20%D1%84%D0%B8%D0%BB%D1%8C%D0%BC","искать")</f>
        <v/>
      </c>
      <c r="N3279" s="3" t="n"/>
      <c r="O3279" s="2" t="n"/>
      <c r="P3279" s="2" t="n"/>
    </row>
    <row r="3280">
      <c r="A3280" s="2" t="n">
        <v>3279</v>
      </c>
      <c r="B3280" s="2" t="inlineStr">
        <is>
          <t>короткая</t>
        </is>
      </c>
      <c r="C3280" s="2" t="n">
        <v>12870</v>
      </c>
      <c r="D3280" s="3" t="inlineStr">
        <is>
          <t>Волшебный карандаш. 24. В пещере</t>
        </is>
      </c>
      <c r="E3280" s="2" t="n">
        <v>1975</v>
      </c>
      <c r="F3280" s="2" t="inlineStr">
        <is>
          <t>мультфильм</t>
        </is>
      </c>
      <c r="G3280" s="2" t="inlineStr">
        <is>
          <t>ГРУЗИЯ-ФИЛЬМ - АО</t>
        </is>
      </c>
      <c r="H3280" s="2" t="n">
        <v>0</v>
      </c>
      <c r="I3280" s="2" t="inlineStr"/>
      <c r="J3280" s="2" t="inlineStr">
        <is>
          <t>?</t>
        </is>
      </c>
      <c r="K3280" s="3" t="inlineStr"/>
      <c r="L3280" s="2" t="inlineStr">
        <is>
          <t>https://animator.ru/db/?p=show_film&amp;fid=4100</t>
        </is>
      </c>
      <c r="M3280" s="2">
        <f>HYPERLINK("https://ru.wikipedia.org/w/index.php?search=%D0%92%D0%BE%D0%BB%D1%88%D0%B5%D0%B1%D0%BD%D1%8B%D0%B9%20%D0%BA%D0%B0%D1%80%D0%B0%D0%BD%D0%B4%D0%B0%D1%88.%2024.%20%D0%92%20%D0%BF%D0%B5%D1%89%D0%B5%D1%80%D0%B5%201975%20%D1%84%D0%B8%D0%BB%D1%8C%D0%BC","искать")</f>
        <v/>
      </c>
      <c r="N3280" s="3" t="n"/>
      <c r="O3280" s="2" t="n"/>
      <c r="P3280" s="2" t="n"/>
    </row>
    <row r="3281">
      <c r="A3281" s="2" t="n">
        <v>3280</v>
      </c>
      <c r="B3281" s="2" t="inlineStr">
        <is>
          <t>короткая</t>
        </is>
      </c>
      <c r="C3281" s="2" t="n">
        <v>12871</v>
      </c>
      <c r="D3281" s="3" t="inlineStr">
        <is>
          <t>Где ты, моя саванна?</t>
        </is>
      </c>
      <c r="E3281" s="2" t="n">
        <v>1975</v>
      </c>
      <c r="F3281" s="2" t="inlineStr">
        <is>
          <t>мультфильм</t>
        </is>
      </c>
      <c r="G3281" s="2" t="inlineStr">
        <is>
          <t>ГРУЗИЯ-ФИЛЬМ - АО</t>
        </is>
      </c>
      <c r="H3281" s="2" t="n">
        <v>0</v>
      </c>
      <c r="I3281" s="2" t="inlineStr"/>
      <c r="J3281" s="2" t="inlineStr">
        <is>
          <t>?</t>
        </is>
      </c>
      <c r="K3281" s="3" t="inlineStr"/>
      <c r="L3281" s="2" t="inlineStr">
        <is>
          <t>https://animator.ru/db/?p=show_film&amp;fid=4101</t>
        </is>
      </c>
      <c r="M3281" s="2">
        <f>HYPERLINK("https://ru.wikipedia.org/w/index.php?search=%D0%93%D0%B4%D0%B5%20%D1%82%D1%8B%2C%20%D0%BC%D0%BE%D1%8F%20%D1%81%D0%B0%D0%B2%D0%B0%D0%BD%D0%BD%D0%B0%3F%201975%20%D1%84%D0%B8%D0%BB%D1%8C%D0%BC","искать")</f>
        <v/>
      </c>
      <c r="N3281" s="3" t="n"/>
      <c r="O3281" s="2" t="n"/>
      <c r="P3281" s="2" t="n"/>
    </row>
    <row r="3282">
      <c r="A3282" s="2" t="n">
        <v>3281</v>
      </c>
      <c r="B3282" s="2" t="inlineStr">
        <is>
          <t>короткая</t>
        </is>
      </c>
      <c r="C3282" s="2" t="n">
        <v>12872</v>
      </c>
      <c r="D3282" s="3" t="inlineStr">
        <is>
          <t>Мальчик и иллюзионист</t>
        </is>
      </c>
      <c r="E3282" s="2" t="n">
        <v>1975</v>
      </c>
      <c r="F3282" s="2" t="inlineStr">
        <is>
          <t>мультфильм</t>
        </is>
      </c>
      <c r="G3282" s="2" t="inlineStr">
        <is>
          <t>ГРУЗИЯ-ФИЛЬМ - АО</t>
        </is>
      </c>
      <c r="H3282" s="2" t="n">
        <v>0</v>
      </c>
      <c r="I3282" s="2" t="inlineStr"/>
      <c r="J3282" s="2" t="inlineStr">
        <is>
          <t>?</t>
        </is>
      </c>
      <c r="K3282" s="3" t="inlineStr"/>
      <c r="L3282" s="2" t="inlineStr">
        <is>
          <t>https://animator.ru/db/?p=show_film&amp;fid=4102</t>
        </is>
      </c>
      <c r="M3282" s="2">
        <f>HYPERLINK("https://ru.wikipedia.org/w/index.php?search=%D0%9C%D0%B0%D0%BB%D1%8C%D1%87%D0%B8%D0%BA%20%D0%B8%20%D0%B8%D0%BB%D0%BB%D1%8E%D0%B7%D0%B8%D0%BE%D0%BD%D0%B8%D1%81%D1%82%201975%20%D1%84%D0%B8%D0%BB%D1%8C%D0%BC","искать")</f>
        <v/>
      </c>
      <c r="N3282" s="3" t="n"/>
      <c r="O3282" s="2" t="n"/>
      <c r="P3282" s="2" t="n"/>
    </row>
    <row r="3283">
      <c r="A3283" s="2" t="n">
        <v>3282</v>
      </c>
      <c r="B3283" s="2" t="inlineStr">
        <is>
          <t>короткая</t>
        </is>
      </c>
      <c r="C3283" s="2" t="n">
        <v>12873</v>
      </c>
      <c r="D3283" s="3" t="inlineStr">
        <is>
          <t>Эта непонятная любовь</t>
        </is>
      </c>
      <c r="E3283" s="2" t="n">
        <v>1976</v>
      </c>
      <c r="F3283" s="2" t="inlineStr">
        <is>
          <t>мультфильм</t>
        </is>
      </c>
      <c r="G3283" s="2" t="inlineStr">
        <is>
          <t>ГРУЗИЯ-ФИЛЬМ - АО</t>
        </is>
      </c>
      <c r="H3283" s="2" t="n">
        <v>0</v>
      </c>
      <c r="I3283" s="2" t="inlineStr"/>
      <c r="J3283" s="2" t="inlineStr">
        <is>
          <t>?</t>
        </is>
      </c>
      <c r="K3283" s="3" t="inlineStr"/>
      <c r="L3283" s="2" t="inlineStr">
        <is>
          <t>https://animator.ru/db/?p=show_film&amp;fid=4103</t>
        </is>
      </c>
      <c r="M3283" s="2">
        <f>HYPERLINK("https://ru.wikipedia.org/w/index.php?search=%D0%AD%D1%82%D0%B0%20%D0%BD%D0%B5%D0%BF%D0%BE%D0%BD%D1%8F%D1%82%D0%BD%D0%B0%D1%8F%20%D0%BB%D1%8E%D0%B1%D0%BE%D0%B2%D1%8C%201976%20%D1%84%D0%B8%D0%BB%D1%8C%D0%BC","искать")</f>
        <v/>
      </c>
      <c r="N3283" s="3" t="n"/>
      <c r="O3283" s="2" t="n"/>
      <c r="P3283" s="2" t="n"/>
    </row>
    <row r="3284">
      <c r="A3284" s="2" t="n">
        <v>3283</v>
      </c>
      <c r="B3284" s="2" t="inlineStr">
        <is>
          <t>короткая</t>
        </is>
      </c>
      <c r="C3284" s="2" t="n">
        <v>12874</v>
      </c>
      <c r="D3284" s="3" t="inlineStr">
        <is>
          <t>Кактус</t>
        </is>
      </c>
      <c r="E3284" s="2" t="n">
        <v>1976</v>
      </c>
      <c r="F3284" s="2" t="inlineStr">
        <is>
          <t>мультфильм</t>
        </is>
      </c>
      <c r="G3284" s="2" t="inlineStr">
        <is>
          <t>ГРУЗИЯ-ФИЛЬМ - АО</t>
        </is>
      </c>
      <c r="H3284" s="2" t="n">
        <v>0</v>
      </c>
      <c r="I3284" s="2" t="inlineStr"/>
      <c r="J3284" s="2" t="inlineStr">
        <is>
          <t>?</t>
        </is>
      </c>
      <c r="K3284" s="3" t="inlineStr"/>
      <c r="L3284" s="2" t="inlineStr">
        <is>
          <t>https://animator.ru/db/?p=show_film&amp;fid=4104</t>
        </is>
      </c>
      <c r="M3284" s="2">
        <f>HYPERLINK("https://ru.wikipedia.org/w/index.php?search=%D0%9A%D0%B0%D0%BA%D1%82%D1%83%D1%81%201976%20%D1%84%D0%B8%D0%BB%D1%8C%D0%BC","искать")</f>
        <v/>
      </c>
      <c r="N3284" s="3" t="n"/>
      <c r="O3284" s="2" t="n"/>
      <c r="P3284" s="2" t="n"/>
    </row>
    <row r="3285">
      <c r="A3285" s="2" t="n">
        <v>3284</v>
      </c>
      <c r="B3285" s="2" t="inlineStr">
        <is>
          <t>короткая</t>
        </is>
      </c>
      <c r="C3285" s="2" t="n">
        <v>12876</v>
      </c>
      <c r="D3285" s="3" t="inlineStr">
        <is>
          <t>Последняя капля</t>
        </is>
      </c>
      <c r="E3285" s="2" t="n">
        <v>1977</v>
      </c>
      <c r="F3285" s="2" t="inlineStr">
        <is>
          <t>мультфильм</t>
        </is>
      </c>
      <c r="G3285" s="2" t="inlineStr">
        <is>
          <t>ГРУЗИЯ-ФИЛЬМ - АО</t>
        </is>
      </c>
      <c r="H3285" s="2" t="n">
        <v>0</v>
      </c>
      <c r="I3285" s="2" t="inlineStr"/>
      <c r="J3285" s="2" t="inlineStr">
        <is>
          <t>?</t>
        </is>
      </c>
      <c r="K3285" s="3" t="inlineStr"/>
      <c r="L3285" s="2" t="inlineStr">
        <is>
          <t>https://animator.ru/db/?p=show_film&amp;fid=4106</t>
        </is>
      </c>
      <c r="M3285" s="2">
        <f>HYPERLINK("https://ru.wikipedia.org/w/index.php?search=%D0%9F%D0%BE%D1%81%D0%BB%D0%B5%D0%B4%D0%BD%D1%8F%D1%8F%20%D0%BA%D0%B0%D0%BF%D0%BB%D1%8F%201977%20%D1%84%D0%B8%D0%BB%D1%8C%D0%BC","искать")</f>
        <v/>
      </c>
      <c r="N3285" s="3" t="n"/>
      <c r="O3285" s="2" t="n"/>
      <c r="P3285" s="2" t="n"/>
    </row>
    <row r="3286">
      <c r="A3286" s="2" t="n">
        <v>3285</v>
      </c>
      <c r="B3286" s="2" t="inlineStr">
        <is>
          <t>короткая</t>
        </is>
      </c>
      <c r="C3286" s="2" t="n">
        <v>12877</v>
      </c>
      <c r="D3286" s="3" t="inlineStr">
        <is>
          <t>Ворчун</t>
        </is>
      </c>
      <c r="E3286" s="2" t="n">
        <v>1977</v>
      </c>
      <c r="F3286" s="2" t="inlineStr">
        <is>
          <t>мультфильм</t>
        </is>
      </c>
      <c r="G3286" s="2" t="inlineStr">
        <is>
          <t>ГРУЗИЯ-ФИЛЬМ - АО</t>
        </is>
      </c>
      <c r="H3286" s="2" t="n">
        <v>0</v>
      </c>
      <c r="I3286" s="2" t="inlineStr"/>
      <c r="J3286" s="2" t="inlineStr">
        <is>
          <t>?</t>
        </is>
      </c>
      <c r="K3286" s="3" t="inlineStr"/>
      <c r="L3286" s="2" t="inlineStr">
        <is>
          <t>https://animator.ru/db/?p=show_film&amp;fid=4107</t>
        </is>
      </c>
      <c r="M3286" s="2">
        <f>HYPERLINK("https://ru.wikipedia.org/w/index.php?search=%D0%92%D0%BE%D1%80%D1%87%D1%83%D0%BD%201977%20%D1%84%D0%B8%D0%BB%D1%8C%D0%BC","искать")</f>
        <v/>
      </c>
      <c r="N3286" s="3" t="n"/>
      <c r="O3286" s="2" t="n"/>
      <c r="P3286" s="2" t="n"/>
    </row>
    <row r="3287">
      <c r="A3287" s="2" t="n">
        <v>3286</v>
      </c>
      <c r="B3287" s="2" t="inlineStr">
        <is>
          <t>короткая</t>
        </is>
      </c>
      <c r="C3287" s="2" t="n">
        <v>12878</v>
      </c>
      <c r="D3287" s="3" t="inlineStr">
        <is>
          <t>Соседи (Близкие соседи)</t>
        </is>
      </c>
      <c r="E3287" s="2" t="n">
        <v>1977</v>
      </c>
      <c r="F3287" s="2" t="inlineStr">
        <is>
          <t>мультфильм</t>
        </is>
      </c>
      <c r="G3287" s="2" t="inlineStr">
        <is>
          <t>ГРУЗИЯ-ФИЛЬМ - АО</t>
        </is>
      </c>
      <c r="H3287" s="2" t="n">
        <v>0</v>
      </c>
      <c r="I3287" s="2" t="inlineStr"/>
      <c r="J3287" s="2" t="inlineStr">
        <is>
          <t>?</t>
        </is>
      </c>
      <c r="K3287" s="3" t="inlineStr"/>
      <c r="L3287" s="2" t="inlineStr">
        <is>
          <t>https://animator.ru/db/?p=show_film&amp;fid=4108</t>
        </is>
      </c>
      <c r="M3287" s="2">
        <f>HYPERLINK("https://ru.wikipedia.org/w/index.php?search=%D0%A1%D0%BE%D1%81%D0%B5%D0%B4%D0%B8%20%28%D0%91%D0%BB%D0%B8%D0%B7%D0%BA%D0%B8%D0%B5%20%D1%81%D0%BE%D1%81%D0%B5%D0%B4%D0%B8%29%201977%20%D1%84%D0%B8%D0%BB%D1%8C%D0%BC","искать")</f>
        <v/>
      </c>
      <c r="N3287" s="3" t="n"/>
      <c r="O3287" s="2" t="n"/>
      <c r="P3287" s="2" t="n"/>
    </row>
    <row r="3288">
      <c r="A3288" s="2" t="n">
        <v>3287</v>
      </c>
      <c r="B3288" s="2" t="inlineStr">
        <is>
          <t>короткая</t>
        </is>
      </c>
      <c r="C3288" s="2" t="n">
        <v>12879</v>
      </c>
      <c r="D3288" s="3" t="inlineStr">
        <is>
          <t>Пушинка</t>
        </is>
      </c>
      <c r="E3288" s="2" t="n">
        <v>1977</v>
      </c>
      <c r="F3288" s="2" t="inlineStr">
        <is>
          <t>мультфильм</t>
        </is>
      </c>
      <c r="G3288" s="2" t="inlineStr">
        <is>
          <t>ГРУЗИЯ-ФИЛЬМ - АО</t>
        </is>
      </c>
      <c r="H3288" s="2" t="n">
        <v>0</v>
      </c>
      <c r="I3288" s="2" t="inlineStr"/>
      <c r="J3288" s="2" t="inlineStr">
        <is>
          <t>?</t>
        </is>
      </c>
      <c r="K3288" s="3" t="inlineStr"/>
      <c r="L3288" s="2" t="inlineStr">
        <is>
          <t>https://animator.ru/db/?p=show_film&amp;fid=4109</t>
        </is>
      </c>
      <c r="M3288" s="2">
        <f>HYPERLINK("https://ru.wikipedia.org/w/index.php?search=%D0%9F%D1%83%D1%88%D0%B8%D0%BD%D0%BA%D0%B0%201977%20%D1%84%D0%B8%D0%BB%D1%8C%D0%BC","искать")</f>
        <v/>
      </c>
      <c r="N3288" s="3" t="n"/>
      <c r="O3288" s="2" t="n"/>
      <c r="P3288" s="2" t="n"/>
    </row>
    <row r="3289">
      <c r="A3289" s="2" t="n">
        <v>3288</v>
      </c>
      <c r="B3289" s="2" t="inlineStr">
        <is>
          <t>короткая</t>
        </is>
      </c>
      <c r="C3289" s="2" t="n">
        <v>12882</v>
      </c>
      <c r="D3289" s="3" t="inlineStr">
        <is>
          <t>Гадкий медвежонок</t>
        </is>
      </c>
      <c r="E3289" s="2" t="n">
        <v>1978</v>
      </c>
      <c r="F3289" s="2" t="inlineStr">
        <is>
          <t>мультфильм</t>
        </is>
      </c>
      <c r="G3289" s="2" t="inlineStr">
        <is>
          <t>ГРУЗИЯ-ФИЛЬМ - АО</t>
        </is>
      </c>
      <c r="H3289" s="2" t="n">
        <v>0</v>
      </c>
      <c r="I3289" s="2" t="inlineStr"/>
      <c r="J3289" s="2" t="inlineStr">
        <is>
          <t>?</t>
        </is>
      </c>
      <c r="K3289" s="3" t="inlineStr"/>
      <c r="L3289" s="2" t="inlineStr">
        <is>
          <t>https://animator.ru/db/?p=show_film&amp;fid=4112</t>
        </is>
      </c>
      <c r="M3289" s="2">
        <f>HYPERLINK("https://ru.wikipedia.org/w/index.php?search=%D0%93%D0%B0%D0%B4%D0%BA%D0%B8%D0%B9%20%D0%BC%D0%B5%D0%B4%D0%B2%D0%B5%D0%B6%D0%BE%D0%BD%D0%BE%D0%BA%201978%20%D1%84%D0%B8%D0%BB%D1%8C%D0%BC","искать")</f>
        <v/>
      </c>
      <c r="N3289" s="3" t="n"/>
      <c r="O3289" s="2" t="n"/>
      <c r="P3289" s="2" t="n"/>
    </row>
    <row r="3290">
      <c r="A3290" s="2" t="n">
        <v>3289</v>
      </c>
      <c r="B3290" s="2" t="inlineStr">
        <is>
          <t>короткая</t>
        </is>
      </c>
      <c r="C3290" s="2" t="n">
        <v>12883</v>
      </c>
      <c r="D3290" s="3" t="inlineStr">
        <is>
          <t>Волшебные слезы</t>
        </is>
      </c>
      <c r="E3290" s="2" t="n">
        <v>1978</v>
      </c>
      <c r="F3290" s="2" t="inlineStr">
        <is>
          <t>мультфильм</t>
        </is>
      </c>
      <c r="G3290" s="2" t="inlineStr">
        <is>
          <t>ГРУЗИЯ-ФИЛЬМ - АО</t>
        </is>
      </c>
      <c r="H3290" s="2" t="n">
        <v>0</v>
      </c>
      <c r="I3290" s="2" t="inlineStr"/>
      <c r="J3290" s="2" t="inlineStr">
        <is>
          <t>?</t>
        </is>
      </c>
      <c r="K3290" s="3" t="inlineStr"/>
      <c r="L3290" s="2" t="inlineStr">
        <is>
          <t>https://animator.ru/db/?p=show_film&amp;fid=4113</t>
        </is>
      </c>
      <c r="M3290" s="2">
        <f>HYPERLINK("https://ru.wikipedia.org/w/index.php?search=%D0%92%D0%BE%D0%BB%D1%88%D0%B5%D0%B1%D0%BD%D1%8B%D0%B5%20%D1%81%D0%BB%D0%B5%D0%B7%D1%8B%201978%20%D1%84%D0%B8%D0%BB%D1%8C%D0%BC","искать")</f>
        <v/>
      </c>
      <c r="N3290" s="3" t="n"/>
      <c r="O3290" s="2" t="n"/>
      <c r="P3290" s="2" t="n"/>
    </row>
    <row r="3291">
      <c r="A3291" s="2" t="n">
        <v>3290</v>
      </c>
      <c r="B3291" s="2" t="inlineStr">
        <is>
          <t>короткая</t>
        </is>
      </c>
      <c r="C3291" s="2" t="n">
        <v>12886</v>
      </c>
      <c r="D3291" s="3" t="inlineStr">
        <is>
          <t>Эка и козленок</t>
        </is>
      </c>
      <c r="E3291" s="2" t="n">
        <v>1978</v>
      </c>
      <c r="F3291" s="2" t="inlineStr">
        <is>
          <t>мультфильм</t>
        </is>
      </c>
      <c r="G3291" s="2" t="inlineStr">
        <is>
          <t>ГРУЗИЯ-ФИЛЬМ - АО</t>
        </is>
      </c>
      <c r="H3291" s="2" t="n">
        <v>0</v>
      </c>
      <c r="I3291" s="2" t="inlineStr"/>
      <c r="J3291" s="2" t="inlineStr">
        <is>
          <t>?</t>
        </is>
      </c>
      <c r="K3291" s="3" t="inlineStr"/>
      <c r="L3291" s="2" t="inlineStr">
        <is>
          <t>https://animator.ru/db/?p=show_film&amp;fid=4116</t>
        </is>
      </c>
      <c r="M3291" s="2">
        <f>HYPERLINK("https://ru.wikipedia.org/w/index.php?search=%D0%AD%D0%BA%D0%B0%20%D0%B8%20%D0%BA%D0%BE%D0%B7%D0%BB%D0%B5%D0%BD%D0%BE%D0%BA%201978%20%D1%84%D0%B8%D0%BB%D1%8C%D0%BC","искать")</f>
        <v/>
      </c>
      <c r="N3291" s="3" t="n"/>
      <c r="O3291" s="2" t="n"/>
      <c r="P3291" s="2" t="n"/>
    </row>
    <row r="3292">
      <c r="A3292" s="2" t="n">
        <v>3291</v>
      </c>
      <c r="B3292" s="2" t="inlineStr">
        <is>
          <t>короткая</t>
        </is>
      </c>
      <c r="C3292" s="2" t="n">
        <v>12888</v>
      </c>
      <c r="D3292" s="3" t="inlineStr">
        <is>
          <t>Фантазия</t>
        </is>
      </c>
      <c r="E3292" s="2" t="n">
        <v>1979</v>
      </c>
      <c r="F3292" s="2" t="inlineStr">
        <is>
          <t>мультфильм</t>
        </is>
      </c>
      <c r="G3292" s="2" t="inlineStr">
        <is>
          <t>ГРУЗИЯ-ФИЛЬМ - АО</t>
        </is>
      </c>
      <c r="H3292" s="2" t="n">
        <v>0</v>
      </c>
      <c r="I3292" s="2" t="inlineStr"/>
      <c r="J3292" s="2" t="inlineStr">
        <is>
          <t>?</t>
        </is>
      </c>
      <c r="K3292" s="3" t="inlineStr"/>
      <c r="L3292" s="2" t="inlineStr">
        <is>
          <t>https://animator.ru/db/?p=show_film&amp;fid=4118</t>
        </is>
      </c>
      <c r="M3292" s="2">
        <f>HYPERLINK("https://ru.wikipedia.org/w/index.php?search=%D0%A4%D0%B0%D0%BD%D1%82%D0%B0%D0%B7%D0%B8%D1%8F%201979%20%D1%84%D0%B8%D0%BB%D1%8C%D0%BC","искать")</f>
        <v/>
      </c>
      <c r="N3292" s="3" t="n"/>
      <c r="O3292" s="2" t="n"/>
      <c r="P3292" s="2" t="n"/>
    </row>
    <row r="3293">
      <c r="A3293" s="2" t="n">
        <v>3292</v>
      </c>
      <c r="B3293" s="2" t="inlineStr">
        <is>
          <t>короткая</t>
        </is>
      </c>
      <c r="C3293" s="2" t="n">
        <v>12889</v>
      </c>
      <c r="D3293" s="3" t="inlineStr">
        <is>
          <t>Похищение златокудрой красавицы</t>
        </is>
      </c>
      <c r="E3293" s="2" t="n">
        <v>1979</v>
      </c>
      <c r="F3293" s="2" t="inlineStr">
        <is>
          <t>мультфильм</t>
        </is>
      </c>
      <c r="G3293" s="2" t="inlineStr">
        <is>
          <t>ГРУЗИЯ-ФИЛЬМ - АО</t>
        </is>
      </c>
      <c r="H3293" s="2" t="n">
        <v>0</v>
      </c>
      <c r="I3293" s="2" t="inlineStr"/>
      <c r="J3293" s="2" t="inlineStr">
        <is>
          <t>?</t>
        </is>
      </c>
      <c r="K3293" s="3" t="inlineStr"/>
      <c r="L3293" s="2" t="inlineStr">
        <is>
          <t>https://animator.ru/db/?p=show_film&amp;fid=4119</t>
        </is>
      </c>
      <c r="M3293" s="2">
        <f>HYPERLINK("https://ru.wikipedia.org/w/index.php?search=%D0%9F%D0%BE%D1%85%D0%B8%D1%89%D0%B5%D0%BD%D0%B8%D0%B5%20%D0%B7%D0%BB%D0%B0%D1%82%D0%BE%D0%BA%D1%83%D0%B4%D1%80%D0%BE%D0%B9%20%D0%BA%D1%80%D0%B0%D1%81%D0%B0%D0%B2%D0%B8%D1%86%D1%8B%201979%20%D1%84%D0%B8%D0%BB%D1%8C%D0%BC","искать")</f>
        <v/>
      </c>
      <c r="N3293" s="3" t="n"/>
      <c r="O3293" s="2" t="n"/>
      <c r="P3293" s="2" t="n"/>
    </row>
    <row r="3294">
      <c r="A3294" s="2" t="n">
        <v>3293</v>
      </c>
      <c r="B3294" s="2" t="inlineStr">
        <is>
          <t>короткая</t>
        </is>
      </c>
      <c r="C3294" s="2" t="n">
        <v>12891</v>
      </c>
      <c r="D3294" s="3" t="inlineStr">
        <is>
          <t>Пастушок</t>
        </is>
      </c>
      <c r="E3294" s="2" t="n">
        <v>1979</v>
      </c>
      <c r="F3294" s="2" t="inlineStr">
        <is>
          <t>мультфильм</t>
        </is>
      </c>
      <c r="G3294" s="2" t="inlineStr">
        <is>
          <t>ГРУЗИЯ-ФИЛЬМ - АО</t>
        </is>
      </c>
      <c r="H3294" s="2" t="n">
        <v>0</v>
      </c>
      <c r="I3294" s="2" t="inlineStr"/>
      <c r="J3294" s="2" t="inlineStr">
        <is>
          <t>?</t>
        </is>
      </c>
      <c r="K3294" s="3" t="inlineStr"/>
      <c r="L3294" s="2" t="inlineStr">
        <is>
          <t>https://animator.ru/db/?p=show_film&amp;fid=4121</t>
        </is>
      </c>
      <c r="M3294" s="2">
        <f>HYPERLINK("https://ru.wikipedia.org/w/index.php?search=%D0%9F%D0%B0%D1%81%D1%82%D1%83%D1%88%D0%BE%D0%BA%201979%20%D1%84%D0%B8%D0%BB%D1%8C%D0%BC","искать")</f>
        <v/>
      </c>
      <c r="N3294" s="3" t="n"/>
      <c r="O3294" s="2" t="n"/>
      <c r="P3294" s="2" t="n"/>
    </row>
    <row r="3295">
      <c r="A3295" s="2" t="n">
        <v>3294</v>
      </c>
      <c r="B3295" s="2" t="inlineStr">
        <is>
          <t>короткая</t>
        </is>
      </c>
      <c r="C3295" s="2" t="n">
        <v>12892</v>
      </c>
      <c r="D3295" s="3" t="inlineStr">
        <is>
          <t>Укротитель цифр</t>
        </is>
      </c>
      <c r="E3295" s="2" t="n">
        <v>1979</v>
      </c>
      <c r="F3295" s="2" t="inlineStr">
        <is>
          <t>мультфильм</t>
        </is>
      </c>
      <c r="G3295" s="2" t="inlineStr">
        <is>
          <t>ГРУЗИЯ-ФИЛЬМ - АО</t>
        </is>
      </c>
      <c r="H3295" s="2" t="n">
        <v>0</v>
      </c>
      <c r="I3295" s="2" t="inlineStr"/>
      <c r="J3295" s="2" t="inlineStr">
        <is>
          <t>?</t>
        </is>
      </c>
      <c r="K3295" s="3" t="inlineStr"/>
      <c r="L3295" s="2" t="inlineStr">
        <is>
          <t>https://animator.ru/db/?p=show_film&amp;fid=4122</t>
        </is>
      </c>
      <c r="M3295" s="2">
        <f>HYPERLINK("https://ru.wikipedia.org/w/index.php?search=%D0%A3%D0%BA%D1%80%D0%BE%D1%82%D0%B8%D1%82%D0%B5%D0%BB%D1%8C%20%D1%86%D0%B8%D1%84%D1%80%201979%20%D1%84%D0%B8%D0%BB%D1%8C%D0%BC","искать")</f>
        <v/>
      </c>
      <c r="N3295" s="3" t="n"/>
      <c r="O3295" s="2" t="n"/>
      <c r="P3295" s="2" t="n"/>
    </row>
    <row r="3296">
      <c r="A3296" s="2" t="n">
        <v>3295</v>
      </c>
      <c r="B3296" s="2" t="inlineStr">
        <is>
          <t>короткая</t>
        </is>
      </c>
      <c r="C3296" s="2" t="n">
        <v>12893</v>
      </c>
      <c r="D3296" s="3" t="inlineStr">
        <is>
          <t>Петушок</t>
        </is>
      </c>
      <c r="E3296" s="2" t="n">
        <v>1979</v>
      </c>
      <c r="F3296" s="2" t="inlineStr">
        <is>
          <t>мультфильм</t>
        </is>
      </c>
      <c r="G3296" s="2" t="inlineStr">
        <is>
          <t>ГРУЗИЯ-ФИЛЬМ - АО</t>
        </is>
      </c>
      <c r="H3296" s="2" t="n">
        <v>0</v>
      </c>
      <c r="I3296" s="2" t="inlineStr"/>
      <c r="J3296" s="2" t="inlineStr">
        <is>
          <t>?</t>
        </is>
      </c>
      <c r="K3296" s="3" t="inlineStr"/>
      <c r="L3296" s="2" t="inlineStr">
        <is>
          <t>https://animator.ru/db/?p=show_film&amp;fid=4123</t>
        </is>
      </c>
      <c r="M3296" s="2">
        <f>HYPERLINK("https://ru.wikipedia.org/w/index.php?search=%D0%9F%D0%B5%D1%82%D1%83%D1%88%D0%BE%D0%BA%201979%20%D1%84%D0%B8%D0%BB%D1%8C%D0%BC","искать")</f>
        <v/>
      </c>
      <c r="N3296" s="3" t="n"/>
      <c r="O3296" s="2" t="n"/>
      <c r="P3296" s="2" t="n"/>
    </row>
    <row r="3297">
      <c r="A3297" s="2" t="n">
        <v>3296</v>
      </c>
      <c r="B3297" s="2" t="inlineStr">
        <is>
          <t>короткая</t>
        </is>
      </c>
      <c r="C3297" s="2" t="n">
        <v>12894</v>
      </c>
      <c r="D3297" s="3" t="inlineStr">
        <is>
          <t>Проделки чертенка</t>
        </is>
      </c>
      <c r="E3297" s="2" t="n">
        <v>1979</v>
      </c>
      <c r="F3297" s="2" t="inlineStr">
        <is>
          <t>мультфильм</t>
        </is>
      </c>
      <c r="G3297" s="2" t="inlineStr">
        <is>
          <t>ГРУЗИЯ-ФИЛЬМ - АО</t>
        </is>
      </c>
      <c r="H3297" s="2" t="n">
        <v>0</v>
      </c>
      <c r="I3297" s="2" t="inlineStr"/>
      <c r="J3297" s="2" t="inlineStr">
        <is>
          <t>?</t>
        </is>
      </c>
      <c r="K3297" s="3" t="inlineStr"/>
      <c r="L3297" s="2" t="inlineStr">
        <is>
          <t>https://animator.ru/db/?p=show_film&amp;fid=4124</t>
        </is>
      </c>
      <c r="M3297" s="2">
        <f>HYPERLINK("https://ru.wikipedia.org/w/index.php?search=%D0%9F%D1%80%D0%BE%D0%B4%D0%B5%D0%BB%D0%BA%D0%B8%20%D1%87%D0%B5%D1%80%D1%82%D0%B5%D0%BD%D0%BA%D0%B0%201979%20%D1%84%D0%B8%D0%BB%D1%8C%D0%BC","искать")</f>
        <v/>
      </c>
      <c r="N3297" s="3" t="n"/>
      <c r="O3297" s="2" t="n"/>
      <c r="P3297" s="2" t="n"/>
    </row>
    <row r="3298">
      <c r="A3298" s="2" t="n">
        <v>3297</v>
      </c>
      <c r="B3298" s="2" t="inlineStr">
        <is>
          <t>короткая</t>
        </is>
      </c>
      <c r="C3298" s="2" t="n">
        <v>12896</v>
      </c>
      <c r="D3298" s="3" t="inlineStr">
        <is>
          <t>Цепная реакция</t>
        </is>
      </c>
      <c r="E3298" s="2" t="n">
        <v>1980</v>
      </c>
      <c r="F3298" s="2" t="inlineStr">
        <is>
          <t>мультфильм</t>
        </is>
      </c>
      <c r="G3298" s="2" t="inlineStr">
        <is>
          <t>ГРУЗИЯ-ФИЛЬМ - АО</t>
        </is>
      </c>
      <c r="H3298" s="2" t="n">
        <v>0</v>
      </c>
      <c r="I3298" s="2" t="inlineStr"/>
      <c r="J3298" s="2" t="inlineStr">
        <is>
          <t>?</t>
        </is>
      </c>
      <c r="K3298" s="3" t="inlineStr"/>
      <c r="L3298" s="2" t="inlineStr">
        <is>
          <t>https://animator.ru/db/?p=show_film&amp;fid=4126</t>
        </is>
      </c>
      <c r="M3298" s="2">
        <f>HYPERLINK("https://ru.wikipedia.org/w/index.php?search=%D0%A6%D0%B5%D0%BF%D0%BD%D0%B0%D1%8F%20%D1%80%D0%B5%D0%B0%D0%BA%D1%86%D0%B8%D1%8F%201980%20%D1%84%D0%B8%D0%BB%D1%8C%D0%BC","искать")</f>
        <v/>
      </c>
      <c r="N3298" s="3" t="n"/>
      <c r="O3298" s="2" t="n"/>
      <c r="P3298" s="2" t="n"/>
    </row>
    <row r="3299">
      <c r="A3299" s="2" t="n">
        <v>3298</v>
      </c>
      <c r="B3299" s="2" t="inlineStr">
        <is>
          <t>короткая</t>
        </is>
      </c>
      <c r="C3299" s="2" t="n">
        <v>12897</v>
      </c>
      <c r="D3299" s="3" t="inlineStr">
        <is>
          <t>Яблоко ньютона</t>
        </is>
      </c>
      <c r="E3299" s="2" t="n">
        <v>1980</v>
      </c>
      <c r="F3299" s="2" t="inlineStr">
        <is>
          <t>мультфильм</t>
        </is>
      </c>
      <c r="G3299" s="2" t="inlineStr">
        <is>
          <t>ГРУЗИЯ-ФИЛЬМ - АО</t>
        </is>
      </c>
      <c r="H3299" s="2" t="n">
        <v>0</v>
      </c>
      <c r="I3299" s="2" t="inlineStr"/>
      <c r="J3299" s="2" t="inlineStr">
        <is>
          <t>?</t>
        </is>
      </c>
      <c r="K3299" s="3" t="inlineStr"/>
      <c r="L3299" s="2" t="inlineStr">
        <is>
          <t>https://animator.ru/db/?p=show_film&amp;fid=4127</t>
        </is>
      </c>
      <c r="M3299" s="2">
        <f>HYPERLINK("https://ru.wikipedia.org/w/index.php?search=%D0%AF%D0%B1%D0%BB%D0%BE%D0%BA%D0%BE%20%D0%BD%D1%8C%D1%8E%D1%82%D0%BE%D0%BD%D0%B0%201980%20%D1%84%D0%B8%D0%BB%D1%8C%D0%BC","искать")</f>
        <v/>
      </c>
      <c r="N3299" s="3" t="n"/>
      <c r="O3299" s="2" t="n"/>
      <c r="P3299" s="2" t="n"/>
    </row>
    <row r="3300">
      <c r="A3300" s="2" t="n">
        <v>3299</v>
      </c>
      <c r="B3300" s="2" t="inlineStr">
        <is>
          <t>короткая</t>
        </is>
      </c>
      <c r="C3300" s="2" t="n">
        <v>12898</v>
      </c>
      <c r="D3300" s="3" t="inlineStr">
        <is>
          <t>Самоделкин на выставке</t>
        </is>
      </c>
      <c r="E3300" s="2" t="n">
        <v>1980</v>
      </c>
      <c r="F3300" s="2" t="inlineStr">
        <is>
          <t>мультфильм</t>
        </is>
      </c>
      <c r="G3300" s="2" t="inlineStr">
        <is>
          <t>ГРУЗИЯ-ФИЛЬМ - АО</t>
        </is>
      </c>
      <c r="H3300" s="2" t="n">
        <v>0</v>
      </c>
      <c r="I3300" s="2" t="inlineStr"/>
      <c r="J3300" s="2" t="inlineStr">
        <is>
          <t>?</t>
        </is>
      </c>
      <c r="K3300" s="3" t="inlineStr"/>
      <c r="L3300" s="2" t="inlineStr">
        <is>
          <t>https://animator.ru/db/?p=show_film&amp;fid=4128</t>
        </is>
      </c>
      <c r="M3300" s="2">
        <f>HYPERLINK("https://ru.wikipedia.org/w/index.php?search=%D0%A1%D0%B0%D0%BC%D0%BE%D0%B4%D0%B5%D0%BB%D0%BA%D0%B8%D0%BD%20%D0%BD%D0%B0%20%D0%B2%D1%8B%D1%81%D1%82%D0%B0%D0%B2%D0%BA%D0%B5%201980%20%D1%84%D0%B8%D0%BB%D1%8C%D0%BC","искать")</f>
        <v/>
      </c>
      <c r="N3300" s="3" t="n"/>
      <c r="O3300" s="2" t="n"/>
      <c r="P3300" s="2" t="n"/>
    </row>
    <row r="3301">
      <c r="A3301" s="2" t="n">
        <v>3300</v>
      </c>
      <c r="B3301" s="2" t="inlineStr">
        <is>
          <t>короткая</t>
        </is>
      </c>
      <c r="C3301" s="2" t="n">
        <v>12899</v>
      </c>
      <c r="D3301" s="3" t="inlineStr">
        <is>
          <t>Камень сизифа</t>
        </is>
      </c>
      <c r="E3301" s="2" t="n">
        <v>1980</v>
      </c>
      <c r="F3301" s="2" t="inlineStr">
        <is>
          <t>мультфильм</t>
        </is>
      </c>
      <c r="G3301" s="2" t="inlineStr">
        <is>
          <t>ГРУЗИЯ-ФИЛЬМ - АО</t>
        </is>
      </c>
      <c r="H3301" s="2" t="n">
        <v>0</v>
      </c>
      <c r="I3301" s="2" t="inlineStr"/>
      <c r="J3301" s="2" t="inlineStr">
        <is>
          <t>?</t>
        </is>
      </c>
      <c r="K3301" s="3" t="inlineStr"/>
      <c r="L3301" s="2" t="inlineStr">
        <is>
          <t>https://animator.ru/db/?p=show_film&amp;fid=4129</t>
        </is>
      </c>
      <c r="M3301" s="2">
        <f>HYPERLINK("https://ru.wikipedia.org/w/index.php?search=%D0%9A%D0%B0%D0%BC%D0%B5%D0%BD%D1%8C%20%D1%81%D0%B8%D0%B7%D0%B8%D1%84%D0%B0%201980%20%D1%84%D0%B8%D0%BB%D1%8C%D0%BC","искать")</f>
        <v/>
      </c>
      <c r="N3301" s="3" t="n"/>
      <c r="O3301" s="2" t="n"/>
      <c r="P3301" s="2" t="n"/>
    </row>
    <row r="3302">
      <c r="A3302" s="2" t="n">
        <v>3301</v>
      </c>
      <c r="B3302" s="2" t="inlineStr">
        <is>
          <t>короткая</t>
        </is>
      </c>
      <c r="C3302" s="2" t="n">
        <v>12900</v>
      </c>
      <c r="D3302" s="3" t="inlineStr">
        <is>
          <t>Высохший бук</t>
        </is>
      </c>
      <c r="E3302" s="2" t="n">
        <v>1980</v>
      </c>
      <c r="F3302" s="2" t="inlineStr">
        <is>
          <t>мультфильм</t>
        </is>
      </c>
      <c r="G3302" s="2" t="inlineStr">
        <is>
          <t>ГРУЗИЯ-ФИЛЬМ - АО</t>
        </is>
      </c>
      <c r="H3302" s="2" t="n">
        <v>0</v>
      </c>
      <c r="I3302" s="2" t="inlineStr"/>
      <c r="J3302" s="2" t="inlineStr">
        <is>
          <t>?</t>
        </is>
      </c>
      <c r="K3302" s="3" t="inlineStr"/>
      <c r="L3302" s="2" t="inlineStr">
        <is>
          <t>https://animator.ru/db/?p=show_film&amp;fid=4130</t>
        </is>
      </c>
      <c r="M3302" s="2">
        <f>HYPERLINK("https://ru.wikipedia.org/w/index.php?search=%D0%92%D1%8B%D1%81%D0%BE%D1%85%D1%88%D0%B8%D0%B9%20%D0%B1%D1%83%D0%BA%201980%20%D1%84%D0%B8%D0%BB%D1%8C%D0%BC","искать")</f>
        <v/>
      </c>
      <c r="N3302" s="3" t="n"/>
      <c r="O3302" s="2" t="n"/>
      <c r="P3302" s="2" t="n"/>
    </row>
    <row r="3303">
      <c r="A3303" s="2" t="n">
        <v>3302</v>
      </c>
      <c r="B3303" s="2" t="inlineStr">
        <is>
          <t>короткая</t>
        </is>
      </c>
      <c r="C3303" s="2" t="n">
        <v>12901</v>
      </c>
      <c r="D3303" s="3" t="inlineStr">
        <is>
          <t>Знак качества</t>
        </is>
      </c>
      <c r="E3303" s="2" t="n">
        <v>1981</v>
      </c>
      <c r="F3303" s="2" t="inlineStr">
        <is>
          <t>мультфильм</t>
        </is>
      </c>
      <c r="G3303" s="2" t="inlineStr">
        <is>
          <t>ГРУЗИЯ-ФИЛЬМ - АО</t>
        </is>
      </c>
      <c r="H3303" s="2" t="n">
        <v>0</v>
      </c>
      <c r="I3303" s="2" t="inlineStr"/>
      <c r="J3303" s="2" t="inlineStr">
        <is>
          <t>?</t>
        </is>
      </c>
      <c r="K3303" s="3" t="inlineStr"/>
      <c r="L3303" s="2" t="inlineStr">
        <is>
          <t>https://animator.ru/db/?p=show_film&amp;fid=4131</t>
        </is>
      </c>
      <c r="M3303" s="2">
        <f>HYPERLINK("https://ru.wikipedia.org/w/index.php?search=%D0%97%D0%BD%D0%B0%D0%BA%20%D0%BA%D0%B0%D1%87%D0%B5%D1%81%D1%82%D0%B2%D0%B0%201981%20%D1%84%D0%B8%D0%BB%D1%8C%D0%BC","искать")</f>
        <v/>
      </c>
      <c r="N3303" s="3" t="n"/>
      <c r="O3303" s="2" t="n"/>
      <c r="P3303" s="2" t="n"/>
    </row>
    <row r="3304">
      <c r="A3304" s="2" t="n">
        <v>3303</v>
      </c>
      <c r="B3304" s="2" t="inlineStr">
        <is>
          <t>короткая</t>
        </is>
      </c>
      <c r="C3304" s="2" t="n">
        <v>12902</v>
      </c>
      <c r="D3304" s="3" t="inlineStr">
        <is>
          <t>Как слон угодил в яму</t>
        </is>
      </c>
      <c r="E3304" s="2" t="n">
        <v>1981</v>
      </c>
      <c r="F3304" s="2" t="inlineStr">
        <is>
          <t>мультфильм</t>
        </is>
      </c>
      <c r="G3304" s="2" t="inlineStr">
        <is>
          <t>ГРУЗИЯ-ФИЛЬМ - АО</t>
        </is>
      </c>
      <c r="H3304" s="2" t="n">
        <v>0</v>
      </c>
      <c r="I3304" s="2" t="inlineStr"/>
      <c r="J3304" s="2" t="inlineStr">
        <is>
          <t>?</t>
        </is>
      </c>
      <c r="K3304" s="3" t="inlineStr"/>
      <c r="L3304" s="2" t="inlineStr">
        <is>
          <t>https://animator.ru/db/?p=show_film&amp;fid=4132</t>
        </is>
      </c>
      <c r="M3304" s="2">
        <f>HYPERLINK("https://ru.wikipedia.org/w/index.php?search=%D0%9A%D0%B0%D0%BA%20%D1%81%D0%BB%D0%BE%D0%BD%20%D1%83%D0%B3%D0%BE%D0%B4%D0%B8%D0%BB%20%D0%B2%20%D1%8F%D0%BC%D1%83%201981%20%D1%84%D0%B8%D0%BB%D1%8C%D0%BC","искать")</f>
        <v/>
      </c>
      <c r="N3304" s="3" t="n"/>
      <c r="O3304" s="2" t="n"/>
      <c r="P3304" s="2" t="n"/>
    </row>
    <row r="3305">
      <c r="A3305" s="2" t="n">
        <v>3304</v>
      </c>
      <c r="B3305" s="2" t="inlineStr">
        <is>
          <t>короткая</t>
        </is>
      </c>
      <c r="C3305" s="2" t="n">
        <v>12903</v>
      </c>
      <c r="D3305" s="3" t="inlineStr">
        <is>
          <t>Талант</t>
        </is>
      </c>
      <c r="E3305" s="2" t="n">
        <v>1981</v>
      </c>
      <c r="F3305" s="2" t="inlineStr">
        <is>
          <t>мультфильм</t>
        </is>
      </c>
      <c r="G3305" s="2" t="inlineStr">
        <is>
          <t>ГРУЗИЯ-ФИЛЬМ - АО</t>
        </is>
      </c>
      <c r="H3305" s="2" t="n">
        <v>0</v>
      </c>
      <c r="I3305" s="2" t="inlineStr"/>
      <c r="J3305" s="2" t="inlineStr">
        <is>
          <t>?</t>
        </is>
      </c>
      <c r="K3305" s="3" t="inlineStr"/>
      <c r="L3305" s="2" t="inlineStr">
        <is>
          <t>https://animator.ru/db/?p=show_film&amp;fid=4133</t>
        </is>
      </c>
      <c r="M3305" s="2">
        <f>HYPERLINK("https://ru.wikipedia.org/w/index.php?search=%D0%A2%D0%B0%D0%BB%D0%B0%D0%BD%D1%82%201981%20%D1%84%D0%B8%D0%BB%D1%8C%D0%BC","искать")</f>
        <v/>
      </c>
      <c r="N3305" s="3" t="n"/>
      <c r="O3305" s="2" t="n"/>
      <c r="P3305" s="2" t="n"/>
    </row>
    <row r="3306">
      <c r="A3306" s="2" t="n">
        <v>3305</v>
      </c>
      <c r="B3306" s="2" t="inlineStr">
        <is>
          <t>короткая</t>
        </is>
      </c>
      <c r="C3306" s="2" t="n">
        <v>12905</v>
      </c>
      <c r="D3306" s="3" t="inlineStr">
        <is>
          <t>Пестрая бабочка</t>
        </is>
      </c>
      <c r="E3306" s="2" t="n">
        <v>1981</v>
      </c>
      <c r="F3306" s="2" t="inlineStr">
        <is>
          <t>мультфильм</t>
        </is>
      </c>
      <c r="G3306" s="2" t="inlineStr">
        <is>
          <t>ГРУЗИЯ-ФИЛЬМ - АО</t>
        </is>
      </c>
      <c r="H3306" s="2" t="n">
        <v>0</v>
      </c>
      <c r="I3306" s="2" t="inlineStr"/>
      <c r="J3306" s="2" t="inlineStr">
        <is>
          <t>?</t>
        </is>
      </c>
      <c r="K3306" s="3" t="inlineStr"/>
      <c r="L3306" s="2" t="inlineStr">
        <is>
          <t>https://animator.ru/db/?p=show_film&amp;fid=4135</t>
        </is>
      </c>
      <c r="M3306" s="2">
        <f>HYPERLINK("https://ru.wikipedia.org/w/index.php?search=%D0%9F%D0%B5%D1%81%D1%82%D1%80%D0%B0%D1%8F%20%D0%B1%D0%B0%D0%B1%D0%BE%D1%87%D0%BA%D0%B0%201981%20%D1%84%D0%B8%D0%BB%D1%8C%D0%BC","искать")</f>
        <v/>
      </c>
      <c r="N3306" s="3" t="n"/>
      <c r="O3306" s="2" t="n"/>
      <c r="P3306" s="2" t="n"/>
    </row>
    <row r="3307">
      <c r="A3307" s="2" t="n">
        <v>3306</v>
      </c>
      <c r="B3307" s="2" t="inlineStr">
        <is>
          <t>короткая</t>
        </is>
      </c>
      <c r="C3307" s="2" t="n">
        <v>12906</v>
      </c>
      <c r="D3307" s="3" t="inlineStr">
        <is>
          <t>Теплое место</t>
        </is>
      </c>
      <c r="E3307" s="2" t="n">
        <v>1981</v>
      </c>
      <c r="F3307" s="2" t="inlineStr">
        <is>
          <t>мультфильм</t>
        </is>
      </c>
      <c r="G3307" s="2" t="inlineStr">
        <is>
          <t>ГРУЗИЯ-ФИЛЬМ - АО</t>
        </is>
      </c>
      <c r="H3307" s="2" t="n">
        <v>0</v>
      </c>
      <c r="I3307" s="2" t="inlineStr"/>
      <c r="J3307" s="2" t="inlineStr">
        <is>
          <t>?</t>
        </is>
      </c>
      <c r="K3307" s="3" t="inlineStr"/>
      <c r="L3307" s="2" t="inlineStr">
        <is>
          <t>https://animator.ru/db/?p=show_film&amp;fid=4136</t>
        </is>
      </c>
      <c r="M3307" s="2">
        <f>HYPERLINK("https://ru.wikipedia.org/w/index.php?search=%D0%A2%D0%B5%D0%BF%D0%BB%D0%BE%D0%B5%20%D0%BC%D0%B5%D1%81%D1%82%D0%BE%201981%20%D1%84%D0%B8%D0%BB%D1%8C%D0%BC","искать")</f>
        <v/>
      </c>
      <c r="N3307" s="3" t="n"/>
      <c r="O3307" s="2" t="n"/>
      <c r="P3307" s="2" t="n"/>
    </row>
    <row r="3308">
      <c r="A3308" s="2" t="n">
        <v>3307</v>
      </c>
      <c r="B3308" s="2" t="inlineStr">
        <is>
          <t>короткая</t>
        </is>
      </c>
      <c r="C3308" s="2" t="n">
        <v>12907</v>
      </c>
      <c r="D3308" s="3" t="inlineStr">
        <is>
          <t>Картинки старого тбилиси</t>
        </is>
      </c>
      <c r="E3308" s="2" t="n">
        <v>1982</v>
      </c>
      <c r="F3308" s="2" t="inlineStr">
        <is>
          <t>мультфильм</t>
        </is>
      </c>
      <c r="G3308" s="2" t="inlineStr">
        <is>
          <t>ГРУЗИЯ-ФИЛЬМ - АО</t>
        </is>
      </c>
      <c r="H3308" s="2" t="n">
        <v>0</v>
      </c>
      <c r="I3308" s="2" t="inlineStr"/>
      <c r="J3308" s="2" t="inlineStr">
        <is>
          <t>?</t>
        </is>
      </c>
      <c r="K3308" s="3" t="inlineStr"/>
      <c r="L3308" s="2" t="inlineStr">
        <is>
          <t>https://animator.ru/db/?p=show_film&amp;fid=4137</t>
        </is>
      </c>
      <c r="M3308" s="2">
        <f>HYPERLINK("https://ru.wikipedia.org/w/index.php?search=%D0%9A%D0%B0%D1%80%D1%82%D0%B8%D0%BD%D0%BA%D0%B8%20%D1%81%D1%82%D0%B0%D1%80%D0%BE%D0%B3%D0%BE%20%D1%82%D0%B1%D0%B8%D0%BB%D0%B8%D1%81%D0%B8%201982%20%D1%84%D0%B8%D0%BB%D1%8C%D0%BC","искать")</f>
        <v/>
      </c>
      <c r="N3308" s="3" t="n"/>
      <c r="O3308" s="2" t="n"/>
      <c r="P3308" s="2" t="n"/>
    </row>
    <row r="3309">
      <c r="A3309" s="2" t="n">
        <v>3308</v>
      </c>
      <c r="B3309" s="2" t="inlineStr">
        <is>
          <t>короткая</t>
        </is>
      </c>
      <c r="C3309" s="2" t="n">
        <v>12908</v>
      </c>
      <c r="D3309" s="3" t="inlineStr">
        <is>
          <t>Бегемот и сон</t>
        </is>
      </c>
      <c r="E3309" s="2" t="n">
        <v>1982</v>
      </c>
      <c r="F3309" s="2" t="inlineStr">
        <is>
          <t>мультфильм</t>
        </is>
      </c>
      <c r="G3309" s="2" t="inlineStr">
        <is>
          <t>ГРУЗИЯ-ФИЛЬМ - АО</t>
        </is>
      </c>
      <c r="H3309" s="2" t="n">
        <v>0</v>
      </c>
      <c r="I3309" s="2" t="inlineStr"/>
      <c r="J3309" s="2" t="inlineStr">
        <is>
          <t>?</t>
        </is>
      </c>
      <c r="K3309" s="3" t="inlineStr"/>
      <c r="L3309" s="2" t="inlineStr">
        <is>
          <t>https://animator.ru/db/?p=show_film&amp;fid=4138</t>
        </is>
      </c>
      <c r="M3309" s="2">
        <f>HYPERLINK("https://ru.wikipedia.org/w/index.php?search=%D0%91%D0%B5%D0%B3%D0%B5%D0%BC%D0%BE%D1%82%20%D0%B8%20%D1%81%D0%BE%D0%BD%201982%20%D1%84%D0%B8%D0%BB%D1%8C%D0%BC","искать")</f>
        <v/>
      </c>
      <c r="N3309" s="3" t="n"/>
      <c r="O3309" s="2" t="n"/>
      <c r="P3309" s="2" t="n"/>
    </row>
    <row r="3310">
      <c r="A3310" s="2" t="n">
        <v>3309</v>
      </c>
      <c r="B3310" s="2" t="inlineStr">
        <is>
          <t>короткая</t>
        </is>
      </c>
      <c r="C3310" s="2" t="n">
        <v>12909</v>
      </c>
      <c r="D3310" s="3" t="inlineStr">
        <is>
          <t>Дарить цветы</t>
        </is>
      </c>
      <c r="E3310" s="2" t="n">
        <v>1982</v>
      </c>
      <c r="F3310" s="2" t="inlineStr">
        <is>
          <t>мультфильм</t>
        </is>
      </c>
      <c r="G3310" s="2" t="inlineStr">
        <is>
          <t>ГРУЗИЯ-ФИЛЬМ - АО</t>
        </is>
      </c>
      <c r="H3310" s="2" t="n">
        <v>0</v>
      </c>
      <c r="I3310" s="2" t="inlineStr"/>
      <c r="J3310" s="2" t="inlineStr">
        <is>
          <t>?</t>
        </is>
      </c>
      <c r="K3310" s="3" t="inlineStr"/>
      <c r="L3310" s="2" t="inlineStr">
        <is>
          <t>https://animator.ru/db/?p=show_film&amp;fid=4139</t>
        </is>
      </c>
      <c r="M3310" s="2">
        <f>HYPERLINK("https://ru.wikipedia.org/w/index.php?search=%D0%94%D0%B0%D1%80%D0%B8%D1%82%D1%8C%20%D1%86%D0%B2%D0%B5%D1%82%D1%8B%201982%20%D1%84%D0%B8%D0%BB%D1%8C%D0%BC","искать")</f>
        <v/>
      </c>
      <c r="N3310" s="3" t="n"/>
      <c r="O3310" s="2" t="n"/>
      <c r="P3310" s="2" t="n"/>
    </row>
    <row r="3311">
      <c r="A3311" s="2" t="n">
        <v>3310</v>
      </c>
      <c r="B3311" s="2" t="inlineStr">
        <is>
          <t>короткая</t>
        </is>
      </c>
      <c r="C3311" s="2" t="n">
        <v>12910</v>
      </c>
      <c r="D3311" s="3" t="inlineStr">
        <is>
          <t>Шляпа</t>
        </is>
      </c>
      <c r="E3311" s="2" t="n">
        <v>1982</v>
      </c>
      <c r="F3311" s="2" t="inlineStr">
        <is>
          <t>мультфильм</t>
        </is>
      </c>
      <c r="G3311" s="2" t="inlineStr">
        <is>
          <t>ГРУЗИЯ-ФИЛЬМ - АО</t>
        </is>
      </c>
      <c r="H3311" s="2" t="n">
        <v>0</v>
      </c>
      <c r="I3311" s="2" t="inlineStr"/>
      <c r="J3311" s="2" t="inlineStr">
        <is>
          <t>?</t>
        </is>
      </c>
      <c r="K3311" s="3" t="inlineStr"/>
      <c r="L3311" s="2" t="inlineStr">
        <is>
          <t>https://animator.ru/db/?p=show_film&amp;fid=4140</t>
        </is>
      </c>
      <c r="M3311" s="2">
        <f>HYPERLINK("https://ru.wikipedia.org/w/index.php?search=%D0%A8%D0%BB%D1%8F%D0%BF%D0%B0%201982%20%D1%84%D0%B8%D0%BB%D1%8C%D0%BC","искать")</f>
        <v/>
      </c>
      <c r="N3311" s="3" t="n"/>
      <c r="O3311" s="2" t="n"/>
      <c r="P3311" s="2" t="inlineStr">
        <is>
          <t>ГФФ: «ШЛЯПА» 1981 — год отличается, проверить — по сверке другой фильм, не предложено</t>
        </is>
      </c>
    </row>
    <row r="3312">
      <c r="A3312" s="2" t="n">
        <v>3311</v>
      </c>
      <c r="B3312" s="2" t="inlineStr">
        <is>
          <t>короткая</t>
        </is>
      </c>
      <c r="C3312" s="2" t="n">
        <v>12911</v>
      </c>
      <c r="D3312" s="3" t="inlineStr">
        <is>
          <t>Такая любовь</t>
        </is>
      </c>
      <c r="E3312" s="2" t="n">
        <v>1982</v>
      </c>
      <c r="F3312" s="2" t="inlineStr">
        <is>
          <t>мультфильм</t>
        </is>
      </c>
      <c r="G3312" s="2" t="inlineStr">
        <is>
          <t>ГРУЗИЯ-ФИЛЬМ - АО</t>
        </is>
      </c>
      <c r="H3312" s="2" t="n">
        <v>0</v>
      </c>
      <c r="I3312" s="2" t="inlineStr"/>
      <c r="J3312" s="2" t="inlineStr">
        <is>
          <t>?</t>
        </is>
      </c>
      <c r="K3312" s="3" t="inlineStr"/>
      <c r="L3312" s="2" t="inlineStr">
        <is>
          <t>https://animator.ru/db/?p=show_film&amp;fid=4141</t>
        </is>
      </c>
      <c r="M3312" s="2">
        <f>HYPERLINK("https://ru.wikipedia.org/w/index.php?search=%D0%A2%D0%B0%D0%BA%D0%B0%D1%8F%20%D0%BB%D1%8E%D0%B1%D0%BE%D0%B2%D1%8C%201982%20%D1%84%D0%B8%D0%BB%D1%8C%D0%BC","искать")</f>
        <v/>
      </c>
      <c r="N3312" s="3" t="n"/>
      <c r="O3312" s="2" t="n"/>
      <c r="P3312" s="2" t="n"/>
    </row>
    <row r="3313">
      <c r="A3313" s="2" t="n">
        <v>3312</v>
      </c>
      <c r="B3313" s="2" t="inlineStr">
        <is>
          <t>короткая</t>
        </is>
      </c>
      <c r="C3313" s="2" t="n">
        <v>12912</v>
      </c>
      <c r="D3313" s="3" t="inlineStr">
        <is>
          <t>Все для аиста</t>
        </is>
      </c>
      <c r="E3313" s="2" t="n">
        <v>1982</v>
      </c>
      <c r="F3313" s="2" t="inlineStr">
        <is>
          <t>мультфильм</t>
        </is>
      </c>
      <c r="G3313" s="2" t="inlineStr">
        <is>
          <t>СОФИЯ, ГРУЗИЯ-ФИЛЬМ - АО</t>
        </is>
      </c>
      <c r="H3313" s="2" t="n">
        <v>0</v>
      </c>
      <c r="I3313" s="2" t="inlineStr"/>
      <c r="J3313" s="2" t="inlineStr">
        <is>
          <t>?</t>
        </is>
      </c>
      <c r="K3313" s="3" t="inlineStr"/>
      <c r="L3313" s="2" t="inlineStr">
        <is>
          <t>https://animator.ru/db/?p=show_film&amp;fid=4142</t>
        </is>
      </c>
      <c r="M3313" s="2">
        <f>HYPERLINK("https://ru.wikipedia.org/w/index.php?search=%D0%92%D1%81%D0%B5%20%D0%B4%D0%BB%D1%8F%20%D0%B0%D0%B8%D1%81%D1%82%D0%B0%201982%20%D1%84%D0%B8%D0%BB%D1%8C%D0%BC","искать")</f>
        <v/>
      </c>
      <c r="N3313" s="3" t="n"/>
      <c r="O3313" s="2" t="n"/>
      <c r="P3313" s="2" t="n"/>
    </row>
    <row r="3314">
      <c r="A3314" s="2" t="n">
        <v>3313</v>
      </c>
      <c r="B3314" s="2" t="inlineStr">
        <is>
          <t>короткая</t>
        </is>
      </c>
      <c r="C3314" s="2" t="n">
        <v>12913</v>
      </c>
      <c r="D3314" s="3" t="inlineStr">
        <is>
          <t>Олененок и стрелочник</t>
        </is>
      </c>
      <c r="E3314" s="2" t="n">
        <v>1982</v>
      </c>
      <c r="F3314" s="2" t="inlineStr">
        <is>
          <t>мультфильм</t>
        </is>
      </c>
      <c r="G3314" s="2" t="inlineStr">
        <is>
          <t>ГРУЗИЯ-ФИЛЬМ - АО</t>
        </is>
      </c>
      <c r="H3314" s="2" t="n">
        <v>0</v>
      </c>
      <c r="I3314" s="2" t="inlineStr"/>
      <c r="J3314" s="2" t="inlineStr">
        <is>
          <t>?</t>
        </is>
      </c>
      <c r="K3314" s="3" t="inlineStr"/>
      <c r="L3314" s="2" t="inlineStr">
        <is>
          <t>https://animator.ru/db/?p=show_film&amp;fid=4143</t>
        </is>
      </c>
      <c r="M3314" s="2">
        <f>HYPERLINK("https://ru.wikipedia.org/w/index.php?search=%D0%9E%D0%BB%D0%B5%D0%BD%D0%B5%D0%BD%D0%BE%D0%BA%20%D0%B8%20%D1%81%D1%82%D1%80%D0%B5%D0%BB%D0%BE%D1%87%D0%BD%D0%B8%D0%BA%201982%20%D1%84%D0%B8%D0%BB%D1%8C%D0%BC","искать")</f>
        <v/>
      </c>
      <c r="N3314" s="3" t="n"/>
      <c r="O3314" s="2" t="n"/>
      <c r="P3314" s="2" t="n"/>
    </row>
    <row r="3315">
      <c r="A3315" s="2" t="n">
        <v>3314</v>
      </c>
      <c r="B3315" s="2" t="inlineStr">
        <is>
          <t>короткая</t>
        </is>
      </c>
      <c r="C3315" s="2" t="n">
        <v>12915</v>
      </c>
      <c r="D3315" s="3" t="inlineStr">
        <is>
          <t>Сейчас вылетит птичка</t>
        </is>
      </c>
      <c r="E3315" s="2" t="n">
        <v>1983</v>
      </c>
      <c r="F3315" s="2" t="inlineStr">
        <is>
          <t>мультфильм</t>
        </is>
      </c>
      <c r="G3315" s="2" t="inlineStr">
        <is>
          <t>ГРУЗИЯ-ФИЛЬМ - АО</t>
        </is>
      </c>
      <c r="H3315" s="2" t="n">
        <v>0</v>
      </c>
      <c r="I3315" s="2" t="inlineStr"/>
      <c r="J3315" s="2" t="inlineStr">
        <is>
          <t>?</t>
        </is>
      </c>
      <c r="K3315" s="3" t="inlineStr"/>
      <c r="L3315" s="2" t="inlineStr">
        <is>
          <t>https://animator.ru/db/?p=show_film&amp;fid=4145</t>
        </is>
      </c>
      <c r="M3315" s="2">
        <f>HYPERLINK("https://ru.wikipedia.org/w/index.php?search=%D0%A1%D0%B5%D0%B9%D1%87%D0%B0%D1%81%20%D0%B2%D1%8B%D0%BB%D0%B5%D1%82%D0%B8%D1%82%20%D0%BF%D1%82%D0%B8%D1%87%D0%BA%D0%B0%201983%20%D1%84%D0%B8%D0%BB%D1%8C%D0%BC","искать")</f>
        <v/>
      </c>
      <c r="N3315" s="3" t="n"/>
      <c r="O3315" s="2" t="n"/>
      <c r="P3315" s="2" t="n"/>
    </row>
    <row r="3316">
      <c r="A3316" s="2" t="n">
        <v>3315</v>
      </c>
      <c r="B3316" s="2" t="inlineStr">
        <is>
          <t>короткая</t>
        </is>
      </c>
      <c r="C3316" s="2" t="n">
        <v>12916</v>
      </c>
      <c r="D3316" s="3" t="inlineStr">
        <is>
          <t>Чудовища</t>
        </is>
      </c>
      <c r="E3316" s="2" t="n">
        <v>1983</v>
      </c>
      <c r="F3316" s="2" t="inlineStr">
        <is>
          <t>мультфильм</t>
        </is>
      </c>
      <c r="G3316" s="2" t="inlineStr">
        <is>
          <t>ГРУЗИЯ-ФИЛЬМ - АО</t>
        </is>
      </c>
      <c r="H3316" s="2" t="n">
        <v>0</v>
      </c>
      <c r="I3316" s="2" t="inlineStr"/>
      <c r="J3316" s="2" t="inlineStr">
        <is>
          <t>?</t>
        </is>
      </c>
      <c r="K3316" s="3" t="inlineStr"/>
      <c r="L3316" s="2" t="inlineStr">
        <is>
          <t>https://animator.ru/db/?p=show_film&amp;fid=4146</t>
        </is>
      </c>
      <c r="M3316" s="2">
        <f>HYPERLINK("https://ru.wikipedia.org/w/index.php?search=%D0%A7%D1%83%D0%B4%D0%BE%D0%B2%D0%B8%D1%89%D0%B0%201983%20%D1%84%D0%B8%D0%BB%D1%8C%D0%BC","искать")</f>
        <v/>
      </c>
      <c r="N3316" s="3" t="n"/>
      <c r="O3316" s="2" t="n"/>
      <c r="P3316" s="2" t="n"/>
    </row>
    <row r="3317">
      <c r="A3317" s="2" t="n">
        <v>3316</v>
      </c>
      <c r="B3317" s="2" t="inlineStr">
        <is>
          <t>короткая</t>
        </is>
      </c>
      <c r="C3317" s="2" t="n">
        <v>12917</v>
      </c>
      <c r="D3317" s="3" t="inlineStr">
        <is>
          <t>Балтанозавр</t>
        </is>
      </c>
      <c r="E3317" s="2" t="n">
        <v>1983</v>
      </c>
      <c r="F3317" s="2" t="inlineStr">
        <is>
          <t>мультфильм</t>
        </is>
      </c>
      <c r="G3317" s="2" t="inlineStr">
        <is>
          <t>ГРУЗИЯ-ФИЛЬМ - АО</t>
        </is>
      </c>
      <c r="H3317" s="2" t="n">
        <v>0</v>
      </c>
      <c r="I3317" s="2" t="inlineStr"/>
      <c r="J3317" s="2" t="inlineStr">
        <is>
          <t>?</t>
        </is>
      </c>
      <c r="K3317" s="3" t="inlineStr"/>
      <c r="L3317" s="2" t="inlineStr">
        <is>
          <t>https://animator.ru/db/?p=show_film&amp;fid=4147</t>
        </is>
      </c>
      <c r="M3317" s="2">
        <f>HYPERLINK("https://ru.wikipedia.org/w/index.php?search=%D0%91%D0%B0%D0%BB%D1%82%D0%B0%D0%BD%D0%BE%D0%B7%D0%B0%D0%B2%D1%80%201983%20%D1%84%D0%B8%D0%BB%D1%8C%D0%BC","искать")</f>
        <v/>
      </c>
      <c r="N3317" s="3" t="n"/>
      <c r="O3317" s="2" t="n"/>
      <c r="P3317" s="2" t="n"/>
    </row>
    <row r="3318">
      <c r="A3318" s="2" t="n">
        <v>3317</v>
      </c>
      <c r="B3318" s="2" t="inlineStr">
        <is>
          <t>короткая</t>
        </is>
      </c>
      <c r="C3318" s="2" t="n">
        <v>12919</v>
      </c>
      <c r="D3318" s="3" t="inlineStr">
        <is>
          <t>Подарок самоделкина</t>
        </is>
      </c>
      <c r="E3318" s="2" t="n">
        <v>1983</v>
      </c>
      <c r="F3318" s="2" t="inlineStr">
        <is>
          <t>мультфильм</t>
        </is>
      </c>
      <c r="G3318" s="2" t="inlineStr">
        <is>
          <t>ГРУЗИЯ-ФИЛЬМ - АО</t>
        </is>
      </c>
      <c r="H3318" s="2" t="n">
        <v>0</v>
      </c>
      <c r="I3318" s="2" t="inlineStr"/>
      <c r="J3318" s="2" t="inlineStr">
        <is>
          <t>?</t>
        </is>
      </c>
      <c r="K3318" s="3" t="inlineStr"/>
      <c r="L3318" s="2" t="inlineStr">
        <is>
          <t>https://animator.ru/db/?p=show_film&amp;fid=4149</t>
        </is>
      </c>
      <c r="M3318" s="2">
        <f>HYPERLINK("https://ru.wikipedia.org/w/index.php?search=%D0%9F%D0%BE%D0%B4%D0%B0%D1%80%D0%BE%D0%BA%20%D1%81%D0%B0%D0%BC%D0%BE%D0%B4%D0%B5%D0%BB%D0%BA%D0%B8%D0%BD%D0%B0%201983%20%D1%84%D0%B8%D0%BB%D1%8C%D0%BC","искать")</f>
        <v/>
      </c>
      <c r="N3318" s="3" t="n"/>
      <c r="O3318" s="2" t="n"/>
      <c r="P3318" s="2" t="n"/>
    </row>
    <row r="3319">
      <c r="A3319" s="2" t="n">
        <v>3318</v>
      </c>
      <c r="B3319" s="2" t="inlineStr">
        <is>
          <t>короткая</t>
        </is>
      </c>
      <c r="C3319" s="2" t="n">
        <v>12920</v>
      </c>
      <c r="D3319" s="3" t="inlineStr">
        <is>
          <t>Стадион для всех</t>
        </is>
      </c>
      <c r="E3319" s="2" t="n">
        <v>1983</v>
      </c>
      <c r="F3319" s="2" t="inlineStr">
        <is>
          <t>мультфильм</t>
        </is>
      </c>
      <c r="G3319" s="2" t="inlineStr">
        <is>
          <t>ГРУЗИЯ-ФИЛЬМ - АО</t>
        </is>
      </c>
      <c r="H3319" s="2" t="n">
        <v>0</v>
      </c>
      <c r="I3319" s="2" t="inlineStr"/>
      <c r="J3319" s="2" t="inlineStr">
        <is>
          <t>?</t>
        </is>
      </c>
      <c r="K3319" s="3" t="inlineStr"/>
      <c r="L3319" s="2" t="inlineStr">
        <is>
          <t>https://animator.ru/db/?p=show_film&amp;fid=4150</t>
        </is>
      </c>
      <c r="M3319" s="2">
        <f>HYPERLINK("https://ru.wikipedia.org/w/index.php?search=%D0%A1%D1%82%D0%B0%D0%B4%D0%B8%D0%BE%D0%BD%20%D0%B4%D0%BB%D1%8F%20%D0%B2%D1%81%D0%B5%D1%85%201983%20%D1%84%D0%B8%D0%BB%D1%8C%D0%BC","искать")</f>
        <v/>
      </c>
      <c r="N3319" s="3" t="n"/>
      <c r="O3319" s="2" t="n"/>
      <c r="P3319" s="2" t="n"/>
    </row>
    <row r="3320">
      <c r="A3320" s="2" t="n">
        <v>3319</v>
      </c>
      <c r="B3320" s="2" t="inlineStr">
        <is>
          <t>короткая</t>
        </is>
      </c>
      <c r="C3320" s="2" t="n">
        <v>12921</v>
      </c>
      <c r="D3320" s="3" t="inlineStr">
        <is>
          <t>Узник</t>
        </is>
      </c>
      <c r="E3320" s="2" t="n">
        <v>1984</v>
      </c>
      <c r="F3320" s="2" t="inlineStr">
        <is>
          <t>мультфильм</t>
        </is>
      </c>
      <c r="G3320" s="2" t="inlineStr">
        <is>
          <t>ГРУЗИЯ-ФИЛЬМ - АО</t>
        </is>
      </c>
      <c r="H3320" s="2" t="n">
        <v>0</v>
      </c>
      <c r="I3320" s="2" t="inlineStr"/>
      <c r="J3320" s="2" t="inlineStr">
        <is>
          <t>?</t>
        </is>
      </c>
      <c r="K3320" s="3" t="inlineStr"/>
      <c r="L3320" s="2" t="inlineStr">
        <is>
          <t>https://animator.ru/db/?p=show_film&amp;fid=4151</t>
        </is>
      </c>
      <c r="M3320" s="2">
        <f>HYPERLINK("https://ru.wikipedia.org/w/index.php?search=%D0%A3%D0%B7%D0%BD%D0%B8%D0%BA%201984%20%D1%84%D0%B8%D0%BB%D1%8C%D0%BC","искать")</f>
        <v/>
      </c>
      <c r="N3320" s="3" t="n"/>
      <c r="O3320" s="2" t="n"/>
      <c r="P3320" s="2" t="n"/>
    </row>
    <row r="3321">
      <c r="A3321" s="2" t="n">
        <v>3320</v>
      </c>
      <c r="B3321" s="2" t="inlineStr">
        <is>
          <t>короткая</t>
        </is>
      </c>
      <c r="C3321" s="2" t="n">
        <v>12923</v>
      </c>
      <c r="D3321" s="3" t="inlineStr">
        <is>
          <t>Большая волна и маленькая волна</t>
        </is>
      </c>
      <c r="E3321" s="2" t="n">
        <v>1984</v>
      </c>
      <c r="F3321" s="2" t="inlineStr">
        <is>
          <t>мультфильм</t>
        </is>
      </c>
      <c r="G3321" s="2" t="inlineStr">
        <is>
          <t>ГРУЗИЯ-ФИЛЬМ - АО</t>
        </is>
      </c>
      <c r="H3321" s="2" t="n">
        <v>0</v>
      </c>
      <c r="I3321" s="2" t="inlineStr"/>
      <c r="J3321" s="2" t="inlineStr">
        <is>
          <t>?</t>
        </is>
      </c>
      <c r="K3321" s="3" t="inlineStr"/>
      <c r="L3321" s="2" t="inlineStr">
        <is>
          <t>https://animator.ru/db/?p=show_film&amp;fid=4153</t>
        </is>
      </c>
      <c r="M3321" s="2">
        <f>HYPERLINK("https://ru.wikipedia.org/w/index.php?search=%D0%91%D0%BE%D0%BB%D1%8C%D1%88%D0%B0%D1%8F%20%D0%B2%D0%BE%D0%BB%D0%BD%D0%B0%20%D0%B8%20%D0%BC%D0%B0%D0%BB%D0%B5%D0%BD%D1%8C%D0%BA%D0%B0%D1%8F%20%D0%B2%D0%BE%D0%BB%D0%BD%D0%B0%201984%20%D1%84%D0%B8%D0%BB%D1%8C%D0%BC","искать")</f>
        <v/>
      </c>
      <c r="N3321" s="3" t="n"/>
      <c r="O3321" s="2" t="n"/>
      <c r="P3321" s="2" t="n"/>
    </row>
    <row r="3322">
      <c r="A3322" s="2" t="n">
        <v>3321</v>
      </c>
      <c r="B3322" s="2" t="inlineStr">
        <is>
          <t>короткая</t>
        </is>
      </c>
      <c r="C3322" s="2" t="n">
        <v>12924</v>
      </c>
      <c r="D3322" s="3" t="inlineStr">
        <is>
          <t>Человек и дорога</t>
        </is>
      </c>
      <c r="E3322" s="2" t="n">
        <v>1984</v>
      </c>
      <c r="F3322" s="2" t="inlineStr">
        <is>
          <t>мультфильм</t>
        </is>
      </c>
      <c r="G3322" s="2" t="inlineStr">
        <is>
          <t>ГРУЗИЯ-ФИЛЬМ - АО</t>
        </is>
      </c>
      <c r="H3322" s="2" t="n">
        <v>0</v>
      </c>
      <c r="I3322" s="2" t="inlineStr"/>
      <c r="J3322" s="2" t="inlineStr">
        <is>
          <t>?</t>
        </is>
      </c>
      <c r="K3322" s="3" t="inlineStr"/>
      <c r="L3322" s="2" t="inlineStr">
        <is>
          <t>https://animator.ru/db/?p=show_film&amp;fid=4154</t>
        </is>
      </c>
      <c r="M3322" s="2">
        <f>HYPERLINK("https://ru.wikipedia.org/w/index.php?search=%D0%A7%D0%B5%D0%BB%D0%BE%D0%B2%D0%B5%D0%BA%20%D0%B8%20%D0%B4%D0%BE%D1%80%D0%BE%D0%B3%D0%B0%201984%20%D1%84%D0%B8%D0%BB%D1%8C%D0%BC","искать")</f>
        <v/>
      </c>
      <c r="N3322" s="3" t="n"/>
      <c r="O3322" s="2" t="n"/>
      <c r="P3322" s="2" t="n"/>
    </row>
    <row r="3323">
      <c r="A3323" s="2" t="n">
        <v>3322</v>
      </c>
      <c r="B3323" s="2" t="inlineStr">
        <is>
          <t>короткая</t>
        </is>
      </c>
      <c r="C3323" s="2" t="n">
        <v>12925</v>
      </c>
      <c r="D3323" s="3" t="inlineStr">
        <is>
          <t>Приключения наивной гусыни тасико</t>
        </is>
      </c>
      <c r="E3323" s="2" t="n">
        <v>1984</v>
      </c>
      <c r="F3323" s="2" t="inlineStr">
        <is>
          <t>мультфильм</t>
        </is>
      </c>
      <c r="G3323" s="2" t="inlineStr">
        <is>
          <t>ГРУЗИЯ-ФИЛЬМ - АО</t>
        </is>
      </c>
      <c r="H3323" s="2" t="n">
        <v>0</v>
      </c>
      <c r="I3323" s="2" t="inlineStr"/>
      <c r="J3323" s="2" t="inlineStr">
        <is>
          <t>?</t>
        </is>
      </c>
      <c r="K3323" s="3" t="inlineStr"/>
      <c r="L3323" s="2" t="inlineStr">
        <is>
          <t>https://animator.ru/db/?p=show_film&amp;fid=4155</t>
        </is>
      </c>
      <c r="M3323" s="2">
        <f>HYPERLINK("https://ru.wikipedia.org/w/index.php?search=%D0%9F%D1%80%D0%B8%D0%BA%D0%BB%D1%8E%D1%87%D0%B5%D0%BD%D0%B8%D1%8F%20%D0%BD%D0%B0%D0%B8%D0%B2%D0%BD%D0%BE%D0%B9%20%D0%B3%D1%83%D1%81%D1%8B%D0%BD%D0%B8%20%D1%82%D0%B0%D1%81%D0%B8%D0%BA%D0%BE%201984%20%D1%84%D0%B8%D0%BB%D1%8C%D0%BC","искать")</f>
        <v/>
      </c>
      <c r="N3323" s="3" t="n"/>
      <c r="O3323" s="2" t="n"/>
      <c r="P3323" s="2" t="n"/>
    </row>
    <row r="3324">
      <c r="A3324" s="2" t="n">
        <v>3323</v>
      </c>
      <c r="B3324" s="2" t="inlineStr">
        <is>
          <t>короткая</t>
        </is>
      </c>
      <c r="C3324" s="2" t="n">
        <v>12926</v>
      </c>
      <c r="D3324" s="3" t="inlineStr">
        <is>
          <t>Ржавый рыцарь</t>
        </is>
      </c>
      <c r="E3324" s="2" t="n">
        <v>1984</v>
      </c>
      <c r="F3324" s="2" t="inlineStr">
        <is>
          <t>мультфильм</t>
        </is>
      </c>
      <c r="G3324" s="2" t="inlineStr">
        <is>
          <t>ГРУЗИЯ-ФИЛЬМ - АО</t>
        </is>
      </c>
      <c r="H3324" s="2" t="n">
        <v>0</v>
      </c>
      <c r="I3324" s="2" t="inlineStr"/>
      <c r="J3324" s="2" t="inlineStr">
        <is>
          <t>?</t>
        </is>
      </c>
      <c r="K3324" s="3" t="inlineStr"/>
      <c r="L3324" s="2" t="inlineStr">
        <is>
          <t>https://animator.ru/db/?p=show_film&amp;fid=4156</t>
        </is>
      </c>
      <c r="M3324" s="2">
        <f>HYPERLINK("https://ru.wikipedia.org/w/index.php?search=%D0%A0%D0%B6%D0%B0%D0%B2%D1%8B%D0%B9%20%D1%80%D1%8B%D1%86%D0%B0%D1%80%D1%8C%201984%20%D1%84%D0%B8%D0%BB%D1%8C%D0%BC","искать")</f>
        <v/>
      </c>
      <c r="N3324" s="3" t="n"/>
      <c r="O3324" s="2" t="n"/>
      <c r="P3324" s="2" t="n"/>
    </row>
    <row r="3325">
      <c r="A3325" s="2" t="n">
        <v>3324</v>
      </c>
      <c r="B3325" s="2" t="inlineStr">
        <is>
          <t>короткая</t>
        </is>
      </c>
      <c r="C3325" s="2" t="n">
        <v>12927</v>
      </c>
      <c r="D3325" s="3" t="inlineStr">
        <is>
          <t>Курша возгордился</t>
        </is>
      </c>
      <c r="E3325" s="2" t="n">
        <v>1984</v>
      </c>
      <c r="F3325" s="2" t="inlineStr">
        <is>
          <t>мультфильм</t>
        </is>
      </c>
      <c r="G3325" s="2" t="inlineStr">
        <is>
          <t>ГРУЗИЯ-ФИЛЬМ - АО</t>
        </is>
      </c>
      <c r="H3325" s="2" t="n">
        <v>0</v>
      </c>
      <c r="I3325" s="2" t="inlineStr"/>
      <c r="J3325" s="2" t="inlineStr">
        <is>
          <t>?</t>
        </is>
      </c>
      <c r="K3325" s="3" t="inlineStr"/>
      <c r="L3325" s="2" t="inlineStr">
        <is>
          <t>https://animator.ru/db/?p=show_film&amp;fid=4157</t>
        </is>
      </c>
      <c r="M3325" s="2">
        <f>HYPERLINK("https://ru.wikipedia.org/w/index.php?search=%D0%9A%D1%83%D1%80%D1%88%D0%B0%20%D0%B2%D0%BE%D0%B7%D0%B3%D0%BE%D1%80%D0%B4%D0%B8%D0%BB%D1%81%D1%8F%201984%20%D1%84%D0%B8%D0%BB%D1%8C%D0%BC","искать")</f>
        <v/>
      </c>
      <c r="N3325" s="3" t="n"/>
      <c r="O3325" s="2" t="n"/>
      <c r="P3325" s="2" t="n"/>
    </row>
    <row r="3326">
      <c r="A3326" s="2" t="n">
        <v>3325</v>
      </c>
      <c r="B3326" s="2" t="inlineStr">
        <is>
          <t>короткая</t>
        </is>
      </c>
      <c r="C3326" s="2" t="n">
        <v>12932</v>
      </c>
      <c r="D3326" s="3" t="inlineStr">
        <is>
          <t>Приключения саламуры 3</t>
        </is>
      </c>
      <c r="E3326" s="2" t="n">
        <v>1977</v>
      </c>
      <c r="F3326" s="2" t="inlineStr">
        <is>
          <t>мультфильм</t>
        </is>
      </c>
      <c r="G3326" s="2" t="inlineStr">
        <is>
          <t>ГРУЗИЯ-ФИЛЬМ - АО</t>
        </is>
      </c>
      <c r="H3326" s="2" t="n">
        <v>0</v>
      </c>
      <c r="I3326" s="2" t="inlineStr"/>
      <c r="J3326" s="2" t="inlineStr">
        <is>
          <t>?</t>
        </is>
      </c>
      <c r="K3326" s="3" t="inlineStr"/>
      <c r="L3326" s="2" t="inlineStr">
        <is>
          <t>https://animator.ru/db/?p=show_film&amp;fid=4162</t>
        </is>
      </c>
      <c r="M3326" s="2">
        <f>HYPERLINK("https://ru.wikipedia.org/w/index.php?search=%D0%9F%D1%80%D0%B8%D0%BA%D0%BB%D1%8E%D1%87%D0%B5%D0%BD%D0%B8%D1%8F%20%D1%81%D0%B0%D0%BB%D0%B0%D0%BC%D1%83%D1%80%D1%8B%203%201977%20%D1%84%D0%B8%D0%BB%D1%8C%D0%BC","искать")</f>
        <v/>
      </c>
      <c r="N3326" s="3" t="n"/>
      <c r="O3326" s="2" t="n"/>
      <c r="P3326" s="2" t="n"/>
    </row>
    <row r="3327">
      <c r="A3327" s="2" t="n">
        <v>3326</v>
      </c>
      <c r="B3327" s="2" t="inlineStr">
        <is>
          <t>короткая</t>
        </is>
      </c>
      <c r="C3327" s="2" t="n">
        <v>12948</v>
      </c>
      <c r="D3327" s="3" t="inlineStr">
        <is>
          <t>Наша добрая, старая бабелина</t>
        </is>
      </c>
      <c r="E3327" s="2" t="n">
        <v>1986</v>
      </c>
      <c r="F3327" s="2" t="inlineStr">
        <is>
          <t>мультфильм</t>
        </is>
      </c>
      <c r="G3327" s="2" t="inlineStr">
        <is>
          <t>ГРУЗИЯ-ФИЛЬМ - АО</t>
        </is>
      </c>
      <c r="H3327" s="2" t="n">
        <v>0</v>
      </c>
      <c r="I3327" s="2" t="inlineStr"/>
      <c r="J3327" s="2" t="inlineStr">
        <is>
          <t>?</t>
        </is>
      </c>
      <c r="K3327" s="3" t="inlineStr"/>
      <c r="L3327" s="2" t="inlineStr">
        <is>
          <t>https://animator.ru/db/?p=show_film&amp;fid=4178</t>
        </is>
      </c>
      <c r="M3327" s="2">
        <f>HYPERLINK("https://ru.wikipedia.org/w/index.php?search=%D0%9D%D0%B0%D1%88%D0%B0%20%D0%B4%D0%BE%D0%B1%D1%80%D0%B0%D1%8F%2C%20%D1%81%D1%82%D0%B0%D1%80%D0%B0%D1%8F%20%D0%B1%D0%B0%D0%B1%D0%B5%D0%BB%D0%B8%D0%BD%D0%B0%201986%20%D1%84%D0%B8%D0%BB%D1%8C%D0%BC","искать")</f>
        <v/>
      </c>
      <c r="N3327" s="3" t="n"/>
      <c r="O3327" s="2" t="n"/>
      <c r="P3327" s="2" t="n"/>
    </row>
    <row r="3328">
      <c r="A3328" s="2" t="n">
        <v>3327</v>
      </c>
      <c r="B3328" s="2" t="inlineStr">
        <is>
          <t>короткая</t>
        </is>
      </c>
      <c r="C3328" s="2" t="n">
        <v>12949</v>
      </c>
      <c r="D3328" s="3" t="inlineStr">
        <is>
          <t>Я вернусь к тебе дождем</t>
        </is>
      </c>
      <c r="E3328" s="2" t="n">
        <v>1986</v>
      </c>
      <c r="F3328" s="2" t="inlineStr">
        <is>
          <t>мультфильм</t>
        </is>
      </c>
      <c r="G3328" s="2" t="inlineStr">
        <is>
          <t>ГРУЗИЯ-ФИЛЬМ - АО</t>
        </is>
      </c>
      <c r="H3328" s="2" t="n">
        <v>0</v>
      </c>
      <c r="I3328" s="2" t="inlineStr"/>
      <c r="J3328" s="2" t="inlineStr">
        <is>
          <t>?</t>
        </is>
      </c>
      <c r="K3328" s="3" t="inlineStr"/>
      <c r="L3328" s="2" t="inlineStr">
        <is>
          <t>https://animator.ru/db/?p=show_film&amp;fid=4179</t>
        </is>
      </c>
      <c r="M3328" s="2">
        <f>HYPERLINK("https://ru.wikipedia.org/w/index.php?search=%D0%AF%20%D0%B2%D0%B5%D1%80%D0%BD%D1%83%D1%81%D1%8C%20%D0%BA%20%D1%82%D0%B5%D0%B1%D0%B5%20%D0%B4%D0%BE%D0%B6%D0%B4%D0%B5%D0%BC%201986%20%D1%84%D0%B8%D0%BB%D1%8C%D0%BC","искать")</f>
        <v/>
      </c>
      <c r="N3328" s="3" t="n"/>
      <c r="O3328" s="2" t="n"/>
      <c r="P3328" s="2" t="n"/>
    </row>
    <row r="3329">
      <c r="A3329" s="2" t="n">
        <v>3328</v>
      </c>
      <c r="B3329" s="2" t="inlineStr">
        <is>
          <t>короткая</t>
        </is>
      </c>
      <c r="C3329" s="2" t="n">
        <v>12951</v>
      </c>
      <c r="D3329" s="3" t="inlineStr">
        <is>
          <t>Кому что снится</t>
        </is>
      </c>
      <c r="E3329" s="2" t="n">
        <v>1986</v>
      </c>
      <c r="F3329" s="2" t="inlineStr">
        <is>
          <t>мультфильм</t>
        </is>
      </c>
      <c r="G3329" s="2" t="inlineStr">
        <is>
          <t>ГРУЗИЯ-ФИЛЬМ - АО</t>
        </is>
      </c>
      <c r="H3329" s="2" t="n">
        <v>0</v>
      </c>
      <c r="I3329" s="2" t="inlineStr"/>
      <c r="J3329" s="2" t="inlineStr">
        <is>
          <t>?</t>
        </is>
      </c>
      <c r="K3329" s="3" t="inlineStr"/>
      <c r="L3329" s="2" t="inlineStr">
        <is>
          <t>https://animator.ru/db/?p=show_film&amp;fid=4181</t>
        </is>
      </c>
      <c r="M3329" s="2">
        <f>HYPERLINK("https://ru.wikipedia.org/w/index.php?search=%D0%9A%D0%BE%D0%BC%D1%83%20%D1%87%D1%82%D0%BE%20%D1%81%D0%BD%D0%B8%D1%82%D1%81%D1%8F%201986%20%D1%84%D0%B8%D0%BB%D1%8C%D0%BC","искать")</f>
        <v/>
      </c>
      <c r="N3329" s="3" t="n"/>
      <c r="O3329" s="2" t="n"/>
      <c r="P3329" s="2" t="n"/>
    </row>
    <row r="3330">
      <c r="A3330" s="2" t="n">
        <v>3329</v>
      </c>
      <c r="B3330" s="2" t="inlineStr">
        <is>
          <t>короткая</t>
        </is>
      </c>
      <c r="C3330" s="2" t="n">
        <v>12952</v>
      </c>
      <c r="D3330" s="3" t="inlineStr">
        <is>
          <t>Крепкий орех</t>
        </is>
      </c>
      <c r="E3330" s="2" t="n">
        <v>1987</v>
      </c>
      <c r="F3330" s="2" t="inlineStr">
        <is>
          <t>мультфильм</t>
        </is>
      </c>
      <c r="G3330" s="2" t="inlineStr">
        <is>
          <t>ГРУЗИЯ-ФИЛЬМ - АО</t>
        </is>
      </c>
      <c r="H3330" s="2" t="n">
        <v>0</v>
      </c>
      <c r="I3330" s="2" t="inlineStr"/>
      <c r="J3330" s="2" t="inlineStr">
        <is>
          <t>?</t>
        </is>
      </c>
      <c r="K3330" s="3" t="inlineStr"/>
      <c r="L3330" s="2" t="inlineStr">
        <is>
          <t>https://animator.ru/db/?p=show_film&amp;fid=4182</t>
        </is>
      </c>
      <c r="M3330" s="2">
        <f>HYPERLINK("https://ru.wikipedia.org/w/index.php?search=%D0%9A%D1%80%D0%B5%D0%BF%D0%BA%D0%B8%D0%B9%20%D0%BE%D1%80%D0%B5%D1%85%201987%20%D1%84%D0%B8%D0%BB%D1%8C%D0%BC","искать")</f>
        <v/>
      </c>
      <c r="N3330" s="3" t="n"/>
      <c r="O3330" s="2" t="n"/>
      <c r="P3330" s="2" t="n"/>
    </row>
    <row r="3331">
      <c r="A3331" s="2" t="n">
        <v>3330</v>
      </c>
      <c r="B3331" s="2" t="inlineStr">
        <is>
          <t>короткая</t>
        </is>
      </c>
      <c r="C3331" s="2" t="n">
        <v>12953</v>
      </c>
      <c r="D3331" s="3" t="inlineStr">
        <is>
          <t>Искуситель</t>
        </is>
      </c>
      <c r="E3331" s="2" t="n">
        <v>1986</v>
      </c>
      <c r="F3331" s="2" t="inlineStr">
        <is>
          <t>мультфильм</t>
        </is>
      </c>
      <c r="G3331" s="2" t="inlineStr">
        <is>
          <t>ГРУЗИЯ-ФИЛЬМ - АО</t>
        </is>
      </c>
      <c r="H3331" s="2" t="n">
        <v>0</v>
      </c>
      <c r="I3331" s="2" t="inlineStr"/>
      <c r="J3331" s="2" t="inlineStr">
        <is>
          <t>?</t>
        </is>
      </c>
      <c r="K3331" s="3" t="inlineStr"/>
      <c r="L3331" s="2" t="inlineStr">
        <is>
          <t>https://animator.ru/db/?p=show_film&amp;fid=4183</t>
        </is>
      </c>
      <c r="M3331" s="2">
        <f>HYPERLINK("https://ru.wikipedia.org/w/index.php?search=%D0%98%D1%81%D0%BA%D1%83%D1%81%D0%B8%D1%82%D0%B5%D0%BB%D1%8C%201986%20%D1%84%D0%B8%D0%BB%D1%8C%D0%BC","искать")</f>
        <v/>
      </c>
      <c r="N3331" s="3" t="n"/>
      <c r="O3331" s="2" t="n"/>
      <c r="P3331" s="2" t="n"/>
    </row>
    <row r="3332">
      <c r="A3332" s="2" t="n">
        <v>3331</v>
      </c>
      <c r="B3332" s="2" t="inlineStr">
        <is>
          <t>короткая</t>
        </is>
      </c>
      <c r="C3332" s="2" t="n">
        <v>12959</v>
      </c>
      <c r="D3332" s="3" t="inlineStr">
        <is>
          <t>Урожай</t>
        </is>
      </c>
      <c r="E3332" s="2" t="n">
        <v>1988</v>
      </c>
      <c r="F3332" s="2" t="inlineStr">
        <is>
          <t>мультфильм</t>
        </is>
      </c>
      <c r="G3332" s="2" t="inlineStr">
        <is>
          <t>ГРУЗИЯ-ФИЛЬМ - АО</t>
        </is>
      </c>
      <c r="H3332" s="2" t="n">
        <v>0</v>
      </c>
      <c r="I3332" s="2" t="inlineStr"/>
      <c r="J3332" s="2" t="inlineStr">
        <is>
          <t>?</t>
        </is>
      </c>
      <c r="K3332" s="3" t="inlineStr"/>
      <c r="L3332" s="2" t="inlineStr">
        <is>
          <t>https://animator.ru/db/?p=show_film&amp;fid=4189</t>
        </is>
      </c>
      <c r="M3332" s="2">
        <f>HYPERLINK("https://ru.wikipedia.org/w/index.php?search=%D0%A3%D1%80%D0%BE%D0%B6%D0%B0%D0%B9%201988%20%D1%84%D0%B8%D0%BB%D1%8C%D0%BC","искать")</f>
        <v/>
      </c>
      <c r="N3332" s="3" t="n"/>
      <c r="O3332" s="2" t="n"/>
      <c r="P3332" s="2" t="n"/>
    </row>
    <row r="3333">
      <c r="A3333" s="2" t="n">
        <v>3332</v>
      </c>
      <c r="B3333" s="2" t="inlineStr">
        <is>
          <t>короткая</t>
        </is>
      </c>
      <c r="C3333" s="2" t="n">
        <v>12962</v>
      </c>
      <c r="D3333" s="3" t="inlineStr">
        <is>
          <t>Лесник и браконьер</t>
        </is>
      </c>
      <c r="E3333" s="2" t="n">
        <v>1988</v>
      </c>
      <c r="F3333" s="2" t="inlineStr">
        <is>
          <t>мультфильм</t>
        </is>
      </c>
      <c r="G3333" s="2" t="inlineStr">
        <is>
          <t>СОФИЯ, ГРУЗИЯ-ФИЛЬМ - АО</t>
        </is>
      </c>
      <c r="H3333" s="2" t="n">
        <v>0</v>
      </c>
      <c r="I3333" s="2" t="inlineStr"/>
      <c r="J3333" s="2" t="inlineStr">
        <is>
          <t>?</t>
        </is>
      </c>
      <c r="K3333" s="3" t="inlineStr"/>
      <c r="L3333" s="2" t="inlineStr">
        <is>
          <t>https://animator.ru/db/?p=show_film&amp;fid=4192</t>
        </is>
      </c>
      <c r="M3333" s="2">
        <f>HYPERLINK("https://ru.wikipedia.org/w/index.php?search=%D0%9B%D0%B5%D1%81%D0%BD%D0%B8%D0%BA%20%D0%B8%20%D0%B1%D1%80%D0%B0%D0%BA%D0%BE%D0%BD%D1%8C%D0%B5%D1%80%201988%20%D1%84%D0%B8%D0%BB%D1%8C%D0%BC","искать")</f>
        <v/>
      </c>
      <c r="N3333" s="3" t="n"/>
      <c r="O3333" s="2" t="n"/>
      <c r="P3333" s="2" t="n"/>
    </row>
    <row r="3334">
      <c r="A3334" s="2" t="n">
        <v>3333</v>
      </c>
      <c r="B3334" s="2" t="inlineStr">
        <is>
          <t>короткая</t>
        </is>
      </c>
      <c r="C3334" s="2" t="n">
        <v>12964</v>
      </c>
      <c r="D3334" s="3" t="inlineStr">
        <is>
          <t>Заветная мечта</t>
        </is>
      </c>
      <c r="E3334" s="2" t="n">
        <v>1989</v>
      </c>
      <c r="F3334" s="2" t="inlineStr">
        <is>
          <t>мультфильм</t>
        </is>
      </c>
      <c r="G3334" s="2" t="inlineStr">
        <is>
          <t>ГРУЗИЯ-ФИЛЬМ - АО</t>
        </is>
      </c>
      <c r="H3334" s="2" t="n">
        <v>0</v>
      </c>
      <c r="I3334" s="2" t="inlineStr"/>
      <c r="J3334" s="2" t="inlineStr">
        <is>
          <t>?</t>
        </is>
      </c>
      <c r="K3334" s="3" t="inlineStr"/>
      <c r="L3334" s="2" t="inlineStr">
        <is>
          <t>https://animator.ru/db/?p=show_film&amp;fid=4194</t>
        </is>
      </c>
      <c r="M3334" s="2">
        <f>HYPERLINK("https://ru.wikipedia.org/w/index.php?search=%D0%97%D0%B0%D0%B2%D0%B5%D1%82%D0%BD%D0%B0%D1%8F%20%D0%BC%D0%B5%D1%87%D1%82%D0%B0%201989%20%D1%84%D0%B8%D0%BB%D1%8C%D0%BC","искать")</f>
        <v/>
      </c>
      <c r="N3334" s="3" t="n"/>
      <c r="O3334" s="2" t="n"/>
      <c r="P3334" s="2" t="n"/>
    </row>
    <row r="3335">
      <c r="A3335" s="2" t="n">
        <v>3334</v>
      </c>
      <c r="B3335" s="2" t="inlineStr">
        <is>
          <t>короткая</t>
        </is>
      </c>
      <c r="C3335" s="2" t="n">
        <v>12965</v>
      </c>
      <c r="D3335" s="3" t="inlineStr">
        <is>
          <t>Зеленая ветвь</t>
        </is>
      </c>
      <c r="E3335" s="2" t="n">
        <v>1988</v>
      </c>
      <c r="F3335" s="2" t="inlineStr">
        <is>
          <t>мультфильм</t>
        </is>
      </c>
      <c r="G3335" s="2" t="inlineStr">
        <is>
          <t>ГРУЗИЯ-ФИЛЬМ - АО</t>
        </is>
      </c>
      <c r="H3335" s="2" t="n">
        <v>0</v>
      </c>
      <c r="I3335" s="2" t="inlineStr"/>
      <c r="J3335" s="2" t="inlineStr">
        <is>
          <t>?</t>
        </is>
      </c>
      <c r="K3335" s="3" t="inlineStr"/>
      <c r="L3335" s="2" t="inlineStr">
        <is>
          <t>https://animator.ru/db/?p=show_film&amp;fid=4195</t>
        </is>
      </c>
      <c r="M3335" s="2">
        <f>HYPERLINK("https://ru.wikipedia.org/w/index.php?search=%D0%97%D0%B5%D0%BB%D0%B5%D0%BD%D0%B0%D1%8F%20%D0%B2%D0%B5%D1%82%D0%B2%D1%8C%201988%20%D1%84%D0%B8%D0%BB%D1%8C%D0%BC","искать")</f>
        <v/>
      </c>
      <c r="N3335" s="3" t="n"/>
      <c r="O3335" s="2" t="n"/>
      <c r="P3335" s="2" t="n"/>
    </row>
    <row r="3336">
      <c r="A3336" s="2" t="n">
        <v>3335</v>
      </c>
      <c r="B3336" s="2" t="inlineStr">
        <is>
          <t>короткая</t>
        </is>
      </c>
      <c r="C3336" s="2" t="n">
        <v>12968</v>
      </c>
      <c r="D3336" s="3" t="inlineStr">
        <is>
          <t>Песнопение</t>
        </is>
      </c>
      <c r="E3336" s="2" t="n">
        <v>1988</v>
      </c>
      <c r="F3336" s="2" t="inlineStr">
        <is>
          <t>мультфильм</t>
        </is>
      </c>
      <c r="G3336" s="2" t="inlineStr">
        <is>
          <t>ГРУЗИЯ-ФИЛЬМ - АО</t>
        </is>
      </c>
      <c r="H3336" s="2" t="n">
        <v>0</v>
      </c>
      <c r="I3336" s="2" t="inlineStr"/>
      <c r="J3336" s="2" t="inlineStr">
        <is>
          <t>?</t>
        </is>
      </c>
      <c r="K3336" s="3" t="inlineStr"/>
      <c r="L3336" s="2" t="inlineStr">
        <is>
          <t>https://animator.ru/db/?p=show_film&amp;fid=4198</t>
        </is>
      </c>
      <c r="M3336" s="2">
        <f>HYPERLINK("https://ru.wikipedia.org/w/index.php?search=%D0%9F%D0%B5%D1%81%D0%BD%D0%BE%D0%BF%D0%B5%D0%BD%D0%B8%D0%B5%201988%20%D1%84%D0%B8%D0%BB%D1%8C%D0%BC","искать")</f>
        <v/>
      </c>
      <c r="N3336" s="3" t="n"/>
      <c r="O3336" s="2" t="n"/>
      <c r="P3336" s="2" t="n"/>
    </row>
    <row r="3337">
      <c r="A3337" s="2" t="n">
        <v>3336</v>
      </c>
      <c r="B3337" s="2" t="inlineStr">
        <is>
          <t>короткая</t>
        </is>
      </c>
      <c r="C3337" s="2" t="n">
        <v>12969</v>
      </c>
      <c r="D3337" s="3" t="inlineStr">
        <is>
          <t>Бродяжка</t>
        </is>
      </c>
      <c r="E3337" s="2" t="n">
        <v>1987</v>
      </c>
      <c r="F3337" s="2" t="inlineStr">
        <is>
          <t>мультфильм</t>
        </is>
      </c>
      <c r="G3337" s="2" t="inlineStr">
        <is>
          <t>ГРУЗИЯ-ФИЛЬМ - АО</t>
        </is>
      </c>
      <c r="H3337" s="2" t="n">
        <v>0</v>
      </c>
      <c r="I3337" s="2" t="inlineStr"/>
      <c r="J3337" s="2" t="inlineStr">
        <is>
          <t>?</t>
        </is>
      </c>
      <c r="K3337" s="3" t="inlineStr"/>
      <c r="L3337" s="2" t="inlineStr">
        <is>
          <t>https://animator.ru/db/?p=show_film&amp;fid=4199</t>
        </is>
      </c>
      <c r="M3337" s="2">
        <f>HYPERLINK("https://ru.wikipedia.org/w/index.php?search=%D0%91%D1%80%D0%BE%D0%B4%D1%8F%D0%B6%D0%BA%D0%B0%201987%20%D1%84%D0%B8%D0%BB%D1%8C%D0%BC","искать")</f>
        <v/>
      </c>
      <c r="N3337" s="3" t="n"/>
      <c r="O3337" s="2" t="n"/>
      <c r="P3337" s="2" t="n"/>
    </row>
    <row r="3338">
      <c r="A3338" s="2" t="n">
        <v>3337</v>
      </c>
      <c r="B3338" s="2" t="inlineStr">
        <is>
          <t>короткая</t>
        </is>
      </c>
      <c r="C3338" s="2" t="n">
        <v>12973</v>
      </c>
      <c r="D3338" s="3" t="inlineStr">
        <is>
          <t>Волшебная свирель (Ауен)</t>
        </is>
      </c>
      <c r="E3338" s="2" t="n">
        <v>1973</v>
      </c>
      <c r="F3338" s="2" t="inlineStr">
        <is>
          <t>мультфильм</t>
        </is>
      </c>
      <c r="G3338" s="2" t="inlineStr">
        <is>
          <t>КАЗАХФИЛЬМ</t>
        </is>
      </c>
      <c r="H3338" s="2" t="n">
        <v>0</v>
      </c>
      <c r="I3338" s="2" t="inlineStr"/>
      <c r="J3338" s="2" t="inlineStr">
        <is>
          <t>?</t>
        </is>
      </c>
      <c r="K3338" s="3" t="inlineStr"/>
      <c r="L3338" s="2" t="inlineStr">
        <is>
          <t>https://animator.ru/db/?p=show_film&amp;fid=4205</t>
        </is>
      </c>
      <c r="M3338" s="2">
        <f>HYPERLINK("https://ru.wikipedia.org/w/index.php?search=%D0%92%D0%BE%D0%BB%D1%88%D0%B5%D0%B1%D0%BD%D0%B0%D1%8F%20%D1%81%D0%B2%D0%B8%D1%80%D0%B5%D0%BB%D1%8C%20%28%D0%90%D1%83%D0%B5%D0%BD%29%201973%20%D1%84%D0%B8%D0%BB%D1%8C%D0%BC","искать")</f>
        <v/>
      </c>
      <c r="N3338" s="3" t="n"/>
      <c r="O3338" s="2" t="n"/>
      <c r="P3338" s="2" t="n"/>
    </row>
    <row r="3339">
      <c r="A3339" s="2" t="n">
        <v>3338</v>
      </c>
      <c r="B3339" s="2" t="inlineStr">
        <is>
          <t>короткая</t>
        </is>
      </c>
      <c r="C3339" s="2" t="n">
        <v>12974</v>
      </c>
      <c r="D3339" s="3" t="inlineStr">
        <is>
          <t>Волшебный ковер</t>
        </is>
      </c>
      <c r="E3339" s="2" t="n">
        <v>1981</v>
      </c>
      <c r="F3339" s="2" t="inlineStr">
        <is>
          <t>мультфильм</t>
        </is>
      </c>
      <c r="G3339" s="2" t="inlineStr">
        <is>
          <t>КАЗАХФИЛЬМ</t>
        </is>
      </c>
      <c r="H3339" s="2" t="n">
        <v>0</v>
      </c>
      <c r="I3339" s="2" t="inlineStr"/>
      <c r="J3339" s="2" t="inlineStr">
        <is>
          <t>?</t>
        </is>
      </c>
      <c r="K3339" s="3" t="inlineStr"/>
      <c r="L3339" s="2" t="inlineStr">
        <is>
          <t>https://animator.ru/db/?p=show_film&amp;fid=4206</t>
        </is>
      </c>
      <c r="M3339" s="2">
        <f>HYPERLINK("https://ru.wikipedia.org/w/index.php?search=%D0%92%D0%BE%D0%BB%D1%88%D0%B5%D0%B1%D0%BD%D1%8B%D0%B9%20%D0%BA%D0%BE%D0%B2%D0%B5%D1%80%201981%20%D1%84%D0%B8%D0%BB%D1%8C%D0%BC","искать")</f>
        <v/>
      </c>
      <c r="N3339" s="3" t="n"/>
      <c r="O3339" s="2" t="n"/>
      <c r="P3339" s="2" t="n"/>
    </row>
    <row r="3340">
      <c r="A3340" s="2" t="n">
        <v>3339</v>
      </c>
      <c r="B3340" s="2" t="inlineStr">
        <is>
          <t>короткая</t>
        </is>
      </c>
      <c r="C3340" s="2" t="n">
        <v>12975</v>
      </c>
      <c r="D3340" s="3" t="inlineStr">
        <is>
          <t>Голубая планета</t>
        </is>
      </c>
      <c r="E3340" s="2" t="n">
        <v>1971</v>
      </c>
      <c r="F3340" s="2" t="inlineStr">
        <is>
          <t>мультфильм</t>
        </is>
      </c>
      <c r="G3340" s="2" t="inlineStr">
        <is>
          <t>КАЗАХФИЛЬМ</t>
        </is>
      </c>
      <c r="H3340" s="2" t="n">
        <v>0</v>
      </c>
      <c r="I3340" s="2" t="inlineStr"/>
      <c r="J3340" s="2" t="inlineStr">
        <is>
          <t>?</t>
        </is>
      </c>
      <c r="K3340" s="3" t="inlineStr"/>
      <c r="L3340" s="2" t="inlineStr">
        <is>
          <t>https://animator.ru/db/?p=show_film&amp;fid=4207</t>
        </is>
      </c>
      <c r="M3340" s="2">
        <f>HYPERLINK("https://ru.wikipedia.org/w/index.php?search=%D0%93%D0%BE%D0%BB%D1%83%D0%B1%D0%B0%D1%8F%20%D0%BF%D0%BB%D0%B0%D0%BD%D0%B5%D1%82%D0%B0%201971%20%D1%84%D0%B8%D0%BB%D1%8C%D0%BC","искать")</f>
        <v/>
      </c>
      <c r="N3340" s="3" t="n"/>
      <c r="O3340" s="2" t="n"/>
      <c r="P3340" s="2" t="n"/>
    </row>
    <row r="3341">
      <c r="A3341" s="2" t="n">
        <v>3340</v>
      </c>
      <c r="B3341" s="2" t="inlineStr">
        <is>
          <t>короткая</t>
        </is>
      </c>
      <c r="C3341" s="2" t="n">
        <v>12976</v>
      </c>
      <c r="D3341" s="3" t="inlineStr">
        <is>
          <t>Голубой конь</t>
        </is>
      </c>
      <c r="E3341" s="2" t="n">
        <v>1973</v>
      </c>
      <c r="F3341" s="2" t="inlineStr">
        <is>
          <t>мультфильм</t>
        </is>
      </c>
      <c r="G3341" s="2" t="inlineStr">
        <is>
          <t>КАЗАХФИЛЬМ</t>
        </is>
      </c>
      <c r="H3341" s="2" t="n">
        <v>0</v>
      </c>
      <c r="I3341" s="2" t="inlineStr"/>
      <c r="J3341" s="2" t="inlineStr">
        <is>
          <t>?</t>
        </is>
      </c>
      <c r="K3341" s="3" t="inlineStr"/>
      <c r="L3341" s="2" t="inlineStr">
        <is>
          <t>https://animator.ru/db/?p=show_film&amp;fid=4208</t>
        </is>
      </c>
      <c r="M3341" s="2">
        <f>HYPERLINK("https://ru.wikipedia.org/w/index.php?search=%D0%93%D0%BE%D0%BB%D1%83%D0%B1%D0%BE%D0%B9%20%D0%BA%D0%BE%D0%BD%D1%8C%201973%20%D1%84%D0%B8%D0%BB%D1%8C%D0%BC","искать")</f>
        <v/>
      </c>
      <c r="N3341" s="3" t="n"/>
      <c r="O3341" s="2" t="n"/>
      <c r="P3341" s="2" t="n"/>
    </row>
    <row r="3342">
      <c r="A3342" s="2" t="n">
        <v>3341</v>
      </c>
      <c r="B3342" s="2" t="inlineStr">
        <is>
          <t>короткая</t>
        </is>
      </c>
      <c r="C3342" s="2" t="n">
        <v>12980</v>
      </c>
      <c r="D3342" s="3" t="inlineStr">
        <is>
          <t>Каусар-булак (Клад)</t>
        </is>
      </c>
      <c r="E3342" s="2" t="n">
        <v>1970</v>
      </c>
      <c r="F3342" s="2" t="inlineStr">
        <is>
          <t>мультфильм</t>
        </is>
      </c>
      <c r="G3342" s="2" t="inlineStr">
        <is>
          <t>КАЗАХФИЛЬМ</t>
        </is>
      </c>
      <c r="H3342" s="2" t="n">
        <v>0</v>
      </c>
      <c r="I3342" s="2" t="inlineStr"/>
      <c r="J3342" s="2" t="inlineStr">
        <is>
          <t>?</t>
        </is>
      </c>
      <c r="K3342" s="3" t="inlineStr"/>
      <c r="L3342" s="2" t="inlineStr">
        <is>
          <t>https://animator.ru/db/?p=show_film&amp;fid=4212</t>
        </is>
      </c>
      <c r="M3342" s="2">
        <f>HYPERLINK("https://ru.wikipedia.org/w/index.php?search=%D0%9A%D0%B0%D1%83%D1%81%D0%B0%D1%80-%D0%B1%D1%83%D0%BB%D0%B0%D0%BA%20%28%D0%9A%D0%BB%D0%B0%D0%B4%29%201970%20%D1%84%D0%B8%D0%BB%D1%8C%D0%BC","искать")</f>
        <v/>
      </c>
      <c r="N3342" s="3" t="n"/>
      <c r="O3342" s="2" t="n"/>
      <c r="P3342" s="2" t="n"/>
    </row>
    <row r="3343">
      <c r="A3343" s="2" t="n">
        <v>3342</v>
      </c>
      <c r="B3343" s="2" t="inlineStr">
        <is>
          <t>короткая</t>
        </is>
      </c>
      <c r="C3343" s="2" t="n">
        <v>12981</v>
      </c>
      <c r="D3343" s="3" t="inlineStr">
        <is>
          <t>Космические приключения джина</t>
        </is>
      </c>
      <c r="E3343" s="2" t="n">
        <v>1975</v>
      </c>
      <c r="F3343" s="2" t="inlineStr">
        <is>
          <t>мультфильм</t>
        </is>
      </c>
      <c r="G3343" s="2" t="inlineStr">
        <is>
          <t>КАЗАХФИЛЬМ</t>
        </is>
      </c>
      <c r="H3343" s="2" t="n">
        <v>0</v>
      </c>
      <c r="I3343" s="2" t="inlineStr"/>
      <c r="J3343" s="2" t="inlineStr">
        <is>
          <t>?</t>
        </is>
      </c>
      <c r="K3343" s="3" t="inlineStr"/>
      <c r="L3343" s="2" t="inlineStr">
        <is>
          <t>https://animator.ru/db/?p=show_film&amp;fid=4213</t>
        </is>
      </c>
      <c r="M3343" s="2">
        <f>HYPERLINK("https://ru.wikipedia.org/w/index.php?search=%D0%9A%D0%BE%D1%81%D0%BC%D0%B8%D1%87%D0%B5%D1%81%D0%BA%D0%B8%D0%B5%20%D0%BF%D1%80%D0%B8%D0%BA%D0%BB%D1%8E%D1%87%D0%B5%D0%BD%D0%B8%D1%8F%20%D0%B4%D0%B6%D0%B8%D0%BD%D0%B0%201975%20%D1%84%D0%B8%D0%BB%D1%8C%D0%BC","искать")</f>
        <v/>
      </c>
      <c r="N3343" s="3" t="n"/>
      <c r="O3343" s="2" t="n"/>
      <c r="P3343" s="2" t="n"/>
    </row>
    <row r="3344">
      <c r="A3344" s="2" t="n">
        <v>3343</v>
      </c>
      <c r="B3344" s="2" t="inlineStr">
        <is>
          <t>короткая</t>
        </is>
      </c>
      <c r="C3344" s="2" t="n">
        <v>12984</v>
      </c>
      <c r="D3344" s="3" t="inlineStr">
        <is>
          <t>Мальчик-одуванчик</t>
        </is>
      </c>
      <c r="E3344" s="2" t="n">
        <v>1973</v>
      </c>
      <c r="F3344" s="2" t="inlineStr">
        <is>
          <t>мультфильм</t>
        </is>
      </c>
      <c r="G3344" s="2" t="inlineStr">
        <is>
          <t>КАЗАХФИЛЬМ</t>
        </is>
      </c>
      <c r="H3344" s="2" t="n">
        <v>0</v>
      </c>
      <c r="I3344" s="2" t="inlineStr"/>
      <c r="J3344" s="2" t="inlineStr">
        <is>
          <t>?</t>
        </is>
      </c>
      <c r="K3344" s="3" t="inlineStr"/>
      <c r="L3344" s="2" t="inlineStr">
        <is>
          <t>https://animator.ru/db/?p=show_film&amp;fid=4216</t>
        </is>
      </c>
      <c r="M3344" s="2">
        <f>HYPERLINK("https://ru.wikipedia.org/w/index.php?search=%D0%9C%D0%B0%D0%BB%D1%8C%D1%87%D0%B8%D0%BA-%D0%BE%D0%B4%D1%83%D0%B2%D0%B0%D0%BD%D1%87%D0%B8%D0%BA%201973%20%D1%84%D0%B8%D0%BB%D1%8C%D0%BC","искать")</f>
        <v/>
      </c>
      <c r="N3344" s="3" t="n"/>
      <c r="O3344" s="2" t="n"/>
      <c r="P3344" s="2" t="n"/>
    </row>
    <row r="3345">
      <c r="A3345" s="2" t="n">
        <v>3344</v>
      </c>
      <c r="B3345" s="2" t="inlineStr">
        <is>
          <t>короткая</t>
        </is>
      </c>
      <c r="C3345" s="2" t="n">
        <v>12985</v>
      </c>
      <c r="D3345" s="3" t="inlineStr">
        <is>
          <t>Держись, ребята!</t>
        </is>
      </c>
      <c r="E3345" s="2" t="n">
        <v>1974</v>
      </c>
      <c r="F3345" s="2" t="inlineStr">
        <is>
          <t>мультфильм</t>
        </is>
      </c>
      <c r="G3345" s="2" t="inlineStr">
        <is>
          <t>КАЗАХФИЛЬМ</t>
        </is>
      </c>
      <c r="H3345" s="2" t="n">
        <v>0</v>
      </c>
      <c r="I3345" s="2" t="inlineStr"/>
      <c r="J3345" s="2" t="inlineStr">
        <is>
          <t>?</t>
        </is>
      </c>
      <c r="K3345" s="3" t="inlineStr"/>
      <c r="L3345" s="2" t="inlineStr">
        <is>
          <t>https://animator.ru/db/?p=show_film&amp;fid=4217</t>
        </is>
      </c>
      <c r="M3345" s="2">
        <f>HYPERLINK("https://ru.wikipedia.org/w/index.php?search=%D0%94%D0%B5%D1%80%D0%B6%D0%B8%D1%81%D1%8C%2C%20%D1%80%D0%B5%D0%B1%D1%8F%D1%82%D0%B0%21%201974%20%D1%84%D0%B8%D0%BB%D1%8C%D0%BC","искать")</f>
        <v/>
      </c>
      <c r="N3345" s="3" t="n"/>
      <c r="O3345" s="2" t="n"/>
      <c r="P3345" s="2" t="n"/>
    </row>
    <row r="3346">
      <c r="A3346" s="2" t="n">
        <v>3345</v>
      </c>
      <c r="B3346" s="2" t="inlineStr">
        <is>
          <t>короткая</t>
        </is>
      </c>
      <c r="C3346" s="2" t="n">
        <v>13006</v>
      </c>
      <c r="D3346" s="3" t="inlineStr">
        <is>
          <t>Приключения глиняного комочка</t>
        </is>
      </c>
      <c r="E3346" s="2" t="n">
        <v>1986</v>
      </c>
      <c r="F3346" s="2" t="inlineStr">
        <is>
          <t>мультфильм</t>
        </is>
      </c>
      <c r="G3346" s="2" t="inlineStr">
        <is>
          <t>КАЗАХФИЛЬМ</t>
        </is>
      </c>
      <c r="H3346" s="2" t="n">
        <v>0</v>
      </c>
      <c r="I3346" s="2" t="inlineStr"/>
      <c r="J3346" s="2" t="inlineStr">
        <is>
          <t>?</t>
        </is>
      </c>
      <c r="K3346" s="3" t="inlineStr"/>
      <c r="L3346" s="2" t="inlineStr">
        <is>
          <t>https://animator.ru/db/?p=show_film&amp;fid=4238</t>
        </is>
      </c>
      <c r="M3346" s="2">
        <f>HYPERLINK("https://ru.wikipedia.org/w/index.php?search=%D0%9F%D1%80%D0%B8%D0%BA%D0%BB%D1%8E%D1%87%D0%B5%D0%BD%D0%B8%D1%8F%20%D0%B3%D0%BB%D0%B8%D0%BD%D1%8F%D0%BD%D0%BE%D0%B3%D0%BE%20%D0%BA%D0%BE%D0%BC%D0%BE%D1%87%D0%BA%D0%B0%201986%20%D1%84%D0%B8%D0%BB%D1%8C%D0%BC","искать")</f>
        <v/>
      </c>
      <c r="N3346" s="3" t="n"/>
      <c r="O3346" s="2" t="n"/>
      <c r="P3346" s="2" t="n"/>
    </row>
    <row r="3347">
      <c r="A3347" s="2" t="n">
        <v>3346</v>
      </c>
      <c r="B3347" s="2" t="inlineStr">
        <is>
          <t>короткая</t>
        </is>
      </c>
      <c r="C3347" s="2" t="n">
        <v>13007</v>
      </c>
      <c r="D3347" s="3" t="inlineStr">
        <is>
          <t>Соловей</t>
        </is>
      </c>
      <c r="E3347" s="2" t="n">
        <v>1986</v>
      </c>
      <c r="F3347" s="2" t="inlineStr">
        <is>
          <t>мультфильм</t>
        </is>
      </c>
      <c r="G3347" s="2" t="inlineStr">
        <is>
          <t>КАЗАХФИЛЬМ</t>
        </is>
      </c>
      <c r="H3347" s="2" t="n">
        <v>0</v>
      </c>
      <c r="I3347" s="2" t="inlineStr"/>
      <c r="J3347" s="2" t="inlineStr">
        <is>
          <t>?</t>
        </is>
      </c>
      <c r="K3347" s="3" t="inlineStr"/>
      <c r="L3347" s="2" t="inlineStr">
        <is>
          <t>https://animator.ru/db/?p=show_film&amp;fid=4239</t>
        </is>
      </c>
      <c r="M3347" s="2">
        <f>HYPERLINK("https://ru.wikipedia.org/w/index.php?search=%D0%A1%D0%BE%D0%BB%D0%BE%D0%B2%D0%B5%D0%B9%201986%20%D1%84%D0%B8%D0%BB%D1%8C%D0%BC","искать")</f>
        <v/>
      </c>
      <c r="N3347" s="3" t="n"/>
      <c r="O3347" s="2" t="n"/>
      <c r="P3347" s="2" t="n"/>
    </row>
    <row r="3348">
      <c r="A3348" s="2" t="n">
        <v>3347</v>
      </c>
      <c r="B3348" s="2" t="inlineStr">
        <is>
          <t>короткая</t>
        </is>
      </c>
      <c r="C3348" s="2" t="n">
        <v>13008</v>
      </c>
      <c r="D3348" s="3" t="inlineStr">
        <is>
          <t>Дача</t>
        </is>
      </c>
      <c r="E3348" s="2" t="n">
        <v>1986</v>
      </c>
      <c r="F3348" s="2" t="inlineStr">
        <is>
          <t>мультфильм</t>
        </is>
      </c>
      <c r="G3348" s="2" t="inlineStr">
        <is>
          <t>КАЗАХФИЛЬМ</t>
        </is>
      </c>
      <c r="H3348" s="2" t="n">
        <v>0</v>
      </c>
      <c r="I3348" s="2" t="inlineStr"/>
      <c r="J3348" s="2" t="inlineStr">
        <is>
          <t>?</t>
        </is>
      </c>
      <c r="K3348" s="3" t="inlineStr"/>
      <c r="L3348" s="2" t="inlineStr">
        <is>
          <t>https://animator.ru/db/?p=show_film&amp;fid=4240</t>
        </is>
      </c>
      <c r="M3348" s="2">
        <f>HYPERLINK("https://ru.wikipedia.org/w/index.php?search=%D0%94%D0%B0%D1%87%D0%B0%201986%20%D1%84%D0%B8%D0%BB%D1%8C%D0%BC","искать")</f>
        <v/>
      </c>
      <c r="N3348" s="3" t="n"/>
      <c r="O3348" s="2" t="n"/>
      <c r="P3348" s="2" t="n"/>
    </row>
    <row r="3349">
      <c r="A3349" s="2" t="n">
        <v>3348</v>
      </c>
      <c r="B3349" s="2" t="inlineStr">
        <is>
          <t>короткая</t>
        </is>
      </c>
      <c r="C3349" s="2" t="n">
        <v>13010</v>
      </c>
      <c r="D3349" s="3" t="inlineStr">
        <is>
          <t>Жаворонок</t>
        </is>
      </c>
      <c r="E3349" s="2" t="n">
        <v>1986</v>
      </c>
      <c r="F3349" s="2" t="inlineStr">
        <is>
          <t>мультфильм</t>
        </is>
      </c>
      <c r="G3349" s="2" t="inlineStr">
        <is>
          <t>КАЗАХФИЛЬМ</t>
        </is>
      </c>
      <c r="H3349" s="2" t="n">
        <v>0</v>
      </c>
      <c r="I3349" s="2" t="inlineStr"/>
      <c r="J3349" s="2" t="inlineStr">
        <is>
          <t>?</t>
        </is>
      </c>
      <c r="K3349" s="3" t="inlineStr"/>
      <c r="L3349" s="2" t="inlineStr">
        <is>
          <t>https://animator.ru/db/?p=show_film&amp;fid=4242</t>
        </is>
      </c>
      <c r="M3349" s="2">
        <f>HYPERLINK("https://ru.wikipedia.org/w/index.php?search=%D0%96%D0%B0%D0%B2%D0%BE%D1%80%D0%BE%D0%BD%D0%BE%D0%BA%201986%20%D1%84%D0%B8%D0%BB%D1%8C%D0%BC","искать")</f>
        <v/>
      </c>
      <c r="N3349" s="3" t="n"/>
      <c r="O3349" s="2" t="n"/>
      <c r="P3349" s="2" t="n"/>
    </row>
    <row r="3350">
      <c r="A3350" s="2" t="n">
        <v>3349</v>
      </c>
      <c r="B3350" s="2" t="inlineStr">
        <is>
          <t>короткая</t>
        </is>
      </c>
      <c r="C3350" s="2" t="n">
        <v>13013</v>
      </c>
      <c r="D3350" s="3" t="inlineStr">
        <is>
          <t>Садовник</t>
        </is>
      </c>
      <c r="E3350" s="2" t="n">
        <v>1988</v>
      </c>
      <c r="F3350" s="2" t="inlineStr">
        <is>
          <t>мультфильм</t>
        </is>
      </c>
      <c r="G3350" s="2" t="inlineStr">
        <is>
          <t>КАЗАХФИЛЬМ</t>
        </is>
      </c>
      <c r="H3350" s="2" t="n">
        <v>0</v>
      </c>
      <c r="I3350" s="2" t="inlineStr"/>
      <c r="J3350" s="2" t="inlineStr">
        <is>
          <t>?</t>
        </is>
      </c>
      <c r="K3350" s="3" t="inlineStr"/>
      <c r="L3350" s="2" t="inlineStr">
        <is>
          <t>https://animator.ru/db/?p=show_film&amp;fid=4245</t>
        </is>
      </c>
      <c r="M3350" s="2">
        <f>HYPERLINK("https://ru.wikipedia.org/w/index.php?search=%D0%A1%D0%B0%D0%B4%D0%BE%D0%B2%D0%BD%D0%B8%D0%BA%201988%20%D1%84%D0%B8%D0%BB%D1%8C%D0%BC","искать")</f>
        <v/>
      </c>
      <c r="N3350" s="3" t="n"/>
      <c r="O3350" s="2" t="n"/>
      <c r="P3350" s="2" t="n"/>
    </row>
    <row r="3351">
      <c r="A3351" s="2" t="n">
        <v>3350</v>
      </c>
      <c r="B3351" s="2" t="inlineStr">
        <is>
          <t>короткая</t>
        </is>
      </c>
      <c r="C3351" s="2" t="n">
        <v>13024</v>
      </c>
      <c r="D3351" s="3" t="inlineStr">
        <is>
          <t>Чьи уши лучше?</t>
        </is>
      </c>
      <c r="E3351" s="2" t="n">
        <v>1987</v>
      </c>
      <c r="F3351" s="2" t="inlineStr">
        <is>
          <t>мультфильм</t>
        </is>
      </c>
      <c r="G3351" s="2" t="inlineStr">
        <is>
          <t>КАЗАХФИЛЬМ</t>
        </is>
      </c>
      <c r="H3351" s="2" t="n">
        <v>0</v>
      </c>
      <c r="I3351" s="2" t="inlineStr"/>
      <c r="J3351" s="2" t="inlineStr">
        <is>
          <t>?</t>
        </is>
      </c>
      <c r="K3351" s="3" t="inlineStr"/>
      <c r="L3351" s="2" t="inlineStr">
        <is>
          <t>https://animator.ru/db/?p=show_film&amp;fid=4256</t>
        </is>
      </c>
      <c r="M3351" s="2">
        <f>HYPERLINK("https://ru.wikipedia.org/w/index.php?search=%D0%A7%D1%8C%D0%B8%20%D1%83%D1%88%D0%B8%20%D0%BB%D1%83%D1%87%D1%88%D0%B5%3F%201987%20%D1%84%D0%B8%D0%BB%D1%8C%D0%BC","искать")</f>
        <v/>
      </c>
      <c r="N3351" s="3" t="n"/>
      <c r="O3351" s="2" t="n"/>
      <c r="P3351" s="2" t="n"/>
    </row>
    <row r="3352">
      <c r="A3352" s="2" t="n">
        <v>3351</v>
      </c>
      <c r="B3352" s="2" t="inlineStr">
        <is>
          <t>короткая</t>
        </is>
      </c>
      <c r="C3352" s="2" t="n">
        <v>13027</v>
      </c>
      <c r="D3352" s="3" t="inlineStr">
        <is>
          <t>Волшебный арбуз</t>
        </is>
      </c>
      <c r="E3352" s="2" t="n">
        <v>1978</v>
      </c>
      <c r="F3352" s="2" t="inlineStr">
        <is>
          <t>мультфильм</t>
        </is>
      </c>
      <c r="G3352" s="2" t="inlineStr">
        <is>
          <t>КАЗАХФИЛЬМ</t>
        </is>
      </c>
      <c r="H3352" s="2" t="n">
        <v>0</v>
      </c>
      <c r="I3352" s="2" t="inlineStr"/>
      <c r="J3352" s="2" t="inlineStr">
        <is>
          <t>?</t>
        </is>
      </c>
      <c r="K3352" s="3" t="inlineStr"/>
      <c r="L3352" s="2" t="inlineStr">
        <is>
          <t>https://animator.ru/db/?p=show_film&amp;fid=4259</t>
        </is>
      </c>
      <c r="M3352" s="2">
        <f>HYPERLINK("https://ru.wikipedia.org/w/index.php?search=%D0%92%D0%BE%D0%BB%D1%88%D0%B5%D0%B1%D0%BD%D1%8B%D0%B9%20%D0%B0%D1%80%D0%B1%D1%83%D0%B7%201978%20%D1%84%D0%B8%D0%BB%D1%8C%D0%BC","искать")</f>
        <v/>
      </c>
      <c r="N3352" s="3" t="n"/>
      <c r="O3352" s="2" t="n"/>
      <c r="P3352" s="2" t="n"/>
    </row>
    <row r="3353">
      <c r="A3353" s="2" t="n">
        <v>3352</v>
      </c>
      <c r="B3353" s="2" t="inlineStr">
        <is>
          <t>короткая</t>
        </is>
      </c>
      <c r="C3353" s="2" t="n">
        <v>13028</v>
      </c>
      <c r="D3353" s="3" t="inlineStr">
        <is>
          <t>Крот и заяц</t>
        </is>
      </c>
      <c r="E3353" s="2" t="n">
        <v>1978</v>
      </c>
      <c r="F3353" s="2" t="inlineStr">
        <is>
          <t>мультфильм</t>
        </is>
      </c>
      <c r="G3353" s="2" t="inlineStr">
        <is>
          <t>КАЗАХФИЛЬМ</t>
        </is>
      </c>
      <c r="H3353" s="2" t="n">
        <v>0</v>
      </c>
      <c r="I3353" s="2" t="inlineStr"/>
      <c r="J3353" s="2" t="inlineStr">
        <is>
          <t>?</t>
        </is>
      </c>
      <c r="K3353" s="3" t="inlineStr"/>
      <c r="L3353" s="2" t="inlineStr">
        <is>
          <t>https://animator.ru/db/?p=show_film&amp;fid=4260</t>
        </is>
      </c>
      <c r="M3353" s="2">
        <f>HYPERLINK("https://ru.wikipedia.org/w/index.php?search=%D0%9A%D1%80%D0%BE%D1%82%20%D0%B8%20%D0%B7%D0%B0%D1%8F%D1%86%201978%20%D1%84%D0%B8%D0%BB%D1%8C%D0%BC","искать")</f>
        <v/>
      </c>
      <c r="N3353" s="3" t="n"/>
      <c r="O3353" s="2" t="n"/>
      <c r="P3353" s="2" t="n"/>
    </row>
    <row r="3354">
      <c r="A3354" s="2" t="n">
        <v>3353</v>
      </c>
      <c r="B3354" s="2" t="inlineStr">
        <is>
          <t>короткая</t>
        </is>
      </c>
      <c r="C3354" s="2" t="n">
        <v>13032</v>
      </c>
      <c r="D3354" s="3" t="inlineStr">
        <is>
          <t>Как я стал трактористом</t>
        </is>
      </c>
      <c r="E3354" s="2" t="n">
        <v>1974</v>
      </c>
      <c r="F3354" s="2" t="inlineStr">
        <is>
          <t>мультфильм</t>
        </is>
      </c>
      <c r="G3354" s="2" t="inlineStr">
        <is>
          <t>РИЖСКАЯ КИНОСТУДИЯ</t>
        </is>
      </c>
      <c r="H3354" s="2" t="n">
        <v>0</v>
      </c>
      <c r="I3354" s="2" t="inlineStr"/>
      <c r="J3354" s="2" t="inlineStr">
        <is>
          <t>?</t>
        </is>
      </c>
      <c r="K3354" s="3" t="inlineStr"/>
      <c r="L3354" s="2" t="inlineStr">
        <is>
          <t>https://animator.ru/db/?p=show_film&amp;fid=4264</t>
        </is>
      </c>
      <c r="M3354" s="2">
        <f>HYPERLINK("https://ru.wikipedia.org/w/index.php?search=%D0%9A%D0%B0%D0%BA%20%D1%8F%20%D1%81%D1%82%D0%B0%D0%BB%20%D1%82%D1%80%D0%B0%D0%BA%D1%82%D0%BE%D1%80%D0%B8%D1%81%D1%82%D0%BE%D0%BC%201974%20%D1%84%D0%B8%D0%BB%D1%8C%D0%BC","искать")</f>
        <v/>
      </c>
      <c r="N3354" s="3" t="n"/>
      <c r="O3354" s="2" t="n"/>
      <c r="P3354" s="2" t="n"/>
    </row>
    <row r="3355">
      <c r="A3355" s="2" t="n">
        <v>3354</v>
      </c>
      <c r="B3355" s="2" t="inlineStr">
        <is>
          <t>короткая</t>
        </is>
      </c>
      <c r="C3355" s="2" t="n">
        <v>13033</v>
      </c>
      <c r="D3355" s="3" t="inlineStr">
        <is>
          <t>Ки-ке-ри-ку</t>
        </is>
      </c>
      <c r="E3355" s="2" t="n">
        <v>1966</v>
      </c>
      <c r="F3355" s="2" t="inlineStr">
        <is>
          <t>мультфильм</t>
        </is>
      </c>
      <c r="G3355" s="2" t="inlineStr">
        <is>
          <t>РИЖСКАЯ КИНОСТУДИЯ</t>
        </is>
      </c>
      <c r="H3355" s="2" t="n">
        <v>0</v>
      </c>
      <c r="I3355" s="2" t="inlineStr"/>
      <c r="J3355" s="2" t="inlineStr">
        <is>
          <t>?</t>
        </is>
      </c>
      <c r="K3355" s="3" t="inlineStr"/>
      <c r="L3355" s="2" t="inlineStr">
        <is>
          <t>https://animator.ru/db/?p=show_film&amp;fid=4265</t>
        </is>
      </c>
      <c r="M3355" s="2">
        <f>HYPERLINK("https://ru.wikipedia.org/w/index.php?search=%D0%9A%D0%B8-%D0%BA%D0%B5-%D1%80%D0%B8-%D0%BA%D1%83%201966%20%D1%84%D0%B8%D0%BB%D1%8C%D0%BC","искать")</f>
        <v/>
      </c>
      <c r="N3355" s="3" t="n"/>
      <c r="O3355" s="2" t="n"/>
      <c r="P3355" s="2" t="n"/>
    </row>
    <row r="3356">
      <c r="A3356" s="2" t="n">
        <v>3355</v>
      </c>
      <c r="B3356" s="2" t="inlineStr">
        <is>
          <t>короткая</t>
        </is>
      </c>
      <c r="C3356" s="2" t="n">
        <v>13035</v>
      </c>
      <c r="D3356" s="3" t="inlineStr">
        <is>
          <t>Последний крик моды</t>
        </is>
      </c>
      <c r="E3356" s="2" t="n">
        <v>1970</v>
      </c>
      <c r="F3356" s="2" t="inlineStr">
        <is>
          <t>мультфильм</t>
        </is>
      </c>
      <c r="G3356" s="2" t="inlineStr">
        <is>
          <t>РИЖСКАЯ КИНОСТУДИЯ</t>
        </is>
      </c>
      <c r="H3356" s="2" t="n">
        <v>0</v>
      </c>
      <c r="I3356" s="2" t="inlineStr"/>
      <c r="J3356" s="2" t="inlineStr">
        <is>
          <t>?</t>
        </is>
      </c>
      <c r="K3356" s="3" t="inlineStr"/>
      <c r="L3356" s="2" t="inlineStr">
        <is>
          <t>https://animator.ru/db/?p=show_film&amp;fid=4267</t>
        </is>
      </c>
      <c r="M3356" s="2">
        <f>HYPERLINK("https://ru.wikipedia.org/w/index.php?search=%D0%9F%D0%BE%D1%81%D0%BB%D0%B5%D0%B4%D0%BD%D0%B8%D0%B9%20%D0%BA%D1%80%D0%B8%D0%BA%20%D0%BC%D0%BE%D0%B4%D1%8B%201970%20%D1%84%D0%B8%D0%BB%D1%8C%D0%BC","искать")</f>
        <v/>
      </c>
      <c r="N3356" s="3" t="n"/>
      <c r="O3356" s="2" t="n"/>
      <c r="P3356" s="2" t="n"/>
    </row>
    <row r="3357">
      <c r="A3357" s="2" t="n">
        <v>3356</v>
      </c>
      <c r="B3357" s="2" t="inlineStr">
        <is>
          <t>короткая</t>
        </is>
      </c>
      <c r="C3357" s="2" t="n">
        <v>13038</v>
      </c>
      <c r="D3357" s="3" t="inlineStr">
        <is>
          <t>Подарок из Африки</t>
        </is>
      </c>
      <c r="E3357" s="2" t="n">
        <v>1975</v>
      </c>
      <c r="F3357" s="2" t="inlineStr">
        <is>
          <t>мультфильм</t>
        </is>
      </c>
      <c r="G3357" s="2" t="inlineStr">
        <is>
          <t>РИЖСКАЯ КИНОСТУДИЯ</t>
        </is>
      </c>
      <c r="H3357" s="2" t="n">
        <v>0</v>
      </c>
      <c r="I3357" s="2" t="inlineStr"/>
      <c r="J3357" s="2" t="inlineStr">
        <is>
          <t>?</t>
        </is>
      </c>
      <c r="K3357" s="3" t="inlineStr"/>
      <c r="L3357" s="2" t="inlineStr">
        <is>
          <t>https://animator.ru/db/?p=show_film&amp;fid=4270</t>
        </is>
      </c>
      <c r="M3357" s="2">
        <f>HYPERLINK("https://ru.wikipedia.org/w/index.php?search=%D0%9F%D0%BE%D0%B4%D0%B0%D1%80%D0%BE%D0%BA%20%D0%B8%D0%B7%20%D0%90%D1%84%D1%80%D0%B8%D0%BA%D0%B8%201975%20%D1%84%D0%B8%D0%BB%D1%8C%D0%BC","искать")</f>
        <v/>
      </c>
      <c r="N3357" s="3" t="n"/>
      <c r="O3357" s="2" t="n"/>
      <c r="P3357" s="2" t="n"/>
    </row>
    <row r="3358">
      <c r="A3358" s="2" t="n">
        <v>3357</v>
      </c>
      <c r="B3358" s="2" t="inlineStr">
        <is>
          <t>короткая</t>
        </is>
      </c>
      <c r="C3358" s="2" t="n">
        <v>13039</v>
      </c>
      <c r="D3358" s="3" t="inlineStr">
        <is>
          <t>Полусказка</t>
        </is>
      </c>
      <c r="E3358" s="2" t="n">
        <v>1975</v>
      </c>
      <c r="F3358" s="2" t="inlineStr">
        <is>
          <t>мультфильм</t>
        </is>
      </c>
      <c r="G3358" s="2" t="inlineStr">
        <is>
          <t>РИЖСКАЯ КИНОСТУДИЯ</t>
        </is>
      </c>
      <c r="H3358" s="2" t="n">
        <v>0</v>
      </c>
      <c r="I3358" s="2" t="inlineStr"/>
      <c r="J3358" s="2" t="inlineStr">
        <is>
          <t>?</t>
        </is>
      </c>
      <c r="K3358" s="3" t="inlineStr"/>
      <c r="L3358" s="2" t="inlineStr">
        <is>
          <t>https://animator.ru/db/?p=show_film&amp;fid=4271</t>
        </is>
      </c>
      <c r="M3358" s="2">
        <f>HYPERLINK("https://ru.wikipedia.org/w/index.php?search=%D0%9F%D0%BE%D0%BB%D1%83%D1%81%D0%BA%D0%B0%D0%B7%D0%BA%D0%B0%201975%20%D1%84%D0%B8%D0%BB%D1%8C%D0%BC","искать")</f>
        <v/>
      </c>
      <c r="N3358" s="3" t="n"/>
      <c r="O3358" s="2" t="n"/>
      <c r="P3358" s="2" t="n"/>
    </row>
    <row r="3359">
      <c r="A3359" s="2" t="n">
        <v>3358</v>
      </c>
      <c r="B3359" s="2" t="inlineStr">
        <is>
          <t>короткая</t>
        </is>
      </c>
      <c r="C3359" s="2" t="n">
        <v>13059</v>
      </c>
      <c r="D3359" s="3" t="inlineStr">
        <is>
          <t>По-По-Дру</t>
        </is>
      </c>
      <c r="E3359" s="2" t="n">
        <v>1977</v>
      </c>
      <c r="F3359" s="2" t="inlineStr">
        <is>
          <t>мультфильм</t>
        </is>
      </c>
      <c r="G3359" s="2" t="inlineStr">
        <is>
          <t>РИЖСКАЯ КИНОСТУДИЯ</t>
        </is>
      </c>
      <c r="H3359" s="2" t="n">
        <v>0</v>
      </c>
      <c r="I3359" s="2" t="inlineStr"/>
      <c r="J3359" s="2" t="inlineStr">
        <is>
          <t>?</t>
        </is>
      </c>
      <c r="K3359" s="3" t="inlineStr"/>
      <c r="L3359" s="2" t="inlineStr">
        <is>
          <t>https://animator.ru/db/?p=show_film&amp;fid=4291</t>
        </is>
      </c>
      <c r="M3359" s="2">
        <f>HYPERLINK("https://ru.wikipedia.org/w/index.php?search=%D0%9F%D0%BE-%D0%9F%D0%BE-%D0%94%D1%80%D1%83%201977%20%D1%84%D0%B8%D0%BB%D1%8C%D0%BC","искать")</f>
        <v/>
      </c>
      <c r="N3359" s="3" t="n"/>
      <c r="O3359" s="2" t="n"/>
      <c r="P3359" s="2" t="n"/>
    </row>
    <row r="3360">
      <c r="A3360" s="2" t="n">
        <v>3359</v>
      </c>
      <c r="B3360" s="2" t="inlineStr">
        <is>
          <t>короткая</t>
        </is>
      </c>
      <c r="C3360" s="2" t="n">
        <v>13061</v>
      </c>
      <c r="D3360" s="3" t="inlineStr">
        <is>
          <t>Дождливый день</t>
        </is>
      </c>
      <c r="E3360" s="2" t="n">
        <v>1969</v>
      </c>
      <c r="F3360" s="2" t="inlineStr">
        <is>
          <t>мультфильм</t>
        </is>
      </c>
      <c r="G3360" s="2" t="inlineStr">
        <is>
          <t>ГОСТЕЛЕРАДИО ЛАТВ. ССР ("ТЕЛЕФИЛЬМ-РИГА")</t>
        </is>
      </c>
      <c r="H3360" s="2" t="n">
        <v>0</v>
      </c>
      <c r="I3360" s="2" t="inlineStr"/>
      <c r="J3360" s="2" t="inlineStr">
        <is>
          <t>?</t>
        </is>
      </c>
      <c r="K3360" s="3" t="inlineStr"/>
      <c r="L3360" s="2" t="inlineStr">
        <is>
          <t>https://animator.ru/db/?p=show_film&amp;fid=4293</t>
        </is>
      </c>
      <c r="M3360" s="2">
        <f>HYPERLINK("https://ru.wikipedia.org/w/index.php?search=%D0%94%D0%BE%D0%B6%D0%B4%D0%BB%D0%B8%D0%B2%D1%8B%D0%B9%20%D0%B4%D0%B5%D0%BD%D1%8C%201969%20%D1%84%D0%B8%D0%BB%D1%8C%D0%BC","искать")</f>
        <v/>
      </c>
      <c r="N3360" s="3" t="n"/>
      <c r="O3360" s="2" t="n"/>
      <c r="P3360" s="2" t="n"/>
    </row>
    <row r="3361">
      <c r="A3361" s="2" t="n">
        <v>3360</v>
      </c>
      <c r="B3361" s="2" t="inlineStr">
        <is>
          <t>короткая</t>
        </is>
      </c>
      <c r="C3361" s="2" t="n">
        <v>13062</v>
      </c>
      <c r="D3361" s="3" t="inlineStr">
        <is>
          <t>Хелло, хела!</t>
        </is>
      </c>
      <c r="E3361" s="2" t="n">
        <v>1970</v>
      </c>
      <c r="F3361" s="2" t="inlineStr">
        <is>
          <t>мультфильм</t>
        </is>
      </c>
      <c r="G3361" s="2" t="inlineStr">
        <is>
          <t>ГОСТЕЛЕРАДИО ЛАТВ. ССР ("ТЕЛЕФИЛЬМ-РИГА")</t>
        </is>
      </c>
      <c r="H3361" s="2" t="n">
        <v>0</v>
      </c>
      <c r="I3361" s="2" t="inlineStr"/>
      <c r="J3361" s="2" t="inlineStr">
        <is>
          <t>?</t>
        </is>
      </c>
      <c r="K3361" s="3" t="inlineStr"/>
      <c r="L3361" s="2" t="inlineStr">
        <is>
          <t>https://animator.ru/db/?p=show_film&amp;fid=4294</t>
        </is>
      </c>
      <c r="M3361" s="2">
        <f>HYPERLINK("https://ru.wikipedia.org/w/index.php?search=%D0%A5%D0%B5%D0%BB%D0%BB%D0%BE%2C%20%D1%85%D0%B5%D0%BB%D0%B0%21%201970%20%D1%84%D0%B8%D0%BB%D1%8C%D0%BC","искать")</f>
        <v/>
      </c>
      <c r="N3361" s="3" t="n"/>
      <c r="O3361" s="2" t="n"/>
      <c r="P3361" s="2" t="n"/>
    </row>
    <row r="3362">
      <c r="A3362" s="2" t="n">
        <v>3361</v>
      </c>
      <c r="B3362" s="2" t="inlineStr">
        <is>
          <t>короткая</t>
        </is>
      </c>
      <c r="C3362" s="2" t="n">
        <v>13068</v>
      </c>
      <c r="D3362" s="3" t="inlineStr">
        <is>
          <t>Слоны и зайцы</t>
        </is>
      </c>
      <c r="E3362" s="2" t="n">
        <v>1973</v>
      </c>
      <c r="F3362" s="2" t="inlineStr">
        <is>
          <t>мультфильм</t>
        </is>
      </c>
      <c r="G3362" s="2" t="inlineStr">
        <is>
          <t>ГОСТЕЛЕРАДИО ЛАТВ. ССР ("ТЕЛЕФИЛЬМ-РИГА")</t>
        </is>
      </c>
      <c r="H3362" s="2" t="n">
        <v>0</v>
      </c>
      <c r="I3362" s="2" t="inlineStr"/>
      <c r="J3362" s="2" t="inlineStr">
        <is>
          <t>?</t>
        </is>
      </c>
      <c r="K3362" s="3" t="inlineStr"/>
      <c r="L3362" s="2" t="inlineStr">
        <is>
          <t>https://animator.ru/db/?p=show_film&amp;fid=4300</t>
        </is>
      </c>
      <c r="M3362" s="2">
        <f>HYPERLINK("https://ru.wikipedia.org/w/index.php?search=%D0%A1%D0%BB%D0%BE%D0%BD%D1%8B%20%D0%B8%20%D0%B7%D0%B0%D0%B9%D1%86%D1%8B%201973%20%D1%84%D0%B8%D0%BB%D1%8C%D0%BC","искать")</f>
        <v/>
      </c>
      <c r="N3362" s="3" t="n"/>
      <c r="O3362" s="2" t="n"/>
      <c r="P3362" s="2" t="n"/>
    </row>
    <row r="3363">
      <c r="A3363" s="2" t="n">
        <v>3362</v>
      </c>
      <c r="B3363" s="2" t="inlineStr">
        <is>
          <t>короткая</t>
        </is>
      </c>
      <c r="C3363" s="2" t="n">
        <v>13070</v>
      </c>
      <c r="D3363" s="3" t="inlineStr">
        <is>
          <t>Приключения дилли далли</t>
        </is>
      </c>
      <c r="E3363" s="2" t="n">
        <v>1974</v>
      </c>
      <c r="F3363" s="2" t="inlineStr">
        <is>
          <t>мультфильм</t>
        </is>
      </c>
      <c r="G3363" s="2" t="inlineStr">
        <is>
          <t>ГОСТЕЛЕРАДИО ЛАТВ. ССР ("ТЕЛЕФИЛЬМ-РИГА")</t>
        </is>
      </c>
      <c r="H3363" s="2" t="n">
        <v>0</v>
      </c>
      <c r="I3363" s="2" t="inlineStr"/>
      <c r="J3363" s="2" t="inlineStr">
        <is>
          <t>?</t>
        </is>
      </c>
      <c r="K3363" s="3" t="inlineStr"/>
      <c r="L3363" s="2" t="inlineStr">
        <is>
          <t>https://animator.ru/db/?p=show_film&amp;fid=4302</t>
        </is>
      </c>
      <c r="M3363" s="2">
        <f>HYPERLINK("https://ru.wikipedia.org/w/index.php?search=%D0%9F%D1%80%D0%B8%D0%BA%D0%BB%D1%8E%D1%87%D0%B5%D0%BD%D0%B8%D1%8F%20%D0%B4%D0%B8%D0%BB%D0%BB%D0%B8%20%D0%B4%D0%B0%D0%BB%D0%BB%D0%B8%201974%20%D1%84%D0%B8%D0%BB%D1%8C%D0%BC","искать")</f>
        <v/>
      </c>
      <c r="N3363" s="3" t="n"/>
      <c r="O3363" s="2" t="n"/>
      <c r="P3363" s="2" t="n"/>
    </row>
    <row r="3364">
      <c r="A3364" s="2" t="n">
        <v>3363</v>
      </c>
      <c r="B3364" s="2" t="inlineStr">
        <is>
          <t>короткая</t>
        </is>
      </c>
      <c r="C3364" s="2" t="n">
        <v>13076</v>
      </c>
      <c r="D3364" s="3" t="inlineStr">
        <is>
          <t>Зеленая сказка</t>
        </is>
      </c>
      <c r="E3364" s="2" t="n">
        <v>1977</v>
      </c>
      <c r="F3364" s="2" t="inlineStr">
        <is>
          <t>мультфильм</t>
        </is>
      </c>
      <c r="G3364" s="2" t="inlineStr">
        <is>
          <t>ГОСТЕЛЕРАДИО ЛАТВ. ССР ("ТЕЛЕФИЛЬМ-РИГА")</t>
        </is>
      </c>
      <c r="H3364" s="2" t="n">
        <v>0</v>
      </c>
      <c r="I3364" s="2" t="inlineStr"/>
      <c r="J3364" s="2" t="inlineStr">
        <is>
          <t>?</t>
        </is>
      </c>
      <c r="K3364" s="3" t="inlineStr"/>
      <c r="L3364" s="2" t="inlineStr">
        <is>
          <t>https://animator.ru/db/?p=show_film&amp;fid=4308</t>
        </is>
      </c>
      <c r="M3364" s="2">
        <f>HYPERLINK("https://ru.wikipedia.org/w/index.php?search=%D0%97%D0%B5%D0%BB%D0%B5%D0%BD%D0%B0%D1%8F%20%D1%81%D0%BA%D0%B0%D0%B7%D0%BA%D0%B0%201977%20%D1%84%D0%B8%D0%BB%D1%8C%D0%BC","искать")</f>
        <v/>
      </c>
      <c r="N3364" s="3" t="n"/>
      <c r="O3364" s="2" t="n"/>
      <c r="P3364" s="2" t="n"/>
    </row>
    <row r="3365">
      <c r="A3365" s="2" t="n">
        <v>3364</v>
      </c>
      <c r="B3365" s="2" t="inlineStr">
        <is>
          <t>короткая</t>
        </is>
      </c>
      <c r="C3365" s="2" t="n">
        <v>13077</v>
      </c>
      <c r="D3365" s="3" t="inlineStr">
        <is>
          <t>Времена года</t>
        </is>
      </c>
      <c r="E3365" s="2" t="n">
        <v>1977</v>
      </c>
      <c r="F3365" s="2" t="inlineStr">
        <is>
          <t>мультфильм</t>
        </is>
      </c>
      <c r="G3365" s="2" t="inlineStr">
        <is>
          <t>ГОСТЕЛЕРАДИО ЛАТВ. ССР ("ТЕЛЕФИЛЬМ-РИГА")</t>
        </is>
      </c>
      <c r="H3365" s="2" t="n">
        <v>0</v>
      </c>
      <c r="I3365" s="2" t="inlineStr"/>
      <c r="J3365" s="2" t="inlineStr">
        <is>
          <t>?</t>
        </is>
      </c>
      <c r="K3365" s="3" t="inlineStr"/>
      <c r="L3365" s="2" t="inlineStr">
        <is>
          <t>https://animator.ru/db/?p=show_film&amp;fid=4309</t>
        </is>
      </c>
      <c r="M3365" s="2">
        <f>HYPERLINK("https://ru.wikipedia.org/w/index.php?search=%D0%92%D1%80%D0%B5%D0%BC%D0%B5%D0%BD%D0%B0%20%D0%B3%D0%BE%D0%B4%D0%B0%201977%20%D1%84%D0%B8%D0%BB%D1%8C%D0%BC","искать")</f>
        <v/>
      </c>
      <c r="N3365" s="3" t="n"/>
      <c r="O3365" s="2" t="n"/>
      <c r="P3365" s="2" t="n"/>
    </row>
    <row r="3366">
      <c r="A3366" s="2" t="n">
        <v>3365</v>
      </c>
      <c r="B3366" s="2" t="inlineStr">
        <is>
          <t>короткая</t>
        </is>
      </c>
      <c r="C3366" s="2" t="n">
        <v>13079</v>
      </c>
      <c r="D3366" s="3" t="inlineStr">
        <is>
          <t>Чудопровод</t>
        </is>
      </c>
      <c r="E3366" s="2" t="n">
        <v>1978</v>
      </c>
      <c r="F3366" s="2" t="inlineStr">
        <is>
          <t>мультфильм</t>
        </is>
      </c>
      <c r="G3366" s="2" t="inlineStr">
        <is>
          <t>ГОСТЕЛЕРАДИО ЛАТВ. ССР ("ТЕЛЕФИЛЬМ-РИГА")</t>
        </is>
      </c>
      <c r="H3366" s="2" t="n">
        <v>0</v>
      </c>
      <c r="I3366" s="2" t="inlineStr"/>
      <c r="J3366" s="2" t="inlineStr">
        <is>
          <t>?</t>
        </is>
      </c>
      <c r="K3366" s="3" t="inlineStr"/>
      <c r="L3366" s="2" t="inlineStr">
        <is>
          <t>https://animator.ru/db/?p=show_film&amp;fid=4311</t>
        </is>
      </c>
      <c r="M3366" s="2">
        <f>HYPERLINK("https://ru.wikipedia.org/w/index.php?search=%D0%A7%D1%83%D0%B4%D0%BE%D0%BF%D1%80%D0%BE%D0%B2%D0%BE%D0%B4%201978%20%D1%84%D0%B8%D0%BB%D1%8C%D0%BC","искать")</f>
        <v/>
      </c>
      <c r="N3366" s="3" t="n"/>
      <c r="O3366" s="2" t="n"/>
      <c r="P3366" s="2" t="n"/>
    </row>
    <row r="3367">
      <c r="A3367" s="2" t="n">
        <v>3366</v>
      </c>
      <c r="B3367" s="2" t="inlineStr">
        <is>
          <t>короткая</t>
        </is>
      </c>
      <c r="C3367" s="2" t="n">
        <v>13088</v>
      </c>
      <c r="D3367" s="3" t="inlineStr">
        <is>
          <t>Талавский трубач</t>
        </is>
      </c>
      <c r="E3367" s="2" t="n">
        <v>1988</v>
      </c>
      <c r="F3367" s="2" t="inlineStr">
        <is>
          <t>мультфильм</t>
        </is>
      </c>
      <c r="G3367" s="2" t="inlineStr">
        <is>
          <t>РИЖСКАЯ КИНОСТУДИЯ</t>
        </is>
      </c>
      <c r="H3367" s="2" t="n">
        <v>0</v>
      </c>
      <c r="I3367" s="2" t="inlineStr"/>
      <c r="J3367" s="2" t="inlineStr">
        <is>
          <t>?</t>
        </is>
      </c>
      <c r="K3367" s="3" t="inlineStr"/>
      <c r="L3367" s="2" t="inlineStr">
        <is>
          <t>https://animator.ru/db/?p=show_film&amp;fid=4320</t>
        </is>
      </c>
      <c r="M3367" s="2">
        <f>HYPERLINK("https://ru.wikipedia.org/w/index.php?search=%D0%A2%D0%B0%D0%BB%D0%B0%D0%B2%D1%81%D0%BA%D0%B8%D0%B9%20%D1%82%D1%80%D1%83%D0%B1%D0%B0%D1%87%201988%20%D1%84%D0%B8%D0%BB%D1%8C%D0%BC","искать")</f>
        <v/>
      </c>
      <c r="N3367" s="3" t="n"/>
      <c r="O3367" s="2" t="n"/>
      <c r="P3367" s="2" t="n"/>
    </row>
    <row r="3368">
      <c r="A3368" s="2" t="n">
        <v>3367</v>
      </c>
      <c r="B3368" s="2" t="inlineStr">
        <is>
          <t>короткая</t>
        </is>
      </c>
      <c r="C3368" s="2" t="n">
        <v>13094</v>
      </c>
      <c r="D3368" s="3" t="inlineStr">
        <is>
          <t>Гугуцэ - капитан корабля</t>
        </is>
      </c>
      <c r="E3368" s="2" t="n">
        <v>1981</v>
      </c>
      <c r="F3368" s="2" t="inlineStr">
        <is>
          <t>мультфильм</t>
        </is>
      </c>
      <c r="G3368" s="2" t="inlineStr">
        <is>
          <t>МОЛДОВА-ФИЛЬМ</t>
        </is>
      </c>
      <c r="H3368" s="2" t="n">
        <v>0</v>
      </c>
      <c r="I3368" s="2" t="inlineStr"/>
      <c r="J3368" s="2" t="inlineStr">
        <is>
          <t>?</t>
        </is>
      </c>
      <c r="K3368" s="3" t="inlineStr"/>
      <c r="L3368" s="2" t="inlineStr">
        <is>
          <t>https://animator.ru/db/?p=show_film&amp;fid=4326</t>
        </is>
      </c>
      <c r="M3368" s="2">
        <f>HYPERLINK("https://ru.wikipedia.org/w/index.php?search=%D0%93%D1%83%D0%B3%D1%83%D1%86%D1%8D%20-%20%D0%BA%D0%B0%D0%BF%D0%B8%D1%82%D0%B0%D0%BD%20%D0%BA%D0%BE%D1%80%D0%B0%D0%B1%D0%BB%D1%8F%201981%20%D1%84%D0%B8%D0%BB%D1%8C%D0%BC","искать")</f>
        <v/>
      </c>
      <c r="N3368" s="3" t="n"/>
      <c r="O3368" s="2" t="n"/>
      <c r="P3368" s="2" t="n"/>
    </row>
    <row r="3369">
      <c r="A3369" s="2" t="n">
        <v>3368</v>
      </c>
      <c r="B3369" s="2" t="inlineStr">
        <is>
          <t>короткая</t>
        </is>
      </c>
      <c r="C3369" s="2" t="n">
        <v>13095</v>
      </c>
      <c r="D3369" s="3" t="inlineStr">
        <is>
          <t>Парта гугуцэ</t>
        </is>
      </c>
      <c r="E3369" s="2" t="n">
        <v>1975</v>
      </c>
      <c r="F3369" s="2" t="inlineStr">
        <is>
          <t>мультфильм</t>
        </is>
      </c>
      <c r="G3369" s="2" t="inlineStr">
        <is>
          <t>МОЛДОВА-ФИЛЬМ</t>
        </is>
      </c>
      <c r="H3369" s="2" t="n">
        <v>0</v>
      </c>
      <c r="I3369" s="2" t="inlineStr"/>
      <c r="J3369" s="2" t="inlineStr">
        <is>
          <t>?</t>
        </is>
      </c>
      <c r="K3369" s="3" t="inlineStr"/>
      <c r="L3369" s="2" t="inlineStr">
        <is>
          <t>https://animator.ru/db/?p=show_film&amp;fid=4327</t>
        </is>
      </c>
      <c r="M3369" s="2">
        <f>HYPERLINK("https://ru.wikipedia.org/w/index.php?search=%D0%9F%D0%B0%D1%80%D1%82%D0%B0%20%D0%B3%D1%83%D0%B3%D1%83%D1%86%D1%8D%201975%20%D1%84%D0%B8%D0%BB%D1%8C%D0%BC","искать")</f>
        <v/>
      </c>
      <c r="N3369" s="3" t="n"/>
      <c r="O3369" s="2" t="n"/>
      <c r="P3369" s="2" t="n"/>
    </row>
    <row r="3370">
      <c r="A3370" s="2" t="n">
        <v>3369</v>
      </c>
      <c r="B3370" s="2" t="inlineStr">
        <is>
          <t>короткая</t>
        </is>
      </c>
      <c r="C3370" s="2" t="n">
        <v>13097</v>
      </c>
      <c r="D3370" s="3" t="inlineStr">
        <is>
          <t>За нечаянно - бьют отчаянно?</t>
        </is>
      </c>
      <c r="E3370" s="2" t="n">
        <v>1982</v>
      </c>
      <c r="F3370" s="2" t="inlineStr">
        <is>
          <t>мультфильм</t>
        </is>
      </c>
      <c r="G3370" s="2" t="inlineStr">
        <is>
          <t>МОЛДОВА-ФИЛЬМ</t>
        </is>
      </c>
      <c r="H3370" s="2" t="n">
        <v>0</v>
      </c>
      <c r="I3370" s="2" t="inlineStr"/>
      <c r="J3370" s="2" t="inlineStr">
        <is>
          <t>?</t>
        </is>
      </c>
      <c r="K3370" s="3" t="inlineStr"/>
      <c r="L3370" s="2" t="inlineStr">
        <is>
          <t>https://animator.ru/db/?p=show_film&amp;fid=4329</t>
        </is>
      </c>
      <c r="M3370" s="2">
        <f>HYPERLINK("https://ru.wikipedia.org/w/index.php?search=%D0%97%D0%B0%20%D0%BD%D0%B5%D1%87%D0%B0%D1%8F%D0%BD%D0%BD%D0%BE%20-%20%D0%B1%D1%8C%D1%8E%D1%82%20%D0%BE%D1%82%D1%87%D0%B0%D1%8F%D0%BD%D0%BD%D0%BE%3F%201982%20%D1%84%D0%B8%D0%BB%D1%8C%D0%BC","искать")</f>
        <v/>
      </c>
      <c r="N3370" s="3" t="n"/>
      <c r="O3370" s="2" t="n"/>
      <c r="P3370" s="2" t="n"/>
    </row>
    <row r="3371">
      <c r="A3371" s="2" t="n">
        <v>3370</v>
      </c>
      <c r="B3371" s="2" t="inlineStr">
        <is>
          <t>короткая</t>
        </is>
      </c>
      <c r="C3371" s="2" t="n">
        <v>13102</v>
      </c>
      <c r="D3371" s="3" t="inlineStr">
        <is>
          <t>Мелодия</t>
        </is>
      </c>
      <c r="E3371" s="2" t="n">
        <v>1973</v>
      </c>
      <c r="F3371" s="2" t="inlineStr">
        <is>
          <t>мультфильм</t>
        </is>
      </c>
      <c r="G3371" s="2" t="inlineStr">
        <is>
          <t>МОЛДОВА-ФИЛЬМ</t>
        </is>
      </c>
      <c r="H3371" s="2" t="n">
        <v>0</v>
      </c>
      <c r="I3371" s="2" t="inlineStr"/>
      <c r="J3371" s="2" t="inlineStr">
        <is>
          <t>?</t>
        </is>
      </c>
      <c r="K3371" s="3" t="inlineStr"/>
      <c r="L3371" s="2" t="inlineStr">
        <is>
          <t>https://animator.ru/db/?p=show_film&amp;fid=4334</t>
        </is>
      </c>
      <c r="M3371" s="2">
        <f>HYPERLINK("https://ru.wikipedia.org/w/index.php?search=%D0%9C%D0%B5%D0%BB%D0%BE%D0%B4%D0%B8%D1%8F%201973%20%D1%84%D0%B8%D0%BB%D1%8C%D0%BC","искать")</f>
        <v/>
      </c>
      <c r="N3371" s="3" t="n"/>
      <c r="O3371" s="2" t="n"/>
      <c r="P3371" s="2" t="n"/>
    </row>
    <row r="3372">
      <c r="A3372" s="2" t="n">
        <v>3371</v>
      </c>
      <c r="B3372" s="2" t="inlineStr">
        <is>
          <t>короткая</t>
        </is>
      </c>
      <c r="C3372" s="2" t="n">
        <v>13107</v>
      </c>
      <c r="D3372" s="3" t="inlineStr">
        <is>
          <t>Старик и дерево</t>
        </is>
      </c>
      <c r="E3372" s="2" t="n">
        <v>1982</v>
      </c>
      <c r="F3372" s="2" t="inlineStr">
        <is>
          <t>мультфильм</t>
        </is>
      </c>
      <c r="G3372" s="2" t="inlineStr">
        <is>
          <t>МОЛДОВА-ФИЛЬМ</t>
        </is>
      </c>
      <c r="H3372" s="2" t="n">
        <v>0</v>
      </c>
      <c r="I3372" s="2" t="inlineStr"/>
      <c r="J3372" s="2" t="inlineStr">
        <is>
          <t>?</t>
        </is>
      </c>
      <c r="K3372" s="3" t="inlineStr"/>
      <c r="L3372" s="2" t="inlineStr">
        <is>
          <t>https://animator.ru/db/?p=show_film&amp;fid=4339</t>
        </is>
      </c>
      <c r="M3372" s="2">
        <f>HYPERLINK("https://ru.wikipedia.org/w/index.php?search=%D0%A1%D1%82%D0%B0%D1%80%D0%B8%D0%BA%20%D0%B8%20%D0%B4%D0%B5%D1%80%D0%B5%D0%B2%D0%BE%201982%20%D1%84%D0%B8%D0%BB%D1%8C%D0%BC","искать")</f>
        <v/>
      </c>
      <c r="N3372" s="3" t="n"/>
      <c r="O3372" s="2" t="n"/>
      <c r="P3372" s="2" t="n"/>
    </row>
    <row r="3373">
      <c r="A3373" s="2" t="n">
        <v>3372</v>
      </c>
      <c r="B3373" s="2" t="inlineStr">
        <is>
          <t>короткая</t>
        </is>
      </c>
      <c r="C3373" s="2" t="n">
        <v>13109</v>
      </c>
      <c r="D3373" s="3" t="inlineStr">
        <is>
          <t>Хвастунишка петрикэ</t>
        </is>
      </c>
      <c r="E3373" s="2" t="n">
        <v>1973</v>
      </c>
      <c r="F3373" s="2" t="inlineStr">
        <is>
          <t>мультфильм</t>
        </is>
      </c>
      <c r="G3373" s="2" t="inlineStr">
        <is>
          <t>МОЛДОВА-ФИЛЬМ</t>
        </is>
      </c>
      <c r="H3373" s="2" t="n">
        <v>0</v>
      </c>
      <c r="I3373" s="2" t="inlineStr"/>
      <c r="J3373" s="2" t="inlineStr">
        <is>
          <t>?</t>
        </is>
      </c>
      <c r="K3373" s="3" t="inlineStr"/>
      <c r="L3373" s="2" t="inlineStr">
        <is>
          <t>https://animator.ru/db/?p=show_film&amp;fid=4341</t>
        </is>
      </c>
      <c r="M3373" s="2">
        <f>HYPERLINK("https://ru.wikipedia.org/w/index.php?search=%D0%A5%D0%B2%D0%B0%D1%81%D1%82%D1%83%D0%BD%D0%B8%D1%88%D0%BA%D0%B0%20%D0%BF%D0%B5%D1%82%D1%80%D0%B8%D0%BA%D1%8D%201973%20%D1%84%D0%B8%D0%BB%D1%8C%D0%BC","искать")</f>
        <v/>
      </c>
      <c r="N3373" s="3" t="n"/>
      <c r="O3373" s="2" t="n"/>
      <c r="P3373" s="2" t="n"/>
    </row>
    <row r="3374">
      <c r="A3374" s="2" t="n">
        <v>3373</v>
      </c>
      <c r="B3374" s="2" t="inlineStr">
        <is>
          <t>короткая</t>
        </is>
      </c>
      <c r="C3374" s="2" t="n">
        <v>13112</v>
      </c>
      <c r="D3374" s="3" t="inlineStr">
        <is>
          <t>Ученые рыболовы</t>
        </is>
      </c>
      <c r="E3374" s="2" t="n">
        <v>1978</v>
      </c>
      <c r="F3374" s="2" t="inlineStr">
        <is>
          <t>мультфильм</t>
        </is>
      </c>
      <c r="G3374" s="2" t="inlineStr">
        <is>
          <t>МОЛДОВА-ФИЛЬМ</t>
        </is>
      </c>
      <c r="H3374" s="2" t="n">
        <v>0</v>
      </c>
      <c r="I3374" s="2" t="inlineStr"/>
      <c r="J3374" s="2" t="inlineStr">
        <is>
          <t>?</t>
        </is>
      </c>
      <c r="K3374" s="3" t="inlineStr"/>
      <c r="L3374" s="2" t="inlineStr">
        <is>
          <t>https://animator.ru/db/?p=show_film&amp;fid=4344</t>
        </is>
      </c>
      <c r="M3374" s="2">
        <f>HYPERLINK("https://ru.wikipedia.org/w/index.php?search=%D0%A3%D1%87%D0%B5%D0%BD%D1%8B%D0%B5%20%D1%80%D1%8B%D0%B1%D0%BE%D0%BB%D0%BE%D0%B2%D1%8B%201978%20%D1%84%D0%B8%D0%BB%D1%8C%D0%BC","искать")</f>
        <v/>
      </c>
      <c r="N3374" s="3" t="n"/>
      <c r="O3374" s="2" t="n"/>
      <c r="P3374" s="2" t="n"/>
    </row>
    <row r="3375">
      <c r="A3375" s="2" t="n">
        <v>3374</v>
      </c>
      <c r="B3375" s="2" t="inlineStr">
        <is>
          <t>короткая</t>
        </is>
      </c>
      <c r="C3375" s="2" t="n">
        <v>13115</v>
      </c>
      <c r="D3375" s="3" t="inlineStr">
        <is>
          <t>Ветка клена</t>
        </is>
      </c>
      <c r="E3375" s="2" t="n">
        <v>1986</v>
      </c>
      <c r="F3375" s="2" t="inlineStr">
        <is>
          <t>мультфильм</t>
        </is>
      </c>
      <c r="G3375" s="2" t="inlineStr">
        <is>
          <t>МОЛДОВА-ФИЛЬМ</t>
        </is>
      </c>
      <c r="H3375" s="2" t="n">
        <v>0</v>
      </c>
      <c r="I3375" s="2" t="inlineStr"/>
      <c r="J3375" s="2" t="inlineStr">
        <is>
          <t>?</t>
        </is>
      </c>
      <c r="K3375" s="3" t="inlineStr"/>
      <c r="L3375" s="2" t="inlineStr">
        <is>
          <t>https://animator.ru/db/?p=show_film&amp;fid=4347</t>
        </is>
      </c>
      <c r="M3375" s="2">
        <f>HYPERLINK("https://ru.wikipedia.org/w/index.php?search=%D0%92%D0%B5%D1%82%D0%BA%D0%B0%20%D0%BA%D0%BB%D0%B5%D0%BD%D0%B0%201986%20%D1%84%D0%B8%D0%BB%D1%8C%D0%BC","искать")</f>
        <v/>
      </c>
      <c r="N3375" s="3" t="n"/>
      <c r="O3375" s="2" t="n"/>
      <c r="P3375" s="2" t="n"/>
    </row>
    <row r="3376">
      <c r="A3376" s="2" t="n">
        <v>3375</v>
      </c>
      <c r="B3376" s="2" t="inlineStr">
        <is>
          <t>короткая</t>
        </is>
      </c>
      <c r="C3376" s="2" t="n">
        <v>13117</v>
      </c>
      <c r="D3376" s="3" t="inlineStr">
        <is>
          <t>Коррида</t>
        </is>
      </c>
      <c r="E3376" s="2" t="n">
        <v>1986</v>
      </c>
      <c r="F3376" s="2" t="inlineStr">
        <is>
          <t>мультфильм</t>
        </is>
      </c>
      <c r="G3376" s="2" t="inlineStr">
        <is>
          <t>МОЛДОВА-ФИЛЬМ</t>
        </is>
      </c>
      <c r="H3376" s="2" t="n">
        <v>0</v>
      </c>
      <c r="I3376" s="2" t="inlineStr"/>
      <c r="J3376" s="2" t="inlineStr">
        <is>
          <t>?</t>
        </is>
      </c>
      <c r="K3376" s="3" t="inlineStr"/>
      <c r="L3376" s="2" t="inlineStr">
        <is>
          <t>https://animator.ru/db/?p=show_film&amp;fid=4349</t>
        </is>
      </c>
      <c r="M3376" s="2">
        <f>HYPERLINK("https://ru.wikipedia.org/w/index.php?search=%D0%9A%D0%BE%D1%80%D1%80%D0%B8%D0%B4%D0%B0%201986%20%D1%84%D0%B8%D0%BB%D1%8C%D0%BC","искать")</f>
        <v/>
      </c>
      <c r="N3376" s="3" t="n"/>
      <c r="O3376" s="2" t="n"/>
      <c r="P3376" s="2" t="n"/>
    </row>
    <row r="3377">
      <c r="A3377" s="2" t="n">
        <v>3376</v>
      </c>
      <c r="B3377" s="2" t="inlineStr">
        <is>
          <t>короткая</t>
        </is>
      </c>
      <c r="C3377" s="2" t="n">
        <v>13118</v>
      </c>
      <c r="D3377" s="3" t="inlineStr">
        <is>
          <t>Для вас</t>
        </is>
      </c>
      <c r="E3377" s="2" t="n">
        <v>1986</v>
      </c>
      <c r="F3377" s="2" t="inlineStr">
        <is>
          <t>мультфильм</t>
        </is>
      </c>
      <c r="G3377" s="2" t="inlineStr">
        <is>
          <t>МОЛДОВА-ФИЛЬМ</t>
        </is>
      </c>
      <c r="H3377" s="2" t="n">
        <v>0</v>
      </c>
      <c r="I3377" s="2" t="inlineStr"/>
      <c r="J3377" s="2" t="inlineStr">
        <is>
          <t>?</t>
        </is>
      </c>
      <c r="K3377" s="3" t="inlineStr"/>
      <c r="L3377" s="2" t="inlineStr">
        <is>
          <t>https://animator.ru/db/?p=show_film&amp;fid=4350</t>
        </is>
      </c>
      <c r="M3377" s="2">
        <f>HYPERLINK("https://ru.wikipedia.org/w/index.php?search=%D0%94%D0%BB%D1%8F%20%D0%B2%D0%B0%D1%81%201986%20%D1%84%D0%B8%D0%BB%D1%8C%D0%BC","искать")</f>
        <v/>
      </c>
      <c r="N3377" s="3" t="n"/>
      <c r="O3377" s="2" t="n"/>
      <c r="P3377" s="2" t="n"/>
    </row>
    <row r="3378">
      <c r="A3378" s="2" t="n">
        <v>3377</v>
      </c>
      <c r="B3378" s="2" t="inlineStr">
        <is>
          <t>короткая</t>
        </is>
      </c>
      <c r="C3378" s="2" t="n">
        <v>13119</v>
      </c>
      <c r="D3378" s="3" t="inlineStr">
        <is>
          <t>Леди и джентльмены. Ням-ням</t>
        </is>
      </c>
      <c r="E3378" s="2" t="n">
        <v>1986</v>
      </c>
      <c r="F3378" s="2" t="inlineStr">
        <is>
          <t>мультфильм</t>
        </is>
      </c>
      <c r="G3378" s="2" t="inlineStr">
        <is>
          <t>МОЛДОВА-ФИЛЬМ</t>
        </is>
      </c>
      <c r="H3378" s="2" t="n">
        <v>0</v>
      </c>
      <c r="I3378" s="2" t="inlineStr"/>
      <c r="J3378" s="2" t="inlineStr">
        <is>
          <t>?</t>
        </is>
      </c>
      <c r="K3378" s="3" t="inlineStr"/>
      <c r="L3378" s="2" t="inlineStr">
        <is>
          <t>https://animator.ru/db/?p=show_film&amp;fid=4351</t>
        </is>
      </c>
      <c r="M3378" s="2">
        <f>HYPERLINK("https://ru.wikipedia.org/w/index.php?search=%D0%9B%D0%B5%D0%B4%D0%B8%20%D0%B8%20%D0%B4%D0%B6%D0%B5%D0%BD%D1%82%D0%BB%D1%8C%D0%BC%D0%B5%D0%BD%D1%8B.%20%D0%9D%D1%8F%D0%BC-%D0%BD%D1%8F%D0%BC%201986%20%D1%84%D0%B8%D0%BB%D1%8C%D0%BC","искать")</f>
        <v/>
      </c>
      <c r="N3378" s="3" t="n"/>
      <c r="O3378" s="2" t="n"/>
      <c r="P3378" s="2" t="n"/>
    </row>
    <row r="3379">
      <c r="A3379" s="2" t="n">
        <v>3378</v>
      </c>
      <c r="B3379" s="2" t="inlineStr">
        <is>
          <t>короткая</t>
        </is>
      </c>
      <c r="C3379" s="2" t="n">
        <v>13121</v>
      </c>
      <c r="D3379" s="3" t="inlineStr">
        <is>
          <t>Сказка десятого этажа</t>
        </is>
      </c>
      <c r="E3379" s="2" t="n">
        <v>1986</v>
      </c>
      <c r="F3379" s="2" t="inlineStr">
        <is>
          <t>мультфильм</t>
        </is>
      </c>
      <c r="G3379" s="2" t="inlineStr">
        <is>
          <t>МОЛДОВА-ФИЛЬМ</t>
        </is>
      </c>
      <c r="H3379" s="2" t="n">
        <v>0</v>
      </c>
      <c r="I3379" s="2" t="inlineStr"/>
      <c r="J3379" s="2" t="inlineStr">
        <is>
          <t>?</t>
        </is>
      </c>
      <c r="K3379" s="3" t="inlineStr"/>
      <c r="L3379" s="2" t="inlineStr">
        <is>
          <t>https://animator.ru/db/?p=show_film&amp;fid=4353</t>
        </is>
      </c>
      <c r="M3379" s="2">
        <f>HYPERLINK("https://ru.wikipedia.org/w/index.php?search=%D0%A1%D0%BA%D0%B0%D0%B7%D0%BA%D0%B0%20%D0%B4%D0%B5%D1%81%D1%8F%D1%82%D0%BE%D0%B3%D0%BE%20%D1%8D%D1%82%D0%B0%D0%B6%D0%B0%201986%20%D1%84%D0%B8%D0%BB%D1%8C%D0%BC","искать")</f>
        <v/>
      </c>
      <c r="N3379" s="3" t="n"/>
      <c r="O3379" s="2" t="n"/>
      <c r="P3379" s="2" t="n"/>
    </row>
    <row r="3380">
      <c r="A3380" s="2" t="n">
        <v>3379</v>
      </c>
      <c r="B3380" s="2" t="inlineStr">
        <is>
          <t>короткая</t>
        </is>
      </c>
      <c r="C3380" s="2" t="n">
        <v>13138</v>
      </c>
      <c r="D3380" s="3" t="inlineStr">
        <is>
          <t>Про егора и ворону</t>
        </is>
      </c>
      <c r="E3380" s="2" t="n">
        <v>1983</v>
      </c>
      <c r="F3380" s="2" t="inlineStr">
        <is>
          <t>мультфильм</t>
        </is>
      </c>
      <c r="G3380" s="2" t="inlineStr">
        <is>
          <t>БЕЛАРУСЬФИЛЬМ НАЦИОНАЛЬНАЯ КИНОСТУДИЯ - ГП</t>
        </is>
      </c>
      <c r="H3380" s="2" t="n">
        <v>0</v>
      </c>
      <c r="I3380" s="2" t="inlineStr"/>
      <c r="J3380" s="2" t="inlineStr">
        <is>
          <t>?</t>
        </is>
      </c>
      <c r="K3380" s="3" t="inlineStr"/>
      <c r="L3380" s="2" t="inlineStr">
        <is>
          <t>https://animator.ru/db/?p=show_film&amp;fid=4370</t>
        </is>
      </c>
      <c r="M3380" s="2">
        <f>HYPERLINK("https://ru.wikipedia.org/w/index.php?search=%D0%9F%D1%80%D0%BE%20%D0%B5%D0%B3%D0%BE%D1%80%D0%B0%20%D0%B8%20%D0%B2%D0%BE%D1%80%D0%BE%D0%BD%D1%83%201983%20%D1%84%D0%B8%D0%BB%D1%8C%D0%BC","искать")</f>
        <v/>
      </c>
      <c r="N3380" s="3" t="n"/>
      <c r="O3380" s="2" t="n"/>
      <c r="P3380" s="2" t="n"/>
    </row>
    <row r="3381">
      <c r="A3381" s="2" t="n">
        <v>3380</v>
      </c>
      <c r="B3381" s="2" t="inlineStr">
        <is>
          <t>короткая</t>
        </is>
      </c>
      <c r="C3381" s="2" t="n">
        <v>13142</v>
      </c>
      <c r="D3381" s="3" t="inlineStr">
        <is>
          <t>Ковбойские игры</t>
        </is>
      </c>
      <c r="E3381" s="2" t="n">
        <v>1985</v>
      </c>
      <c r="F3381" s="2" t="inlineStr">
        <is>
          <t>мультфильм</t>
        </is>
      </c>
      <c r="G3381" s="2" t="inlineStr">
        <is>
          <t>БЕЛАРУСЬФИЛЬМ НАЦИОНАЛЬНАЯ КИНОСТУДИЯ - ГП</t>
        </is>
      </c>
      <c r="H3381" s="2" t="n">
        <v>0</v>
      </c>
      <c r="I3381" s="2" t="inlineStr"/>
      <c r="J3381" s="2" t="inlineStr">
        <is>
          <t>?</t>
        </is>
      </c>
      <c r="K3381" s="3" t="inlineStr"/>
      <c r="L3381" s="2" t="inlineStr">
        <is>
          <t>https://animator.ru/db/?p=show_film&amp;fid=4374</t>
        </is>
      </c>
      <c r="M3381" s="2">
        <f>HYPERLINK("https://ru.wikipedia.org/w/index.php?search=%D0%9A%D0%BE%D0%B2%D0%B1%D0%BE%D0%B9%D1%81%D0%BA%D0%B8%D0%B5%20%D0%B8%D0%B3%D1%80%D1%8B%201985%20%D1%84%D0%B8%D0%BB%D1%8C%D0%BC","искать")</f>
        <v/>
      </c>
      <c r="N3381" s="3" t="n"/>
      <c r="O3381" s="2" t="n"/>
      <c r="P3381" s="2" t="n"/>
    </row>
    <row r="3382">
      <c r="A3382" s="2" t="n">
        <v>3381</v>
      </c>
      <c r="B3382" s="2" t="inlineStr">
        <is>
          <t>короткая</t>
        </is>
      </c>
      <c r="C3382" s="2" t="n">
        <v>13146</v>
      </c>
      <c r="D3382" s="3" t="inlineStr">
        <is>
          <t>Просветленная ночь</t>
        </is>
      </c>
      <c r="E3382" s="2" t="n">
        <v>1988</v>
      </c>
      <c r="F3382" s="2" t="inlineStr">
        <is>
          <t>мультфильм</t>
        </is>
      </c>
      <c r="G3382" s="2" t="inlineStr">
        <is>
          <t>БЕЛАРУСЬФИЛЬМ НАЦИОНАЛЬНАЯ КИНОСТУДИЯ - ГП</t>
        </is>
      </c>
      <c r="H3382" s="2" t="n">
        <v>0</v>
      </c>
      <c r="I3382" s="2" t="inlineStr"/>
      <c r="J3382" s="2" t="inlineStr">
        <is>
          <t>?</t>
        </is>
      </c>
      <c r="K3382" s="3" t="inlineStr"/>
      <c r="L3382" s="2" t="inlineStr">
        <is>
          <t>https://animator.ru/db/?p=show_film&amp;fid=4378</t>
        </is>
      </c>
      <c r="M3382" s="2">
        <f>HYPERLINK("https://ru.wikipedia.org/w/index.php?search=%D0%9F%D1%80%D0%BE%D1%81%D0%B2%D0%B5%D1%82%D0%BB%D0%B5%D0%BD%D0%BD%D0%B0%D1%8F%20%D0%BD%D0%BE%D1%87%D1%8C%201988%20%D1%84%D0%B8%D0%BB%D1%8C%D0%BC","искать")</f>
        <v/>
      </c>
      <c r="N3382" s="3" t="n"/>
      <c r="O3382" s="2" t="n"/>
      <c r="P3382" s="2" t="n"/>
    </row>
    <row r="3383">
      <c r="A3383" s="2" t="n">
        <v>3382</v>
      </c>
      <c r="B3383" s="2" t="inlineStr">
        <is>
          <t>короткая</t>
        </is>
      </c>
      <c r="C3383" s="2" t="n">
        <v>13149</v>
      </c>
      <c r="D3383" s="3" t="inlineStr">
        <is>
          <t>Иллюзион</t>
        </is>
      </c>
      <c r="E3383" s="2" t="n">
        <v>1990</v>
      </c>
      <c r="F3383" s="2" t="inlineStr">
        <is>
          <t>мультфильм</t>
        </is>
      </c>
      <c r="G3383" s="2" t="inlineStr">
        <is>
          <t>БЕЛАРУСЬФИЛЬМ НАЦИОНАЛЬНАЯ КИНОСТУДИЯ - ГП</t>
        </is>
      </c>
      <c r="H3383" s="2" t="n">
        <v>0</v>
      </c>
      <c r="I3383" s="2" t="inlineStr"/>
      <c r="J3383" s="2" t="inlineStr">
        <is>
          <t>?</t>
        </is>
      </c>
      <c r="K3383" s="3" t="inlineStr"/>
      <c r="L3383" s="2" t="inlineStr">
        <is>
          <t>https://animator.ru/db/?p=show_film&amp;fid=4381</t>
        </is>
      </c>
      <c r="M3383" s="2">
        <f>HYPERLINK("https://ru.wikipedia.org/w/index.php?search=%D0%98%D0%BB%D0%BB%D1%8E%D0%B7%D0%B8%D0%BE%D0%BD%201990%20%D1%84%D0%B8%D0%BB%D1%8C%D0%BC","искать")</f>
        <v/>
      </c>
      <c r="N3383" s="3" t="n"/>
      <c r="O3383" s="2" t="n"/>
      <c r="P3383" s="2" t="n"/>
    </row>
    <row r="3384">
      <c r="A3384" s="2" t="n">
        <v>3383</v>
      </c>
      <c r="B3384" s="2" t="inlineStr">
        <is>
          <t>короткая</t>
        </is>
      </c>
      <c r="C3384" s="2" t="n">
        <v>13153</v>
      </c>
      <c r="D3384" s="3" t="inlineStr">
        <is>
          <t>Аффенди, осел и воры</t>
        </is>
      </c>
      <c r="E3384" s="2" t="n">
        <v>1972</v>
      </c>
      <c r="F3384" s="2" t="inlineStr">
        <is>
          <t>мультфильм</t>
        </is>
      </c>
      <c r="G3384" s="2" t="inlineStr">
        <is>
          <t>ТАДЖИКФИЛЬМ</t>
        </is>
      </c>
      <c r="H3384" s="2" t="n">
        <v>0</v>
      </c>
      <c r="I3384" s="2" t="inlineStr"/>
      <c r="J3384" s="2" t="inlineStr">
        <is>
          <t>?</t>
        </is>
      </c>
      <c r="K3384" s="3" t="inlineStr"/>
      <c r="L3384" s="2" t="inlineStr">
        <is>
          <t>https://animator.ru/db/?p=show_film&amp;fid=4390</t>
        </is>
      </c>
      <c r="M3384" s="2">
        <f>HYPERLINK("https://ru.wikipedia.org/w/index.php?search=%D0%90%D1%84%D1%84%D0%B5%D0%BD%D0%B4%D0%B8%2C%20%D0%BE%D1%81%D0%B5%D0%BB%20%D0%B8%20%D0%B2%D0%BE%D1%80%D1%8B%201972%20%D1%84%D0%B8%D0%BB%D1%8C%D0%BC","искать")</f>
        <v/>
      </c>
      <c r="N3384" s="3" t="n"/>
      <c r="O3384" s="2" t="n"/>
      <c r="P3384" s="2" t="n"/>
    </row>
    <row r="3385">
      <c r="A3385" s="2" t="n">
        <v>3384</v>
      </c>
      <c r="B3385" s="2" t="inlineStr">
        <is>
          <t>короткая</t>
        </is>
      </c>
      <c r="C3385" s="2" t="n">
        <v>13155</v>
      </c>
      <c r="D3385" s="3" t="inlineStr">
        <is>
          <t>Принцесса коз</t>
        </is>
      </c>
      <c r="E3385" s="2" t="n">
        <v>1985</v>
      </c>
      <c r="F3385" s="2" t="inlineStr">
        <is>
          <t>мультфильм</t>
        </is>
      </c>
      <c r="G3385" s="2" t="inlineStr">
        <is>
          <t>ТАДЖИКФИЛЬМ</t>
        </is>
      </c>
      <c r="H3385" s="2" t="n">
        <v>0</v>
      </c>
      <c r="I3385" s="2" t="inlineStr"/>
      <c r="J3385" s="2" t="inlineStr">
        <is>
          <t>?</t>
        </is>
      </c>
      <c r="K3385" s="3" t="inlineStr"/>
      <c r="L3385" s="2" t="inlineStr">
        <is>
          <t>https://animator.ru/db/?p=show_film&amp;fid=4392</t>
        </is>
      </c>
      <c r="M3385" s="2">
        <f>HYPERLINK("https://ru.wikipedia.org/w/index.php?search=%D0%9F%D1%80%D0%B8%D0%BD%D1%86%D0%B5%D1%81%D1%81%D0%B0%20%D0%BA%D0%BE%D0%B7%201985%20%D1%84%D0%B8%D0%BB%D1%8C%D0%BC","искать")</f>
        <v/>
      </c>
      <c r="N3385" s="3" t="n"/>
      <c r="O3385" s="2" t="n"/>
      <c r="P3385" s="2" t="n"/>
    </row>
    <row r="3386">
      <c r="A3386" s="2" t="n">
        <v>3385</v>
      </c>
      <c r="B3386" s="2" t="inlineStr">
        <is>
          <t>короткая</t>
        </is>
      </c>
      <c r="C3386" s="2" t="n">
        <v>13165</v>
      </c>
      <c r="D3386" s="3" t="inlineStr">
        <is>
          <t>Кирпич твой камень</t>
        </is>
      </c>
      <c r="E3386" s="2" t="n">
        <v>1990</v>
      </c>
      <c r="F3386" s="2" t="inlineStr">
        <is>
          <t>мультфильм</t>
        </is>
      </c>
      <c r="G3386" s="2" t="inlineStr">
        <is>
          <t>ТАДЖИКФИЛЬМ</t>
        </is>
      </c>
      <c r="H3386" s="2" t="n">
        <v>0</v>
      </c>
      <c r="I3386" s="2" t="inlineStr"/>
      <c r="J3386" s="2" t="inlineStr">
        <is>
          <t>?</t>
        </is>
      </c>
      <c r="K3386" s="3" t="inlineStr"/>
      <c r="L3386" s="2" t="inlineStr">
        <is>
          <t>https://animator.ru/db/?p=show_film&amp;fid=4402</t>
        </is>
      </c>
      <c r="M3386" s="2">
        <f>HYPERLINK("https://ru.wikipedia.org/w/index.php?search=%D0%9A%D0%B8%D1%80%D0%BF%D0%B8%D1%87%20%D1%82%D0%B2%D0%BE%D0%B9%20%D0%BA%D0%B0%D0%BC%D0%B5%D0%BD%D1%8C%201990%20%D1%84%D0%B8%D0%BB%D1%8C%D0%BC","искать")</f>
        <v/>
      </c>
      <c r="N3386" s="3" t="n"/>
      <c r="O3386" s="2" t="n"/>
      <c r="P3386" s="2" t="n"/>
    </row>
    <row r="3387">
      <c r="A3387" s="2" t="n">
        <v>3386</v>
      </c>
      <c r="B3387" s="2" t="inlineStr">
        <is>
          <t>короткая</t>
        </is>
      </c>
      <c r="C3387" s="2" t="n">
        <v>13166</v>
      </c>
      <c r="D3387" s="3" t="inlineStr">
        <is>
          <t>Плетка</t>
        </is>
      </c>
      <c r="E3387" s="2" t="n">
        <v>1989</v>
      </c>
      <c r="F3387" s="2" t="inlineStr">
        <is>
          <t>мультфильм</t>
        </is>
      </c>
      <c r="G3387" s="2" t="inlineStr">
        <is>
          <t>КИРГИЗФИЛЬМ</t>
        </is>
      </c>
      <c r="H3387" s="2" t="n">
        <v>0</v>
      </c>
      <c r="I3387" s="2" t="inlineStr"/>
      <c r="J3387" s="2" t="inlineStr">
        <is>
          <t>?</t>
        </is>
      </c>
      <c r="K3387" s="3" t="inlineStr"/>
      <c r="L3387" s="2" t="inlineStr">
        <is>
          <t>https://animator.ru/db/?p=show_film&amp;fid=4403</t>
        </is>
      </c>
      <c r="M3387" s="2">
        <f>HYPERLINK("https://ru.wikipedia.org/w/index.php?search=%D0%9F%D0%BB%D0%B5%D1%82%D0%BA%D0%B0%201989%20%D1%84%D0%B8%D0%BB%D1%8C%D0%BC","искать")</f>
        <v/>
      </c>
      <c r="N3387" s="3" t="n"/>
      <c r="O3387" s="2" t="n"/>
      <c r="P3387" s="2" t="n"/>
    </row>
    <row r="3388">
      <c r="A3388" s="2" t="n">
        <v>3387</v>
      </c>
      <c r="B3388" s="2" t="inlineStr">
        <is>
          <t>короткая</t>
        </is>
      </c>
      <c r="C3388" s="2" t="n">
        <v>13171</v>
      </c>
      <c r="D3388" s="3" t="inlineStr">
        <is>
          <t>Велосипедик убежал</t>
        </is>
      </c>
      <c r="E3388" s="2" t="n">
        <v>1984</v>
      </c>
      <c r="F3388" s="2" t="inlineStr">
        <is>
          <t>мультфильм</t>
        </is>
      </c>
      <c r="G3388" s="2" t="inlineStr">
        <is>
          <t>УЗБЕКФИЛЬМ</t>
        </is>
      </c>
      <c r="H3388" s="2" t="n">
        <v>0</v>
      </c>
      <c r="I3388" s="2" t="inlineStr"/>
      <c r="J3388" s="2" t="inlineStr">
        <is>
          <t>?</t>
        </is>
      </c>
      <c r="K3388" s="3" t="inlineStr"/>
      <c r="L3388" s="2" t="inlineStr">
        <is>
          <t>https://animator.ru/db/?p=show_film&amp;fid=4408</t>
        </is>
      </c>
      <c r="M3388" s="2">
        <f>HYPERLINK("https://ru.wikipedia.org/w/index.php?search=%D0%92%D0%B5%D0%BB%D0%BE%D1%81%D0%B8%D0%BF%D0%B5%D0%B4%D0%B8%D0%BA%20%D1%83%D0%B1%D0%B5%D0%B6%D0%B0%D0%BB%201984%20%D1%84%D0%B8%D0%BB%D1%8C%D0%BC","искать")</f>
        <v/>
      </c>
      <c r="N3388" s="3" t="n"/>
      <c r="O3388" s="2" t="n"/>
      <c r="P3388" s="2" t="n"/>
    </row>
    <row r="3389">
      <c r="A3389" s="2" t="n">
        <v>3388</v>
      </c>
      <c r="B3389" s="2" t="inlineStr">
        <is>
          <t>короткая</t>
        </is>
      </c>
      <c r="C3389" s="2" t="n">
        <v>13172</v>
      </c>
      <c r="D3389" s="3" t="inlineStr">
        <is>
          <t>Верные друзья</t>
        </is>
      </c>
      <c r="E3389" s="2" t="n">
        <v>1971</v>
      </c>
      <c r="F3389" s="2" t="inlineStr">
        <is>
          <t>мультфильм</t>
        </is>
      </c>
      <c r="G3389" s="2" t="inlineStr">
        <is>
          <t>УЗБЕКФИЛЬМ</t>
        </is>
      </c>
      <c r="H3389" s="2" t="n">
        <v>0</v>
      </c>
      <c r="I3389" s="2" t="inlineStr"/>
      <c r="J3389" s="2" t="inlineStr">
        <is>
          <t>?</t>
        </is>
      </c>
      <c r="K3389" s="3" t="inlineStr"/>
      <c r="L3389" s="2" t="inlineStr">
        <is>
          <t>https://animator.ru/db/?p=show_film&amp;fid=4409</t>
        </is>
      </c>
      <c r="M3389" s="2">
        <f>HYPERLINK("https://ru.wikipedia.org/w/index.php?search=%D0%92%D0%B5%D1%80%D0%BD%D1%8B%D0%B5%20%D0%B4%D1%80%D1%83%D0%B7%D1%8C%D1%8F%201971%20%D1%84%D0%B8%D0%BB%D1%8C%D0%BC","искать")</f>
        <v/>
      </c>
      <c r="N3389" s="3" t="n"/>
      <c r="O3389" s="2" t="n"/>
      <c r="P3389" s="2" t="n"/>
    </row>
    <row r="3390">
      <c r="A3390" s="2" t="n">
        <v>3389</v>
      </c>
      <c r="B3390" s="2" t="inlineStr">
        <is>
          <t>короткая</t>
        </is>
      </c>
      <c r="C3390" s="2" t="n">
        <v>13175</v>
      </c>
      <c r="D3390" s="3" t="inlineStr">
        <is>
          <t>Дороже золота</t>
        </is>
      </c>
      <c r="E3390" s="2" t="n">
        <v>1968</v>
      </c>
      <c r="F3390" s="2" t="inlineStr">
        <is>
          <t>мультфильм</t>
        </is>
      </c>
      <c r="G3390" s="2" t="inlineStr">
        <is>
          <t>УЗБЕКФИЛЬМ</t>
        </is>
      </c>
      <c r="H3390" s="2" t="n">
        <v>0</v>
      </c>
      <c r="I3390" s="2" t="inlineStr"/>
      <c r="J3390" s="2" t="inlineStr">
        <is>
          <t>?</t>
        </is>
      </c>
      <c r="K3390" s="3" t="inlineStr"/>
      <c r="L3390" s="2" t="inlineStr">
        <is>
          <t>https://animator.ru/db/?p=show_film&amp;fid=4414</t>
        </is>
      </c>
      <c r="M3390" s="2">
        <f>HYPERLINK("https://ru.wikipedia.org/w/index.php?search=%D0%94%D0%BE%D1%80%D0%BE%D0%B6%D0%B5%20%D0%B7%D0%BE%D0%BB%D0%BE%D1%82%D0%B0%201968%20%D1%84%D0%B8%D0%BB%D1%8C%D0%BC","искать")</f>
        <v/>
      </c>
      <c r="N3390" s="3" t="n"/>
      <c r="O3390" s="2" t="n"/>
      <c r="P3390" s="2" t="n"/>
    </row>
    <row r="3391">
      <c r="A3391" s="2" t="n">
        <v>3390</v>
      </c>
      <c r="B3391" s="2" t="inlineStr">
        <is>
          <t>короткая</t>
        </is>
      </c>
      <c r="C3391" s="2" t="n">
        <v>13177</v>
      </c>
      <c r="D3391" s="3" t="inlineStr">
        <is>
          <t>Как братья-пальцы поссорились</t>
        </is>
      </c>
      <c r="E3391" s="2" t="n">
        <v>1973</v>
      </c>
      <c r="F3391" s="2" t="inlineStr">
        <is>
          <t>мультфильм</t>
        </is>
      </c>
      <c r="G3391" s="2" t="inlineStr">
        <is>
          <t>УЗБЕКФИЛЬМ</t>
        </is>
      </c>
      <c r="H3391" s="2" t="n">
        <v>0</v>
      </c>
      <c r="I3391" s="2" t="inlineStr"/>
      <c r="J3391" s="2" t="inlineStr">
        <is>
          <t>?</t>
        </is>
      </c>
      <c r="K3391" s="3" t="inlineStr"/>
      <c r="L3391" s="2" t="inlineStr">
        <is>
          <t>https://animator.ru/db/?p=show_film&amp;fid=4416</t>
        </is>
      </c>
      <c r="M3391" s="2">
        <f>HYPERLINK("https://ru.wikipedia.org/w/index.php?search=%D0%9A%D0%B0%D0%BA%20%D0%B1%D1%80%D0%B0%D1%82%D1%8C%D1%8F-%D0%BF%D0%B0%D0%BB%D1%8C%D1%86%D1%8B%20%D0%BF%D0%BE%D1%81%D1%81%D0%BE%D1%80%D0%B8%D0%BB%D0%B8%D1%81%D1%8C%201973%20%D1%84%D0%B8%D0%BB%D1%8C%D0%BC","искать")</f>
        <v/>
      </c>
      <c r="N3391" s="3" t="n"/>
      <c r="O3391" s="2" t="n"/>
      <c r="P3391" s="2" t="n"/>
    </row>
    <row r="3392">
      <c r="A3392" s="2" t="n">
        <v>3391</v>
      </c>
      <c r="B3392" s="2" t="inlineStr">
        <is>
          <t>короткая</t>
        </is>
      </c>
      <c r="C3392" s="2" t="n">
        <v>13179</v>
      </c>
      <c r="D3392" s="3" t="inlineStr">
        <is>
          <t>Лиса и птица</t>
        </is>
      </c>
      <c r="E3392" s="2" t="n">
        <v>1971</v>
      </c>
      <c r="F3392" s="2" t="inlineStr">
        <is>
          <t>мультфильм</t>
        </is>
      </c>
      <c r="G3392" s="2" t="inlineStr">
        <is>
          <t>УЗБЕКФИЛЬМ</t>
        </is>
      </c>
      <c r="H3392" s="2" t="n">
        <v>0</v>
      </c>
      <c r="I3392" s="2" t="inlineStr"/>
      <c r="J3392" s="2" t="inlineStr">
        <is>
          <t>?</t>
        </is>
      </c>
      <c r="K3392" s="3" t="inlineStr"/>
      <c r="L3392" s="2" t="inlineStr">
        <is>
          <t>https://animator.ru/db/?p=show_film&amp;fid=4418</t>
        </is>
      </c>
      <c r="M3392" s="2">
        <f>HYPERLINK("https://ru.wikipedia.org/w/index.php?search=%D0%9B%D0%B8%D1%81%D0%B0%20%D0%B8%20%D0%BF%D1%82%D0%B8%D1%86%D0%B0%201971%20%D1%84%D0%B8%D0%BB%D1%8C%D0%BC","искать")</f>
        <v/>
      </c>
      <c r="N3392" s="3" t="n"/>
      <c r="O3392" s="2" t="n"/>
      <c r="P3392" s="2" t="n"/>
    </row>
    <row r="3393">
      <c r="A3393" s="2" t="n">
        <v>3392</v>
      </c>
      <c r="B3393" s="2" t="inlineStr">
        <is>
          <t>короткая</t>
        </is>
      </c>
      <c r="C3393" s="2" t="n">
        <v>13182</v>
      </c>
      <c r="D3393" s="3" t="inlineStr">
        <is>
          <t>МИШКА НА ПРОГУЛКЕё</t>
        </is>
      </c>
      <c r="E3393" s="2" t="n">
        <v>1970</v>
      </c>
      <c r="F3393" s="2" t="inlineStr">
        <is>
          <t>мультфильм</t>
        </is>
      </c>
      <c r="G3393" s="2" t="inlineStr">
        <is>
          <t>УЗБЕКФИЛЬМ</t>
        </is>
      </c>
      <c r="H3393" s="2" t="n">
        <v>0</v>
      </c>
      <c r="I3393" s="2" t="inlineStr"/>
      <c r="J3393" s="2" t="inlineStr">
        <is>
          <t>?</t>
        </is>
      </c>
      <c r="K3393" s="3" t="inlineStr"/>
      <c r="L3393" s="2" t="inlineStr">
        <is>
          <t>https://animator.ru/db/?p=show_film&amp;fid=4421</t>
        </is>
      </c>
      <c r="M3393" s="2">
        <f>HYPERLINK("https://ru.wikipedia.org/w/index.php?search=%D0%9C%D0%98%D0%A8%D0%9A%D0%90%20%D0%9D%D0%90%20%D0%9F%D0%A0%D0%9E%D0%93%D0%A3%D0%9B%D0%9A%D0%95%D1%91%201970%20%D1%84%D0%B8%D0%BB%D1%8C%D0%BC","искать")</f>
        <v/>
      </c>
      <c r="N3393" s="3" t="n"/>
      <c r="O3393" s="2" t="n"/>
      <c r="P3393" s="2" t="n"/>
    </row>
    <row r="3394">
      <c r="A3394" s="2" t="n">
        <v>3393</v>
      </c>
      <c r="B3394" s="2" t="inlineStr">
        <is>
          <t>короткая</t>
        </is>
      </c>
      <c r="C3394" s="2" t="n">
        <v>13183</v>
      </c>
      <c r="D3394" s="3" t="inlineStr">
        <is>
          <t>Необычайное приключение</t>
        </is>
      </c>
      <c r="E3394" s="2" t="n">
        <v>1966</v>
      </c>
      <c r="F3394" s="2" t="inlineStr">
        <is>
          <t>мультфильм</t>
        </is>
      </c>
      <c r="G3394" s="2" t="inlineStr">
        <is>
          <t>УЗБЕКФИЛЬМ</t>
        </is>
      </c>
      <c r="H3394" s="2" t="n">
        <v>0</v>
      </c>
      <c r="I3394" s="2" t="inlineStr"/>
      <c r="J3394" s="2" t="inlineStr">
        <is>
          <t>?</t>
        </is>
      </c>
      <c r="K3394" s="3" t="inlineStr"/>
      <c r="L3394" s="2" t="inlineStr">
        <is>
          <t>https://animator.ru/db/?p=show_film&amp;fid=4422</t>
        </is>
      </c>
      <c r="M3394" s="2">
        <f>HYPERLINK("https://ru.wikipedia.org/w/index.php?search=%D0%9D%D0%B5%D0%BE%D0%B1%D1%8B%D1%87%D0%B0%D0%B9%D0%BD%D0%BE%D0%B5%20%D0%BF%D1%80%D0%B8%D0%BA%D0%BB%D1%8E%D1%87%D0%B5%D0%BD%D0%B8%D0%B5%201966%20%D1%84%D0%B8%D0%BB%D1%8C%D0%BC","искать")</f>
        <v/>
      </c>
      <c r="N3394" s="3" t="n"/>
      <c r="O3394" s="2" t="n"/>
      <c r="P3394" s="2" t="n"/>
    </row>
    <row r="3395">
      <c r="A3395" s="2" t="n">
        <v>3394</v>
      </c>
      <c r="B3395" s="2" t="inlineStr">
        <is>
          <t>короткая</t>
        </is>
      </c>
      <c r="C3395" s="2" t="n">
        <v>13185</v>
      </c>
      <c r="D3395" s="3" t="inlineStr">
        <is>
          <t>Праздник урожая</t>
        </is>
      </c>
      <c r="E3395" s="2" t="n">
        <v>1974</v>
      </c>
      <c r="F3395" s="2" t="inlineStr">
        <is>
          <t>мультфильм</t>
        </is>
      </c>
      <c r="G3395" s="2" t="inlineStr">
        <is>
          <t>УЗБЕКФИЛЬМ</t>
        </is>
      </c>
      <c r="H3395" s="2" t="n">
        <v>0</v>
      </c>
      <c r="I3395" s="2" t="inlineStr"/>
      <c r="J3395" s="2" t="inlineStr">
        <is>
          <t>?</t>
        </is>
      </c>
      <c r="K3395" s="3" t="inlineStr"/>
      <c r="L3395" s="2" t="inlineStr">
        <is>
          <t>https://animator.ru/db/?p=show_film&amp;fid=4424</t>
        </is>
      </c>
      <c r="M3395" s="2">
        <f>HYPERLINK("https://ru.wikipedia.org/w/index.php?search=%D0%9F%D1%80%D0%B0%D0%B7%D0%B4%D0%BD%D0%B8%D0%BA%20%D1%83%D1%80%D0%BE%D0%B6%D0%B0%D1%8F%201974%20%D1%84%D0%B8%D0%BB%D1%8C%D0%BC","искать")</f>
        <v/>
      </c>
      <c r="N3395" s="3" t="n"/>
      <c r="O3395" s="2" t="n"/>
      <c r="P3395" s="2" t="n"/>
    </row>
    <row r="3396">
      <c r="A3396" s="2" t="n">
        <v>3395</v>
      </c>
      <c r="B3396" s="2" t="inlineStr">
        <is>
          <t>короткая</t>
        </is>
      </c>
      <c r="C3396" s="2" t="n">
        <v>13186</v>
      </c>
      <c r="D3396" s="3" t="inlineStr">
        <is>
          <t>Пружинкул</t>
        </is>
      </c>
      <c r="E3396" s="2" t="n">
        <v>1975</v>
      </c>
      <c r="F3396" s="2" t="inlineStr">
        <is>
          <t>мультфильм</t>
        </is>
      </c>
      <c r="G3396" s="2" t="inlineStr">
        <is>
          <t>УЗБЕКФИЛЬМ</t>
        </is>
      </c>
      <c r="H3396" s="2" t="n">
        <v>0</v>
      </c>
      <c r="I3396" s="2" t="inlineStr"/>
      <c r="J3396" s="2" t="inlineStr">
        <is>
          <t>?</t>
        </is>
      </c>
      <c r="K3396" s="3" t="inlineStr"/>
      <c r="L3396" s="2" t="inlineStr">
        <is>
          <t>https://animator.ru/db/?p=show_film&amp;fid=4425</t>
        </is>
      </c>
      <c r="M3396" s="2">
        <f>HYPERLINK("https://ru.wikipedia.org/w/index.php?search=%D0%9F%D1%80%D1%83%D0%B6%D0%B8%D0%BD%D0%BA%D1%83%D0%BB%201975%20%D1%84%D0%B8%D0%BB%D1%8C%D0%BC","искать")</f>
        <v/>
      </c>
      <c r="N3396" s="3" t="n"/>
      <c r="O3396" s="2" t="n"/>
      <c r="P3396" s="2" t="n"/>
    </row>
    <row r="3397">
      <c r="A3397" s="2" t="n">
        <v>3396</v>
      </c>
      <c r="B3397" s="2" t="inlineStr">
        <is>
          <t>короткая</t>
        </is>
      </c>
      <c r="C3397" s="2" t="n">
        <v>13187</v>
      </c>
      <c r="D3397" s="3" t="inlineStr">
        <is>
          <t>Рахим и жук</t>
        </is>
      </c>
      <c r="E3397" s="2" t="n">
        <v>1967</v>
      </c>
      <c r="F3397" s="2" t="inlineStr">
        <is>
          <t>мультфильм</t>
        </is>
      </c>
      <c r="G3397" s="2" t="inlineStr">
        <is>
          <t>УЗБЕКФИЛЬМ</t>
        </is>
      </c>
      <c r="H3397" s="2" t="n">
        <v>0</v>
      </c>
      <c r="I3397" s="2" t="inlineStr"/>
      <c r="J3397" s="2" t="inlineStr">
        <is>
          <t>?</t>
        </is>
      </c>
      <c r="K3397" s="3" t="inlineStr"/>
      <c r="L3397" s="2" t="inlineStr">
        <is>
          <t>https://animator.ru/db/?p=show_film&amp;fid=4426</t>
        </is>
      </c>
      <c r="M3397" s="2">
        <f>HYPERLINK("https://ru.wikipedia.org/w/index.php?search=%D0%A0%D0%B0%D1%85%D0%B8%D0%BC%20%D0%B8%20%D0%B6%D1%83%D0%BA%201967%20%D1%84%D0%B8%D0%BB%D1%8C%D0%BC","искать")</f>
        <v/>
      </c>
      <c r="N3397" s="3" t="n"/>
      <c r="O3397" s="2" t="n"/>
      <c r="P3397" s="2" t="n"/>
    </row>
    <row r="3398">
      <c r="A3398" s="2" t="n">
        <v>3397</v>
      </c>
      <c r="B3398" s="2" t="inlineStr">
        <is>
          <t>короткая</t>
        </is>
      </c>
      <c r="C3398" s="2" t="n">
        <v>13189</v>
      </c>
      <c r="D3398" s="3" t="inlineStr">
        <is>
          <t>Самый непослушный</t>
        </is>
      </c>
      <c r="E3398" s="2" t="n">
        <v>1976</v>
      </c>
      <c r="F3398" s="2" t="inlineStr">
        <is>
          <t>мультфильм</t>
        </is>
      </c>
      <c r="G3398" s="2" t="inlineStr">
        <is>
          <t>УЗБЕКФИЛЬМ</t>
        </is>
      </c>
      <c r="H3398" s="2" t="n">
        <v>0</v>
      </c>
      <c r="I3398" s="2" t="inlineStr"/>
      <c r="J3398" s="2" t="inlineStr">
        <is>
          <t>?</t>
        </is>
      </c>
      <c r="K3398" s="3" t="inlineStr"/>
      <c r="L3398" s="2" t="inlineStr">
        <is>
          <t>https://animator.ru/db/?p=show_film&amp;fid=4428</t>
        </is>
      </c>
      <c r="M3398" s="2">
        <f>HYPERLINK("https://ru.wikipedia.org/w/index.php?search=%D0%A1%D0%B0%D0%BC%D1%8B%D0%B9%20%D0%BD%D0%B5%D0%BF%D0%BE%D1%81%D0%BB%D1%83%D1%88%D0%BD%D1%8B%D0%B9%201976%20%D1%84%D0%B8%D0%BB%D1%8C%D0%BC","искать")</f>
        <v/>
      </c>
      <c r="N3398" s="3" t="n"/>
      <c r="O3398" s="2" t="n"/>
      <c r="P3398" s="2" t="n"/>
    </row>
    <row r="3399">
      <c r="A3399" s="2" t="n">
        <v>3398</v>
      </c>
      <c r="B3399" s="2" t="inlineStr">
        <is>
          <t>короткая</t>
        </is>
      </c>
      <c r="C3399" s="2" t="n">
        <v>13190</v>
      </c>
      <c r="D3399" s="3" t="inlineStr">
        <is>
          <t>Сказка о пастухе и прекрасной принцессе</t>
        </is>
      </c>
      <c r="E3399" s="2" t="n">
        <v>1974</v>
      </c>
      <c r="F3399" s="2" t="inlineStr">
        <is>
          <t>мультфильм</t>
        </is>
      </c>
      <c r="G3399" s="2" t="inlineStr">
        <is>
          <t>УЗБЕКФИЛЬМ</t>
        </is>
      </c>
      <c r="H3399" s="2" t="n">
        <v>0</v>
      </c>
      <c r="I3399" s="2" t="inlineStr"/>
      <c r="J3399" s="2" t="inlineStr">
        <is>
          <t>?</t>
        </is>
      </c>
      <c r="K3399" s="3" t="inlineStr"/>
      <c r="L3399" s="2" t="inlineStr">
        <is>
          <t>https://animator.ru/db/?p=show_film&amp;fid=4429</t>
        </is>
      </c>
      <c r="M3399" s="2">
        <f>HYPERLINK("https://ru.wikipedia.org/w/index.php?search=%D0%A1%D0%BA%D0%B0%D0%B7%D0%BA%D0%B0%20%D0%BE%20%D0%BF%D0%B0%D1%81%D1%82%D1%83%D1%85%D0%B5%20%D0%B8%20%D0%BF%D1%80%D0%B5%D0%BA%D1%80%D0%B0%D1%81%D0%BD%D0%BE%D0%B9%20%D0%BF%D1%80%D0%B8%D0%BD%D1%86%D0%B5%D1%81%D1%81%D0%B5%201974%20%D1%84%D0%B8%D0%BB%D1%8C%D0%BC","искать")</f>
        <v/>
      </c>
      <c r="N3399" s="3" t="n"/>
      <c r="O3399" s="2" t="n"/>
      <c r="P3399" s="2" t="n"/>
    </row>
    <row r="3400">
      <c r="A3400" s="2" t="n">
        <v>3399</v>
      </c>
      <c r="B3400" s="2" t="inlineStr">
        <is>
          <t>короткая</t>
        </is>
      </c>
      <c r="C3400" s="2" t="n">
        <v>13197</v>
      </c>
      <c r="D3400" s="3" t="inlineStr">
        <is>
          <t>Этот храбрый зайчонок</t>
        </is>
      </c>
      <c r="E3400" s="2" t="n">
        <v>1974</v>
      </c>
      <c r="F3400" s="2" t="inlineStr">
        <is>
          <t>мультфильм</t>
        </is>
      </c>
      <c r="G3400" s="2" t="inlineStr">
        <is>
          <t>УЗБЕКФИЛЬМ</t>
        </is>
      </c>
      <c r="H3400" s="2" t="n">
        <v>0</v>
      </c>
      <c r="I3400" s="2" t="inlineStr"/>
      <c r="J3400" s="2" t="inlineStr">
        <is>
          <t>?</t>
        </is>
      </c>
      <c r="K3400" s="3" t="inlineStr"/>
      <c r="L3400" s="2" t="inlineStr">
        <is>
          <t>https://animator.ru/db/?p=show_film&amp;fid=4436</t>
        </is>
      </c>
      <c r="M3400" s="2">
        <f>HYPERLINK("https://ru.wikipedia.org/w/index.php?search=%D0%AD%D1%82%D0%BE%D1%82%20%D1%85%D1%80%D0%B0%D0%B1%D1%80%D1%8B%D0%B9%20%D0%B7%D0%B0%D0%B9%D1%87%D0%BE%D0%BD%D0%BE%D0%BA%201974%20%D1%84%D0%B8%D0%BB%D1%8C%D0%BC","искать")</f>
        <v/>
      </c>
      <c r="N3400" s="3" t="n"/>
      <c r="O3400" s="2" t="n"/>
      <c r="P3400" s="2" t="n"/>
    </row>
    <row r="3401">
      <c r="A3401" s="2" t="n">
        <v>3400</v>
      </c>
      <c r="B3401" s="2" t="inlineStr">
        <is>
          <t>короткая</t>
        </is>
      </c>
      <c r="C3401" s="2" t="n">
        <v>13198</v>
      </c>
      <c r="D3401" s="3" t="inlineStr">
        <is>
          <t>Арба</t>
        </is>
      </c>
      <c r="E3401" s="2" t="n">
        <v>1978</v>
      </c>
      <c r="F3401" s="2" t="inlineStr">
        <is>
          <t>мультфильм</t>
        </is>
      </c>
      <c r="G3401" s="2" t="inlineStr">
        <is>
          <t>УЗБЕКФИЛЬМ</t>
        </is>
      </c>
      <c r="H3401" s="2" t="n">
        <v>0</v>
      </c>
      <c r="I3401" s="2" t="inlineStr"/>
      <c r="J3401" s="2" t="inlineStr">
        <is>
          <t>?</t>
        </is>
      </c>
      <c r="K3401" s="3" t="inlineStr"/>
      <c r="L3401" s="2" t="inlineStr">
        <is>
          <t>https://animator.ru/db/?p=show_film&amp;fid=4437</t>
        </is>
      </c>
      <c r="M3401" s="2">
        <f>HYPERLINK("https://ru.wikipedia.org/w/index.php?search=%D0%90%D1%80%D0%B1%D0%B0%201978%20%D1%84%D0%B8%D0%BB%D1%8C%D0%BC","искать")</f>
        <v/>
      </c>
      <c r="N3401" s="3" t="n"/>
      <c r="O3401" s="2" t="n"/>
      <c r="P3401" s="2" t="n"/>
    </row>
    <row r="3402">
      <c r="A3402" s="2" t="n">
        <v>3401</v>
      </c>
      <c r="B3402" s="2" t="inlineStr">
        <is>
          <t>короткая</t>
        </is>
      </c>
      <c r="C3402" s="2" t="n">
        <v>13200</v>
      </c>
      <c r="D3402" s="3" t="inlineStr">
        <is>
          <t>Маленький птицелов</t>
        </is>
      </c>
      <c r="E3402" s="2" t="n">
        <v>1985</v>
      </c>
      <c r="F3402" s="2" t="inlineStr">
        <is>
          <t>мультфильм</t>
        </is>
      </c>
      <c r="G3402" s="2" t="inlineStr">
        <is>
          <t>УЗБЕКФИЛЬМ</t>
        </is>
      </c>
      <c r="H3402" s="2" t="n">
        <v>0</v>
      </c>
      <c r="I3402" s="2" t="inlineStr"/>
      <c r="J3402" s="2" t="inlineStr">
        <is>
          <t>?</t>
        </is>
      </c>
      <c r="K3402" s="3" t="inlineStr"/>
      <c r="L3402" s="2" t="inlineStr">
        <is>
          <t>https://animator.ru/db/?p=show_film&amp;fid=4439</t>
        </is>
      </c>
      <c r="M3402" s="2">
        <f>HYPERLINK("https://ru.wikipedia.org/w/index.php?search=%D0%9C%D0%B0%D0%BB%D0%B5%D0%BD%D1%8C%D0%BA%D0%B8%D0%B9%20%D0%BF%D1%82%D0%B8%D1%86%D0%B5%D0%BB%D0%BE%D0%B2%201985%20%D1%84%D0%B8%D0%BB%D1%8C%D0%BC","искать")</f>
        <v/>
      </c>
      <c r="N3402" s="3" t="n"/>
      <c r="O3402" s="2" t="n"/>
      <c r="P3402" s="2" t="n"/>
    </row>
    <row r="3403">
      <c r="A3403" s="2" t="n">
        <v>3402</v>
      </c>
      <c r="B3403" s="2" t="inlineStr">
        <is>
          <t>короткая</t>
        </is>
      </c>
      <c r="C3403" s="2" t="n">
        <v>13204</v>
      </c>
      <c r="D3403" s="3" t="inlineStr">
        <is>
          <t>Жил-был ослик</t>
        </is>
      </c>
      <c r="E3403" s="2" t="n">
        <v>1986</v>
      </c>
      <c r="F3403" s="2" t="inlineStr">
        <is>
          <t>мультфильм</t>
        </is>
      </c>
      <c r="G3403" s="2" t="inlineStr">
        <is>
          <t>УЗБЕКФИЛЬМ</t>
        </is>
      </c>
      <c r="H3403" s="2" t="n">
        <v>0</v>
      </c>
      <c r="I3403" s="2" t="inlineStr"/>
      <c r="J3403" s="2" t="inlineStr">
        <is>
          <t>?</t>
        </is>
      </c>
      <c r="K3403" s="3" t="inlineStr"/>
      <c r="L3403" s="2" t="inlineStr">
        <is>
          <t>https://animator.ru/db/?p=show_film&amp;fid=4443</t>
        </is>
      </c>
      <c r="M3403" s="2">
        <f>HYPERLINK("https://ru.wikipedia.org/w/index.php?search=%D0%96%D0%B8%D0%BB-%D0%B1%D1%8B%D0%BB%20%D0%BE%D1%81%D0%BB%D0%B8%D0%BA%201986%20%D1%84%D0%B8%D0%BB%D1%8C%D0%BC","искать")</f>
        <v/>
      </c>
      <c r="N3403" s="3" t="n"/>
      <c r="O3403" s="2" t="n"/>
      <c r="P3403" s="2" t="n"/>
    </row>
    <row r="3404">
      <c r="A3404" s="2" t="n">
        <v>3403</v>
      </c>
      <c r="B3404" s="2" t="inlineStr">
        <is>
          <t>короткая</t>
        </is>
      </c>
      <c r="C3404" s="2" t="n">
        <v>13205</v>
      </c>
      <c r="D3404" s="3" t="inlineStr">
        <is>
          <t>Во дворе</t>
        </is>
      </c>
      <c r="E3404" s="2" t="n">
        <v>1986</v>
      </c>
      <c r="F3404" s="2" t="inlineStr">
        <is>
          <t>мультфильм</t>
        </is>
      </c>
      <c r="G3404" s="2" t="inlineStr">
        <is>
          <t>УЗБЕКФИЛЬМ</t>
        </is>
      </c>
      <c r="H3404" s="2" t="n">
        <v>0</v>
      </c>
      <c r="I3404" s="2" t="inlineStr"/>
      <c r="J3404" s="2" t="inlineStr">
        <is>
          <t>?</t>
        </is>
      </c>
      <c r="K3404" s="3" t="inlineStr"/>
      <c r="L3404" s="2" t="inlineStr">
        <is>
          <t>https://animator.ru/db/?p=show_film&amp;fid=4444</t>
        </is>
      </c>
      <c r="M3404" s="2">
        <f>HYPERLINK("https://ru.wikipedia.org/w/index.php?search=%D0%92%D0%BE%20%D0%B4%D0%B2%D0%BE%D1%80%D0%B5%201986%20%D1%84%D0%B8%D0%BB%D1%8C%D0%BC","искать")</f>
        <v/>
      </c>
      <c r="N3404" s="3" t="n"/>
      <c r="O3404" s="2" t="n"/>
      <c r="P3404" s="2" t="n"/>
    </row>
    <row r="3405">
      <c r="A3405" s="2" t="n">
        <v>3404</v>
      </c>
      <c r="B3405" s="2" t="inlineStr">
        <is>
          <t>короткая</t>
        </is>
      </c>
      <c r="C3405" s="2" t="n">
        <v>13208</v>
      </c>
      <c r="D3405" s="3" t="inlineStr">
        <is>
          <t>Плывущее яблоко</t>
        </is>
      </c>
      <c r="E3405" s="2" t="n">
        <v>1988</v>
      </c>
      <c r="F3405" s="2" t="inlineStr">
        <is>
          <t>мультфильм</t>
        </is>
      </c>
      <c r="G3405" s="2" t="inlineStr">
        <is>
          <t>КИРГИЗФИЛЬМ</t>
        </is>
      </c>
      <c r="H3405" s="2" t="n">
        <v>0</v>
      </c>
      <c r="I3405" s="2" t="inlineStr"/>
      <c r="J3405" s="2" t="inlineStr">
        <is>
          <t>?</t>
        </is>
      </c>
      <c r="K3405" s="3" t="inlineStr"/>
      <c r="L3405" s="2" t="inlineStr">
        <is>
          <t>https://animator.ru/db/?p=show_film&amp;fid=4447</t>
        </is>
      </c>
      <c r="M3405" s="2">
        <f>HYPERLINK("https://ru.wikipedia.org/w/index.php?search=%D0%9F%D0%BB%D1%8B%D0%B2%D1%83%D1%89%D0%B5%D0%B5%20%D1%8F%D0%B1%D0%BB%D0%BE%D0%BA%D0%BE%201988%20%D1%84%D0%B8%D0%BB%D1%8C%D0%BC","искать")</f>
        <v/>
      </c>
      <c r="N3405" s="3" t="n"/>
      <c r="O3405" s="2" t="n"/>
      <c r="P3405" s="2" t="n"/>
    </row>
    <row r="3406">
      <c r="A3406" s="2" t="n">
        <v>3405</v>
      </c>
      <c r="B3406" s="2" t="inlineStr">
        <is>
          <t>короткая</t>
        </is>
      </c>
      <c r="C3406" s="2" t="n">
        <v>13210</v>
      </c>
      <c r="D3406" s="3" t="inlineStr">
        <is>
          <t>Дым</t>
        </is>
      </c>
      <c r="E3406" s="2" t="n">
        <v>1988</v>
      </c>
      <c r="F3406" s="2" t="inlineStr">
        <is>
          <t>мультфильм</t>
        </is>
      </c>
      <c r="G3406" s="2" t="inlineStr">
        <is>
          <t>МОЛДОВА-ФИЛЬМ</t>
        </is>
      </c>
      <c r="H3406" s="2" t="n">
        <v>0</v>
      </c>
      <c r="I3406" s="2" t="inlineStr"/>
      <c r="J3406" s="2" t="inlineStr">
        <is>
          <t>?</t>
        </is>
      </c>
      <c r="K3406" s="3" t="inlineStr"/>
      <c r="L3406" s="2" t="inlineStr">
        <is>
          <t>https://animator.ru/db/?p=show_film&amp;fid=4449</t>
        </is>
      </c>
      <c r="M3406" s="2">
        <f>HYPERLINK("https://ru.wikipedia.org/w/index.php?search=%D0%94%D1%8B%D0%BC%201988%20%D1%84%D0%B8%D0%BB%D1%8C%D0%BC","искать")</f>
        <v/>
      </c>
      <c r="N3406" s="3" t="n"/>
      <c r="O3406" s="2" t="n"/>
      <c r="P3406" s="2" t="n"/>
    </row>
    <row r="3407">
      <c r="A3407" s="2" t="n">
        <v>3406</v>
      </c>
      <c r="B3407" s="2" t="inlineStr">
        <is>
          <t>короткая</t>
        </is>
      </c>
      <c r="C3407" s="2" t="n">
        <v>13211</v>
      </c>
      <c r="D3407" s="3" t="inlineStr">
        <is>
          <t>Под знаком вопроса</t>
        </is>
      </c>
      <c r="E3407" s="2" t="n">
        <v>1988</v>
      </c>
      <c r="F3407" s="2" t="inlineStr">
        <is>
          <t>мультфильм</t>
        </is>
      </c>
      <c r="G3407" s="2" t="inlineStr">
        <is>
          <t>МОЛДОВА-ФИЛЬМ</t>
        </is>
      </c>
      <c r="H3407" s="2" t="n">
        <v>0</v>
      </c>
      <c r="I3407" s="2" t="inlineStr"/>
      <c r="J3407" s="2" t="inlineStr">
        <is>
          <t>?</t>
        </is>
      </c>
      <c r="K3407" s="3" t="inlineStr"/>
      <c r="L3407" s="2" t="inlineStr">
        <is>
          <t>https://animator.ru/db/?p=show_film&amp;fid=4450</t>
        </is>
      </c>
      <c r="M3407" s="2">
        <f>HYPERLINK("https://ru.wikipedia.org/w/index.php?search=%D0%9F%D0%BE%D0%B4%20%D0%B7%D0%BD%D0%B0%D0%BA%D0%BE%D0%BC%20%D0%B2%D0%BE%D0%BF%D1%80%D0%BE%D1%81%D0%B0%201988%20%D1%84%D0%B8%D0%BB%D1%8C%D0%BC","искать")</f>
        <v/>
      </c>
      <c r="N3407" s="3" t="n"/>
      <c r="O3407" s="2" t="n"/>
      <c r="P3407" s="2" t="n"/>
    </row>
    <row r="3408">
      <c r="A3408" s="2" t="n">
        <v>3407</v>
      </c>
      <c r="B3408" s="2" t="inlineStr">
        <is>
          <t>короткая</t>
        </is>
      </c>
      <c r="C3408" s="2" t="n">
        <v>13212</v>
      </c>
      <c r="D3408" s="3" t="inlineStr">
        <is>
          <t>Железное дерево</t>
        </is>
      </c>
      <c r="E3408" s="2" t="n">
        <v>1988</v>
      </c>
      <c r="F3408" s="2" t="inlineStr">
        <is>
          <t>мультфильм</t>
        </is>
      </c>
      <c r="G3408" s="2" t="inlineStr">
        <is>
          <t>УЗБЕКФИЛЬМ</t>
        </is>
      </c>
      <c r="H3408" s="2" t="n">
        <v>0</v>
      </c>
      <c r="I3408" s="2" t="inlineStr"/>
      <c r="J3408" s="2" t="inlineStr">
        <is>
          <t>?</t>
        </is>
      </c>
      <c r="K3408" s="3" t="inlineStr"/>
      <c r="L3408" s="2" t="inlineStr">
        <is>
          <t>https://animator.ru/db/?p=show_film&amp;fid=4451</t>
        </is>
      </c>
      <c r="M3408" s="2">
        <f>HYPERLINK("https://ru.wikipedia.org/w/index.php?search=%D0%96%D0%B5%D0%BB%D0%B5%D0%B7%D0%BD%D0%BE%D0%B5%20%D0%B4%D0%B5%D1%80%D0%B5%D0%B2%D0%BE%201988%20%D1%84%D0%B8%D0%BB%D1%8C%D0%BC","искать")</f>
        <v/>
      </c>
      <c r="N3408" s="3" t="n"/>
      <c r="O3408" s="2" t="n"/>
      <c r="P3408" s="2" t="n"/>
    </row>
    <row r="3409">
      <c r="A3409" s="2" t="n">
        <v>3408</v>
      </c>
      <c r="B3409" s="2" t="inlineStr">
        <is>
          <t>короткая</t>
        </is>
      </c>
      <c r="C3409" s="2" t="n">
        <v>13220</v>
      </c>
      <c r="D3409" s="3" t="inlineStr">
        <is>
          <t>Песня гор</t>
        </is>
      </c>
      <c r="E3409" s="2" t="n">
        <v>1969</v>
      </c>
      <c r="F3409" s="2" t="inlineStr">
        <is>
          <t>мультфильм</t>
        </is>
      </c>
      <c r="G3409" s="2" t="inlineStr">
        <is>
          <t>ТАДЖИКФИЛЬМ</t>
        </is>
      </c>
      <c r="H3409" s="2" t="n">
        <v>0</v>
      </c>
      <c r="I3409" s="2" t="inlineStr"/>
      <c r="J3409" s="2" t="inlineStr">
        <is>
          <t>?</t>
        </is>
      </c>
      <c r="K3409" s="3" t="inlineStr"/>
      <c r="L3409" s="2" t="inlineStr">
        <is>
          <t>https://animator.ru/db/?p=show_film&amp;fid=4459</t>
        </is>
      </c>
      <c r="M3409" s="2">
        <f>HYPERLINK("https://ru.wikipedia.org/w/index.php?search=%D0%9F%D0%B5%D1%81%D0%BD%D1%8F%20%D0%B3%D0%BE%D1%80%201969%20%D1%84%D0%B8%D0%BB%D1%8C%D0%BC","искать")</f>
        <v/>
      </c>
      <c r="N3409" s="3" t="n"/>
      <c r="O3409" s="2" t="n"/>
      <c r="P3409" s="2" t="n"/>
    </row>
    <row r="3410">
      <c r="A3410" s="2" t="n">
        <v>3409</v>
      </c>
      <c r="B3410" s="2" t="inlineStr">
        <is>
          <t>короткая</t>
        </is>
      </c>
      <c r="C3410" s="2" t="n">
        <v>13229</v>
      </c>
      <c r="D3410" s="3" t="inlineStr">
        <is>
          <t>Где растут звездочки</t>
        </is>
      </c>
      <c r="E3410" s="2" t="n">
        <v>1974</v>
      </c>
      <c r="F3410" s="2" t="inlineStr">
        <is>
          <t>мультфильм</t>
        </is>
      </c>
      <c r="G3410" s="2" t="inlineStr">
        <is>
          <t>ТАЛЛИННФИЛЬМ</t>
        </is>
      </c>
      <c r="H3410" s="2" t="n">
        <v>0</v>
      </c>
      <c r="I3410" s="2" t="inlineStr"/>
      <c r="J3410" s="2" t="inlineStr">
        <is>
          <t>?</t>
        </is>
      </c>
      <c r="K3410" s="3" t="inlineStr"/>
      <c r="L3410" s="2" t="inlineStr">
        <is>
          <t>https://animator.ru/db/?p=show_film&amp;fid=4469</t>
        </is>
      </c>
      <c r="M3410" s="2">
        <f>HYPERLINK("https://ru.wikipedia.org/w/index.php?search=%D0%93%D0%B4%D0%B5%20%D1%80%D0%B0%D1%81%D1%82%D1%83%D1%82%20%D0%B7%D0%B2%D0%B5%D0%B7%D0%B4%D0%BE%D1%87%D0%BA%D0%B8%201974%20%D1%84%D0%B8%D0%BB%D1%8C%D0%BC","искать")</f>
        <v/>
      </c>
      <c r="N3410" s="3" t="n"/>
      <c r="O3410" s="2" t="n"/>
      <c r="P3410" s="2" t="n"/>
    </row>
    <row r="3411">
      <c r="A3411" s="2" t="n">
        <v>3410</v>
      </c>
      <c r="B3411" s="2" t="inlineStr">
        <is>
          <t>короткая</t>
        </is>
      </c>
      <c r="C3411" s="2" t="n">
        <v>13235</v>
      </c>
      <c r="D3411" s="3" t="inlineStr">
        <is>
          <t>КАРАУЛ, ЦЕЛУЮТСЯ! ("Фитиль"N 48)</t>
        </is>
      </c>
      <c r="E3411" s="2" t="n">
        <v>1966</v>
      </c>
      <c r="F3411" s="2" t="inlineStr">
        <is>
          <t>мультфильм</t>
        </is>
      </c>
      <c r="G3411" s="2" t="inlineStr">
        <is>
          <t>ТАЛЛИННФИЛЬМ</t>
        </is>
      </c>
      <c r="H3411" s="2" t="n">
        <v>0</v>
      </c>
      <c r="I3411" s="2" t="inlineStr"/>
      <c r="J3411" s="2" t="inlineStr">
        <is>
          <t>?</t>
        </is>
      </c>
      <c r="K3411" s="3" t="inlineStr"/>
      <c r="L3411" s="2" t="inlineStr">
        <is>
          <t>https://animator.ru/db/?p=show_film&amp;fid=4477</t>
        </is>
      </c>
      <c r="M3411" s="2">
        <f>HYPERLINK("https://ru.wikipedia.org/w/index.php?search=%D0%9A%D0%90%D0%A0%D0%90%D0%A3%D0%9B%2C%20%D0%A6%D0%95%D0%9B%D0%A3%D0%AE%D0%A2%D0%A1%D0%AF%21%20%28%22%D0%A4%D0%B8%D1%82%D0%B8%D0%BB%D1%8C%22N%2048%29%201966%20%D1%84%D0%B8%D0%BB%D1%8C%D0%BC","искать")</f>
        <v/>
      </c>
      <c r="N3411" s="3" t="n"/>
      <c r="O3411" s="2" t="n"/>
      <c r="P3411" s="2" t="n"/>
    </row>
    <row r="3412">
      <c r="A3412" s="2" t="n">
        <v>3411</v>
      </c>
      <c r="B3412" s="2" t="inlineStr">
        <is>
          <t>короткая</t>
        </is>
      </c>
      <c r="C3412" s="2" t="n">
        <v>13241</v>
      </c>
      <c r="D3412" s="3" t="inlineStr">
        <is>
          <t>Мелочь</t>
        </is>
      </c>
      <c r="E3412" s="2" t="n">
        <v>1975</v>
      </c>
      <c r="F3412" s="2" t="inlineStr">
        <is>
          <t>мультфильм</t>
        </is>
      </c>
      <c r="G3412" s="2" t="inlineStr">
        <is>
          <t>ТАЛЛИННФИЛЬМ</t>
        </is>
      </c>
      <c r="H3412" s="2" t="n">
        <v>0</v>
      </c>
      <c r="I3412" s="2" t="inlineStr"/>
      <c r="J3412" s="2" t="inlineStr">
        <is>
          <t>?</t>
        </is>
      </c>
      <c r="K3412" s="3" t="inlineStr"/>
      <c r="L3412" s="2" t="inlineStr">
        <is>
          <t>https://animator.ru/db/?p=show_film&amp;fid=4485</t>
        </is>
      </c>
      <c r="M3412" s="2">
        <f>HYPERLINK("https://ru.wikipedia.org/w/index.php?search=%D0%9C%D0%B5%D0%BB%D0%BE%D1%87%D1%8C%201975%20%D1%84%D0%B8%D0%BB%D1%8C%D0%BC","искать")</f>
        <v/>
      </c>
      <c r="N3412" s="3" t="n"/>
      <c r="O3412" s="2" t="n"/>
      <c r="P3412" s="2" t="n"/>
    </row>
    <row r="3413">
      <c r="A3413" s="2" t="n">
        <v>3412</v>
      </c>
      <c r="B3413" s="2" t="inlineStr">
        <is>
          <t>короткая</t>
        </is>
      </c>
      <c r="C3413" s="2" t="n">
        <v>13244</v>
      </c>
      <c r="D3413" s="3" t="inlineStr">
        <is>
          <t>Новые друзья</t>
        </is>
      </c>
      <c r="E3413" s="2" t="n">
        <v>1973</v>
      </c>
      <c r="F3413" s="2" t="inlineStr">
        <is>
          <t>мультфильм</t>
        </is>
      </c>
      <c r="G3413" s="2" t="inlineStr">
        <is>
          <t>ТАЛЛИННФИЛЬМ</t>
        </is>
      </c>
      <c r="H3413" s="2" t="n">
        <v>0</v>
      </c>
      <c r="I3413" s="2" t="inlineStr"/>
      <c r="J3413" s="2" t="inlineStr">
        <is>
          <t>?</t>
        </is>
      </c>
      <c r="K3413" s="3" t="inlineStr"/>
      <c r="L3413" s="2" t="inlineStr">
        <is>
          <t>https://animator.ru/db/?p=show_film&amp;fid=4489</t>
        </is>
      </c>
      <c r="M3413" s="2">
        <f>HYPERLINK("https://ru.wikipedia.org/w/index.php?search=%D0%9D%D0%BE%D0%B2%D1%8B%D0%B5%20%D0%B4%D1%80%D1%83%D0%B7%D1%8C%D1%8F%201973%20%D1%84%D0%B8%D0%BB%D1%8C%D0%BC","искать")</f>
        <v/>
      </c>
      <c r="N3413" s="3" t="n"/>
      <c r="O3413" s="2" t="n"/>
      <c r="P3413" s="2" t="n"/>
    </row>
    <row r="3414">
      <c r="A3414" s="2" t="n">
        <v>3413</v>
      </c>
      <c r="B3414" s="2" t="inlineStr">
        <is>
          <t>короткая</t>
        </is>
      </c>
      <c r="C3414" s="2" t="n">
        <v>13245</v>
      </c>
      <c r="D3414" s="3" t="inlineStr">
        <is>
          <t>Няньки</t>
        </is>
      </c>
      <c r="E3414" s="2" t="n">
        <v>1975</v>
      </c>
      <c r="F3414" s="2" t="inlineStr">
        <is>
          <t>мультфильм</t>
        </is>
      </c>
      <c r="G3414" s="2" t="inlineStr">
        <is>
          <t>ТАЛЛИННФИЛЬМ</t>
        </is>
      </c>
      <c r="H3414" s="2" t="n">
        <v>0</v>
      </c>
      <c r="I3414" s="2" t="inlineStr"/>
      <c r="J3414" s="2" t="inlineStr">
        <is>
          <t>?</t>
        </is>
      </c>
      <c r="K3414" s="3" t="inlineStr"/>
      <c r="L3414" s="2" t="inlineStr">
        <is>
          <t>https://animator.ru/db/?p=show_film&amp;fid=4491</t>
        </is>
      </c>
      <c r="M3414" s="2">
        <f>HYPERLINK("https://ru.wikipedia.org/w/index.php?search=%D0%9D%D1%8F%D0%BD%D1%8C%D0%BA%D0%B8%201975%20%D1%84%D0%B8%D0%BB%D1%8C%D0%BC","искать")</f>
        <v/>
      </c>
      <c r="N3414" s="3" t="n"/>
      <c r="O3414" s="2" t="n"/>
      <c r="P3414" s="2" t="n"/>
    </row>
    <row r="3415">
      <c r="A3415" s="2" t="n">
        <v>3414</v>
      </c>
      <c r="B3415" s="2" t="inlineStr">
        <is>
          <t>короткая</t>
        </is>
      </c>
      <c r="C3415" s="2" t="n">
        <v>13247</v>
      </c>
      <c r="D3415" s="3" t="inlineStr">
        <is>
          <t>ОДНА ГОЛОВА ХОРОШО, А ДВЕ ЛУЧШЕ ("Фитиль" N 82)</t>
        </is>
      </c>
      <c r="E3415" s="2" t="n">
        <v>1969</v>
      </c>
      <c r="F3415" s="2" t="inlineStr">
        <is>
          <t>мультфильм</t>
        </is>
      </c>
      <c r="G3415" s="2" t="inlineStr">
        <is>
          <t>ТАЛЛИННФИЛЬМ</t>
        </is>
      </c>
      <c r="H3415" s="2" t="n">
        <v>0</v>
      </c>
      <c r="I3415" s="2" t="inlineStr"/>
      <c r="J3415" s="2" t="inlineStr">
        <is>
          <t>?</t>
        </is>
      </c>
      <c r="K3415" s="3" t="inlineStr"/>
      <c r="L3415" s="2" t="inlineStr">
        <is>
          <t>https://animator.ru/db/?p=show_film&amp;fid=4493</t>
        </is>
      </c>
      <c r="M3415" s="2">
        <f>HYPERLINK("https://ru.wikipedia.org/w/index.php?search=%D0%9E%D0%94%D0%9D%D0%90%20%D0%93%D0%9E%D0%9B%D0%9E%D0%92%D0%90%20%D0%A5%D0%9E%D0%A0%D0%9E%D0%A8%D0%9E%2C%20%D0%90%20%D0%94%D0%92%D0%95%20%D0%9B%D0%A3%D0%A7%D0%A8%D0%95%20%28%22%D0%A4%D0%B8%D1%82%D0%B8%D0%BB%D1%8C%22%20N%2082%29%201969%20%D1%84%D0%B8%D0%BB%D1%8C%D0%BC","искать")</f>
        <v/>
      </c>
      <c r="N3415" s="3" t="n"/>
      <c r="O3415" s="2" t="n"/>
      <c r="P3415" s="2" t="n"/>
    </row>
    <row r="3416">
      <c r="A3416" s="2" t="n">
        <v>3415</v>
      </c>
      <c r="B3416" s="2" t="inlineStr">
        <is>
          <t>короткая</t>
        </is>
      </c>
      <c r="C3416" s="2" t="n">
        <v>13252</v>
      </c>
      <c r="D3416" s="3" t="inlineStr">
        <is>
          <t>Песня весне (Песни о весне)</t>
        </is>
      </c>
      <c r="E3416" s="2" t="n">
        <v>1975</v>
      </c>
      <c r="F3416" s="2" t="inlineStr">
        <is>
          <t>мультфильм</t>
        </is>
      </c>
      <c r="G3416" s="2" t="inlineStr">
        <is>
          <t>ТАЛЛИННФИЛЬМ</t>
        </is>
      </c>
      <c r="H3416" s="2" t="n">
        <v>0</v>
      </c>
      <c r="I3416" s="2" t="inlineStr"/>
      <c r="J3416" s="2" t="inlineStr">
        <is>
          <t>?</t>
        </is>
      </c>
      <c r="K3416" s="3" t="inlineStr"/>
      <c r="L3416" s="2" t="inlineStr">
        <is>
          <t>https://animator.ru/db/?p=show_film&amp;fid=4500</t>
        </is>
      </c>
      <c r="M3416" s="2">
        <f>HYPERLINK("https://ru.wikipedia.org/w/index.php?search=%D0%9F%D0%B5%D1%81%D0%BD%D1%8F%20%D0%B2%D0%B5%D1%81%D0%BD%D0%B5%20%28%D0%9F%D0%B5%D1%81%D0%BD%D0%B8%20%D0%BE%20%D0%B2%D0%B5%D1%81%D0%BD%D0%B5%29%201975%20%D1%84%D0%B8%D0%BB%D1%8C%D0%BC","искать")</f>
        <v/>
      </c>
      <c r="N3416" s="3" t="n"/>
      <c r="O3416" s="2" t="n"/>
      <c r="P3416" s="2" t="n"/>
    </row>
    <row r="3417">
      <c r="A3417" s="2" t="n">
        <v>3416</v>
      </c>
      <c r="B3417" s="2" t="inlineStr">
        <is>
          <t>короткая</t>
        </is>
      </c>
      <c r="C3417" s="2" t="n">
        <v>13253</v>
      </c>
      <c r="D3417" s="3" t="inlineStr">
        <is>
          <t>Подводные друзья</t>
        </is>
      </c>
      <c r="E3417" s="2" t="n">
        <v>1973</v>
      </c>
      <c r="F3417" s="2" t="inlineStr">
        <is>
          <t>мультфильм</t>
        </is>
      </c>
      <c r="G3417" s="2" t="inlineStr">
        <is>
          <t>ТАЛЛИННФИЛЬМ</t>
        </is>
      </c>
      <c r="H3417" s="2" t="n">
        <v>0</v>
      </c>
      <c r="I3417" s="2" t="inlineStr"/>
      <c r="J3417" s="2" t="inlineStr">
        <is>
          <t>?</t>
        </is>
      </c>
      <c r="K3417" s="3" t="inlineStr"/>
      <c r="L3417" s="2" t="inlineStr">
        <is>
          <t>https://animator.ru/db/?p=show_film&amp;fid=4501</t>
        </is>
      </c>
      <c r="M3417" s="2">
        <f>HYPERLINK("https://ru.wikipedia.org/w/index.php?search=%D0%9F%D0%BE%D0%B4%D0%B2%D0%BE%D0%B4%D0%BD%D1%8B%D0%B5%20%D0%B4%D1%80%D1%83%D0%B7%D1%8C%D1%8F%201973%20%D1%84%D0%B8%D0%BB%D1%8C%D0%BC","искать")</f>
        <v/>
      </c>
      <c r="N3417" s="3" t="n"/>
      <c r="O3417" s="2" t="n"/>
      <c r="P3417" s="2" t="n"/>
    </row>
    <row r="3418">
      <c r="A3418" s="2" t="n">
        <v>3417</v>
      </c>
      <c r="B3418" s="2" t="inlineStr">
        <is>
          <t>короткая</t>
        </is>
      </c>
      <c r="C3418" s="2" t="n">
        <v>13260</v>
      </c>
      <c r="D3418" s="3" t="inlineStr">
        <is>
          <t>Снежная мельница</t>
        </is>
      </c>
      <c r="E3418" s="2" t="n">
        <v>1971</v>
      </c>
      <c r="F3418" s="2" t="inlineStr">
        <is>
          <t>мультфильм</t>
        </is>
      </c>
      <c r="G3418" s="2" t="inlineStr">
        <is>
          <t>ТАЛЛИННФИЛЬМ</t>
        </is>
      </c>
      <c r="H3418" s="2" t="n">
        <v>0</v>
      </c>
      <c r="I3418" s="2" t="inlineStr"/>
      <c r="J3418" s="2" t="inlineStr">
        <is>
          <t>?</t>
        </is>
      </c>
      <c r="K3418" s="3" t="inlineStr"/>
      <c r="L3418" s="2" t="inlineStr">
        <is>
          <t>https://animator.ru/db/?p=show_film&amp;fid=4511</t>
        </is>
      </c>
      <c r="M3418" s="2">
        <f>HYPERLINK("https://ru.wikipedia.org/w/index.php?search=%D0%A1%D0%BD%D0%B5%D0%B6%D0%BD%D0%B0%D1%8F%20%D0%BC%D0%B5%D0%BB%D1%8C%D0%BD%D0%B8%D1%86%D0%B0%201971%20%D1%84%D0%B8%D0%BB%D1%8C%D0%BC","искать")</f>
        <v/>
      </c>
      <c r="N3418" s="3" t="n"/>
      <c r="O3418" s="2" t="n"/>
      <c r="P3418" s="2" t="n"/>
    </row>
    <row r="3419">
      <c r="A3419" s="2" t="n">
        <v>3418</v>
      </c>
      <c r="B3419" s="2" t="inlineStr">
        <is>
          <t>короткая</t>
        </is>
      </c>
      <c r="C3419" s="2" t="n">
        <v>13269</v>
      </c>
      <c r="D3419" s="3" t="inlineStr">
        <is>
          <t>Цветные карандаши</t>
        </is>
      </c>
      <c r="E3419" s="2" t="n">
        <v>1973</v>
      </c>
      <c r="F3419" s="2" t="inlineStr">
        <is>
          <t>мультфильм</t>
        </is>
      </c>
      <c r="G3419" s="2" t="inlineStr">
        <is>
          <t>ТАЛЛИННФИЛЬМ</t>
        </is>
      </c>
      <c r="H3419" s="2" t="n">
        <v>0</v>
      </c>
      <c r="I3419" s="2" t="inlineStr"/>
      <c r="J3419" s="2" t="inlineStr">
        <is>
          <t>?</t>
        </is>
      </c>
      <c r="K3419" s="3" t="inlineStr"/>
      <c r="L3419" s="2" t="inlineStr">
        <is>
          <t>https://animator.ru/db/?p=show_film&amp;fid=4524</t>
        </is>
      </c>
      <c r="M3419" s="2">
        <f>HYPERLINK("https://ru.wikipedia.org/w/index.php?search=%D0%A6%D0%B2%D0%B5%D1%82%D0%BD%D1%8B%D0%B5%20%D0%BA%D0%B0%D1%80%D0%B0%D0%BD%D0%B4%D0%B0%D1%88%D0%B8%201973%20%D1%84%D0%B8%D0%BB%D1%8C%D0%BC","искать")</f>
        <v/>
      </c>
      <c r="N3419" s="3" t="n"/>
      <c r="O3419" s="2" t="n"/>
      <c r="P3419" s="2" t="n"/>
    </row>
    <row r="3420">
      <c r="A3420" s="2" t="n">
        <v>3419</v>
      </c>
      <c r="B3420" s="2" t="inlineStr">
        <is>
          <t>короткая</t>
        </is>
      </c>
      <c r="C3420" s="2" t="n">
        <v>13283</v>
      </c>
      <c r="D3420" s="3" t="inlineStr">
        <is>
          <t>Серенада</t>
        </is>
      </c>
      <c r="E3420" s="2" t="n">
        <v>1987</v>
      </c>
      <c r="F3420" s="2" t="inlineStr">
        <is>
          <t>мультфильм</t>
        </is>
      </c>
      <c r="G3420" s="2" t="inlineStr">
        <is>
          <t>ТАЛЛИННФИЛЬМ</t>
        </is>
      </c>
      <c r="H3420" s="2" t="n">
        <v>0</v>
      </c>
      <c r="I3420" s="2" t="inlineStr"/>
      <c r="J3420" s="2" t="inlineStr">
        <is>
          <t>?</t>
        </is>
      </c>
      <c r="K3420" s="3" t="inlineStr"/>
      <c r="L3420" s="2" t="inlineStr">
        <is>
          <t>https://animator.ru/db/?p=show_film&amp;fid=4540</t>
        </is>
      </c>
      <c r="M3420" s="2">
        <f>HYPERLINK("https://ru.wikipedia.org/w/index.php?search=%D0%A1%D0%B5%D1%80%D0%B5%D0%BD%D0%B0%D0%B4%D0%B0%201987%20%D1%84%D0%B8%D0%BB%D1%8C%D0%BC","искать")</f>
        <v/>
      </c>
      <c r="N3420" s="3" t="n"/>
      <c r="O3420" s="2" t="n"/>
      <c r="P3420" s="2" t="n"/>
    </row>
    <row r="3421">
      <c r="A3421" s="2" t="n">
        <v>3420</v>
      </c>
      <c r="B3421" s="2" t="inlineStr">
        <is>
          <t>короткая</t>
        </is>
      </c>
      <c r="C3421" s="2" t="n">
        <v>13304</v>
      </c>
      <c r="D3421" s="3" t="inlineStr">
        <is>
          <t>Внимание! Осторожно! Кабель!</t>
        </is>
      </c>
      <c r="E3421" s="2" t="n">
        <v>1972</v>
      </c>
      <c r="F3421" s="2" t="inlineStr">
        <is>
          <t>мультфильм</t>
        </is>
      </c>
      <c r="G3421" s="2" t="inlineStr">
        <is>
          <t>ТАЛЛИННФИЛЬМ</t>
        </is>
      </c>
      <c r="H3421" s="2" t="n">
        <v>0</v>
      </c>
      <c r="I3421" s="2" t="inlineStr"/>
      <c r="J3421" s="2" t="inlineStr">
        <is>
          <t>?</t>
        </is>
      </c>
      <c r="K3421" s="3" t="inlineStr"/>
      <c r="L3421" s="2" t="inlineStr">
        <is>
          <t>https://animator.ru/db/?p=show_film&amp;fid=4561</t>
        </is>
      </c>
      <c r="M3421" s="2">
        <f>HYPERLINK("https://ru.wikipedia.org/w/index.php?search=%D0%92%D0%BD%D0%B8%D0%BC%D0%B0%D0%BD%D0%B8%D0%B5%21%20%D0%9E%D1%81%D1%82%D0%BE%D1%80%D0%BE%D0%B6%D0%BD%D0%BE%21%20%D0%9A%D0%B0%D0%B1%D0%B5%D0%BB%D1%8C%21%201972%20%D1%84%D0%B8%D0%BB%D1%8C%D0%BC","искать")</f>
        <v/>
      </c>
      <c r="N3421" s="3" t="n"/>
      <c r="O3421" s="2" t="n"/>
      <c r="P3421" s="2" t="n"/>
    </row>
    <row r="3422">
      <c r="A3422" s="2" t="n">
        <v>3421</v>
      </c>
      <c r="B3422" s="2" t="inlineStr">
        <is>
          <t>короткая</t>
        </is>
      </c>
      <c r="C3422" s="2" t="n">
        <v>13313</v>
      </c>
      <c r="D3422" s="3" t="inlineStr">
        <is>
          <t>Жирна ли добыча?</t>
        </is>
      </c>
      <c r="E3422" s="2" t="n">
        <v>1979</v>
      </c>
      <c r="F3422" s="2" t="inlineStr">
        <is>
          <t>мультфильм</t>
        </is>
      </c>
      <c r="G3422" s="2" t="inlineStr">
        <is>
          <t>ТАЛЛИННФИЛЬМ</t>
        </is>
      </c>
      <c r="H3422" s="2" t="n">
        <v>0</v>
      </c>
      <c r="I3422" s="2" t="inlineStr"/>
      <c r="J3422" s="2" t="inlineStr">
        <is>
          <t>?</t>
        </is>
      </c>
      <c r="K3422" s="3" t="inlineStr"/>
      <c r="L3422" s="2" t="inlineStr">
        <is>
          <t>https://animator.ru/db/?p=show_film&amp;fid=4571</t>
        </is>
      </c>
      <c r="M3422" s="2">
        <f>HYPERLINK("https://ru.wikipedia.org/w/index.php?search=%D0%96%D0%B8%D1%80%D0%BD%D0%B0%20%D0%BB%D0%B8%20%D0%B4%D0%BE%D0%B1%D1%8B%D1%87%D0%B0%3F%201979%20%D1%84%D0%B8%D0%BB%D1%8C%D0%BC","искать")</f>
        <v/>
      </c>
      <c r="N3422" s="3" t="n"/>
      <c r="O3422" s="2" t="n"/>
      <c r="P3422" s="2" t="n"/>
    </row>
    <row r="3423">
      <c r="A3423" s="2" t="n">
        <v>3422</v>
      </c>
      <c r="B3423" s="2" t="inlineStr">
        <is>
          <t>короткая</t>
        </is>
      </c>
      <c r="C3423" s="2" t="n">
        <v>13315</v>
      </c>
      <c r="D3423" s="3" t="inlineStr">
        <is>
          <t>Комочек глины</t>
        </is>
      </c>
      <c r="E3423" s="2" t="n">
        <v>1977</v>
      </c>
      <c r="F3423" s="2" t="inlineStr">
        <is>
          <t>мультфильм</t>
        </is>
      </c>
      <c r="G3423" s="2" t="inlineStr">
        <is>
          <t>ТАЛЛИННФИЛЬМ</t>
        </is>
      </c>
      <c r="H3423" s="2" t="n">
        <v>0</v>
      </c>
      <c r="I3423" s="2" t="inlineStr"/>
      <c r="J3423" s="2" t="inlineStr">
        <is>
          <t>?</t>
        </is>
      </c>
      <c r="K3423" s="3" t="inlineStr"/>
      <c r="L3423" s="2" t="inlineStr">
        <is>
          <t>https://animator.ru/db/?p=show_film&amp;fid=4577</t>
        </is>
      </c>
      <c r="M3423" s="2">
        <f>HYPERLINK("https://ru.wikipedia.org/w/index.php?search=%D0%9A%D0%BE%D0%BC%D0%BE%D1%87%D0%B5%D0%BA%20%D0%B3%D0%BB%D0%B8%D0%BD%D1%8B%201977%20%D1%84%D0%B8%D0%BB%D1%8C%D0%BC","искать")</f>
        <v/>
      </c>
      <c r="N3423" s="3" t="n"/>
      <c r="O3423" s="2" t="n"/>
      <c r="P3423" s="2" t="n"/>
    </row>
    <row r="3424">
      <c r="A3424" s="2" t="n">
        <v>3423</v>
      </c>
      <c r="B3424" s="2" t="inlineStr">
        <is>
          <t>короткая</t>
        </is>
      </c>
      <c r="C3424" s="2" t="n">
        <v>13317</v>
      </c>
      <c r="D3424" s="3" t="inlineStr">
        <is>
          <t>Заяц</t>
        </is>
      </c>
      <c r="E3424" s="2" t="n">
        <v>1976</v>
      </c>
      <c r="F3424" s="2" t="inlineStr">
        <is>
          <t>мультфильм</t>
        </is>
      </c>
      <c r="G3424" s="2" t="inlineStr">
        <is>
          <t>ТАЛЛИННФИЛЬМ</t>
        </is>
      </c>
      <c r="H3424" s="2" t="n">
        <v>0</v>
      </c>
      <c r="I3424" s="2" t="inlineStr"/>
      <c r="J3424" s="2" t="inlineStr">
        <is>
          <t>?</t>
        </is>
      </c>
      <c r="K3424" s="3" t="inlineStr"/>
      <c r="L3424" s="2" t="inlineStr">
        <is>
          <t>https://animator.ru/db/?p=show_film&amp;fid=4579</t>
        </is>
      </c>
      <c r="M3424" s="2">
        <f>HYPERLINK("https://ru.wikipedia.org/w/index.php?search=%D0%97%D0%B0%D1%8F%D1%86%201976%20%D1%84%D0%B8%D0%BB%D1%8C%D0%BC","искать")</f>
        <v/>
      </c>
      <c r="N3424" s="3" t="n"/>
      <c r="O3424" s="2" t="n"/>
      <c r="P3424" s="2" t="n"/>
    </row>
    <row r="3425">
      <c r="A3425" s="2" t="n">
        <v>3424</v>
      </c>
      <c r="B3425" s="2" t="inlineStr">
        <is>
          <t>короткая</t>
        </is>
      </c>
      <c r="C3425" s="2" t="n">
        <v>13320</v>
      </c>
      <c r="D3425" s="3" t="inlineStr">
        <is>
          <t>Медвежонок</t>
        </is>
      </c>
      <c r="E3425" s="2" t="n">
        <v>1977</v>
      </c>
      <c r="F3425" s="2" t="inlineStr">
        <is>
          <t>мультфильм</t>
        </is>
      </c>
      <c r="G3425" s="2" t="inlineStr">
        <is>
          <t>ТУРКМЕНФИЛЬМ</t>
        </is>
      </c>
      <c r="H3425" s="2" t="n">
        <v>0</v>
      </c>
      <c r="I3425" s="2" t="inlineStr"/>
      <c r="J3425" s="2" t="inlineStr">
        <is>
          <t>?</t>
        </is>
      </c>
      <c r="K3425" s="3" t="inlineStr"/>
      <c r="L3425" s="2" t="inlineStr">
        <is>
          <t>https://animator.ru/db/?p=show_film&amp;fid=4589</t>
        </is>
      </c>
      <c r="M3425" s="2">
        <f>HYPERLINK("https://ru.wikipedia.org/w/index.php?search=%D0%9C%D0%B5%D0%B4%D0%B2%D0%B5%D0%B6%D0%BE%D0%BD%D0%BE%D0%BA%201977%20%D1%84%D0%B8%D0%BB%D1%8C%D0%BC","искать")</f>
        <v/>
      </c>
      <c r="N3425" s="3" t="n"/>
      <c r="O3425" s="2" t="n"/>
      <c r="P3425" s="2" t="n"/>
    </row>
    <row r="3426">
      <c r="A3426" s="2" t="n">
        <v>3425</v>
      </c>
      <c r="B3426" s="2" t="inlineStr">
        <is>
          <t>короткая</t>
        </is>
      </c>
      <c r="C3426" s="2" t="n">
        <v>13327</v>
      </c>
      <c r="D3426" s="3" t="inlineStr">
        <is>
          <t>Гугуцэ - парикмахер</t>
        </is>
      </c>
      <c r="E3426" s="2" t="n">
        <v>1980</v>
      </c>
      <c r="F3426" s="2" t="inlineStr">
        <is>
          <t>мультфильм</t>
        </is>
      </c>
      <c r="G3426" s="2" t="inlineStr">
        <is>
          <t>МОЛДОВА-ФИЛЬМ</t>
        </is>
      </c>
      <c r="H3426" s="2" t="n">
        <v>0</v>
      </c>
      <c r="I3426" s="2" t="inlineStr"/>
      <c r="J3426" s="2" t="inlineStr">
        <is>
          <t>?</t>
        </is>
      </c>
      <c r="K3426" s="3" t="inlineStr"/>
      <c r="L3426" s="2" t="inlineStr">
        <is>
          <t>https://animator.ru/db/?p=show_film&amp;fid=4597</t>
        </is>
      </c>
      <c r="M3426" s="2">
        <f>HYPERLINK("https://ru.wikipedia.org/w/index.php?search=%D0%93%D1%83%D0%B3%D1%83%D1%86%D1%8D%20-%20%D0%BF%D0%B0%D1%80%D0%B8%D0%BA%D0%BC%D0%B0%D1%85%D0%B5%D1%80%201980%20%D1%84%D0%B8%D0%BB%D1%8C%D0%BC","искать")</f>
        <v/>
      </c>
      <c r="N3426" s="3" t="n"/>
      <c r="O3426" s="2" t="n"/>
      <c r="P3426" s="2" t="n"/>
    </row>
    <row r="3427">
      <c r="A3427" s="2" t="n">
        <v>3426</v>
      </c>
      <c r="B3427" s="2" t="inlineStr">
        <is>
          <t>короткая</t>
        </is>
      </c>
      <c r="C3427" s="2" t="n">
        <v>13328</v>
      </c>
      <c r="D3427" s="3" t="inlineStr">
        <is>
          <t>Мальчик, который обидел солнце</t>
        </is>
      </c>
      <c r="E3427" s="2" t="n">
        <v>1977</v>
      </c>
      <c r="F3427" s="2" t="inlineStr">
        <is>
          <t>мультфильм</t>
        </is>
      </c>
      <c r="G3427" s="2" t="inlineStr">
        <is>
          <t>МОЛДОВА-ФИЛЬМ</t>
        </is>
      </c>
      <c r="H3427" s="2" t="n">
        <v>0</v>
      </c>
      <c r="I3427" s="2" t="inlineStr"/>
      <c r="J3427" s="2" t="inlineStr">
        <is>
          <t>?</t>
        </is>
      </c>
      <c r="K3427" s="3" t="inlineStr"/>
      <c r="L3427" s="2" t="inlineStr">
        <is>
          <t>https://animator.ru/db/?p=show_film&amp;fid=4598</t>
        </is>
      </c>
      <c r="M3427" s="2">
        <f>HYPERLINK("https://ru.wikipedia.org/w/index.php?search=%D0%9C%D0%B0%D0%BB%D1%8C%D1%87%D0%B8%D0%BA%2C%20%D0%BA%D0%BE%D1%82%D0%BE%D1%80%D1%8B%D0%B9%20%D0%BE%D0%B1%D0%B8%D0%B4%D0%B5%D0%BB%20%D1%81%D0%BE%D0%BB%D0%BD%D1%86%D0%B5%201977%20%D1%84%D0%B8%D0%BB%D1%8C%D0%BC","искать")</f>
        <v/>
      </c>
      <c r="N3427" s="3" t="n"/>
      <c r="O3427" s="2" t="n"/>
      <c r="P3427" s="2" t="n"/>
    </row>
    <row r="3428">
      <c r="A3428" s="2" t="n">
        <v>3427</v>
      </c>
      <c r="B3428" s="2" t="inlineStr">
        <is>
          <t>короткая</t>
        </is>
      </c>
      <c r="C3428" s="2" t="n">
        <v>13329</v>
      </c>
      <c r="D3428" s="3" t="inlineStr">
        <is>
          <t>Про холодильник, серых мышей и гарантийных человеч</t>
        </is>
      </c>
      <c r="E3428" s="2" t="n">
        <v>1979</v>
      </c>
      <c r="F3428" s="2" t="inlineStr">
        <is>
          <t>мультфильм</t>
        </is>
      </c>
      <c r="G3428" s="2" t="inlineStr">
        <is>
          <t>МОЛДОВА-ФИЛЬМ</t>
        </is>
      </c>
      <c r="H3428" s="2" t="n">
        <v>0</v>
      </c>
      <c r="I3428" s="2" t="inlineStr"/>
      <c r="J3428" s="2" t="inlineStr">
        <is>
          <t>?</t>
        </is>
      </c>
      <c r="K3428" s="3" t="inlineStr"/>
      <c r="L3428" s="2" t="inlineStr">
        <is>
          <t>https://animator.ru/db/?p=show_film&amp;fid=4599</t>
        </is>
      </c>
      <c r="M3428" s="2">
        <f>HYPERLINK("https://ru.wikipedia.org/w/index.php?search=%D0%9F%D1%80%D0%BE%20%D1%85%D0%BE%D0%BB%D0%BE%D0%B4%D0%B8%D0%BB%D1%8C%D0%BD%D0%B8%D0%BA%2C%20%D1%81%D0%B5%D1%80%D1%8B%D1%85%20%D0%BC%D1%8B%D1%88%D0%B5%D0%B9%20%D0%B8%20%D0%B3%D0%B0%D1%80%D0%B0%D0%BD%D1%82%D0%B8%D0%B9%D0%BD%D1%8B%D1%85%20%D1%87%D0%B5%D0%BB%D0%BE%D0%B2%D0%B5%D1%87%201979%20%D1%84%D0%B8%D0%BB%D1%8C%D0%BC","искать")</f>
        <v/>
      </c>
      <c r="N3428" s="3" t="n"/>
      <c r="O3428" s="2" t="n"/>
      <c r="P3428" s="2" t="n"/>
    </row>
    <row r="3429">
      <c r="A3429" s="2" t="n">
        <v>3428</v>
      </c>
      <c r="B3429" s="2" t="inlineStr">
        <is>
          <t>короткая</t>
        </is>
      </c>
      <c r="C3429" s="2" t="n">
        <v>13333</v>
      </c>
      <c r="D3429" s="3" t="inlineStr">
        <is>
          <t>Рыбка гульдор</t>
        </is>
      </c>
      <c r="E3429" s="2" t="n">
        <v>1981</v>
      </c>
      <c r="F3429" s="2" t="inlineStr">
        <is>
          <t>мультфильм</t>
        </is>
      </c>
      <c r="G3429" s="2" t="inlineStr">
        <is>
          <t>ТАДЖИКФИЛЬМ</t>
        </is>
      </c>
      <c r="H3429" s="2" t="n">
        <v>0</v>
      </c>
      <c r="I3429" s="2" t="inlineStr"/>
      <c r="J3429" s="2" t="inlineStr">
        <is>
          <t>?</t>
        </is>
      </c>
      <c r="K3429" s="3" t="inlineStr"/>
      <c r="L3429" s="2" t="inlineStr">
        <is>
          <t>https://animator.ru/db/?p=show_film&amp;fid=4604</t>
        </is>
      </c>
      <c r="M3429" s="2">
        <f>HYPERLINK("https://ru.wikipedia.org/w/index.php?search=%D0%A0%D1%8B%D0%B1%D0%BA%D0%B0%20%D0%B3%D1%83%D0%BB%D1%8C%D0%B4%D0%BE%D1%80%201981%20%D1%84%D0%B8%D0%BB%D1%8C%D0%BC","искать")</f>
        <v/>
      </c>
      <c r="N3429" s="3" t="n"/>
      <c r="O3429" s="2" t="n"/>
      <c r="P3429" s="2" t="n"/>
    </row>
    <row r="3430">
      <c r="A3430" s="2" t="n">
        <v>3429</v>
      </c>
      <c r="B3430" s="2" t="inlineStr">
        <is>
          <t>короткая</t>
        </is>
      </c>
      <c r="C3430" s="2" t="n">
        <v>13336</v>
      </c>
      <c r="D3430" s="3" t="inlineStr">
        <is>
          <t>Цап опять идет по следу</t>
        </is>
      </c>
      <c r="E3430" s="2" t="n">
        <v>1978</v>
      </c>
      <c r="F3430" s="2" t="inlineStr">
        <is>
          <t>мультфильм</t>
        </is>
      </c>
      <c r="G3430" s="2" t="inlineStr">
        <is>
          <t>РИЖСКАЯ КИНОСТУДИЯ</t>
        </is>
      </c>
      <c r="H3430" s="2" t="n">
        <v>0</v>
      </c>
      <c r="I3430" s="2" t="inlineStr"/>
      <c r="J3430" s="2" t="inlineStr">
        <is>
          <t>?</t>
        </is>
      </c>
      <c r="K3430" s="3" t="inlineStr"/>
      <c r="L3430" s="2" t="inlineStr">
        <is>
          <t>https://animator.ru/db/?p=show_film&amp;fid=4607</t>
        </is>
      </c>
      <c r="M3430" s="2">
        <f>HYPERLINK("https://ru.wikipedia.org/w/index.php?search=%D0%A6%D0%B0%D0%BF%20%D0%BE%D0%BF%D1%8F%D1%82%D1%8C%20%D0%B8%D0%B4%D0%B5%D1%82%20%D0%BF%D0%BE%20%D1%81%D0%BB%D0%B5%D0%B4%D1%83%201978%20%D1%84%D0%B8%D0%BB%D1%8C%D0%BC","искать")</f>
        <v/>
      </c>
      <c r="N3430" s="3" t="n"/>
      <c r="O3430" s="2" t="n"/>
      <c r="P3430" s="2" t="n"/>
    </row>
    <row r="3431">
      <c r="A3431" s="2" t="n">
        <v>3430</v>
      </c>
      <c r="B3431" s="2" t="inlineStr">
        <is>
          <t>короткая</t>
        </is>
      </c>
      <c r="C3431" s="2" t="n">
        <v>13337</v>
      </c>
      <c r="D3431" s="3" t="inlineStr">
        <is>
          <t>Цап сражается</t>
        </is>
      </c>
      <c r="E3431" s="2" t="n">
        <v>1980</v>
      </c>
      <c r="F3431" s="2" t="inlineStr">
        <is>
          <t>мультфильм</t>
        </is>
      </c>
      <c r="G3431" s="2" t="inlineStr">
        <is>
          <t>РИЖСКАЯ КИНОСТУДИЯ</t>
        </is>
      </c>
      <c r="H3431" s="2" t="n">
        <v>0</v>
      </c>
      <c r="I3431" s="2" t="inlineStr"/>
      <c r="J3431" s="2" t="inlineStr">
        <is>
          <t>?</t>
        </is>
      </c>
      <c r="K3431" s="3" t="inlineStr"/>
      <c r="L3431" s="2" t="inlineStr">
        <is>
          <t>https://animator.ru/db/?p=show_film&amp;fid=4608</t>
        </is>
      </c>
      <c r="M3431" s="2">
        <f>HYPERLINK("https://ru.wikipedia.org/w/index.php?search=%D0%A6%D0%B0%D0%BF%20%D1%81%D1%80%D0%B0%D0%B6%D0%B0%D0%B5%D1%82%D1%81%D1%8F%201980%20%D1%84%D0%B8%D0%BB%D1%8C%D0%BC","искать")</f>
        <v/>
      </c>
      <c r="N3431" s="3" t="n"/>
      <c r="O3431" s="2" t="n"/>
      <c r="P3431" s="2" t="n"/>
    </row>
    <row r="3432">
      <c r="A3432" s="2" t="n">
        <v>3431</v>
      </c>
      <c r="B3432" s="2" t="inlineStr">
        <is>
          <t>короткая</t>
        </is>
      </c>
      <c r="C3432" s="2" t="n">
        <v>13338</v>
      </c>
      <c r="D3432" s="3" t="inlineStr">
        <is>
          <t>Цап теряет сознание</t>
        </is>
      </c>
      <c r="E3432" s="2" t="n">
        <v>1980</v>
      </c>
      <c r="F3432" s="2" t="inlineStr">
        <is>
          <t>мультфильм</t>
        </is>
      </c>
      <c r="G3432" s="2" t="inlineStr">
        <is>
          <t>РИЖСКАЯ КИНОСТУДИЯ</t>
        </is>
      </c>
      <c r="H3432" s="2" t="n">
        <v>0</v>
      </c>
      <c r="I3432" s="2" t="inlineStr"/>
      <c r="J3432" s="2" t="inlineStr">
        <is>
          <t>?</t>
        </is>
      </c>
      <c r="K3432" s="3" t="inlineStr"/>
      <c r="L3432" s="2" t="inlineStr">
        <is>
          <t>https://animator.ru/db/?p=show_film&amp;fid=4609</t>
        </is>
      </c>
      <c r="M3432" s="2">
        <f>HYPERLINK("https://ru.wikipedia.org/w/index.php?search=%D0%A6%D0%B0%D0%BF%20%D1%82%D0%B5%D1%80%D1%8F%D0%B5%D1%82%20%D1%81%D0%BE%D0%B7%D0%BD%D0%B0%D0%BD%D0%B8%D0%B5%201980%20%D1%84%D0%B8%D0%BB%D1%8C%D0%BC","искать")</f>
        <v/>
      </c>
      <c r="N3432" s="3" t="n"/>
      <c r="O3432" s="2" t="n"/>
      <c r="P3432" s="2" t="n"/>
    </row>
    <row r="3433">
      <c r="A3433" s="2" t="n">
        <v>3432</v>
      </c>
      <c r="B3433" s="2" t="inlineStr">
        <is>
          <t>короткая</t>
        </is>
      </c>
      <c r="C3433" s="2" t="n">
        <v>13341</v>
      </c>
      <c r="D3433" s="3" t="inlineStr">
        <is>
          <t>Чаромора и капитан трумм</t>
        </is>
      </c>
      <c r="E3433" s="2" t="n">
        <v>1979</v>
      </c>
      <c r="F3433" s="2" t="inlineStr">
        <is>
          <t>мультфильм</t>
        </is>
      </c>
      <c r="G3433" s="2" t="inlineStr">
        <is>
          <t>ТАЛЛИННФИЛЬМ</t>
        </is>
      </c>
      <c r="H3433" s="2" t="n">
        <v>0</v>
      </c>
      <c r="I3433" s="2" t="inlineStr"/>
      <c r="J3433" s="2" t="inlineStr">
        <is>
          <t>?</t>
        </is>
      </c>
      <c r="K3433" s="3" t="inlineStr"/>
      <c r="L3433" s="2" t="inlineStr">
        <is>
          <t>https://animator.ru/db/?p=show_film&amp;fid=4613</t>
        </is>
      </c>
      <c r="M3433" s="2">
        <f>HYPERLINK("https://ru.wikipedia.org/w/index.php?search=%D0%A7%D0%B0%D1%80%D0%BE%D0%BC%D0%BE%D1%80%D0%B0%20%D0%B8%20%D0%BA%D0%B0%D0%BF%D0%B8%D1%82%D0%B0%D0%BD%20%D1%82%D1%80%D1%83%D0%BC%D0%BC%201979%20%D1%84%D0%B8%D0%BB%D1%8C%D0%BC","искать")</f>
        <v/>
      </c>
      <c r="N3433" s="3" t="n"/>
      <c r="O3433" s="2" t="n"/>
      <c r="P3433" s="2" t="n"/>
    </row>
    <row r="3434">
      <c r="A3434" s="2" t="n">
        <v>3433</v>
      </c>
      <c r="B3434" s="2" t="inlineStr">
        <is>
          <t>короткая</t>
        </is>
      </c>
      <c r="C3434" s="2" t="n">
        <v>13348</v>
      </c>
      <c r="D3434" s="3" t="inlineStr">
        <is>
          <t>Сказка о яблоне</t>
        </is>
      </c>
      <c r="E3434" s="2" t="n">
        <v>1980</v>
      </c>
      <c r="F3434" s="2" t="inlineStr">
        <is>
          <t>мультфильм</t>
        </is>
      </c>
      <c r="G3434" s="2" t="inlineStr">
        <is>
          <t>УЗБЕКФИЛЬМ</t>
        </is>
      </c>
      <c r="H3434" s="2" t="n">
        <v>0</v>
      </c>
      <c r="I3434" s="2" t="inlineStr"/>
      <c r="J3434" s="2" t="inlineStr">
        <is>
          <t>?</t>
        </is>
      </c>
      <c r="K3434" s="3" t="inlineStr"/>
      <c r="L3434" s="2" t="inlineStr">
        <is>
          <t>https://animator.ru/db/?p=show_film&amp;fid=4624</t>
        </is>
      </c>
      <c r="M3434" s="2">
        <f>HYPERLINK("https://ru.wikipedia.org/w/index.php?search=%D0%A1%D0%BA%D0%B0%D0%B7%D0%BA%D0%B0%20%D0%BE%20%D1%8F%D0%B1%D0%BB%D0%BE%D0%BD%D0%B5%201980%20%D1%84%D0%B8%D0%BB%D1%8C%D0%BC","искать")</f>
        <v/>
      </c>
      <c r="N3434" s="3" t="n"/>
      <c r="O3434" s="2" t="n"/>
      <c r="P3434" s="2" t="n"/>
    </row>
    <row r="3435">
      <c r="A3435" s="2" t="n">
        <v>3434</v>
      </c>
      <c r="B3435" s="2" t="inlineStr">
        <is>
          <t>короткая</t>
        </is>
      </c>
      <c r="C3435" s="2" t="n">
        <v>13380</v>
      </c>
      <c r="D3435" s="3" t="inlineStr">
        <is>
          <t>Незнайка в Солнечном городе. 9. Переполох в зоопарке</t>
        </is>
      </c>
      <c r="E3435" s="2" t="n">
        <v>1977</v>
      </c>
      <c r="F3435" s="2" t="inlineStr">
        <is>
          <t>мультфильм</t>
        </is>
      </c>
      <c r="G3435" s="2" t="inlineStr">
        <is>
          <t>СОЮЗТЕЛЕФИЛЬМ</t>
        </is>
      </c>
      <c r="H3435" s="2" t="n">
        <v>0</v>
      </c>
      <c r="I3435" s="2" t="inlineStr"/>
      <c r="J3435" s="2" t="inlineStr">
        <is>
          <t>?</t>
        </is>
      </c>
      <c r="K3435" s="3" t="inlineStr"/>
      <c r="L3435" s="2" t="inlineStr">
        <is>
          <t>https://animator.ru/db/?p=show_film&amp;fid=4660</t>
        </is>
      </c>
      <c r="M3435" s="2">
        <f>HYPERLINK("https://ru.wikipedia.org/w/index.php?search=%D0%9D%D0%B5%D0%B7%D0%BD%D0%B0%D0%B9%D0%BA%D0%B0%20%D0%B2%20%D0%A1%D0%BE%D0%BB%D0%BD%D0%B5%D1%87%D0%BD%D0%BE%D0%BC%20%D0%B3%D0%BE%D1%80%D0%BE%D0%B4%D0%B5.%209.%20%D0%9F%D0%B5%D1%80%D0%B5%D0%BF%D0%BE%D0%BB%D0%BE%D1%85%20%D0%B2%20%D0%B7%D0%BE%D0%BE%D0%BF%D0%B0%D1%80%D0%BA%D0%B5%201977%20%D1%84%D0%B8%D0%BB%D1%8C%D0%BC","искать")</f>
        <v/>
      </c>
      <c r="N3435" s="3" t="n"/>
      <c r="O3435" s="2" t="n"/>
      <c r="P3435" s="2" t="n"/>
    </row>
    <row r="3436">
      <c r="A3436" s="2" t="n">
        <v>3435</v>
      </c>
      <c r="B3436" s="2" t="inlineStr">
        <is>
          <t>короткая</t>
        </is>
      </c>
      <c r="C3436" s="2" t="n">
        <v>13391</v>
      </c>
      <c r="D3436" s="3" t="inlineStr">
        <is>
          <t>Честное лошадиное</t>
        </is>
      </c>
      <c r="E3436" s="2" t="n">
        <v>1980</v>
      </c>
      <c r="F3436" s="2" t="inlineStr">
        <is>
          <t>мультфильм</t>
        </is>
      </c>
      <c r="G3436" s="2" t="inlineStr">
        <is>
          <t>МОЛДОВА-ФИЛЬМ</t>
        </is>
      </c>
      <c r="H3436" s="2" t="n">
        <v>0</v>
      </c>
      <c r="I3436" s="2" t="inlineStr"/>
      <c r="J3436" s="2" t="inlineStr">
        <is>
          <t>?</t>
        </is>
      </c>
      <c r="K3436" s="3" t="inlineStr"/>
      <c r="L3436" s="2" t="inlineStr">
        <is>
          <t>https://animator.ru/db/?p=show_film&amp;fid=4671</t>
        </is>
      </c>
      <c r="M3436" s="2">
        <f>HYPERLINK("https://ru.wikipedia.org/w/index.php?search=%D0%A7%D0%B5%D1%81%D1%82%D0%BD%D0%BE%D0%B5%20%D0%BB%D0%BE%D1%88%D0%B0%D0%B4%D0%B8%D0%BD%D0%BE%D0%B5%201980%20%D1%84%D0%B8%D0%BB%D1%8C%D0%BC","искать")</f>
        <v/>
      </c>
      <c r="N3436" s="3" t="n"/>
      <c r="O3436" s="2" t="n"/>
      <c r="P3436" s="2" t="n"/>
    </row>
    <row r="3437">
      <c r="A3437" s="2" t="n">
        <v>3436</v>
      </c>
      <c r="B3437" s="2" t="inlineStr">
        <is>
          <t>короткая</t>
        </is>
      </c>
      <c r="C3437" s="2" t="n">
        <v>13403</v>
      </c>
      <c r="D3437" s="3" t="inlineStr">
        <is>
          <t>Дядюшка Ау. Ошибка дядюшки Ау</t>
        </is>
      </c>
      <c r="E3437" s="2" t="n">
        <v>1979</v>
      </c>
      <c r="F3437" s="2" t="inlineStr">
        <is>
          <t>мультфильм</t>
        </is>
      </c>
      <c r="G3437" s="2" t="inlineStr">
        <is>
          <t>ЭКРАН</t>
        </is>
      </c>
      <c r="H3437" s="2" t="n">
        <v>0</v>
      </c>
      <c r="I3437" s="2" t="inlineStr"/>
      <c r="J3437" s="2" t="inlineStr">
        <is>
          <t>?</t>
        </is>
      </c>
      <c r="K3437" s="3" t="inlineStr"/>
      <c r="L3437" s="2" t="inlineStr">
        <is>
          <t>https://animator.ru/db/?p=show_film&amp;fid=4683</t>
        </is>
      </c>
      <c r="M3437" s="2">
        <f>HYPERLINK("https://ru.wikipedia.org/w/index.php?search=%D0%94%D1%8F%D0%B4%D1%8E%D1%88%D0%BA%D0%B0%20%D0%90%D1%83.%20%D0%9E%D1%88%D0%B8%D0%B1%D0%BA%D0%B0%20%D0%B4%D1%8F%D0%B4%D1%8E%D1%88%D0%BA%D0%B8%20%D0%90%D1%83%201979%20%D1%84%D0%B8%D0%BB%D1%8C%D0%BC","искать")</f>
        <v/>
      </c>
      <c r="N3437" s="3" t="n"/>
      <c r="O3437" s="2" t="n"/>
      <c r="P3437" s="2" t="n"/>
    </row>
    <row r="3438">
      <c r="A3438" s="2" t="n">
        <v>3437</v>
      </c>
      <c r="B3438" s="2" t="inlineStr">
        <is>
          <t>короткая</t>
        </is>
      </c>
      <c r="C3438" s="2" t="n">
        <v>13414</v>
      </c>
      <c r="D3438" s="3" t="inlineStr">
        <is>
          <t>Микросюжеты</t>
        </is>
      </c>
      <c r="E3438" s="2" t="n">
        <v>1979</v>
      </c>
      <c r="F3438" s="2" t="inlineStr">
        <is>
          <t>мультфильм</t>
        </is>
      </c>
      <c r="G3438" s="2" t="inlineStr">
        <is>
          <t>СОЮЗТЕЛЕФИЛЬМ</t>
        </is>
      </c>
      <c r="H3438" s="2" t="n">
        <v>0</v>
      </c>
      <c r="I3438" s="2" t="inlineStr"/>
      <c r="J3438" s="2" t="inlineStr">
        <is>
          <t>?</t>
        </is>
      </c>
      <c r="K3438" s="3" t="inlineStr"/>
      <c r="L3438" s="2" t="inlineStr">
        <is>
          <t>https://animator.ru/db/?p=show_film&amp;fid=4694</t>
        </is>
      </c>
      <c r="M3438" s="2">
        <f>HYPERLINK("https://ru.wikipedia.org/w/index.php?search=%D0%9C%D0%B8%D0%BA%D1%80%D0%BE%D1%81%D1%8E%D0%B6%D0%B5%D1%82%D1%8B%201979%20%D1%84%D0%B8%D0%BB%D1%8C%D0%BC","искать")</f>
        <v/>
      </c>
      <c r="N3438" s="3" t="n"/>
      <c r="O3438" s="2" t="n"/>
      <c r="P3438" s="2" t="n"/>
    </row>
    <row r="3439">
      <c r="A3439" s="2" t="n">
        <v>3438</v>
      </c>
      <c r="B3439" s="2" t="inlineStr">
        <is>
          <t>короткая</t>
        </is>
      </c>
      <c r="C3439" s="2" t="n">
        <v>13420</v>
      </c>
      <c r="D3439" s="3" t="inlineStr">
        <is>
          <t>Зима</t>
        </is>
      </c>
      <c r="E3439" s="2" t="n">
        <v>1979</v>
      </c>
      <c r="F3439" s="2" t="inlineStr">
        <is>
          <t>мультфильм</t>
        </is>
      </c>
      <c r="G3439" s="2" t="inlineStr">
        <is>
          <t>СОЮЗТЕЛЕФИЛЬМ</t>
        </is>
      </c>
      <c r="H3439" s="2" t="n">
        <v>0</v>
      </c>
      <c r="I3439" s="2" t="inlineStr"/>
      <c r="J3439" s="2" t="inlineStr">
        <is>
          <t>?</t>
        </is>
      </c>
      <c r="K3439" s="3" t="inlineStr"/>
      <c r="L3439" s="2" t="inlineStr">
        <is>
          <t>https://animator.ru/db/?p=show_film&amp;fid=4701</t>
        </is>
      </c>
      <c r="M3439" s="2">
        <f>HYPERLINK("https://ru.wikipedia.org/w/index.php?search=%D0%97%D0%B8%D0%BC%D0%B0%201979%20%D1%84%D0%B8%D0%BB%D1%8C%D0%BC","искать")</f>
        <v/>
      </c>
      <c r="N3439" s="3" t="n"/>
      <c r="O3439" s="2" t="n"/>
      <c r="P3439" s="2" t="n"/>
    </row>
    <row r="3440">
      <c r="A3440" s="2" t="n">
        <v>3439</v>
      </c>
      <c r="B3440" s="2" t="inlineStr">
        <is>
          <t>короткая</t>
        </is>
      </c>
      <c r="C3440" s="2" t="n">
        <v>13422</v>
      </c>
      <c r="D3440" s="3" t="inlineStr">
        <is>
          <t>Леопольд. Телевизор кота Леопольда</t>
        </is>
      </c>
      <c r="E3440" s="2" t="n">
        <v>1981</v>
      </c>
      <c r="F3440" s="2" t="inlineStr">
        <is>
          <t>мультфильм</t>
        </is>
      </c>
      <c r="G3440" s="2" t="inlineStr">
        <is>
          <t>ЭКРАН</t>
        </is>
      </c>
      <c r="H3440" s="2" t="n">
        <v>0</v>
      </c>
      <c r="I3440" s="2" t="inlineStr"/>
      <c r="J3440" s="2" t="inlineStr">
        <is>
          <t>?</t>
        </is>
      </c>
      <c r="K3440" s="3" t="inlineStr"/>
      <c r="L3440" s="2" t="inlineStr">
        <is>
          <t>https://animator.ru/db/?p=show_film&amp;fid=4703</t>
        </is>
      </c>
      <c r="M3440" s="2">
        <f>HYPERLINK("https://ru.wikipedia.org/w/index.php?search=%D0%9B%D0%B5%D0%BE%D0%BF%D0%BE%D0%BB%D1%8C%D0%B4.%20%D0%A2%D0%B5%D0%BB%D0%B5%D0%B2%D0%B8%D0%B7%D0%BE%D1%80%20%D0%BA%D0%BE%D1%82%D0%B0%20%D0%9B%D0%B5%D0%BE%D0%BF%D0%BE%D0%BB%D1%8C%D0%B4%D0%B0%201981%20%D1%84%D0%B8%D0%BB%D1%8C%D0%BC","искать")</f>
        <v/>
      </c>
      <c r="N3440" s="3" t="n"/>
      <c r="O3440" s="2" t="n"/>
      <c r="P3440" s="2" t="n"/>
    </row>
    <row r="3441">
      <c r="A3441" s="2" t="n">
        <v>3440</v>
      </c>
      <c r="B3441" s="2" t="inlineStr">
        <is>
          <t>короткая</t>
        </is>
      </c>
      <c r="C3441" s="2" t="n">
        <v>13424</v>
      </c>
      <c r="D3441" s="3" t="inlineStr">
        <is>
          <t>Великолепный гоша 1</t>
        </is>
      </c>
      <c r="E3441" s="2" t="n">
        <v>1981</v>
      </c>
      <c r="F3441" s="2" t="inlineStr">
        <is>
          <t>мультфильм</t>
        </is>
      </c>
      <c r="G3441" s="2" t="inlineStr">
        <is>
          <t>ЭКРАН</t>
        </is>
      </c>
      <c r="H3441" s="2" t="n">
        <v>0</v>
      </c>
      <c r="I3441" s="2" t="inlineStr"/>
      <c r="J3441" s="2" t="inlineStr">
        <is>
          <t>?</t>
        </is>
      </c>
      <c r="K3441" s="3" t="inlineStr"/>
      <c r="L3441" s="2" t="inlineStr">
        <is>
          <t>https://animator.ru/db/?p=show_film&amp;fid=4705</t>
        </is>
      </c>
      <c r="M3441" s="2">
        <f>HYPERLINK("https://ru.wikipedia.org/w/index.php?search=%D0%92%D0%B5%D0%BB%D0%B8%D0%BA%D0%BE%D0%BB%D0%B5%D0%BF%D0%BD%D1%8B%D0%B9%20%D0%B3%D0%BE%D1%88%D0%B0%201%201981%20%D1%84%D0%B8%D0%BB%D1%8C%D0%BC","искать")</f>
        <v/>
      </c>
      <c r="N3441" s="3" t="n"/>
      <c r="O3441" s="2" t="n"/>
      <c r="P3441" s="2" t="n"/>
    </row>
    <row r="3442">
      <c r="A3442" s="2" t="n">
        <v>3441</v>
      </c>
      <c r="B3442" s="2" t="inlineStr">
        <is>
          <t>короткая</t>
        </is>
      </c>
      <c r="C3442" s="2" t="n">
        <v>13425</v>
      </c>
      <c r="D3442" s="3" t="inlineStr">
        <is>
          <t>Микрофильмы</t>
        </is>
      </c>
      <c r="E3442" s="2" t="n">
        <v>1982</v>
      </c>
      <c r="F3442" s="2" t="inlineStr">
        <is>
          <t>мультфильм</t>
        </is>
      </c>
      <c r="G3442" s="2" t="inlineStr">
        <is>
          <t>СОЮЗТЕЛЕФИЛЬМ</t>
        </is>
      </c>
      <c r="H3442" s="2" t="n">
        <v>0</v>
      </c>
      <c r="I3442" s="2" t="inlineStr"/>
      <c r="J3442" s="2" t="inlineStr">
        <is>
          <t>?</t>
        </is>
      </c>
      <c r="K3442" s="3" t="inlineStr"/>
      <c r="L3442" s="2" t="inlineStr">
        <is>
          <t>https://animator.ru/db/?p=show_film&amp;fid=4706</t>
        </is>
      </c>
      <c r="M3442" s="2">
        <f>HYPERLINK("https://ru.wikipedia.org/w/index.php?search=%D0%9C%D0%B8%D0%BA%D1%80%D0%BE%D1%84%D0%B8%D0%BB%D1%8C%D0%BC%D1%8B%201982%20%D1%84%D0%B8%D0%BB%D1%8C%D0%BC","искать")</f>
        <v/>
      </c>
      <c r="N3442" s="3" t="n"/>
      <c r="O3442" s="2" t="n"/>
      <c r="P3442" s="2" t="n"/>
    </row>
    <row r="3443">
      <c r="A3443" s="2" t="n">
        <v>3442</v>
      </c>
      <c r="B3443" s="2" t="inlineStr">
        <is>
          <t>короткая</t>
        </is>
      </c>
      <c r="C3443" s="2" t="n">
        <v>13426</v>
      </c>
      <c r="D3443" s="3" t="inlineStr">
        <is>
          <t>Великолепный гоша 2</t>
        </is>
      </c>
      <c r="E3443" s="2" t="n">
        <v>1981</v>
      </c>
      <c r="F3443" s="2" t="inlineStr">
        <is>
          <t>мультфильм</t>
        </is>
      </c>
      <c r="G3443" s="2" t="inlineStr">
        <is>
          <t>ЭКРАН</t>
        </is>
      </c>
      <c r="H3443" s="2" t="n">
        <v>0</v>
      </c>
      <c r="I3443" s="2" t="inlineStr"/>
      <c r="J3443" s="2" t="inlineStr">
        <is>
          <t>?</t>
        </is>
      </c>
      <c r="K3443" s="3" t="inlineStr"/>
      <c r="L3443" s="2" t="inlineStr">
        <is>
          <t>https://animator.ru/db/?p=show_film&amp;fid=4707</t>
        </is>
      </c>
      <c r="M3443" s="2">
        <f>HYPERLINK("https://ru.wikipedia.org/w/index.php?search=%D0%92%D0%B5%D0%BB%D0%B8%D0%BA%D0%BE%D0%BB%D0%B5%D0%BF%D0%BD%D1%8B%D0%B9%20%D0%B3%D0%BE%D1%88%D0%B0%202%201981%20%D1%84%D0%B8%D0%BB%D1%8C%D0%BC","искать")</f>
        <v/>
      </c>
      <c r="N3443" s="3" t="n"/>
      <c r="O3443" s="2" t="n"/>
      <c r="P3443" s="2" t="n"/>
    </row>
    <row r="3444">
      <c r="A3444" s="2" t="n">
        <v>3443</v>
      </c>
      <c r="B3444" s="2" t="inlineStr">
        <is>
          <t>короткая</t>
        </is>
      </c>
      <c r="C3444" s="2" t="n">
        <v>13428</v>
      </c>
      <c r="D3444" s="3" t="inlineStr">
        <is>
          <t>ХИТРАЯ СКАЗКА, ИЛИ УПРЯМЫЙ ЛИСЕНОК (Фильм 1)</t>
        </is>
      </c>
      <c r="E3444" s="2" t="n">
        <v>1982</v>
      </c>
      <c r="F3444" s="2" t="inlineStr">
        <is>
          <t>мультфильм</t>
        </is>
      </c>
      <c r="G3444" s="2" t="inlineStr">
        <is>
          <t>СОЮЗТЕЛЕФИЛЬМ</t>
        </is>
      </c>
      <c r="H3444" s="2" t="n">
        <v>0</v>
      </c>
      <c r="I3444" s="2" t="inlineStr"/>
      <c r="J3444" s="2" t="inlineStr">
        <is>
          <t>?</t>
        </is>
      </c>
      <c r="K3444" s="3" t="inlineStr"/>
      <c r="L3444" s="2" t="inlineStr">
        <is>
          <t>https://animator.ru/db/?p=show_film&amp;fid=4709</t>
        </is>
      </c>
      <c r="M3444" s="2">
        <f>HYPERLINK("https://ru.wikipedia.org/w/index.php?search=%D0%A5%D0%98%D0%A2%D0%A0%D0%90%D0%AF%20%D0%A1%D0%9A%D0%90%D0%97%D0%9A%D0%90%2C%20%D0%98%D0%9B%D0%98%20%D0%A3%D0%9F%D0%A0%D0%AF%D0%9C%D0%AB%D0%99%20%D0%9B%D0%98%D0%A1%D0%95%D0%9D%D0%9E%D0%9A%20%28%D0%A4%D0%B8%D0%BB%D1%8C%D0%BC%201%29%201982%20%D1%84%D0%B8%D0%BB%D1%8C%D0%BC","искать")</f>
        <v/>
      </c>
      <c r="N3444" s="3" t="n"/>
      <c r="O3444" s="2" t="n"/>
      <c r="P3444" s="2" t="n"/>
    </row>
    <row r="3445">
      <c r="A3445" s="2" t="n">
        <v>3444</v>
      </c>
      <c r="B3445" s="2" t="inlineStr">
        <is>
          <t>короткая</t>
        </is>
      </c>
      <c r="C3445" s="2" t="n">
        <v>13435</v>
      </c>
      <c r="D3445" s="3" t="inlineStr">
        <is>
          <t>Леопольд. Прогулка кота Леопольда</t>
        </is>
      </c>
      <c r="E3445" s="2" t="n">
        <v>1982</v>
      </c>
      <c r="F3445" s="2" t="inlineStr">
        <is>
          <t>мультфильм</t>
        </is>
      </c>
      <c r="G3445" s="2" t="inlineStr">
        <is>
          <t>ЭКРАН</t>
        </is>
      </c>
      <c r="H3445" s="2" t="n">
        <v>0</v>
      </c>
      <c r="I3445" s="2" t="inlineStr"/>
      <c r="J3445" s="2" t="inlineStr">
        <is>
          <t>?</t>
        </is>
      </c>
      <c r="K3445" s="3" t="inlineStr"/>
      <c r="L3445" s="2" t="inlineStr">
        <is>
          <t>https://animator.ru/db/?p=show_film&amp;fid=4716</t>
        </is>
      </c>
      <c r="M3445" s="2">
        <f>HYPERLINK("https://ru.wikipedia.org/w/index.php?search=%D0%9B%D0%B5%D0%BE%D0%BF%D0%BE%D0%BB%D1%8C%D0%B4.%20%D0%9F%D1%80%D0%BE%D0%B3%D1%83%D0%BB%D0%BA%D0%B0%20%D0%BA%D0%BE%D1%82%D0%B0%20%D0%9B%D0%B5%D0%BE%D0%BF%D0%BE%D0%BB%D1%8C%D0%B4%D0%B0%201982%20%D1%84%D0%B8%D0%BB%D1%8C%D0%BC","искать")</f>
        <v/>
      </c>
      <c r="N3445" s="3" t="n"/>
      <c r="O3445" s="2" t="n"/>
      <c r="P3445" s="2" t="n"/>
    </row>
    <row r="3446">
      <c r="A3446" s="2" t="n">
        <v>3445</v>
      </c>
      <c r="B3446" s="2" t="inlineStr">
        <is>
          <t>короткая</t>
        </is>
      </c>
      <c r="C3446" s="2" t="n">
        <v>13446</v>
      </c>
      <c r="D3446" s="3" t="inlineStr">
        <is>
          <t>Кот леопольд. Лето кота леопольда</t>
        </is>
      </c>
      <c r="E3446" s="2" t="n">
        <v>1983</v>
      </c>
      <c r="F3446" s="2" t="inlineStr">
        <is>
          <t>мультфильм</t>
        </is>
      </c>
      <c r="G3446" s="2" t="inlineStr">
        <is>
          <t>ЭКРАН</t>
        </is>
      </c>
      <c r="H3446" s="2" t="n">
        <v>0</v>
      </c>
      <c r="I3446" s="2" t="inlineStr"/>
      <c r="J3446" s="2" t="inlineStr">
        <is>
          <t>?</t>
        </is>
      </c>
      <c r="K3446" s="3" t="inlineStr"/>
      <c r="L3446" s="2" t="inlineStr">
        <is>
          <t>https://animator.ru/db/?p=show_film&amp;fid=4727</t>
        </is>
      </c>
      <c r="M3446" s="2">
        <f>HYPERLINK("https://ru.wikipedia.org/w/index.php?search=%D0%9A%D0%BE%D1%82%20%D0%BB%D0%B5%D0%BE%D0%BF%D0%BE%D0%BB%D1%8C%D0%B4.%20%D0%9B%D0%B5%D1%82%D0%BE%20%D0%BA%D0%BE%D1%82%D0%B0%20%D0%BB%D0%B5%D0%BE%D0%BF%D0%BE%D0%BB%D1%8C%D0%B4%D0%B0%201983%20%D1%84%D0%B8%D0%BB%D1%8C%D0%BC","искать")</f>
        <v/>
      </c>
      <c r="N3446" s="3" t="n"/>
      <c r="O3446" s="2" t="n"/>
      <c r="P3446" s="2" t="n"/>
    </row>
    <row r="3447">
      <c r="A3447" s="2" t="n">
        <v>3446</v>
      </c>
      <c r="B3447" s="2" t="inlineStr">
        <is>
          <t>короткая</t>
        </is>
      </c>
      <c r="C3447" s="2" t="n">
        <v>13465</v>
      </c>
      <c r="D3447" s="3" t="inlineStr">
        <is>
          <t>Биссет. Вреднюга</t>
        </is>
      </c>
      <c r="E3447" s="2" t="n">
        <v>1987</v>
      </c>
      <c r="F3447" s="2" t="inlineStr">
        <is>
          <t>мультфильм</t>
        </is>
      </c>
      <c r="G3447" s="2" t="inlineStr">
        <is>
          <t>ЭКРАН</t>
        </is>
      </c>
      <c r="H3447" s="2" t="n">
        <v>0</v>
      </c>
      <c r="I3447" s="2" t="inlineStr"/>
      <c r="J3447" s="2" t="inlineStr">
        <is>
          <t>?</t>
        </is>
      </c>
      <c r="K3447" s="3" t="inlineStr"/>
      <c r="L3447" s="2" t="inlineStr">
        <is>
          <t>https://animator.ru/db/?p=show_film&amp;fid=4746</t>
        </is>
      </c>
      <c r="M3447" s="2">
        <f>HYPERLINK("https://ru.wikipedia.org/w/index.php?search=%D0%91%D0%B8%D1%81%D1%81%D0%B5%D1%82.%20%D0%92%D1%80%D0%B5%D0%B4%D0%BD%D1%8E%D0%B3%D0%B0%201987%20%D1%84%D0%B8%D0%BB%D1%8C%D0%BC","искать")</f>
        <v/>
      </c>
      <c r="N3447" s="3" t="n"/>
      <c r="O3447" s="2" t="n"/>
      <c r="P3447" s="2" t="n"/>
    </row>
    <row r="3448">
      <c r="A3448" s="2" t="n">
        <v>3447</v>
      </c>
      <c r="B3448" s="2" t="inlineStr">
        <is>
          <t>короткая</t>
        </is>
      </c>
      <c r="C3448" s="2" t="n">
        <v>13467</v>
      </c>
      <c r="D3448" s="3" t="inlineStr">
        <is>
          <t>Домовенок кузя. Приключения домовенка</t>
        </is>
      </c>
      <c r="E3448" s="2" t="n">
        <v>1986</v>
      </c>
      <c r="F3448" s="2" t="inlineStr">
        <is>
          <t>мультфильм</t>
        </is>
      </c>
      <c r="G3448" s="2" t="inlineStr">
        <is>
          <t>ЭКРАН</t>
        </is>
      </c>
      <c r="H3448" s="2" t="n">
        <v>0</v>
      </c>
      <c r="I3448" s="2" t="inlineStr"/>
      <c r="J3448" s="2" t="inlineStr">
        <is>
          <t>?</t>
        </is>
      </c>
      <c r="K3448" s="3" t="inlineStr"/>
      <c r="L3448" s="2" t="inlineStr">
        <is>
          <t>https://animator.ru/db/?p=show_film&amp;fid=4749</t>
        </is>
      </c>
      <c r="M3448" s="2">
        <f>HYPERLINK("https://ru.wikipedia.org/w/index.php?search=%D0%94%D0%BE%D0%BC%D0%BE%D0%B2%D0%B5%D0%BD%D0%BE%D0%BA%20%D0%BA%D1%83%D0%B7%D1%8F.%20%D0%9F%D1%80%D0%B8%D0%BA%D0%BB%D1%8E%D1%87%D0%B5%D0%BD%D0%B8%D1%8F%20%D0%B4%D0%BE%D0%BC%D0%BE%D0%B2%D0%B5%D0%BD%D0%BA%D0%B0%201986%20%D1%84%D0%B8%D0%BB%D1%8C%D0%BC","искать")</f>
        <v/>
      </c>
      <c r="N3448" s="3" t="n"/>
      <c r="O3448" s="2" t="n"/>
      <c r="P3448" s="2" t="n"/>
    </row>
    <row r="3449">
      <c r="A3449" s="2" t="n">
        <v>3448</v>
      </c>
      <c r="B3449" s="2" t="inlineStr">
        <is>
          <t>короткая</t>
        </is>
      </c>
      <c r="C3449" s="2" t="n">
        <v>13495</v>
      </c>
      <c r="D3449" s="3" t="inlineStr">
        <is>
          <t>Вера и Анфиса. 1. Про Веру и Анфису</t>
        </is>
      </c>
      <c r="E3449" s="2" t="n">
        <v>1986</v>
      </c>
      <c r="F3449" s="2" t="inlineStr">
        <is>
          <t>мультфильм</t>
        </is>
      </c>
      <c r="G3449" s="2" t="inlineStr">
        <is>
          <t>Свердловская киностудия</t>
        </is>
      </c>
      <c r="H3449" s="2" t="n">
        <v>0</v>
      </c>
      <c r="I3449" s="2" t="inlineStr"/>
      <c r="J3449" s="2" t="inlineStr">
        <is>
          <t>?</t>
        </is>
      </c>
      <c r="K3449" s="3" t="inlineStr"/>
      <c r="L3449" s="2" t="inlineStr">
        <is>
          <t>https://animator.ru/db/?p=show_film&amp;fid=4785</t>
        </is>
      </c>
      <c r="M3449" s="2">
        <f>HYPERLINK("https://ru.wikipedia.org/w/index.php?search=%D0%92%D0%B5%D1%80%D0%B0%20%D0%B8%20%D0%90%D0%BD%D1%84%D0%B8%D1%81%D0%B0.%201.%20%D0%9F%D1%80%D0%BE%20%D0%92%D0%B5%D1%80%D1%83%20%D0%B8%20%D0%90%D0%BD%D1%84%D0%B8%D1%81%D1%83%201986%20%D1%84%D0%B8%D0%BB%D1%8C%D0%BC","искать")</f>
        <v/>
      </c>
      <c r="N3449" s="3" t="n"/>
      <c r="O3449" s="2" t="n"/>
      <c r="P3449" s="2" t="n"/>
    </row>
    <row r="3450">
      <c r="A3450" s="2" t="n">
        <v>3449</v>
      </c>
      <c r="B3450" s="2" t="inlineStr">
        <is>
          <t>короткая</t>
        </is>
      </c>
      <c r="C3450" s="2" t="n">
        <v>13510</v>
      </c>
      <c r="D3450" s="3" t="inlineStr">
        <is>
          <t>Двое</t>
        </is>
      </c>
      <c r="E3450" s="2" t="n">
        <v>1988</v>
      </c>
      <c r="F3450" s="2" t="inlineStr">
        <is>
          <t>мультфильм</t>
        </is>
      </c>
      <c r="G3450" s="2" t="inlineStr">
        <is>
          <t>УЗБЕКФИЛЬМ</t>
        </is>
      </c>
      <c r="H3450" s="2" t="n">
        <v>0</v>
      </c>
      <c r="I3450" s="2" t="inlineStr"/>
      <c r="J3450" s="2" t="inlineStr">
        <is>
          <t>?</t>
        </is>
      </c>
      <c r="K3450" s="3" t="inlineStr"/>
      <c r="L3450" s="2" t="inlineStr">
        <is>
          <t>https://animator.ru/db/?p=show_film&amp;fid=4800</t>
        </is>
      </c>
      <c r="M3450" s="2">
        <f>HYPERLINK("https://ru.wikipedia.org/w/index.php?search=%D0%94%D0%B2%D0%BE%D0%B5%201988%20%D1%84%D0%B8%D0%BB%D1%8C%D0%BC","искать")</f>
        <v/>
      </c>
      <c r="N3450" s="3" t="n"/>
      <c r="O3450" s="2" t="n"/>
      <c r="P3450" s="2" t="n"/>
    </row>
    <row r="3451">
      <c r="A3451" s="2" t="n">
        <v>3450</v>
      </c>
      <c r="B3451" s="2" t="inlineStr">
        <is>
          <t>короткая</t>
        </is>
      </c>
      <c r="C3451" s="2" t="n">
        <v>13511</v>
      </c>
      <c r="D3451" s="3" t="inlineStr">
        <is>
          <t>СЛЕДСТВИЕ ВЕДУТ КОЛОБКИ (Вып.2). ОГРАБЛЕНИЕ ВЕКА</t>
        </is>
      </c>
      <c r="E3451" s="2" t="n">
        <v>1983</v>
      </c>
      <c r="F3451" s="2" t="inlineStr">
        <is>
          <t>мультфильм</t>
        </is>
      </c>
      <c r="G3451" s="2" t="inlineStr">
        <is>
          <t>СОЮЗТЕЛЕФИЛЬМ</t>
        </is>
      </c>
      <c r="H3451" s="2" t="n">
        <v>0</v>
      </c>
      <c r="I3451" s="2" t="inlineStr"/>
      <c r="J3451" s="2" t="inlineStr">
        <is>
          <t>?</t>
        </is>
      </c>
      <c r="K3451" s="3" t="inlineStr"/>
      <c r="L3451" s="2" t="inlineStr">
        <is>
          <t>https://animator.ru/db/?p=show_film&amp;fid=4801</t>
        </is>
      </c>
      <c r="M3451" s="2">
        <f>HYPERLINK("https://ru.wikipedia.org/w/index.php?search=%D0%A1%D0%9B%D0%95%D0%94%D0%A1%D0%A2%D0%92%D0%98%D0%95%20%D0%92%D0%95%D0%94%D0%A3%D0%A2%20%D0%9A%D0%9E%D0%9B%D0%9E%D0%91%D0%9A%D0%98%20%28%D0%92%D1%8B%D0%BF.2%29.%20%D0%9E%D0%93%D0%A0%D0%90%D0%91%D0%9B%D0%95%D0%9D%D0%98%D0%95%20%D0%92%D0%95%D0%9A%D0%90%201983%20%D1%84%D0%B8%D0%BB%D1%8C%D0%BC","искать")</f>
        <v/>
      </c>
      <c r="N3451" s="3" t="n"/>
      <c r="O3451" s="2" t="n"/>
      <c r="P3451" s="2" t="n"/>
    </row>
    <row r="3452">
      <c r="A3452" s="2" t="n">
        <v>3451</v>
      </c>
      <c r="B3452" s="2" t="inlineStr">
        <is>
          <t>короткая</t>
        </is>
      </c>
      <c r="C3452" s="2" t="n">
        <v>13537</v>
      </c>
      <c r="D3452" s="3" t="inlineStr">
        <is>
          <t>Маленький земледелец</t>
        </is>
      </c>
      <c r="E3452" s="2" t="n">
        <v>1983</v>
      </c>
      <c r="F3452" s="2" t="inlineStr">
        <is>
          <t>мультфильм</t>
        </is>
      </c>
      <c r="G3452" s="2" t="inlineStr">
        <is>
          <t>АРМЕНФИЛЬМ</t>
        </is>
      </c>
      <c r="H3452" s="2" t="n">
        <v>0</v>
      </c>
      <c r="I3452" s="2" t="inlineStr"/>
      <c r="J3452" s="2" t="inlineStr">
        <is>
          <t>?</t>
        </is>
      </c>
      <c r="K3452" s="3" t="inlineStr"/>
      <c r="L3452" s="2" t="inlineStr">
        <is>
          <t>https://animator.ru/db/?p=show_film&amp;fid=4857</t>
        </is>
      </c>
      <c r="M3452" s="2">
        <f>HYPERLINK("https://ru.wikipedia.org/w/index.php?search=%D0%9C%D0%B0%D0%BB%D0%B5%D0%BD%D1%8C%D0%BA%D0%B8%D0%B9%20%D0%B7%D0%B5%D0%BC%D0%BB%D0%B5%D0%B4%D0%B5%D0%BB%D0%B5%D1%86%201983%20%D1%84%D0%B8%D0%BB%D1%8C%D0%BC","искать")</f>
        <v/>
      </c>
      <c r="N3452" s="3" t="n"/>
      <c r="O3452" s="2" t="n"/>
      <c r="P3452" s="2" t="n"/>
    </row>
    <row r="3453">
      <c r="A3453" s="2" t="n">
        <v>3452</v>
      </c>
      <c r="B3453" s="2" t="inlineStr">
        <is>
          <t>короткая</t>
        </is>
      </c>
      <c r="C3453" s="2" t="n">
        <v>13538</v>
      </c>
      <c r="D3453" s="3" t="inlineStr">
        <is>
          <t>Неудачник</t>
        </is>
      </c>
      <c r="E3453" s="2" t="n">
        <v>1980</v>
      </c>
      <c r="F3453" s="2" t="inlineStr">
        <is>
          <t>мультфильм</t>
        </is>
      </c>
      <c r="G3453" s="2" t="inlineStr">
        <is>
          <t>АРМЕНФИЛЬМ</t>
        </is>
      </c>
      <c r="H3453" s="2" t="n">
        <v>0</v>
      </c>
      <c r="I3453" s="2" t="inlineStr"/>
      <c r="J3453" s="2" t="inlineStr">
        <is>
          <t>?</t>
        </is>
      </c>
      <c r="K3453" s="3" t="inlineStr"/>
      <c r="L3453" s="2" t="inlineStr">
        <is>
          <t>https://animator.ru/db/?p=show_film&amp;fid=4858</t>
        </is>
      </c>
      <c r="M3453" s="2">
        <f>HYPERLINK("https://ru.wikipedia.org/w/index.php?search=%D0%9D%D0%B5%D1%83%D0%B4%D0%B0%D1%87%D0%BD%D0%B8%D0%BA%201980%20%D1%84%D0%B8%D0%BB%D1%8C%D0%BC","искать")</f>
        <v/>
      </c>
      <c r="N3453" s="3" t="n"/>
      <c r="O3453" s="2" t="n"/>
      <c r="P3453" s="2" t="n"/>
    </row>
    <row r="3454">
      <c r="A3454" s="2" t="n">
        <v>3453</v>
      </c>
      <c r="B3454" s="2" t="inlineStr">
        <is>
          <t>короткая</t>
        </is>
      </c>
      <c r="C3454" s="2" t="n">
        <v>13540</v>
      </c>
      <c r="D3454" s="3" t="inlineStr">
        <is>
          <t>Гусляр. Яблоня</t>
        </is>
      </c>
      <c r="E3454" s="2" t="n">
        <v>1987</v>
      </c>
      <c r="F3454" s="2" t="inlineStr">
        <is>
          <t>мультфильм</t>
        </is>
      </c>
      <c r="G3454" s="2" t="inlineStr">
        <is>
          <t>ГРУЗИЯ-ФИЛЬМ - АО</t>
        </is>
      </c>
      <c r="H3454" s="2" t="n">
        <v>0</v>
      </c>
      <c r="I3454" s="2" t="inlineStr"/>
      <c r="J3454" s="2" t="inlineStr">
        <is>
          <t>?</t>
        </is>
      </c>
      <c r="K3454" s="3" t="inlineStr"/>
      <c r="L3454" s="2" t="inlineStr">
        <is>
          <t>https://animator.ru/db/?p=show_film&amp;fid=4860</t>
        </is>
      </c>
      <c r="M3454" s="2">
        <f>HYPERLINK("https://ru.wikipedia.org/w/index.php?search=%D0%93%D1%83%D1%81%D0%BB%D1%8F%D1%80.%20%D0%AF%D0%B1%D0%BB%D0%BE%D0%BD%D1%8F%201987%20%D1%84%D0%B8%D0%BB%D1%8C%D0%BC","искать")</f>
        <v/>
      </c>
      <c r="N3454" s="3" t="n"/>
      <c r="O3454" s="2" t="n"/>
      <c r="P3454" s="2" t="n"/>
    </row>
    <row r="3455">
      <c r="A3455" s="2" t="n">
        <v>3454</v>
      </c>
      <c r="B3455" s="2" t="inlineStr">
        <is>
          <t>короткая</t>
        </is>
      </c>
      <c r="C3455" s="2" t="n">
        <v>13547</v>
      </c>
      <c r="D3455" s="3" t="inlineStr">
        <is>
          <t>Белый кентавр</t>
        </is>
      </c>
      <c r="E3455" s="2" t="n">
        <v>1975</v>
      </c>
      <c r="F3455" s="2" t="inlineStr">
        <is>
          <t>мультфильм</t>
        </is>
      </c>
      <c r="G3455" s="2" t="inlineStr">
        <is>
          <t>ГРУЗИЯ-ФИЛЬМ - АО</t>
        </is>
      </c>
      <c r="H3455" s="2" t="n">
        <v>0</v>
      </c>
      <c r="I3455" s="2" t="inlineStr"/>
      <c r="J3455" s="2" t="inlineStr">
        <is>
          <t>?</t>
        </is>
      </c>
      <c r="K3455" s="3" t="inlineStr"/>
      <c r="L3455" s="2" t="inlineStr">
        <is>
          <t>https://animator.ru/db/?p=show_film&amp;fid=4867</t>
        </is>
      </c>
      <c r="M3455" s="2">
        <f>HYPERLINK("https://ru.wikipedia.org/w/index.php?search=%D0%91%D0%B5%D0%BB%D1%8B%D0%B9%20%D0%BA%D0%B5%D0%BD%D1%82%D0%B0%D0%B2%D1%80%201975%20%D1%84%D0%B8%D0%BB%D1%8C%D0%BC","искать")</f>
        <v/>
      </c>
      <c r="N3455" s="3" t="n"/>
      <c r="O3455" s="2" t="n"/>
      <c r="P3455" s="2" t="n"/>
    </row>
    <row r="3456">
      <c r="A3456" s="2" t="n">
        <v>3455</v>
      </c>
      <c r="B3456" s="2" t="inlineStr">
        <is>
          <t>короткая</t>
        </is>
      </c>
      <c r="C3456" s="2" t="n">
        <v>13557</v>
      </c>
      <c r="D3456" s="3" t="inlineStr">
        <is>
          <t>Старик и кот</t>
        </is>
      </c>
      <c r="E3456" s="2" t="n">
        <v>1977</v>
      </c>
      <c r="F3456" s="2" t="inlineStr">
        <is>
          <t>мультфильм</t>
        </is>
      </c>
      <c r="G3456" s="2" t="inlineStr">
        <is>
          <t>МОЛДОВА-ФИЛЬМ</t>
        </is>
      </c>
      <c r="H3456" s="2" t="n">
        <v>0</v>
      </c>
      <c r="I3456" s="2" t="inlineStr"/>
      <c r="J3456" s="2" t="inlineStr">
        <is>
          <t>?</t>
        </is>
      </c>
      <c r="K3456" s="3" t="inlineStr"/>
      <c r="L3456" s="2" t="inlineStr">
        <is>
          <t>https://animator.ru/db/?p=show_film&amp;fid=4892</t>
        </is>
      </c>
      <c r="M3456" s="2">
        <f>HYPERLINK("https://ru.wikipedia.org/w/index.php?search=%D0%A1%D1%82%D0%B0%D1%80%D0%B8%D0%BA%20%D0%B8%20%D0%BA%D0%BE%D1%82%201977%20%D1%84%D0%B8%D0%BB%D1%8C%D0%BC","искать")</f>
        <v/>
      </c>
      <c r="N3456" s="3" t="n"/>
      <c r="O3456" s="2" t="n"/>
      <c r="P3456" s="2" t="n"/>
    </row>
    <row r="3457">
      <c r="A3457" s="2" t="n">
        <v>3456</v>
      </c>
      <c r="B3457" s="2" t="inlineStr">
        <is>
          <t>короткая</t>
        </is>
      </c>
      <c r="C3457" s="2" t="n">
        <v>13558</v>
      </c>
      <c r="D3457" s="3" t="inlineStr">
        <is>
          <t>Облако</t>
        </is>
      </c>
      <c r="E3457" s="2" t="n">
        <v>1978</v>
      </c>
      <c r="F3457" s="2" t="inlineStr">
        <is>
          <t>мультфильм</t>
        </is>
      </c>
      <c r="G3457" s="2" t="inlineStr">
        <is>
          <t>МОЛДОВА-ФИЛЬМ</t>
        </is>
      </c>
      <c r="H3457" s="2" t="n">
        <v>0</v>
      </c>
      <c r="I3457" s="2" t="inlineStr"/>
      <c r="J3457" s="2" t="inlineStr">
        <is>
          <t>?</t>
        </is>
      </c>
      <c r="K3457" s="3" t="inlineStr"/>
      <c r="L3457" s="2" t="inlineStr">
        <is>
          <t>https://animator.ru/db/?p=show_film&amp;fid=4893</t>
        </is>
      </c>
      <c r="M3457" s="2">
        <f>HYPERLINK("https://ru.wikipedia.org/w/index.php?search=%D0%9E%D0%B1%D0%BB%D0%B0%D0%BA%D0%BE%201978%20%D1%84%D0%B8%D0%BB%D1%8C%D0%BC","искать")</f>
        <v/>
      </c>
      <c r="N3457" s="3" t="n"/>
      <c r="O3457" s="2" t="n"/>
      <c r="P3457" s="2" t="n"/>
    </row>
    <row r="3458">
      <c r="A3458" s="2" t="n">
        <v>3457</v>
      </c>
      <c r="B3458" s="2" t="inlineStr">
        <is>
          <t>короткая</t>
        </is>
      </c>
      <c r="C3458" s="2" t="n">
        <v>13559</v>
      </c>
      <c r="D3458" s="3" t="inlineStr">
        <is>
          <t>Чужими ногами</t>
        </is>
      </c>
      <c r="E3458" s="2" t="n">
        <v>1979</v>
      </c>
      <c r="F3458" s="2" t="inlineStr">
        <is>
          <t>мультфильм</t>
        </is>
      </c>
      <c r="G3458" s="2" t="inlineStr">
        <is>
          <t>МОЛДОВА-ФИЛЬМ</t>
        </is>
      </c>
      <c r="H3458" s="2" t="n">
        <v>0</v>
      </c>
      <c r="I3458" s="2" t="inlineStr"/>
      <c r="J3458" s="2" t="inlineStr">
        <is>
          <t>?</t>
        </is>
      </c>
      <c r="K3458" s="3" t="inlineStr"/>
      <c r="L3458" s="2" t="inlineStr">
        <is>
          <t>https://animator.ru/db/?p=show_film&amp;fid=4894</t>
        </is>
      </c>
      <c r="M3458" s="2">
        <f>HYPERLINK("https://ru.wikipedia.org/w/index.php?search=%D0%A7%D1%83%D0%B6%D0%B8%D0%BC%D0%B8%20%D0%BD%D0%BE%D0%B3%D0%B0%D0%BC%D0%B8%201979%20%D1%84%D0%B8%D0%BB%D1%8C%D0%BC","искать")</f>
        <v/>
      </c>
      <c r="N3458" s="3" t="n"/>
      <c r="O3458" s="2" t="n"/>
      <c r="P3458" s="2" t="n"/>
    </row>
    <row r="3459">
      <c r="A3459" s="2" t="n">
        <v>3458</v>
      </c>
      <c r="B3459" s="2" t="inlineStr">
        <is>
          <t>короткая</t>
        </is>
      </c>
      <c r="C3459" s="2" t="n">
        <v>13561</v>
      </c>
      <c r="D3459" s="3" t="inlineStr">
        <is>
          <t>Мэрцишор - праздник весны</t>
        </is>
      </c>
      <c r="E3459" s="2" t="n">
        <v>1980</v>
      </c>
      <c r="F3459" s="2" t="inlineStr">
        <is>
          <t>мультфильм</t>
        </is>
      </c>
      <c r="G3459" s="2" t="inlineStr">
        <is>
          <t>МОЛДОВА-ФИЛЬМ</t>
        </is>
      </c>
      <c r="H3459" s="2" t="n">
        <v>0</v>
      </c>
      <c r="I3459" s="2" t="inlineStr"/>
      <c r="J3459" s="2" t="inlineStr">
        <is>
          <t>?</t>
        </is>
      </c>
      <c r="K3459" s="3" t="inlineStr"/>
      <c r="L3459" s="2" t="inlineStr">
        <is>
          <t>https://animator.ru/db/?p=show_film&amp;fid=4896</t>
        </is>
      </c>
      <c r="M3459" s="2">
        <f>HYPERLINK("https://ru.wikipedia.org/w/index.php?search=%D0%9C%D1%8D%D1%80%D1%86%D0%B8%D1%88%D0%BE%D1%80%20-%20%D0%BF%D1%80%D0%B0%D0%B7%D0%B4%D0%BD%D0%B8%D0%BA%20%D0%B2%D0%B5%D1%81%D0%BD%D1%8B%201980%20%D1%84%D0%B8%D0%BB%D1%8C%D0%BC","искать")</f>
        <v/>
      </c>
      <c r="N3459" s="3" t="n"/>
      <c r="O3459" s="2" t="n"/>
      <c r="P3459" s="2" t="n"/>
    </row>
    <row r="3460">
      <c r="A3460" s="2" t="n">
        <v>3459</v>
      </c>
      <c r="B3460" s="2" t="inlineStr">
        <is>
          <t>короткая</t>
        </is>
      </c>
      <c r="C3460" s="2" t="n">
        <v>13562</v>
      </c>
      <c r="D3460" s="3" t="inlineStr">
        <is>
          <t>Черный вихрь</t>
        </is>
      </c>
      <c r="E3460" s="2" t="n">
        <v>1981</v>
      </c>
      <c r="F3460" s="2" t="inlineStr">
        <is>
          <t>мультфильм</t>
        </is>
      </c>
      <c r="G3460" s="2" t="inlineStr">
        <is>
          <t>МОЛДОВА-ФИЛЬМ</t>
        </is>
      </c>
      <c r="H3460" s="2" t="n">
        <v>0</v>
      </c>
      <c r="I3460" s="2" t="inlineStr"/>
      <c r="J3460" s="2" t="inlineStr">
        <is>
          <t>?</t>
        </is>
      </c>
      <c r="K3460" s="3" t="inlineStr"/>
      <c r="L3460" s="2" t="inlineStr">
        <is>
          <t>https://animator.ru/db/?p=show_film&amp;fid=4897</t>
        </is>
      </c>
      <c r="M3460" s="2">
        <f>HYPERLINK("https://ru.wikipedia.org/w/index.php?search=%D0%A7%D0%B5%D1%80%D0%BD%D1%8B%D0%B9%20%D0%B2%D0%B8%D1%85%D1%80%D1%8C%201981%20%D1%84%D0%B8%D0%BB%D1%8C%D0%BC","искать")</f>
        <v/>
      </c>
      <c r="N3460" s="3" t="n"/>
      <c r="O3460" s="2" t="n"/>
      <c r="P3460" s="2" t="n"/>
    </row>
    <row r="3461">
      <c r="A3461" s="2" t="n">
        <v>3460</v>
      </c>
      <c r="B3461" s="2" t="inlineStr">
        <is>
          <t>короткая</t>
        </is>
      </c>
      <c r="C3461" s="2" t="n">
        <v>13563</v>
      </c>
      <c r="D3461" s="3" t="inlineStr">
        <is>
          <t>Добрый волшебник</t>
        </is>
      </c>
      <c r="E3461" s="2" t="n">
        <v>1982</v>
      </c>
      <c r="F3461" s="2" t="inlineStr">
        <is>
          <t>мультфильм</t>
        </is>
      </c>
      <c r="G3461" s="2" t="inlineStr">
        <is>
          <t>МОЛДОВА-ФИЛЬМ</t>
        </is>
      </c>
      <c r="H3461" s="2" t="n">
        <v>0</v>
      </c>
      <c r="I3461" s="2" t="inlineStr"/>
      <c r="J3461" s="2" t="inlineStr">
        <is>
          <t>?</t>
        </is>
      </c>
      <c r="K3461" s="3" t="inlineStr"/>
      <c r="L3461" s="2" t="inlineStr">
        <is>
          <t>https://animator.ru/db/?p=show_film&amp;fid=4898</t>
        </is>
      </c>
      <c r="M3461" s="2">
        <f>HYPERLINK("https://ru.wikipedia.org/w/index.php?search=%D0%94%D0%BE%D0%B1%D1%80%D1%8B%D0%B9%20%D0%B2%D0%BE%D0%BB%D1%88%D0%B5%D0%B1%D0%BD%D0%B8%D0%BA%201982%20%D1%84%D0%B8%D0%BB%D1%8C%D0%BC","искать")</f>
        <v/>
      </c>
      <c r="N3461" s="3" t="n"/>
      <c r="O3461" s="2" t="n"/>
      <c r="P3461" s="2" t="n"/>
    </row>
    <row r="3462">
      <c r="A3462" s="2" t="n">
        <v>3461</v>
      </c>
      <c r="B3462" s="2" t="inlineStr">
        <is>
          <t>короткая</t>
        </is>
      </c>
      <c r="C3462" s="2" t="n">
        <v>13564</v>
      </c>
      <c r="D3462" s="3" t="inlineStr">
        <is>
          <t>Завистливый горшок</t>
        </is>
      </c>
      <c r="E3462" s="2" t="n">
        <v>1983</v>
      </c>
      <c r="F3462" s="2" t="inlineStr">
        <is>
          <t>мультфильм</t>
        </is>
      </c>
      <c r="G3462" s="2" t="inlineStr">
        <is>
          <t>МОЛДОВА-ФИЛЬМ</t>
        </is>
      </c>
      <c r="H3462" s="2" t="n">
        <v>0</v>
      </c>
      <c r="I3462" s="2" t="inlineStr"/>
      <c r="J3462" s="2" t="inlineStr">
        <is>
          <t>?</t>
        </is>
      </c>
      <c r="K3462" s="3" t="inlineStr"/>
      <c r="L3462" s="2" t="inlineStr">
        <is>
          <t>https://animator.ru/db/?p=show_film&amp;fid=4899</t>
        </is>
      </c>
      <c r="M3462" s="2">
        <f>HYPERLINK("https://ru.wikipedia.org/w/index.php?search=%D0%97%D0%B0%D0%B2%D0%B8%D1%81%D1%82%D0%BB%D0%B8%D0%B2%D1%8B%D0%B9%20%D0%B3%D0%BE%D1%80%D1%88%D0%BE%D0%BA%201983%20%D1%84%D0%B8%D0%BB%D1%8C%D0%BC","искать")</f>
        <v/>
      </c>
      <c r="N3462" s="3" t="n"/>
      <c r="O3462" s="2" t="n"/>
      <c r="P3462" s="2" t="n"/>
    </row>
    <row r="3463">
      <c r="A3463" s="2" t="n">
        <v>3462</v>
      </c>
      <c r="B3463" s="2" t="inlineStr">
        <is>
          <t>короткая</t>
        </is>
      </c>
      <c r="C3463" s="2" t="n">
        <v>13565</v>
      </c>
      <c r="D3463" s="3" t="inlineStr">
        <is>
          <t>Новогодняя ночь</t>
        </is>
      </c>
      <c r="E3463" s="2" t="n">
        <v>1983</v>
      </c>
      <c r="F3463" s="2" t="inlineStr">
        <is>
          <t>мультфильм</t>
        </is>
      </c>
      <c r="G3463" s="2" t="inlineStr">
        <is>
          <t>МОЛДОВА-ФИЛЬМ</t>
        </is>
      </c>
      <c r="H3463" s="2" t="n">
        <v>0</v>
      </c>
      <c r="I3463" s="2" t="inlineStr"/>
      <c r="J3463" s="2" t="inlineStr">
        <is>
          <t>?</t>
        </is>
      </c>
      <c r="K3463" s="3" t="inlineStr"/>
      <c r="L3463" s="2" t="inlineStr">
        <is>
          <t>https://animator.ru/db/?p=show_film&amp;fid=4900</t>
        </is>
      </c>
      <c r="M3463" s="2">
        <f>HYPERLINK("https://ru.wikipedia.org/w/index.php?search=%D0%9D%D0%BE%D0%B2%D0%BE%D0%B3%D0%BE%D0%B4%D0%BD%D1%8F%D1%8F%20%D0%BD%D0%BE%D1%87%D1%8C%201983%20%D1%84%D0%B8%D0%BB%D1%8C%D0%BC","искать")</f>
        <v/>
      </c>
      <c r="N3463" s="3" t="n"/>
      <c r="O3463" s="2" t="n"/>
      <c r="P3463" s="2" t="n"/>
    </row>
    <row r="3464">
      <c r="A3464" s="2" t="n">
        <v>3463</v>
      </c>
      <c r="B3464" s="2" t="inlineStr">
        <is>
          <t>короткая</t>
        </is>
      </c>
      <c r="C3464" s="2" t="n">
        <v>13566</v>
      </c>
      <c r="D3464" s="3" t="inlineStr">
        <is>
          <t>Бунт деревьев</t>
        </is>
      </c>
      <c r="E3464" s="2" t="n">
        <v>1984</v>
      </c>
      <c r="F3464" s="2" t="inlineStr">
        <is>
          <t>мультфильм</t>
        </is>
      </c>
      <c r="G3464" s="2" t="inlineStr">
        <is>
          <t>МОЛДОВА-ФИЛЬМ</t>
        </is>
      </c>
      <c r="H3464" s="2" t="n">
        <v>0</v>
      </c>
      <c r="I3464" s="2" t="inlineStr"/>
      <c r="J3464" s="2" t="inlineStr">
        <is>
          <t>?</t>
        </is>
      </c>
      <c r="K3464" s="3" t="inlineStr"/>
      <c r="L3464" s="2" t="inlineStr">
        <is>
          <t>https://animator.ru/db/?p=show_film&amp;fid=4901</t>
        </is>
      </c>
      <c r="M3464" s="2">
        <f>HYPERLINK("https://ru.wikipedia.org/w/index.php?search=%D0%91%D1%83%D0%BD%D1%82%20%D0%B4%D0%B5%D1%80%D0%B5%D0%B2%D1%8C%D0%B5%D0%B2%201984%20%D1%84%D0%B8%D0%BB%D1%8C%D0%BC","искать")</f>
        <v/>
      </c>
      <c r="N3464" s="3" t="n"/>
      <c r="O3464" s="2" t="n"/>
      <c r="P3464" s="2" t="n"/>
    </row>
    <row r="3465">
      <c r="A3465" s="2" t="n">
        <v>3464</v>
      </c>
      <c r="B3465" s="2" t="inlineStr">
        <is>
          <t>короткая</t>
        </is>
      </c>
      <c r="C3465" s="2" t="n">
        <v>13567</v>
      </c>
      <c r="D3465" s="3" t="inlineStr">
        <is>
          <t>Кобря</t>
        </is>
      </c>
      <c r="E3465" s="2" t="n">
        <v>1984</v>
      </c>
      <c r="F3465" s="2" t="inlineStr">
        <is>
          <t>мультфильм</t>
        </is>
      </c>
      <c r="G3465" s="2" t="inlineStr">
        <is>
          <t>МОЛДОВА-ФИЛЬМ</t>
        </is>
      </c>
      <c r="H3465" s="2" t="n">
        <v>0</v>
      </c>
      <c r="I3465" s="2" t="inlineStr"/>
      <c r="J3465" s="2" t="inlineStr">
        <is>
          <t>?</t>
        </is>
      </c>
      <c r="K3465" s="3" t="inlineStr"/>
      <c r="L3465" s="2" t="inlineStr">
        <is>
          <t>https://animator.ru/db/?p=show_film&amp;fid=4902</t>
        </is>
      </c>
      <c r="M3465" s="2">
        <f>HYPERLINK("https://ru.wikipedia.org/w/index.php?search=%D0%9A%D0%BE%D0%B1%D1%80%D1%8F%201984%20%D1%84%D0%B8%D0%BB%D1%8C%D0%BC","искать")</f>
        <v/>
      </c>
      <c r="N3465" s="3" t="n"/>
      <c r="O3465" s="2" t="n"/>
      <c r="P3465" s="2" t="n"/>
    </row>
    <row r="3466">
      <c r="A3466" s="2" t="n">
        <v>3465</v>
      </c>
      <c r="B3466" s="2" t="inlineStr">
        <is>
          <t>короткая</t>
        </is>
      </c>
      <c r="C3466" s="2" t="n">
        <v>13569</v>
      </c>
      <c r="D3466" s="3" t="inlineStr">
        <is>
          <t>Сапожки для аиста</t>
        </is>
      </c>
      <c r="E3466" s="2" t="n">
        <v>1984</v>
      </c>
      <c r="F3466" s="2" t="inlineStr">
        <is>
          <t>мультфильм</t>
        </is>
      </c>
      <c r="G3466" s="2" t="inlineStr">
        <is>
          <t>МОЛДОВА-ФИЛЬМ</t>
        </is>
      </c>
      <c r="H3466" s="2" t="n">
        <v>0</v>
      </c>
      <c r="I3466" s="2" t="inlineStr"/>
      <c r="J3466" s="2" t="inlineStr">
        <is>
          <t>?</t>
        </is>
      </c>
      <c r="K3466" s="3" t="inlineStr"/>
      <c r="L3466" s="2" t="inlineStr">
        <is>
          <t>https://animator.ru/db/?p=show_film&amp;fid=4904</t>
        </is>
      </c>
      <c r="M3466" s="2">
        <f>HYPERLINK("https://ru.wikipedia.org/w/index.php?search=%D0%A1%D0%B0%D0%BF%D0%BE%D0%B6%D0%BA%D0%B8%20%D0%B4%D0%BB%D1%8F%20%D0%B0%D0%B8%D1%81%D1%82%D0%B0%201984%20%D1%84%D0%B8%D0%BB%D1%8C%D0%BC","искать")</f>
        <v/>
      </c>
      <c r="N3466" s="3" t="n"/>
      <c r="O3466" s="2" t="n"/>
      <c r="P3466" s="2" t="n"/>
    </row>
    <row r="3467">
      <c r="A3467" s="2" t="n">
        <v>3466</v>
      </c>
      <c r="B3467" s="2" t="inlineStr">
        <is>
          <t>короткая</t>
        </is>
      </c>
      <c r="C3467" s="2" t="n">
        <v>13570</v>
      </c>
      <c r="D3467" s="3" t="inlineStr">
        <is>
          <t>Веселые подметальщики</t>
        </is>
      </c>
      <c r="E3467" s="2" t="n">
        <v>1984</v>
      </c>
      <c r="F3467" s="2" t="inlineStr">
        <is>
          <t>мультфильм</t>
        </is>
      </c>
      <c r="G3467" s="2" t="inlineStr">
        <is>
          <t>МОЛДОВА-ФИЛЬМ</t>
        </is>
      </c>
      <c r="H3467" s="2" t="n">
        <v>0</v>
      </c>
      <c r="I3467" s="2" t="inlineStr"/>
      <c r="J3467" s="2" t="inlineStr">
        <is>
          <t>?</t>
        </is>
      </c>
      <c r="K3467" s="3" t="inlineStr"/>
      <c r="L3467" s="2" t="inlineStr">
        <is>
          <t>https://animator.ru/db/?p=show_film&amp;fid=4905</t>
        </is>
      </c>
      <c r="M3467" s="2">
        <f>HYPERLINK("https://ru.wikipedia.org/w/index.php?search=%D0%92%D0%B5%D1%81%D0%B5%D0%BB%D1%8B%D0%B5%20%D0%BF%D0%BE%D0%B4%D0%BC%D0%B5%D1%82%D0%B0%D0%BB%D1%8C%D1%89%D0%B8%D0%BA%D0%B8%201984%20%D1%84%D0%B8%D0%BB%D1%8C%D0%BC","искать")</f>
        <v/>
      </c>
      <c r="N3467" s="3" t="n"/>
      <c r="O3467" s="2" t="n"/>
      <c r="P3467" s="2" t="n"/>
    </row>
    <row r="3468">
      <c r="A3468" s="2" t="n">
        <v>3467</v>
      </c>
      <c r="B3468" s="2" t="inlineStr">
        <is>
          <t>короткая</t>
        </is>
      </c>
      <c r="C3468" s="2" t="n">
        <v>13571</v>
      </c>
      <c r="D3468" s="3" t="inlineStr">
        <is>
          <t>Дракон и солнце</t>
        </is>
      </c>
      <c r="E3468" s="2" t="n">
        <v>1987</v>
      </c>
      <c r="F3468" s="2" t="inlineStr">
        <is>
          <t>мультфильм</t>
        </is>
      </c>
      <c r="G3468" s="2" t="inlineStr">
        <is>
          <t>МОЛДОВА-ФИЛЬМ</t>
        </is>
      </c>
      <c r="H3468" s="2" t="n">
        <v>0</v>
      </c>
      <c r="I3468" s="2" t="inlineStr"/>
      <c r="J3468" s="2" t="inlineStr">
        <is>
          <t>?</t>
        </is>
      </c>
      <c r="K3468" s="3" t="inlineStr"/>
      <c r="L3468" s="2" t="inlineStr">
        <is>
          <t>https://animator.ru/db/?p=show_film&amp;fid=4906</t>
        </is>
      </c>
      <c r="M3468" s="2">
        <f>HYPERLINK("https://ru.wikipedia.org/w/index.php?search=%D0%94%D1%80%D0%B0%D0%BA%D0%BE%D0%BD%20%D0%B8%20%D1%81%D0%BE%D0%BB%D0%BD%D1%86%D0%B5%201987%20%D1%84%D0%B8%D0%BB%D1%8C%D0%BC","искать")</f>
        <v/>
      </c>
      <c r="N3468" s="3" t="n"/>
      <c r="O3468" s="2" t="n"/>
      <c r="P3468" s="2" t="n"/>
    </row>
    <row r="3469">
      <c r="A3469" s="2" t="n">
        <v>3468</v>
      </c>
      <c r="B3469" s="2" t="inlineStr">
        <is>
          <t>короткая</t>
        </is>
      </c>
      <c r="C3469" s="2" t="n">
        <v>13572</v>
      </c>
      <c r="D3469" s="3" t="inlineStr">
        <is>
          <t>Руксанда</t>
        </is>
      </c>
      <c r="E3469" s="2" t="n">
        <v>1987</v>
      </c>
      <c r="F3469" s="2" t="inlineStr">
        <is>
          <t>мультфильм</t>
        </is>
      </c>
      <c r="G3469" s="2" t="inlineStr">
        <is>
          <t>МОЛДОВА-ФИЛЬМ</t>
        </is>
      </c>
      <c r="H3469" s="2" t="n">
        <v>0</v>
      </c>
      <c r="I3469" s="2" t="inlineStr"/>
      <c r="J3469" s="2" t="inlineStr">
        <is>
          <t>?</t>
        </is>
      </c>
      <c r="K3469" s="3" t="inlineStr"/>
      <c r="L3469" s="2" t="inlineStr">
        <is>
          <t>https://animator.ru/db/?p=show_film&amp;fid=4907</t>
        </is>
      </c>
      <c r="M3469" s="2">
        <f>HYPERLINK("https://ru.wikipedia.org/w/index.php?search=%D0%A0%D1%83%D0%BA%D1%81%D0%B0%D0%BD%D0%B4%D0%B0%201987%20%D1%84%D0%B8%D0%BB%D1%8C%D0%BC","искать")</f>
        <v/>
      </c>
      <c r="N3469" s="3" t="n"/>
      <c r="O3469" s="2" t="n"/>
      <c r="P3469" s="2" t="n"/>
    </row>
    <row r="3470">
      <c r="A3470" s="2" t="n">
        <v>3469</v>
      </c>
      <c r="B3470" s="2" t="inlineStr">
        <is>
          <t>короткая</t>
        </is>
      </c>
      <c r="C3470" s="2" t="n">
        <v>13588</v>
      </c>
      <c r="D3470" s="3" t="inlineStr">
        <is>
          <t>Биссет. Крококот</t>
        </is>
      </c>
      <c r="E3470" s="2" t="n">
        <v>1985</v>
      </c>
      <c r="F3470" s="2" t="inlineStr">
        <is>
          <t>мультфильм</t>
        </is>
      </c>
      <c r="G3470" s="2" t="inlineStr">
        <is>
          <t>ЭКРАН</t>
        </is>
      </c>
      <c r="H3470" s="2" t="n">
        <v>0</v>
      </c>
      <c r="I3470" s="2" t="inlineStr"/>
      <c r="J3470" s="2" t="inlineStr">
        <is>
          <t>?</t>
        </is>
      </c>
      <c r="K3470" s="3" t="inlineStr"/>
      <c r="L3470" s="2" t="inlineStr">
        <is>
          <t>https://animator.ru/db/?p=show_film&amp;fid=4935</t>
        </is>
      </c>
      <c r="M3470" s="2">
        <f>HYPERLINK("https://ru.wikipedia.org/w/index.php?search=%D0%91%D0%B8%D1%81%D1%81%D0%B5%D1%82.%20%D0%9A%D1%80%D0%BE%D0%BA%D0%BE%D0%BA%D0%BE%D1%82%201985%20%D1%84%D0%B8%D0%BB%D1%8C%D0%BC","искать")</f>
        <v/>
      </c>
      <c r="N3470" s="3" t="n"/>
      <c r="O3470" s="2" t="n"/>
      <c r="P3470" s="2" t="n"/>
    </row>
    <row r="3471">
      <c r="A3471" s="2" t="n">
        <v>3470</v>
      </c>
      <c r="B3471" s="2" t="inlineStr">
        <is>
          <t>короткая</t>
        </is>
      </c>
      <c r="C3471" s="2" t="n">
        <v>13596</v>
      </c>
      <c r="D3471" s="3" t="inlineStr">
        <is>
          <t>Доктор Айболит. 6. Крокодил и солнце</t>
        </is>
      </c>
      <c r="E3471" s="2" t="n">
        <v>1985</v>
      </c>
      <c r="F3471" s="2" t="inlineStr">
        <is>
          <t>мультфильм</t>
        </is>
      </c>
      <c r="G3471" s="2" t="inlineStr">
        <is>
          <t>КИЕВНАУЧФИЛЬМ</t>
        </is>
      </c>
      <c r="H3471" s="2" t="n">
        <v>0</v>
      </c>
      <c r="I3471" s="2" t="inlineStr"/>
      <c r="J3471" s="2" t="inlineStr">
        <is>
          <t>?</t>
        </is>
      </c>
      <c r="K3471" s="3" t="inlineStr"/>
      <c r="L3471" s="2" t="inlineStr">
        <is>
          <t>https://animator.ru/db/?p=show_film&amp;fid=4946</t>
        </is>
      </c>
      <c r="M3471" s="2">
        <f>HYPERLINK("https://ru.wikipedia.org/w/index.php?search=%D0%94%D0%BE%D0%BA%D1%82%D0%BE%D1%80%20%D0%90%D0%B9%D0%B1%D0%BE%D0%BB%D0%B8%D1%82.%206.%20%D0%9A%D1%80%D0%BE%D0%BA%D0%BE%D0%B4%D0%B8%D0%BB%20%D0%B8%20%D1%81%D0%BE%D0%BB%D0%BD%D1%86%D0%B5%201985%20%D1%84%D0%B8%D0%BB%D1%8C%D0%BC","искать")</f>
        <v/>
      </c>
      <c r="N3471" s="3" t="n"/>
      <c r="O3471" s="2" t="n"/>
      <c r="P3471" s="2" t="n"/>
    </row>
    <row r="3472">
      <c r="A3472" s="2" t="n">
        <v>3471</v>
      </c>
      <c r="B3472" s="2" t="inlineStr">
        <is>
          <t>короткая</t>
        </is>
      </c>
      <c r="C3472" s="2" t="n">
        <v>13603</v>
      </c>
      <c r="D3472" s="3" t="inlineStr">
        <is>
          <t>Приключения Мюнхаузена. Чудесный остров</t>
        </is>
      </c>
      <c r="E3472" s="2" t="n">
        <v>1974</v>
      </c>
      <c r="F3472" s="2" t="inlineStr">
        <is>
          <t>мультфильм</t>
        </is>
      </c>
      <c r="G3472" s="2" t="inlineStr">
        <is>
          <t>ЭКРАН</t>
        </is>
      </c>
      <c r="H3472" s="2" t="n">
        <v>0</v>
      </c>
      <c r="I3472" s="2" t="inlineStr"/>
      <c r="J3472" s="2" t="inlineStr">
        <is>
          <t>?</t>
        </is>
      </c>
      <c r="K3472" s="3" t="inlineStr"/>
      <c r="L3472" s="2" t="inlineStr">
        <is>
          <t>https://animator.ru/db/?p=show_film&amp;fid=4953</t>
        </is>
      </c>
      <c r="M3472" s="2">
        <f>HYPERLINK("https://ru.wikipedia.org/w/index.php?search=%D0%9F%D1%80%D0%B8%D0%BA%D0%BB%D1%8E%D1%87%D0%B5%D0%BD%D0%B8%D1%8F%20%D0%9C%D1%8E%D0%BD%D1%85%D0%B0%D1%83%D0%B7%D0%B5%D0%BD%D0%B0.%20%D0%A7%D1%83%D0%B4%D0%B5%D1%81%D0%BD%D1%8B%D0%B9%20%D0%BE%D1%81%D1%82%D1%80%D0%BE%D0%B2%201974%20%D1%84%D0%B8%D0%BB%D1%8C%D0%BC","искать")</f>
        <v/>
      </c>
      <c r="N3472" s="3" t="n"/>
      <c r="O3472" s="2" t="n"/>
      <c r="P3472" s="2" t="n"/>
    </row>
    <row r="3473">
      <c r="A3473" s="2" t="n">
        <v>3472</v>
      </c>
      <c r="B3473" s="2" t="inlineStr">
        <is>
          <t>короткая</t>
        </is>
      </c>
      <c r="C3473" s="2" t="n">
        <v>13635</v>
      </c>
      <c r="D3473" s="3" t="inlineStr">
        <is>
          <t>Доктор Айболит. 4. Коварный план Бармалея</t>
        </is>
      </c>
      <c r="E3473" s="2" t="n">
        <v>1985</v>
      </c>
      <c r="F3473" s="2" t="inlineStr">
        <is>
          <t>мультфильм</t>
        </is>
      </c>
      <c r="G3473" s="2" t="inlineStr">
        <is>
          <t>КИЕВНАУЧФИЛЬМ</t>
        </is>
      </c>
      <c r="H3473" s="2" t="n">
        <v>0</v>
      </c>
      <c r="I3473" s="2" t="inlineStr"/>
      <c r="J3473" s="2" t="inlineStr">
        <is>
          <t>?</t>
        </is>
      </c>
      <c r="K3473" s="3" t="inlineStr"/>
      <c r="L3473" s="2" t="inlineStr">
        <is>
          <t>https://animator.ru/db/?p=show_film&amp;fid=5027</t>
        </is>
      </c>
      <c r="M3473" s="2">
        <f>HYPERLINK("https://ru.wikipedia.org/w/index.php?search=%D0%94%D0%BE%D0%BA%D1%82%D0%BE%D1%80%20%D0%90%D0%B9%D0%B1%D0%BE%D0%BB%D0%B8%D1%82.%204.%20%D0%9A%D0%BE%D0%B2%D0%B0%D1%80%D0%BD%D1%8B%D0%B9%20%D0%BF%D0%BB%D0%B0%D0%BD%20%D0%91%D0%B0%D1%80%D0%BC%D0%B0%D0%BB%D0%B5%D1%8F%201985%20%D1%84%D0%B8%D0%BB%D1%8C%D0%BC","искать")</f>
        <v/>
      </c>
      <c r="N3473" s="3" t="n"/>
      <c r="O3473" s="2" t="n"/>
      <c r="P3473" s="2" t="n"/>
    </row>
    <row r="3474">
      <c r="A3474" s="2" t="n">
        <v>3473</v>
      </c>
      <c r="B3474" s="2" t="inlineStr">
        <is>
          <t>короткая</t>
        </is>
      </c>
      <c r="C3474" s="2" t="n">
        <v>13642</v>
      </c>
      <c r="D3474" s="3" t="inlineStr">
        <is>
          <t>Великолепный гоша 3</t>
        </is>
      </c>
      <c r="E3474" s="2" t="n">
        <v>1981</v>
      </c>
      <c r="F3474" s="2" t="inlineStr">
        <is>
          <t>мультфильм</t>
        </is>
      </c>
      <c r="G3474" s="2" t="inlineStr">
        <is>
          <t>ЭКРАН</t>
        </is>
      </c>
      <c r="H3474" s="2" t="n">
        <v>0</v>
      </c>
      <c r="I3474" s="2" t="inlineStr"/>
      <c r="J3474" s="2" t="inlineStr">
        <is>
          <t>?</t>
        </is>
      </c>
      <c r="K3474" s="3" t="inlineStr"/>
      <c r="L3474" s="2" t="inlineStr">
        <is>
          <t>https://animator.ru/db/?p=show_film&amp;fid=5034</t>
        </is>
      </c>
      <c r="M3474" s="2">
        <f>HYPERLINK("https://ru.wikipedia.org/w/index.php?search=%D0%92%D0%B5%D0%BB%D0%B8%D0%BA%D0%BE%D0%BB%D0%B5%D0%BF%D0%BD%D1%8B%D0%B9%20%D0%B3%D0%BE%D1%88%D0%B0%203%201981%20%D1%84%D0%B8%D0%BB%D1%8C%D0%BC","искать")</f>
        <v/>
      </c>
      <c r="N3474" s="3" t="n"/>
      <c r="O3474" s="2" t="n"/>
      <c r="P3474" s="2" t="n"/>
    </row>
    <row r="3475">
      <c r="A3475" s="2" t="n">
        <v>3474</v>
      </c>
      <c r="B3475" s="2" t="inlineStr">
        <is>
          <t>короткая</t>
        </is>
      </c>
      <c r="C3475" s="2" t="n">
        <v>13643</v>
      </c>
      <c r="D3475" s="3" t="inlineStr">
        <is>
          <t>Великолепный гоша 4</t>
        </is>
      </c>
      <c r="E3475" s="2" t="n">
        <v>1982</v>
      </c>
      <c r="F3475" s="2" t="inlineStr">
        <is>
          <t>мультфильм</t>
        </is>
      </c>
      <c r="G3475" s="2" t="inlineStr">
        <is>
          <t>ЭКРАН</t>
        </is>
      </c>
      <c r="H3475" s="2" t="n">
        <v>0</v>
      </c>
      <c r="I3475" s="2" t="inlineStr"/>
      <c r="J3475" s="2" t="inlineStr">
        <is>
          <t>?</t>
        </is>
      </c>
      <c r="K3475" s="3" t="inlineStr"/>
      <c r="L3475" s="2" t="inlineStr">
        <is>
          <t>https://animator.ru/db/?p=show_film&amp;fid=5035</t>
        </is>
      </c>
      <c r="M3475" s="2">
        <f>HYPERLINK("https://ru.wikipedia.org/w/index.php?search=%D0%92%D0%B5%D0%BB%D0%B8%D0%BA%D0%BE%D0%BB%D0%B5%D0%BF%D0%BD%D1%8B%D0%B9%20%D0%B3%D0%BE%D1%88%D0%B0%204%201982%20%D1%84%D0%B8%D0%BB%D1%8C%D0%BC","искать")</f>
        <v/>
      </c>
      <c r="N3475" s="3" t="n"/>
      <c r="O3475" s="2" t="n"/>
      <c r="P3475" s="2" t="n"/>
    </row>
    <row r="3476">
      <c r="A3476" s="2" t="n">
        <v>3475</v>
      </c>
      <c r="B3476" s="2" t="inlineStr">
        <is>
          <t>короткая</t>
        </is>
      </c>
      <c r="C3476" s="2" t="n">
        <v>13644</v>
      </c>
      <c r="D3476" s="3" t="inlineStr">
        <is>
          <t>Великолепный гоша 5</t>
        </is>
      </c>
      <c r="E3476" s="2" t="n">
        <v>1982</v>
      </c>
      <c r="F3476" s="2" t="inlineStr">
        <is>
          <t>мультфильм</t>
        </is>
      </c>
      <c r="G3476" s="2" t="inlineStr">
        <is>
          <t>ЭКРАН</t>
        </is>
      </c>
      <c r="H3476" s="2" t="n">
        <v>0</v>
      </c>
      <c r="I3476" s="2" t="inlineStr"/>
      <c r="J3476" s="2" t="inlineStr">
        <is>
          <t>?</t>
        </is>
      </c>
      <c r="K3476" s="3" t="inlineStr"/>
      <c r="L3476" s="2" t="inlineStr">
        <is>
          <t>https://animator.ru/db/?p=show_film&amp;fid=5036</t>
        </is>
      </c>
      <c r="M3476" s="2">
        <f>HYPERLINK("https://ru.wikipedia.org/w/index.php?search=%D0%92%D0%B5%D0%BB%D0%B8%D0%BA%D0%BE%D0%BB%D0%B5%D0%BF%D0%BD%D1%8B%D0%B9%20%D0%B3%D0%BE%D1%88%D0%B0%205%201982%20%D1%84%D0%B8%D0%BB%D1%8C%D0%BC","искать")</f>
        <v/>
      </c>
      <c r="N3476" s="3" t="n"/>
      <c r="O3476" s="2" t="n"/>
      <c r="P3476" s="2" t="n"/>
    </row>
    <row r="3477">
      <c r="A3477" s="2" t="n">
        <v>3476</v>
      </c>
      <c r="B3477" s="2" t="inlineStr">
        <is>
          <t>короткая</t>
        </is>
      </c>
      <c r="C3477" s="2" t="n">
        <v>13645</v>
      </c>
      <c r="D3477" s="3" t="inlineStr">
        <is>
          <t>Великолепный гоша 6</t>
        </is>
      </c>
      <c r="E3477" s="2" t="n">
        <v>1982</v>
      </c>
      <c r="F3477" s="2" t="inlineStr">
        <is>
          <t>мультфильм</t>
        </is>
      </c>
      <c r="G3477" s="2" t="inlineStr">
        <is>
          <t>ЭКРАН</t>
        </is>
      </c>
      <c r="H3477" s="2" t="n">
        <v>0</v>
      </c>
      <c r="I3477" s="2" t="inlineStr"/>
      <c r="J3477" s="2" t="inlineStr">
        <is>
          <t>?</t>
        </is>
      </c>
      <c r="K3477" s="3" t="inlineStr"/>
      <c r="L3477" s="2" t="inlineStr">
        <is>
          <t>https://animator.ru/db/?p=show_film&amp;fid=5037</t>
        </is>
      </c>
      <c r="M3477" s="2">
        <f>HYPERLINK("https://ru.wikipedia.org/w/index.php?search=%D0%92%D0%B5%D0%BB%D0%B8%D0%BA%D0%BE%D0%BB%D0%B5%D0%BF%D0%BD%D1%8B%D0%B9%20%D0%B3%D0%BE%D1%88%D0%B0%206%201982%20%D1%84%D0%B8%D0%BB%D1%8C%D0%BC","искать")</f>
        <v/>
      </c>
      <c r="N3477" s="3" t="n"/>
      <c r="O3477" s="2" t="n"/>
      <c r="P3477" s="2" t="n"/>
    </row>
    <row r="3478">
      <c r="A3478" s="2" t="n">
        <v>3477</v>
      </c>
      <c r="B3478" s="2" t="inlineStr">
        <is>
          <t>короткая</t>
        </is>
      </c>
      <c r="C3478" s="2" t="n">
        <v>13646</v>
      </c>
      <c r="D3478" s="3" t="inlineStr">
        <is>
          <t>Великолепный гоша 7</t>
        </is>
      </c>
      <c r="E3478" s="2" t="n">
        <v>1982</v>
      </c>
      <c r="F3478" s="2" t="inlineStr">
        <is>
          <t>мультфильм</t>
        </is>
      </c>
      <c r="G3478" s="2" t="inlineStr">
        <is>
          <t>ЭКРАН</t>
        </is>
      </c>
      <c r="H3478" s="2" t="n">
        <v>0</v>
      </c>
      <c r="I3478" s="2" t="inlineStr"/>
      <c r="J3478" s="2" t="inlineStr">
        <is>
          <t>?</t>
        </is>
      </c>
      <c r="K3478" s="3" t="inlineStr"/>
      <c r="L3478" s="2" t="inlineStr">
        <is>
          <t>https://animator.ru/db/?p=show_film&amp;fid=5038</t>
        </is>
      </c>
      <c r="M3478" s="2">
        <f>HYPERLINK("https://ru.wikipedia.org/w/index.php?search=%D0%92%D0%B5%D0%BB%D0%B8%D0%BA%D0%BE%D0%BB%D0%B5%D0%BF%D0%BD%D1%8B%D0%B9%20%D0%B3%D0%BE%D1%88%D0%B0%207%201982%20%D1%84%D0%B8%D0%BB%D1%8C%D0%BC","искать")</f>
        <v/>
      </c>
      <c r="N3478" s="3" t="n"/>
      <c r="O3478" s="2" t="n"/>
      <c r="P3478" s="2" t="n"/>
    </row>
    <row r="3479">
      <c r="A3479" s="2" t="n">
        <v>3478</v>
      </c>
      <c r="B3479" s="2" t="inlineStr">
        <is>
          <t>короткая</t>
        </is>
      </c>
      <c r="C3479" s="2" t="n">
        <v>13647</v>
      </c>
      <c r="D3479" s="3" t="inlineStr">
        <is>
          <t>Великолепный гоша 8</t>
        </is>
      </c>
      <c r="E3479" s="2" t="n">
        <v>1983</v>
      </c>
      <c r="F3479" s="2" t="inlineStr">
        <is>
          <t>мультфильм</t>
        </is>
      </c>
      <c r="G3479" s="2" t="inlineStr">
        <is>
          <t>ЭКРАН</t>
        </is>
      </c>
      <c r="H3479" s="2" t="n">
        <v>0</v>
      </c>
      <c r="I3479" s="2" t="inlineStr"/>
      <c r="J3479" s="2" t="inlineStr">
        <is>
          <t>?</t>
        </is>
      </c>
      <c r="K3479" s="3" t="inlineStr"/>
      <c r="L3479" s="2" t="inlineStr">
        <is>
          <t>https://animator.ru/db/?p=show_film&amp;fid=5039</t>
        </is>
      </c>
      <c r="M3479" s="2">
        <f>HYPERLINK("https://ru.wikipedia.org/w/index.php?search=%D0%92%D0%B5%D0%BB%D0%B8%D0%BA%D0%BE%D0%BB%D0%B5%D0%BF%D0%BD%D1%8B%D0%B9%20%D0%B3%D0%BE%D1%88%D0%B0%208%201983%20%D1%84%D0%B8%D0%BB%D1%8C%D0%BC","искать")</f>
        <v/>
      </c>
      <c r="N3479" s="3" t="n"/>
      <c r="O3479" s="2" t="n"/>
      <c r="P3479" s="2" t="n"/>
    </row>
    <row r="3480">
      <c r="A3480" s="2" t="n">
        <v>3479</v>
      </c>
      <c r="B3480" s="2" t="inlineStr">
        <is>
          <t>короткая</t>
        </is>
      </c>
      <c r="C3480" s="2" t="n">
        <v>13648</v>
      </c>
      <c r="D3480" s="3" t="inlineStr">
        <is>
          <t>Великолепный гоша 9</t>
        </is>
      </c>
      <c r="E3480" s="2" t="n">
        <v>1984</v>
      </c>
      <c r="F3480" s="2" t="inlineStr">
        <is>
          <t>мультфильм</t>
        </is>
      </c>
      <c r="G3480" s="2" t="inlineStr">
        <is>
          <t>ЭКРАН</t>
        </is>
      </c>
      <c r="H3480" s="2" t="n">
        <v>0</v>
      </c>
      <c r="I3480" s="2" t="inlineStr"/>
      <c r="J3480" s="2" t="inlineStr">
        <is>
          <t>?</t>
        </is>
      </c>
      <c r="K3480" s="3" t="inlineStr"/>
      <c r="L3480" s="2" t="inlineStr">
        <is>
          <t>https://animator.ru/db/?p=show_film&amp;fid=5040</t>
        </is>
      </c>
      <c r="M3480" s="2">
        <f>HYPERLINK("https://ru.wikipedia.org/w/index.php?search=%D0%92%D0%B5%D0%BB%D0%B8%D0%BA%D0%BE%D0%BB%D0%B5%D0%BF%D0%BD%D1%8B%D0%B9%20%D0%B3%D0%BE%D1%88%D0%B0%209%201984%20%D1%84%D0%B8%D0%BB%D1%8C%D0%BC","искать")</f>
        <v/>
      </c>
      <c r="N3480" s="3" t="n"/>
      <c r="O3480" s="2" t="n"/>
      <c r="P3480" s="2" t="n"/>
    </row>
    <row r="3481">
      <c r="A3481" s="2" t="n">
        <v>3480</v>
      </c>
      <c r="B3481" s="2" t="inlineStr">
        <is>
          <t>короткая</t>
        </is>
      </c>
      <c r="C3481" s="2" t="n">
        <v>13649</v>
      </c>
      <c r="D3481" s="3" t="inlineStr">
        <is>
          <t>Великолепный гоша 10</t>
        </is>
      </c>
      <c r="E3481" s="2" t="n">
        <v>1985</v>
      </c>
      <c r="F3481" s="2" t="inlineStr">
        <is>
          <t>мультфильм</t>
        </is>
      </c>
      <c r="G3481" s="2" t="inlineStr">
        <is>
          <t>МУЛЬТТЕЛЕФИЛЬМ ("Экран")</t>
        </is>
      </c>
      <c r="H3481" s="2" t="n">
        <v>0</v>
      </c>
      <c r="I3481" s="2" t="inlineStr"/>
      <c r="J3481" s="2" t="inlineStr">
        <is>
          <t>?</t>
        </is>
      </c>
      <c r="K3481" s="3" t="inlineStr"/>
      <c r="L3481" s="2" t="inlineStr">
        <is>
          <t>https://animator.ru/db/?p=show_film&amp;fid=5041</t>
        </is>
      </c>
      <c r="M3481" s="2">
        <f>HYPERLINK("https://ru.wikipedia.org/w/index.php?search=%D0%92%D0%B5%D0%BB%D0%B8%D0%BA%D0%BE%D0%BB%D0%B5%D0%BF%D0%BD%D1%8B%D0%B9%20%D0%B3%D0%BE%D1%88%D0%B0%2010%201985%20%D1%84%D0%B8%D0%BB%D1%8C%D0%BC","искать")</f>
        <v/>
      </c>
      <c r="N3481" s="3" t="n"/>
      <c r="O3481" s="2" t="n"/>
      <c r="P3481" s="2" t="n"/>
    </row>
    <row r="3482">
      <c r="A3482" s="2" t="n">
        <v>3481</v>
      </c>
      <c r="B3482" s="2" t="inlineStr">
        <is>
          <t>короткая</t>
        </is>
      </c>
      <c r="C3482" s="2" t="n">
        <v>13661</v>
      </c>
      <c r="D3482" s="3" t="inlineStr">
        <is>
          <t>Волшебник изумрудного города 1</t>
        </is>
      </c>
      <c r="E3482" s="2" t="n">
        <v>1973</v>
      </c>
      <c r="F3482" s="2" t="inlineStr">
        <is>
          <t>мультфильм</t>
        </is>
      </c>
      <c r="G3482" s="2" t="inlineStr">
        <is>
          <t>ЭКРАН</t>
        </is>
      </c>
      <c r="H3482" s="2" t="n">
        <v>0</v>
      </c>
      <c r="I3482" s="2" t="inlineStr"/>
      <c r="J3482" s="2" t="inlineStr">
        <is>
          <t>?</t>
        </is>
      </c>
      <c r="K3482" s="3" t="inlineStr"/>
      <c r="L3482" s="2" t="inlineStr">
        <is>
          <t>https://animator.ru/db/?p=show_film&amp;fid=5053</t>
        </is>
      </c>
      <c r="M3482" s="2">
        <f>HYPERLINK("https://ru.wikipedia.org/w/index.php?search=%D0%92%D0%BE%D0%BB%D1%88%D0%B5%D0%B1%D0%BD%D0%B8%D0%BA%20%D0%B8%D0%B7%D1%83%D0%BC%D1%80%D1%83%D0%B4%D0%BD%D0%BE%D0%B3%D0%BE%20%D0%B3%D0%BE%D1%80%D0%BE%D0%B4%D0%B0%201%201973%20%D1%84%D0%B8%D0%BB%D1%8C%D0%BC","искать")</f>
        <v/>
      </c>
      <c r="N3482" s="3" t="n"/>
      <c r="O3482" s="2" t="n"/>
      <c r="P3482" s="2" t="n"/>
    </row>
    <row r="3483">
      <c r="A3483" s="2" t="n">
        <v>3482</v>
      </c>
      <c r="B3483" s="2" t="inlineStr">
        <is>
          <t>короткая</t>
        </is>
      </c>
      <c r="C3483" s="2" t="n">
        <v>13662</v>
      </c>
      <c r="D3483" s="3" t="inlineStr">
        <is>
          <t>Волшебник изумрудного города 2</t>
        </is>
      </c>
      <c r="E3483" s="2" t="n">
        <v>1974</v>
      </c>
      <c r="F3483" s="2" t="inlineStr">
        <is>
          <t>мультфильм</t>
        </is>
      </c>
      <c r="G3483" s="2" t="inlineStr">
        <is>
          <t>ЭКРАН</t>
        </is>
      </c>
      <c r="H3483" s="2" t="n">
        <v>0</v>
      </c>
      <c r="I3483" s="2" t="inlineStr"/>
      <c r="J3483" s="2" t="inlineStr">
        <is>
          <t>?</t>
        </is>
      </c>
      <c r="K3483" s="3" t="inlineStr"/>
      <c r="L3483" s="2" t="inlineStr">
        <is>
          <t>https://animator.ru/db/?p=show_film&amp;fid=5054</t>
        </is>
      </c>
      <c r="M3483" s="2">
        <f>HYPERLINK("https://ru.wikipedia.org/w/index.php?search=%D0%92%D0%BE%D0%BB%D1%88%D0%B5%D0%B1%D0%BD%D0%B8%D0%BA%20%D0%B8%D0%B7%D1%83%D0%BC%D1%80%D1%83%D0%B4%D0%BD%D0%BE%D0%B3%D0%BE%20%D0%B3%D0%BE%D1%80%D0%BE%D0%B4%D0%B0%202%201974%20%D1%84%D0%B8%D0%BB%D1%8C%D0%BC","искать")</f>
        <v/>
      </c>
      <c r="N3483" s="3" t="n"/>
      <c r="O3483" s="2" t="n"/>
      <c r="P3483" s="2" t="n"/>
    </row>
    <row r="3484">
      <c r="A3484" s="2" t="n">
        <v>3483</v>
      </c>
      <c r="B3484" s="2" t="inlineStr">
        <is>
          <t>короткая</t>
        </is>
      </c>
      <c r="C3484" s="2" t="n">
        <v>13663</v>
      </c>
      <c r="D3484" s="3" t="inlineStr">
        <is>
          <t>Волшебник изумрудного города 3</t>
        </is>
      </c>
      <c r="E3484" s="2" t="n">
        <v>1974</v>
      </c>
      <c r="F3484" s="2" t="inlineStr">
        <is>
          <t>мультфильм</t>
        </is>
      </c>
      <c r="G3484" s="2" t="inlineStr">
        <is>
          <t>ЭКРАН</t>
        </is>
      </c>
      <c r="H3484" s="2" t="n">
        <v>0</v>
      </c>
      <c r="I3484" s="2" t="inlineStr"/>
      <c r="J3484" s="2" t="inlineStr">
        <is>
          <t>?</t>
        </is>
      </c>
      <c r="K3484" s="3" t="inlineStr"/>
      <c r="L3484" s="2" t="inlineStr">
        <is>
          <t>https://animator.ru/db/?p=show_film&amp;fid=5055</t>
        </is>
      </c>
      <c r="M3484" s="2">
        <f>HYPERLINK("https://ru.wikipedia.org/w/index.php?search=%D0%92%D0%BE%D0%BB%D1%88%D0%B5%D0%B1%D0%BD%D0%B8%D0%BA%20%D0%B8%D0%B7%D1%83%D0%BC%D1%80%D1%83%D0%B4%D0%BD%D0%BE%D0%B3%D0%BE%20%D0%B3%D0%BE%D1%80%D0%BE%D0%B4%D0%B0%203%201974%20%D1%84%D0%B8%D0%BB%D1%8C%D0%BC","искать")</f>
        <v/>
      </c>
      <c r="N3484" s="3" t="n"/>
      <c r="O3484" s="2" t="n"/>
      <c r="P3484" s="2" t="n"/>
    </row>
    <row r="3485">
      <c r="A3485" s="2" t="n">
        <v>3484</v>
      </c>
      <c r="B3485" s="2" t="inlineStr">
        <is>
          <t>короткая</t>
        </is>
      </c>
      <c r="C3485" s="2" t="n">
        <v>13664</v>
      </c>
      <c r="D3485" s="3" t="inlineStr">
        <is>
          <t>Волшебник изумрудного города 4</t>
        </is>
      </c>
      <c r="E3485" s="2" t="n">
        <v>1974</v>
      </c>
      <c r="F3485" s="2" t="inlineStr">
        <is>
          <t>мультфильм</t>
        </is>
      </c>
      <c r="G3485" s="2" t="inlineStr">
        <is>
          <t>ЭКРАН</t>
        </is>
      </c>
      <c r="H3485" s="2" t="n">
        <v>0</v>
      </c>
      <c r="I3485" s="2" t="inlineStr"/>
      <c r="J3485" s="2" t="inlineStr">
        <is>
          <t>?</t>
        </is>
      </c>
      <c r="K3485" s="3" t="inlineStr"/>
      <c r="L3485" s="2" t="inlineStr">
        <is>
          <t>https://animator.ru/db/?p=show_film&amp;fid=5056</t>
        </is>
      </c>
      <c r="M3485" s="2">
        <f>HYPERLINK("https://ru.wikipedia.org/w/index.php?search=%D0%92%D0%BE%D0%BB%D1%88%D0%B5%D0%B1%D0%BD%D0%B8%D0%BA%20%D0%B8%D0%B7%D1%83%D0%BC%D1%80%D1%83%D0%B4%D0%BD%D0%BE%D0%B3%D0%BE%20%D0%B3%D0%BE%D1%80%D0%BE%D0%B4%D0%B0%204%201974%20%D1%84%D0%B8%D0%BB%D1%8C%D0%BC","искать")</f>
        <v/>
      </c>
      <c r="N3485" s="3" t="n"/>
      <c r="O3485" s="2" t="n"/>
      <c r="P3485" s="2" t="n"/>
    </row>
    <row r="3486">
      <c r="A3486" s="2" t="n">
        <v>3485</v>
      </c>
      <c r="B3486" s="2" t="inlineStr">
        <is>
          <t>короткая</t>
        </is>
      </c>
      <c r="C3486" s="2" t="n">
        <v>13665</v>
      </c>
      <c r="D3486" s="3" t="inlineStr">
        <is>
          <t>Волшебник изумрудного города 5</t>
        </is>
      </c>
      <c r="E3486" s="2" t="n">
        <v>1974</v>
      </c>
      <c r="F3486" s="2" t="inlineStr">
        <is>
          <t>мультфильм</t>
        </is>
      </c>
      <c r="G3486" s="2" t="inlineStr">
        <is>
          <t>ЭКРАН</t>
        </is>
      </c>
      <c r="H3486" s="2" t="n">
        <v>0</v>
      </c>
      <c r="I3486" s="2" t="inlineStr"/>
      <c r="J3486" s="2" t="inlineStr">
        <is>
          <t>?</t>
        </is>
      </c>
      <c r="K3486" s="3" t="inlineStr"/>
      <c r="L3486" s="2" t="inlineStr">
        <is>
          <t>https://animator.ru/db/?p=show_film&amp;fid=5057</t>
        </is>
      </c>
      <c r="M3486" s="2">
        <f>HYPERLINK("https://ru.wikipedia.org/w/index.php?search=%D0%92%D0%BE%D0%BB%D1%88%D0%B5%D0%B1%D0%BD%D0%B8%D0%BA%20%D0%B8%D0%B7%D1%83%D0%BC%D1%80%D1%83%D0%B4%D0%BD%D0%BE%D0%B3%D0%BE%20%D0%B3%D0%BE%D1%80%D0%BE%D0%B4%D0%B0%205%201974%20%D1%84%D0%B8%D0%BB%D1%8C%D0%BC","искать")</f>
        <v/>
      </c>
      <c r="N3486" s="3" t="n"/>
      <c r="O3486" s="2" t="n"/>
      <c r="P3486" s="2" t="n"/>
    </row>
    <row r="3487">
      <c r="A3487" s="2" t="n">
        <v>3486</v>
      </c>
      <c r="B3487" s="2" t="inlineStr">
        <is>
          <t>короткая</t>
        </is>
      </c>
      <c r="C3487" s="2" t="n">
        <v>13666</v>
      </c>
      <c r="D3487" s="3" t="inlineStr">
        <is>
          <t>Волшебник изумрудного города 6</t>
        </is>
      </c>
      <c r="E3487" s="2" t="n">
        <v>1974</v>
      </c>
      <c r="F3487" s="2" t="inlineStr">
        <is>
          <t>мультфильм</t>
        </is>
      </c>
      <c r="G3487" s="2" t="n"/>
      <c r="H3487" s="2" t="n">
        <v>0</v>
      </c>
      <c r="I3487" s="2" t="inlineStr"/>
      <c r="J3487" s="2" t="inlineStr">
        <is>
          <t>?</t>
        </is>
      </c>
      <c r="K3487" s="3" t="inlineStr"/>
      <c r="L3487" s="2" t="inlineStr">
        <is>
          <t>https://animator.ru/db/?p=show_film&amp;fid=5058</t>
        </is>
      </c>
      <c r="M3487" s="2">
        <f>HYPERLINK("https://ru.wikipedia.org/w/index.php?search=%D0%92%D0%BE%D0%BB%D1%88%D0%B5%D0%B1%D0%BD%D0%B8%D0%BA%20%D0%B8%D0%B7%D1%83%D0%BC%D1%80%D1%83%D0%B4%D0%BD%D0%BE%D0%B3%D0%BE%20%D0%B3%D0%BE%D1%80%D0%BE%D0%B4%D0%B0%206%201974%20%D1%84%D0%B8%D0%BB%D1%8C%D0%BC","искать")</f>
        <v/>
      </c>
      <c r="N3487" s="3" t="n"/>
      <c r="O3487" s="2" t="n"/>
      <c r="P3487" s="2" t="n"/>
    </row>
    <row r="3488">
      <c r="A3488" s="2" t="n">
        <v>3487</v>
      </c>
      <c r="B3488" s="2" t="inlineStr">
        <is>
          <t>короткая</t>
        </is>
      </c>
      <c r="C3488" s="2" t="n">
        <v>13667</v>
      </c>
      <c r="D3488" s="3" t="inlineStr">
        <is>
          <t>Волшебник изумрудного города 7</t>
        </is>
      </c>
      <c r="E3488" s="2" t="n">
        <v>1974</v>
      </c>
      <c r="F3488" s="2" t="inlineStr">
        <is>
          <t>мультфильм</t>
        </is>
      </c>
      <c r="G3488" s="2" t="inlineStr">
        <is>
          <t>ЭКРАН</t>
        </is>
      </c>
      <c r="H3488" s="2" t="n">
        <v>0</v>
      </c>
      <c r="I3488" s="2" t="inlineStr"/>
      <c r="J3488" s="2" t="inlineStr">
        <is>
          <t>?</t>
        </is>
      </c>
      <c r="K3488" s="3" t="inlineStr"/>
      <c r="L3488" s="2" t="inlineStr">
        <is>
          <t>https://animator.ru/db/?p=show_film&amp;fid=5059</t>
        </is>
      </c>
      <c r="M3488" s="2">
        <f>HYPERLINK("https://ru.wikipedia.org/w/index.php?search=%D0%92%D0%BE%D0%BB%D1%88%D0%B5%D0%B1%D0%BD%D0%B8%D0%BA%20%D0%B8%D0%B7%D1%83%D0%BC%D1%80%D1%83%D0%B4%D0%BD%D0%BE%D0%B3%D0%BE%20%D0%B3%D0%BE%D1%80%D0%BE%D0%B4%D0%B0%207%201974%20%D1%84%D0%B8%D0%BB%D1%8C%D0%BC","искать")</f>
        <v/>
      </c>
      <c r="N3488" s="3" t="n"/>
      <c r="O3488" s="2" t="n"/>
      <c r="P3488" s="2" t="n"/>
    </row>
    <row r="3489">
      <c r="A3489" s="2" t="n">
        <v>3488</v>
      </c>
      <c r="B3489" s="2" t="inlineStr">
        <is>
          <t>короткая</t>
        </is>
      </c>
      <c r="C3489" s="2" t="n">
        <v>13668</v>
      </c>
      <c r="D3489" s="3" t="inlineStr">
        <is>
          <t>Волшебник изумрудного города 8</t>
        </is>
      </c>
      <c r="E3489" s="2" t="n">
        <v>1974</v>
      </c>
      <c r="F3489" s="2" t="inlineStr">
        <is>
          <t>мультфильм</t>
        </is>
      </c>
      <c r="G3489" s="2" t="inlineStr">
        <is>
          <t>ЭКРАН</t>
        </is>
      </c>
      <c r="H3489" s="2" t="n">
        <v>0</v>
      </c>
      <c r="I3489" s="2" t="inlineStr"/>
      <c r="J3489" s="2" t="inlineStr">
        <is>
          <t>?</t>
        </is>
      </c>
      <c r="K3489" s="3" t="inlineStr"/>
      <c r="L3489" s="2" t="inlineStr">
        <is>
          <t>https://animator.ru/db/?p=show_film&amp;fid=5060</t>
        </is>
      </c>
      <c r="M3489" s="2">
        <f>HYPERLINK("https://ru.wikipedia.org/w/index.php?search=%D0%92%D0%BE%D0%BB%D1%88%D0%B5%D0%B1%D0%BD%D0%B8%D0%BA%20%D0%B8%D0%B7%D1%83%D0%BC%D1%80%D1%83%D0%B4%D0%BD%D0%BE%D0%B3%D0%BE%20%D0%B3%D0%BE%D1%80%D0%BE%D0%B4%D0%B0%208%201974%20%D1%84%D0%B8%D0%BB%D1%8C%D0%BC","искать")</f>
        <v/>
      </c>
      <c r="N3489" s="3" t="n"/>
      <c r="O3489" s="2" t="n"/>
      <c r="P3489" s="2" t="n"/>
    </row>
    <row r="3490">
      <c r="A3490" s="2" t="n">
        <v>3489</v>
      </c>
      <c r="B3490" s="2" t="inlineStr">
        <is>
          <t>короткая</t>
        </is>
      </c>
      <c r="C3490" s="2" t="n">
        <v>13669</v>
      </c>
      <c r="D3490" s="3" t="inlineStr">
        <is>
          <t>Волшебник изумрудного города 9</t>
        </is>
      </c>
      <c r="E3490" s="2" t="n">
        <v>1974</v>
      </c>
      <c r="F3490" s="2" t="inlineStr">
        <is>
          <t>мультфильм</t>
        </is>
      </c>
      <c r="G3490" s="2" t="inlineStr">
        <is>
          <t>ЭКРАН</t>
        </is>
      </c>
      <c r="H3490" s="2" t="n">
        <v>0</v>
      </c>
      <c r="I3490" s="2" t="inlineStr"/>
      <c r="J3490" s="2" t="inlineStr">
        <is>
          <t>?</t>
        </is>
      </c>
      <c r="K3490" s="3" t="inlineStr"/>
      <c r="L3490" s="2" t="inlineStr">
        <is>
          <t>https://animator.ru/db/?p=show_film&amp;fid=5061</t>
        </is>
      </c>
      <c r="M3490" s="2">
        <f>HYPERLINK("https://ru.wikipedia.org/w/index.php?search=%D0%92%D0%BE%D0%BB%D1%88%D0%B5%D0%B1%D0%BD%D0%B8%D0%BA%20%D0%B8%D0%B7%D1%83%D0%BC%D1%80%D1%83%D0%B4%D0%BD%D0%BE%D0%B3%D0%BE%20%D0%B3%D0%BE%D1%80%D0%BE%D0%B4%D0%B0%209%201974%20%D1%84%D0%B8%D0%BB%D1%8C%D0%BC","искать")</f>
        <v/>
      </c>
      <c r="N3490" s="3" t="n"/>
      <c r="O3490" s="2" t="n"/>
      <c r="P3490" s="2" t="n"/>
    </row>
    <row r="3491">
      <c r="A3491" s="2" t="n">
        <v>3490</v>
      </c>
      <c r="B3491" s="2" t="inlineStr">
        <is>
          <t>короткая</t>
        </is>
      </c>
      <c r="C3491" s="2" t="n">
        <v>13670</v>
      </c>
      <c r="D3491" s="3" t="inlineStr">
        <is>
          <t>Волшебник изумрудного города 10</t>
        </is>
      </c>
      <c r="E3491" s="2" t="n">
        <v>1974</v>
      </c>
      <c r="F3491" s="2" t="inlineStr">
        <is>
          <t>мультфильм</t>
        </is>
      </c>
      <c r="G3491" s="2" t="inlineStr">
        <is>
          <t>ЭКРАН</t>
        </is>
      </c>
      <c r="H3491" s="2" t="n">
        <v>0</v>
      </c>
      <c r="I3491" s="2" t="inlineStr"/>
      <c r="J3491" s="2" t="inlineStr">
        <is>
          <t>?</t>
        </is>
      </c>
      <c r="K3491" s="3" t="inlineStr"/>
      <c r="L3491" s="2" t="inlineStr">
        <is>
          <t>https://animator.ru/db/?p=show_film&amp;fid=5062</t>
        </is>
      </c>
      <c r="M3491" s="2">
        <f>HYPERLINK("https://ru.wikipedia.org/w/index.php?search=%D0%92%D0%BE%D0%BB%D1%88%D0%B5%D0%B1%D0%BD%D0%B8%D0%BA%20%D0%B8%D0%B7%D1%83%D0%BC%D1%80%D1%83%D0%B4%D0%BD%D0%BE%D0%B3%D0%BE%20%D0%B3%D0%BE%D1%80%D0%BE%D0%B4%D0%B0%2010%201974%20%D1%84%D0%B8%D0%BB%D1%8C%D0%BC","искать")</f>
        <v/>
      </c>
      <c r="N3491" s="3" t="n"/>
      <c r="O3491" s="2" t="n"/>
      <c r="P3491" s="2" t="n"/>
    </row>
    <row r="3492">
      <c r="A3492" s="2" t="n">
        <v>3491</v>
      </c>
      <c r="B3492" s="2" t="inlineStr">
        <is>
          <t>короткая</t>
        </is>
      </c>
      <c r="C3492" s="2" t="n">
        <v>13685</v>
      </c>
      <c r="D3492" s="3" t="inlineStr">
        <is>
          <t>Домовенок кузя. Возвращение домовенка</t>
        </is>
      </c>
      <c r="E3492" s="2" t="n">
        <v>1987</v>
      </c>
      <c r="F3492" s="2" t="inlineStr">
        <is>
          <t>мультфильм</t>
        </is>
      </c>
      <c r="G3492" s="2" t="inlineStr">
        <is>
          <t>ЭКРАН</t>
        </is>
      </c>
      <c r="H3492" s="2" t="n">
        <v>0</v>
      </c>
      <c r="I3492" s="2" t="inlineStr"/>
      <c r="J3492" s="2" t="inlineStr">
        <is>
          <t>?</t>
        </is>
      </c>
      <c r="K3492" s="3" t="inlineStr"/>
      <c r="L3492" s="2" t="inlineStr">
        <is>
          <t>https://animator.ru/db/?p=show_film&amp;fid=5077</t>
        </is>
      </c>
      <c r="M3492" s="2">
        <f>HYPERLINK("https://ru.wikipedia.org/w/index.php?search=%D0%94%D0%BE%D0%BC%D0%BE%D0%B2%D0%B5%D0%BD%D0%BE%D0%BA%20%D0%BA%D1%83%D0%B7%D1%8F.%20%D0%92%D0%BE%D0%B7%D0%B2%D1%80%D0%B0%D1%89%D0%B5%D0%BD%D0%B8%D0%B5%20%D0%B4%D0%BE%D0%BC%D0%BE%D0%B2%D0%B5%D0%BD%D0%BA%D0%B0%201987%20%D1%84%D0%B8%D0%BB%D1%8C%D0%BC","искать")</f>
        <v/>
      </c>
      <c r="N3492" s="3" t="n"/>
      <c r="O3492" s="2" t="n"/>
      <c r="P3492" s="2" t="n"/>
    </row>
    <row r="3493">
      <c r="A3493" s="2" t="n">
        <v>3492</v>
      </c>
      <c r="B3493" s="2" t="inlineStr">
        <is>
          <t>короткая</t>
        </is>
      </c>
      <c r="C3493" s="2" t="n">
        <v>13694</v>
      </c>
      <c r="D3493" s="3" t="inlineStr">
        <is>
          <t>Биссет. Забытый день рождения</t>
        </is>
      </c>
      <c r="E3493" s="2" t="n">
        <v>1984</v>
      </c>
      <c r="F3493" s="2" t="inlineStr">
        <is>
          <t>мультфильм</t>
        </is>
      </c>
      <c r="G3493" s="2" t="inlineStr">
        <is>
          <t>ЭКРАН</t>
        </is>
      </c>
      <c r="H3493" s="2" t="n">
        <v>0</v>
      </c>
      <c r="I3493" s="2" t="inlineStr"/>
      <c r="J3493" s="2" t="inlineStr">
        <is>
          <t>?</t>
        </is>
      </c>
      <c r="K3493" s="3" t="inlineStr"/>
      <c r="L3493" s="2" t="inlineStr">
        <is>
          <t>https://animator.ru/db/?p=show_film&amp;fid=5087</t>
        </is>
      </c>
      <c r="M3493" s="2">
        <f>HYPERLINK("https://ru.wikipedia.org/w/index.php?search=%D0%91%D0%B8%D1%81%D1%81%D0%B5%D1%82.%20%D0%97%D0%B0%D0%B1%D1%8B%D1%82%D1%8B%D0%B9%20%D0%B4%D0%B5%D0%BD%D1%8C%20%D1%80%D0%BE%D0%B6%D0%B4%D0%B5%D0%BD%D0%B8%D1%8F%201984%20%D1%84%D0%B8%D0%BB%D1%8C%D0%BC","искать")</f>
        <v/>
      </c>
      <c r="N3493" s="3" t="n"/>
      <c r="O3493" s="2" t="n"/>
      <c r="P3493" s="2" t="n"/>
    </row>
    <row r="3494">
      <c r="A3494" s="2" t="n">
        <v>3493</v>
      </c>
      <c r="B3494" s="2" t="inlineStr">
        <is>
          <t>короткая</t>
        </is>
      </c>
      <c r="C3494" s="2" t="n">
        <v>13737</v>
      </c>
      <c r="D3494" s="3" t="inlineStr">
        <is>
          <t>Леопольд. Месть кота Леопольда</t>
        </is>
      </c>
      <c r="E3494" s="2" t="n">
        <v>1975</v>
      </c>
      <c r="F3494" s="2" t="inlineStr">
        <is>
          <t>мультфильм</t>
        </is>
      </c>
      <c r="G3494" s="2" t="inlineStr">
        <is>
          <t>ЭКРАН</t>
        </is>
      </c>
      <c r="H3494" s="2" t="n">
        <v>0</v>
      </c>
      <c r="I3494" s="2" t="inlineStr"/>
      <c r="J3494" s="2" t="inlineStr">
        <is>
          <t>?</t>
        </is>
      </c>
      <c r="K3494" s="3" t="inlineStr"/>
      <c r="L3494" s="2" t="inlineStr">
        <is>
          <t>https://animator.ru/db/?p=show_film&amp;fid=5130</t>
        </is>
      </c>
      <c r="M3494" s="2">
        <f>HYPERLINK("https://ru.wikipedia.org/w/index.php?search=%D0%9B%D0%B5%D0%BE%D0%BF%D0%BE%D0%BB%D1%8C%D0%B4.%20%D0%9C%D0%B5%D1%81%D1%82%D1%8C%20%D0%BA%D0%BE%D1%82%D0%B0%20%D0%9B%D0%B5%D0%BE%D0%BF%D0%BE%D0%BB%D1%8C%D0%B4%D0%B0%201975%20%D1%84%D0%B8%D0%BB%D1%8C%D0%BC","искать")</f>
        <v/>
      </c>
      <c r="N3494" s="3" t="n"/>
      <c r="O3494" s="2" t="n"/>
      <c r="P3494" s="2" t="n"/>
    </row>
    <row r="3495">
      <c r="A3495" s="2" t="n">
        <v>3494</v>
      </c>
      <c r="B3495" s="2" t="inlineStr">
        <is>
          <t>короткая</t>
        </is>
      </c>
      <c r="C3495" s="2" t="n">
        <v>13787</v>
      </c>
      <c r="D3495" s="3" t="inlineStr">
        <is>
          <t>Незнайка в Солнечном городе. 3. Превращения начинаются</t>
        </is>
      </c>
      <c r="E3495" s="2" t="n">
        <v>1976</v>
      </c>
      <c r="F3495" s="2" t="inlineStr">
        <is>
          <t>мультфильм</t>
        </is>
      </c>
      <c r="G3495" s="2" t="inlineStr">
        <is>
          <t>ЭКРАН</t>
        </is>
      </c>
      <c r="H3495" s="2" t="n">
        <v>0</v>
      </c>
      <c r="I3495" s="2" t="inlineStr"/>
      <c r="J3495" s="2" t="inlineStr">
        <is>
          <t>?</t>
        </is>
      </c>
      <c r="K3495" s="3" t="inlineStr"/>
      <c r="L3495" s="2" t="inlineStr">
        <is>
          <t>https://animator.ru/db/?p=show_film&amp;fid=5180</t>
        </is>
      </c>
      <c r="M3495" s="2">
        <f>HYPERLINK("https://ru.wikipedia.org/w/index.php?search=%D0%9D%D0%B5%D0%B7%D0%BD%D0%B0%D0%B9%D0%BA%D0%B0%20%D0%B2%20%D0%A1%D0%BE%D0%BB%D0%BD%D0%B5%D1%87%D0%BD%D0%BE%D0%BC%20%D0%B3%D0%BE%D1%80%D0%BE%D0%B4%D0%B5.%203.%20%D0%9F%D1%80%D0%B5%D0%B2%D1%80%D0%B0%D1%89%D0%B5%D0%BD%D0%B8%D1%8F%20%D0%BD%D0%B0%D1%87%D0%B8%D0%BD%D0%B0%D1%8E%D1%82%D1%81%D1%8F%201976%20%D1%84%D0%B8%D0%BB%D1%8C%D0%BC","искать")</f>
        <v/>
      </c>
      <c r="N3495" s="3" t="n"/>
      <c r="O3495" s="2" t="n"/>
      <c r="P3495" s="2" t="n"/>
    </row>
    <row r="3496">
      <c r="A3496" s="2" t="n">
        <v>3495</v>
      </c>
      <c r="B3496" s="2" t="inlineStr">
        <is>
          <t>короткая</t>
        </is>
      </c>
      <c r="C3496" s="2" t="n">
        <v>13789</v>
      </c>
      <c r="D3496" s="3" t="inlineStr">
        <is>
          <t>Незнайка в Солнечном городе. 5. Превращения продолжаются</t>
        </is>
      </c>
      <c r="E3496" s="2" t="n">
        <v>1976</v>
      </c>
      <c r="F3496" s="2" t="inlineStr">
        <is>
          <t>мультфильм</t>
        </is>
      </c>
      <c r="G3496" s="2" t="inlineStr">
        <is>
          <t>ЭКРАН</t>
        </is>
      </c>
      <c r="H3496" s="2" t="n">
        <v>0</v>
      </c>
      <c r="I3496" s="2" t="inlineStr"/>
      <c r="J3496" s="2" t="inlineStr">
        <is>
          <t>?</t>
        </is>
      </c>
      <c r="K3496" s="3" t="inlineStr"/>
      <c r="L3496" s="2" t="inlineStr">
        <is>
          <t>https://animator.ru/db/?p=show_film&amp;fid=5182</t>
        </is>
      </c>
      <c r="M3496" s="2">
        <f>HYPERLINK("https://ru.wikipedia.org/w/index.php?search=%D0%9D%D0%B5%D0%B7%D0%BD%D0%B0%D0%B9%D0%BA%D0%B0%20%D0%B2%20%D0%A1%D0%BE%D0%BB%D0%BD%D0%B5%D1%87%D0%BD%D0%BE%D0%BC%20%D0%B3%D0%BE%D1%80%D0%BE%D0%B4%D0%B5.%205.%20%D0%9F%D1%80%D0%B5%D0%B2%D1%80%D0%B0%D1%89%D0%B5%D0%BD%D0%B8%D1%8F%20%D0%BF%D1%80%D0%BE%D0%B4%D0%BE%D0%BB%D0%B6%D0%B0%D1%8E%D1%82%D1%81%D1%8F%201976%20%D1%84%D0%B8%D0%BB%D1%8C%D0%BC","искать")</f>
        <v/>
      </c>
      <c r="N3496" s="3" t="n"/>
      <c r="O3496" s="2" t="n"/>
      <c r="P3496" s="2" t="n"/>
    </row>
    <row r="3497">
      <c r="A3497" s="2" t="n">
        <v>3496</v>
      </c>
      <c r="B3497" s="2" t="inlineStr">
        <is>
          <t>короткая</t>
        </is>
      </c>
      <c r="C3497" s="2" t="n">
        <v>13790</v>
      </c>
      <c r="D3497" s="3" t="inlineStr">
        <is>
          <t>Незнайка в Солнечном городе. 6. Приключения трёх ослов</t>
        </is>
      </c>
      <c r="E3497" s="2" t="n">
        <v>1976</v>
      </c>
      <c r="F3497" s="2" t="inlineStr">
        <is>
          <t>мультфильм</t>
        </is>
      </c>
      <c r="G3497" s="2" t="inlineStr">
        <is>
          <t>ЭКРАН</t>
        </is>
      </c>
      <c r="H3497" s="2" t="n">
        <v>0</v>
      </c>
      <c r="I3497" s="2" t="inlineStr"/>
      <c r="J3497" s="2" t="inlineStr">
        <is>
          <t>?</t>
        </is>
      </c>
      <c r="K3497" s="3" t="inlineStr"/>
      <c r="L3497" s="2" t="inlineStr">
        <is>
          <t>https://animator.ru/db/?p=show_film&amp;fid=5183</t>
        </is>
      </c>
      <c r="M3497" s="2">
        <f>HYPERLINK("https://ru.wikipedia.org/w/index.php?search=%D0%9D%D0%B5%D0%B7%D0%BD%D0%B0%D0%B9%D0%BA%D0%B0%20%D0%B2%20%D0%A1%D0%BE%D0%BB%D0%BD%D0%B5%D1%87%D0%BD%D0%BE%D0%BC%20%D0%B3%D0%BE%D1%80%D0%BE%D0%B4%D0%B5.%206.%20%D0%9F%D1%80%D0%B8%D0%BA%D0%BB%D1%8E%D1%87%D0%B5%D0%BD%D0%B8%D1%8F%20%D1%82%D1%80%D1%91%D1%85%20%D0%BE%D1%81%D0%BB%D0%BE%D0%B2%201976%20%D1%84%D0%B8%D0%BB%D1%8C%D0%BC","искать")</f>
        <v/>
      </c>
      <c r="N3497" s="3" t="n"/>
      <c r="O3497" s="2" t="n"/>
      <c r="P3497" s="2" t="n"/>
    </row>
    <row r="3498">
      <c r="A3498" s="2" t="n">
        <v>3497</v>
      </c>
      <c r="B3498" s="2" t="inlineStr">
        <is>
          <t>короткая</t>
        </is>
      </c>
      <c r="C3498" s="2" t="n">
        <v>13791</v>
      </c>
      <c r="D3498" s="3" t="inlineStr">
        <is>
          <t>Незнайка в Солнечном городе. 7. Удивительные подвиги</t>
        </is>
      </c>
      <c r="E3498" s="2" t="n">
        <v>1976</v>
      </c>
      <c r="F3498" s="2" t="inlineStr">
        <is>
          <t>мультфильм</t>
        </is>
      </c>
      <c r="G3498" s="2" t="inlineStr">
        <is>
          <t>ЭКРАН</t>
        </is>
      </c>
      <c r="H3498" s="2" t="n">
        <v>0</v>
      </c>
      <c r="I3498" s="2" t="inlineStr"/>
      <c r="J3498" s="2" t="inlineStr">
        <is>
          <t>?</t>
        </is>
      </c>
      <c r="K3498" s="3" t="inlineStr"/>
      <c r="L3498" s="2" t="inlineStr">
        <is>
          <t>https://animator.ru/db/?p=show_film&amp;fid=5184</t>
        </is>
      </c>
      <c r="M3498" s="2">
        <f>HYPERLINK("https://ru.wikipedia.org/w/index.php?search=%D0%9D%D0%B5%D0%B7%D0%BD%D0%B0%D0%B9%D0%BA%D0%B0%20%D0%B2%20%D0%A1%D0%BE%D0%BB%D0%BD%D0%B5%D1%87%D0%BD%D0%BE%D0%BC%20%D0%B3%D0%BE%D1%80%D0%BE%D0%B4%D0%B5.%207.%20%D0%A3%D0%B4%D0%B8%D0%B2%D0%B8%D1%82%D0%B5%D0%BB%D1%8C%D0%BD%D1%8B%D0%B5%20%D0%BF%D0%BE%D0%B4%D0%B2%D0%B8%D0%B3%D0%B8%201976%20%D1%84%D0%B8%D0%BB%D1%8C%D0%BC","искать")</f>
        <v/>
      </c>
      <c r="N3498" s="3" t="n"/>
      <c r="O3498" s="2" t="n"/>
      <c r="P3498" s="2" t="n"/>
    </row>
    <row r="3499">
      <c r="A3499" s="2" t="n">
        <v>3498</v>
      </c>
      <c r="B3499" s="2" t="inlineStr">
        <is>
          <t>короткая</t>
        </is>
      </c>
      <c r="C3499" s="2" t="n">
        <v>13792</v>
      </c>
      <c r="D3499" s="3" t="inlineStr">
        <is>
          <t>Незнайка в Солнечном городе. 8. Снова вместе</t>
        </is>
      </c>
      <c r="E3499" s="2" t="n">
        <v>1976</v>
      </c>
      <c r="F3499" s="2" t="inlineStr">
        <is>
          <t>мультфильм</t>
        </is>
      </c>
      <c r="G3499" s="2" t="inlineStr">
        <is>
          <t>ЭКРАН</t>
        </is>
      </c>
      <c r="H3499" s="2" t="n">
        <v>0</v>
      </c>
      <c r="I3499" s="2" t="inlineStr"/>
      <c r="J3499" s="2" t="inlineStr">
        <is>
          <t>?</t>
        </is>
      </c>
      <c r="K3499" s="3" t="inlineStr"/>
      <c r="L3499" s="2" t="inlineStr">
        <is>
          <t>https://animator.ru/db/?p=show_film&amp;fid=5185</t>
        </is>
      </c>
      <c r="M3499" s="2">
        <f>HYPERLINK("https://ru.wikipedia.org/w/index.php?search=%D0%9D%D0%B5%D0%B7%D0%BD%D0%B0%D0%B9%D0%BA%D0%B0%20%D0%B2%20%D0%A1%D0%BE%D0%BB%D0%BD%D0%B5%D1%87%D0%BD%D0%BE%D0%BC%20%D0%B3%D0%BE%D1%80%D0%BE%D0%B4%D0%B5.%208.%20%D0%A1%D0%BD%D0%BE%D0%B2%D0%B0%20%D0%B2%D0%BC%D0%B5%D1%81%D1%82%D0%B5%201976%20%D1%84%D0%B8%D0%BB%D1%8C%D0%BC","искать")</f>
        <v/>
      </c>
      <c r="N3499" s="3" t="n"/>
      <c r="O3499" s="2" t="n"/>
      <c r="P3499" s="2" t="n"/>
    </row>
    <row r="3500">
      <c r="A3500" s="2" t="n">
        <v>3499</v>
      </c>
      <c r="B3500" s="2" t="inlineStr">
        <is>
          <t>короткая</t>
        </is>
      </c>
      <c r="C3500" s="2" t="n">
        <v>13793</v>
      </c>
      <c r="D3500" s="3" t="inlineStr">
        <is>
          <t>Незнайка в Солнечном городе. 4. Побег</t>
        </is>
      </c>
      <c r="E3500" s="2" t="n">
        <v>1976</v>
      </c>
      <c r="F3500" s="2" t="inlineStr">
        <is>
          <t>мультфильм</t>
        </is>
      </c>
      <c r="G3500" s="2" t="inlineStr">
        <is>
          <t>ЭКРАН</t>
        </is>
      </c>
      <c r="H3500" s="2" t="n">
        <v>0</v>
      </c>
      <c r="I3500" s="2" t="inlineStr"/>
      <c r="J3500" s="2" t="inlineStr">
        <is>
          <t>?</t>
        </is>
      </c>
      <c r="K3500" s="3" t="inlineStr"/>
      <c r="L3500" s="2" t="inlineStr">
        <is>
          <t>https://animator.ru/db/?p=show_film&amp;fid=5186</t>
        </is>
      </c>
      <c r="M3500" s="2">
        <f>HYPERLINK("https://ru.wikipedia.org/w/index.php?search=%D0%9D%D0%B5%D0%B7%D0%BD%D0%B0%D0%B9%D0%BA%D0%B0%20%D0%B2%20%D0%A1%D0%BE%D0%BB%D0%BD%D0%B5%D1%87%D0%BD%D0%BE%D0%BC%20%D0%B3%D0%BE%D1%80%D0%BE%D0%B4%D0%B5.%204.%20%D0%9F%D0%BE%D0%B1%D0%B5%D0%B3%201976%20%D1%84%D0%B8%D0%BB%D1%8C%D0%BC","искать")</f>
        <v/>
      </c>
      <c r="N3500" s="3" t="n"/>
      <c r="O3500" s="2" t="n"/>
      <c r="P3500" s="2" t="n"/>
    </row>
    <row r="3501">
      <c r="A3501" s="2" t="n">
        <v>3500</v>
      </c>
      <c r="B3501" s="2" t="inlineStr">
        <is>
          <t>короткая</t>
        </is>
      </c>
      <c r="C3501" s="2" t="n">
        <v>13845</v>
      </c>
      <c r="D3501" s="3" t="inlineStr">
        <is>
          <t>Незнайка 1. Возвращение</t>
        </is>
      </c>
      <c r="E3501" s="2" t="n">
        <v>1973</v>
      </c>
      <c r="F3501" s="2" t="inlineStr">
        <is>
          <t>мультфильм</t>
        </is>
      </c>
      <c r="G3501" s="2" t="inlineStr">
        <is>
          <t>ЭКРАН</t>
        </is>
      </c>
      <c r="H3501" s="2" t="n">
        <v>0</v>
      </c>
      <c r="I3501" s="2" t="inlineStr"/>
      <c r="J3501" s="2" t="inlineStr">
        <is>
          <t>?</t>
        </is>
      </c>
      <c r="K3501" s="3" t="inlineStr"/>
      <c r="L3501" s="2" t="inlineStr">
        <is>
          <t>https://animator.ru/db/?p=show_film&amp;fid=5238</t>
        </is>
      </c>
      <c r="M3501" s="2">
        <f>HYPERLINK("https://ru.wikipedia.org/w/index.php?search=%D0%9D%D0%B5%D0%B7%D0%BD%D0%B0%D0%B9%D0%BA%D0%B0%201.%20%D0%92%D0%BE%D0%B7%D0%B2%D1%80%D0%B0%D1%89%D0%B5%D0%BD%D0%B8%D0%B5%201973%20%D1%84%D0%B8%D0%BB%D1%8C%D0%BC","искать")</f>
        <v/>
      </c>
      <c r="N3501" s="3" t="n"/>
      <c r="O3501" s="2" t="n"/>
      <c r="P3501" s="2" t="n"/>
    </row>
    <row r="3502">
      <c r="A3502" s="2" t="n">
        <v>3501</v>
      </c>
      <c r="B3502" s="2" t="inlineStr">
        <is>
          <t>короткая</t>
        </is>
      </c>
      <c r="C3502" s="2" t="n">
        <v>13857</v>
      </c>
      <c r="D3502" s="3" t="inlineStr">
        <is>
          <t>Приключения поросёнка Фунтика. 3. Фунтик и старушка с усами</t>
        </is>
      </c>
      <c r="E3502" s="2" t="n">
        <v>1987</v>
      </c>
      <c r="F3502" s="2" t="inlineStr">
        <is>
          <t>мультфильм</t>
        </is>
      </c>
      <c r="G3502" s="2" t="n"/>
      <c r="H3502" s="2" t="n">
        <v>0</v>
      </c>
      <c r="I3502" s="2" t="inlineStr"/>
      <c r="J3502" s="2" t="inlineStr">
        <is>
          <t>?</t>
        </is>
      </c>
      <c r="K3502" s="3" t="inlineStr"/>
      <c r="L3502" s="2" t="inlineStr">
        <is>
          <t>https://animator.ru/db/?p=show_film&amp;fid=5250</t>
        </is>
      </c>
      <c r="M3502" s="2">
        <f>HYPERLINK("https://ru.wikipedia.org/w/index.php?search=%D0%9F%D1%80%D0%B8%D0%BA%D0%BB%D1%8E%D1%87%D0%B5%D0%BD%D0%B8%D1%8F%20%D0%BF%D0%BE%D1%80%D0%BE%D1%81%D1%91%D0%BD%D0%BA%D0%B0%20%D0%A4%D1%83%D0%BD%D1%82%D0%B8%D0%BA%D0%B0.%203.%20%D0%A4%D1%83%D0%BD%D1%82%D0%B8%D0%BA%20%D0%B8%20%D1%81%D1%82%D0%B0%D1%80%D1%83%D1%88%D0%BA%D0%B0%20%D1%81%20%D1%83%D1%81%D0%B0%D0%BC%D0%B8%201987%20%D1%84%D0%B8%D0%BB%D1%8C%D0%BC","искать")</f>
        <v/>
      </c>
      <c r="N3502" s="3" t="n"/>
      <c r="O3502" s="2" t="n"/>
      <c r="P3502" s="2" t="n"/>
    </row>
    <row r="3503">
      <c r="A3503" s="2" t="n">
        <v>3502</v>
      </c>
      <c r="B3503" s="2" t="inlineStr">
        <is>
          <t>короткая</t>
        </is>
      </c>
      <c r="C3503" s="2" t="n">
        <v>13897</v>
      </c>
      <c r="D3503" s="3" t="inlineStr">
        <is>
          <t>Следствие ведут колобки. Похищение века</t>
        </is>
      </c>
      <c r="E3503" s="2" t="n">
        <v>1983</v>
      </c>
      <c r="F3503" s="2" t="inlineStr">
        <is>
          <t>мультфильм</t>
        </is>
      </c>
      <c r="G3503" s="2" t="inlineStr">
        <is>
          <t>ЭКРАН</t>
        </is>
      </c>
      <c r="H3503" s="2" t="n">
        <v>0</v>
      </c>
      <c r="I3503" s="2" t="inlineStr"/>
      <c r="J3503" s="2" t="inlineStr">
        <is>
          <t>?</t>
        </is>
      </c>
      <c r="K3503" s="3" t="inlineStr"/>
      <c r="L3503" s="2" t="inlineStr">
        <is>
          <t>https://animator.ru/db/?p=show_film&amp;fid=5291</t>
        </is>
      </c>
      <c r="M3503" s="2">
        <f>HYPERLINK("https://ru.wikipedia.org/w/index.php?search=%D0%A1%D0%BB%D0%B5%D0%B4%D1%81%D1%82%D0%B2%D0%B8%D0%B5%20%D0%B2%D0%B5%D0%B4%D1%83%D1%82%20%D0%BA%D0%BE%D0%BB%D0%BE%D0%B1%D0%BA%D0%B8.%20%D0%9F%D0%BE%D1%85%D0%B8%D1%89%D0%B5%D0%BD%D0%B8%D0%B5%20%D0%B2%D0%B5%D0%BA%D0%B0%201983%20%D1%84%D0%B8%D0%BB%D1%8C%D0%BC","искать")</f>
        <v/>
      </c>
      <c r="N3503" s="3" t="n"/>
      <c r="O3503" s="2" t="n"/>
      <c r="P3503" s="2" t="n"/>
    </row>
    <row r="3504">
      <c r="A3504" s="2" t="n">
        <v>3503</v>
      </c>
      <c r="B3504" s="2" t="inlineStr">
        <is>
          <t>короткая</t>
        </is>
      </c>
      <c r="C3504" s="2" t="n">
        <v>13903</v>
      </c>
      <c r="D3504" s="3" t="inlineStr">
        <is>
          <t>Биссет. Снегопад из холодильника</t>
        </is>
      </c>
      <c r="E3504" s="2" t="n">
        <v>1986</v>
      </c>
      <c r="F3504" s="2" t="inlineStr">
        <is>
          <t>мультфильм</t>
        </is>
      </c>
      <c r="G3504" s="2" t="inlineStr">
        <is>
          <t>МУЛЬТТЕЛЕФИЛЬМ ("Экран")</t>
        </is>
      </c>
      <c r="H3504" s="2" t="n">
        <v>0</v>
      </c>
      <c r="I3504" s="2" t="inlineStr"/>
      <c r="J3504" s="2" t="inlineStr">
        <is>
          <t>?</t>
        </is>
      </c>
      <c r="K3504" s="3" t="inlineStr"/>
      <c r="L3504" s="2" t="inlineStr">
        <is>
          <t>https://animator.ru/db/?p=show_film&amp;fid=5297</t>
        </is>
      </c>
      <c r="M3504" s="2">
        <f>HYPERLINK("https://ru.wikipedia.org/w/index.php?search=%D0%91%D0%B8%D1%81%D1%81%D0%B5%D1%82.%20%D0%A1%D0%BD%D0%B5%D0%B3%D0%BE%D0%BF%D0%B0%D0%B4%20%D0%B8%D0%B7%20%D1%85%D0%BE%D0%BB%D0%BE%D0%B4%D0%B8%D0%BB%D1%8C%D0%BD%D0%B8%D0%BA%D0%B0%201986%20%D1%84%D0%B8%D0%BB%D1%8C%D0%BC","искать")</f>
        <v/>
      </c>
      <c r="N3504" s="3" t="n"/>
      <c r="O3504" s="2" t="n"/>
      <c r="P3504" s="2" t="n"/>
    </row>
    <row r="3505">
      <c r="A3505" s="2" t="n">
        <v>3504</v>
      </c>
      <c r="B3505" s="2" t="inlineStr">
        <is>
          <t>короткая</t>
        </is>
      </c>
      <c r="C3505" s="2" t="n">
        <v>13937</v>
      </c>
      <c r="D3505" s="3" t="inlineStr">
        <is>
          <t>Биссет. Урок музыки</t>
        </is>
      </c>
      <c r="E3505" s="2" t="n">
        <v>1986</v>
      </c>
      <c r="F3505" s="2" t="inlineStr">
        <is>
          <t>мультфильм</t>
        </is>
      </c>
      <c r="G3505" s="2" t="inlineStr">
        <is>
          <t>ЭКРАН</t>
        </is>
      </c>
      <c r="H3505" s="2" t="n">
        <v>0</v>
      </c>
      <c r="I3505" s="2" t="inlineStr"/>
      <c r="J3505" s="2" t="inlineStr">
        <is>
          <t>?</t>
        </is>
      </c>
      <c r="K3505" s="3" t="inlineStr"/>
      <c r="L3505" s="2" t="inlineStr">
        <is>
          <t>https://animator.ru/db/?p=show_film&amp;fid=5331</t>
        </is>
      </c>
      <c r="M3505" s="2">
        <f>HYPERLINK("https://ru.wikipedia.org/w/index.php?search=%D0%91%D0%B8%D1%81%D1%81%D0%B5%D1%82.%20%D0%A3%D1%80%D0%BE%D0%BA%20%D0%BC%D1%83%D0%B7%D1%8B%D0%BA%D0%B8%201986%20%D1%84%D0%B8%D0%BB%D1%8C%D0%BC","искать")</f>
        <v/>
      </c>
      <c r="N3505" s="3" t="n"/>
      <c r="O3505" s="2" t="n"/>
      <c r="P3505" s="2" t="n"/>
    </row>
    <row r="3506">
      <c r="A3506" s="2" t="n">
        <v>3505</v>
      </c>
      <c r="B3506" s="2" t="inlineStr">
        <is>
          <t>короткая</t>
        </is>
      </c>
      <c r="C3506" s="2" t="n">
        <v>13955</v>
      </c>
      <c r="D3506" s="3" t="inlineStr">
        <is>
          <t>КОАПП. 1. Чёрный заяц</t>
        </is>
      </c>
      <c r="E3506" s="2" t="n">
        <v>1984</v>
      </c>
      <c r="F3506" s="2" t="inlineStr">
        <is>
          <t>мультфильм</t>
        </is>
      </c>
      <c r="G3506" s="2" t="inlineStr">
        <is>
          <t>ЭКРАН</t>
        </is>
      </c>
      <c r="H3506" s="2" t="n">
        <v>0</v>
      </c>
      <c r="I3506" s="2" t="inlineStr"/>
      <c r="J3506" s="2" t="inlineStr">
        <is>
          <t>?</t>
        </is>
      </c>
      <c r="K3506" s="3" t="inlineStr"/>
      <c r="L3506" s="2" t="inlineStr">
        <is>
          <t>https://animator.ru/db/?p=show_film&amp;fid=5349</t>
        </is>
      </c>
      <c r="M3506" s="2">
        <f>HYPERLINK("https://ru.wikipedia.org/w/index.php?search=%D0%9A%D0%9E%D0%90%D0%9F%D0%9F.%201.%20%D0%A7%D1%91%D1%80%D0%BD%D1%8B%D0%B9%20%D0%B7%D0%B0%D1%8F%D1%86%201984%20%D1%84%D0%B8%D0%BB%D1%8C%D0%BC","искать")</f>
        <v/>
      </c>
      <c r="N3506" s="3" t="n"/>
      <c r="O3506" s="2" t="n"/>
      <c r="P3506" s="2" t="n"/>
    </row>
    <row r="3507">
      <c r="A3507" s="2" t="n">
        <v>3506</v>
      </c>
      <c r="B3507" s="2" t="inlineStr">
        <is>
          <t>короткая</t>
        </is>
      </c>
      <c r="C3507" s="2" t="n">
        <v>13956</v>
      </c>
      <c r="D3507" s="3" t="inlineStr">
        <is>
          <t>КОАПП. 2. Что услышала медуза</t>
        </is>
      </c>
      <c r="E3507" s="2" t="n">
        <v>1984</v>
      </c>
      <c r="F3507" s="2" t="inlineStr">
        <is>
          <t>мультфильм</t>
        </is>
      </c>
      <c r="G3507" s="2" t="inlineStr">
        <is>
          <t>ЭКРАН</t>
        </is>
      </c>
      <c r="H3507" s="2" t="n">
        <v>0</v>
      </c>
      <c r="I3507" s="2" t="inlineStr"/>
      <c r="J3507" s="2" t="inlineStr">
        <is>
          <t>?</t>
        </is>
      </c>
      <c r="K3507" s="3" t="inlineStr"/>
      <c r="L3507" s="2" t="inlineStr">
        <is>
          <t>https://animator.ru/db/?p=show_film&amp;fid=5350</t>
        </is>
      </c>
      <c r="M3507" s="2">
        <f>HYPERLINK("https://ru.wikipedia.org/w/index.php?search=%D0%9A%D0%9E%D0%90%D0%9F%D0%9F.%202.%20%D0%A7%D1%82%D0%BE%20%D1%83%D1%81%D0%BB%D1%8B%D1%88%D0%B0%D0%BB%D0%B0%20%D0%BC%D0%B5%D0%B4%D1%83%D0%B7%D0%B0%201984%20%D1%84%D0%B8%D0%BB%D1%8C%D0%BC","искать")</f>
        <v/>
      </c>
      <c r="N3507" s="3" t="n"/>
      <c r="O3507" s="2" t="n"/>
      <c r="P3507" s="2" t="n"/>
    </row>
    <row r="3508">
      <c r="A3508" s="2" t="n">
        <v>3507</v>
      </c>
      <c r="B3508" s="2" t="inlineStr">
        <is>
          <t>короткая</t>
        </is>
      </c>
      <c r="C3508" s="2" t="n">
        <v>13957</v>
      </c>
      <c r="D3508" s="3" t="inlineStr">
        <is>
          <t>КОАПП. 3. Разными глазами</t>
        </is>
      </c>
      <c r="E3508" s="2" t="n">
        <v>1985</v>
      </c>
      <c r="F3508" s="2" t="inlineStr">
        <is>
          <t>мультфильм</t>
        </is>
      </c>
      <c r="G3508" s="2" t="inlineStr">
        <is>
          <t>МУЛЬТТЕЛЕФИЛЬМ ("Экран")</t>
        </is>
      </c>
      <c r="H3508" s="2" t="n">
        <v>0</v>
      </c>
      <c r="I3508" s="2" t="inlineStr"/>
      <c r="J3508" s="2" t="inlineStr">
        <is>
          <t>?</t>
        </is>
      </c>
      <c r="K3508" s="3" t="inlineStr"/>
      <c r="L3508" s="2" t="inlineStr">
        <is>
          <t>https://animator.ru/db/?p=show_film&amp;fid=5351</t>
        </is>
      </c>
      <c r="M3508" s="2">
        <f>HYPERLINK("https://ru.wikipedia.org/w/index.php?search=%D0%9A%D0%9E%D0%90%D0%9F%D0%9F.%203.%20%D0%A0%D0%B0%D0%B7%D0%BD%D1%8B%D0%BC%D0%B8%20%D0%B3%D0%BB%D0%B0%D0%B7%D0%B0%D0%BC%D0%B8%201985%20%D1%84%D0%B8%D0%BB%D1%8C%D0%BC","искать")</f>
        <v/>
      </c>
      <c r="N3508" s="3" t="n"/>
      <c r="O3508" s="2" t="n"/>
      <c r="P3508" s="2" t="n"/>
    </row>
    <row r="3509">
      <c r="A3509" s="2" t="n">
        <v>3508</v>
      </c>
      <c r="B3509" s="2" t="inlineStr">
        <is>
          <t>короткая</t>
        </is>
      </c>
      <c r="C3509" s="2" t="n">
        <v>13958</v>
      </c>
      <c r="D3509" s="3" t="inlineStr">
        <is>
          <t>КОАПП. 4. Сонное царство</t>
        </is>
      </c>
      <c r="E3509" s="2" t="n">
        <v>1985</v>
      </c>
      <c r="F3509" s="2" t="inlineStr">
        <is>
          <t>мультфильм</t>
        </is>
      </c>
      <c r="G3509" s="2" t="inlineStr">
        <is>
          <t>МУЛЬТТЕЛЕФИЛЬМ ("Экран")</t>
        </is>
      </c>
      <c r="H3509" s="2" t="n">
        <v>0</v>
      </c>
      <c r="I3509" s="2" t="inlineStr"/>
      <c r="J3509" s="2" t="inlineStr">
        <is>
          <t>?</t>
        </is>
      </c>
      <c r="K3509" s="3" t="inlineStr"/>
      <c r="L3509" s="2" t="inlineStr">
        <is>
          <t>https://animator.ru/db/?p=show_film&amp;fid=5352</t>
        </is>
      </c>
      <c r="M3509" s="2">
        <f>HYPERLINK("https://ru.wikipedia.org/w/index.php?search=%D0%9A%D0%9E%D0%90%D0%9F%D0%9F.%204.%20%D0%A1%D0%BE%D0%BD%D0%BD%D0%BE%D0%B5%20%D1%86%D0%B0%D1%80%D1%81%D1%82%D0%B2%D0%BE%201985%20%D1%84%D0%B8%D0%BB%D1%8C%D0%BC","искать")</f>
        <v/>
      </c>
      <c r="N3509" s="3" t="n"/>
      <c r="O3509" s="2" t="n"/>
      <c r="P3509" s="2" t="n"/>
    </row>
    <row r="3510">
      <c r="A3510" s="2" t="n">
        <v>3509</v>
      </c>
      <c r="B3510" s="2" t="inlineStr">
        <is>
          <t>короткая</t>
        </is>
      </c>
      <c r="C3510" s="2" t="n">
        <v>13959</v>
      </c>
      <c r="D3510" s="3" t="inlineStr">
        <is>
          <t>Коапп 4. Когда я был маленьким</t>
        </is>
      </c>
      <c r="E3510" s="2" t="n">
        <v>1986</v>
      </c>
      <c r="F3510" s="2" t="inlineStr">
        <is>
          <t>мультфильм</t>
        </is>
      </c>
      <c r="G3510" s="2" t="inlineStr">
        <is>
          <t>МУЛЬТТЕЛЕФИЛЬМ ("Экран")</t>
        </is>
      </c>
      <c r="H3510" s="2" t="n">
        <v>0</v>
      </c>
      <c r="I3510" s="2" t="inlineStr"/>
      <c r="J3510" s="2" t="inlineStr">
        <is>
          <t>?</t>
        </is>
      </c>
      <c r="K3510" s="3" t="inlineStr"/>
      <c r="L3510" s="2" t="inlineStr">
        <is>
          <t>https://animator.ru/db/?p=show_film&amp;fid=5353</t>
        </is>
      </c>
      <c r="M3510" s="2">
        <f>HYPERLINK("https://ru.wikipedia.org/w/index.php?search=%D0%9A%D0%BE%D0%B0%D0%BF%D0%BF%204.%20%D0%9A%D0%BE%D0%B3%D0%B4%D0%B0%20%D1%8F%20%D0%B1%D1%8B%D0%BB%20%D0%BC%D0%B0%D0%BB%D0%B5%D0%BD%D1%8C%D0%BA%D0%B8%D0%BC%201986%20%D1%84%D0%B8%D0%BB%D1%8C%D0%BC","искать")</f>
        <v/>
      </c>
      <c r="N3510" s="3" t="n"/>
      <c r="O3510" s="2" t="n"/>
      <c r="P3510" s="2" t="n"/>
    </row>
    <row r="3511">
      <c r="A3511" s="2" t="n">
        <v>3510</v>
      </c>
      <c r="B3511" s="2" t="inlineStr">
        <is>
          <t>короткая</t>
        </is>
      </c>
      <c r="C3511" s="2" t="n">
        <v>13960</v>
      </c>
      <c r="D3511" s="3" t="inlineStr">
        <is>
          <t>Коапп. Самая скорая помощь</t>
        </is>
      </c>
      <c r="E3511" s="2" t="n">
        <v>1986</v>
      </c>
      <c r="F3511" s="2" t="inlineStr">
        <is>
          <t>мультфильм</t>
        </is>
      </c>
      <c r="G3511" s="2" t="inlineStr">
        <is>
          <t>ЭКРАН</t>
        </is>
      </c>
      <c r="H3511" s="2" t="n">
        <v>0</v>
      </c>
      <c r="I3511" s="2" t="inlineStr"/>
      <c r="J3511" s="2" t="inlineStr">
        <is>
          <t>?</t>
        </is>
      </c>
      <c r="K3511" s="3" t="inlineStr"/>
      <c r="L3511" s="2" t="inlineStr">
        <is>
          <t>https://animator.ru/db/?p=show_film&amp;fid=5354</t>
        </is>
      </c>
      <c r="M3511" s="2">
        <f>HYPERLINK("https://ru.wikipedia.org/w/index.php?search=%D0%9A%D0%BE%D0%B0%D0%BF%D0%BF.%20%D0%A1%D0%B0%D0%BC%D0%B0%D1%8F%20%D1%81%D0%BA%D0%BE%D1%80%D0%B0%D1%8F%20%D0%BF%D0%BE%D0%BC%D0%BE%D1%89%D1%8C%201986%20%D1%84%D0%B8%D0%BB%D1%8C%D0%BC","искать")</f>
        <v/>
      </c>
      <c r="N3511" s="3" t="n"/>
      <c r="O3511" s="2" t="n"/>
      <c r="P3511" s="2" t="n"/>
    </row>
    <row r="3512">
      <c r="A3512" s="2" t="n">
        <v>3511</v>
      </c>
      <c r="B3512" s="2" t="inlineStr">
        <is>
          <t>короткая</t>
        </is>
      </c>
      <c r="C3512" s="2" t="n">
        <v>13961</v>
      </c>
      <c r="D3512" s="3" t="inlineStr">
        <is>
          <t>Коапп. Банный день</t>
        </is>
      </c>
      <c r="E3512" s="2" t="n">
        <v>1986</v>
      </c>
      <c r="F3512" s="2" t="inlineStr">
        <is>
          <t>мультфильм</t>
        </is>
      </c>
      <c r="G3512" s="2" t="inlineStr">
        <is>
          <t>ЭКРАН</t>
        </is>
      </c>
      <c r="H3512" s="2" t="n">
        <v>0</v>
      </c>
      <c r="I3512" s="2" t="inlineStr"/>
      <c r="J3512" s="2" t="inlineStr">
        <is>
          <t>?</t>
        </is>
      </c>
      <c r="K3512" s="3" t="inlineStr"/>
      <c r="L3512" s="2" t="inlineStr">
        <is>
          <t>https://animator.ru/db/?p=show_film&amp;fid=5355</t>
        </is>
      </c>
      <c r="M3512" s="2">
        <f>HYPERLINK("https://ru.wikipedia.org/w/index.php?search=%D0%9A%D0%BE%D0%B0%D0%BF%D0%BF.%20%D0%91%D0%B0%D0%BD%D0%BD%D1%8B%D0%B9%20%D0%B4%D0%B5%D0%BD%D1%8C%201986%20%D1%84%D0%B8%D0%BB%D1%8C%D0%BC","искать")</f>
        <v/>
      </c>
      <c r="N3512" s="3" t="n"/>
      <c r="O3512" s="2" t="n"/>
      <c r="P3512" s="2" t="n"/>
    </row>
    <row r="3513">
      <c r="A3513" s="2" t="n">
        <v>3512</v>
      </c>
      <c r="B3513" s="2" t="inlineStr">
        <is>
          <t>короткая</t>
        </is>
      </c>
      <c r="C3513" s="2" t="n">
        <v>13962</v>
      </c>
      <c r="D3513" s="3" t="inlineStr">
        <is>
          <t>Коапп. Тайна зеленого острова</t>
        </is>
      </c>
      <c r="E3513" s="2" t="n">
        <v>1986</v>
      </c>
      <c r="F3513" s="2" t="inlineStr">
        <is>
          <t>мультфильм</t>
        </is>
      </c>
      <c r="G3513" s="2" t="inlineStr">
        <is>
          <t>ЭКРАН</t>
        </is>
      </c>
      <c r="H3513" s="2" t="n">
        <v>0</v>
      </c>
      <c r="I3513" s="2" t="inlineStr"/>
      <c r="J3513" s="2" t="inlineStr">
        <is>
          <t>?</t>
        </is>
      </c>
      <c r="K3513" s="3" t="inlineStr"/>
      <c r="L3513" s="2" t="inlineStr">
        <is>
          <t>https://animator.ru/db/?p=show_film&amp;fid=5356</t>
        </is>
      </c>
      <c r="M3513" s="2">
        <f>HYPERLINK("https://ru.wikipedia.org/w/index.php?search=%D0%9A%D0%BE%D0%B0%D0%BF%D0%BF.%20%D0%A2%D0%B0%D0%B9%D0%BD%D0%B0%20%D0%B7%D0%B5%D0%BB%D0%B5%D0%BD%D0%BE%D0%B3%D0%BE%20%D0%BE%D1%81%D1%82%D1%80%D0%BE%D0%B2%D0%B0%201986%20%D1%84%D0%B8%D0%BB%D1%8C%D0%BC","искать")</f>
        <v/>
      </c>
      <c r="N3513" s="3" t="n"/>
      <c r="O3513" s="2" t="n"/>
      <c r="P3513" s="2" t="n"/>
    </row>
    <row r="3514">
      <c r="A3514" s="2" t="n">
        <v>3513</v>
      </c>
      <c r="B3514" s="2" t="inlineStr">
        <is>
          <t>короткая</t>
        </is>
      </c>
      <c r="C3514" s="2" t="n">
        <v>13963</v>
      </c>
      <c r="D3514" s="3" t="inlineStr">
        <is>
          <t>Коапп. Перепись населения</t>
        </is>
      </c>
      <c r="E3514" s="2" t="n">
        <v>1987</v>
      </c>
      <c r="F3514" s="2" t="inlineStr">
        <is>
          <t>мультфильм</t>
        </is>
      </c>
      <c r="G3514" s="2" t="inlineStr">
        <is>
          <t>ЭКРАН</t>
        </is>
      </c>
      <c r="H3514" s="2" t="n">
        <v>0</v>
      </c>
      <c r="I3514" s="2" t="inlineStr"/>
      <c r="J3514" s="2" t="inlineStr">
        <is>
          <t>?</t>
        </is>
      </c>
      <c r="K3514" s="3" t="inlineStr"/>
      <c r="L3514" s="2" t="inlineStr">
        <is>
          <t>https://animator.ru/db/?p=show_film&amp;fid=5357</t>
        </is>
      </c>
      <c r="M3514" s="2">
        <f>HYPERLINK("https://ru.wikipedia.org/w/index.php?search=%D0%9A%D0%BE%D0%B0%D0%BF%D0%BF.%20%D0%9F%D0%B5%D1%80%D0%B5%D0%BF%D0%B8%D1%81%D1%8C%20%D0%BD%D0%B0%D1%81%D0%B5%D0%BB%D0%B5%D0%BD%D0%B8%D1%8F%201987%20%D1%84%D0%B8%D0%BB%D1%8C%D0%BC","искать")</f>
        <v/>
      </c>
      <c r="N3514" s="3" t="n"/>
      <c r="O3514" s="2" t="n"/>
      <c r="P3514" s="2" t="n"/>
    </row>
    <row r="3515">
      <c r="A3515" s="2" t="n">
        <v>3514</v>
      </c>
      <c r="B3515" s="2" t="inlineStr">
        <is>
          <t>короткая</t>
        </is>
      </c>
      <c r="C3515" s="2" t="n">
        <v>13964</v>
      </c>
      <c r="D3515" s="3" t="inlineStr">
        <is>
          <t>Коапп. Всюду жизнь</t>
        </is>
      </c>
      <c r="E3515" s="2" t="n">
        <v>1987</v>
      </c>
      <c r="F3515" s="2" t="inlineStr">
        <is>
          <t>мультфильм</t>
        </is>
      </c>
      <c r="G3515" s="2" t="inlineStr">
        <is>
          <t>ЭКРАН</t>
        </is>
      </c>
      <c r="H3515" s="2" t="n">
        <v>0</v>
      </c>
      <c r="I3515" s="2" t="inlineStr"/>
      <c r="J3515" s="2" t="inlineStr">
        <is>
          <t>?</t>
        </is>
      </c>
      <c r="K3515" s="3" t="inlineStr"/>
      <c r="L3515" s="2" t="inlineStr">
        <is>
          <t>https://animator.ru/db/?p=show_film&amp;fid=5358</t>
        </is>
      </c>
      <c r="M3515" s="2">
        <f>HYPERLINK("https://ru.wikipedia.org/w/index.php?search=%D0%9A%D0%BE%D0%B0%D0%BF%D0%BF.%20%D0%92%D1%81%D1%8E%D0%B4%D1%83%20%D0%B6%D0%B8%D0%B7%D0%BD%D1%8C%201987%20%D1%84%D0%B8%D0%BB%D1%8C%D0%BC","искать")</f>
        <v/>
      </c>
      <c r="N3515" s="3" t="n"/>
      <c r="O3515" s="2" t="n"/>
      <c r="P3515" s="2" t="n"/>
    </row>
    <row r="3516">
      <c r="A3516" s="2" t="n">
        <v>3515</v>
      </c>
      <c r="B3516" s="2" t="inlineStr">
        <is>
          <t>короткая</t>
        </is>
      </c>
      <c r="C3516" s="2" t="n">
        <v>13965</v>
      </c>
      <c r="D3516" s="3" t="inlineStr">
        <is>
          <t>Коапп. Пробег</t>
        </is>
      </c>
      <c r="E3516" s="2" t="n">
        <v>1987</v>
      </c>
      <c r="F3516" s="2" t="inlineStr">
        <is>
          <t>мультфильм</t>
        </is>
      </c>
      <c r="G3516" s="2" t="inlineStr">
        <is>
          <t>ЭКРАН</t>
        </is>
      </c>
      <c r="H3516" s="2" t="n">
        <v>0</v>
      </c>
      <c r="I3516" s="2" t="inlineStr"/>
      <c r="J3516" s="2" t="inlineStr">
        <is>
          <t>?</t>
        </is>
      </c>
      <c r="K3516" s="3" t="inlineStr"/>
      <c r="L3516" s="2" t="inlineStr">
        <is>
          <t>https://animator.ru/db/?p=show_film&amp;fid=5359</t>
        </is>
      </c>
      <c r="M3516" s="2">
        <f>HYPERLINK("https://ru.wikipedia.org/w/index.php?search=%D0%9A%D0%BE%D0%B0%D0%BF%D0%BF.%20%D0%9F%D1%80%D0%BE%D0%B1%D0%B5%D0%B3%201987%20%D1%84%D0%B8%D0%BB%D1%8C%D0%BC","искать")</f>
        <v/>
      </c>
      <c r="N3516" s="3" t="n"/>
      <c r="O3516" s="2" t="n"/>
      <c r="P3516" s="2" t="n"/>
    </row>
    <row r="3517">
      <c r="A3517" s="2" t="n">
        <v>3516</v>
      </c>
      <c r="B3517" s="2" t="inlineStr">
        <is>
          <t>короткая</t>
        </is>
      </c>
      <c r="C3517" s="2" t="n">
        <v>13966</v>
      </c>
      <c r="D3517" s="3" t="inlineStr">
        <is>
          <t>Коапп. Дом для барсука</t>
        </is>
      </c>
      <c r="E3517" s="2" t="n">
        <v>1987</v>
      </c>
      <c r="F3517" s="2" t="inlineStr">
        <is>
          <t>мультфильм</t>
        </is>
      </c>
      <c r="G3517" s="2" t="inlineStr">
        <is>
          <t>ЭКРАН</t>
        </is>
      </c>
      <c r="H3517" s="2" t="n">
        <v>0</v>
      </c>
      <c r="I3517" s="2" t="inlineStr"/>
      <c r="J3517" s="2" t="inlineStr">
        <is>
          <t>?</t>
        </is>
      </c>
      <c r="K3517" s="3" t="inlineStr"/>
      <c r="L3517" s="2" t="inlineStr">
        <is>
          <t>https://animator.ru/db/?p=show_film&amp;fid=5360</t>
        </is>
      </c>
      <c r="M3517" s="2">
        <f>HYPERLINK("https://ru.wikipedia.org/w/index.php?search=%D0%9A%D0%BE%D0%B0%D0%BF%D0%BF.%20%D0%94%D0%BE%D0%BC%20%D0%B4%D0%BB%D1%8F%20%D0%B1%D0%B0%D1%80%D1%81%D1%83%D0%BA%D0%B0%201987%20%D1%84%D0%B8%D0%BB%D1%8C%D0%BC","искать")</f>
        <v/>
      </c>
      <c r="N3517" s="3" t="n"/>
      <c r="O3517" s="2" t="n"/>
      <c r="P3517" s="2" t="n"/>
    </row>
    <row r="3518">
      <c r="A3518" s="2" t="n">
        <v>3517</v>
      </c>
      <c r="B3518" s="2" t="inlineStr">
        <is>
          <t>короткая</t>
        </is>
      </c>
      <c r="C3518" s="2" t="n">
        <v>13967</v>
      </c>
      <c r="D3518" s="3" t="inlineStr">
        <is>
          <t>Коапп. Ограбление вернисажа</t>
        </is>
      </c>
      <c r="E3518" s="2" t="n">
        <v>1988</v>
      </c>
      <c r="F3518" s="2" t="inlineStr">
        <is>
          <t>мультфильм</t>
        </is>
      </c>
      <c r="G3518" s="2" t="inlineStr">
        <is>
          <t>ЭКРАН</t>
        </is>
      </c>
      <c r="H3518" s="2" t="n">
        <v>0</v>
      </c>
      <c r="I3518" s="2" t="inlineStr"/>
      <c r="J3518" s="2" t="inlineStr">
        <is>
          <t>?</t>
        </is>
      </c>
      <c r="K3518" s="3" t="inlineStr"/>
      <c r="L3518" s="2" t="inlineStr">
        <is>
          <t>https://animator.ru/db/?p=show_film&amp;fid=5361</t>
        </is>
      </c>
      <c r="M3518" s="2">
        <f>HYPERLINK("https://ru.wikipedia.org/w/index.php?search=%D0%9A%D0%BE%D0%B0%D0%BF%D0%BF.%20%D0%9E%D0%B3%D1%80%D0%B0%D0%B1%D0%BB%D0%B5%D0%BD%D0%B8%D0%B5%20%D0%B2%D0%B5%D1%80%D0%BD%D0%B8%D1%81%D0%B0%D0%B6%D0%B0%201988%20%D1%84%D0%B8%D0%BB%D1%8C%D0%BC","искать")</f>
        <v/>
      </c>
      <c r="N3518" s="3" t="n"/>
      <c r="O3518" s="2" t="n"/>
      <c r="P3518" s="2" t="n"/>
    </row>
    <row r="3519">
      <c r="A3519" s="2" t="n">
        <v>3518</v>
      </c>
      <c r="B3519" s="2" t="inlineStr">
        <is>
          <t>короткая</t>
        </is>
      </c>
      <c r="C3519" s="2" t="n">
        <v>13968</v>
      </c>
      <c r="D3519" s="3" t="inlineStr">
        <is>
          <t>Коапп. Ab ovo - это значит яйцо</t>
        </is>
      </c>
      <c r="E3519" s="2" t="n">
        <v>1988</v>
      </c>
      <c r="F3519" s="2" t="inlineStr">
        <is>
          <t>мультфильм</t>
        </is>
      </c>
      <c r="G3519" s="2" t="inlineStr">
        <is>
          <t>ЭКРАН</t>
        </is>
      </c>
      <c r="H3519" s="2" t="n">
        <v>0</v>
      </c>
      <c r="I3519" s="2" t="inlineStr"/>
      <c r="J3519" s="2" t="inlineStr">
        <is>
          <t>?</t>
        </is>
      </c>
      <c r="K3519" s="3" t="inlineStr"/>
      <c r="L3519" s="2" t="inlineStr">
        <is>
          <t>https://animator.ru/db/?p=show_film&amp;fid=5362</t>
        </is>
      </c>
      <c r="M3519" s="2">
        <f>HYPERLINK("https://ru.wikipedia.org/w/index.php?search=%D0%9A%D0%BE%D0%B0%D0%BF%D0%BF.%20Ab%20ovo%20-%20%D1%8D%D1%82%D0%BE%20%D0%B7%D0%BD%D0%B0%D1%87%D0%B8%D1%82%20%D1%8F%D0%B9%D1%86%D0%BE%201988%20%D1%84%D0%B8%D0%BB%D1%8C%D0%BC","искать")</f>
        <v/>
      </c>
      <c r="N3519" s="3" t="n"/>
      <c r="O3519" s="2" t="n"/>
      <c r="P3519" s="2" t="n"/>
    </row>
    <row r="3520">
      <c r="A3520" s="2" t="n">
        <v>3519</v>
      </c>
      <c r="B3520" s="2" t="inlineStr">
        <is>
          <t>короткая</t>
        </is>
      </c>
      <c r="C3520" s="2" t="n">
        <v>13983</v>
      </c>
      <c r="D3520" s="3" t="inlineStr">
        <is>
          <t>Коапп. Кошмар на амазонке</t>
        </is>
      </c>
      <c r="E3520" s="2" t="n">
        <v>1988</v>
      </c>
      <c r="F3520" s="2" t="inlineStr">
        <is>
          <t>мультфильм</t>
        </is>
      </c>
      <c r="G3520" s="2" t="inlineStr">
        <is>
          <t>ЭКРАН</t>
        </is>
      </c>
      <c r="H3520" s="2" t="n">
        <v>0</v>
      </c>
      <c r="I3520" s="2" t="inlineStr"/>
      <c r="J3520" s="2" t="inlineStr">
        <is>
          <t>?</t>
        </is>
      </c>
      <c r="K3520" s="3" t="inlineStr"/>
      <c r="L3520" s="2" t="inlineStr">
        <is>
          <t>https://animator.ru/db/?p=show_film&amp;fid=5377</t>
        </is>
      </c>
      <c r="M3520" s="2">
        <f>HYPERLINK("https://ru.wikipedia.org/w/index.php?search=%D0%9A%D0%BE%D0%B0%D0%BF%D0%BF.%20%D0%9A%D0%BE%D1%88%D0%BC%D0%B0%D1%80%20%D0%BD%D0%B0%20%D0%B0%D0%BC%D0%B0%D0%B7%D0%BE%D0%BD%D0%BA%D0%B5%201988%20%D1%84%D0%B8%D0%BB%D1%8C%D0%BC","искать")</f>
        <v/>
      </c>
      <c r="N3520" s="3" t="n"/>
      <c r="O3520" s="2" t="n"/>
      <c r="P3520" s="2" t="n"/>
    </row>
    <row r="3521">
      <c r="A3521" s="2" t="n">
        <v>3520</v>
      </c>
      <c r="B3521" s="2" t="inlineStr">
        <is>
          <t>короткая</t>
        </is>
      </c>
      <c r="C3521" s="2" t="n">
        <v>13984</v>
      </c>
      <c r="D3521" s="3" t="inlineStr">
        <is>
          <t>КОАПП. SOS КОАППу!</t>
        </is>
      </c>
      <c r="E3521" s="2" t="n">
        <v>1989</v>
      </c>
      <c r="F3521" s="2" t="inlineStr">
        <is>
          <t>мультфильм</t>
        </is>
      </c>
      <c r="G3521" s="2" t="n"/>
      <c r="H3521" s="2" t="n">
        <v>0</v>
      </c>
      <c r="I3521" s="2" t="inlineStr"/>
      <c r="J3521" s="2" t="inlineStr">
        <is>
          <t>?</t>
        </is>
      </c>
      <c r="K3521" s="3" t="inlineStr"/>
      <c r="L3521" s="2" t="inlineStr">
        <is>
          <t>https://animator.ru/db/?p=show_film&amp;fid=5378</t>
        </is>
      </c>
      <c r="M3521" s="2">
        <f>HYPERLINK("https://ru.wikipedia.org/w/index.php?search=%D0%9A%D0%9E%D0%90%D0%9F%D0%9F.%20SOS%20%D0%9A%D0%9E%D0%90%D0%9F%D0%9F%D1%83%21%201989%20%D1%84%D0%B8%D0%BB%D1%8C%D0%BC","искать")</f>
        <v/>
      </c>
      <c r="N3521" s="3" t="n"/>
      <c r="O3521" s="2" t="n"/>
      <c r="P3521" s="2" t="n"/>
    </row>
    <row r="3522">
      <c r="A3522" s="2" t="n">
        <v>3521</v>
      </c>
      <c r="B3522" s="2" t="inlineStr">
        <is>
          <t>короткая</t>
        </is>
      </c>
      <c r="C3522" s="2" t="n">
        <v>14015</v>
      </c>
      <c r="D3522" s="3" t="inlineStr">
        <is>
          <t>Как машина заболела</t>
        </is>
      </c>
      <c r="E3522" s="2" t="n">
        <v>1972</v>
      </c>
      <c r="F3522" s="2" t="inlineStr">
        <is>
          <t>мультфильм</t>
        </is>
      </c>
      <c r="G3522" s="2" t="inlineStr">
        <is>
          <t>Союзмультфильм</t>
        </is>
      </c>
      <c r="H3522" s="2" t="n">
        <v>0</v>
      </c>
      <c r="I3522" s="2" t="inlineStr"/>
      <c r="J3522" s="2" t="inlineStr">
        <is>
          <t>?</t>
        </is>
      </c>
      <c r="K3522" s="3" t="inlineStr"/>
      <c r="L3522" s="2" t="inlineStr">
        <is>
          <t>https://animator.ru/db/?p=show_film&amp;fid=5410</t>
        </is>
      </c>
      <c r="M3522" s="2">
        <f>HYPERLINK("https://ru.wikipedia.org/w/index.php?search=%D0%9A%D0%B0%D0%BA%20%D0%BC%D0%B0%D1%88%D0%B8%D0%BD%D0%B0%20%D0%B7%D0%B0%D0%B1%D0%BE%D0%BB%D0%B5%D0%BB%D0%B0%201972%20%D1%84%D0%B8%D0%BB%D1%8C%D0%BC","искать")</f>
        <v/>
      </c>
      <c r="N3522" s="3" t="n"/>
      <c r="O3522" s="2" t="n"/>
      <c r="P3522" s="2" t="n"/>
    </row>
    <row r="3523">
      <c r="A3523" s="2" t="n">
        <v>3522</v>
      </c>
      <c r="B3523" s="2" t="inlineStr">
        <is>
          <t>короткая</t>
        </is>
      </c>
      <c r="C3523" s="2" t="n">
        <v>14021</v>
      </c>
      <c r="D3523" s="3" t="inlineStr">
        <is>
          <t>Доктор Айболит. 7. Спасибо, доктор!</t>
        </is>
      </c>
      <c r="E3523" s="2" t="n">
        <v>1985</v>
      </c>
      <c r="F3523" s="2" t="inlineStr">
        <is>
          <t>мультфильм</t>
        </is>
      </c>
      <c r="G3523" s="2" t="inlineStr">
        <is>
          <t>КИЕВНАУЧФИЛЬМ</t>
        </is>
      </c>
      <c r="H3523" s="2" t="n">
        <v>0</v>
      </c>
      <c r="I3523" s="2" t="inlineStr"/>
      <c r="J3523" s="2" t="inlineStr">
        <is>
          <t>?</t>
        </is>
      </c>
      <c r="K3523" s="3" t="inlineStr"/>
      <c r="L3523" s="2" t="inlineStr">
        <is>
          <t>https://animator.ru/db/?p=show_film&amp;fid=5416</t>
        </is>
      </c>
      <c r="M3523" s="2">
        <f>HYPERLINK("https://ru.wikipedia.org/w/index.php?search=%D0%94%D0%BE%D0%BA%D1%82%D0%BE%D1%80%20%D0%90%D0%B9%D0%B1%D0%BE%D0%BB%D0%B8%D1%82.%207.%20%D0%A1%D0%BF%D0%B0%D1%81%D0%B8%D0%B1%D0%BE%2C%20%D0%B4%D0%BE%D0%BA%D1%82%D0%BE%D1%80%21%201985%20%D1%84%D0%B8%D0%BB%D1%8C%D0%BC","искать")</f>
        <v/>
      </c>
      <c r="N3523" s="3" t="n"/>
      <c r="O3523" s="2" t="n"/>
      <c r="P3523" s="2" t="n"/>
    </row>
    <row r="3524">
      <c r="A3524" s="2" t="n">
        <v>3523</v>
      </c>
      <c r="B3524" s="2" t="inlineStr">
        <is>
          <t>короткая</t>
        </is>
      </c>
      <c r="C3524" s="2" t="n">
        <v>14067</v>
      </c>
      <c r="D3524" s="3" t="inlineStr">
        <is>
          <t>Сказки засыпайки. События в трамвае</t>
        </is>
      </c>
      <c r="E3524" s="2" t="n">
        <v>1979</v>
      </c>
      <c r="F3524" s="2" t="inlineStr">
        <is>
          <t>мультфильм</t>
        </is>
      </c>
      <c r="G3524" s="2" t="inlineStr">
        <is>
          <t>ТАЛЛИННФИЛЬМ</t>
        </is>
      </c>
      <c r="H3524" s="2" t="n">
        <v>0</v>
      </c>
      <c r="I3524" s="2" t="inlineStr"/>
      <c r="J3524" s="2" t="inlineStr">
        <is>
          <t>?</t>
        </is>
      </c>
      <c r="K3524" s="3" t="inlineStr"/>
      <c r="L3524" s="2" t="inlineStr">
        <is>
          <t>https://animator.ru/db/?p=show_film&amp;fid=5463</t>
        </is>
      </c>
      <c r="M3524" s="2">
        <f>HYPERLINK("https://ru.wikipedia.org/w/index.php?search=%D0%A1%D0%BA%D0%B0%D0%B7%D0%BA%D0%B8%20%D0%B7%D0%B0%D1%81%D1%8B%D0%BF%D0%B0%D0%B9%D0%BA%D0%B8.%20%D0%A1%D0%BE%D0%B1%D1%8B%D1%82%D0%B8%D1%8F%20%D0%B2%20%D1%82%D1%80%D0%B0%D0%BC%D0%B2%D0%B0%D0%B5%201979%20%D1%84%D0%B8%D0%BB%D1%8C%D0%BC","искать")</f>
        <v/>
      </c>
      <c r="N3524" s="3" t="n"/>
      <c r="O3524" s="2" t="n"/>
      <c r="P3524" s="2" t="n"/>
    </row>
    <row r="3525">
      <c r="A3525" s="2" t="n">
        <v>3524</v>
      </c>
      <c r="B3525" s="2" t="inlineStr">
        <is>
          <t>короткая</t>
        </is>
      </c>
      <c r="C3525" s="2" t="n">
        <v>14068</v>
      </c>
      <c r="D3525" s="3" t="inlineStr">
        <is>
          <t>Сказки засыпайки. Шапка-невидимка</t>
        </is>
      </c>
      <c r="E3525" s="2" t="n">
        <v>1979</v>
      </c>
      <c r="F3525" s="2" t="inlineStr">
        <is>
          <t>мультфильм</t>
        </is>
      </c>
      <c r="G3525" s="2" t="inlineStr">
        <is>
          <t>ТАЛЛИННФИЛЬМ</t>
        </is>
      </c>
      <c r="H3525" s="2" t="n">
        <v>0</v>
      </c>
      <c r="I3525" s="2" t="inlineStr"/>
      <c r="J3525" s="2" t="inlineStr">
        <is>
          <t>?</t>
        </is>
      </c>
      <c r="K3525" s="3" t="inlineStr"/>
      <c r="L3525" s="2" t="inlineStr">
        <is>
          <t>https://animator.ru/db/?p=show_film&amp;fid=5464</t>
        </is>
      </c>
      <c r="M3525" s="2">
        <f>HYPERLINK("https://ru.wikipedia.org/w/index.php?search=%D0%A1%D0%BA%D0%B0%D0%B7%D0%BA%D0%B8%20%D0%B7%D0%B0%D1%81%D1%8B%D0%BF%D0%B0%D0%B9%D0%BA%D0%B8.%20%D0%A8%D0%B0%D0%BF%D0%BA%D0%B0-%D0%BD%D0%B5%D0%B2%D0%B8%D0%B4%D0%B8%D0%BC%D0%BA%D0%B0%201979%20%D1%84%D0%B8%D0%BB%D1%8C%D0%BC","искать")</f>
        <v/>
      </c>
      <c r="N3525" s="3" t="n"/>
      <c r="O3525" s="2" t="n"/>
      <c r="P3525" s="2" t="n"/>
    </row>
    <row r="3526">
      <c r="A3526" s="2" t="n">
        <v>3525</v>
      </c>
      <c r="B3526" s="2" t="inlineStr">
        <is>
          <t>короткая</t>
        </is>
      </c>
      <c r="C3526" s="2" t="n">
        <v>14069</v>
      </c>
      <c r="D3526" s="3" t="inlineStr">
        <is>
          <t>Сказки засыпайки. Заячье такси</t>
        </is>
      </c>
      <c r="E3526" s="2" t="n">
        <v>1980</v>
      </c>
      <c r="F3526" s="2" t="inlineStr">
        <is>
          <t>мультфильм</t>
        </is>
      </c>
      <c r="G3526" s="2" t="inlineStr">
        <is>
          <t>ТАЛЛИННФИЛЬМ</t>
        </is>
      </c>
      <c r="H3526" s="2" t="n">
        <v>0</v>
      </c>
      <c r="I3526" s="2" t="inlineStr"/>
      <c r="J3526" s="2" t="inlineStr">
        <is>
          <t>?</t>
        </is>
      </c>
      <c r="K3526" s="3" t="inlineStr"/>
      <c r="L3526" s="2" t="inlineStr">
        <is>
          <t>https://animator.ru/db/?p=show_film&amp;fid=5465</t>
        </is>
      </c>
      <c r="M3526" s="2">
        <f>HYPERLINK("https://ru.wikipedia.org/w/index.php?search=%D0%A1%D0%BA%D0%B0%D0%B7%D0%BA%D0%B8%20%D0%B7%D0%B0%D1%81%D1%8B%D0%BF%D0%B0%D0%B9%D0%BA%D0%B8.%20%D0%97%D0%B0%D1%8F%D1%87%D1%8C%D0%B5%20%D1%82%D0%B0%D0%BA%D1%81%D0%B8%201980%20%D1%84%D0%B8%D0%BB%D1%8C%D0%BC","искать")</f>
        <v/>
      </c>
      <c r="N3526" s="3" t="n"/>
      <c r="O3526" s="2" t="n"/>
      <c r="P3526" s="2" t="n"/>
    </row>
    <row r="3527">
      <c r="A3527" s="2" t="n">
        <v>3526</v>
      </c>
      <c r="B3527" s="2" t="inlineStr">
        <is>
          <t>короткая</t>
        </is>
      </c>
      <c r="C3527" s="2" t="n">
        <v>14070</v>
      </c>
      <c r="D3527" s="3" t="inlineStr">
        <is>
          <t>Сказки засыпайки. Приключение в пустыне</t>
        </is>
      </c>
      <c r="E3527" s="2" t="n">
        <v>1980</v>
      </c>
      <c r="F3527" s="2" t="inlineStr">
        <is>
          <t>мультфильм</t>
        </is>
      </c>
      <c r="G3527" s="2" t="inlineStr">
        <is>
          <t>ТАЛЛИННФИЛЬМ</t>
        </is>
      </c>
      <c r="H3527" s="2" t="n">
        <v>0</v>
      </c>
      <c r="I3527" s="2" t="inlineStr"/>
      <c r="J3527" s="2" t="inlineStr">
        <is>
          <t>?</t>
        </is>
      </c>
      <c r="K3527" s="3" t="inlineStr"/>
      <c r="L3527" s="2" t="inlineStr">
        <is>
          <t>https://animator.ru/db/?p=show_film&amp;fid=5466</t>
        </is>
      </c>
      <c r="M3527" s="2">
        <f>HYPERLINK("https://ru.wikipedia.org/w/index.php?search=%D0%A1%D0%BA%D0%B0%D0%B7%D0%BA%D0%B8%20%D0%B7%D0%B0%D1%81%D1%8B%D0%BF%D0%B0%D0%B9%D0%BA%D0%B8.%20%D0%9F%D1%80%D0%B8%D0%BA%D0%BB%D1%8E%D1%87%D0%B5%D0%BD%D0%B8%D0%B5%20%D0%B2%20%D0%BF%D1%83%D1%81%D1%82%D1%8B%D0%BD%D0%B5%201980%20%D1%84%D0%B8%D0%BB%D1%8C%D0%BC","искать")</f>
        <v/>
      </c>
      <c r="N3527" s="3" t="n"/>
      <c r="O3527" s="2" t="n"/>
      <c r="P3527" s="2" t="n"/>
    </row>
    <row r="3528">
      <c r="A3528" s="2" t="n">
        <v>3527</v>
      </c>
      <c r="B3528" s="2" t="inlineStr">
        <is>
          <t>короткая</t>
        </is>
      </c>
      <c r="C3528" s="2" t="n">
        <v>14071</v>
      </c>
      <c r="D3528" s="3" t="inlineStr">
        <is>
          <t>Сказки засыпайки. А где буратино?</t>
        </is>
      </c>
      <c r="E3528" s="2" t="n">
        <v>1981</v>
      </c>
      <c r="F3528" s="2" t="inlineStr">
        <is>
          <t>мультфильм</t>
        </is>
      </c>
      <c r="G3528" s="2" t="inlineStr">
        <is>
          <t>ТАЛЛИННФИЛЬМ</t>
        </is>
      </c>
      <c r="H3528" s="2" t="n">
        <v>0</v>
      </c>
      <c r="I3528" s="2" t="inlineStr"/>
      <c r="J3528" s="2" t="inlineStr">
        <is>
          <t>?</t>
        </is>
      </c>
      <c r="K3528" s="3" t="inlineStr"/>
      <c r="L3528" s="2" t="inlineStr">
        <is>
          <t>https://animator.ru/db/?p=show_film&amp;fid=5467</t>
        </is>
      </c>
      <c r="M3528" s="2">
        <f>HYPERLINK("https://ru.wikipedia.org/w/index.php?search=%D0%A1%D0%BA%D0%B0%D0%B7%D0%BA%D0%B8%20%D0%B7%D0%B0%D1%81%D1%8B%D0%BF%D0%B0%D0%B9%D0%BA%D0%B8.%20%D0%90%20%D0%B3%D0%B4%D0%B5%20%D0%B1%D1%83%D1%80%D0%B0%D1%82%D0%B8%D0%BD%D0%BE%3F%201981%20%D1%84%D0%B8%D0%BB%D1%8C%D0%BC","искать")</f>
        <v/>
      </c>
      <c r="N3528" s="3" t="n"/>
      <c r="O3528" s="2" t="n"/>
      <c r="P3528" s="2" t="n"/>
    </row>
    <row r="3529">
      <c r="A3529" s="2" t="n">
        <v>3528</v>
      </c>
      <c r="B3529" s="2" t="inlineStr">
        <is>
          <t>короткая</t>
        </is>
      </c>
      <c r="C3529" s="2" t="n">
        <v>14072</v>
      </c>
      <c r="D3529" s="3" t="inlineStr">
        <is>
          <t>Сказки засыпайки. Три желания</t>
        </is>
      </c>
      <c r="E3529" s="2" t="n">
        <v>1982</v>
      </c>
      <c r="F3529" s="2" t="inlineStr">
        <is>
          <t>мультфильм</t>
        </is>
      </c>
      <c r="G3529" s="2" t="inlineStr">
        <is>
          <t>ТАЛЛИННФИЛЬМ</t>
        </is>
      </c>
      <c r="H3529" s="2" t="n">
        <v>0</v>
      </c>
      <c r="I3529" s="2" t="inlineStr"/>
      <c r="J3529" s="2" t="inlineStr">
        <is>
          <t>?</t>
        </is>
      </c>
      <c r="K3529" s="3" t="inlineStr"/>
      <c r="L3529" s="2" t="inlineStr">
        <is>
          <t>https://animator.ru/db/?p=show_film&amp;fid=5468</t>
        </is>
      </c>
      <c r="M3529" s="2">
        <f>HYPERLINK("https://ru.wikipedia.org/w/index.php?search=%D0%A1%D0%BA%D0%B0%D0%B7%D0%BA%D0%B8%20%D0%B7%D0%B0%D1%81%D1%8B%D0%BF%D0%B0%D0%B9%D0%BA%D0%B8.%20%D0%A2%D1%80%D0%B8%20%D0%B6%D0%B5%D0%BB%D0%B0%D0%BD%D0%B8%D1%8F%201982%20%D1%84%D0%B8%D0%BB%D1%8C%D0%BC","искать")</f>
        <v/>
      </c>
      <c r="N3529" s="3" t="n"/>
      <c r="O3529" s="2" t="n"/>
      <c r="P3529" s="2" t="n"/>
    </row>
    <row r="3530">
      <c r="A3530" s="2" t="n">
        <v>3529</v>
      </c>
      <c r="B3530" s="2" t="inlineStr">
        <is>
          <t>короткая</t>
        </is>
      </c>
      <c r="C3530" s="2" t="n">
        <v>14218</v>
      </c>
      <c r="D3530" s="3" t="inlineStr">
        <is>
          <t>Ежикова одежда</t>
        </is>
      </c>
      <c r="E3530" s="2" t="n">
        <v>1972</v>
      </c>
      <c r="F3530" s="2" t="inlineStr">
        <is>
          <t>мультфильм</t>
        </is>
      </c>
      <c r="G3530" s="2" t="inlineStr">
        <is>
          <t>РИЖСКАЯ КИНОСТУДИЯ</t>
        </is>
      </c>
      <c r="H3530" s="2" t="n">
        <v>0</v>
      </c>
      <c r="I3530" s="2" t="inlineStr"/>
      <c r="J3530" s="2" t="inlineStr">
        <is>
          <t>?</t>
        </is>
      </c>
      <c r="K3530" s="3" t="inlineStr"/>
      <c r="L3530" s="2" t="inlineStr">
        <is>
          <t>https://animator.ru/db/?p=show_film&amp;fid=5640</t>
        </is>
      </c>
      <c r="M3530" s="2">
        <f>HYPERLINK("https://ru.wikipedia.org/w/index.php?search=%D0%95%D0%B6%D0%B8%D0%BA%D0%BE%D0%B2%D0%B0%20%D0%BE%D0%B4%D0%B5%D0%B6%D0%B4%D0%B0%201972%20%D1%84%D0%B8%D0%BB%D1%8C%D0%BC","искать")</f>
        <v/>
      </c>
      <c r="N3530" s="3" t="n"/>
      <c r="O3530" s="2" t="n"/>
      <c r="P3530" s="2" t="n"/>
    </row>
    <row r="3531">
      <c r="A3531" s="2" t="n">
        <v>3530</v>
      </c>
      <c r="B3531" s="2" t="inlineStr">
        <is>
          <t>короткая</t>
        </is>
      </c>
      <c r="C3531" s="2" t="n">
        <v>14219</v>
      </c>
      <c r="D3531" s="3" t="inlineStr">
        <is>
          <t>Новоселье</t>
        </is>
      </c>
      <c r="E3531" s="2" t="n">
        <v>1973</v>
      </c>
      <c r="F3531" s="2" t="inlineStr">
        <is>
          <t>мультфильм</t>
        </is>
      </c>
      <c r="G3531" s="2" t="inlineStr">
        <is>
          <t>РИЖСКАЯ КИНОСТУДИЯ</t>
        </is>
      </c>
      <c r="H3531" s="2" t="n">
        <v>0</v>
      </c>
      <c r="I3531" s="2" t="inlineStr"/>
      <c r="J3531" s="2" t="inlineStr">
        <is>
          <t>?</t>
        </is>
      </c>
      <c r="K3531" s="3" t="inlineStr"/>
      <c r="L3531" s="2" t="inlineStr">
        <is>
          <t>https://animator.ru/db/?p=show_film&amp;fid=5641</t>
        </is>
      </c>
      <c r="M3531" s="2">
        <f>HYPERLINK("https://ru.wikipedia.org/w/index.php?search=%D0%9D%D0%BE%D0%B2%D0%BE%D1%81%D0%B5%D0%BB%D1%8C%D0%B5%201973%20%D1%84%D0%B8%D0%BB%D1%8C%D0%BC","искать")</f>
        <v/>
      </c>
      <c r="N3531" s="3" t="n"/>
      <c r="O3531" s="2" t="n"/>
      <c r="P3531" s="2" t="inlineStr">
        <is>
          <t>ГФФ: «НОВОСЕЛЬЕ» 1973 — по сверке другой фильм, не предложено</t>
        </is>
      </c>
    </row>
    <row r="3532">
      <c r="A3532" s="2" t="n">
        <v>3531</v>
      </c>
      <c r="B3532" s="2" t="inlineStr">
        <is>
          <t>короткая</t>
        </is>
      </c>
      <c r="C3532" s="2" t="n">
        <v>14220</v>
      </c>
      <c r="D3532" s="3" t="inlineStr">
        <is>
          <t>Яйцо из африки</t>
        </is>
      </c>
      <c r="E3532" s="2" t="n">
        <v>1975</v>
      </c>
      <c r="F3532" s="2" t="inlineStr">
        <is>
          <t>мультфильм</t>
        </is>
      </c>
      <c r="G3532" s="2" t="inlineStr">
        <is>
          <t>РИЖСКАЯ КИНОСТУДИЯ</t>
        </is>
      </c>
      <c r="H3532" s="2" t="n">
        <v>0</v>
      </c>
      <c r="I3532" s="2" t="inlineStr"/>
      <c r="J3532" s="2" t="inlineStr">
        <is>
          <t>?</t>
        </is>
      </c>
      <c r="K3532" s="3" t="inlineStr"/>
      <c r="L3532" s="2" t="inlineStr">
        <is>
          <t>https://animator.ru/db/?p=show_film&amp;fid=5642</t>
        </is>
      </c>
      <c r="M3532" s="2">
        <f>HYPERLINK("https://ru.wikipedia.org/w/index.php?search=%D0%AF%D0%B9%D1%86%D0%BE%20%D0%B8%D0%B7%20%D0%B0%D1%84%D1%80%D0%B8%D0%BA%D0%B8%201975%20%D1%84%D0%B8%D0%BB%D1%8C%D0%BC","искать")</f>
        <v/>
      </c>
      <c r="N3532" s="3" t="n"/>
      <c r="O3532" s="2" t="n"/>
      <c r="P3532" s="2" t="n"/>
    </row>
    <row r="3533">
      <c r="A3533" s="2" t="n">
        <v>3532</v>
      </c>
      <c r="B3533" s="2" t="inlineStr">
        <is>
          <t>короткая</t>
        </is>
      </c>
      <c r="C3533" s="2" t="n">
        <v>14221</v>
      </c>
      <c r="D3533" s="3" t="inlineStr">
        <is>
          <t>Цап и невидимка</t>
        </is>
      </c>
      <c r="E3533" s="2" t="n">
        <v>1981</v>
      </c>
      <c r="F3533" s="2" t="inlineStr">
        <is>
          <t>мультфильм</t>
        </is>
      </c>
      <c r="G3533" s="2" t="inlineStr">
        <is>
          <t>РИЖСКАЯ КИНОСТУДИЯ</t>
        </is>
      </c>
      <c r="H3533" s="2" t="n">
        <v>0</v>
      </c>
      <c r="I3533" s="2" t="inlineStr"/>
      <c r="J3533" s="2" t="inlineStr">
        <is>
          <t>?</t>
        </is>
      </c>
      <c r="K3533" s="3" t="inlineStr"/>
      <c r="L3533" s="2" t="inlineStr">
        <is>
          <t>https://animator.ru/db/?p=show_film&amp;fid=5643</t>
        </is>
      </c>
      <c r="M3533" s="2">
        <f>HYPERLINK("https://ru.wikipedia.org/w/index.php?search=%D0%A6%D0%B0%D0%BF%20%D0%B8%20%D0%BD%D0%B5%D0%B2%D0%B8%D0%B4%D0%B8%D0%BC%D0%BA%D0%B0%201981%20%D1%84%D0%B8%D0%BB%D1%8C%D0%BC","искать")</f>
        <v/>
      </c>
      <c r="N3533" s="3" t="n"/>
      <c r="O3533" s="2" t="n"/>
      <c r="P3533" s="2" t="n"/>
    </row>
    <row r="3534">
      <c r="A3534" s="2" t="n">
        <v>3533</v>
      </c>
      <c r="B3534" s="2" t="inlineStr">
        <is>
          <t>короткая</t>
        </is>
      </c>
      <c r="C3534" s="2" t="n">
        <v>14222</v>
      </c>
      <c r="D3534" s="3" t="inlineStr">
        <is>
          <t>Так они и жили</t>
        </is>
      </c>
      <c r="E3534" s="2" t="n">
        <v>1982</v>
      </c>
      <c r="F3534" s="2" t="inlineStr">
        <is>
          <t>мультфильм</t>
        </is>
      </c>
      <c r="G3534" s="2" t="inlineStr">
        <is>
          <t>РИЖСКАЯ КИНОСТУДИЯ</t>
        </is>
      </c>
      <c r="H3534" s="2" t="n">
        <v>0</v>
      </c>
      <c r="I3534" s="2" t="inlineStr"/>
      <c r="J3534" s="2" t="inlineStr">
        <is>
          <t>?</t>
        </is>
      </c>
      <c r="K3534" s="3" t="inlineStr"/>
      <c r="L3534" s="2" t="inlineStr">
        <is>
          <t>https://animator.ru/db/?p=show_film&amp;fid=5644</t>
        </is>
      </c>
      <c r="M3534" s="2">
        <f>HYPERLINK("https://ru.wikipedia.org/w/index.php?search=%D0%A2%D0%B0%D0%BA%20%D0%BE%D0%BD%D0%B8%20%D0%B8%20%D0%B6%D0%B8%D0%BB%D0%B8%201982%20%D1%84%D0%B8%D0%BB%D1%8C%D0%BC","искать")</f>
        <v/>
      </c>
      <c r="N3534" s="3" t="n"/>
      <c r="O3534" s="2" t="n"/>
      <c r="P3534" s="2" t="n"/>
    </row>
    <row r="3535">
      <c r="A3535" s="2" t="n">
        <v>3534</v>
      </c>
      <c r="B3535" s="2" t="inlineStr">
        <is>
          <t>короткая</t>
        </is>
      </c>
      <c r="C3535" s="2" t="n">
        <v>14223</v>
      </c>
      <c r="D3535" s="3" t="inlineStr">
        <is>
          <t>Таинственный гость</t>
        </is>
      </c>
      <c r="E3535" s="2" t="n">
        <v>1983</v>
      </c>
      <c r="F3535" s="2" t="inlineStr">
        <is>
          <t>мультфильм</t>
        </is>
      </c>
      <c r="G3535" s="2" t="inlineStr">
        <is>
          <t>РИЖСКАЯ КИНОСТУДИЯ</t>
        </is>
      </c>
      <c r="H3535" s="2" t="n">
        <v>0</v>
      </c>
      <c r="I3535" s="2" t="inlineStr"/>
      <c r="J3535" s="2" t="inlineStr">
        <is>
          <t>?</t>
        </is>
      </c>
      <c r="K3535" s="3" t="inlineStr"/>
      <c r="L3535" s="2" t="inlineStr">
        <is>
          <t>https://animator.ru/db/?p=show_film&amp;fid=5645</t>
        </is>
      </c>
      <c r="M3535" s="2">
        <f>HYPERLINK("https://ru.wikipedia.org/w/index.php?search=%D0%A2%D0%B0%D0%B8%D0%BD%D1%81%D1%82%D0%B2%D0%B5%D0%BD%D0%BD%D1%8B%D0%B9%20%D0%B3%D0%BE%D1%81%D1%82%D1%8C%201983%20%D1%84%D0%B8%D0%BB%D1%8C%D0%BC","искать")</f>
        <v/>
      </c>
      <c r="N3535" s="3" t="n"/>
      <c r="O3535" s="2" t="n"/>
      <c r="P3535" s="2" t="n"/>
    </row>
    <row r="3536">
      <c r="A3536" s="2" t="n">
        <v>3535</v>
      </c>
      <c r="B3536" s="2" t="inlineStr">
        <is>
          <t>короткая</t>
        </is>
      </c>
      <c r="C3536" s="2" t="n">
        <v>14225</v>
      </c>
      <c r="D3536" s="3" t="inlineStr">
        <is>
          <t>Живой друг</t>
        </is>
      </c>
      <c r="E3536" s="2" t="n">
        <v>1987</v>
      </c>
      <c r="F3536" s="2" t="inlineStr">
        <is>
          <t>мультфильм</t>
        </is>
      </c>
      <c r="G3536" s="2" t="inlineStr">
        <is>
          <t>РИЖСКАЯ КИНОСТУДИЯ</t>
        </is>
      </c>
      <c r="H3536" s="2" t="n">
        <v>0</v>
      </c>
      <c r="I3536" s="2" t="inlineStr"/>
      <c r="J3536" s="2" t="inlineStr">
        <is>
          <t>?</t>
        </is>
      </c>
      <c r="K3536" s="3" t="inlineStr"/>
      <c r="L3536" s="2" t="inlineStr">
        <is>
          <t>https://animator.ru/db/?p=show_film&amp;fid=5647</t>
        </is>
      </c>
      <c r="M3536" s="2">
        <f>HYPERLINK("https://ru.wikipedia.org/w/index.php?search=%D0%96%D0%B8%D0%B2%D0%BE%D0%B9%20%D0%B4%D1%80%D1%83%D0%B3%201987%20%D1%84%D0%B8%D0%BB%D1%8C%D0%BC","искать")</f>
        <v/>
      </c>
      <c r="N3536" s="3" t="n"/>
      <c r="O3536" s="2" t="n"/>
      <c r="P3536" s="2" t="n"/>
    </row>
    <row r="3537">
      <c r="A3537" s="2" t="n">
        <v>3536</v>
      </c>
      <c r="B3537" s="2" t="inlineStr">
        <is>
          <t>короткая</t>
        </is>
      </c>
      <c r="C3537" s="2" t="n">
        <v>14227</v>
      </c>
      <c r="D3537" s="3" t="inlineStr">
        <is>
          <t>Я буду ждать тебя</t>
        </is>
      </c>
      <c r="E3537" s="2" t="n">
        <v>1988</v>
      </c>
      <c r="F3537" s="2" t="inlineStr">
        <is>
          <t>мультфильм</t>
        </is>
      </c>
      <c r="G3537" s="2" t="inlineStr">
        <is>
          <t>РИЖСКАЯ КИНОСТУДИЯ</t>
        </is>
      </c>
      <c r="H3537" s="2" t="n">
        <v>0</v>
      </c>
      <c r="I3537" s="2" t="inlineStr"/>
      <c r="J3537" s="2" t="inlineStr">
        <is>
          <t>?</t>
        </is>
      </c>
      <c r="K3537" s="3" t="inlineStr"/>
      <c r="L3537" s="2" t="inlineStr">
        <is>
          <t>https://animator.ru/db/?p=show_film&amp;fid=5649</t>
        </is>
      </c>
      <c r="M3537" s="2">
        <f>HYPERLINK("https://ru.wikipedia.org/w/index.php?search=%D0%AF%20%D0%B1%D1%83%D0%B4%D1%83%20%D0%B6%D0%B4%D0%B0%D1%82%D1%8C%20%D1%82%D0%B5%D0%B1%D1%8F%201988%20%D1%84%D0%B8%D0%BB%D1%8C%D0%BC","искать")</f>
        <v/>
      </c>
      <c r="N3537" s="3" t="n"/>
      <c r="O3537" s="2" t="n"/>
      <c r="P3537" s="2" t="n"/>
    </row>
    <row r="3538">
      <c r="A3538" s="2" t="n">
        <v>3537</v>
      </c>
      <c r="B3538" s="2" t="inlineStr">
        <is>
          <t>короткая</t>
        </is>
      </c>
      <c r="C3538" s="2" t="n">
        <v>14228</v>
      </c>
      <c r="D3538" s="3" t="inlineStr">
        <is>
          <t>Здравствуй, пугало!</t>
        </is>
      </c>
      <c r="E3538" s="2" t="n">
        <v>1989</v>
      </c>
      <c r="F3538" s="2" t="inlineStr">
        <is>
          <t>мультфильм</t>
        </is>
      </c>
      <c r="G3538" s="2" t="inlineStr">
        <is>
          <t>РИЖСКАЯ КИНОСТУДИЯ</t>
        </is>
      </c>
      <c r="H3538" s="2" t="n">
        <v>0</v>
      </c>
      <c r="I3538" s="2" t="inlineStr"/>
      <c r="J3538" s="2" t="inlineStr">
        <is>
          <t>?</t>
        </is>
      </c>
      <c r="K3538" s="3" t="inlineStr"/>
      <c r="L3538" s="2" t="inlineStr">
        <is>
          <t>https://animator.ru/db/?p=show_film&amp;fid=5650</t>
        </is>
      </c>
      <c r="M3538" s="2">
        <f>HYPERLINK("https://ru.wikipedia.org/w/index.php?search=%D0%97%D0%B4%D1%80%D0%B0%D0%B2%D1%81%D1%82%D0%B2%D1%83%D0%B9%2C%20%D0%BF%D1%83%D0%B3%D0%B0%D0%BB%D0%BE%21%201989%20%D1%84%D0%B8%D0%BB%D1%8C%D0%BC","искать")</f>
        <v/>
      </c>
      <c r="N3538" s="3" t="n"/>
      <c r="O3538" s="2" t="n"/>
      <c r="P3538" s="2" t="n"/>
    </row>
    <row r="3539">
      <c r="A3539" s="2" t="n">
        <v>3538</v>
      </c>
      <c r="B3539" s="2" t="inlineStr">
        <is>
          <t>короткая</t>
        </is>
      </c>
      <c r="C3539" s="2" t="n">
        <v>14229</v>
      </c>
      <c r="D3539" s="3" t="inlineStr">
        <is>
          <t>Мой рай</t>
        </is>
      </c>
      <c r="E3539" s="2" t="n">
        <v>1989</v>
      </c>
      <c r="F3539" s="2" t="inlineStr">
        <is>
          <t>мультфильм</t>
        </is>
      </c>
      <c r="G3539" s="2" t="inlineStr">
        <is>
          <t>РИЖСКАЯ КИНОСТУДИЯ</t>
        </is>
      </c>
      <c r="H3539" s="2" t="n">
        <v>0</v>
      </c>
      <c r="I3539" s="2" t="inlineStr"/>
      <c r="J3539" s="2" t="inlineStr">
        <is>
          <t>?</t>
        </is>
      </c>
      <c r="K3539" s="3" t="inlineStr"/>
      <c r="L3539" s="2" t="inlineStr">
        <is>
          <t>https://animator.ru/db/?p=show_film&amp;fid=5651</t>
        </is>
      </c>
      <c r="M3539" s="2">
        <f>HYPERLINK("https://ru.wikipedia.org/w/index.php?search=%D0%9C%D0%BE%D0%B9%20%D1%80%D0%B0%D0%B9%201989%20%D1%84%D0%B8%D0%BB%D1%8C%D0%BC","искать")</f>
        <v/>
      </c>
      <c r="N3539" s="3" t="n"/>
      <c r="O3539" s="2" t="n"/>
      <c r="P3539" s="2" t="n"/>
    </row>
    <row r="3540">
      <c r="A3540" s="2" t="n">
        <v>3539</v>
      </c>
      <c r="B3540" s="2" t="inlineStr">
        <is>
          <t>короткая</t>
        </is>
      </c>
      <c r="C3540" s="2" t="n">
        <v>14232</v>
      </c>
      <c r="D3540" s="3" t="inlineStr">
        <is>
          <t>Игра с жизнью</t>
        </is>
      </c>
      <c r="E3540" s="2" t="n">
        <v>1990</v>
      </c>
      <c r="F3540" s="2" t="inlineStr">
        <is>
          <t>мультфильм</t>
        </is>
      </c>
      <c r="G3540" s="2" t="inlineStr">
        <is>
          <t>РИЖСКАЯ КИНОСТУДИЯ</t>
        </is>
      </c>
      <c r="H3540" s="2" t="n">
        <v>0</v>
      </c>
      <c r="I3540" s="2" t="inlineStr"/>
      <c r="J3540" s="2" t="inlineStr">
        <is>
          <t>?</t>
        </is>
      </c>
      <c r="K3540" s="3" t="inlineStr"/>
      <c r="L3540" s="2" t="inlineStr">
        <is>
          <t>https://animator.ru/db/?p=show_film&amp;fid=5654</t>
        </is>
      </c>
      <c r="M3540" s="2">
        <f>HYPERLINK("https://ru.wikipedia.org/w/index.php?search=%D0%98%D0%B3%D1%80%D0%B0%20%D1%81%20%D0%B6%D0%B8%D0%B7%D0%BD%D1%8C%D1%8E%201990%20%D1%84%D0%B8%D0%BB%D1%8C%D0%BC","искать")</f>
        <v/>
      </c>
      <c r="N3540" s="3" t="n"/>
      <c r="O3540" s="2" t="n"/>
      <c r="P3540" s="2" t="n"/>
    </row>
    <row r="3541">
      <c r="A3541" s="2" t="n">
        <v>3540</v>
      </c>
      <c r="B3541" s="2" t="inlineStr">
        <is>
          <t>короткая</t>
        </is>
      </c>
      <c r="C3541" s="2" t="n">
        <v>14235</v>
      </c>
      <c r="D3541" s="3" t="inlineStr">
        <is>
          <t>Большая трапеза</t>
        </is>
      </c>
      <c r="E3541" s="2" t="n">
        <v>1991</v>
      </c>
      <c r="F3541" s="2" t="inlineStr">
        <is>
          <t>мультфильм</t>
        </is>
      </c>
      <c r="G3541" s="2" t="inlineStr">
        <is>
          <t>ДАУКА (DAUKA)</t>
        </is>
      </c>
      <c r="H3541" s="2" t="n">
        <v>0</v>
      </c>
      <c r="I3541" s="2" t="inlineStr"/>
      <c r="J3541" s="2" t="inlineStr">
        <is>
          <t>?</t>
        </is>
      </c>
      <c r="K3541" s="3" t="inlineStr"/>
      <c r="L3541" s="2" t="inlineStr">
        <is>
          <t>https://animator.ru/db/?p=show_film&amp;fid=5658</t>
        </is>
      </c>
      <c r="M3541" s="2">
        <f>HYPERLINK("https://ru.wikipedia.org/w/index.php?search=%D0%91%D0%BE%D0%BB%D1%8C%D1%88%D0%B0%D1%8F%20%D1%82%D1%80%D0%B0%D0%BF%D0%B5%D0%B7%D0%B0%201991%20%D1%84%D0%B8%D0%BB%D1%8C%D0%BC","искать")</f>
        <v/>
      </c>
      <c r="N3541" s="3" t="n"/>
      <c r="O3541" s="2" t="n"/>
      <c r="P3541" s="2" t="n"/>
    </row>
    <row r="3542">
      <c r="A3542" s="2" t="n">
        <v>3541</v>
      </c>
      <c r="B3542" s="2" t="inlineStr">
        <is>
          <t>короткая</t>
        </is>
      </c>
      <c r="C3542" s="2" t="n">
        <v>14236</v>
      </c>
      <c r="D3542" s="3" t="inlineStr">
        <is>
          <t>Веселый скрипач</t>
        </is>
      </c>
      <c r="E3542" s="2" t="n">
        <v>1974</v>
      </c>
      <c r="F3542" s="2" t="inlineStr">
        <is>
          <t>мультфильм</t>
        </is>
      </c>
      <c r="G3542" s="2" t="inlineStr">
        <is>
          <t>ГОСТЕЛЕРАДИО ЛАТВ. ССР ("ТЕЛЕФИЛЬМ-РИГА")</t>
        </is>
      </c>
      <c r="H3542" s="2" t="n">
        <v>0</v>
      </c>
      <c r="I3542" s="2" t="inlineStr"/>
      <c r="J3542" s="2" t="inlineStr">
        <is>
          <t>?</t>
        </is>
      </c>
      <c r="K3542" s="3" t="inlineStr"/>
      <c r="L3542" s="2" t="inlineStr">
        <is>
          <t>https://animator.ru/db/?p=show_film&amp;fid=5659</t>
        </is>
      </c>
      <c r="M3542" s="2">
        <f>HYPERLINK("https://ru.wikipedia.org/w/index.php?search=%D0%92%D0%B5%D1%81%D0%B5%D0%BB%D1%8B%D0%B9%20%D1%81%D0%BA%D1%80%D0%B8%D0%BF%D0%B0%D1%87%201974%20%D1%84%D0%B8%D0%BB%D1%8C%D0%BC","искать")</f>
        <v/>
      </c>
      <c r="N3542" s="3" t="n"/>
      <c r="O3542" s="2" t="n"/>
      <c r="P3542" s="2" t="n"/>
    </row>
    <row r="3543">
      <c r="A3543" s="2" t="n">
        <v>3542</v>
      </c>
      <c r="B3543" s="2" t="inlineStr">
        <is>
          <t>короткая</t>
        </is>
      </c>
      <c r="C3543" s="2" t="n">
        <v>14240</v>
      </c>
      <c r="D3543" s="3" t="inlineStr">
        <is>
          <t>Спиридитис</t>
        </is>
      </c>
      <c r="E3543" s="2" t="n">
        <v>1982</v>
      </c>
      <c r="F3543" s="2" t="inlineStr">
        <is>
          <t>мультфильм</t>
        </is>
      </c>
      <c r="G3543" s="2" t="n"/>
      <c r="H3543" s="2" t="n">
        <v>0</v>
      </c>
      <c r="I3543" s="2" t="inlineStr"/>
      <c r="J3543" s="2" t="inlineStr">
        <is>
          <t>?</t>
        </is>
      </c>
      <c r="K3543" s="3" t="inlineStr"/>
      <c r="L3543" s="2" t="inlineStr">
        <is>
          <t>https://animator.ru/db/?p=show_film&amp;fid=5663</t>
        </is>
      </c>
      <c r="M3543" s="2">
        <f>HYPERLINK("https://ru.wikipedia.org/w/index.php?search=%D0%A1%D0%BF%D0%B8%D1%80%D0%B8%D0%B4%D0%B8%D1%82%D0%B8%D1%81%201982%20%D1%84%D0%B8%D0%BB%D1%8C%D0%BC","искать")</f>
        <v/>
      </c>
      <c r="N3543" s="3" t="n"/>
      <c r="O3543" s="2" t="n"/>
      <c r="P3543" s="2" t="n"/>
    </row>
    <row r="3544">
      <c r="A3544" s="2" t="n">
        <v>3543</v>
      </c>
      <c r="B3544" s="2" t="inlineStr">
        <is>
          <t>короткая</t>
        </is>
      </c>
      <c r="C3544" s="2" t="n">
        <v>14242</v>
      </c>
      <c r="D3544" s="3" t="inlineStr">
        <is>
          <t>Фантадром 3. Огонь</t>
        </is>
      </c>
      <c r="E3544" s="2" t="n">
        <v>1986</v>
      </c>
      <c r="F3544" s="2" t="inlineStr">
        <is>
          <t>мультфильм</t>
        </is>
      </c>
      <c r="G3544" s="2" t="inlineStr">
        <is>
          <t>ГОСТЕЛЕРАДИО ЛАТВ. ССР ("ТЕЛЕФИЛЬМ-РИГА")</t>
        </is>
      </c>
      <c r="H3544" s="2" t="n">
        <v>0</v>
      </c>
      <c r="I3544" s="2" t="inlineStr"/>
      <c r="J3544" s="2" t="inlineStr">
        <is>
          <t>?</t>
        </is>
      </c>
      <c r="K3544" s="3" t="inlineStr"/>
      <c r="L3544" s="2" t="inlineStr">
        <is>
          <t>https://animator.ru/db/?p=show_film&amp;fid=5665</t>
        </is>
      </c>
      <c r="M3544" s="2">
        <f>HYPERLINK("https://ru.wikipedia.org/w/index.php?search=%D0%A4%D0%B0%D0%BD%D1%82%D0%B0%D0%B4%D1%80%D0%BE%D0%BC%203.%20%D0%9E%D0%B3%D0%BE%D0%BD%D1%8C%201986%20%D1%84%D0%B8%D0%BB%D1%8C%D0%BC","искать")</f>
        <v/>
      </c>
      <c r="N3544" s="3" t="n"/>
      <c r="O3544" s="2" t="n"/>
      <c r="P3544" s="2" t="n"/>
    </row>
    <row r="3545">
      <c r="A3545" s="2" t="n">
        <v>3544</v>
      </c>
      <c r="B3545" s="2" t="inlineStr">
        <is>
          <t>короткая</t>
        </is>
      </c>
      <c r="C3545" s="2" t="n">
        <v>14246</v>
      </c>
      <c r="D3545" s="3" t="inlineStr">
        <is>
          <t>Как дитя приходит в свет</t>
        </is>
      </c>
      <c r="E3545" s="2" t="n">
        <v>1991</v>
      </c>
      <c r="F3545" s="2" t="inlineStr">
        <is>
          <t>мультфильм</t>
        </is>
      </c>
      <c r="G3545" s="2" t="inlineStr">
        <is>
          <t>ДАУКА (DAUKA)</t>
        </is>
      </c>
      <c r="H3545" s="2" t="n">
        <v>0</v>
      </c>
      <c r="I3545" s="2" t="inlineStr"/>
      <c r="J3545" s="2" t="inlineStr">
        <is>
          <t>?</t>
        </is>
      </c>
      <c r="K3545" s="3" t="inlineStr"/>
      <c r="L3545" s="2" t="inlineStr">
        <is>
          <t>https://animator.ru/db/?p=show_film&amp;fid=5669</t>
        </is>
      </c>
      <c r="M3545" s="2">
        <f>HYPERLINK("https://ru.wikipedia.org/w/index.php?search=%D0%9A%D0%B0%D0%BA%20%D0%B4%D0%B8%D1%82%D1%8F%20%D0%BF%D1%80%D0%B8%D1%85%D0%BE%D0%B4%D0%B8%D1%82%20%D0%B2%20%D1%81%D0%B2%D0%B5%D1%82%201991%20%D1%84%D0%B8%D0%BB%D1%8C%D0%BC","искать")</f>
        <v/>
      </c>
      <c r="N3545" s="3" t="n"/>
      <c r="O3545" s="2" t="n"/>
      <c r="P3545" s="2" t="n"/>
    </row>
    <row r="3546">
      <c r="A3546" s="2" t="n">
        <v>3545</v>
      </c>
      <c r="B3546" s="2" t="inlineStr">
        <is>
          <t>короткая</t>
        </is>
      </c>
      <c r="C3546" s="2" t="n">
        <v>14258</v>
      </c>
      <c r="D3546" s="3" t="inlineStr">
        <is>
          <t>Крошки n 3. Шутки шутя</t>
        </is>
      </c>
      <c r="E3546" s="2" t="n">
        <v>1991</v>
      </c>
      <c r="F3546" s="2" t="inlineStr">
        <is>
          <t>мультфильм</t>
        </is>
      </c>
      <c r="G3546" s="2" t="inlineStr">
        <is>
          <t>ДАУКА (DAUKA)</t>
        </is>
      </c>
      <c r="H3546" s="2" t="n">
        <v>0</v>
      </c>
      <c r="I3546" s="2" t="inlineStr"/>
      <c r="J3546" s="2" t="inlineStr">
        <is>
          <t>?</t>
        </is>
      </c>
      <c r="K3546" s="3" t="inlineStr"/>
      <c r="L3546" s="2" t="inlineStr">
        <is>
          <t>https://animator.ru/db/?p=show_film&amp;fid=5694</t>
        </is>
      </c>
      <c r="M3546" s="2">
        <f>HYPERLINK("https://ru.wikipedia.org/w/index.php?search=%D0%9A%D1%80%D0%BE%D1%88%D0%BA%D0%B8%20n%203.%20%D0%A8%D1%83%D1%82%D0%BA%D0%B8%20%D1%88%D1%83%D1%82%D1%8F%201991%20%D1%84%D0%B8%D0%BB%D1%8C%D0%BC","искать")</f>
        <v/>
      </c>
      <c r="N3546" s="3" t="n"/>
      <c r="O3546" s="2" t="n"/>
      <c r="P3546" s="2" t="n"/>
    </row>
    <row r="3547">
      <c r="A3547" s="2" t="n">
        <v>3546</v>
      </c>
      <c r="B3547" s="2" t="inlineStr">
        <is>
          <t>короткая</t>
        </is>
      </c>
      <c r="C3547" s="2" t="n">
        <v>14266</v>
      </c>
      <c r="D3547" s="3" t="inlineStr">
        <is>
          <t>Ух, ты!</t>
        </is>
      </c>
      <c r="E3547" s="2" t="n">
        <v>1989</v>
      </c>
      <c r="F3547" s="2" t="inlineStr">
        <is>
          <t>мультфильм</t>
        </is>
      </c>
      <c r="G3547" s="2" t="inlineStr">
        <is>
          <t>УЗБЕКФИЛЬМ</t>
        </is>
      </c>
      <c r="H3547" s="2" t="n">
        <v>0</v>
      </c>
      <c r="I3547" s="2" t="inlineStr"/>
      <c r="J3547" s="2" t="inlineStr">
        <is>
          <t>?</t>
        </is>
      </c>
      <c r="K3547" s="3" t="inlineStr"/>
      <c r="L3547" s="2" t="inlineStr">
        <is>
          <t>https://animator.ru/db/?p=show_film&amp;fid=5719</t>
        </is>
      </c>
      <c r="M3547" s="2">
        <f>HYPERLINK("https://ru.wikipedia.org/w/index.php?search=%D0%A3%D1%85%2C%20%D1%82%D1%8B%21%201989%20%D1%84%D0%B8%D0%BB%D1%8C%D0%BC","искать")</f>
        <v/>
      </c>
      <c r="N3547" s="3" t="n"/>
      <c r="O3547" s="2" t="n"/>
      <c r="P3547" s="2" t="n"/>
    </row>
    <row r="3548">
      <c r="A3548" s="2" t="n">
        <v>3547</v>
      </c>
      <c r="B3548" s="2" t="inlineStr">
        <is>
          <t>короткая</t>
        </is>
      </c>
      <c r="C3548" s="2" t="n">
        <v>14269</v>
      </c>
      <c r="D3548" s="3" t="inlineStr">
        <is>
          <t>Попрыгушки</t>
        </is>
      </c>
      <c r="E3548" s="2" t="n">
        <v>1990</v>
      </c>
      <c r="F3548" s="2" t="inlineStr">
        <is>
          <t>мультфильм</t>
        </is>
      </c>
      <c r="G3548" s="2" t="n"/>
      <c r="H3548" s="2" t="n">
        <v>0</v>
      </c>
      <c r="I3548" s="2" t="inlineStr"/>
      <c r="J3548" s="2" t="inlineStr">
        <is>
          <t>?</t>
        </is>
      </c>
      <c r="K3548" s="3" t="inlineStr"/>
      <c r="L3548" s="2" t="inlineStr">
        <is>
          <t>https://animator.ru/db/?p=show_film&amp;fid=5729</t>
        </is>
      </c>
      <c r="M3548" s="2">
        <f>HYPERLINK("https://ru.wikipedia.org/w/index.php?search=%D0%9F%D0%BE%D0%BF%D1%80%D1%8B%D0%B3%D1%83%D1%88%D0%BA%D0%B8%201990%20%D1%84%D0%B8%D0%BB%D1%8C%D0%BC","искать")</f>
        <v/>
      </c>
      <c r="N3548" s="3" t="n"/>
      <c r="O3548" s="2" t="n"/>
      <c r="P3548" s="2" t="n"/>
    </row>
    <row r="3549">
      <c r="A3549" s="2" t="n">
        <v>3548</v>
      </c>
      <c r="B3549" s="2" t="inlineStr">
        <is>
          <t>короткая</t>
        </is>
      </c>
      <c r="C3549" s="2" t="n">
        <v>14270</v>
      </c>
      <c r="D3549" s="3" t="inlineStr">
        <is>
          <t>Шиз</t>
        </is>
      </c>
      <c r="E3549" s="2" t="n">
        <v>1991</v>
      </c>
      <c r="F3549" s="2" t="inlineStr">
        <is>
          <t>мультфильм</t>
        </is>
      </c>
      <c r="G3549" s="2" t="n"/>
      <c r="H3549" s="2" t="n">
        <v>0</v>
      </c>
      <c r="I3549" s="2" t="inlineStr"/>
      <c r="J3549" s="2" t="inlineStr">
        <is>
          <t>?</t>
        </is>
      </c>
      <c r="K3549" s="3" t="inlineStr"/>
      <c r="L3549" s="2" t="inlineStr">
        <is>
          <t>https://animator.ru/db/?p=show_film&amp;fid=5730</t>
        </is>
      </c>
      <c r="M3549" s="2">
        <f>HYPERLINK("https://ru.wikipedia.org/w/index.php?search=%D0%A8%D0%B8%D0%B7%201991%20%D1%84%D0%B8%D0%BB%D1%8C%D0%BC","искать")</f>
        <v/>
      </c>
      <c r="N3549" s="3" t="n"/>
      <c r="O3549" s="2" t="n"/>
      <c r="P3549" s="2" t="n"/>
    </row>
    <row r="3550">
      <c r="A3550" s="2" t="n">
        <v>3549</v>
      </c>
      <c r="B3550" s="2" t="inlineStr">
        <is>
          <t>короткая</t>
        </is>
      </c>
      <c r="C3550" s="2" t="n">
        <v>14283</v>
      </c>
      <c r="D3550" s="3" t="inlineStr">
        <is>
          <t>Заяц-симулянт</t>
        </is>
      </c>
      <c r="E3550" s="2" t="n">
        <v>1967</v>
      </c>
      <c r="F3550" s="2" t="inlineStr">
        <is>
          <t>мультфильм</t>
        </is>
      </c>
      <c r="G3550" s="2" t="inlineStr">
        <is>
          <t>Союзмультфильм</t>
        </is>
      </c>
      <c r="H3550" s="2" t="n">
        <v>0</v>
      </c>
      <c r="I3550" s="2" t="inlineStr"/>
      <c r="J3550" s="2" t="inlineStr">
        <is>
          <t>?</t>
        </is>
      </c>
      <c r="K3550" s="3" t="inlineStr"/>
      <c r="L3550" s="2" t="inlineStr">
        <is>
          <t>https://animator.ru/db/?p=show_film&amp;fid=5765</t>
        </is>
      </c>
      <c r="M3550" s="2">
        <f>HYPERLINK("https://ru.wikipedia.org/w/index.php?search=%D0%97%D0%B0%D1%8F%D1%86-%D1%81%D0%B8%D0%BC%D1%83%D0%BB%D1%8F%D0%BD%D1%82%201967%20%D1%84%D0%B8%D0%BB%D1%8C%D0%BC","искать")</f>
        <v/>
      </c>
      <c r="N3550" s="3" t="n"/>
      <c r="O3550" s="2" t="n"/>
      <c r="P3550" s="2" t="n"/>
    </row>
    <row r="3551">
      <c r="A3551" s="2" t="n">
        <v>3550</v>
      </c>
      <c r="B3551" s="2" t="inlineStr">
        <is>
          <t>короткая</t>
        </is>
      </c>
      <c r="C3551" s="2" t="n">
        <v>14295</v>
      </c>
      <c r="D3551" s="3" t="inlineStr">
        <is>
          <t>Дождь</t>
        </is>
      </c>
      <c r="E3551" s="2" t="n">
        <v>1990</v>
      </c>
      <c r="F3551" s="2" t="inlineStr">
        <is>
          <t>мультфильм</t>
        </is>
      </c>
      <c r="G3551" s="2" t="inlineStr">
        <is>
          <t>КИНООПЫТ СТУДИЯ</t>
        </is>
      </c>
      <c r="H3551" s="2" t="n">
        <v>0</v>
      </c>
      <c r="I3551" s="2" t="inlineStr"/>
      <c r="J3551" s="2" t="inlineStr">
        <is>
          <t>?</t>
        </is>
      </c>
      <c r="K3551" s="3" t="inlineStr"/>
      <c r="L3551" s="2" t="inlineStr">
        <is>
          <t>https://animator.ru/db/?p=show_film&amp;fid=5838</t>
        </is>
      </c>
      <c r="M3551" s="2">
        <f>HYPERLINK("https://ru.wikipedia.org/w/index.php?search=%D0%94%D0%BE%D0%B6%D0%B4%D1%8C%201990%20%D1%84%D0%B8%D0%BB%D1%8C%D0%BC","искать")</f>
        <v/>
      </c>
      <c r="N3551" s="3" t="n"/>
      <c r="O3551" s="2" t="n"/>
      <c r="P3551" s="2" t="n"/>
    </row>
    <row r="3552">
      <c r="A3552" s="2" t="n">
        <v>3551</v>
      </c>
      <c r="B3552" s="2" t="inlineStr">
        <is>
          <t>короткая</t>
        </is>
      </c>
      <c r="C3552" s="2" t="n">
        <v>14296</v>
      </c>
      <c r="D3552" s="3" t="inlineStr">
        <is>
          <t>Зеленое желание</t>
        </is>
      </c>
      <c r="E3552" s="2" t="n">
        <v>1989</v>
      </c>
      <c r="F3552" s="2" t="inlineStr">
        <is>
          <t>мультфильм</t>
        </is>
      </c>
      <c r="G3552" s="2" t="n"/>
      <c r="H3552" s="2" t="n">
        <v>0</v>
      </c>
      <c r="I3552" s="2" t="inlineStr"/>
      <c r="J3552" s="2" t="inlineStr">
        <is>
          <t>?</t>
        </is>
      </c>
      <c r="K3552" s="3" t="inlineStr"/>
      <c r="L3552" s="2" t="inlineStr">
        <is>
          <t>https://animator.ru/db/?p=show_film&amp;fid=5839</t>
        </is>
      </c>
      <c r="M3552" s="2">
        <f>HYPERLINK("https://ru.wikipedia.org/w/index.php?search=%D0%97%D0%B5%D0%BB%D0%B5%D0%BD%D0%BE%D0%B5%20%D0%B6%D0%B5%D0%BB%D0%B0%D0%BD%D0%B8%D0%B5%201989%20%D1%84%D0%B8%D0%BB%D1%8C%D0%BC","искать")</f>
        <v/>
      </c>
      <c r="N3552" s="3" t="n"/>
      <c r="O3552" s="2" t="n"/>
      <c r="P3552" s="2" t="n"/>
    </row>
    <row r="3553">
      <c r="A3553" s="2" t="n">
        <v>3552</v>
      </c>
      <c r="B3553" s="2" t="inlineStr">
        <is>
          <t>короткая</t>
        </is>
      </c>
      <c r="C3553" s="2" t="n">
        <v>14297</v>
      </c>
      <c r="D3553" s="3" t="inlineStr">
        <is>
          <t>И так каждый год господний</t>
        </is>
      </c>
      <c r="E3553" s="2" t="n">
        <v>1990</v>
      </c>
      <c r="F3553" s="2" t="inlineStr">
        <is>
          <t>мультфильм</t>
        </is>
      </c>
      <c r="G3553" s="2" t="inlineStr">
        <is>
          <t>ТАЛЛИННФИЛЬМ</t>
        </is>
      </c>
      <c r="H3553" s="2" t="n">
        <v>0</v>
      </c>
      <c r="I3553" s="2" t="inlineStr"/>
      <c r="J3553" s="2" t="inlineStr">
        <is>
          <t>?</t>
        </is>
      </c>
      <c r="K3553" s="3" t="inlineStr"/>
      <c r="L3553" s="2" t="inlineStr">
        <is>
          <t>https://animator.ru/db/?p=show_film&amp;fid=5840</t>
        </is>
      </c>
      <c r="M3553" s="2">
        <f>HYPERLINK("https://ru.wikipedia.org/w/index.php?search=%D0%98%20%D1%82%D0%B0%D0%BA%20%D0%BA%D0%B0%D0%B6%D0%B4%D1%8B%D0%B9%20%D0%B3%D0%BE%D0%B4%20%D0%B3%D0%BE%D1%81%D0%BF%D0%BE%D0%B4%D0%BD%D0%B8%D0%B9%201990%20%D1%84%D0%B8%D0%BB%D1%8C%D0%BC","искать")</f>
        <v/>
      </c>
      <c r="N3553" s="3" t="n"/>
      <c r="O3553" s="2" t="n"/>
      <c r="P3553" s="2" t="n"/>
    </row>
    <row r="3554">
      <c r="A3554" s="2" t="n">
        <v>3553</v>
      </c>
      <c r="B3554" s="2" t="inlineStr">
        <is>
          <t>короткая</t>
        </is>
      </c>
      <c r="C3554" s="2" t="n">
        <v>14304</v>
      </c>
      <c r="D3554" s="3" t="inlineStr">
        <is>
          <t>Мы летаем</t>
        </is>
      </c>
      <c r="E3554" s="2" t="n">
        <v>1990</v>
      </c>
      <c r="F3554" s="2" t="inlineStr">
        <is>
          <t>мультфильм</t>
        </is>
      </c>
      <c r="G3554" s="2" t="inlineStr">
        <is>
          <t>ТАЛЛИННФИЛЬМ</t>
        </is>
      </c>
      <c r="H3554" s="2" t="n">
        <v>0</v>
      </c>
      <c r="I3554" s="2" t="inlineStr"/>
      <c r="J3554" s="2" t="inlineStr">
        <is>
          <t>?</t>
        </is>
      </c>
      <c r="K3554" s="3" t="inlineStr"/>
      <c r="L3554" s="2" t="inlineStr">
        <is>
          <t>https://animator.ru/db/?p=show_film&amp;fid=5849</t>
        </is>
      </c>
      <c r="M3554" s="2">
        <f>HYPERLINK("https://ru.wikipedia.org/w/index.php?search=%D0%9C%D1%8B%20%D0%BB%D0%B5%D1%82%D0%B0%D0%B5%D0%BC%201990%20%D1%84%D0%B8%D0%BB%D1%8C%D0%BC","искать")</f>
        <v/>
      </c>
      <c r="N3554" s="3" t="n"/>
      <c r="O3554" s="2" t="n"/>
      <c r="P3554" s="2" t="n"/>
    </row>
    <row r="3555">
      <c r="A3555" s="2" t="n">
        <v>3554</v>
      </c>
      <c r="B3555" s="2" t="inlineStr">
        <is>
          <t>короткая</t>
        </is>
      </c>
      <c r="C3555" s="2" t="n">
        <v>14307</v>
      </c>
      <c r="D3555" s="3" t="inlineStr">
        <is>
          <t>Посвящение</t>
        </is>
      </c>
      <c r="E3555" s="2" t="n">
        <v>1990</v>
      </c>
      <c r="F3555" s="2" t="inlineStr">
        <is>
          <t>мультфильм</t>
        </is>
      </c>
      <c r="G3555" s="2" t="inlineStr">
        <is>
          <t>АЗЕРБАЙДЖАНФИЛЬМ</t>
        </is>
      </c>
      <c r="H3555" s="2" t="n">
        <v>0</v>
      </c>
      <c r="I3555" s="2" t="inlineStr"/>
      <c r="J3555" s="2" t="inlineStr">
        <is>
          <t>?</t>
        </is>
      </c>
      <c r="K3555" s="3" t="inlineStr"/>
      <c r="L3555" s="2" t="inlineStr">
        <is>
          <t>https://animator.ru/db/?p=show_film&amp;fid=5853</t>
        </is>
      </c>
      <c r="M3555" s="2">
        <f>HYPERLINK("https://ru.wikipedia.org/w/index.php?search=%D0%9F%D0%BE%D1%81%D0%B2%D1%8F%D1%89%D0%B5%D0%BD%D0%B8%D0%B5%201990%20%D1%84%D0%B8%D0%BB%D1%8C%D0%BC","искать")</f>
        <v/>
      </c>
      <c r="N3555" s="3" t="n"/>
      <c r="O3555" s="2" t="n"/>
      <c r="P3555" s="2" t="n"/>
    </row>
    <row r="3556">
      <c r="A3556" s="2" t="n">
        <v>3555</v>
      </c>
      <c r="B3556" s="2" t="inlineStr">
        <is>
          <t>короткая</t>
        </is>
      </c>
      <c r="C3556" s="2" t="n">
        <v>14311</v>
      </c>
      <c r="D3556" s="3" t="inlineStr">
        <is>
          <t>Биллиардная история</t>
        </is>
      </c>
      <c r="E3556" s="2" t="n">
        <v>1990</v>
      </c>
      <c r="F3556" s="2" t="inlineStr">
        <is>
          <t>мультфильм</t>
        </is>
      </c>
      <c r="G3556" s="2" t="inlineStr">
        <is>
          <t>УЗБЕКФИЛЬМ</t>
        </is>
      </c>
      <c r="H3556" s="2" t="n">
        <v>0</v>
      </c>
      <c r="I3556" s="2" t="inlineStr"/>
      <c r="J3556" s="2" t="inlineStr">
        <is>
          <t>?</t>
        </is>
      </c>
      <c r="K3556" s="3" t="inlineStr"/>
      <c r="L3556" s="2" t="inlineStr">
        <is>
          <t>https://animator.ru/db/?p=show_film&amp;fid=5857</t>
        </is>
      </c>
      <c r="M3556" s="2">
        <f>HYPERLINK("https://ru.wikipedia.org/w/index.php?search=%D0%91%D0%B8%D0%BB%D0%BB%D0%B8%D0%B0%D1%80%D0%B4%D0%BD%D0%B0%D1%8F%20%D0%B8%D1%81%D1%82%D0%BE%D1%80%D0%B8%D1%8F%201990%20%D1%84%D0%B8%D0%BB%D1%8C%D0%BC","искать")</f>
        <v/>
      </c>
      <c r="N3556" s="3" t="n"/>
      <c r="O3556" s="2" t="n"/>
      <c r="P3556" s="2" t="n"/>
    </row>
    <row r="3557">
      <c r="A3557" s="2" t="n">
        <v>3556</v>
      </c>
      <c r="B3557" s="2" t="inlineStr">
        <is>
          <t>короткая</t>
        </is>
      </c>
      <c r="C3557" s="2" t="n">
        <v>14319</v>
      </c>
      <c r="D3557" s="3" t="inlineStr">
        <is>
          <t>Паучье солнце</t>
        </is>
      </c>
      <c r="E3557" s="2" t="n">
        <v>1991</v>
      </c>
      <c r="F3557" s="2" t="inlineStr">
        <is>
          <t>мультфильм</t>
        </is>
      </c>
      <c r="G3557" s="2" t="inlineStr">
        <is>
          <t>УЗБЕКФИЛЬМ</t>
        </is>
      </c>
      <c r="H3557" s="2" t="n">
        <v>0</v>
      </c>
      <c r="I3557" s="2" t="inlineStr"/>
      <c r="J3557" s="2" t="inlineStr">
        <is>
          <t>?</t>
        </is>
      </c>
      <c r="K3557" s="3" t="inlineStr"/>
      <c r="L3557" s="2" t="inlineStr">
        <is>
          <t>https://animator.ru/db/?p=show_film&amp;fid=5865</t>
        </is>
      </c>
      <c r="M3557" s="2">
        <f>HYPERLINK("https://ru.wikipedia.org/w/index.php?search=%D0%9F%D0%B0%D1%83%D1%87%D1%8C%D0%B5%20%D1%81%D0%BE%D0%BB%D0%BD%D1%86%D0%B5%201991%20%D1%84%D0%B8%D0%BB%D1%8C%D0%BC","искать")</f>
        <v/>
      </c>
      <c r="N3557" s="3" t="n"/>
      <c r="O3557" s="2" t="n"/>
      <c r="P3557" s="2" t="n"/>
    </row>
    <row r="3558">
      <c r="A3558" s="2" t="n">
        <v>3557</v>
      </c>
      <c r="B3558" s="2" t="inlineStr">
        <is>
          <t>короткая</t>
        </is>
      </c>
      <c r="C3558" s="2" t="n">
        <v>14323</v>
      </c>
      <c r="D3558" s="3" t="inlineStr">
        <is>
          <t>Цикл</t>
        </is>
      </c>
      <c r="E3558" s="2" t="n">
        <v>1989</v>
      </c>
      <c r="F3558" s="2" t="inlineStr">
        <is>
          <t>мультфильм</t>
        </is>
      </c>
      <c r="G3558" s="2" t="inlineStr">
        <is>
          <t>ГРУЗИЯ-ФИЛЬМ - АО</t>
        </is>
      </c>
      <c r="H3558" s="2" t="n">
        <v>0</v>
      </c>
      <c r="I3558" s="2" t="inlineStr"/>
      <c r="J3558" s="2" t="inlineStr">
        <is>
          <t>?</t>
        </is>
      </c>
      <c r="K3558" s="3" t="inlineStr"/>
      <c r="L3558" s="2" t="inlineStr">
        <is>
          <t>https://animator.ru/db/?p=show_film&amp;fid=5869</t>
        </is>
      </c>
      <c r="M3558" s="2">
        <f>HYPERLINK("https://ru.wikipedia.org/w/index.php?search=%D0%A6%D0%B8%D0%BA%D0%BB%201989%20%D1%84%D0%B8%D0%BB%D1%8C%D0%BC","искать")</f>
        <v/>
      </c>
      <c r="N3558" s="3" t="n"/>
      <c r="O3558" s="2" t="n"/>
      <c r="P3558" s="2" t="n"/>
    </row>
    <row r="3559">
      <c r="A3559" s="2" t="n">
        <v>3558</v>
      </c>
      <c r="B3559" s="2" t="inlineStr">
        <is>
          <t>короткая</t>
        </is>
      </c>
      <c r="C3559" s="2" t="n">
        <v>14332</v>
      </c>
      <c r="D3559" s="3" t="inlineStr">
        <is>
          <t>Соло для луны и волка</t>
        </is>
      </c>
      <c r="E3559" s="2" t="n">
        <v>1990</v>
      </c>
      <c r="F3559" s="2" t="inlineStr">
        <is>
          <t>мультфильм</t>
        </is>
      </c>
      <c r="G3559" s="2" t="inlineStr">
        <is>
          <t>Союзмультфильм</t>
        </is>
      </c>
      <c r="H3559" s="2" t="n">
        <v>0</v>
      </c>
      <c r="I3559" s="2" t="inlineStr"/>
      <c r="J3559" s="2" t="inlineStr">
        <is>
          <t>?</t>
        </is>
      </c>
      <c r="K3559" s="3" t="inlineStr"/>
      <c r="L3559" s="2" t="inlineStr">
        <is>
          <t>https://animator.ru/db/?p=show_film&amp;fid=5889</t>
        </is>
      </c>
      <c r="M3559" s="2">
        <f>HYPERLINK("https://ru.wikipedia.org/w/index.php?search=%D0%A1%D0%BE%D0%BB%D0%BE%20%D0%B4%D0%BB%D1%8F%20%D0%BB%D1%83%D0%BD%D1%8B%20%D0%B8%20%D0%B2%D0%BE%D0%BB%D0%BA%D0%B0%201990%20%D1%84%D0%B8%D0%BB%D1%8C%D0%BC","искать")</f>
        <v/>
      </c>
      <c r="N3559" s="3" t="n"/>
      <c r="O3559" s="2" t="n"/>
      <c r="P3559" s="2" t="n"/>
    </row>
    <row r="3560">
      <c r="A3560" s="2" t="n">
        <v>3559</v>
      </c>
      <c r="B3560" s="2" t="inlineStr">
        <is>
          <t>короткая</t>
        </is>
      </c>
      <c r="C3560" s="2" t="n">
        <v>14333</v>
      </c>
      <c r="D3560" s="3" t="inlineStr">
        <is>
          <t>Мышонок и кошка</t>
        </is>
      </c>
      <c r="E3560" s="2" t="n">
        <v>1983</v>
      </c>
      <c r="F3560" s="2" t="inlineStr">
        <is>
          <t>мультфильм</t>
        </is>
      </c>
      <c r="G3560" s="2" t="inlineStr">
        <is>
          <t>Союзмультфильм</t>
        </is>
      </c>
      <c r="H3560" s="2" t="n">
        <v>0</v>
      </c>
      <c r="I3560" s="2" t="inlineStr"/>
      <c r="J3560" s="2" t="inlineStr">
        <is>
          <t>?</t>
        </is>
      </c>
      <c r="K3560" s="3" t="inlineStr"/>
      <c r="L3560" s="2" t="inlineStr">
        <is>
          <t>https://animator.ru/db/?p=show_film&amp;fid=5890</t>
        </is>
      </c>
      <c r="M3560" s="2">
        <f>HYPERLINK("https://ru.wikipedia.org/w/index.php?search=%D0%9C%D1%8B%D1%88%D0%BE%D0%BD%D0%BE%D0%BA%20%D0%B8%20%D0%BA%D0%BE%D1%88%D0%BA%D0%B0%201983%20%D1%84%D0%B8%D0%BB%D1%8C%D0%BC","искать")</f>
        <v/>
      </c>
      <c r="N3560" s="3" t="n"/>
      <c r="O3560" s="2" t="n"/>
      <c r="P3560" s="2" t="n"/>
    </row>
    <row r="3561">
      <c r="A3561" s="2" t="n">
        <v>3560</v>
      </c>
      <c r="B3561" s="2" t="inlineStr">
        <is>
          <t>короткая</t>
        </is>
      </c>
      <c r="C3561" s="2" t="n">
        <v>14338</v>
      </c>
      <c r="D3561" s="3" t="inlineStr">
        <is>
          <t>Лягушка-царевна</t>
        </is>
      </c>
      <c r="E3561" s="2" t="n">
        <v>1988</v>
      </c>
      <c r="F3561" s="2" t="inlineStr">
        <is>
          <t>мультфильм</t>
        </is>
      </c>
      <c r="G3561" s="2" t="inlineStr">
        <is>
          <t>САРАТОВТЕЛЕФИЛЬМ</t>
        </is>
      </c>
      <c r="H3561" s="2" t="n">
        <v>0</v>
      </c>
      <c r="I3561" s="2" t="inlineStr"/>
      <c r="J3561" s="2" t="inlineStr">
        <is>
          <t>?</t>
        </is>
      </c>
      <c r="K3561" s="3" t="inlineStr"/>
      <c r="L3561" s="2" t="inlineStr">
        <is>
          <t>https://animator.ru/db/?p=show_film&amp;fid=5907</t>
        </is>
      </c>
      <c r="M3561" s="2">
        <f>HYPERLINK("https://ru.wikipedia.org/w/index.php?search=%D0%9B%D1%8F%D0%B3%D1%83%D1%88%D0%BA%D0%B0-%D1%86%D0%B0%D1%80%D0%B5%D0%B2%D0%BD%D0%B0%201988%20%D1%84%D0%B8%D0%BB%D1%8C%D0%BC","искать")</f>
        <v/>
      </c>
      <c r="N3561" s="3" t="n"/>
      <c r="O3561" s="2" t="n"/>
      <c r="P3561" s="2" t="n"/>
    </row>
    <row r="3562">
      <c r="A3562" s="2" t="n">
        <v>3561</v>
      </c>
      <c r="B3562" s="2" t="inlineStr">
        <is>
          <t>короткая</t>
        </is>
      </c>
      <c r="C3562" s="2" t="n">
        <v>14339</v>
      </c>
      <c r="D3562" s="3" t="inlineStr">
        <is>
          <t>Лифт 1</t>
        </is>
      </c>
      <c r="E3562" s="2" t="n">
        <v>1989</v>
      </c>
      <c r="F3562" s="2" t="inlineStr">
        <is>
          <t>мультфильм</t>
        </is>
      </c>
      <c r="G3562" s="2" t="inlineStr">
        <is>
          <t>Пилот, ВИДЕОФИЛЬМ - дистрибюторская компания</t>
        </is>
      </c>
      <c r="H3562" s="2" t="n">
        <v>0</v>
      </c>
      <c r="I3562" s="2" t="inlineStr"/>
      <c r="J3562" s="2" t="inlineStr">
        <is>
          <t>?</t>
        </is>
      </c>
      <c r="K3562" s="3" t="inlineStr"/>
      <c r="L3562" s="2" t="inlineStr">
        <is>
          <t>https://animator.ru/db/?p=show_film&amp;fid=5917</t>
        </is>
      </c>
      <c r="M3562" s="2">
        <f>HYPERLINK("https://ru.wikipedia.org/w/index.php?search=%D0%9B%D0%B8%D1%84%D1%82%201%201989%20%D1%84%D0%B8%D0%BB%D1%8C%D0%BC","искать")</f>
        <v/>
      </c>
      <c r="N3562" s="3" t="n"/>
      <c r="O3562" s="2" t="n"/>
      <c r="P3562" s="2" t="n"/>
    </row>
    <row r="3563">
      <c r="A3563" s="2" t="n">
        <v>3562</v>
      </c>
      <c r="B3563" s="2" t="inlineStr">
        <is>
          <t>короткая</t>
        </is>
      </c>
      <c r="C3563" s="2" t="n">
        <v>14340</v>
      </c>
      <c r="D3563" s="3" t="inlineStr">
        <is>
          <t>Лифт 2</t>
        </is>
      </c>
      <c r="E3563" s="2" t="n">
        <v>1989</v>
      </c>
      <c r="F3563" s="2" t="inlineStr">
        <is>
          <t>мультфильм</t>
        </is>
      </c>
      <c r="G3563" s="2" t="inlineStr">
        <is>
          <t>Пилот, ВИДЕОФИЛЬМ - дистрибюторская компания</t>
        </is>
      </c>
      <c r="H3563" s="2" t="n">
        <v>0</v>
      </c>
      <c r="I3563" s="2" t="inlineStr"/>
      <c r="J3563" s="2" t="inlineStr">
        <is>
          <t>?</t>
        </is>
      </c>
      <c r="K3563" s="3" t="inlineStr"/>
      <c r="L3563" s="2" t="inlineStr">
        <is>
          <t>https://animator.ru/db/?p=show_film&amp;fid=5918</t>
        </is>
      </c>
      <c r="M3563" s="2">
        <f>HYPERLINK("https://ru.wikipedia.org/w/index.php?search=%D0%9B%D0%B8%D1%84%D1%82%202%201989%20%D1%84%D0%B8%D0%BB%D1%8C%D0%BC","искать")</f>
        <v/>
      </c>
      <c r="N3563" s="3" t="n"/>
      <c r="O3563" s="2" t="n"/>
      <c r="P3563" s="2" t="n"/>
    </row>
    <row r="3564">
      <c r="A3564" s="2" t="n">
        <v>3563</v>
      </c>
      <c r="B3564" s="2" t="inlineStr">
        <is>
          <t>короткая</t>
        </is>
      </c>
      <c r="C3564" s="2" t="n">
        <v>14345</v>
      </c>
      <c r="D3564" s="3" t="inlineStr">
        <is>
          <t>Шапка гугуцэ</t>
        </is>
      </c>
      <c r="E3564" s="2" t="n">
        <v>1971</v>
      </c>
      <c r="F3564" s="2" t="inlineStr">
        <is>
          <t>мультфильм</t>
        </is>
      </c>
      <c r="G3564" s="2" t="inlineStr">
        <is>
          <t>МОЛДОВА-ФИЛЬМ</t>
        </is>
      </c>
      <c r="H3564" s="2" t="n">
        <v>0</v>
      </c>
      <c r="I3564" s="2" t="inlineStr"/>
      <c r="J3564" s="2" t="inlineStr">
        <is>
          <t>?</t>
        </is>
      </c>
      <c r="K3564" s="3" t="inlineStr"/>
      <c r="L3564" s="2" t="inlineStr">
        <is>
          <t>https://animator.ru/db/?p=show_film&amp;fid=5924</t>
        </is>
      </c>
      <c r="M3564" s="2">
        <f>HYPERLINK("https://ru.wikipedia.org/w/index.php?search=%D0%A8%D0%B0%D0%BF%D0%BA%D0%B0%20%D0%B3%D1%83%D0%B3%D1%83%D1%86%D1%8D%201971%20%D1%84%D0%B8%D0%BB%D1%8C%D0%BC","искать")</f>
        <v/>
      </c>
      <c r="N3564" s="3" t="n"/>
      <c r="O3564" s="2" t="n"/>
      <c r="P3564" s="2" t="n"/>
    </row>
    <row r="3565">
      <c r="A3565" s="2" t="n">
        <v>3564</v>
      </c>
      <c r="B3565" s="2" t="inlineStr">
        <is>
          <t>короткая</t>
        </is>
      </c>
      <c r="C3565" s="2" t="n">
        <v>14346</v>
      </c>
      <c r="D3565" s="3" t="inlineStr">
        <is>
          <t>Лгунишка петрикэ</t>
        </is>
      </c>
      <c r="E3565" s="2" t="n">
        <v>1974</v>
      </c>
      <c r="F3565" s="2" t="inlineStr">
        <is>
          <t>мультфильм</t>
        </is>
      </c>
      <c r="G3565" s="2" t="inlineStr">
        <is>
          <t>МОЛДОВА-ФИЛЬМ</t>
        </is>
      </c>
      <c r="H3565" s="2" t="n">
        <v>0</v>
      </c>
      <c r="I3565" s="2" t="inlineStr"/>
      <c r="J3565" s="2" t="inlineStr">
        <is>
          <t>?</t>
        </is>
      </c>
      <c r="K3565" s="3" t="inlineStr"/>
      <c r="L3565" s="2" t="inlineStr">
        <is>
          <t>https://animator.ru/db/?p=show_film&amp;fid=5925</t>
        </is>
      </c>
      <c r="M3565" s="2">
        <f>HYPERLINK("https://ru.wikipedia.org/w/index.php?search=%D0%9B%D0%B3%D1%83%D0%BD%D0%B8%D1%88%D0%BA%D0%B0%20%D0%BF%D0%B5%D1%82%D1%80%D0%B8%D0%BA%D1%8D%201974%20%D1%84%D0%B8%D0%BB%D1%8C%D0%BC","искать")</f>
        <v/>
      </c>
      <c r="N3565" s="3" t="n"/>
      <c r="O3565" s="2" t="n"/>
      <c r="P3565" s="2" t="n"/>
    </row>
    <row r="3566">
      <c r="A3566" s="2" t="n">
        <v>3565</v>
      </c>
      <c r="B3566" s="2" t="inlineStr">
        <is>
          <t>короткая</t>
        </is>
      </c>
      <c r="C3566" s="2" t="n">
        <v>14347</v>
      </c>
      <c r="D3566" s="3" t="inlineStr">
        <is>
          <t>Фэт и фрумос</t>
        </is>
      </c>
      <c r="E3566" s="2" t="n">
        <v>1976</v>
      </c>
      <c r="F3566" s="2" t="inlineStr">
        <is>
          <t>мультфильм</t>
        </is>
      </c>
      <c r="G3566" s="2" t="inlineStr">
        <is>
          <t>МОЛДОВА-ФИЛЬМ</t>
        </is>
      </c>
      <c r="H3566" s="2" t="n">
        <v>0</v>
      </c>
      <c r="I3566" s="2" t="inlineStr"/>
      <c r="J3566" s="2" t="inlineStr">
        <is>
          <t>?</t>
        </is>
      </c>
      <c r="K3566" s="3" t="inlineStr"/>
      <c r="L3566" s="2" t="inlineStr">
        <is>
          <t>https://animator.ru/db/?p=show_film&amp;fid=5926</t>
        </is>
      </c>
      <c r="M3566" s="2">
        <f>HYPERLINK("https://ru.wikipedia.org/w/index.php?search=%D0%A4%D1%8D%D1%82%20%D0%B8%20%D1%84%D1%80%D1%83%D0%BC%D0%BE%D1%81%201976%20%D1%84%D0%B8%D0%BB%D1%8C%D0%BC","искать")</f>
        <v/>
      </c>
      <c r="N3566" s="3" t="n"/>
      <c r="O3566" s="2" t="n"/>
      <c r="P3566" s="2" t="n"/>
    </row>
    <row r="3567">
      <c r="A3567" s="2" t="n">
        <v>3566</v>
      </c>
      <c r="B3567" s="2" t="inlineStr">
        <is>
          <t>короткая</t>
        </is>
      </c>
      <c r="C3567" s="2" t="n">
        <v>14349</v>
      </c>
      <c r="D3567" s="3" t="inlineStr">
        <is>
          <t>Лягушонок-изобретатель</t>
        </is>
      </c>
      <c r="E3567" s="2" t="n">
        <v>1982</v>
      </c>
      <c r="F3567" s="2" t="inlineStr">
        <is>
          <t>мультфильм</t>
        </is>
      </c>
      <c r="G3567" s="2" t="inlineStr">
        <is>
          <t>АРМЕНФИЛЬМ</t>
        </is>
      </c>
      <c r="H3567" s="2" t="n">
        <v>0</v>
      </c>
      <c r="I3567" s="2" t="inlineStr"/>
      <c r="J3567" s="2" t="inlineStr">
        <is>
          <t>?</t>
        </is>
      </c>
      <c r="K3567" s="3" t="inlineStr"/>
      <c r="L3567" s="2" t="inlineStr">
        <is>
          <t>https://animator.ru/db/?p=show_film&amp;fid=5929</t>
        </is>
      </c>
      <c r="M3567" s="2">
        <f>HYPERLINK("https://ru.wikipedia.org/w/index.php?search=%D0%9B%D1%8F%D0%B3%D1%83%D1%88%D0%BE%D0%BD%D0%BE%D0%BA-%D0%B8%D0%B7%D0%BE%D0%B1%D1%80%D0%B5%D1%82%D0%B0%D1%82%D0%B5%D0%BB%D1%8C%201982%20%D1%84%D0%B8%D0%BB%D1%8C%D0%BC","искать")</f>
        <v/>
      </c>
      <c r="N3567" s="3" t="n"/>
      <c r="O3567" s="2" t="n"/>
      <c r="P3567" s="2" t="n"/>
    </row>
    <row r="3568">
      <c r="A3568" s="2" t="n">
        <v>3567</v>
      </c>
      <c r="B3568" s="2" t="inlineStr">
        <is>
          <t>короткая</t>
        </is>
      </c>
      <c r="C3568" s="2" t="n">
        <v>14350</v>
      </c>
      <c r="D3568" s="3" t="inlineStr">
        <is>
          <t>Сказка о точных часах</t>
        </is>
      </c>
      <c r="E3568" s="2" t="n">
        <v>1983</v>
      </c>
      <c r="F3568" s="2" t="inlineStr">
        <is>
          <t>мультфильм</t>
        </is>
      </c>
      <c r="G3568" s="2" t="inlineStr">
        <is>
          <t>АРМЕНФИЛЬМ</t>
        </is>
      </c>
      <c r="H3568" s="2" t="n">
        <v>0</v>
      </c>
      <c r="I3568" s="2" t="inlineStr"/>
      <c r="J3568" s="2" t="inlineStr">
        <is>
          <t>?</t>
        </is>
      </c>
      <c r="K3568" s="3" t="inlineStr"/>
      <c r="L3568" s="2" t="inlineStr">
        <is>
          <t>https://animator.ru/db/?p=show_film&amp;fid=5930</t>
        </is>
      </c>
      <c r="M3568" s="2">
        <f>HYPERLINK("https://ru.wikipedia.org/w/index.php?search=%D0%A1%D0%BA%D0%B0%D0%B7%D0%BA%D0%B0%20%D0%BE%20%D1%82%D0%BE%D1%87%D0%BD%D1%8B%D1%85%20%D1%87%D0%B0%D1%81%D0%B0%D1%85%201983%20%D1%84%D0%B8%D0%BB%D1%8C%D0%BC","искать")</f>
        <v/>
      </c>
      <c r="N3568" s="3" t="n"/>
      <c r="O3568" s="2" t="n"/>
      <c r="P3568" s="2" t="n"/>
    </row>
    <row r="3569">
      <c r="A3569" s="2" t="n">
        <v>3568</v>
      </c>
      <c r="B3569" s="2" t="inlineStr">
        <is>
          <t>короткая</t>
        </is>
      </c>
      <c r="C3569" s="2" t="n">
        <v>14352</v>
      </c>
      <c r="D3569" s="3" t="inlineStr">
        <is>
          <t>Самый удобный домик</t>
        </is>
      </c>
      <c r="E3569" s="2" t="n">
        <v>1983</v>
      </c>
      <c r="F3569" s="2" t="inlineStr">
        <is>
          <t>мультфильм</t>
        </is>
      </c>
      <c r="G3569" s="2" t="inlineStr">
        <is>
          <t>АРМЕНФИЛЬМ</t>
        </is>
      </c>
      <c r="H3569" s="2" t="n">
        <v>0</v>
      </c>
      <c r="I3569" s="2" t="inlineStr"/>
      <c r="J3569" s="2" t="inlineStr">
        <is>
          <t>?</t>
        </is>
      </c>
      <c r="K3569" s="3" t="inlineStr"/>
      <c r="L3569" s="2" t="inlineStr">
        <is>
          <t>https://animator.ru/db/?p=show_film&amp;fid=5932</t>
        </is>
      </c>
      <c r="M3569" s="2">
        <f>HYPERLINK("https://ru.wikipedia.org/w/index.php?search=%D0%A1%D0%B0%D0%BC%D1%8B%D0%B9%20%D1%83%D0%B4%D0%BE%D0%B1%D0%BD%D1%8B%D0%B9%20%D0%B4%D0%BE%D0%BC%D0%B8%D0%BA%201983%20%D1%84%D0%B8%D0%BB%D1%8C%D0%BC","искать")</f>
        <v/>
      </c>
      <c r="N3569" s="3" t="n"/>
      <c r="O3569" s="2" t="n"/>
      <c r="P3569" s="2" t="n"/>
    </row>
    <row r="3570">
      <c r="A3570" s="2" t="n">
        <v>3569</v>
      </c>
      <c r="B3570" s="2" t="inlineStr">
        <is>
          <t>короткая</t>
        </is>
      </c>
      <c r="C3570" s="2" t="n">
        <v>14353</v>
      </c>
      <c r="D3570" s="3" t="inlineStr">
        <is>
          <t>Коробка с карандашами</t>
        </is>
      </c>
      <c r="E3570" s="2" t="n">
        <v>1985</v>
      </c>
      <c r="F3570" s="2" t="inlineStr">
        <is>
          <t>мультфильм</t>
        </is>
      </c>
      <c r="G3570" s="2" t="inlineStr">
        <is>
          <t>МУЛЬТТЕЛЕФИЛЬМ ("Экран")</t>
        </is>
      </c>
      <c r="H3570" s="2" t="n">
        <v>0</v>
      </c>
      <c r="I3570" s="2" t="inlineStr"/>
      <c r="J3570" s="2" t="inlineStr">
        <is>
          <t>?</t>
        </is>
      </c>
      <c r="K3570" s="3" t="inlineStr"/>
      <c r="L3570" s="2" t="inlineStr">
        <is>
          <t>https://animator.ru/db/?p=show_film&amp;fid=5933</t>
        </is>
      </c>
      <c r="M3570" s="2">
        <f>HYPERLINK("https://ru.wikipedia.org/w/index.php?search=%D0%9A%D0%BE%D1%80%D0%BE%D0%B1%D0%BA%D0%B0%20%D1%81%20%D0%BA%D0%B0%D1%80%D0%B0%D0%BD%D0%B4%D0%B0%D1%88%D0%B0%D0%BC%D0%B8%201985%20%D1%84%D0%B8%D0%BB%D1%8C%D0%BC","искать")</f>
        <v/>
      </c>
      <c r="N3570" s="3" t="n"/>
      <c r="O3570" s="2" t="n"/>
      <c r="P3570" s="2" t="n"/>
    </row>
    <row r="3571">
      <c r="A3571" s="2" t="n">
        <v>3570</v>
      </c>
      <c r="B3571" s="2" t="inlineStr">
        <is>
          <t>короткая</t>
        </is>
      </c>
      <c r="C3571" s="2" t="n">
        <v>14354</v>
      </c>
      <c r="D3571" s="3" t="inlineStr">
        <is>
          <t>Зайца не видали?</t>
        </is>
      </c>
      <c r="E3571" s="2" t="n">
        <v>1985</v>
      </c>
      <c r="F3571" s="2" t="inlineStr">
        <is>
          <t>мультфильм</t>
        </is>
      </c>
      <c r="G3571" s="2" t="inlineStr">
        <is>
          <t>МУЛЬТТЕЛЕФИЛЬМ ("Экран")</t>
        </is>
      </c>
      <c r="H3571" s="2" t="n">
        <v>0</v>
      </c>
      <c r="I3571" s="2" t="inlineStr"/>
      <c r="J3571" s="2" t="inlineStr">
        <is>
          <t>?</t>
        </is>
      </c>
      <c r="K3571" s="3" t="inlineStr"/>
      <c r="L3571" s="2" t="inlineStr">
        <is>
          <t>https://animator.ru/db/?p=show_film&amp;fid=5934</t>
        </is>
      </c>
      <c r="M3571" s="2">
        <f>HYPERLINK("https://ru.wikipedia.org/w/index.php?search=%D0%97%D0%B0%D0%B9%D1%86%D0%B0%20%D0%BD%D0%B5%20%D0%B2%D0%B8%D0%B4%D0%B0%D0%BB%D0%B8%3F%201985%20%D1%84%D0%B8%D0%BB%D1%8C%D0%BC","искать")</f>
        <v/>
      </c>
      <c r="N3571" s="3" t="n"/>
      <c r="O3571" s="2" t="n"/>
      <c r="P3571" s="2" t="n"/>
    </row>
    <row r="3572">
      <c r="A3572" s="2" t="n">
        <v>3571</v>
      </c>
      <c r="B3572" s="2" t="inlineStr">
        <is>
          <t>короткая</t>
        </is>
      </c>
      <c r="C3572" s="2" t="n">
        <v>14355</v>
      </c>
      <c r="D3572" s="3" t="inlineStr">
        <is>
          <t>Кубик-рубик, клоунада</t>
        </is>
      </c>
      <c r="E3572" s="2" t="n">
        <v>1985</v>
      </c>
      <c r="F3572" s="2" t="inlineStr">
        <is>
          <t>мультфильм</t>
        </is>
      </c>
      <c r="G3572" s="2" t="inlineStr">
        <is>
          <t>МУЛЬТТЕЛЕФИЛЬМ ("Экран")</t>
        </is>
      </c>
      <c r="H3572" s="2" t="n">
        <v>0</v>
      </c>
      <c r="I3572" s="2" t="inlineStr"/>
      <c r="J3572" s="2" t="inlineStr">
        <is>
          <t>?</t>
        </is>
      </c>
      <c r="K3572" s="3" t="inlineStr"/>
      <c r="L3572" s="2" t="inlineStr">
        <is>
          <t>https://animator.ru/db/?p=show_film&amp;fid=5935</t>
        </is>
      </c>
      <c r="M3572" s="2">
        <f>HYPERLINK("https://ru.wikipedia.org/w/index.php?search=%D0%9A%D1%83%D0%B1%D0%B8%D0%BA-%D1%80%D1%83%D0%B1%D0%B8%D0%BA%2C%20%D0%BA%D0%BB%D0%BE%D1%83%D0%BD%D0%B0%D0%B4%D0%B0%201985%20%D1%84%D0%B8%D0%BB%D1%8C%D0%BC","искать")</f>
        <v/>
      </c>
      <c r="N3572" s="3" t="n"/>
      <c r="O3572" s="2" t="n"/>
      <c r="P3572" s="2" t="n"/>
    </row>
    <row r="3573">
      <c r="A3573" s="2" t="n">
        <v>3572</v>
      </c>
      <c r="B3573" s="2" t="inlineStr">
        <is>
          <t>короткая</t>
        </is>
      </c>
      <c r="C3573" s="2" t="n">
        <v>14357</v>
      </c>
      <c r="D3573" s="3" t="inlineStr">
        <is>
          <t>Переменка n 4. Врун</t>
        </is>
      </c>
      <c r="E3573" s="2" t="n">
        <v>1985</v>
      </c>
      <c r="F3573" s="2" t="inlineStr">
        <is>
          <t>мультфильм</t>
        </is>
      </c>
      <c r="G3573" s="2" t="inlineStr">
        <is>
          <t>Союзмультфильм</t>
        </is>
      </c>
      <c r="H3573" s="2" t="n">
        <v>0</v>
      </c>
      <c r="I3573" s="2" t="inlineStr"/>
      <c r="J3573" s="2" t="inlineStr">
        <is>
          <t>?</t>
        </is>
      </c>
      <c r="K3573" s="3" t="inlineStr"/>
      <c r="L3573" s="2" t="inlineStr">
        <is>
          <t>https://animator.ru/db/?p=show_film&amp;fid=5952</t>
        </is>
      </c>
      <c r="M3573" s="2">
        <f>HYPERLINK("https://ru.wikipedia.org/w/index.php?search=%D0%9F%D0%B5%D1%80%D0%B5%D0%BC%D0%B5%D0%BD%D0%BA%D0%B0%20n%204.%20%D0%92%D1%80%D1%83%D0%BD%201985%20%D1%84%D0%B8%D0%BB%D1%8C%D0%BC","искать")</f>
        <v/>
      </c>
      <c r="N3573" s="3" t="n"/>
      <c r="O3573" s="2" t="n"/>
      <c r="P3573" s="2" t="n"/>
    </row>
    <row r="3574">
      <c r="A3574" s="2" t="n">
        <v>3573</v>
      </c>
      <c r="B3574" s="2" t="inlineStr">
        <is>
          <t>короткая</t>
        </is>
      </c>
      <c r="C3574" s="2" t="n">
        <v>14358</v>
      </c>
      <c r="D3574" s="3" t="inlineStr">
        <is>
          <t>Переменка n 4. Ключик</t>
        </is>
      </c>
      <c r="E3574" s="2" t="n">
        <v>1985</v>
      </c>
      <c r="F3574" s="2" t="inlineStr">
        <is>
          <t>мультфильм</t>
        </is>
      </c>
      <c r="G3574" s="2" t="inlineStr">
        <is>
          <t>Союзмультфильм</t>
        </is>
      </c>
      <c r="H3574" s="2" t="n">
        <v>0</v>
      </c>
      <c r="I3574" s="2" t="inlineStr"/>
      <c r="J3574" s="2" t="inlineStr">
        <is>
          <t>?</t>
        </is>
      </c>
      <c r="K3574" s="3" t="inlineStr"/>
      <c r="L3574" s="2" t="inlineStr">
        <is>
          <t>https://animator.ru/db/?p=show_film&amp;fid=5953</t>
        </is>
      </c>
      <c r="M3574" s="2">
        <f>HYPERLINK("https://ru.wikipedia.org/w/index.php?search=%D0%9F%D0%B5%D1%80%D0%B5%D0%BC%D0%B5%D0%BD%D0%BA%D0%B0%20n%204.%20%D0%9A%D0%BB%D1%8E%D1%87%D0%B8%D0%BA%201985%20%D1%84%D0%B8%D0%BB%D1%8C%D0%BC","искать")</f>
        <v/>
      </c>
      <c r="N3574" s="3" t="n"/>
      <c r="O3574" s="2" t="n"/>
      <c r="P3574" s="2" t="n"/>
    </row>
    <row r="3575">
      <c r="A3575" s="2" t="n">
        <v>3574</v>
      </c>
      <c r="B3575" s="2" t="inlineStr">
        <is>
          <t>короткая</t>
        </is>
      </c>
      <c r="C3575" s="2" t="n">
        <v>14359</v>
      </c>
      <c r="D3575" s="3" t="inlineStr">
        <is>
          <t>Переменка n 4. Мяч</t>
        </is>
      </c>
      <c r="E3575" s="2" t="n">
        <v>1985</v>
      </c>
      <c r="F3575" s="2" t="inlineStr">
        <is>
          <t>мультфильм</t>
        </is>
      </c>
      <c r="G3575" s="2" t="inlineStr">
        <is>
          <t>Союзмультфильм</t>
        </is>
      </c>
      <c r="H3575" s="2" t="n">
        <v>0</v>
      </c>
      <c r="I3575" s="2" t="inlineStr"/>
      <c r="J3575" s="2" t="inlineStr">
        <is>
          <t>?</t>
        </is>
      </c>
      <c r="K3575" s="3" t="inlineStr"/>
      <c r="L3575" s="2" t="inlineStr">
        <is>
          <t>https://animator.ru/db/?p=show_film&amp;fid=5954</t>
        </is>
      </c>
      <c r="M3575" s="2">
        <f>HYPERLINK("https://ru.wikipedia.org/w/index.php?search=%D0%9F%D0%B5%D1%80%D0%B5%D0%BC%D0%B5%D0%BD%D0%BA%D0%B0%20n%204.%20%D0%9C%D1%8F%D1%87%201985%20%D1%84%D0%B8%D0%BB%D1%8C%D0%BC","искать")</f>
        <v/>
      </c>
      <c r="N3575" s="3" t="n"/>
      <c r="O3575" s="2" t="n"/>
      <c r="P3575" s="2" t="n"/>
    </row>
    <row r="3576">
      <c r="A3576" s="2" t="n">
        <v>3575</v>
      </c>
      <c r="B3576" s="2" t="inlineStr">
        <is>
          <t>короткая</t>
        </is>
      </c>
      <c r="C3576" s="2" t="n">
        <v>14364</v>
      </c>
      <c r="D3576" s="3" t="inlineStr">
        <is>
          <t>Одна минута</t>
        </is>
      </c>
      <c r="E3576" s="2" t="n">
        <v>1989</v>
      </c>
      <c r="F3576" s="2" t="inlineStr">
        <is>
          <t>мультфильм</t>
        </is>
      </c>
      <c r="G3576" s="2" t="n"/>
      <c r="H3576" s="2" t="n">
        <v>0</v>
      </c>
      <c r="I3576" s="2" t="inlineStr"/>
      <c r="J3576" s="2" t="inlineStr">
        <is>
          <t>?</t>
        </is>
      </c>
      <c r="K3576" s="3" t="inlineStr"/>
      <c r="L3576" s="2" t="inlineStr">
        <is>
          <t>https://animator.ru/db/?p=show_film&amp;fid=6097</t>
        </is>
      </c>
      <c r="M3576" s="2">
        <f>HYPERLINK("https://ru.wikipedia.org/w/index.php?search=%D0%9E%D0%B4%D0%BD%D0%B0%20%D0%BC%D0%B8%D0%BD%D1%83%D1%82%D0%B0%201989%20%D1%84%D0%B8%D0%BB%D1%8C%D0%BC","искать")</f>
        <v/>
      </c>
      <c r="N3576" s="3" t="n"/>
      <c r="O3576" s="2" t="n"/>
      <c r="P3576" s="2" t="n"/>
    </row>
    <row r="3577">
      <c r="A3577" s="2" t="n">
        <v>3576</v>
      </c>
      <c r="B3577" s="2" t="inlineStr">
        <is>
          <t>короткая</t>
        </is>
      </c>
      <c r="C3577" s="2" t="n">
        <v>14368</v>
      </c>
      <c r="D3577" s="3" t="inlineStr">
        <is>
          <t>А снег идет</t>
        </is>
      </c>
      <c r="E3577" s="2" t="n">
        <v>1991</v>
      </c>
      <c r="F3577" s="2" t="inlineStr">
        <is>
          <t>мультфильм</t>
        </is>
      </c>
      <c r="G3577" s="2" t="inlineStr">
        <is>
          <t>Студия «А-фильм»</t>
        </is>
      </c>
      <c r="H3577" s="2" t="n">
        <v>0</v>
      </c>
      <c r="I3577" s="2" t="inlineStr"/>
      <c r="J3577" s="2" t="inlineStr">
        <is>
          <t>?</t>
        </is>
      </c>
      <c r="K3577" s="3" t="inlineStr"/>
      <c r="L3577" s="2" t="inlineStr">
        <is>
          <t>https://animator.ru/db/?p=show_film&amp;fid=6196</t>
        </is>
      </c>
      <c r="M3577" s="2">
        <f>HYPERLINK("https://ru.wikipedia.org/w/index.php?search=%D0%90%20%D1%81%D0%BD%D0%B5%D0%B3%20%D0%B8%D0%B4%D0%B5%D1%82%201991%20%D1%84%D0%B8%D0%BB%D1%8C%D0%BC","искать")</f>
        <v/>
      </c>
      <c r="N3577" s="3" t="n"/>
      <c r="O3577" s="2" t="n"/>
      <c r="P3577" s="2" t="n"/>
    </row>
    <row r="3578">
      <c r="A3578" s="2" t="n">
        <v>3577</v>
      </c>
      <c r="B3578" s="2" t="inlineStr">
        <is>
          <t>короткая</t>
        </is>
      </c>
      <c r="C3578" s="2" t="n">
        <v>14373</v>
      </c>
      <c r="D3578" s="3" t="inlineStr">
        <is>
          <t>Королевский</t>
        </is>
      </c>
      <c r="E3578" s="2" t="n">
        <v>1985</v>
      </c>
      <c r="F3578" s="2" t="inlineStr">
        <is>
          <t>мультфильм</t>
        </is>
      </c>
      <c r="G3578" s="2" t="n"/>
      <c r="H3578" s="2" t="n">
        <v>0</v>
      </c>
      <c r="I3578" s="2" t="inlineStr"/>
      <c r="J3578" s="2" t="inlineStr">
        <is>
          <t>?</t>
        </is>
      </c>
      <c r="K3578" s="3" t="inlineStr"/>
      <c r="L3578" s="2" t="inlineStr">
        <is>
          <t>https://animator.ru/db/?p=show_film&amp;fid=6305</t>
        </is>
      </c>
      <c r="M3578" s="2">
        <f>HYPERLINK("https://ru.wikipedia.org/w/index.php?search=%D0%9A%D0%BE%D1%80%D0%BE%D0%BB%D0%B5%D0%B2%D1%81%D0%BA%D0%B8%D0%B9%201985%20%D1%84%D0%B8%D0%BB%D1%8C%D0%BC","искать")</f>
        <v/>
      </c>
      <c r="N3578" s="3" t="n"/>
      <c r="O3578" s="2" t="n"/>
      <c r="P3578" s="2" t="n"/>
    </row>
    <row r="3579">
      <c r="A3579" s="2" t="n">
        <v>3578</v>
      </c>
      <c r="B3579" s="2" t="inlineStr">
        <is>
          <t>короткая</t>
        </is>
      </c>
      <c r="C3579" s="2" t="n">
        <v>14377</v>
      </c>
      <c r="D3579" s="3" t="inlineStr">
        <is>
          <t>Пауза</t>
        </is>
      </c>
      <c r="E3579" s="2" t="n">
        <v>1988</v>
      </c>
      <c r="F3579" s="2" t="inlineStr">
        <is>
          <t>мультфильм</t>
        </is>
      </c>
      <c r="G3579" s="2" t="n"/>
      <c r="H3579" s="2" t="n">
        <v>0</v>
      </c>
      <c r="I3579" s="2" t="inlineStr"/>
      <c r="J3579" s="2" t="inlineStr">
        <is>
          <t>?</t>
        </is>
      </c>
      <c r="K3579" s="3" t="inlineStr"/>
      <c r="L3579" s="2" t="inlineStr">
        <is>
          <t>https://animator.ru/db/?p=show_film&amp;fid=6311</t>
        </is>
      </c>
      <c r="M3579" s="2">
        <f>HYPERLINK("https://ru.wikipedia.org/w/index.php?search=%D0%9F%D0%B0%D1%83%D0%B7%D0%B0%201988%20%D1%84%D0%B8%D0%BB%D1%8C%D0%BC","искать")</f>
        <v/>
      </c>
      <c r="N3579" s="3" t="n"/>
      <c r="O3579" s="2" t="n"/>
      <c r="P3579" s="2" t="n"/>
    </row>
    <row r="3580">
      <c r="A3580" s="2" t="n">
        <v>3579</v>
      </c>
      <c r="B3580" s="2" t="inlineStr">
        <is>
          <t>короткая</t>
        </is>
      </c>
      <c r="C3580" s="2" t="n">
        <v>14379</v>
      </c>
      <c r="D3580" s="3" t="inlineStr">
        <is>
          <t>Волшебный най</t>
        </is>
      </c>
      <c r="E3580" s="2" t="n">
        <v>1982</v>
      </c>
      <c r="F3580" s="2" t="inlineStr">
        <is>
          <t>мультфильм</t>
        </is>
      </c>
      <c r="G3580" s="2" t="n"/>
      <c r="H3580" s="2" t="n">
        <v>0</v>
      </c>
      <c r="I3580" s="2" t="inlineStr"/>
      <c r="J3580" s="2" t="inlineStr">
        <is>
          <t>?</t>
        </is>
      </c>
      <c r="K3580" s="3" t="inlineStr"/>
      <c r="L3580" s="2" t="inlineStr">
        <is>
          <t>https://animator.ru/db/?p=show_film&amp;fid=6313</t>
        </is>
      </c>
      <c r="M3580" s="2">
        <f>HYPERLINK("https://ru.wikipedia.org/w/index.php?search=%D0%92%D0%BE%D0%BB%D1%88%D0%B5%D0%B1%D0%BD%D1%8B%D0%B9%20%D0%BD%D0%B0%D0%B9%201982%20%D1%84%D0%B8%D0%BB%D1%8C%D0%BC","искать")</f>
        <v/>
      </c>
      <c r="N3580" s="3" t="n"/>
      <c r="O3580" s="2" t="n"/>
      <c r="P3580" s="2" t="n"/>
    </row>
    <row r="3581">
      <c r="A3581" s="2" t="n">
        <v>3580</v>
      </c>
      <c r="B3581" s="2" t="inlineStr">
        <is>
          <t>короткая</t>
        </is>
      </c>
      <c r="C3581" s="2" t="n">
        <v>14380</v>
      </c>
      <c r="D3581" s="3" t="inlineStr">
        <is>
          <t>Звездная сказка</t>
        </is>
      </c>
      <c r="E3581" s="2" t="n">
        <v>1982</v>
      </c>
      <c r="F3581" s="2" t="inlineStr">
        <is>
          <t>мультфильм</t>
        </is>
      </c>
      <c r="G3581" s="2" t="n"/>
      <c r="H3581" s="2" t="n">
        <v>0</v>
      </c>
      <c r="I3581" s="2" t="inlineStr"/>
      <c r="J3581" s="2" t="inlineStr">
        <is>
          <t>?</t>
        </is>
      </c>
      <c r="K3581" s="3" t="inlineStr"/>
      <c r="L3581" s="2" t="inlineStr">
        <is>
          <t>https://animator.ru/db/?p=show_film&amp;fid=6314</t>
        </is>
      </c>
      <c r="M3581" s="2">
        <f>HYPERLINK("https://ru.wikipedia.org/w/index.php?search=%D0%97%D0%B2%D0%B5%D0%B7%D0%B4%D0%BD%D0%B0%D1%8F%20%D1%81%D0%BA%D0%B0%D0%B7%D0%BA%D0%B0%201982%20%D1%84%D0%B8%D0%BB%D1%8C%D0%BC","искать")</f>
        <v/>
      </c>
      <c r="N3581" s="3" t="n"/>
      <c r="O3581" s="2" t="n"/>
      <c r="P3581" s="2" t="n"/>
    </row>
    <row r="3582">
      <c r="A3582" s="2" t="n">
        <v>3581</v>
      </c>
      <c r="B3582" s="2" t="inlineStr">
        <is>
          <t>короткая</t>
        </is>
      </c>
      <c r="C3582" s="2" t="n">
        <v>14381</v>
      </c>
      <c r="D3582" s="3" t="inlineStr">
        <is>
          <t>Дождевая собака</t>
        </is>
      </c>
      <c r="E3582" s="2" t="n">
        <v>1982</v>
      </c>
      <c r="F3582" s="2" t="inlineStr">
        <is>
          <t>мультфильм</t>
        </is>
      </c>
      <c r="G3582" s="2" t="n"/>
      <c r="H3582" s="2" t="n">
        <v>0</v>
      </c>
      <c r="I3582" s="2" t="inlineStr"/>
      <c r="J3582" s="2" t="inlineStr">
        <is>
          <t>?</t>
        </is>
      </c>
      <c r="K3582" s="3" t="inlineStr"/>
      <c r="L3582" s="2" t="inlineStr">
        <is>
          <t>https://animator.ru/db/?p=show_film&amp;fid=6315</t>
        </is>
      </c>
      <c r="M3582" s="2">
        <f>HYPERLINK("https://ru.wikipedia.org/w/index.php?search=%D0%94%D0%BE%D0%B6%D0%B4%D0%B5%D0%B2%D0%B0%D1%8F%20%D1%81%D0%BE%D0%B1%D0%B0%D0%BA%D0%B0%201982%20%D1%84%D0%B8%D0%BB%D1%8C%D0%BC","искать")</f>
        <v/>
      </c>
      <c r="N3582" s="3" t="n"/>
      <c r="O3582" s="2" t="n"/>
      <c r="P3582" s="2" t="n"/>
    </row>
    <row r="3583">
      <c r="A3583" s="2" t="n">
        <v>3582</v>
      </c>
      <c r="B3583" s="2" t="inlineStr">
        <is>
          <t>короткая</t>
        </is>
      </c>
      <c r="C3583" s="2" t="n">
        <v>14382</v>
      </c>
      <c r="D3583" s="3" t="inlineStr">
        <is>
          <t>Белая трава</t>
        </is>
      </c>
      <c r="E3583" s="2" t="n">
        <v>1987</v>
      </c>
      <c r="F3583" s="2" t="inlineStr">
        <is>
          <t>мультфильм</t>
        </is>
      </c>
      <c r="G3583" s="2" t="n"/>
      <c r="H3583" s="2" t="n">
        <v>0</v>
      </c>
      <c r="I3583" s="2" t="inlineStr"/>
      <c r="J3583" s="2" t="inlineStr">
        <is>
          <t>?</t>
        </is>
      </c>
      <c r="K3583" s="3" t="inlineStr"/>
      <c r="L3583" s="2" t="inlineStr">
        <is>
          <t>https://animator.ru/db/?p=show_film&amp;fid=6316</t>
        </is>
      </c>
      <c r="M3583" s="2">
        <f>HYPERLINK("https://ru.wikipedia.org/w/index.php?search=%D0%91%D0%B5%D0%BB%D0%B0%D1%8F%20%D1%82%D1%80%D0%B0%D0%B2%D0%B0%201987%20%D1%84%D0%B8%D0%BB%D1%8C%D0%BC","искать")</f>
        <v/>
      </c>
      <c r="N3583" s="3" t="n"/>
      <c r="O3583" s="2" t="n"/>
      <c r="P3583" s="2" t="n"/>
    </row>
    <row r="3584">
      <c r="A3584" s="2" t="n">
        <v>3583</v>
      </c>
      <c r="B3584" s="2" t="inlineStr">
        <is>
          <t>короткая</t>
        </is>
      </c>
      <c r="C3584" s="2" t="n">
        <v>14383</v>
      </c>
      <c r="D3584" s="3" t="inlineStr">
        <is>
          <t>У попа была собака</t>
        </is>
      </c>
      <c r="E3584" s="2" t="n">
        <v>1982</v>
      </c>
      <c r="F3584" s="2" t="inlineStr">
        <is>
          <t>мультфильм</t>
        </is>
      </c>
      <c r="G3584" s="2" t="n"/>
      <c r="H3584" s="2" t="n">
        <v>0</v>
      </c>
      <c r="I3584" s="2" t="inlineStr"/>
      <c r="J3584" s="2" t="inlineStr">
        <is>
          <t>?</t>
        </is>
      </c>
      <c r="K3584" s="3" t="inlineStr"/>
      <c r="L3584" s="2" t="inlineStr">
        <is>
          <t>https://animator.ru/db/?p=show_film&amp;fid=6322</t>
        </is>
      </c>
      <c r="M3584" s="2">
        <f>HYPERLINK("https://ru.wikipedia.org/w/index.php?search=%D0%A3%20%D0%BF%D0%BE%D0%BF%D0%B0%20%D0%B1%D1%8B%D0%BB%D0%B0%20%D1%81%D0%BE%D0%B1%D0%B0%D0%BA%D0%B0%201982%20%D1%84%D0%B8%D0%BB%D1%8C%D0%BC","искать")</f>
        <v/>
      </c>
      <c r="N3584" s="3" t="n"/>
      <c r="O3584" s="2" t="n"/>
      <c r="P3584" s="2" t="n"/>
    </row>
    <row r="3585">
      <c r="A3585" s="2" t="n">
        <v>3584</v>
      </c>
      <c r="B3585" s="2" t="inlineStr">
        <is>
          <t>короткая</t>
        </is>
      </c>
      <c r="C3585" s="2" t="n">
        <v>14385</v>
      </c>
      <c r="D3585" s="3" t="inlineStr">
        <is>
          <t>Переменка n 5. Холодно, холодно холодно!</t>
        </is>
      </c>
      <c r="E3585" s="2" t="n">
        <v>1986</v>
      </c>
      <c r="F3585" s="2" t="inlineStr">
        <is>
          <t>мультфильм</t>
        </is>
      </c>
      <c r="G3585" s="2" t="n"/>
      <c r="H3585" s="2" t="n">
        <v>0</v>
      </c>
      <c r="I3585" s="2" t="inlineStr"/>
      <c r="J3585" s="2" t="inlineStr">
        <is>
          <t>?</t>
        </is>
      </c>
      <c r="K3585" s="3" t="inlineStr"/>
      <c r="L3585" s="2" t="inlineStr">
        <is>
          <t>https://animator.ru/db/?p=show_film&amp;fid=6414</t>
        </is>
      </c>
      <c r="M3585" s="2">
        <f>HYPERLINK("https://ru.wikipedia.org/w/index.php?search=%D0%9F%D0%B5%D1%80%D0%B5%D0%BC%D0%B5%D0%BD%D0%BA%D0%B0%20n%205.%20%D0%A5%D0%BE%D0%BB%D0%BE%D0%B4%D0%BD%D0%BE%2C%20%D1%85%D0%BE%D0%BB%D0%BE%D0%B4%D0%BD%D0%BE%20%D1%85%D0%BE%D0%BB%D0%BE%D0%B4%D0%BD%D0%BE%21%201986%20%D1%84%D0%B8%D0%BB%D1%8C%D0%BC","искать")</f>
        <v/>
      </c>
      <c r="N3585" s="3" t="n"/>
      <c r="O3585" s="2" t="n"/>
      <c r="P3585" s="2" t="n"/>
    </row>
    <row r="3586">
      <c r="A3586" s="2" t="n">
        <v>3585</v>
      </c>
      <c r="B3586" s="2" t="inlineStr">
        <is>
          <t>короткая</t>
        </is>
      </c>
      <c r="C3586" s="2" t="n">
        <v>14386</v>
      </c>
      <c r="D3586" s="3" t="inlineStr">
        <is>
          <t>Переменка n 5. Сила слова</t>
        </is>
      </c>
      <c r="E3586" s="2" t="n">
        <v>1986</v>
      </c>
      <c r="F3586" s="2" t="inlineStr">
        <is>
          <t>мультфильм</t>
        </is>
      </c>
      <c r="G3586" s="2" t="n"/>
      <c r="H3586" s="2" t="n">
        <v>0</v>
      </c>
      <c r="I3586" s="2" t="inlineStr"/>
      <c r="J3586" s="2" t="inlineStr">
        <is>
          <t>?</t>
        </is>
      </c>
      <c r="K3586" s="3" t="inlineStr"/>
      <c r="L3586" s="2" t="inlineStr">
        <is>
          <t>https://animator.ru/db/?p=show_film&amp;fid=6415</t>
        </is>
      </c>
      <c r="M3586" s="2">
        <f>HYPERLINK("https://ru.wikipedia.org/w/index.php?search=%D0%9F%D0%B5%D1%80%D0%B5%D0%BC%D0%B5%D0%BD%D0%BA%D0%B0%20n%205.%20%D0%A1%D0%B8%D0%BB%D0%B0%20%D1%81%D0%BB%D0%BE%D0%B2%D0%B0%201986%20%D1%84%D0%B8%D0%BB%D1%8C%D0%BC","искать")</f>
        <v/>
      </c>
      <c r="N3586" s="3" t="n"/>
      <c r="O3586" s="2" t="n"/>
      <c r="P3586" s="2" t="n"/>
    </row>
    <row r="3587">
      <c r="A3587" s="2" t="n">
        <v>3586</v>
      </c>
      <c r="B3587" s="2" t="inlineStr">
        <is>
          <t>короткая</t>
        </is>
      </c>
      <c r="C3587" s="2" t="n">
        <v>14387</v>
      </c>
      <c r="D3587" s="3" t="inlineStr">
        <is>
          <t>Переменка n 5. Не поделили</t>
        </is>
      </c>
      <c r="E3587" s="2" t="n">
        <v>1986</v>
      </c>
      <c r="F3587" s="2" t="inlineStr">
        <is>
          <t>мультфильм</t>
        </is>
      </c>
      <c r="G3587" s="2" t="n"/>
      <c r="H3587" s="2" t="n">
        <v>0</v>
      </c>
      <c r="I3587" s="2" t="inlineStr"/>
      <c r="J3587" s="2" t="inlineStr">
        <is>
          <t>?</t>
        </is>
      </c>
      <c r="K3587" s="3" t="inlineStr"/>
      <c r="L3587" s="2" t="inlineStr">
        <is>
          <t>https://animator.ru/db/?p=show_film&amp;fid=6416</t>
        </is>
      </c>
      <c r="M3587" s="2">
        <f>HYPERLINK("https://ru.wikipedia.org/w/index.php?search=%D0%9F%D0%B5%D1%80%D0%B5%D0%BC%D0%B5%D0%BD%D0%BA%D0%B0%20n%205.%20%D0%9D%D0%B5%20%D0%BF%D0%BE%D0%B4%D0%B5%D0%BB%D0%B8%D0%BB%D0%B8%201986%20%D1%84%D0%B8%D0%BB%D1%8C%D0%BC","искать")</f>
        <v/>
      </c>
      <c r="N3587" s="3" t="n"/>
      <c r="O3587" s="2" t="n"/>
      <c r="P3587" s="2" t="n"/>
    </row>
    <row r="3588">
      <c r="A3588" s="2" t="n">
        <v>3587</v>
      </c>
      <c r="B3588" s="2" t="inlineStr">
        <is>
          <t>короткая</t>
        </is>
      </c>
      <c r="C3588" s="2" t="n">
        <v>14397</v>
      </c>
      <c r="D3588" s="3" t="inlineStr">
        <is>
          <t>Солдатская загадка</t>
        </is>
      </c>
      <c r="E3588" s="2" t="n">
        <v>1980</v>
      </c>
      <c r="F3588" s="2" t="inlineStr">
        <is>
          <t>мультфильм</t>
        </is>
      </c>
      <c r="G3588" s="2" t="n"/>
      <c r="H3588" s="2" t="n">
        <v>0</v>
      </c>
      <c r="I3588" s="2" t="inlineStr"/>
      <c r="J3588" s="2" t="inlineStr">
        <is>
          <t>?</t>
        </is>
      </c>
      <c r="K3588" s="3" t="inlineStr"/>
      <c r="L3588" s="2" t="inlineStr">
        <is>
          <t>https://animator.ru/db/?p=show_film&amp;fid=6499</t>
        </is>
      </c>
      <c r="M3588" s="2">
        <f>HYPERLINK("https://ru.wikipedia.org/w/index.php?search=%D0%A1%D0%BE%D0%BB%D0%B4%D0%B0%D1%82%D1%81%D0%BA%D0%B0%D1%8F%20%D0%B7%D0%B0%D0%B3%D0%B0%D0%B4%D0%BA%D0%B0%201980%20%D1%84%D0%B8%D0%BB%D1%8C%D0%BC","искать")</f>
        <v/>
      </c>
      <c r="N3588" s="3" t="n"/>
      <c r="O3588" s="2" t="n"/>
      <c r="P3588" s="2" t="n"/>
    </row>
    <row r="3589">
      <c r="A3589" s="2" t="n">
        <v>3588</v>
      </c>
      <c r="B3589" s="2" t="inlineStr">
        <is>
          <t>короткая</t>
        </is>
      </c>
      <c r="C3589" s="2" t="n">
        <v>14400</v>
      </c>
      <c r="D3589" s="3" t="inlineStr">
        <is>
          <t>В стране Бобберов. 1. Гомункулус</t>
        </is>
      </c>
      <c r="E3589" s="2" t="n">
        <v>1991</v>
      </c>
      <c r="F3589" s="2" t="inlineStr">
        <is>
          <t>мультфильм</t>
        </is>
      </c>
      <c r="G3589" s="2" t="n"/>
      <c r="H3589" s="2" t="n">
        <v>0</v>
      </c>
      <c r="I3589" s="2" t="inlineStr"/>
      <c r="J3589" s="2" t="inlineStr">
        <is>
          <t>?</t>
        </is>
      </c>
      <c r="K3589" s="3" t="inlineStr"/>
      <c r="L3589" s="2" t="inlineStr">
        <is>
          <t>https://animator.ru/db/?p=show_film&amp;fid=6509</t>
        </is>
      </c>
      <c r="M3589" s="2">
        <f>HYPERLINK("https://ru.wikipedia.org/w/index.php?search=%D0%92%20%D1%81%D1%82%D1%80%D0%B0%D0%BD%D0%B5%20%D0%91%D0%BE%D0%B1%D0%B1%D0%B5%D1%80%D0%BE%D0%B2.%201.%20%D0%93%D0%BE%D0%BC%D1%83%D0%BD%D0%BA%D1%83%D0%BB%D1%83%D1%81%201991%20%D1%84%D0%B8%D0%BB%D1%8C%D0%BC","искать")</f>
        <v/>
      </c>
      <c r="N3589" s="3" t="n"/>
      <c r="O3589" s="2" t="n"/>
      <c r="P3589" s="2" t="n"/>
    </row>
    <row r="3590">
      <c r="A3590" s="2" t="n">
        <v>3589</v>
      </c>
      <c r="B3590" s="2" t="inlineStr">
        <is>
          <t>короткая</t>
        </is>
      </c>
      <c r="C3590" s="2" t="n">
        <v>14402</v>
      </c>
      <c r="D3590" s="3" t="inlineStr">
        <is>
          <t>Пан коцкий</t>
        </is>
      </c>
      <c r="E3590" s="2" t="n">
        <v>1969</v>
      </c>
      <c r="F3590" s="2" t="inlineStr">
        <is>
          <t>мультфильм</t>
        </is>
      </c>
      <c r="G3590" s="2" t="n"/>
      <c r="H3590" s="2" t="n">
        <v>0</v>
      </c>
      <c r="I3590" s="2" t="inlineStr"/>
      <c r="J3590" s="2" t="inlineStr">
        <is>
          <t>?</t>
        </is>
      </c>
      <c r="K3590" s="3" t="inlineStr"/>
      <c r="L3590" s="2" t="inlineStr">
        <is>
          <t>https://animator.ru/db/?p=show_film&amp;fid=6511</t>
        </is>
      </c>
      <c r="M3590" s="2">
        <f>HYPERLINK("https://ru.wikipedia.org/w/index.php?search=%D0%9F%D0%B0%D0%BD%20%D0%BA%D0%BE%D1%86%D0%BA%D0%B8%D0%B9%201969%20%D1%84%D0%B8%D0%BB%D1%8C%D0%BC","искать")</f>
        <v/>
      </c>
      <c r="N3590" s="3" t="n"/>
      <c r="O3590" s="2" t="n"/>
      <c r="P3590" s="2" t="n"/>
    </row>
    <row r="3591">
      <c r="A3591" s="2" t="n">
        <v>3590</v>
      </c>
      <c r="B3591" s="2" t="inlineStr">
        <is>
          <t>короткая</t>
        </is>
      </c>
      <c r="C3591" s="2" t="n">
        <v>14403</v>
      </c>
      <c r="D3591" s="3" t="inlineStr">
        <is>
          <t>Пришельцы</t>
        </is>
      </c>
      <c r="E3591" s="2" t="n">
        <v>1971</v>
      </c>
      <c r="F3591" s="2" t="inlineStr">
        <is>
          <t>мультфильм</t>
        </is>
      </c>
      <c r="G3591" s="2" t="n"/>
      <c r="H3591" s="2" t="n">
        <v>0</v>
      </c>
      <c r="I3591" s="2" t="inlineStr"/>
      <c r="J3591" s="2" t="inlineStr">
        <is>
          <t>?</t>
        </is>
      </c>
      <c r="K3591" s="3" t="inlineStr"/>
      <c r="L3591" s="2" t="inlineStr">
        <is>
          <t>https://animator.ru/db/?p=show_film&amp;fid=6512</t>
        </is>
      </c>
      <c r="M3591" s="2">
        <f>HYPERLINK("https://ru.wikipedia.org/w/index.php?search=%D0%9F%D1%80%D0%B8%D1%88%D0%B5%D0%BB%D1%8C%D1%86%D1%8B%201971%20%D1%84%D0%B8%D0%BB%D1%8C%D0%BC","искать")</f>
        <v/>
      </c>
      <c r="N3591" s="3" t="n"/>
      <c r="O3591" s="2" t="n"/>
      <c r="P3591" s="2" t="n"/>
    </row>
    <row r="3592">
      <c r="A3592" s="2" t="n">
        <v>3591</v>
      </c>
      <c r="B3592" s="2" t="inlineStr">
        <is>
          <t>короткая</t>
        </is>
      </c>
      <c r="C3592" s="2" t="n">
        <v>14404</v>
      </c>
      <c r="D3592" s="3" t="inlineStr">
        <is>
          <t>Легенда о елочке</t>
        </is>
      </c>
      <c r="E3592" s="2" t="n">
        <v>1973</v>
      </c>
      <c r="F3592" s="2" t="inlineStr">
        <is>
          <t>мультфильм</t>
        </is>
      </c>
      <c r="G3592" s="2" t="n"/>
      <c r="H3592" s="2" t="n">
        <v>0</v>
      </c>
      <c r="I3592" s="2" t="inlineStr"/>
      <c r="J3592" s="2" t="inlineStr">
        <is>
          <t>?</t>
        </is>
      </c>
      <c r="K3592" s="3" t="inlineStr"/>
      <c r="L3592" s="2" t="inlineStr">
        <is>
          <t>https://animator.ru/db/?p=show_film&amp;fid=6513</t>
        </is>
      </c>
      <c r="M3592" s="2">
        <f>HYPERLINK("https://ru.wikipedia.org/w/index.php?search=%D0%9B%D0%B5%D0%B3%D0%B5%D0%BD%D0%B4%D0%B0%20%D0%BE%20%D0%B5%D0%BB%D0%BE%D1%87%D0%BA%D0%B5%201973%20%D1%84%D0%B8%D0%BB%D1%8C%D0%BC","искать")</f>
        <v/>
      </c>
      <c r="N3592" s="3" t="n"/>
      <c r="O3592" s="2" t="n"/>
      <c r="P3592" s="2" t="n"/>
    </row>
    <row r="3593">
      <c r="A3593" s="2" t="n">
        <v>3592</v>
      </c>
      <c r="B3593" s="2" t="inlineStr">
        <is>
          <t>короткая</t>
        </is>
      </c>
      <c r="C3593" s="2" t="n">
        <v>14405</v>
      </c>
      <c r="D3593" s="3" t="inlineStr">
        <is>
          <t>Непогода, непогода</t>
        </is>
      </c>
      <c r="E3593" s="2" t="n">
        <v>1975</v>
      </c>
      <c r="F3593" s="2" t="inlineStr">
        <is>
          <t>мультфильм</t>
        </is>
      </c>
      <c r="G3593" s="2" t="n"/>
      <c r="H3593" s="2" t="n">
        <v>0</v>
      </c>
      <c r="I3593" s="2" t="inlineStr"/>
      <c r="J3593" s="2" t="inlineStr">
        <is>
          <t>?</t>
        </is>
      </c>
      <c r="K3593" s="3" t="inlineStr"/>
      <c r="L3593" s="2" t="inlineStr">
        <is>
          <t>https://animator.ru/db/?p=show_film&amp;fid=6514</t>
        </is>
      </c>
      <c r="M3593" s="2">
        <f>HYPERLINK("https://ru.wikipedia.org/w/index.php?search=%D0%9D%D0%B5%D0%BF%D0%BE%D0%B3%D0%BE%D0%B4%D0%B0%2C%20%D0%BD%D0%B5%D0%BF%D0%BE%D0%B3%D0%BE%D0%B4%D0%B0%201975%20%D1%84%D0%B8%D0%BB%D1%8C%D0%BC","искать")</f>
        <v/>
      </c>
      <c r="N3593" s="3" t="n"/>
      <c r="O3593" s="2" t="n"/>
      <c r="P3593" s="2" t="n"/>
    </row>
    <row r="3594">
      <c r="A3594" s="2" t="n">
        <v>3593</v>
      </c>
      <c r="B3594" s="2" t="inlineStr">
        <is>
          <t>короткая</t>
        </is>
      </c>
      <c r="C3594" s="2" t="n">
        <v>14406</v>
      </c>
      <c r="D3594" s="3" t="inlineStr">
        <is>
          <t>Рокировка</t>
        </is>
      </c>
      <c r="E3594" s="2" t="n">
        <v>1979</v>
      </c>
      <c r="F3594" s="2" t="inlineStr">
        <is>
          <t>мультфильм</t>
        </is>
      </c>
      <c r="G3594" s="2" t="n"/>
      <c r="H3594" s="2" t="n">
        <v>0</v>
      </c>
      <c r="I3594" s="2" t="inlineStr"/>
      <c r="J3594" s="2" t="inlineStr">
        <is>
          <t>?</t>
        </is>
      </c>
      <c r="K3594" s="3" t="inlineStr"/>
      <c r="L3594" s="2" t="inlineStr">
        <is>
          <t>https://animator.ru/db/?p=show_film&amp;fid=6515</t>
        </is>
      </c>
      <c r="M3594" s="2">
        <f>HYPERLINK("https://ru.wikipedia.org/w/index.php?search=%D0%A0%D0%BE%D0%BA%D0%B8%D1%80%D0%BE%D0%B2%D0%BA%D0%B0%201979%20%D1%84%D0%B8%D0%BB%D1%8C%D0%BC","искать")</f>
        <v/>
      </c>
      <c r="N3594" s="3" t="n"/>
      <c r="O3594" s="2" t="n"/>
      <c r="P3594" s="2" t="n"/>
    </row>
    <row r="3595">
      <c r="A3595" s="2" t="n">
        <v>3594</v>
      </c>
      <c r="B3595" s="2" t="inlineStr">
        <is>
          <t>короткая</t>
        </is>
      </c>
      <c r="C3595" s="2" t="n">
        <v>14418</v>
      </c>
      <c r="D3595" s="3" t="inlineStr">
        <is>
          <t>Коапп. Симбиоз</t>
        </is>
      </c>
      <c r="E3595" s="2" t="n">
        <v>1990</v>
      </c>
      <c r="F3595" s="2" t="inlineStr">
        <is>
          <t>мультфильм</t>
        </is>
      </c>
      <c r="G3595" s="2" t="n"/>
      <c r="H3595" s="2" t="n">
        <v>0</v>
      </c>
      <c r="I3595" s="2" t="inlineStr"/>
      <c r="J3595" s="2" t="inlineStr">
        <is>
          <t>?</t>
        </is>
      </c>
      <c r="K3595" s="3" t="inlineStr"/>
      <c r="L3595" s="2" t="inlineStr">
        <is>
          <t>https://animator.ru/db/?p=show_film&amp;fid=6654</t>
        </is>
      </c>
      <c r="M3595" s="2">
        <f>HYPERLINK("https://ru.wikipedia.org/w/index.php?search=%D0%9A%D0%BE%D0%B0%D0%BF%D0%BF.%20%D0%A1%D0%B8%D0%BC%D0%B1%D0%B8%D0%BE%D0%B7%201990%20%D1%84%D0%B8%D0%BB%D1%8C%D0%BC","искать")</f>
        <v/>
      </c>
      <c r="N3595" s="3" t="n"/>
      <c r="O3595" s="2" t="n"/>
      <c r="P3595" s="2" t="n"/>
    </row>
    <row r="3596">
      <c r="A3596" s="2" t="n">
        <v>3595</v>
      </c>
      <c r="B3596" s="2" t="inlineStr">
        <is>
          <t>короткая</t>
        </is>
      </c>
      <c r="C3596" s="2" t="n">
        <v>14419</v>
      </c>
      <c r="D3596" s="3" t="inlineStr">
        <is>
          <t>Коапп. Таинственный ка...</t>
        </is>
      </c>
      <c r="E3596" s="2" t="n">
        <v>1990</v>
      </c>
      <c r="F3596" s="2" t="inlineStr">
        <is>
          <t>мультфильм</t>
        </is>
      </c>
      <c r="G3596" s="2" t="n"/>
      <c r="H3596" s="2" t="n">
        <v>0</v>
      </c>
      <c r="I3596" s="2" t="inlineStr"/>
      <c r="J3596" s="2" t="inlineStr">
        <is>
          <t>?</t>
        </is>
      </c>
      <c r="K3596" s="3" t="inlineStr"/>
      <c r="L3596" s="2" t="inlineStr">
        <is>
          <t>https://animator.ru/db/?p=show_film&amp;fid=6655</t>
        </is>
      </c>
      <c r="M3596" s="2">
        <f>HYPERLINK("https://ru.wikipedia.org/w/index.php?search=%D0%9A%D0%BE%D0%B0%D0%BF%D0%BF.%20%D0%A2%D0%B0%D0%B8%D0%BD%D1%81%D1%82%D0%B2%D0%B5%D0%BD%D0%BD%D1%8B%D0%B9%20%D0%BA%D0%B0...%201990%20%D1%84%D0%B8%D0%BB%D1%8C%D0%BC","искать")</f>
        <v/>
      </c>
      <c r="N3596" s="3" t="n"/>
      <c r="O3596" s="2" t="n"/>
      <c r="P3596" s="2" t="n"/>
    </row>
    <row r="3597">
      <c r="A3597" s="2" t="n">
        <v>3596</v>
      </c>
      <c r="B3597" s="2" t="inlineStr">
        <is>
          <t>короткая</t>
        </is>
      </c>
      <c r="C3597" s="2" t="n">
        <v>14459</v>
      </c>
      <c r="D3597" s="3" t="inlineStr">
        <is>
          <t>Встреча со снеговиком</t>
        </is>
      </c>
      <c r="E3597" s="2" t="n">
        <v>1987</v>
      </c>
      <c r="F3597" s="2" t="inlineStr">
        <is>
          <t>мультфильм</t>
        </is>
      </c>
      <c r="G3597" s="2" t="n"/>
      <c r="H3597" s="2" t="n">
        <v>0</v>
      </c>
      <c r="I3597" s="2" t="inlineStr"/>
      <c r="J3597" s="2" t="inlineStr">
        <is>
          <t>?</t>
        </is>
      </c>
      <c r="K3597" s="3" t="inlineStr"/>
      <c r="L3597" s="2" t="inlineStr">
        <is>
          <t>https://animator.ru/db/?p=show_film&amp;fid=6716</t>
        </is>
      </c>
      <c r="M3597" s="2">
        <f>HYPERLINK("https://ru.wikipedia.org/w/index.php?search=%D0%92%D1%81%D1%82%D1%80%D0%B5%D1%87%D0%B0%20%D1%81%D0%BE%20%D1%81%D0%BD%D0%B5%D0%B3%D0%BE%D0%B2%D0%B8%D0%BA%D0%BE%D0%BC%201987%20%D1%84%D0%B8%D0%BB%D1%8C%D0%BC","искать")</f>
        <v/>
      </c>
      <c r="N3597" s="3" t="n"/>
      <c r="O3597" s="2" t="n"/>
      <c r="P3597" s="2" t="n"/>
    </row>
    <row r="3598">
      <c r="A3598" s="2" t="n">
        <v>3597</v>
      </c>
      <c r="B3598" s="2" t="inlineStr">
        <is>
          <t>короткая</t>
        </is>
      </c>
      <c r="C3598" s="2" t="n">
        <v>14467</v>
      </c>
      <c r="D3598" s="3" t="inlineStr">
        <is>
          <t>Неприятности</t>
        </is>
      </c>
      <c r="E3598" s="2" t="n">
        <v>1982</v>
      </c>
      <c r="F3598" s="2" t="inlineStr">
        <is>
          <t>мультфильм</t>
        </is>
      </c>
      <c r="G3598" s="2" t="n"/>
      <c r="H3598" s="2" t="n">
        <v>0</v>
      </c>
      <c r="I3598" s="2" t="inlineStr"/>
      <c r="J3598" s="2" t="inlineStr">
        <is>
          <t>?</t>
        </is>
      </c>
      <c r="K3598" s="3" t="inlineStr"/>
      <c r="L3598" s="2" t="inlineStr">
        <is>
          <t>https://animator.ru/db/?p=show_film&amp;fid=6731</t>
        </is>
      </c>
      <c r="M3598" s="2">
        <f>HYPERLINK("https://ru.wikipedia.org/w/index.php?search=%D0%9D%D0%B5%D0%BF%D1%80%D0%B8%D1%8F%D1%82%D0%BD%D0%BE%D1%81%D1%82%D0%B8%201982%20%D1%84%D0%B8%D0%BB%D1%8C%D0%BC","искать")</f>
        <v/>
      </c>
      <c r="N3598" s="3" t="n"/>
      <c r="O3598" s="2" t="n"/>
      <c r="P3598" s="2" t="n"/>
    </row>
    <row r="3599">
      <c r="A3599" s="2" t="n">
        <v>3598</v>
      </c>
      <c r="B3599" s="2" t="inlineStr">
        <is>
          <t>короткая</t>
        </is>
      </c>
      <c r="C3599" s="2" t="n">
        <v>14474</v>
      </c>
      <c r="D3599" s="3" t="inlineStr">
        <is>
          <t>Голос соловья</t>
        </is>
      </c>
      <c r="E3599" s="2" t="n">
        <v>1923</v>
      </c>
      <c r="F3599" s="2" t="inlineStr">
        <is>
          <t>мультфильм</t>
        </is>
      </c>
      <c r="G3599" s="2" t="n"/>
      <c r="H3599" s="2" t="n">
        <v>0</v>
      </c>
      <c r="I3599" s="2" t="inlineStr"/>
      <c r="J3599" s="2" t="inlineStr">
        <is>
          <t>?</t>
        </is>
      </c>
      <c r="K3599" s="3" t="inlineStr"/>
      <c r="L3599" s="2" t="inlineStr">
        <is>
          <t>https://animator.ru/db/?p=show_film&amp;fid=6815</t>
        </is>
      </c>
      <c r="M3599" s="2">
        <f>HYPERLINK("https://ru.wikipedia.org/w/index.php?search=%D0%93%D0%BE%D0%BB%D0%BE%D1%81%20%D1%81%D0%BE%D0%BB%D0%BE%D0%B2%D1%8C%D1%8F%201923%20%D1%84%D0%B8%D0%BB%D1%8C%D0%BC","искать")</f>
        <v/>
      </c>
      <c r="N3599" s="3" t="n"/>
      <c r="O3599" s="2" t="n"/>
      <c r="P3599" s="2" t="n"/>
    </row>
    <row r="3600">
      <c r="A3600" s="2" t="n">
        <v>3599</v>
      </c>
      <c r="B3600" s="2" t="inlineStr">
        <is>
          <t>короткая</t>
        </is>
      </c>
      <c r="C3600" s="2" t="n">
        <v>14475</v>
      </c>
      <c r="D3600" s="3" t="inlineStr">
        <is>
          <t>Роман о лисе</t>
        </is>
      </c>
      <c r="E3600" s="2" t="n">
        <v>1930</v>
      </c>
      <c r="F3600" s="2" t="inlineStr">
        <is>
          <t>мультфильм</t>
        </is>
      </c>
      <c r="G3600" s="2" t="n"/>
      <c r="H3600" s="2" t="n">
        <v>0</v>
      </c>
      <c r="I3600" s="2" t="inlineStr"/>
      <c r="J3600" s="2" t="inlineStr">
        <is>
          <t>?</t>
        </is>
      </c>
      <c r="K3600" s="3" t="inlineStr"/>
      <c r="L3600" s="2" t="inlineStr">
        <is>
          <t>https://animator.ru/db/?p=show_film&amp;fid=6816</t>
        </is>
      </c>
      <c r="M3600" s="2">
        <f>HYPERLINK("https://ru.wikipedia.org/w/index.php?search=%D0%A0%D0%BE%D0%BC%D0%B0%D0%BD%20%D0%BE%20%D0%BB%D0%B8%D1%81%D0%B5%201930%20%D1%84%D0%B8%D0%BB%D1%8C%D0%BC","искать")</f>
        <v/>
      </c>
      <c r="N3600" s="3" t="n"/>
      <c r="O3600" s="2" t="n"/>
      <c r="P3600" s="2" t="n"/>
    </row>
    <row r="3601">
      <c r="A3601" s="2" t="n">
        <v>3600</v>
      </c>
      <c r="B3601" s="2" t="inlineStr">
        <is>
          <t>короткая</t>
        </is>
      </c>
      <c r="C3601" s="2" t="n">
        <v>14476</v>
      </c>
      <c r="D3601" s="3" t="inlineStr">
        <is>
          <t>Школа с уклоном</t>
        </is>
      </c>
      <c r="E3601" s="2" t="n">
        <v>1984</v>
      </c>
      <c r="F3601" s="2" t="inlineStr">
        <is>
          <t>мультфильм</t>
        </is>
      </c>
      <c r="G3601" s="2" t="n"/>
      <c r="H3601" s="2" t="n">
        <v>0</v>
      </c>
      <c r="I3601" s="2" t="inlineStr"/>
      <c r="J3601" s="2" t="inlineStr">
        <is>
          <t>?</t>
        </is>
      </c>
      <c r="K3601" s="3" t="inlineStr"/>
      <c r="L3601" s="2" t="inlineStr">
        <is>
          <t>https://animator.ru/db/?p=show_film&amp;fid=6892</t>
        </is>
      </c>
      <c r="M3601" s="2">
        <f>HYPERLINK("https://ru.wikipedia.org/w/index.php?search=%D0%A8%D0%BA%D0%BE%D0%BB%D0%B0%20%D1%81%20%D1%83%D0%BA%D0%BB%D0%BE%D0%BD%D0%BE%D0%BC%201984%20%D1%84%D0%B8%D0%BB%D1%8C%D0%BC","искать")</f>
        <v/>
      </c>
      <c r="N3601" s="3" t="n"/>
      <c r="O3601" s="2" t="n"/>
      <c r="P3601" s="2" t="n"/>
    </row>
    <row r="3602">
      <c r="A3602" s="2" t="n">
        <v>3601</v>
      </c>
      <c r="B3602" s="2" t="inlineStr">
        <is>
          <t>короткая</t>
        </is>
      </c>
      <c r="C3602" s="2" t="n">
        <v>14168</v>
      </c>
      <c r="D3602" s="3" t="inlineStr">
        <is>
          <t>Раздобыл заяц магнитофон</t>
        </is>
      </c>
      <c r="E3602" s="2" t="n">
        <v>1976</v>
      </c>
      <c r="F3602" s="2" t="inlineStr">
        <is>
          <t>мультфильм</t>
        </is>
      </c>
      <c r="G3602" s="2" t="inlineStr">
        <is>
          <t>КУЙБЫШЕВТЕЛЕФИЛЬМ</t>
        </is>
      </c>
      <c r="H3602" s="2" t="n">
        <v>11</v>
      </c>
      <c r="I3602" s="2" t="inlineStr"/>
      <c r="J3602" s="2" t="inlineStr"/>
      <c r="K3602" s="3" t="inlineStr">
        <is>
          <t>Для малышей</t>
        </is>
      </c>
      <c r="L3602" s="2" t="inlineStr">
        <is>
          <t>https://animator.ru/db/?p=show_film&amp;fid=5566</t>
        </is>
      </c>
      <c r="M3602" s="2">
        <f>HYPERLINK("https://ru.wikipedia.org/w/index.php?search=%D0%A0%D0%B0%D0%B7%D0%B4%D0%BE%D0%B1%D1%8B%D0%BB%20%D0%B7%D0%B0%D1%8F%D1%86%20%D0%BC%D0%B0%D0%B3%D0%BD%D0%B8%D1%82%D0%BE%D1%84%D0%BE%D0%BD%201976%20%D1%84%D0%B8%D0%BB%D1%8C%D0%BC","искать")</f>
        <v/>
      </c>
      <c r="N3602" s="3" t="n"/>
      <c r="O3602" s="2" t="n"/>
      <c r="P3602" s="2" t="n"/>
    </row>
    <row r="3603">
      <c r="A3603" s="2" t="n">
        <v>3602</v>
      </c>
      <c r="B3603" s="2" t="inlineStr">
        <is>
          <t>короткая</t>
        </is>
      </c>
      <c r="C3603" s="2" t="n">
        <v>11806</v>
      </c>
      <c r="D3603" s="3" t="inlineStr">
        <is>
          <t>Ну, Погоди! ч.10</t>
        </is>
      </c>
      <c r="E3603" s="2" t="n">
        <v>1976</v>
      </c>
      <c r="F3603" s="2" t="inlineStr">
        <is>
          <t>мультфильм</t>
        </is>
      </c>
      <c r="G3603" s="2" t="inlineStr">
        <is>
          <t>Союзмультфильм</t>
        </is>
      </c>
      <c r="H3603" s="2" t="n">
        <v>23</v>
      </c>
      <c r="I3603" s="2" t="inlineStr"/>
      <c r="J3603" s="2" t="inlineStr"/>
      <c r="K3603" s="3" t="inlineStr">
        <is>
          <t>Приключения на стройке.</t>
        </is>
      </c>
      <c r="L3603" s="2" t="inlineStr">
        <is>
          <t>2026-10_мультфильмы_список_владельца.xlsx; https://animator.ru/db/?p=show_film&amp;fid=2720</t>
        </is>
      </c>
      <c r="M3603" s="2">
        <f>HYPERLINK("https://ru.wikipedia.org/w/index.php?search=%D0%9D%D1%83%2C%20%D0%9F%D0%BE%D0%B3%D0%BE%D0%B4%D0%B8%21%20%D1%87.10%201976%20%D1%84%D0%B8%D0%BB%D1%8C%D0%BC","искать")</f>
        <v/>
      </c>
      <c r="N3603" s="3" t="n"/>
      <c r="O3603" s="2" t="n"/>
      <c r="P3603" s="2" t="n"/>
    </row>
    <row r="3604">
      <c r="A3604" s="2" t="n">
        <v>3603</v>
      </c>
      <c r="B3604" s="2" t="inlineStr">
        <is>
          <t>короткая</t>
        </is>
      </c>
      <c r="C3604" s="2" t="n">
        <v>12957</v>
      </c>
      <c r="D3604" s="3" t="inlineStr">
        <is>
          <t>Каприччио для дубинки и свирели</t>
        </is>
      </c>
      <c r="E3604" s="2" t="n">
        <v>1988</v>
      </c>
      <c r="F3604" s="2" t="inlineStr">
        <is>
          <t>мультфильм</t>
        </is>
      </c>
      <c r="G3604" s="2" t="inlineStr">
        <is>
          <t>ГРУЗИЯ-ФИЛЬМ - АО</t>
        </is>
      </c>
      <c r="H3604" s="2" t="n">
        <v>23</v>
      </c>
      <c r="I3604" s="2" t="inlineStr"/>
      <c r="J3604" s="2" t="inlineStr"/>
      <c r="K3604" s="3" t="inlineStr">
        <is>
          <t>Как волки овец воровали</t>
        </is>
      </c>
      <c r="L3604" s="2" t="inlineStr">
        <is>
          <t>2026-10_мультфильмы_список_владельца.xlsx; https://animator.ru/db/?p=show_film&amp;fid=4187</t>
        </is>
      </c>
      <c r="M3604" s="2">
        <f>HYPERLINK("https://ru.wikipedia.org/w/index.php?search=%D0%9A%D0%B0%D0%BF%D1%80%D0%B8%D1%87%D1%87%D0%B8%D0%BE%20%D0%B4%D0%BB%D1%8F%20%D0%B4%D1%83%D0%B1%D0%B8%D0%BD%D0%BA%D0%B8%20%D0%B8%20%D1%81%D0%B2%D0%B8%D1%80%D0%B5%D0%BB%D0%B8%201988%20%D1%84%D0%B8%D0%BB%D1%8C%D0%BC","искать")</f>
        <v/>
      </c>
      <c r="N3604" s="3" t="n"/>
      <c r="O3604" s="2" t="n"/>
      <c r="P3604" s="2" t="n"/>
    </row>
    <row r="3605">
      <c r="A3605" s="2" t="n">
        <v>3604</v>
      </c>
      <c r="B3605" s="2" t="inlineStr">
        <is>
          <t>короткая</t>
        </is>
      </c>
      <c r="C3605" s="2" t="n">
        <v>12202</v>
      </c>
      <c r="D3605" s="3" t="inlineStr">
        <is>
          <t>Возвращение блудного попугая ч.2</t>
        </is>
      </c>
      <c r="E3605" s="2" t="n">
        <v>1987</v>
      </c>
      <c r="F3605" s="2" t="inlineStr">
        <is>
          <t>мультфильм</t>
        </is>
      </c>
      <c r="G3605" s="2" t="inlineStr">
        <is>
          <t>Союзмультфильм</t>
        </is>
      </c>
      <c r="H3605" s="2" t="n">
        <v>25</v>
      </c>
      <c r="I3605" s="2" t="inlineStr"/>
      <c r="J3605" s="2" t="inlineStr"/>
      <c r="K3605" s="3" t="inlineStr">
        <is>
          <t>Приключения попугая Кеши.</t>
        </is>
      </c>
      <c r="L3605" s="2" t="inlineStr">
        <is>
          <t>2026-10_мультфильмы_список_владельца.xlsx; https://animator.ru/db/?p=show_film&amp;fid=3319</t>
        </is>
      </c>
      <c r="M3605" s="2">
        <f>HYPERLINK("https://ru.wikipedia.org/w/index.php?search=%D0%92%D0%BE%D0%B7%D0%B2%D1%80%D0%B0%D1%89%D0%B5%D0%BD%D0%B8%D0%B5%20%D0%B1%D0%BB%D1%83%D0%B4%D0%BD%D0%BE%D0%B3%D0%BE%20%D0%BF%D0%BE%D0%BF%D1%83%D0%B3%D0%B0%D1%8F%20%D1%87.2%201987%20%D1%84%D0%B8%D0%BB%D1%8C%D0%BC","искать")</f>
        <v/>
      </c>
      <c r="N3605" s="3" t="n"/>
      <c r="O3605" s="2" t="n"/>
      <c r="P3605" s="2" t="n"/>
    </row>
    <row r="3606">
      <c r="A3606" s="2" t="n">
        <v>3605</v>
      </c>
      <c r="B3606" s="2" t="inlineStr">
        <is>
          <t>короткая</t>
        </is>
      </c>
      <c r="C3606" s="2" t="n">
        <v>12237</v>
      </c>
      <c r="D3606" s="3" t="inlineStr">
        <is>
          <t>Возвращение блудного попугая ч.3</t>
        </is>
      </c>
      <c r="E3606" s="2" t="n">
        <v>1988</v>
      </c>
      <c r="F3606" s="2" t="inlineStr">
        <is>
          <t>мультфильм</t>
        </is>
      </c>
      <c r="G3606" s="2" t="inlineStr">
        <is>
          <t>Союзмультфильм</t>
        </is>
      </c>
      <c r="H3606" s="2" t="n">
        <v>25</v>
      </c>
      <c r="I3606" s="2" t="inlineStr"/>
      <c r="J3606" s="2" t="inlineStr"/>
      <c r="K3606" s="3" t="inlineStr">
        <is>
          <t>Приключения попугая Кеши.</t>
        </is>
      </c>
      <c r="L3606" s="2" t="inlineStr">
        <is>
          <t>2026-10_мультфильмы_список_владельца.xlsx; https://animator.ru/db/?p=show_film&amp;fid=3354</t>
        </is>
      </c>
      <c r="M3606" s="2">
        <f>HYPERLINK("https://ru.wikipedia.org/w/index.php?search=%D0%92%D0%BE%D0%B7%D0%B2%D1%80%D0%B0%D1%89%D0%B5%D0%BD%D0%B8%D0%B5%20%D0%B1%D0%BB%D1%83%D0%B4%D0%BD%D0%BE%D0%B3%D0%BE%20%D0%BF%D0%BE%D0%BF%D1%83%D0%B3%D0%B0%D1%8F%20%D1%87.3%201988%20%D1%84%D0%B8%D0%BB%D1%8C%D0%BC","искать")</f>
        <v/>
      </c>
      <c r="N3606" s="3" t="n"/>
      <c r="O3606" s="2" t="n"/>
      <c r="P3606" s="2" t="n"/>
    </row>
    <row r="3607">
      <c r="A3607" s="2" t="n">
        <v>3606</v>
      </c>
      <c r="B3607" s="2" t="inlineStr">
        <is>
          <t>короткая</t>
        </is>
      </c>
      <c r="C3607" s="2" t="n">
        <v>12782</v>
      </c>
      <c r="D3607" s="3" t="inlineStr">
        <is>
          <t>Жил-был ежик</t>
        </is>
      </c>
      <c r="E3607" s="2" t="n">
        <v>1977</v>
      </c>
      <c r="F3607" s="2" t="inlineStr">
        <is>
          <t>мультфильм</t>
        </is>
      </c>
      <c r="G3607" s="2" t="inlineStr">
        <is>
          <t>АРМЕНФИЛЬМ</t>
        </is>
      </c>
      <c r="H3607" s="2" t="n">
        <v>25</v>
      </c>
      <c r="I3607" s="2" t="inlineStr"/>
      <c r="J3607" s="2" t="inlineStr"/>
      <c r="K3607" s="3" t="inlineStr">
        <is>
          <t>Кпк Ежик нашел себе друга</t>
        </is>
      </c>
      <c r="L3607" s="2" t="inlineStr">
        <is>
          <t>https://animator.ru/db/?p=show_film&amp;fid=3991</t>
        </is>
      </c>
      <c r="M3607" s="2">
        <f>HYPERLINK("https://ru.wikipedia.org/w/index.php?search=%D0%96%D0%B8%D0%BB-%D0%B1%D1%8B%D0%BB%20%D0%B5%D0%B6%D0%B8%D0%BA%201977%20%D1%84%D0%B8%D0%BB%D1%8C%D0%BC","искать")</f>
        <v/>
      </c>
      <c r="N3607" s="3" t="n"/>
      <c r="O3607" s="2" t="n"/>
      <c r="P3607" s="2" t="n"/>
    </row>
    <row r="3608">
      <c r="A3608" s="2" t="n">
        <v>3607</v>
      </c>
      <c r="B3608" s="2" t="inlineStr">
        <is>
          <t>короткая</t>
        </is>
      </c>
      <c r="C3608" s="2" t="n">
        <v>13366</v>
      </c>
      <c r="D3608" s="3" t="inlineStr">
        <is>
          <t>Летающий щенок</t>
        </is>
      </c>
      <c r="E3608" s="2" t="n">
        <v>1978</v>
      </c>
      <c r="F3608" s="2" t="inlineStr">
        <is>
          <t>мультфильм</t>
        </is>
      </c>
      <c r="G3608" s="2" t="inlineStr">
        <is>
          <t>МОЛДОВА-ФИЛЬМ</t>
        </is>
      </c>
      <c r="H3608" s="2" t="n">
        <v>26</v>
      </c>
      <c r="I3608" s="2" t="inlineStr"/>
      <c r="J3608" s="2" t="inlineStr"/>
      <c r="K3608" s="3" t="inlineStr">
        <is>
          <t>О приключениях щенка Терку</t>
        </is>
      </c>
      <c r="L3608" s="2" t="inlineStr">
        <is>
          <t>https://animator.ru/db/?p=show_film&amp;fid=4644</t>
        </is>
      </c>
      <c r="M3608" s="2">
        <f>HYPERLINK("https://ru.wikipedia.org/w/index.php?search=%D0%9B%D0%B5%D1%82%D0%B0%D1%8E%D1%89%D0%B8%D0%B9%20%D1%89%D0%B5%D0%BD%D0%BE%D0%BA%201978%20%D1%84%D0%B8%D0%BB%D1%8C%D0%BC","искать")</f>
        <v/>
      </c>
      <c r="N3608" s="3" t="n"/>
      <c r="O3608" s="2" t="n"/>
      <c r="P3608" s="2" t="n"/>
    </row>
    <row r="3609">
      <c r="A3609" s="2" t="n">
        <v>3608</v>
      </c>
      <c r="B3609" s="2" t="inlineStr">
        <is>
          <t>короткая</t>
        </is>
      </c>
      <c r="C3609" s="2" t="n">
        <v>14022</v>
      </c>
      <c r="D3609" s="3" t="inlineStr">
        <is>
          <t>Домик для всех</t>
        </is>
      </c>
      <c r="E3609" s="2" t="n">
        <v>1985</v>
      </c>
      <c r="F3609" s="2" t="inlineStr">
        <is>
          <t>мультфильм</t>
        </is>
      </c>
      <c r="G3609" s="2" t="inlineStr">
        <is>
          <t>ГРУЗИЯ-ФИЛЬМ - АО</t>
        </is>
      </c>
      <c r="H3609" s="2" t="n">
        <v>28</v>
      </c>
      <c r="I3609" s="2" t="inlineStr"/>
      <c r="J3609" s="2" t="inlineStr"/>
      <c r="K3609" s="3" t="inlineStr">
        <is>
          <t>Как звери строили общий дом.</t>
        </is>
      </c>
      <c r="L3609" s="2" t="inlineStr">
        <is>
          <t>2026-10_мультфильмы_список_владельца.xlsx; https://animator.ru/db/?p=show_film&amp;fid=5417</t>
        </is>
      </c>
      <c r="M3609" s="2">
        <f>HYPERLINK("https://ru.wikipedia.org/w/index.php?search=%D0%94%D0%BE%D0%BC%D0%B8%D0%BA%20%D0%B4%D0%BB%D1%8F%20%D0%B2%D1%81%D0%B5%D1%85%201985%20%D1%84%D0%B8%D0%BB%D1%8C%D0%BC","искать")</f>
        <v/>
      </c>
      <c r="N3609" s="3" t="n"/>
      <c r="O3609" s="2" t="n"/>
      <c r="P3609" s="2" t="n"/>
    </row>
    <row r="3610">
      <c r="A3610" s="2" t="n">
        <v>3609</v>
      </c>
      <c r="B3610" s="2" t="inlineStr">
        <is>
          <t>короткая</t>
        </is>
      </c>
      <c r="C3610" s="2" t="n">
        <v>13335</v>
      </c>
      <c r="D3610" s="3" t="inlineStr">
        <is>
          <t>Цап идет по следу</t>
        </is>
      </c>
      <c r="E3610" s="2" t="n">
        <v>1977</v>
      </c>
      <c r="F3610" s="2" t="inlineStr">
        <is>
          <t>мультфильм</t>
        </is>
      </c>
      <c r="G3610" s="2" t="inlineStr">
        <is>
          <t>РИЖСКАЯ КИНОСТУДИЯ</t>
        </is>
      </c>
      <c r="H3610" s="2" t="n">
        <v>30</v>
      </c>
      <c r="I3610" s="2" t="inlineStr"/>
      <c r="J3610" s="2" t="inlineStr"/>
      <c r="K3610" s="3" t="inlineStr">
        <is>
          <t>Приключения собаки-сыщика Цапа</t>
        </is>
      </c>
      <c r="L3610" s="2" t="inlineStr">
        <is>
          <t>https://animator.ru/db/?p=show_film&amp;fid=4606</t>
        </is>
      </c>
      <c r="M3610" s="2">
        <f>HYPERLINK("https://ru.wikipedia.org/w/index.php?search=%D0%A6%D0%B0%D0%BF%20%D0%B8%D0%B4%D0%B5%D1%82%20%D0%BF%D0%BE%20%D1%81%D0%BB%D0%B5%D0%B4%D1%83%201977%20%D1%84%D0%B8%D0%BB%D1%8C%D0%BC","искать")</f>
        <v/>
      </c>
      <c r="N3610" s="3" t="n"/>
      <c r="O3610" s="2" t="n"/>
      <c r="P3610" s="2" t="n"/>
    </row>
    <row r="3611">
      <c r="A3611" s="2" t="n">
        <v>3610</v>
      </c>
      <c r="B3611" s="2" t="inlineStr">
        <is>
          <t>короткая</t>
        </is>
      </c>
      <c r="C3611" s="2" t="n">
        <v>12523</v>
      </c>
      <c r="D3611" s="3" t="inlineStr">
        <is>
          <t>Про бегемота по имени Ну-и-пусть</t>
        </is>
      </c>
      <c r="E3611" s="2" t="n">
        <v>1986</v>
      </c>
      <c r="F3611" s="2" t="inlineStr">
        <is>
          <t>мультфильм</t>
        </is>
      </c>
      <c r="G3611" s="2" t="inlineStr">
        <is>
          <t>КИЕВНАУЧФИЛЬМ</t>
        </is>
      </c>
      <c r="H3611" s="2" t="n">
        <v>31</v>
      </c>
      <c r="I3611" s="2" t="inlineStr"/>
      <c r="J3611" s="2" t="inlineStr"/>
      <c r="K3611" s="3" t="inlineStr">
        <is>
          <t>Как крокодил разбудил бегемота.</t>
        </is>
      </c>
      <c r="L3611" s="2" t="inlineStr">
        <is>
          <t>2026-10_мультфильмы_список_владельца.xlsx; https://animator.ru/db/?p=show_film&amp;fid=3699</t>
        </is>
      </c>
      <c r="M3611" s="2">
        <f>HYPERLINK("https://ru.wikipedia.org/w/index.php?search=%D0%9F%D1%80%D0%BE%20%D0%B1%D0%B5%D0%B3%D0%B5%D0%BC%D0%BE%D1%82%D0%B0%20%D0%BF%D0%BE%20%D0%B8%D0%BC%D0%B5%D0%BD%D0%B8%20%D0%9D%D1%83-%D0%B8-%D0%BF%D1%83%D1%81%D1%82%D1%8C%201986%20%D1%84%D0%B8%D0%BB%D1%8C%D0%BC","искать")</f>
        <v/>
      </c>
      <c r="N3611" s="3" t="n"/>
      <c r="O3611" s="2" t="n"/>
      <c r="P3611" s="2" t="n"/>
    </row>
    <row r="3612">
      <c r="A3612" s="2" t="n">
        <v>3611</v>
      </c>
      <c r="B3612" s="2" t="inlineStr">
        <is>
          <t>короткая</t>
        </is>
      </c>
      <c r="C3612" s="2" t="n">
        <v>13306</v>
      </c>
      <c r="D3612" s="3" t="inlineStr">
        <is>
          <t>Чаромора</t>
        </is>
      </c>
      <c r="E3612" s="2" t="n">
        <v>1977</v>
      </c>
      <c r="F3612" s="2" t="inlineStr">
        <is>
          <t>мультфильм</t>
        </is>
      </c>
      <c r="G3612" s="2" t="inlineStr">
        <is>
          <t>ТАЛЛИННФИЛЬМ</t>
        </is>
      </c>
      <c r="H3612" s="2" t="n">
        <v>31</v>
      </c>
      <c r="I3612" s="2" t="inlineStr"/>
      <c r="J3612" s="2" t="inlineStr"/>
      <c r="K3612" s="3" t="inlineStr">
        <is>
          <t>Про злоключения ведьмы Чароморы</t>
        </is>
      </c>
      <c r="L3612" s="2" t="inlineStr">
        <is>
          <t>https://animator.ru/db/?p=show_film&amp;fid=4563</t>
        </is>
      </c>
      <c r="M3612" s="2">
        <f>HYPERLINK("https://ru.wikipedia.org/w/index.php?search=%D0%A7%D0%B0%D1%80%D0%BE%D0%BC%D0%BE%D1%80%D0%B0%201977%20%D1%84%D0%B8%D0%BB%D1%8C%D0%BC","искать")</f>
        <v/>
      </c>
      <c r="N3612" s="3" t="n"/>
      <c r="O3612" s="2" t="n"/>
      <c r="P3612" s="2" t="n"/>
    </row>
    <row r="3613">
      <c r="A3613" s="2" t="n">
        <v>3612</v>
      </c>
      <c r="B3613" s="2" t="inlineStr">
        <is>
          <t>короткая</t>
        </is>
      </c>
      <c r="C3613" s="2" t="n">
        <v>11987</v>
      </c>
      <c r="D3613" s="3" t="inlineStr">
        <is>
          <t>Раз горох, два горох!</t>
        </is>
      </c>
      <c r="E3613" s="2" t="n">
        <v>1981</v>
      </c>
      <c r="F3613" s="2" t="inlineStr">
        <is>
          <t>мультфильм</t>
        </is>
      </c>
      <c r="G3613" s="2" t="inlineStr">
        <is>
          <t>Союзмультфильм</t>
        </is>
      </c>
      <c r="H3613" s="2" t="n">
        <v>32</v>
      </c>
      <c r="I3613" s="2" t="inlineStr"/>
      <c r="J3613" s="2" t="inlineStr"/>
      <c r="K3613" s="3" t="inlineStr">
        <is>
          <t>О приключениях хомяка и суслика.</t>
        </is>
      </c>
      <c r="L3613" s="2" t="inlineStr">
        <is>
          <t>https://animator.ru/db/?p=show_film&amp;fid=3101</t>
        </is>
      </c>
      <c r="M3613" s="2">
        <f>HYPERLINK("https://ru.wikipedia.org/w/index.php?search=%D0%A0%D0%B0%D0%B7%20%D0%B3%D0%BE%D1%80%D0%BE%D1%85%2C%20%D0%B4%D0%B2%D0%B0%20%D0%B3%D0%BE%D1%80%D0%BE%D1%85%21%201981%20%D1%84%D0%B8%D0%BB%D1%8C%D0%BC","искать")</f>
        <v/>
      </c>
      <c r="N3613" s="3" t="n"/>
      <c r="O3613" s="2" t="n"/>
      <c r="P3613" s="2" t="n"/>
    </row>
    <row r="3614">
      <c r="A3614" s="2" t="n">
        <v>3613</v>
      </c>
      <c r="B3614" s="2" t="inlineStr">
        <is>
          <t>короткая</t>
        </is>
      </c>
      <c r="C3614" s="2" t="n">
        <v>12466</v>
      </c>
      <c r="D3614" s="3" t="inlineStr">
        <is>
          <t>Мышки-малышки</t>
        </is>
      </c>
      <c r="E3614" s="2" t="n">
        <v>1982</v>
      </c>
      <c r="F3614" s="2" t="inlineStr">
        <is>
          <t>мультфильм</t>
        </is>
      </c>
      <c r="G3614" s="2" t="inlineStr">
        <is>
          <t>КИЕВНАУЧФИЛЬМ</t>
        </is>
      </c>
      <c r="H3614" s="2" t="n">
        <v>32</v>
      </c>
      <c r="I3614" s="2" t="inlineStr"/>
      <c r="J3614" s="2" t="inlineStr"/>
      <c r="K3614" s="3" t="inlineStr">
        <is>
          <t>Про то, как мышки проучили кота.</t>
        </is>
      </c>
      <c r="L3614" s="2" t="inlineStr">
        <is>
          <t>2026-10_мультфильмы_список_владельца.xlsx; https://animator.ru/db/?p=show_film&amp;fid=3638</t>
        </is>
      </c>
      <c r="M3614" s="2">
        <f>HYPERLINK("https://ru.wikipedia.org/w/index.php?search=%D0%9C%D1%8B%D1%88%D0%BA%D0%B8-%D0%BC%D0%B0%D0%BB%D1%8B%D1%88%D0%BA%D0%B8%201982%20%D1%84%D0%B8%D0%BB%D1%8C%D0%BC","искать")</f>
        <v/>
      </c>
      <c r="N3614" s="3" t="n"/>
      <c r="O3614" s="2" t="n"/>
      <c r="P3614" s="2" t="n"/>
    </row>
    <row r="3615">
      <c r="A3615" s="2" t="n">
        <v>3614</v>
      </c>
      <c r="B3615" s="2" t="inlineStr">
        <is>
          <t>короткая</t>
        </is>
      </c>
      <c r="C3615" s="2" t="n">
        <v>12825</v>
      </c>
      <c r="D3615" s="3" t="inlineStr">
        <is>
          <t>Новые приключения золодува</t>
        </is>
      </c>
      <c r="E3615" s="2" t="n">
        <v>1973</v>
      </c>
      <c r="F3615" s="2" t="inlineStr">
        <is>
          <t>мультфильм</t>
        </is>
      </c>
      <c r="G3615" s="2" t="inlineStr">
        <is>
          <t>ГРУЗИЯ-ФИЛЬМ - АО</t>
        </is>
      </c>
      <c r="H3615" s="2" t="n">
        <v>32</v>
      </c>
      <c r="I3615" s="2" t="inlineStr"/>
      <c r="J3615" s="2" t="inlineStr"/>
      <c r="K3615" s="3" t="inlineStr">
        <is>
          <t>Продолжение приключений Золодува</t>
        </is>
      </c>
      <c r="L3615" s="2" t="inlineStr">
        <is>
          <t>https://animator.ru/db/?p=show_film&amp;fid=4042</t>
        </is>
      </c>
      <c r="M3615" s="2">
        <f>HYPERLINK("https://ru.wikipedia.org/w/index.php?search=%D0%9D%D0%BE%D0%B2%D1%8B%D0%B5%20%D0%BF%D1%80%D0%B8%D0%BA%D0%BB%D1%8E%D1%87%D0%B5%D0%BD%D0%B8%D1%8F%20%D0%B7%D0%BE%D0%BB%D0%BE%D0%B4%D1%83%D0%B2%D0%B0%201973%20%D1%84%D0%B8%D0%BB%D1%8C%D0%BC","искать")</f>
        <v/>
      </c>
      <c r="N3615" s="3" t="n"/>
      <c r="O3615" s="2" t="n"/>
      <c r="P3615" s="2" t="n"/>
    </row>
    <row r="3616">
      <c r="A3616" s="2" t="n">
        <v>3615</v>
      </c>
      <c r="B3616" s="2" t="inlineStr">
        <is>
          <t>короткая</t>
        </is>
      </c>
      <c r="C3616" s="2" t="n">
        <v>12997</v>
      </c>
      <c r="D3616" s="3" t="inlineStr">
        <is>
          <t>Коген (Улыбка)</t>
        </is>
      </c>
      <c r="E3616" s="2" t="n">
        <v>1974</v>
      </c>
      <c r="F3616" s="2" t="inlineStr">
        <is>
          <t>мультфильм</t>
        </is>
      </c>
      <c r="G3616" s="2" t="inlineStr">
        <is>
          <t>КАЗАХФИЛЬМ</t>
        </is>
      </c>
      <c r="H3616" s="2" t="n">
        <v>32</v>
      </c>
      <c r="I3616" s="2" t="inlineStr"/>
      <c r="J3616" s="2" t="inlineStr"/>
      <c r="K3616" s="3" t="inlineStr">
        <is>
          <t>Сюжеты - "Портрет", "Молодожены"</t>
        </is>
      </c>
      <c r="L3616" s="2" t="inlineStr">
        <is>
          <t>https://animator.ru/db/?p=show_film&amp;fid=4229</t>
        </is>
      </c>
      <c r="M3616" s="2">
        <f>HYPERLINK("https://ru.wikipedia.org/w/index.php?search=%D0%9A%D0%BE%D0%B3%D0%B5%D0%BD%20%28%D0%A3%D0%BB%D1%8B%D0%B1%D0%BA%D0%B0%29%201974%20%D1%84%D0%B8%D0%BB%D1%8C%D0%BC","искать")</f>
        <v/>
      </c>
      <c r="N3616" s="3" t="n"/>
      <c r="O3616" s="2" t="n"/>
      <c r="P3616" s="2" t="n"/>
    </row>
    <row r="3617">
      <c r="A3617" s="2" t="n">
        <v>3616</v>
      </c>
      <c r="B3617" s="2" t="inlineStr">
        <is>
          <t>короткая</t>
        </is>
      </c>
      <c r="C3617" s="2" t="n">
        <v>12524</v>
      </c>
      <c r="D3617" s="3" t="inlineStr">
        <is>
          <t>Про полосатого слоненка</t>
        </is>
      </c>
      <c r="E3617" s="2" t="n">
        <v>1971</v>
      </c>
      <c r="F3617" s="2" t="inlineStr">
        <is>
          <t>мультфильм</t>
        </is>
      </c>
      <c r="G3617" s="2" t="inlineStr">
        <is>
          <t>КИЕВНАУЧФИЛЬМ</t>
        </is>
      </c>
      <c r="H3617" s="2" t="n">
        <v>33</v>
      </c>
      <c r="I3617" s="2" t="inlineStr"/>
      <c r="J3617" s="2" t="inlineStr"/>
      <c r="K3617" s="3" t="inlineStr">
        <is>
          <t>Сказка о поисках и находке друга.</t>
        </is>
      </c>
      <c r="L3617" s="2" t="inlineStr">
        <is>
          <t>2026-10_мультфильмы_список_владельца.xlsx; https://animator.ru/db/?p=show_film&amp;fid=3700</t>
        </is>
      </c>
      <c r="M3617" s="2">
        <f>HYPERLINK("https://ru.wikipedia.org/w/index.php?search=%D0%9F%D1%80%D0%BE%20%D0%BF%D0%BE%D0%BB%D0%BE%D1%81%D0%B0%D1%82%D0%BE%D0%B3%D0%BE%20%D1%81%D0%BB%D0%BE%D0%BD%D0%B5%D0%BD%D0%BA%D0%B0%201971%20%D1%84%D0%B8%D0%BB%D1%8C%D0%BC","искать")</f>
        <v/>
      </c>
      <c r="N3617" s="3" t="n"/>
      <c r="O3617" s="2" t="n"/>
      <c r="P3617" s="2" t="n"/>
    </row>
    <row r="3618">
      <c r="A3618" s="2" t="n">
        <v>3617</v>
      </c>
      <c r="B3618" s="2" t="inlineStr">
        <is>
          <t>короткая</t>
        </is>
      </c>
      <c r="C3618" s="2" t="n">
        <v>12052</v>
      </c>
      <c r="D3618" s="3" t="inlineStr">
        <is>
          <t>Пилюля</t>
        </is>
      </c>
      <c r="E3618" s="2" t="n">
        <v>1983</v>
      </c>
      <c r="F3618" s="2" t="inlineStr">
        <is>
          <t>мультфильм</t>
        </is>
      </c>
      <c r="G3618" s="2" t="inlineStr">
        <is>
          <t>Союзмультфильм</t>
        </is>
      </c>
      <c r="H3618" s="2" t="n">
        <v>34</v>
      </c>
      <c r="I3618" s="2" t="inlineStr"/>
      <c r="J3618" s="2" t="inlineStr"/>
      <c r="K3618" s="3" t="inlineStr">
        <is>
          <t>Капк звери наказали обманщицу-лису</t>
        </is>
      </c>
      <c r="L3618" s="2" t="inlineStr">
        <is>
          <t>https://animator.ru/db/?p=show_film&amp;fid=3167</t>
        </is>
      </c>
      <c r="M3618" s="2">
        <f>HYPERLINK("https://ru.wikipedia.org/w/index.php?search=%D0%9F%D0%B8%D0%BB%D1%8E%D0%BB%D1%8F%201983%20%D1%84%D0%B8%D0%BB%D1%8C%D0%BC","искать")</f>
        <v/>
      </c>
      <c r="N3618" s="3" t="n"/>
      <c r="O3618" s="2" t="n"/>
      <c r="P3618" s="2" t="n"/>
    </row>
    <row r="3619">
      <c r="A3619" s="2" t="n">
        <v>3618</v>
      </c>
      <c r="B3619" s="2" t="inlineStr">
        <is>
          <t>короткая</t>
        </is>
      </c>
      <c r="C3619" s="2" t="n">
        <v>12505</v>
      </c>
      <c r="D3619" s="3" t="inlineStr">
        <is>
          <t>Петушок и солнышко</t>
        </is>
      </c>
      <c r="E3619" s="2" t="n">
        <v>1974</v>
      </c>
      <c r="F3619" s="2" t="inlineStr">
        <is>
          <t>мультфильм</t>
        </is>
      </c>
      <c r="G3619" s="2" t="inlineStr">
        <is>
          <t>КИЕВНАУЧФИЛЬМ</t>
        </is>
      </c>
      <c r="H3619" s="2" t="n">
        <v>34</v>
      </c>
      <c r="I3619" s="2" t="inlineStr"/>
      <c r="J3619" s="2" t="inlineStr"/>
      <c r="K3619" s="3" t="inlineStr">
        <is>
          <t>О том, как петушок солнышко будил.</t>
        </is>
      </c>
      <c r="L3619" s="2" t="inlineStr">
        <is>
          <t>https://animator.ru/db/?p=show_film&amp;fid=3680</t>
        </is>
      </c>
      <c r="M3619" s="2">
        <f>HYPERLINK("https://ru.wikipedia.org/w/index.php?search=%D0%9F%D0%B5%D1%82%D1%83%D1%88%D0%BE%D0%BA%20%D0%B8%20%D1%81%D0%BE%D0%BB%D0%BD%D1%8B%D1%88%D0%BA%D0%BE%201974%20%D1%84%D0%B8%D0%BB%D1%8C%D0%BC","искать")</f>
        <v/>
      </c>
      <c r="N3619" s="3" t="n"/>
      <c r="O3619" s="2" t="n"/>
      <c r="P3619" s="2" t="n"/>
    </row>
    <row r="3620">
      <c r="A3620" s="2" t="n">
        <v>3619</v>
      </c>
      <c r="B3620" s="2" t="inlineStr">
        <is>
          <t>короткая</t>
        </is>
      </c>
      <c r="C3620" s="2" t="n">
        <v>12643</v>
      </c>
      <c r="D3620" s="3" t="inlineStr">
        <is>
          <t>Возвращайся, Капитошка!</t>
        </is>
      </c>
      <c r="E3620" s="2" t="n">
        <v>1989</v>
      </c>
      <c r="F3620" s="2" t="inlineStr">
        <is>
          <t>мультфильм</t>
        </is>
      </c>
      <c r="G3620" s="2" t="inlineStr">
        <is>
          <t>КИЕВНАУЧФИЛЬМ</t>
        </is>
      </c>
      <c r="H3620" s="2" t="n">
        <v>36</v>
      </c>
      <c r="I3620" s="2" t="inlineStr"/>
      <c r="J3620" s="2" t="inlineStr"/>
      <c r="K3620" s="3" t="inlineStr">
        <is>
          <t>О приключениях Волчонка и Капитошки.</t>
        </is>
      </c>
      <c r="L3620" s="2" t="inlineStr">
        <is>
          <t>https://animator.ru/db/?p=show_film&amp;fid=3823</t>
        </is>
      </c>
      <c r="M3620" s="2">
        <f>HYPERLINK("https://ru.wikipedia.org/w/index.php?search=%D0%92%D0%BE%D0%B7%D0%B2%D1%80%D0%B0%D1%89%D0%B0%D0%B9%D1%81%D1%8F%2C%20%D0%9A%D0%B0%D0%BF%D0%B8%D1%82%D0%BE%D1%88%D0%BA%D0%B0%21%201989%20%D1%84%D0%B8%D0%BB%D1%8C%D0%BC","искать")</f>
        <v/>
      </c>
      <c r="N3620" s="3" t="n"/>
      <c r="O3620" s="2" t="n"/>
      <c r="P3620" s="2" t="n"/>
    </row>
    <row r="3621">
      <c r="A3621" s="2" t="n">
        <v>3620</v>
      </c>
      <c r="B3621" s="2" t="inlineStr">
        <is>
          <t>короткая</t>
        </is>
      </c>
      <c r="C3621" s="2" t="n">
        <v>12996</v>
      </c>
      <c r="D3621" s="3" t="inlineStr">
        <is>
          <t>ТРИ ТАНКИСТА (солдатская сказка)</t>
        </is>
      </c>
      <c r="E3621" s="2" t="n">
        <v>1972</v>
      </c>
      <c r="F3621" s="2" t="inlineStr">
        <is>
          <t>мультфильм</t>
        </is>
      </c>
      <c r="G3621" s="2" t="inlineStr">
        <is>
          <t>КАЗАХФИЛЬМ</t>
        </is>
      </c>
      <c r="H3621" s="2" t="n">
        <v>36</v>
      </c>
      <c r="I3621" s="2" t="inlineStr"/>
      <c r="J3621" s="2" t="inlineStr"/>
      <c r="K3621" s="3" t="inlineStr">
        <is>
          <t>Три танкиста спасли девочку от волка</t>
        </is>
      </c>
      <c r="L3621" s="2" t="inlineStr">
        <is>
          <t>https://animator.ru/db/?p=show_film&amp;fid=4228</t>
        </is>
      </c>
      <c r="M3621" s="2">
        <f>HYPERLINK("https://ru.wikipedia.org/w/index.php?search=%D0%A2%D0%A0%D0%98%20%D0%A2%D0%90%D0%9D%D0%9A%D0%98%D0%A1%D0%A2%D0%90%20%28%D1%81%D0%BE%D0%BB%D0%B4%D0%B0%D1%82%D1%81%D0%BA%D0%B0%D1%8F%20%D1%81%D0%BA%D0%B0%D0%B7%D0%BA%D0%B0%29%201972%20%D1%84%D0%B8%D0%BB%D1%8C%D0%BC","искать")</f>
        <v/>
      </c>
      <c r="N3621" s="3" t="n"/>
      <c r="O3621" s="2" t="n"/>
      <c r="P3621" s="2" t="n"/>
    </row>
    <row r="3622">
      <c r="A3622" s="2" t="n">
        <v>3621</v>
      </c>
      <c r="B3622" s="2" t="inlineStr">
        <is>
          <t>короткая</t>
        </is>
      </c>
      <c r="C3622" s="2" t="n">
        <v>13345</v>
      </c>
      <c r="D3622" s="3" t="inlineStr">
        <is>
          <t>Обезьяны</t>
        </is>
      </c>
      <c r="E3622" s="2" t="n">
        <v>1980</v>
      </c>
      <c r="F3622" s="2" t="inlineStr">
        <is>
          <t>мультфильм</t>
        </is>
      </c>
      <c r="G3622" s="2" t="inlineStr">
        <is>
          <t>ТАЛЛИННФИЛЬМ</t>
        </is>
      </c>
      <c r="H3622" s="2" t="n">
        <v>36</v>
      </c>
      <c r="I3622" s="2" t="inlineStr"/>
      <c r="J3622" s="2" t="inlineStr"/>
      <c r="K3622" s="3" t="inlineStr">
        <is>
          <t>Как купец перехитрил воришек-обезьян</t>
        </is>
      </c>
      <c r="L3622" s="2" t="inlineStr">
        <is>
          <t>https://animator.ru/db/?p=show_film&amp;fid=4620</t>
        </is>
      </c>
      <c r="M3622" s="2">
        <f>HYPERLINK("https://ru.wikipedia.org/w/index.php?search=%D0%9E%D0%B1%D0%B5%D0%B7%D1%8C%D1%8F%D0%BD%D1%8B%201980%20%D1%84%D0%B8%D0%BB%D1%8C%D0%BC","искать")</f>
        <v/>
      </c>
      <c r="N3622" s="3" t="n"/>
      <c r="O3622" s="2" t="n"/>
      <c r="P3622" s="2" t="n"/>
    </row>
    <row r="3623">
      <c r="A3623" s="2" t="n">
        <v>3622</v>
      </c>
      <c r="B3623" s="2" t="inlineStr">
        <is>
          <t>короткая</t>
        </is>
      </c>
      <c r="C3623" s="2" t="n">
        <v>11710</v>
      </c>
      <c r="D3623" s="3" t="inlineStr">
        <is>
          <t>Ну, Погоди! ч.7</t>
        </is>
      </c>
      <c r="E3623" s="2" t="n">
        <v>1973</v>
      </c>
      <c r="F3623" s="2" t="inlineStr">
        <is>
          <t>мультфильм</t>
        </is>
      </c>
      <c r="G3623" s="2" t="inlineStr">
        <is>
          <t>Союзмультфильм</t>
        </is>
      </c>
      <c r="H3623" s="2" t="n">
        <v>37</v>
      </c>
      <c r="I3623" s="2" t="inlineStr"/>
      <c r="J3623" s="2" t="inlineStr"/>
      <c r="K3623" s="3" t="inlineStr">
        <is>
          <t>Приключения Волка и Зайца на корабле.</t>
        </is>
      </c>
      <c r="L3623" s="2" t="inlineStr">
        <is>
          <t>2026-10_мультфильмы_список_владельца.xlsx; https://animator.ru/db/?p=show_film&amp;fid=2624</t>
        </is>
      </c>
      <c r="M3623" s="2">
        <f>HYPERLINK("https://ru.wikipedia.org/w/index.php?search=%D0%9D%D1%83%2C%20%D0%9F%D0%BE%D0%B3%D0%BE%D0%B4%D0%B8%21%20%D1%87.7%201973%20%D1%84%D0%B8%D0%BB%D1%8C%D0%BC","искать")</f>
        <v/>
      </c>
      <c r="N3623" s="3" t="n"/>
      <c r="O3623" s="2" t="n"/>
      <c r="P3623" s="2" t="n"/>
    </row>
    <row r="3624">
      <c r="A3624" s="2" t="n">
        <v>3623</v>
      </c>
      <c r="B3624" s="2" t="inlineStr">
        <is>
          <t>короткая</t>
        </is>
      </c>
      <c r="C3624" s="2" t="n">
        <v>11845</v>
      </c>
      <c r="D3624" s="3" t="inlineStr">
        <is>
          <t>Ну, Погоди! ч.11</t>
        </is>
      </c>
      <c r="E3624" s="2" t="n">
        <v>1977</v>
      </c>
      <c r="F3624" s="2" t="inlineStr">
        <is>
          <t>мультфильм</t>
        </is>
      </c>
      <c r="G3624" s="2" t="inlineStr">
        <is>
          <t>Союзмультфильм</t>
        </is>
      </c>
      <c r="H3624" s="2" t="n">
        <v>37</v>
      </c>
      <c r="I3624" s="2" t="inlineStr"/>
      <c r="J3624" s="2" t="inlineStr"/>
      <c r="K3624" s="3" t="inlineStr">
        <is>
          <t>О приключениях Волка и Зайца в цирке.</t>
        </is>
      </c>
      <c r="L3624" s="2" t="inlineStr">
        <is>
          <t>2026-10_мультфильмы_список_владельца.xlsx; https://animator.ru/db/?p=show_film&amp;fid=2760</t>
        </is>
      </c>
      <c r="M3624" s="2">
        <f>HYPERLINK("https://ru.wikipedia.org/w/index.php?search=%D0%9D%D1%83%2C%20%D0%9F%D0%BE%D0%B3%D0%BE%D0%B4%D0%B8%21%20%D1%87.11%201977%20%D1%84%D0%B8%D0%BB%D1%8C%D0%BC","искать")</f>
        <v/>
      </c>
      <c r="N3624" s="3" t="n"/>
      <c r="O3624" s="2" t="n"/>
      <c r="P3624" s="2" t="n"/>
    </row>
    <row r="3625">
      <c r="A3625" s="2" t="n">
        <v>3624</v>
      </c>
      <c r="B3625" s="2" t="inlineStr">
        <is>
          <t>короткая</t>
        </is>
      </c>
      <c r="C3625" s="2" t="n">
        <v>11881</v>
      </c>
      <c r="D3625" s="3" t="inlineStr">
        <is>
          <t>Ну, Погоди! ч.12</t>
        </is>
      </c>
      <c r="E3625" s="2" t="n">
        <v>1978</v>
      </c>
      <c r="F3625" s="2" t="inlineStr">
        <is>
          <t>мультфильм</t>
        </is>
      </c>
      <c r="G3625" s="2" t="inlineStr">
        <is>
          <t>Союзмультфильм</t>
        </is>
      </c>
      <c r="H3625" s="2" t="n">
        <v>37</v>
      </c>
      <c r="I3625" s="2" t="inlineStr"/>
      <c r="J3625" s="2" t="inlineStr"/>
      <c r="K3625" s="3" t="inlineStr">
        <is>
          <t>О приключениях Волка и Зайца в музее.</t>
        </is>
      </c>
      <c r="L3625" s="2" t="inlineStr">
        <is>
          <t>2026-10_мультфильмы_список_владельца.xlsx; https://animator.ru/db/?p=show_film&amp;fid=2796</t>
        </is>
      </c>
      <c r="M3625" s="2">
        <f>HYPERLINK("https://ru.wikipedia.org/w/index.php?search=%D0%9D%D1%83%2C%20%D0%9F%D0%BE%D0%B3%D0%BE%D0%B4%D0%B8%21%20%D1%87.12%201978%20%D1%84%D0%B8%D0%BB%D1%8C%D0%BC","искать")</f>
        <v/>
      </c>
      <c r="N3625" s="3" t="n"/>
      <c r="O3625" s="2" t="n"/>
      <c r="P3625" s="2" t="n"/>
    </row>
    <row r="3626">
      <c r="A3626" s="2" t="n">
        <v>3625</v>
      </c>
      <c r="B3626" s="2" t="inlineStr">
        <is>
          <t>короткая</t>
        </is>
      </c>
      <c r="C3626" s="2" t="n">
        <v>13167</v>
      </c>
      <c r="D3626" s="3" t="inlineStr">
        <is>
          <t>Время, когда теряются коровы</t>
        </is>
      </c>
      <c r="E3626" s="2" t="n">
        <v>1989</v>
      </c>
      <c r="F3626" s="2" t="inlineStr">
        <is>
          <t>мультфильм</t>
        </is>
      </c>
      <c r="G3626" s="2" t="inlineStr">
        <is>
          <t>ТАДЖИКФИЛЬМ</t>
        </is>
      </c>
      <c r="H3626" s="2" t="n">
        <v>37</v>
      </c>
      <c r="I3626" s="2" t="inlineStr"/>
      <c r="J3626" s="2" t="inlineStr"/>
      <c r="K3626" s="3" t="inlineStr">
        <is>
          <t>О приключениях маленького головастика</t>
        </is>
      </c>
      <c r="L3626" s="2" t="inlineStr">
        <is>
          <t>https://animator.ru/db/?p=show_film&amp;fid=4404</t>
        </is>
      </c>
      <c r="M3626" s="2">
        <f>HYPERLINK("https://ru.wikipedia.org/w/index.php?search=%D0%92%D1%80%D0%B5%D0%BC%D1%8F%2C%20%D0%BA%D0%BE%D0%B3%D0%B4%D0%B0%20%D1%82%D0%B5%D1%80%D1%8F%D1%8E%D1%82%D1%81%D1%8F%20%D0%BA%D0%BE%D1%80%D0%BE%D0%B2%D1%8B%201989%20%D1%84%D0%B8%D0%BB%D1%8C%D0%BC","искать")</f>
        <v/>
      </c>
      <c r="N3626" s="3" t="n"/>
      <c r="O3626" s="2" t="n"/>
      <c r="P3626" s="2" t="n"/>
    </row>
    <row r="3627">
      <c r="A3627" s="2" t="n">
        <v>3626</v>
      </c>
      <c r="B3627" s="2" t="inlineStr">
        <is>
          <t>короткая</t>
        </is>
      </c>
      <c r="C3627" s="2" t="n">
        <v>13720</v>
      </c>
      <c r="D3627" s="3" t="inlineStr">
        <is>
          <t>Клякса</t>
        </is>
      </c>
      <c r="E3627" s="2" t="n">
        <v>1980</v>
      </c>
      <c r="F3627" s="2" t="inlineStr">
        <is>
          <t>мультфильм</t>
        </is>
      </c>
      <c r="G3627" s="2" t="inlineStr">
        <is>
          <t>ЭКРАН</t>
        </is>
      </c>
      <c r="H3627" s="2" t="n">
        <v>37</v>
      </c>
      <c r="I3627" s="2" t="inlineStr"/>
      <c r="J3627" s="2" t="inlineStr"/>
      <c r="K3627" s="3" t="inlineStr">
        <is>
          <t>Как собака училась играть на пианино.</t>
        </is>
      </c>
      <c r="L3627" s="2" t="inlineStr">
        <is>
          <t>2026-10_мультфильмы_список_владельца.xlsx; https://animator.ru/db/?p=show_film&amp;fid=5113</t>
        </is>
      </c>
      <c r="M3627" s="2">
        <f>HYPERLINK("https://ru.wikipedia.org/w/index.php?search=%D0%9A%D0%BB%D1%8F%D0%BA%D1%81%D0%B0%201980%20%D1%84%D0%B8%D0%BB%D1%8C%D0%BC","искать")</f>
        <v/>
      </c>
      <c r="N3627" s="3" t="n"/>
      <c r="O3627" s="2" t="n"/>
      <c r="P3627" s="2" t="n"/>
    </row>
    <row r="3628">
      <c r="A3628" s="2" t="n">
        <v>3627</v>
      </c>
      <c r="B3628" s="2" t="inlineStr">
        <is>
          <t>короткая</t>
        </is>
      </c>
      <c r="C3628" s="2" t="n">
        <v>11945</v>
      </c>
      <c r="D3628" s="3" t="inlineStr">
        <is>
          <t>Ну, Погоди! ч.13</t>
        </is>
      </c>
      <c r="E3628" s="2" t="n">
        <v>1980</v>
      </c>
      <c r="F3628" s="2" t="inlineStr">
        <is>
          <t>мультфильм</t>
        </is>
      </c>
      <c r="G3628" s="2" t="inlineStr">
        <is>
          <t>Союзмультфильм</t>
        </is>
      </c>
      <c r="H3628" s="2" t="n">
        <v>38</v>
      </c>
      <c r="I3628" s="2" t="inlineStr"/>
      <c r="J3628" s="2" t="inlineStr"/>
      <c r="K3628" s="3" t="inlineStr">
        <is>
          <t>Олимпийские приключения Зайца и Волка.</t>
        </is>
      </c>
      <c r="L3628" s="2" t="inlineStr">
        <is>
          <t>2026-10_мультфильмы_список_владельца.xlsx; https://animator.ru/db/?p=show_film&amp;fid=2861</t>
        </is>
      </c>
      <c r="M3628" s="2">
        <f>HYPERLINK("https://ru.wikipedia.org/w/index.php?search=%D0%9D%D1%83%2C%20%D0%9F%D0%BE%D0%B3%D0%BE%D0%B4%D0%B8%21%20%D1%87.13%201980%20%D1%84%D0%B8%D0%BB%D1%8C%D0%BC","искать")</f>
        <v/>
      </c>
      <c r="N3628" s="3" t="n"/>
      <c r="O3628" s="2" t="n"/>
      <c r="P3628" s="2" t="n"/>
    </row>
    <row r="3629">
      <c r="A3629" s="2" t="n">
        <v>3628</v>
      </c>
      <c r="B3629" s="2" t="inlineStr">
        <is>
          <t>короткая</t>
        </is>
      </c>
      <c r="C3629" s="2" t="n">
        <v>12991</v>
      </c>
      <c r="D3629" s="3" t="inlineStr">
        <is>
          <t>Сборник микромультфильмов</t>
        </is>
      </c>
      <c r="E3629" s="2" t="n">
        <v>1975</v>
      </c>
      <c r="F3629" s="2" t="inlineStr">
        <is>
          <t>мультфильм</t>
        </is>
      </c>
      <c r="G3629" s="2" t="inlineStr">
        <is>
          <t>КАЗАХФИЛЬМ</t>
        </is>
      </c>
      <c r="H3629" s="2" t="n">
        <v>38</v>
      </c>
      <c r="I3629" s="2" t="inlineStr"/>
      <c r="J3629" s="2" t="inlineStr"/>
      <c r="K3629" s="3" t="inlineStr">
        <is>
          <t>Сюжеты - "Пей до дна", "Воробей-ябеда:</t>
        </is>
      </c>
      <c r="L3629" s="2" t="inlineStr">
        <is>
          <t>https://animator.ru/db/?p=show_film&amp;fid=4223</t>
        </is>
      </c>
      <c r="M3629" s="2">
        <f>HYPERLINK("https://ru.wikipedia.org/w/index.php?search=%D0%A1%D0%B1%D0%BE%D1%80%D0%BD%D0%B8%D0%BA%20%D0%BC%D0%B8%D0%BA%D1%80%D0%BE%D0%BC%D1%83%D0%BB%D1%8C%D1%82%D1%84%D0%B8%D0%BB%D1%8C%D0%BC%D0%BE%D0%B2%201975%20%D1%84%D0%B8%D0%BB%D1%8C%D0%BC","искать")</f>
        <v/>
      </c>
      <c r="N3629" s="3" t="n"/>
      <c r="O3629" s="2" t="n"/>
      <c r="P3629" s="2" t="n"/>
    </row>
    <row r="3630">
      <c r="A3630" s="2" t="n">
        <v>3629</v>
      </c>
      <c r="B3630" s="2" t="inlineStr">
        <is>
          <t>короткая</t>
        </is>
      </c>
      <c r="C3630" s="2" t="n">
        <v>13140</v>
      </c>
      <c r="D3630" s="3" t="inlineStr">
        <is>
          <t>Глиняная авдотка</t>
        </is>
      </c>
      <c r="E3630" s="2" t="n">
        <v>1984</v>
      </c>
      <c r="F3630" s="2" t="inlineStr">
        <is>
          <t>мультфильм</t>
        </is>
      </c>
      <c r="G3630" s="2" t="inlineStr">
        <is>
          <t>БЕЛАРУСЬФИЛЬМ НАЦИОНАЛЬНАЯ КИНОСТУДИЯ - ГП</t>
        </is>
      </c>
      <c r="H3630" s="2" t="n">
        <v>38</v>
      </c>
      <c r="I3630" s="2" t="inlineStr"/>
      <c r="J3630" s="2" t="inlineStr"/>
      <c r="K3630" s="3" t="inlineStr">
        <is>
          <t>Как бабку Авдотку отучили от жадности.</t>
        </is>
      </c>
      <c r="L3630" s="2" t="inlineStr">
        <is>
          <t>2026-10_мультфильмы_список_владельца.xlsx; https://animator.ru/db/?p=show_film&amp;fid=4372</t>
        </is>
      </c>
      <c r="M3630" s="2">
        <f>HYPERLINK("https://ru.wikipedia.org/w/index.php?search=%D0%93%D0%BB%D0%B8%D0%BD%D1%8F%D0%BD%D0%B0%D1%8F%20%D0%B0%D0%B2%D0%B4%D0%BE%D1%82%D0%BA%D0%B0%201984%20%D1%84%D0%B8%D0%BB%D1%8C%D0%BC","искать")</f>
        <v/>
      </c>
      <c r="N3630" s="3" t="n"/>
      <c r="O3630" s="2" t="n"/>
      <c r="P3630" s="2" t="n"/>
    </row>
    <row r="3631">
      <c r="A3631" s="2" t="n">
        <v>3630</v>
      </c>
      <c r="B3631" s="2" t="inlineStr">
        <is>
          <t>короткая</t>
        </is>
      </c>
      <c r="C3631" s="2" t="n">
        <v>13884</v>
      </c>
      <c r="D3631" s="3" t="inlineStr">
        <is>
          <t>Ростик и Кеша</t>
        </is>
      </c>
      <c r="E3631" s="2" t="n">
        <v>1979</v>
      </c>
      <c r="F3631" s="2" t="inlineStr">
        <is>
          <t>мультфильм</t>
        </is>
      </c>
      <c r="G3631" s="2" t="inlineStr">
        <is>
          <t>ЭКРАН</t>
        </is>
      </c>
      <c r="H3631" s="2" t="n">
        <v>38</v>
      </c>
      <c r="I3631" s="2" t="inlineStr"/>
      <c r="J3631" s="2" t="inlineStr"/>
      <c r="K3631" s="3" t="inlineStr">
        <is>
          <t>О дружбе мальчика и щенка. Для малышей</t>
        </is>
      </c>
      <c r="L3631" s="2" t="inlineStr">
        <is>
          <t>https://animator.ru/db/?p=show_film&amp;fid=5277</t>
        </is>
      </c>
      <c r="M3631" s="2">
        <f>HYPERLINK("https://ru.wikipedia.org/w/index.php?search=%D0%A0%D0%BE%D1%81%D1%82%D0%B8%D0%BA%20%D0%B8%20%D0%9A%D0%B5%D1%88%D0%B0%201979%20%D1%84%D0%B8%D0%BB%D1%8C%D0%BC","искать")</f>
        <v/>
      </c>
      <c r="N3631" s="3" t="n"/>
      <c r="O3631" s="2" t="n"/>
      <c r="P3631" s="2" t="n"/>
    </row>
    <row r="3632">
      <c r="A3632" s="2" t="n">
        <v>3631</v>
      </c>
      <c r="B3632" s="2" t="inlineStr">
        <is>
          <t>короткая</t>
        </is>
      </c>
      <c r="C3632" s="2" t="n">
        <v>14086</v>
      </c>
      <c r="D3632" s="3" t="inlineStr">
        <is>
          <t>А у тебя есть солнце?</t>
        </is>
      </c>
      <c r="E3632" s="2" t="n">
        <v>1974</v>
      </c>
      <c r="F3632" s="2" t="inlineStr">
        <is>
          <t>мультфильм</t>
        </is>
      </c>
      <c r="G3632" s="2" t="inlineStr">
        <is>
          <t>СВЕРДЛОВСКТЕЛЕФИЛЬМ</t>
        </is>
      </c>
      <c r="H3632" s="2" t="n">
        <v>38</v>
      </c>
      <c r="I3632" s="2" t="inlineStr"/>
      <c r="J3632" s="2" t="inlineStr"/>
      <c r="K3632" s="3" t="inlineStr">
        <is>
          <t>О дружбе щенка и цыпленка. Для малышей</t>
        </is>
      </c>
      <c r="L3632" s="2" t="inlineStr">
        <is>
          <t>https://animator.ru/db/?p=show_film&amp;fid=5483</t>
        </is>
      </c>
      <c r="M3632" s="2">
        <f>HYPERLINK("https://ru.wikipedia.org/w/index.php?search=%D0%90%20%D1%83%20%D1%82%D0%B5%D0%B1%D1%8F%20%D0%B5%D1%81%D1%82%D1%8C%20%D1%81%D0%BE%D0%BB%D0%BD%D1%86%D0%B5%3F%201974%20%D1%84%D0%B8%D0%BB%D1%8C%D0%BC","искать")</f>
        <v/>
      </c>
      <c r="N3632" s="3" t="n"/>
      <c r="O3632" s="2" t="n"/>
      <c r="P3632" s="2" t="n"/>
    </row>
    <row r="3633">
      <c r="A3633" s="2" t="n">
        <v>3632</v>
      </c>
      <c r="B3633" s="2" t="inlineStr">
        <is>
          <t>короткая</t>
        </is>
      </c>
      <c r="C3633" s="2" t="n">
        <v>14116</v>
      </c>
      <c r="D3633" s="3" t="inlineStr">
        <is>
          <t>Как Алдар-Косе перехитрил тигра</t>
        </is>
      </c>
      <c r="E3633" s="2" t="n">
        <v>1976</v>
      </c>
      <c r="F3633" s="2" t="inlineStr">
        <is>
          <t>мультфильм</t>
        </is>
      </c>
      <c r="G3633" s="2" t="inlineStr">
        <is>
          <t>КАЗАХФИЛЬМ</t>
        </is>
      </c>
      <c r="H3633" s="2" t="n">
        <v>38</v>
      </c>
      <c r="I3633" s="2" t="inlineStr"/>
      <c r="J3633" s="2" t="inlineStr"/>
      <c r="K3633" s="3" t="inlineStr">
        <is>
          <t>О приключениях героя казахских сказок.</t>
        </is>
      </c>
      <c r="L3633" s="2" t="inlineStr">
        <is>
          <t>2026-10_мультфильмы_список_владельца.xlsx; https://animator.ru/db/?p=show_film&amp;fid=5514</t>
        </is>
      </c>
      <c r="M3633" s="2">
        <f>HYPERLINK("https://ru.wikipedia.org/w/index.php?search=%D0%9A%D0%B0%D0%BA%20%D0%90%D0%BB%D0%B4%D0%B0%D1%80-%D0%9A%D0%BE%D1%81%D0%B5%20%D0%BF%D0%B5%D1%80%D0%B5%D1%85%D0%B8%D1%82%D1%80%D0%B8%D0%BB%20%D1%82%D0%B8%D0%B3%D1%80%D0%B0%201976%20%D1%84%D0%B8%D0%BB%D1%8C%D0%BC","искать")</f>
        <v/>
      </c>
      <c r="N3633" s="3" t="n"/>
      <c r="O3633" s="2" t="n"/>
      <c r="P3633" s="2" t="n"/>
    </row>
    <row r="3634">
      <c r="A3634" s="2" t="n">
        <v>3633</v>
      </c>
      <c r="B3634" s="2" t="inlineStr">
        <is>
          <t>короткая</t>
        </is>
      </c>
      <c r="C3634" s="2" t="n">
        <v>14157</v>
      </c>
      <c r="D3634" s="3" t="inlineStr">
        <is>
          <t>Почему заяц прячется</t>
        </is>
      </c>
      <c r="E3634" s="2" t="n">
        <v>1982</v>
      </c>
      <c r="F3634" s="2" t="inlineStr">
        <is>
          <t>мультфильм</t>
        </is>
      </c>
      <c r="G3634" s="2" t="inlineStr">
        <is>
          <t>КУЙБЫШЕВТЕЛЕФИЛЬМ</t>
        </is>
      </c>
      <c r="H3634" s="2" t="n">
        <v>38</v>
      </c>
      <c r="I3634" s="2" t="inlineStr"/>
      <c r="J3634" s="2" t="inlineStr"/>
      <c r="K3634" s="3" t="inlineStr">
        <is>
          <t>Как заяц сторожил капусту. Для малышей</t>
        </is>
      </c>
      <c r="L3634" s="2" t="inlineStr">
        <is>
          <t>https://animator.ru/db/?p=show_film&amp;fid=5555</t>
        </is>
      </c>
      <c r="M3634" s="2">
        <f>HYPERLINK("https://ru.wikipedia.org/w/index.php?search=%D0%9F%D0%BE%D1%87%D0%B5%D0%BC%D1%83%20%D0%B7%D0%B0%D1%8F%D1%86%20%D0%BF%D1%80%D1%8F%D1%87%D0%B5%D1%82%D1%81%D1%8F%201982%20%D1%84%D0%B8%D0%BB%D1%8C%D0%BC","искать")</f>
        <v/>
      </c>
      <c r="N3634" s="3" t="n"/>
      <c r="O3634" s="2" t="n"/>
      <c r="P3634" s="2" t="n"/>
    </row>
    <row r="3635">
      <c r="A3635" s="2" t="n">
        <v>3634</v>
      </c>
      <c r="B3635" s="2" t="inlineStr">
        <is>
          <t>короткая</t>
        </is>
      </c>
      <c r="C3635" s="2" t="n">
        <v>13309</v>
      </c>
      <c r="D3635" s="3" t="inlineStr">
        <is>
          <t>Клабуш, Нипи и злая рыба</t>
        </is>
      </c>
      <c r="E3635" s="2" t="n">
        <v>1979</v>
      </c>
      <c r="F3635" s="2" t="inlineStr">
        <is>
          <t>мультфильм</t>
        </is>
      </c>
      <c r="G3635" s="2" t="inlineStr">
        <is>
          <t>ТАЛЛИННФИЛЬМ</t>
        </is>
      </c>
      <c r="H3635" s="2" t="n">
        <v>39</v>
      </c>
      <c r="I3635" s="2" t="inlineStr"/>
      <c r="J3635" s="2" t="inlineStr"/>
      <c r="K3635" s="3" t="inlineStr">
        <is>
          <t>Смешные приключения забавных персонажей</t>
        </is>
      </c>
      <c r="L3635" s="2" t="inlineStr">
        <is>
          <t>https://animator.ru/db/?p=show_film&amp;fid=4567</t>
        </is>
      </c>
      <c r="M3635" s="2">
        <f>HYPERLINK("https://ru.wikipedia.org/w/index.php?search=%D0%9A%D0%BB%D0%B0%D0%B1%D1%83%D1%88%2C%20%D0%9D%D0%B8%D0%BF%D0%B8%20%D0%B8%20%D0%B7%D0%BB%D0%B0%D1%8F%20%D1%80%D1%8B%D0%B1%D0%B0%201979%20%D1%84%D0%B8%D0%BB%D1%8C%D0%BC","искать")</f>
        <v/>
      </c>
      <c r="N3635" s="3" t="n"/>
      <c r="O3635" s="2" t="n"/>
      <c r="P3635" s="2" t="n"/>
    </row>
    <row r="3636">
      <c r="A3636" s="2" t="n">
        <v>3635</v>
      </c>
      <c r="B3636" s="2" t="inlineStr">
        <is>
          <t>короткая</t>
        </is>
      </c>
      <c r="C3636" s="2" t="n">
        <v>14014</v>
      </c>
      <c r="D3636" s="3" t="inlineStr">
        <is>
          <t>Давай дружить</t>
        </is>
      </c>
      <c r="E3636" s="2" t="n">
        <v>1979</v>
      </c>
      <c r="F3636" s="2" t="inlineStr">
        <is>
          <t>мультфильм</t>
        </is>
      </c>
      <c r="G3636" s="2" t="inlineStr">
        <is>
          <t>УЗБЕКФИЛЬМ</t>
        </is>
      </c>
      <c r="H3636" s="2" t="n">
        <v>39</v>
      </c>
      <c r="I3636" s="2" t="inlineStr"/>
      <c r="J3636" s="2" t="inlineStr"/>
      <c r="K3636" s="3" t="inlineStr">
        <is>
          <t>Как два взрослых пса воспитывали щенка.</t>
        </is>
      </c>
      <c r="L3636" s="2" t="inlineStr">
        <is>
          <t>2026-10_мультфильмы_список_владельца.xlsx; https://animator.ru/db/?p=show_film&amp;fid=5409</t>
        </is>
      </c>
      <c r="M3636" s="2">
        <f>HYPERLINK("https://ru.wikipedia.org/w/index.php?search=%D0%94%D0%B0%D0%B2%D0%B0%D0%B9%20%D0%B4%D1%80%D1%83%D0%B6%D0%B8%D1%82%D1%8C%201979%20%D1%84%D0%B8%D0%BB%D1%8C%D0%BC","искать")</f>
        <v/>
      </c>
      <c r="N3636" s="3" t="n"/>
      <c r="O3636" s="2" t="n"/>
      <c r="P3636" s="2" t="n"/>
    </row>
    <row r="3637">
      <c r="A3637" s="2" t="n">
        <v>3636</v>
      </c>
      <c r="B3637" s="2" t="inlineStr">
        <is>
          <t>короткая</t>
        </is>
      </c>
      <c r="C3637" s="2" t="n">
        <v>14017</v>
      </c>
      <c r="D3637" s="3" t="inlineStr">
        <is>
          <t>Дадабай и будильник</t>
        </is>
      </c>
      <c r="E3637" s="2" t="n">
        <v>1985</v>
      </c>
      <c r="F3637" s="2" t="inlineStr">
        <is>
          <t>мультфильм</t>
        </is>
      </c>
      <c r="G3637" s="2" t="inlineStr">
        <is>
          <t>УЗБЕКФИЛЬМ</t>
        </is>
      </c>
      <c r="H3637" s="2" t="n">
        <v>39</v>
      </c>
      <c r="I3637" s="2" t="inlineStr"/>
      <c r="J3637" s="2" t="inlineStr"/>
      <c r="K3637" s="3" t="inlineStr">
        <is>
          <t>Какт лентяй Дадабай проглотил будильник</t>
        </is>
      </c>
      <c r="L3637" s="2" t="inlineStr">
        <is>
          <t>https://animator.ru/db/?p=show_film&amp;fid=5412</t>
        </is>
      </c>
      <c r="M3637" s="2">
        <f>HYPERLINK("https://ru.wikipedia.org/w/index.php?search=%D0%94%D0%B0%D0%B4%D0%B0%D0%B1%D0%B0%D0%B9%20%D0%B8%20%D0%B1%D1%83%D0%B4%D0%B8%D0%BB%D1%8C%D0%BD%D0%B8%D0%BA%201985%20%D1%84%D0%B8%D0%BB%D1%8C%D0%BC","искать")</f>
        <v/>
      </c>
      <c r="N3637" s="3" t="n"/>
      <c r="O3637" s="2" t="n"/>
      <c r="P3637" s="2" t="n"/>
    </row>
    <row r="3638">
      <c r="A3638" s="2" t="n">
        <v>3637</v>
      </c>
      <c r="B3638" s="2" t="inlineStr">
        <is>
          <t>короткая</t>
        </is>
      </c>
      <c r="C3638" s="2" t="n">
        <v>14172</v>
      </c>
      <c r="D3638" s="3" t="inlineStr">
        <is>
          <t>Самый ученый заяц</t>
        </is>
      </c>
      <c r="E3638" s="2" t="n">
        <v>1973</v>
      </c>
      <c r="F3638" s="2" t="inlineStr">
        <is>
          <t>мультфильм</t>
        </is>
      </c>
      <c r="G3638" s="2" t="inlineStr">
        <is>
          <t>ПЕРМЬТЕЛЕФИЛЬМ</t>
        </is>
      </c>
      <c r="H3638" s="2" t="n">
        <v>39</v>
      </c>
      <c r="I3638" s="2" t="inlineStr"/>
      <c r="J3638" s="2" t="inlineStr"/>
      <c r="K3638" s="3" t="inlineStr">
        <is>
          <t>Как знания помогли зайцу и его друзьям.</t>
        </is>
      </c>
      <c r="L3638" s="2" t="inlineStr">
        <is>
          <t>2026-10_мультфильмы_список_владельца.xlsx; https://animator.ru/db/?p=show_film&amp;fid=5570</t>
        </is>
      </c>
      <c r="M3638" s="2">
        <f>HYPERLINK("https://ru.wikipedia.org/w/index.php?search=%D0%A1%D0%B0%D0%BC%D1%8B%D0%B9%20%D1%83%D1%87%D0%B5%D0%BD%D1%8B%D0%B9%20%D0%B7%D0%B0%D1%8F%D1%86%201973%20%D1%84%D0%B8%D0%BB%D1%8C%D0%BC","искать")</f>
        <v/>
      </c>
      <c r="N3638" s="3" t="n"/>
      <c r="O3638" s="2" t="n"/>
      <c r="P3638" s="2" t="n"/>
    </row>
    <row r="3639">
      <c r="A3639" s="2" t="n">
        <v>3638</v>
      </c>
      <c r="B3639" s="2" t="inlineStr">
        <is>
          <t>короткая</t>
        </is>
      </c>
      <c r="C3639" s="2" t="n">
        <v>14191</v>
      </c>
      <c r="D3639" s="3" t="inlineStr">
        <is>
          <t>Утренняя песенка</t>
        </is>
      </c>
      <c r="E3639" s="2" t="n">
        <v>1976</v>
      </c>
      <c r="F3639" s="2" t="inlineStr">
        <is>
          <t>мультфильм</t>
        </is>
      </c>
      <c r="G3639" s="2" t="inlineStr">
        <is>
          <t>КУЙБЫШЕВТЕЛЕФИЛЬМ</t>
        </is>
      </c>
      <c r="H3639" s="2" t="n">
        <v>39</v>
      </c>
      <c r="I3639" s="2" t="inlineStr"/>
      <c r="J3639" s="2" t="inlineStr"/>
      <c r="K3639" s="3" t="inlineStr">
        <is>
          <t>О приключениях трех друзей. Для малышей</t>
        </is>
      </c>
      <c r="L3639" s="2" t="inlineStr">
        <is>
          <t>https://animator.ru/db/?p=show_film&amp;fid=5589</t>
        </is>
      </c>
      <c r="M3639" s="2">
        <f>HYPERLINK("https://ru.wikipedia.org/w/index.php?search=%D0%A3%D1%82%D1%80%D0%B5%D0%BD%D0%BD%D1%8F%D1%8F%20%D0%BF%D0%B5%D1%81%D0%B5%D0%BD%D0%BA%D0%B0%201976%20%D1%84%D0%B8%D0%BB%D1%8C%D0%BC","искать")</f>
        <v/>
      </c>
      <c r="N3639" s="3" t="n"/>
      <c r="O3639" s="2" t="n"/>
      <c r="P3639" s="2" t="n"/>
    </row>
    <row r="3640">
      <c r="A3640" s="2" t="n">
        <v>3639</v>
      </c>
      <c r="B3640" s="2" t="inlineStr">
        <is>
          <t>короткая</t>
        </is>
      </c>
      <c r="C3640" s="2" t="n">
        <v>12199</v>
      </c>
      <c r="D3640" s="3" t="inlineStr">
        <is>
          <t>Пропал Петя-петушок</t>
        </is>
      </c>
      <c r="E3640" s="2" t="n">
        <v>1986</v>
      </c>
      <c r="F3640" s="2" t="inlineStr">
        <is>
          <t>мультфильм</t>
        </is>
      </c>
      <c r="G3640" s="2" t="inlineStr">
        <is>
          <t>Союзмультфильм</t>
        </is>
      </c>
      <c r="H3640" s="2" t="n">
        <v>40</v>
      </c>
      <c r="I3640" s="2" t="inlineStr"/>
      <c r="J3640" s="2" t="inlineStr"/>
      <c r="K3640" s="3" t="inlineStr">
        <is>
          <t>Как опасно быть непослушным. Для малышей</t>
        </is>
      </c>
      <c r="L3640" s="2" t="inlineStr">
        <is>
          <t>https://animator.ru/db/?p=show_film&amp;fid=3316</t>
        </is>
      </c>
      <c r="M3640" s="2">
        <f>HYPERLINK("https://ru.wikipedia.org/w/index.php?search=%D0%9F%D1%80%D0%BE%D0%BF%D0%B0%D0%BB%20%D0%9F%D0%B5%D1%82%D1%8F-%D0%BF%D0%B5%D1%82%D1%83%D1%88%D0%BE%D0%BA%201986%20%D1%84%D0%B8%D0%BB%D1%8C%D0%BC","искать")</f>
        <v/>
      </c>
      <c r="N3640" s="3" t="n"/>
      <c r="O3640" s="2" t="n"/>
      <c r="P3640" s="2" t="n"/>
    </row>
    <row r="3641">
      <c r="A3641" s="2" t="n">
        <v>3640</v>
      </c>
      <c r="B3641" s="2" t="inlineStr">
        <is>
          <t>короткая</t>
        </is>
      </c>
      <c r="C3641" s="2" t="n">
        <v>12979</v>
      </c>
      <c r="D3641" s="3" t="inlineStr">
        <is>
          <t>Жаворонок</t>
        </is>
      </c>
      <c r="E3641" s="2" t="n">
        <v>1970</v>
      </c>
      <c r="F3641" s="2" t="inlineStr">
        <is>
          <t>мультфильм</t>
        </is>
      </c>
      <c r="G3641" s="2" t="inlineStr">
        <is>
          <t>КАЗАХФИЛЬМ</t>
        </is>
      </c>
      <c r="H3641" s="2" t="n">
        <v>40</v>
      </c>
      <c r="I3641" s="2" t="inlineStr"/>
      <c r="J3641" s="2" t="inlineStr"/>
      <c r="K3641" s="3" t="inlineStr">
        <is>
          <t>Сюжет в "Мультипликационный сборник" N 1</t>
        </is>
      </c>
      <c r="L3641" s="2" t="inlineStr">
        <is>
          <t>https://animator.ru/db/?p=show_film&amp;fid=4211</t>
        </is>
      </c>
      <c r="M3641" s="2">
        <f>HYPERLINK("https://ru.wikipedia.org/w/index.php?search=%D0%96%D0%B0%D0%B2%D0%BE%D1%80%D0%BE%D0%BD%D0%BE%D0%BA%201970%20%D1%84%D0%B8%D0%BB%D1%8C%D0%BC","искать")</f>
        <v/>
      </c>
      <c r="N3641" s="3" t="n"/>
      <c r="O3641" s="2" t="n"/>
      <c r="P3641" s="2" t="n"/>
    </row>
    <row r="3642">
      <c r="A3642" s="2" t="n">
        <v>3641</v>
      </c>
      <c r="B3642" s="2" t="inlineStr">
        <is>
          <t>короткая</t>
        </is>
      </c>
      <c r="C3642" s="2" t="n">
        <v>12982</v>
      </c>
      <c r="D3642" s="3" t="inlineStr">
        <is>
          <t>Любитель одиночества</t>
        </is>
      </c>
      <c r="E3642" s="2" t="n">
        <v>1971</v>
      </c>
      <c r="F3642" s="2" t="inlineStr">
        <is>
          <t>мультфильм</t>
        </is>
      </c>
      <c r="G3642" s="2" t="inlineStr">
        <is>
          <t>КАЗАХФИЛЬМ</t>
        </is>
      </c>
      <c r="H3642" s="2" t="n">
        <v>40</v>
      </c>
      <c r="I3642" s="2" t="inlineStr"/>
      <c r="J3642" s="2" t="inlineStr"/>
      <c r="K3642" s="3" t="inlineStr">
        <is>
          <t>Сюжет в "Мультипликационный сборник" N 2</t>
        </is>
      </c>
      <c r="L3642" s="2" t="inlineStr">
        <is>
          <t>https://animator.ru/db/?p=show_film&amp;fid=4214</t>
        </is>
      </c>
      <c r="M3642" s="2">
        <f>HYPERLINK("https://ru.wikipedia.org/w/index.php?search=%D0%9B%D1%8E%D0%B1%D0%B8%D1%82%D0%B5%D0%BB%D1%8C%20%D0%BE%D0%B4%D0%B8%D0%BD%D0%BE%D1%87%D0%B5%D1%81%D1%82%D0%B2%D0%B0%201971%20%D1%84%D0%B8%D0%BB%D1%8C%D0%BC","искать")</f>
        <v/>
      </c>
      <c r="N3642" s="3" t="n"/>
      <c r="O3642" s="2" t="n"/>
      <c r="P3642" s="2" t="n"/>
    </row>
    <row r="3643">
      <c r="A3643" s="2" t="n">
        <v>3642</v>
      </c>
      <c r="B3643" s="2" t="inlineStr">
        <is>
          <t>короткая</t>
        </is>
      </c>
      <c r="C3643" s="2" t="n">
        <v>13370</v>
      </c>
      <c r="D3643" s="3" t="inlineStr">
        <is>
          <t>Оживший город</t>
        </is>
      </c>
      <c r="E3643" s="2" t="n">
        <v>1978</v>
      </c>
      <c r="F3643" s="2" t="inlineStr">
        <is>
          <t>мультфильм</t>
        </is>
      </c>
      <c r="G3643" s="2" t="inlineStr">
        <is>
          <t>УЗБЕКФИЛЬМ</t>
        </is>
      </c>
      <c r="H3643" s="2" t="n">
        <v>40</v>
      </c>
      <c r="I3643" s="2" t="inlineStr"/>
      <c r="J3643" s="2" t="inlineStr"/>
      <c r="K3643" s="3" t="inlineStr">
        <is>
          <t>Волшебное спасение заколдованного города</t>
        </is>
      </c>
      <c r="L3643" s="2" t="inlineStr">
        <is>
          <t>https://animator.ru/db/?p=show_film&amp;fid=4648</t>
        </is>
      </c>
      <c r="M3643" s="2">
        <f>HYPERLINK("https://ru.wikipedia.org/w/index.php?search=%D0%9E%D0%B6%D0%B8%D0%B2%D1%88%D0%B8%D0%B9%20%D0%B3%D0%BE%D1%80%D0%BE%D0%B4%201978%20%D1%84%D0%B8%D0%BB%D1%8C%D0%BC","искать")</f>
        <v/>
      </c>
      <c r="N3643" s="3" t="n"/>
      <c r="O3643" s="2" t="n"/>
      <c r="P3643" s="2" t="n"/>
    </row>
    <row r="3644">
      <c r="A3644" s="2" t="n">
        <v>3643</v>
      </c>
      <c r="B3644" s="2" t="inlineStr">
        <is>
          <t>короткая</t>
        </is>
      </c>
      <c r="C3644" s="2" t="n">
        <v>13417</v>
      </c>
      <c r="D3644" s="3" t="inlineStr">
        <is>
          <t>Зимняя сказка (1981)</t>
        </is>
      </c>
      <c r="E3644" s="2" t="n">
        <v>1981</v>
      </c>
      <c r="F3644" s="2" t="inlineStr">
        <is>
          <t>мультфильм</t>
        </is>
      </c>
      <c r="G3644" s="2" t="inlineStr">
        <is>
          <t>ЭКРАН</t>
        </is>
      </c>
      <c r="H3644" s="2" t="n">
        <v>40</v>
      </c>
      <c r="I3644" s="2" t="inlineStr"/>
      <c r="J3644" s="2" t="inlineStr"/>
      <c r="K3644" s="3" t="inlineStr">
        <is>
          <t>О дружбе ежика и медвежонка. Для малышей</t>
        </is>
      </c>
      <c r="L3644" s="2" t="inlineStr">
        <is>
          <t>https://animator.ru/db/?p=show_film&amp;fid=4698</t>
        </is>
      </c>
      <c r="M3644" s="2">
        <f>HYPERLINK("https://ru.wikipedia.org/w/index.php?search=%D0%97%D0%B8%D0%BC%D0%BD%D1%8F%D1%8F%20%D1%81%D0%BA%D0%B0%D0%B7%D0%BA%D0%B0%20%281981%29%201981%20%D1%84%D0%B8%D0%BB%D1%8C%D0%BC","искать")</f>
        <v/>
      </c>
      <c r="N3644" s="3" t="n"/>
      <c r="O3644" s="2" t="n"/>
      <c r="P3644" s="2" t="n"/>
    </row>
    <row r="3645">
      <c r="A3645" s="2" t="n">
        <v>3644</v>
      </c>
      <c r="B3645" s="2" t="inlineStr">
        <is>
          <t>короткая</t>
        </is>
      </c>
      <c r="C3645" s="2" t="n">
        <v>13461</v>
      </c>
      <c r="D3645" s="3" t="inlineStr">
        <is>
          <t>А в этой сказке было так</t>
        </is>
      </c>
      <c r="E3645" s="2" t="n">
        <v>1984</v>
      </c>
      <c r="F3645" s="2" t="inlineStr">
        <is>
          <t>мультфильм</t>
        </is>
      </c>
      <c r="G3645" s="2" t="inlineStr">
        <is>
          <t>ЭКРАН</t>
        </is>
      </c>
      <c r="H3645" s="2" t="n">
        <v>40</v>
      </c>
      <c r="I3645" s="2" t="inlineStr"/>
      <c r="J3645" s="2" t="inlineStr"/>
      <c r="K3645" s="3" t="inlineStr">
        <is>
          <t>Как Кот ученый сосватал Кащея и Бабу-Ягу</t>
        </is>
      </c>
      <c r="L3645" s="2" t="inlineStr">
        <is>
          <t>https://animator.ru/db/?p=show_film&amp;fid=4742</t>
        </is>
      </c>
      <c r="M3645" s="2">
        <f>HYPERLINK("https://ru.wikipedia.org/w/index.php?search=%D0%90%20%D0%B2%20%D1%8D%D1%82%D0%BE%D0%B9%20%D1%81%D0%BA%D0%B0%D0%B7%D0%BA%D0%B5%20%D0%B1%D1%8B%D0%BB%D0%BE%20%D1%82%D0%B0%D0%BA%201984%20%D1%84%D0%B8%D0%BB%D1%8C%D0%BC","искать")</f>
        <v/>
      </c>
      <c r="N3645" s="3" t="n"/>
      <c r="O3645" s="2" t="n"/>
      <c r="P3645" s="2" t="n"/>
    </row>
    <row r="3646">
      <c r="A3646" s="2" t="n">
        <v>3645</v>
      </c>
      <c r="B3646" s="2" t="inlineStr">
        <is>
          <t>короткая</t>
        </is>
      </c>
      <c r="C3646" s="2" t="n">
        <v>13577</v>
      </c>
      <c r="D3646" s="3" t="inlineStr">
        <is>
          <t>Ну, Погоди! ч.16</t>
        </is>
      </c>
      <c r="E3646" s="2" t="n">
        <v>1986</v>
      </c>
      <c r="F3646" s="2" t="inlineStr">
        <is>
          <t>мультфильм</t>
        </is>
      </c>
      <c r="G3646" s="2" t="inlineStr">
        <is>
          <t>Союзмультфильм</t>
        </is>
      </c>
      <c r="H3646" s="2" t="n">
        <v>40</v>
      </c>
      <c r="I3646" s="2" t="inlineStr"/>
      <c r="J3646" s="2" t="inlineStr"/>
      <c r="K3646" s="3" t="inlineStr">
        <is>
          <t>На этот раз Волк и Заяц попали в сказку.</t>
        </is>
      </c>
      <c r="L3646" s="2" t="inlineStr">
        <is>
          <t>2026-10_мультфильмы_список_владельца.xlsx; https://animator.ru/db/?p=show_film&amp;fid=4914</t>
        </is>
      </c>
      <c r="M3646" s="2">
        <f>HYPERLINK("https://ru.wikipedia.org/w/index.php?search=%D0%9D%D1%83%2C%20%D0%9F%D0%BE%D0%B3%D0%BE%D0%B4%D0%B8%21%20%D1%87.16%201986%20%D1%84%D0%B8%D0%BB%D1%8C%D0%BC","искать")</f>
        <v/>
      </c>
      <c r="N3646" s="3" t="n"/>
      <c r="O3646" s="2" t="n"/>
      <c r="P3646" s="2" t="n"/>
    </row>
    <row r="3647">
      <c r="A3647" s="2" t="n">
        <v>3646</v>
      </c>
      <c r="B3647" s="2" t="inlineStr">
        <is>
          <t>короткая</t>
        </is>
      </c>
      <c r="C3647" s="2" t="n">
        <v>13823</v>
      </c>
      <c r="D3647" s="3" t="inlineStr">
        <is>
          <t>Первые встречи</t>
        </is>
      </c>
      <c r="E3647" s="2" t="n">
        <v>1973</v>
      </c>
      <c r="F3647" s="2" t="inlineStr">
        <is>
          <t>мультфильм</t>
        </is>
      </c>
      <c r="G3647" s="2" t="inlineStr">
        <is>
          <t>ЭКРАН</t>
        </is>
      </c>
      <c r="H3647" s="2" t="n">
        <v>40</v>
      </c>
      <c r="I3647" s="2" t="inlineStr"/>
      <c r="J3647" s="2" t="inlineStr"/>
      <c r="K3647" s="3" t="inlineStr">
        <is>
          <t>О приключениях двух цыплят. Для малышей.</t>
        </is>
      </c>
      <c r="L3647" s="2" t="inlineStr">
        <is>
          <t>2026-10_мультфильмы_список_владельца.xlsx; https://animator.ru/db/?p=show_film&amp;fid=5216</t>
        </is>
      </c>
      <c r="M3647" s="2">
        <f>HYPERLINK("https://ru.wikipedia.org/w/index.php?search=%D0%9F%D0%B5%D1%80%D0%B2%D1%8B%D0%B5%20%D0%B2%D1%81%D1%82%D1%80%D0%B5%D1%87%D0%B8%201973%20%D1%84%D0%B8%D0%BB%D1%8C%D0%BC","искать")</f>
        <v/>
      </c>
      <c r="N3647" s="3" t="n"/>
      <c r="O3647" s="2" t="n"/>
      <c r="P3647" s="2" t="n"/>
    </row>
    <row r="3648">
      <c r="A3648" s="2" t="n">
        <v>3647</v>
      </c>
      <c r="B3648" s="2" t="inlineStr">
        <is>
          <t>короткая</t>
        </is>
      </c>
      <c r="C3648" s="2" t="n">
        <v>14188</v>
      </c>
      <c r="D3648" s="3" t="inlineStr">
        <is>
          <t>Такие дела</t>
        </is>
      </c>
      <c r="E3648" s="2" t="n">
        <v>1973</v>
      </c>
      <c r="F3648" s="2" t="inlineStr">
        <is>
          <t>мультфильм</t>
        </is>
      </c>
      <c r="G3648" s="2" t="inlineStr">
        <is>
          <t>ЭСТОНСКИЙ ТЕЛЕФИЛЬМ (EESTI TELEFILM)</t>
        </is>
      </c>
      <c r="H3648" s="2" t="n">
        <v>40</v>
      </c>
      <c r="I3648" s="2" t="inlineStr"/>
      <c r="J3648" s="2" t="inlineStr"/>
      <c r="K3648" s="3" t="inlineStr">
        <is>
          <t>О приключениях трех забавных человечков.</t>
        </is>
      </c>
      <c r="L3648" s="2" t="inlineStr">
        <is>
          <t>2026-10_мультфильмы_список_владельца.xlsx; https://animator.ru/db/?p=show_film&amp;fid=5586</t>
        </is>
      </c>
      <c r="M3648" s="2">
        <f>HYPERLINK("https://ru.wikipedia.org/w/index.php?search=%D0%A2%D0%B0%D0%BA%D0%B8%D0%B5%20%D0%B4%D0%B5%D0%BB%D0%B0%201973%20%D1%84%D0%B8%D0%BB%D1%8C%D0%BC","искать")</f>
        <v/>
      </c>
      <c r="N3648" s="3" t="n"/>
      <c r="O3648" s="2" t="n"/>
      <c r="P3648" s="2" t="n"/>
    </row>
    <row r="3649">
      <c r="A3649" s="2" t="n">
        <v>3648</v>
      </c>
      <c r="B3649" s="2" t="inlineStr">
        <is>
          <t>короткая</t>
        </is>
      </c>
      <c r="C3649" s="2" t="n">
        <v>11807</v>
      </c>
      <c r="D3649" s="3" t="inlineStr">
        <is>
          <t>О том, как гном покинул дом</t>
        </is>
      </c>
      <c r="E3649" s="2" t="n">
        <v>1976</v>
      </c>
      <c r="F3649" s="2" t="inlineStr">
        <is>
          <t>мультфильм</t>
        </is>
      </c>
      <c r="G3649" s="2" t="inlineStr">
        <is>
          <t>Союзмультфильм</t>
        </is>
      </c>
      <c r="H3649" s="2" t="n">
        <v>41</v>
      </c>
      <c r="I3649" s="2" t="inlineStr"/>
      <c r="J3649" s="2" t="inlineStr"/>
      <c r="K3649" s="3" t="inlineStr">
        <is>
          <t>Приключения маленького гномика. Для детей</t>
        </is>
      </c>
      <c r="L3649" s="2" t="inlineStr">
        <is>
          <t>https://animator.ru/db/?p=show_film&amp;fid=2721</t>
        </is>
      </c>
      <c r="M3649" s="2">
        <f>HYPERLINK("https://ru.wikipedia.org/w/index.php?search=%D0%9E%20%D1%82%D0%BE%D0%BC%2C%20%D0%BA%D0%B0%D0%BA%20%D0%B3%D0%BD%D0%BE%D0%BC%20%D0%BF%D0%BE%D0%BA%D0%B8%D0%BD%D1%83%D0%BB%20%D0%B4%D0%BE%D0%BC%201976%20%D1%84%D0%B8%D0%BB%D1%8C%D0%BC","искать")</f>
        <v/>
      </c>
      <c r="N3649" s="3" t="n"/>
      <c r="O3649" s="2" t="n"/>
      <c r="P3649" s="2" t="n"/>
    </row>
    <row r="3650">
      <c r="A3650" s="2" t="n">
        <v>3649</v>
      </c>
      <c r="B3650" s="2" t="inlineStr">
        <is>
          <t>короткая</t>
        </is>
      </c>
      <c r="C3650" s="2" t="n">
        <v>12197</v>
      </c>
      <c r="D3650" s="3" t="inlineStr">
        <is>
          <t>Чудеса техники</t>
        </is>
      </c>
      <c r="E3650" s="2" t="n">
        <v>1986</v>
      </c>
      <c r="F3650" s="2" t="inlineStr">
        <is>
          <t>мультфильм</t>
        </is>
      </c>
      <c r="G3650" s="2" t="inlineStr">
        <is>
          <t>Союзмультфильм</t>
        </is>
      </c>
      <c r="H3650" s="2" t="n">
        <v>41</v>
      </c>
      <c r="I3650" s="2" t="inlineStr"/>
      <c r="J3650" s="2" t="inlineStr"/>
      <c r="K3650" s="3" t="inlineStr">
        <is>
          <t>Как компьютер проучил ленивых школьников.</t>
        </is>
      </c>
      <c r="L3650" s="2" t="inlineStr">
        <is>
          <t>2026-10_мультфильмы_список_владельца.xlsx; https://animator.ru/db/?p=show_film&amp;fid=3314</t>
        </is>
      </c>
      <c r="M3650" s="2">
        <f>HYPERLINK("https://ru.wikipedia.org/w/index.php?search=%D0%A7%D1%83%D0%B4%D0%B5%D1%81%D0%B0%20%D1%82%D0%B5%D1%85%D0%BD%D0%B8%D0%BA%D0%B8%201986%20%D1%84%D0%B8%D0%BB%D1%8C%D0%BC","искать")</f>
        <v/>
      </c>
      <c r="N3650" s="3" t="n"/>
      <c r="O3650" s="2" t="n"/>
      <c r="P3650" s="2" t="n"/>
    </row>
    <row r="3651">
      <c r="A3651" s="2" t="n">
        <v>3650</v>
      </c>
      <c r="B3651" s="2" t="inlineStr">
        <is>
          <t>короткая</t>
        </is>
      </c>
      <c r="C3651" s="2" t="n">
        <v>13216</v>
      </c>
      <c r="D3651" s="3" t="inlineStr">
        <is>
          <t>Дворняга + дворняга</t>
        </is>
      </c>
      <c r="E3651" s="2" t="n">
        <v>1989</v>
      </c>
      <c r="F3651" s="2" t="inlineStr">
        <is>
          <t>мультфильм</t>
        </is>
      </c>
      <c r="G3651" s="2" t="inlineStr">
        <is>
          <t>УЗБЕКФИЛЬМ</t>
        </is>
      </c>
      <c r="H3651" s="2" t="n">
        <v>41</v>
      </c>
      <c r="I3651" s="2" t="inlineStr"/>
      <c r="J3651" s="2" t="inlineStr"/>
      <c r="K3651" s="3" t="inlineStr">
        <is>
          <t>Несколько сюжетов о двух дружных собачках</t>
        </is>
      </c>
      <c r="L3651" s="2" t="inlineStr">
        <is>
          <t>https://animator.ru/db/?p=show_film&amp;fid=4455</t>
        </is>
      </c>
      <c r="M3651" s="2">
        <f>HYPERLINK("https://ru.wikipedia.org/w/index.php?search=%D0%94%D0%B2%D0%BE%D1%80%D0%BD%D1%8F%D0%B3%D0%B0%20%2B%20%D0%B4%D0%B2%D0%BE%D1%80%D0%BD%D1%8F%D0%B3%D0%B0%201989%20%D1%84%D0%B8%D0%BB%D1%8C%D0%BC","искать")</f>
        <v/>
      </c>
      <c r="N3651" s="3" t="n"/>
      <c r="O3651" s="2" t="n"/>
      <c r="P3651" s="2" t="n"/>
    </row>
    <row r="3652">
      <c r="A3652" s="2" t="n">
        <v>3651</v>
      </c>
      <c r="B3652" s="2" t="inlineStr">
        <is>
          <t>короткая</t>
        </is>
      </c>
      <c r="C3652" s="2" t="n">
        <v>13412</v>
      </c>
      <c r="D3652" s="3" t="inlineStr">
        <is>
          <t>Жил-был Саушкин (ч.2)</t>
        </is>
      </c>
      <c r="E3652" s="2" t="n">
        <v>1981</v>
      </c>
      <c r="F3652" s="2" t="inlineStr">
        <is>
          <t>мультфильм</t>
        </is>
      </c>
      <c r="G3652" s="2" t="inlineStr">
        <is>
          <t>ЭКРАН</t>
        </is>
      </c>
      <c r="H3652" s="2" t="n">
        <v>41</v>
      </c>
      <c r="I3652" s="2" t="inlineStr"/>
      <c r="J3652" s="2" t="inlineStr"/>
      <c r="K3652" s="3" t="inlineStr">
        <is>
          <t>О приключениях мальчика в стране добряков</t>
        </is>
      </c>
      <c r="L3652" s="2" t="inlineStr">
        <is>
          <t>2026-10_мультфильмы_список_владельца.xlsx; https://animator.ru/db/?p=show_film&amp;fid=4692</t>
        </is>
      </c>
      <c r="M3652" s="2">
        <f>HYPERLINK("https://ru.wikipedia.org/w/index.php?search=%D0%96%D0%B8%D0%BB-%D0%B1%D1%8B%D0%BB%20%D0%A1%D0%B0%D1%83%D1%88%D0%BA%D0%B8%D0%BD%20%28%D1%87.2%29%201981%20%D1%84%D0%B8%D0%BB%D1%8C%D0%BC","искать")</f>
        <v/>
      </c>
      <c r="N3652" s="3" t="n"/>
      <c r="O3652" s="2" t="n"/>
      <c r="P3652" s="2" t="n"/>
    </row>
    <row r="3653">
      <c r="A3653" s="2" t="n">
        <v>3652</v>
      </c>
      <c r="B3653" s="2" t="inlineStr">
        <is>
          <t>короткая</t>
        </is>
      </c>
      <c r="C3653" s="2" t="n">
        <v>13382</v>
      </c>
      <c r="D3653" s="3" t="inlineStr">
        <is>
          <t>Когда растаял снег</t>
        </is>
      </c>
      <c r="E3653" s="2" t="n">
        <v>1978</v>
      </c>
      <c r="F3653" s="2" t="inlineStr">
        <is>
          <t>мультфильм</t>
        </is>
      </c>
      <c r="G3653" s="2" t="inlineStr">
        <is>
          <t>ЭКРАН</t>
        </is>
      </c>
      <c r="H3653" s="2" t="n">
        <v>42</v>
      </c>
      <c r="I3653" s="2" t="inlineStr"/>
      <c r="J3653" s="2" t="inlineStr"/>
      <c r="K3653" s="3" t="inlineStr">
        <is>
          <t>О путешествии маленькой мышки. Для малышей</t>
        </is>
      </c>
      <c r="L3653" s="2" t="inlineStr">
        <is>
          <t>https://animator.ru/db/?p=show_film&amp;fid=4662</t>
        </is>
      </c>
      <c r="M3653" s="2">
        <f>HYPERLINK("https://ru.wikipedia.org/w/index.php?search=%D0%9A%D0%BE%D0%B3%D0%B4%D0%B0%20%D1%80%D0%B0%D1%81%D1%82%D0%B0%D1%8F%D0%BB%20%D1%81%D0%BD%D0%B5%D0%B3%201978%20%D1%84%D0%B8%D0%BB%D1%8C%D0%BC","искать")</f>
        <v/>
      </c>
      <c r="N3653" s="3" t="n"/>
      <c r="O3653" s="2" t="n"/>
      <c r="P3653" s="2" t="n"/>
    </row>
    <row r="3654">
      <c r="A3654" s="2" t="n">
        <v>3653</v>
      </c>
      <c r="B3654" s="2" t="inlineStr">
        <is>
          <t>короткая</t>
        </is>
      </c>
      <c r="C3654" s="2" t="n">
        <v>13418</v>
      </c>
      <c r="D3654" s="3" t="inlineStr">
        <is>
          <t>Жил-был Саушкин (ч.3)</t>
        </is>
      </c>
      <c r="E3654" s="2" t="n">
        <v>1982</v>
      </c>
      <c r="F3654" s="2" t="inlineStr">
        <is>
          <t>мультфильм</t>
        </is>
      </c>
      <c r="G3654" s="2" t="inlineStr">
        <is>
          <t>ЭКРАН</t>
        </is>
      </c>
      <c r="H3654" s="2" t="n">
        <v>42</v>
      </c>
      <c r="I3654" s="2" t="inlineStr"/>
      <c r="J3654" s="2" t="inlineStr"/>
      <c r="K3654" s="3" t="inlineStr">
        <is>
          <t>О приключениях мальчика в стране добряков.</t>
        </is>
      </c>
      <c r="L3654" s="2" t="inlineStr">
        <is>
          <t>2026-10_мультфильмы_список_владельца.xlsx; https://animator.ru/db/?p=show_film&amp;fid=4699</t>
        </is>
      </c>
      <c r="M3654" s="2">
        <f>HYPERLINK("https://ru.wikipedia.org/w/index.php?search=%D0%96%D0%B8%D0%BB-%D0%B1%D1%8B%D0%BB%20%D0%A1%D0%B0%D1%83%D1%88%D0%BA%D0%B8%D0%BD%20%28%D1%87.3%29%201982%20%D1%84%D0%B8%D0%BB%D1%8C%D0%BC","искать")</f>
        <v/>
      </c>
      <c r="N3654" s="3" t="n"/>
      <c r="O3654" s="2" t="n"/>
      <c r="P3654" s="2" t="n"/>
    </row>
    <row r="3655">
      <c r="A3655" s="2" t="n">
        <v>3654</v>
      </c>
      <c r="B3655" s="2" t="inlineStr">
        <is>
          <t>короткая</t>
        </is>
      </c>
      <c r="C3655" s="2" t="n">
        <v>13492</v>
      </c>
      <c r="D3655" s="3" t="inlineStr">
        <is>
          <t>Квартет "Ква-Kва"</t>
        </is>
      </c>
      <c r="E3655" s="2" t="n">
        <v>1977</v>
      </c>
      <c r="F3655" s="2" t="inlineStr">
        <is>
          <t>мультфильм</t>
        </is>
      </c>
      <c r="G3655" s="2" t="inlineStr">
        <is>
          <t>УЗБЕКФИЛЬМ</t>
        </is>
      </c>
      <c r="H3655" s="2" t="n">
        <v>42</v>
      </c>
      <c r="I3655" s="2" t="inlineStr"/>
      <c r="J3655" s="2" t="inlineStr"/>
      <c r="K3655" s="3" t="inlineStr">
        <is>
          <t>О лягушках, создавших музыкальный ансамбль</t>
        </is>
      </c>
      <c r="L3655" s="2" t="inlineStr">
        <is>
          <t>https://animator.ru/db/?p=show_film&amp;fid=4782</t>
        </is>
      </c>
      <c r="M3655" s="2">
        <f>HYPERLINK("https://ru.wikipedia.org/w/index.php?search=%D0%9A%D0%B2%D0%B0%D1%80%D1%82%D0%B5%D1%82%20%22%D0%9A%D0%B2%D0%B0-K%D0%B2%D0%B0%22%201977%20%D1%84%D0%B8%D0%BB%D1%8C%D0%BC","искать")</f>
        <v/>
      </c>
      <c r="N3655" s="3" t="n"/>
      <c r="O3655" s="2" t="n"/>
      <c r="P3655" s="2" t="n"/>
    </row>
    <row r="3656">
      <c r="A3656" s="2" t="n">
        <v>3655</v>
      </c>
      <c r="B3656" s="2" t="inlineStr">
        <is>
          <t>короткая</t>
        </is>
      </c>
      <c r="C3656" s="2" t="n">
        <v>13583</v>
      </c>
      <c r="D3656" s="3" t="inlineStr">
        <is>
          <t>Кто сильней?..</t>
        </is>
      </c>
      <c r="E3656" s="2" t="n">
        <v>1984</v>
      </c>
      <c r="F3656" s="2" t="inlineStr">
        <is>
          <t>мультфильм</t>
        </is>
      </c>
      <c r="G3656" s="2" t="inlineStr">
        <is>
          <t>ЭКРАН</t>
        </is>
      </c>
      <c r="H3656" s="2" t="n">
        <v>42</v>
      </c>
      <c r="I3656" s="2" t="inlineStr"/>
      <c r="J3656" s="2" t="inlineStr"/>
      <c r="K3656" s="3" t="inlineStr">
        <is>
          <t>Как Алеша перевоспитал грубияна. Для детей</t>
        </is>
      </c>
      <c r="L3656" s="2" t="inlineStr">
        <is>
          <t>https://animator.ru/db/?p=show_film&amp;fid=4921</t>
        </is>
      </c>
      <c r="M3656" s="2">
        <f>HYPERLINK("https://ru.wikipedia.org/w/index.php?search=%D0%9A%D1%82%D0%BE%20%D1%81%D0%B8%D0%BB%D1%8C%D0%BD%D0%B5%D0%B9%3F..%201984%20%D1%84%D0%B8%D0%BB%D1%8C%D0%BC","искать")</f>
        <v/>
      </c>
      <c r="N3656" s="3" t="n"/>
      <c r="O3656" s="2" t="n"/>
      <c r="P3656" s="2" t="n"/>
    </row>
    <row r="3657">
      <c r="A3657" s="2" t="n">
        <v>3656</v>
      </c>
      <c r="B3657" s="2" t="inlineStr">
        <is>
          <t>короткая</t>
        </is>
      </c>
      <c r="C3657" s="2" t="n">
        <v>13711</v>
      </c>
      <c r="D3657" s="3" t="inlineStr">
        <is>
          <t>Как Иван-молодец царску дочку спасал</t>
        </is>
      </c>
      <c r="E3657" s="2" t="n">
        <v>1989</v>
      </c>
      <c r="F3657" s="2" t="inlineStr">
        <is>
          <t>мультфильм</t>
        </is>
      </c>
      <c r="G3657" s="2" t="inlineStr">
        <is>
          <t>ЭКРАН</t>
        </is>
      </c>
      <c r="H3657" s="2" t="n">
        <v>42</v>
      </c>
      <c r="I3657" s="2" t="inlineStr"/>
      <c r="J3657" s="2" t="inlineStr"/>
      <c r="K3657" s="3" t="inlineStr">
        <is>
          <t>По мотивам русских сказок о Змее Горыныче.</t>
        </is>
      </c>
      <c r="L3657" s="2" t="inlineStr">
        <is>
          <t>2026-10_мультфильмы_список_владельца.xlsx; https://animator.ru/db/?p=show_film&amp;fid=5104</t>
        </is>
      </c>
      <c r="M3657" s="2">
        <f>HYPERLINK("https://ru.wikipedia.org/w/index.php?search=%D0%9A%D0%B0%D0%BA%20%D0%98%D0%B2%D0%B0%D0%BD-%D0%BC%D0%BE%D0%BB%D0%BE%D0%B4%D0%B5%D1%86%20%D1%86%D0%B0%D1%80%D1%81%D0%BA%D1%83%20%D0%B4%D0%BE%D1%87%D0%BA%D1%83%20%D1%81%D0%BF%D0%B0%D1%81%D0%B0%D0%BB%201989%20%D1%84%D0%B8%D0%BB%D1%8C%D0%BC","искать")</f>
        <v/>
      </c>
      <c r="N3657" s="3" t="n"/>
      <c r="O3657" s="2" t="n"/>
      <c r="P3657" s="2" t="n"/>
    </row>
    <row r="3658">
      <c r="A3658" s="2" t="n">
        <v>3657</v>
      </c>
      <c r="B3658" s="2" t="inlineStr">
        <is>
          <t>короткая</t>
        </is>
      </c>
      <c r="C3658" s="2" t="n">
        <v>13813</v>
      </c>
      <c r="D3658" s="3" t="inlineStr">
        <is>
          <t>От тебя одни слезы</t>
        </is>
      </c>
      <c r="E3658" s="2" t="n">
        <v>1976</v>
      </c>
      <c r="F3658" s="2" t="inlineStr">
        <is>
          <t>мультфильм</t>
        </is>
      </c>
      <c r="G3658" s="2" t="inlineStr">
        <is>
          <t>ЭКРАН</t>
        </is>
      </c>
      <c r="H3658" s="2" t="n">
        <v>42</v>
      </c>
      <c r="I3658" s="2" t="inlineStr"/>
      <c r="J3658" s="2" t="inlineStr"/>
      <c r="K3658" s="3" t="inlineStr">
        <is>
          <t>Как маленький лук выручил из беды капусту.</t>
        </is>
      </c>
      <c r="L3658" s="2" t="inlineStr">
        <is>
          <t>2026-10_мультфильмы_список_владельца.xlsx; https://animator.ru/db/?p=show_film&amp;fid=5206</t>
        </is>
      </c>
      <c r="M3658" s="2">
        <f>HYPERLINK("https://ru.wikipedia.org/w/index.php?search=%D0%9E%D1%82%20%D1%82%D0%B5%D0%B1%D1%8F%20%D0%BE%D0%B4%D0%BD%D0%B8%20%D1%81%D0%BB%D0%B5%D0%B7%D1%8B%201976%20%D1%84%D0%B8%D0%BB%D1%8C%D0%BC","искать")</f>
        <v/>
      </c>
      <c r="N3658" s="3" t="n"/>
      <c r="O3658" s="2" t="n"/>
      <c r="P3658" s="2" t="n"/>
    </row>
    <row r="3659">
      <c r="A3659" s="2" t="n">
        <v>3658</v>
      </c>
      <c r="B3659" s="2" t="inlineStr">
        <is>
          <t>короткая</t>
        </is>
      </c>
      <c r="C3659" s="2" t="n">
        <v>13877</v>
      </c>
      <c r="D3659" s="3" t="inlineStr">
        <is>
          <t>Репетиция</t>
        </is>
      </c>
      <c r="E3659" s="2" t="n">
        <v>1976</v>
      </c>
      <c r="F3659" s="2" t="inlineStr">
        <is>
          <t>мультфильм</t>
        </is>
      </c>
      <c r="G3659" s="2" t="inlineStr">
        <is>
          <t>ЭКРАН</t>
        </is>
      </c>
      <c r="H3659" s="2" t="n">
        <v>42</v>
      </c>
      <c r="I3659" s="2" t="inlineStr"/>
      <c r="J3659" s="2" t="inlineStr"/>
      <c r="K3659" s="3" t="inlineStr">
        <is>
          <t>Как зверушек подружила музыка. Для малышей</t>
        </is>
      </c>
      <c r="L3659" s="2" t="inlineStr">
        <is>
          <t>https://animator.ru/db/?p=show_film&amp;fid=5270</t>
        </is>
      </c>
      <c r="M3659" s="2">
        <f>HYPERLINK("https://ru.wikipedia.org/w/index.php?search=%D0%A0%D0%B5%D0%BF%D0%B5%D1%82%D0%B8%D1%86%D0%B8%D1%8F%201976%20%D1%84%D0%B8%D0%BB%D1%8C%D0%BC","искать")</f>
        <v/>
      </c>
      <c r="N3659" s="3" t="n"/>
      <c r="O3659" s="2" t="n"/>
      <c r="P3659" s="2" t="n"/>
    </row>
    <row r="3660">
      <c r="A3660" s="2" t="n">
        <v>3659</v>
      </c>
      <c r="B3660" s="2" t="inlineStr">
        <is>
          <t>короткая</t>
        </is>
      </c>
      <c r="C3660" s="2" t="n">
        <v>14360</v>
      </c>
      <c r="D3660" s="3" t="inlineStr">
        <is>
          <t>Жил-был Саушкин (ч.1)</t>
        </is>
      </c>
      <c r="E3660" s="2" t="n">
        <v>1981</v>
      </c>
      <c r="F3660" s="2" t="inlineStr">
        <is>
          <t>мультфильм</t>
        </is>
      </c>
      <c r="G3660" s="2" t="inlineStr">
        <is>
          <t>ЭКРАН</t>
        </is>
      </c>
      <c r="H3660" s="2" t="n">
        <v>42</v>
      </c>
      <c r="I3660" s="2" t="inlineStr"/>
      <c r="J3660" s="2" t="inlineStr"/>
      <c r="K3660" s="3" t="inlineStr">
        <is>
          <t>О приключениях мальчика в стране добряков.</t>
        </is>
      </c>
      <c r="L3660" s="2" t="inlineStr">
        <is>
          <t>2026-10_мультфильмы_список_владельца.xlsx; https://animator.ru/db/?p=show_film&amp;fid=6058</t>
        </is>
      </c>
      <c r="M3660" s="2">
        <f>HYPERLINK("https://ru.wikipedia.org/w/index.php?search=%D0%96%D0%B8%D0%BB-%D0%B1%D1%8B%D0%BB%20%D0%A1%D0%B0%D1%83%D1%88%D0%BA%D0%B8%D0%BD%20%28%D1%87.1%29%201981%20%D1%84%D0%B8%D0%BB%D1%8C%D0%BC","искать")</f>
        <v/>
      </c>
      <c r="N3660" s="3" t="n"/>
      <c r="O3660" s="2" t="n"/>
      <c r="P3660" s="2" t="n"/>
    </row>
    <row r="3661">
      <c r="A3661" s="2" t="n">
        <v>3660</v>
      </c>
      <c r="B3661" s="2" t="inlineStr">
        <is>
          <t>короткая</t>
        </is>
      </c>
      <c r="C3661" s="2" t="n">
        <v>13438</v>
      </c>
      <c r="D3661" s="3" t="inlineStr">
        <is>
          <t>Осенние корабли</t>
        </is>
      </c>
      <c r="E3661" s="2" t="n">
        <v>1982</v>
      </c>
      <c r="F3661" s="2" t="inlineStr">
        <is>
          <t>мультфильм</t>
        </is>
      </c>
      <c r="G3661" s="2" t="inlineStr">
        <is>
          <t>ЭКРАН</t>
        </is>
      </c>
      <c r="H3661" s="2" t="n">
        <v>43</v>
      </c>
      <c r="I3661" s="2" t="inlineStr"/>
      <c r="J3661" s="2" t="inlineStr"/>
      <c r="K3661" s="3" t="inlineStr">
        <is>
          <t>Про Ежика, который мечтал о море. Для детей</t>
        </is>
      </c>
      <c r="L3661" s="2" t="inlineStr">
        <is>
          <t>https://animator.ru/db/?p=show_film&amp;fid=4719</t>
        </is>
      </c>
      <c r="M3661" s="2">
        <f>HYPERLINK("https://ru.wikipedia.org/w/index.php?search=%D0%9E%D1%81%D0%B5%D0%BD%D0%BD%D0%B8%D0%B5%20%D0%BA%D0%BE%D1%80%D0%B0%D0%B1%D0%BB%D0%B8%201982%20%D1%84%D0%B8%D0%BB%D1%8C%D0%BC","искать")</f>
        <v/>
      </c>
      <c r="N3661" s="3" t="n"/>
      <c r="O3661" s="2" t="n"/>
      <c r="P3661" s="2" t="n"/>
    </row>
    <row r="3662">
      <c r="A3662" s="2" t="n">
        <v>3661</v>
      </c>
      <c r="B3662" s="2" t="inlineStr">
        <is>
          <t>короткая</t>
        </is>
      </c>
      <c r="C3662" s="2" t="n">
        <v>13887</v>
      </c>
      <c r="D3662" s="3" t="inlineStr">
        <is>
          <t>Свидание</t>
        </is>
      </c>
      <c r="E3662" s="2" t="n">
        <v>1982</v>
      </c>
      <c r="F3662" s="2" t="inlineStr">
        <is>
          <t>мультфильм</t>
        </is>
      </c>
      <c r="G3662" s="2" t="inlineStr">
        <is>
          <t>ЭКРАН</t>
        </is>
      </c>
      <c r="H3662" s="2" t="n">
        <v>43</v>
      </c>
      <c r="I3662" s="2" t="inlineStr"/>
      <c r="J3662" s="2" t="inlineStr"/>
      <c r="K3662" s="3" t="inlineStr">
        <is>
          <t>Новогодняя шутка о свидании двух снеговиков</t>
        </is>
      </c>
      <c r="L3662" s="2" t="inlineStr">
        <is>
          <t>https://animator.ru/db/?p=show_film&amp;fid=5280</t>
        </is>
      </c>
      <c r="M3662" s="2">
        <f>HYPERLINK("https://ru.wikipedia.org/w/index.php?search=%D0%A1%D0%B2%D0%B8%D0%B4%D0%B0%D0%BD%D0%B8%D0%B5%201982%20%D1%84%D0%B8%D0%BB%D1%8C%D0%BC","искать")</f>
        <v/>
      </c>
      <c r="N3662" s="3" t="n"/>
      <c r="O3662" s="2" t="n"/>
      <c r="P3662" s="2" t="inlineStr">
        <is>
          <t>ГФФ: «СВИДАНИЕ» 1982 — по сверке другой фильм, не предложено</t>
        </is>
      </c>
    </row>
    <row r="3663">
      <c r="A3663" s="2" t="n">
        <v>3662</v>
      </c>
      <c r="B3663" s="2" t="inlineStr">
        <is>
          <t>короткая</t>
        </is>
      </c>
      <c r="C3663" s="2" t="n">
        <v>14077</v>
      </c>
      <c r="D3663" s="3" t="inlineStr">
        <is>
          <t>Удивительный манеж</t>
        </is>
      </c>
      <c r="E3663" s="2" t="n">
        <v>1979</v>
      </c>
      <c r="F3663" s="2" t="inlineStr">
        <is>
          <t>мультфильм</t>
        </is>
      </c>
      <c r="G3663" s="2" t="inlineStr">
        <is>
          <t>УЗБЕКФИЛЬМ</t>
        </is>
      </c>
      <c r="H3663" s="2" t="n">
        <v>43</v>
      </c>
      <c r="I3663" s="2" t="inlineStr"/>
      <c r="J3663" s="2" t="inlineStr"/>
      <c r="K3663" s="3" t="inlineStr">
        <is>
          <t>Как красавица-корова стала артисткой цирка.</t>
        </is>
      </c>
      <c r="L3663" s="2" t="inlineStr">
        <is>
          <t>2026-10_мультфильмы_список_владельца.xlsx; https://animator.ru/db/?p=show_film&amp;fid=5474</t>
        </is>
      </c>
      <c r="M3663" s="2">
        <f>HYPERLINK("https://ru.wikipedia.org/w/index.php?search=%D0%A3%D0%B4%D0%B8%D0%B2%D0%B8%D1%82%D0%B5%D0%BB%D1%8C%D0%BD%D1%8B%D0%B9%20%D0%BC%D0%B0%D0%BD%D0%B5%D0%B6%201979%20%D1%84%D0%B8%D0%BB%D1%8C%D0%BC","искать")</f>
        <v/>
      </c>
      <c r="N3663" s="3" t="n"/>
      <c r="O3663" s="2" t="n"/>
      <c r="P3663" s="2" t="n"/>
    </row>
    <row r="3664">
      <c r="A3664" s="2" t="n">
        <v>3663</v>
      </c>
      <c r="B3664" s="2" t="inlineStr">
        <is>
          <t>короткая</t>
        </is>
      </c>
      <c r="C3664" s="2" t="n">
        <v>9875</v>
      </c>
      <c r="D3664" s="3" t="inlineStr">
        <is>
          <t>Клад</t>
        </is>
      </c>
      <c r="E3664" s="2" t="n">
        <v>1970</v>
      </c>
      <c r="F3664" s="2" t="inlineStr">
        <is>
          <t>кинофильм</t>
        </is>
      </c>
      <c r="G3664" s="2" t="inlineStr">
        <is>
          <t>Азербайджанфильм</t>
        </is>
      </c>
      <c r="H3664" s="2" t="n">
        <v>44</v>
      </c>
      <c r="I3664" s="2" t="inlineStr"/>
      <c r="J3664" s="2" t="inlineStr"/>
      <c r="K3664" s="3" t="inlineStr">
        <is>
          <t>История, связанная с поиском клада в Каспии.</t>
        </is>
      </c>
      <c r="L3664" s="2" t="inlineStr">
        <is>
          <t>https://www.kino-teatr.ru/short/movie/sov/85396/annot/</t>
        </is>
      </c>
      <c r="M3664" s="2">
        <f>HYPERLINK("https://ru.wikipedia.org/w/index.php?search=%D0%9A%D0%BB%D0%B0%D0%B4%201970%20%D1%84%D0%B8%D0%BB%D1%8C%D0%BC","искать")</f>
        <v/>
      </c>
      <c r="N3664" s="3" t="n"/>
      <c r="O3664" s="2" t="n"/>
      <c r="P3664" s="2" t="n"/>
    </row>
    <row r="3665">
      <c r="A3665" s="2" t="n">
        <v>3664</v>
      </c>
      <c r="B3665" s="2" t="inlineStr">
        <is>
          <t>короткая</t>
        </is>
      </c>
      <c r="C3665" s="2" t="n">
        <v>11746</v>
      </c>
      <c r="D3665" s="3" t="inlineStr">
        <is>
          <t>Проделкин в школе</t>
        </is>
      </c>
      <c r="E3665" s="2" t="n">
        <v>1974</v>
      </c>
      <c r="F3665" s="2" t="inlineStr">
        <is>
          <t>мультфильм</t>
        </is>
      </c>
      <c r="G3665" s="2" t="inlineStr">
        <is>
          <t>Союзмультфильм</t>
        </is>
      </c>
      <c r="H3665" s="2" t="n">
        <v>44</v>
      </c>
      <c r="I3665" s="2" t="inlineStr"/>
      <c r="J3665" s="2" t="inlineStr"/>
      <c r="K3665" s="3" t="inlineStr">
        <is>
          <t>Три сюжета о школьнике Проделкине. Для детей</t>
        </is>
      </c>
      <c r="L3665" s="2" t="inlineStr">
        <is>
          <t>https://animator.ru/db/?p=show_film&amp;fid=2660</t>
        </is>
      </c>
      <c r="M3665" s="2">
        <f>HYPERLINK("https://ru.wikipedia.org/w/index.php?search=%D0%9F%D1%80%D0%BE%D0%B4%D0%B5%D0%BB%D0%BA%D0%B8%D0%BD%20%D0%B2%20%D1%88%D0%BA%D0%BE%D0%BB%D0%B5%201974%20%D1%84%D0%B8%D0%BB%D1%8C%D0%BC","искать")</f>
        <v/>
      </c>
      <c r="N3665" s="3" t="n"/>
      <c r="O3665" s="2" t="n"/>
      <c r="P3665" s="2" t="n"/>
    </row>
    <row r="3666">
      <c r="A3666" s="2" t="n">
        <v>3665</v>
      </c>
      <c r="B3666" s="2" t="inlineStr">
        <is>
          <t>короткая</t>
        </is>
      </c>
      <c r="C3666" s="2" t="n">
        <v>12814</v>
      </c>
      <c r="D3666" s="3" t="inlineStr">
        <is>
          <t>Коварство и любовь</t>
        </is>
      </c>
      <c r="E3666" s="2" t="n">
        <v>1971</v>
      </c>
      <c r="F3666" s="2" t="inlineStr">
        <is>
          <t>мультфильм</t>
        </is>
      </c>
      <c r="G3666" s="2" t="inlineStr">
        <is>
          <t>ГРУЗИЯ-ФИЛЬМ - АО</t>
        </is>
      </c>
      <c r="H3666" s="2" t="n">
        <v>44</v>
      </c>
      <c r="I3666" s="2" t="inlineStr"/>
      <c r="J3666" s="2" t="inlineStr"/>
      <c r="K3666" s="3" t="inlineStr">
        <is>
          <t>Как любовь побеждает коварство. Для взрослых</t>
        </is>
      </c>
      <c r="L3666" s="2" t="inlineStr">
        <is>
          <t>https://animator.ru/db/?p=show_film&amp;fid=4025</t>
        </is>
      </c>
      <c r="M3666" s="2">
        <f>HYPERLINK("https://ru.wikipedia.org/w/index.php?search=%D0%9A%D0%BE%D0%B2%D0%B0%D1%80%D1%81%D1%82%D0%B2%D0%BE%20%D0%B8%20%D0%BB%D1%8E%D0%B1%D0%BE%D0%B2%D1%8C%201971%20%D1%84%D0%B8%D0%BB%D1%8C%D0%BC","искать")</f>
        <v/>
      </c>
      <c r="N3666" s="3" t="n"/>
      <c r="O3666" s="2" t="n"/>
      <c r="P3666" s="2" t="n"/>
    </row>
    <row r="3667">
      <c r="A3667" s="2" t="n">
        <v>3666</v>
      </c>
      <c r="B3667" s="2" t="inlineStr">
        <is>
          <t>короткая</t>
        </is>
      </c>
      <c r="C3667" s="2" t="n">
        <v>13091</v>
      </c>
      <c r="D3667" s="3" t="inlineStr">
        <is>
          <t>Аистенок кич</t>
        </is>
      </c>
      <c r="E3667" s="2" t="n">
        <v>1971</v>
      </c>
      <c r="F3667" s="2" t="inlineStr">
        <is>
          <t>мультфильм</t>
        </is>
      </c>
      <c r="G3667" s="2" t="inlineStr">
        <is>
          <t>МОЛДОВА-ФИЛЬМ</t>
        </is>
      </c>
      <c r="H3667" s="2" t="n">
        <v>44</v>
      </c>
      <c r="I3667" s="2" t="inlineStr"/>
      <c r="J3667" s="2" t="inlineStr"/>
      <c r="K3667" s="3" t="inlineStr">
        <is>
          <t>Добрый аистенок воспитал осиротевших птенцов</t>
        </is>
      </c>
      <c r="L3667" s="2" t="inlineStr">
        <is>
          <t>https://animator.ru/db/?p=show_film&amp;fid=4323</t>
        </is>
      </c>
      <c r="M3667" s="2">
        <f>HYPERLINK("https://ru.wikipedia.org/w/index.php?search=%D0%90%D0%B8%D1%81%D1%82%D0%B5%D0%BD%D0%BE%D0%BA%20%D0%BA%D0%B8%D1%87%201971%20%D1%84%D0%B8%D0%BB%D1%8C%D0%BC","искать")</f>
        <v/>
      </c>
      <c r="N3667" s="3" t="n"/>
      <c r="O3667" s="2" t="n"/>
      <c r="P3667" s="2" t="n"/>
    </row>
    <row r="3668">
      <c r="A3668" s="2" t="n">
        <v>3667</v>
      </c>
      <c r="B3668" s="2" t="inlineStr">
        <is>
          <t>короткая</t>
        </is>
      </c>
      <c r="C3668" s="2" t="n">
        <v>13679</v>
      </c>
      <c r="D3668" s="3" t="inlineStr">
        <is>
          <t>Дима отправляется в путь</t>
        </is>
      </c>
      <c r="E3668" s="2" t="n">
        <v>1978</v>
      </c>
      <c r="F3668" s="2" t="inlineStr">
        <is>
          <t>мультфильм</t>
        </is>
      </c>
      <c r="G3668" s="2" t="inlineStr">
        <is>
          <t>ЭКРАН</t>
        </is>
      </c>
      <c r="H3668" s="2" t="n">
        <v>44</v>
      </c>
      <c r="I3668" s="2" t="inlineStr"/>
      <c r="J3668" s="2" t="inlineStr"/>
      <c r="K3668" s="3" t="inlineStr">
        <is>
          <t>Как пионер Дима выбирал профессию. Для детей</t>
        </is>
      </c>
      <c r="L3668" s="2" t="inlineStr">
        <is>
          <t>https://animator.ru/db/?p=show_film&amp;fid=5071</t>
        </is>
      </c>
      <c r="M3668" s="2">
        <f>HYPERLINK("https://ru.wikipedia.org/w/index.php?search=%D0%94%D0%B8%D0%BC%D0%B0%20%D0%BE%D1%82%D0%BF%D1%80%D0%B0%D0%B2%D0%BB%D1%8F%D0%B5%D1%82%D1%81%D1%8F%20%D0%B2%20%D0%BF%D1%83%D1%82%D1%8C%201978%20%D1%84%D0%B8%D0%BB%D1%8C%D0%BC","искать")</f>
        <v/>
      </c>
      <c r="N3668" s="3" t="n"/>
      <c r="O3668" s="2" t="n"/>
      <c r="P3668" s="2" t="n"/>
    </row>
    <row r="3669">
      <c r="A3669" s="2" t="n">
        <v>3668</v>
      </c>
      <c r="B3669" s="2" t="inlineStr">
        <is>
          <t>короткая</t>
        </is>
      </c>
      <c r="C3669" s="2" t="n">
        <v>13688</v>
      </c>
      <c r="D3669" s="3" t="inlineStr">
        <is>
          <t>Дружба врозь</t>
        </is>
      </c>
      <c r="E3669" s="2" t="n">
        <v>1972</v>
      </c>
      <c r="F3669" s="2" t="inlineStr">
        <is>
          <t>мультфильм</t>
        </is>
      </c>
      <c r="G3669" s="2" t="inlineStr">
        <is>
          <t>ЭКРАН</t>
        </is>
      </c>
      <c r="H3669" s="2" t="n">
        <v>44</v>
      </c>
      <c r="I3669" s="2" t="inlineStr"/>
      <c r="J3669" s="2" t="inlineStr"/>
      <c r="K3669" s="3" t="inlineStr">
        <is>
          <t>Как поссорились Кошка с Собакою. Для малышей</t>
        </is>
      </c>
      <c r="L3669" s="2" t="inlineStr">
        <is>
          <t>https://animator.ru/db/?p=show_film&amp;fid=5080</t>
        </is>
      </c>
      <c r="M3669" s="2">
        <f>HYPERLINK("https://ru.wikipedia.org/w/index.php?search=%D0%94%D1%80%D1%83%D0%B6%D0%B1%D0%B0%20%D0%B2%D1%80%D0%BE%D0%B7%D1%8C%201972%20%D1%84%D0%B8%D0%BB%D1%8C%D0%BC","искать")</f>
        <v/>
      </c>
      <c r="N3669" s="3" t="n"/>
      <c r="O3669" s="2" t="n"/>
      <c r="P3669" s="2" t="n"/>
    </row>
    <row r="3670">
      <c r="A3670" s="2" t="n">
        <v>3669</v>
      </c>
      <c r="B3670" s="2" t="inlineStr">
        <is>
          <t>короткая</t>
        </is>
      </c>
      <c r="C3670" s="2" t="n">
        <v>14011</v>
      </c>
      <c r="D3670" s="3" t="inlineStr">
        <is>
          <t>Великан, который мечтал играть на скрипке</t>
        </is>
      </c>
      <c r="E3670" s="2" t="n">
        <v>1986</v>
      </c>
      <c r="F3670" s="2" t="inlineStr">
        <is>
          <t>мультфильм</t>
        </is>
      </c>
      <c r="G3670" s="2" t="inlineStr">
        <is>
          <t>АРМЕНФИЛЬМ</t>
        </is>
      </c>
      <c r="H3670" s="2" t="n">
        <v>44</v>
      </c>
      <c r="I3670" s="2" t="inlineStr"/>
      <c r="J3670" s="2" t="inlineStr"/>
      <c r="K3670" s="3" t="inlineStr">
        <is>
          <t>Как гном научил великана играть на барабане.</t>
        </is>
      </c>
      <c r="L3670" s="2" t="inlineStr">
        <is>
          <t>2026-10_мультфильмы_список_владельца.xlsx; https://animator.ru/db/?p=show_film&amp;fid=5405</t>
        </is>
      </c>
      <c r="M3670" s="2">
        <f>HYPERLINK("https://ru.wikipedia.org/w/index.php?search=%D0%92%D0%B5%D0%BB%D0%B8%D0%BA%D0%B0%D0%BD%2C%20%D0%BA%D0%BE%D1%82%D0%BE%D1%80%D1%8B%D0%B9%20%D0%BC%D0%B5%D1%87%D1%82%D0%B0%D0%BB%20%D0%B8%D0%B3%D1%80%D0%B0%D1%82%D1%8C%20%D0%BD%D0%B0%20%D1%81%D0%BA%D1%80%D0%B8%D0%BF%D0%BA%D0%B5%201986%20%D1%84%D0%B8%D0%BB%D1%8C%D0%BC","искать")</f>
        <v/>
      </c>
      <c r="N3670" s="3" t="n"/>
      <c r="O3670" s="2" t="n"/>
      <c r="P3670" s="2" t="n"/>
    </row>
    <row r="3671">
      <c r="A3671" s="2" t="n">
        <v>3670</v>
      </c>
      <c r="B3671" s="2" t="inlineStr">
        <is>
          <t>короткая</t>
        </is>
      </c>
      <c r="C3671" s="2" t="n">
        <v>14029</v>
      </c>
      <c r="D3671" s="3" t="inlineStr">
        <is>
          <t>Козел в огороде</t>
        </is>
      </c>
      <c r="E3671" s="2" t="n">
        <v>1981</v>
      </c>
      <c r="F3671" s="2" t="inlineStr">
        <is>
          <t>мультфильм</t>
        </is>
      </c>
      <c r="G3671" s="2" t="inlineStr">
        <is>
          <t>УЗБЕКФИЛЬМ</t>
        </is>
      </c>
      <c r="H3671" s="2" t="n">
        <v>44</v>
      </c>
      <c r="I3671" s="2" t="inlineStr"/>
      <c r="J3671" s="2" t="inlineStr"/>
      <c r="K3671" s="3" t="inlineStr">
        <is>
          <t>Как дружно овощи избавлялись от злого козла.</t>
        </is>
      </c>
      <c r="L3671" s="2" t="inlineStr">
        <is>
          <t>2026-10_мультфильмы_список_владельца.xlsx; https://animator.ru/db/?p=show_film&amp;fid=5425</t>
        </is>
      </c>
      <c r="M3671" s="2">
        <f>HYPERLINK("https://ru.wikipedia.org/w/index.php?search=%D0%9A%D0%BE%D0%B7%D0%B5%D0%BB%20%D0%B2%20%D0%BE%D0%B3%D0%BE%D1%80%D0%BE%D0%B4%D0%B5%201981%20%D1%84%D0%B8%D0%BB%D1%8C%D0%BC","искать")</f>
        <v/>
      </c>
      <c r="N3671" s="3" t="n"/>
      <c r="O3671" s="2" t="n"/>
      <c r="P3671" s="2" t="n"/>
    </row>
    <row r="3672">
      <c r="A3672" s="2" t="n">
        <v>3671</v>
      </c>
      <c r="B3672" s="2" t="inlineStr">
        <is>
          <t>короткая</t>
        </is>
      </c>
      <c r="C3672" s="2" t="n">
        <v>14042</v>
      </c>
      <c r="D3672" s="3" t="inlineStr">
        <is>
          <t>Отважные джигиты</t>
        </is>
      </c>
      <c r="E3672" s="2" t="n">
        <v>1976</v>
      </c>
      <c r="F3672" s="2" t="inlineStr">
        <is>
          <t>мультфильм</t>
        </is>
      </c>
      <c r="G3672" s="2" t="inlineStr">
        <is>
          <t>УЗБЕКФИЛЬМ</t>
        </is>
      </c>
      <c r="H3672" s="2" t="n">
        <v>44</v>
      </c>
      <c r="I3672" s="2" t="inlineStr"/>
      <c r="J3672" s="2" t="inlineStr"/>
      <c r="K3672" s="3" t="inlineStr">
        <is>
          <t>О доброй девочке, вылечившей больного щенка.</t>
        </is>
      </c>
      <c r="L3672" s="2" t="inlineStr">
        <is>
          <t>2026-10_мультфильмы_список_владельца.xlsx; https://animator.ru/db/?p=show_film&amp;fid=5438</t>
        </is>
      </c>
      <c r="M3672" s="2">
        <f>HYPERLINK("https://ru.wikipedia.org/w/index.php?search=%D0%9E%D1%82%D0%B2%D0%B0%D0%B6%D0%BD%D1%8B%D0%B5%20%D0%B4%D0%B6%D0%B8%D0%B3%D0%B8%D1%82%D1%8B%201976%20%D1%84%D0%B8%D0%BB%D1%8C%D0%BC","искать")</f>
        <v/>
      </c>
      <c r="N3672" s="3" t="n"/>
      <c r="O3672" s="2" t="n"/>
      <c r="P3672" s="2" t="n"/>
    </row>
    <row r="3673">
      <c r="A3673" s="2" t="n">
        <v>3672</v>
      </c>
      <c r="B3673" s="2" t="inlineStr">
        <is>
          <t>короткая</t>
        </is>
      </c>
      <c r="C3673" s="2" t="n">
        <v>14153</v>
      </c>
      <c r="D3673" s="3" t="inlineStr">
        <is>
          <t>Под одной крышей</t>
        </is>
      </c>
      <c r="E3673" s="2" t="n">
        <v>1978</v>
      </c>
      <c r="F3673" s="2" t="inlineStr">
        <is>
          <t>мультфильм</t>
        </is>
      </c>
      <c r="G3673" s="2" t="inlineStr">
        <is>
          <t>СВЕРДЛОВСКТЕЛЕФИЛЬМ</t>
        </is>
      </c>
      <c r="H3673" s="2" t="n">
        <v>44</v>
      </c>
      <c r="I3673" s="2" t="inlineStr"/>
      <c r="J3673" s="2" t="inlineStr"/>
      <c r="K3673" s="3" t="inlineStr">
        <is>
          <t>Как подружились соседи-зверюшки. Для малышей</t>
        </is>
      </c>
      <c r="L3673" s="2" t="inlineStr">
        <is>
          <t>https://animator.ru/db/?p=show_film&amp;fid=5551</t>
        </is>
      </c>
      <c r="M3673" s="2">
        <f>HYPERLINK("https://ru.wikipedia.org/w/index.php?search=%D0%9F%D0%BE%D0%B4%20%D0%BE%D0%B4%D0%BD%D0%BE%D0%B9%20%D0%BA%D1%80%D1%8B%D1%88%D0%B5%D0%B9%201978%20%D1%84%D0%B8%D0%BB%D1%8C%D0%BC","искать")</f>
        <v/>
      </c>
      <c r="N3673" s="3" t="n"/>
      <c r="O3673" s="2" t="n"/>
      <c r="P3673" s="2" t="n"/>
    </row>
    <row r="3674">
      <c r="A3674" s="2" t="n">
        <v>3673</v>
      </c>
      <c r="B3674" s="2" t="inlineStr">
        <is>
          <t>короткая</t>
        </is>
      </c>
      <c r="C3674" s="2" t="n">
        <v>13436</v>
      </c>
      <c r="D3674" s="3" t="inlineStr">
        <is>
          <t>Кто придет на Новый год?</t>
        </is>
      </c>
      <c r="E3674" s="2" t="n">
        <v>1982</v>
      </c>
      <c r="F3674" s="2" t="inlineStr">
        <is>
          <t>мультфильм</t>
        </is>
      </c>
      <c r="G3674" s="2" t="inlineStr">
        <is>
          <t>ЭКРАН</t>
        </is>
      </c>
      <c r="H3674" s="2" t="n">
        <v>45</v>
      </c>
      <c r="I3674" s="2" t="inlineStr"/>
      <c r="J3674" s="2" t="inlineStr"/>
      <c r="K3674" s="3" t="inlineStr">
        <is>
          <t>Как Зайчонок готовился к встрече Нового года.</t>
        </is>
      </c>
      <c r="L3674" s="2" t="inlineStr">
        <is>
          <t>2026-10_мультфильмы_список_владельца.xlsx; https://animator.ru/db/?p=show_film&amp;fid=4717</t>
        </is>
      </c>
      <c r="M3674" s="2">
        <f>HYPERLINK("https://ru.wikipedia.org/w/index.php?search=%D0%9A%D1%82%D0%BE%20%D0%BF%D1%80%D0%B8%D0%B4%D0%B5%D1%82%20%D0%BD%D0%B0%20%D0%9D%D0%BE%D0%B2%D1%8B%D0%B9%20%D0%B3%D0%BE%D0%B4%3F%201982%20%D1%84%D0%B8%D0%BB%D1%8C%D0%BC","искать")</f>
        <v/>
      </c>
      <c r="N3674" s="3" t="n"/>
      <c r="O3674" s="2" t="n"/>
      <c r="P3674" s="2" t="n"/>
    </row>
    <row r="3675">
      <c r="A3675" s="2" t="n">
        <v>3674</v>
      </c>
      <c r="B3675" s="2" t="inlineStr">
        <is>
          <t>короткая</t>
        </is>
      </c>
      <c r="C3675" s="2" t="n">
        <v>11900</v>
      </c>
      <c r="D3675" s="3" t="inlineStr">
        <is>
          <t>Домашний цирк</t>
        </is>
      </c>
      <c r="E3675" s="2" t="n">
        <v>1979</v>
      </c>
      <c r="F3675" s="2" t="inlineStr">
        <is>
          <t>мультфильм</t>
        </is>
      </c>
      <c r="G3675" s="2" t="inlineStr">
        <is>
          <t>Союзмультфильм</t>
        </is>
      </c>
      <c r="H3675" s="2" t="n">
        <v>46</v>
      </c>
      <c r="I3675" s="2" t="inlineStr"/>
      <c r="J3675" s="2" t="inlineStr"/>
      <c r="K3675" s="3" t="inlineStr">
        <is>
          <t>Как зверушки научили мальчика помогать бабушке</t>
        </is>
      </c>
      <c r="L3675" s="2" t="inlineStr">
        <is>
          <t>https://animator.ru/db/?p=show_film&amp;fid=2815</t>
        </is>
      </c>
      <c r="M3675" s="2">
        <f>HYPERLINK("https://ru.wikipedia.org/w/index.php?search=%D0%94%D0%BE%D0%BC%D0%B0%D1%88%D0%BD%D0%B8%D0%B9%20%D1%86%D0%B8%D1%80%D0%BA%201979%20%D1%84%D0%B8%D0%BB%D1%8C%D0%BC","искать")</f>
        <v/>
      </c>
      <c r="N3675" s="3" t="n"/>
      <c r="O3675" s="2" t="n"/>
      <c r="P3675" s="2" t="n"/>
    </row>
    <row r="3676">
      <c r="A3676" s="2" t="n">
        <v>3675</v>
      </c>
      <c r="B3676" s="2" t="inlineStr">
        <is>
          <t>короткая</t>
        </is>
      </c>
      <c r="C3676" s="2" t="n">
        <v>13768</v>
      </c>
      <c r="D3676" s="3" t="inlineStr">
        <is>
          <t>Миссия пришельцев</t>
        </is>
      </c>
      <c r="E3676" s="2" t="n">
        <v>1989</v>
      </c>
      <c r="F3676" s="2" t="inlineStr">
        <is>
          <t>мультфильм</t>
        </is>
      </c>
      <c r="G3676" s="2" t="inlineStr">
        <is>
          <t>ЭКРАН</t>
        </is>
      </c>
      <c r="H3676" s="2" t="n">
        <v>46</v>
      </c>
      <c r="I3676" s="2" t="inlineStr"/>
      <c r="J3676" s="2" t="inlineStr"/>
      <c r="K3676" s="3" t="inlineStr">
        <is>
          <t>Приключения землянина, встретившего пришельцев</t>
        </is>
      </c>
      <c r="L3676" s="2" t="inlineStr">
        <is>
          <t>https://animator.ru/db/?p=show_film&amp;fid=5161</t>
        </is>
      </c>
      <c r="M3676" s="2">
        <f>HYPERLINK("https://ru.wikipedia.org/w/index.php?search=%D0%9C%D0%B8%D1%81%D1%81%D0%B8%D1%8F%20%D0%BF%D1%80%D0%B8%D1%88%D0%B5%D0%BB%D1%8C%D1%86%D0%B5%D0%B2%201989%20%D1%84%D0%B8%D0%BB%D1%8C%D0%BC","искать")</f>
        <v/>
      </c>
      <c r="N3676" s="3" t="n"/>
      <c r="O3676" s="2" t="n"/>
      <c r="P3676" s="2" t="n"/>
    </row>
    <row r="3677">
      <c r="A3677" s="2" t="n">
        <v>3676</v>
      </c>
      <c r="B3677" s="2" t="inlineStr">
        <is>
          <t>короткая</t>
        </is>
      </c>
      <c r="C3677" s="2" t="n">
        <v>13820</v>
      </c>
      <c r="D3677" s="3" t="inlineStr">
        <is>
          <t>Паучок ананси и волшебная палочка</t>
        </is>
      </c>
      <c r="E3677" s="2" t="n">
        <v>1973</v>
      </c>
      <c r="F3677" s="2" t="inlineStr">
        <is>
          <t>мультфильм</t>
        </is>
      </c>
      <c r="G3677" s="2" t="inlineStr">
        <is>
          <t>ЭКРАН</t>
        </is>
      </c>
      <c r="H3677" s="2" t="n">
        <v>46</v>
      </c>
      <c r="I3677" s="2" t="inlineStr"/>
      <c r="J3677" s="2" t="inlineStr"/>
      <c r="K3677" s="3" t="inlineStr">
        <is>
          <t>Как паучок Ананси дирижировал лесным оркестром</t>
        </is>
      </c>
      <c r="L3677" s="2" t="inlineStr">
        <is>
          <t>https://animator.ru/db/?p=show_film&amp;fid=5213</t>
        </is>
      </c>
      <c r="M3677" s="2">
        <f>HYPERLINK("https://ru.wikipedia.org/w/index.php?search=%D0%9F%D0%B0%D1%83%D1%87%D0%BE%D0%BA%20%D0%B0%D0%BD%D0%B0%D0%BD%D1%81%D0%B8%20%D0%B8%20%D0%B2%D0%BE%D0%BB%D1%88%D0%B5%D0%B1%D0%BD%D0%B0%D1%8F%20%D0%BF%D0%B0%D0%BB%D0%BE%D1%87%D0%BA%D0%B0%201973%20%D1%84%D0%B8%D0%BB%D1%8C%D0%BC","искать")</f>
        <v/>
      </c>
      <c r="N3677" s="3" t="n"/>
      <c r="O3677" s="2" t="n"/>
      <c r="P3677" s="2" t="n"/>
    </row>
    <row r="3678">
      <c r="A3678" s="2" t="n">
        <v>3677</v>
      </c>
      <c r="B3678" s="2" t="inlineStr">
        <is>
          <t>короткая</t>
        </is>
      </c>
      <c r="C3678" s="2" t="n">
        <v>14005</v>
      </c>
      <c r="D3678" s="3" t="inlineStr">
        <is>
          <t>Бабушкин урок</t>
        </is>
      </c>
      <c r="E3678" s="2" t="n">
        <v>1986</v>
      </c>
      <c r="F3678" s="2" t="inlineStr">
        <is>
          <t>мультфильм</t>
        </is>
      </c>
      <c r="G3678" s="2" t="inlineStr">
        <is>
          <t>Свердловская киностудия</t>
        </is>
      </c>
      <c r="H3678" s="2" t="n">
        <v>46</v>
      </c>
      <c r="I3678" s="2" t="inlineStr"/>
      <c r="J3678" s="2" t="inlineStr"/>
      <c r="K3678" s="3" t="inlineStr">
        <is>
          <t>Как бабушка проучила ленивого внука. Для детей</t>
        </is>
      </c>
      <c r="L3678" s="2" t="inlineStr">
        <is>
          <t>https://animator.ru/db/?p=show_film&amp;fid=5399</t>
        </is>
      </c>
      <c r="M3678" s="2">
        <f>HYPERLINK("https://ru.wikipedia.org/w/index.php?search=%D0%91%D0%B0%D0%B1%D1%83%D1%88%D0%BA%D0%B8%D0%BD%20%D1%83%D1%80%D0%BE%D0%BA%201986%20%D1%84%D0%B8%D0%BB%D1%8C%D0%BC","искать")</f>
        <v/>
      </c>
      <c r="N3678" s="3" t="n"/>
      <c r="O3678" s="2" t="n"/>
      <c r="P3678" s="2" t="n"/>
    </row>
    <row r="3679">
      <c r="A3679" s="2" t="n">
        <v>3678</v>
      </c>
      <c r="B3679" s="2" t="inlineStr">
        <is>
          <t>короткая</t>
        </is>
      </c>
      <c r="C3679" s="2" t="n">
        <v>14008</v>
      </c>
      <c r="D3679" s="3" t="inlineStr">
        <is>
          <t>Белый верблюжонок</t>
        </is>
      </c>
      <c r="E3679" s="2" t="n">
        <v>1974</v>
      </c>
      <c r="F3679" s="2" t="inlineStr">
        <is>
          <t>мультфильм</t>
        </is>
      </c>
      <c r="G3679" s="2" t="inlineStr">
        <is>
          <t>УЗБЕКФИЛЬМ</t>
        </is>
      </c>
      <c r="H3679" s="2" t="n">
        <v>46</v>
      </c>
      <c r="I3679" s="2" t="inlineStr"/>
      <c r="J3679" s="2" t="inlineStr"/>
      <c r="K3679" s="3" t="inlineStr">
        <is>
          <t>О девочке, которая подружилась с верблюжонком.</t>
        </is>
      </c>
      <c r="L3679" s="2" t="inlineStr">
        <is>
          <t>2026-10_мультфильмы_список_владельца.xlsx; https://animator.ru/db/?p=show_film&amp;fid=5402</t>
        </is>
      </c>
      <c r="M3679" s="2">
        <f>HYPERLINK("https://ru.wikipedia.org/w/index.php?search=%D0%91%D0%B5%D0%BB%D1%8B%D0%B9%20%D0%B2%D0%B5%D1%80%D0%B1%D0%BB%D1%8E%D0%B6%D0%BE%D0%BD%D0%BE%D0%BA%201974%20%D1%84%D0%B8%D0%BB%D1%8C%D0%BC","искать")</f>
        <v/>
      </c>
      <c r="N3679" s="3" t="n"/>
      <c r="O3679" s="2" t="n"/>
      <c r="P3679" s="2" t="n"/>
    </row>
    <row r="3680">
      <c r="A3680" s="2" t="n">
        <v>3679</v>
      </c>
      <c r="B3680" s="2" t="inlineStr">
        <is>
          <t>короткая</t>
        </is>
      </c>
      <c r="C3680" s="2" t="n">
        <v>14020</v>
      </c>
      <c r="D3680" s="3" t="inlineStr">
        <is>
          <t>День рождения (1982)</t>
        </is>
      </c>
      <c r="E3680" s="2" t="n">
        <v>1982</v>
      </c>
      <c r="F3680" s="2" t="inlineStr">
        <is>
          <t>мультфильм</t>
        </is>
      </c>
      <c r="G3680" s="2" t="inlineStr">
        <is>
          <t>Свердловская киностудия</t>
        </is>
      </c>
      <c r="H3680" s="2" t="n">
        <v>46</v>
      </c>
      <c r="I3680" s="2" t="inlineStr"/>
      <c r="J3680" s="2" t="inlineStr"/>
      <c r="K3680" s="3" t="inlineStr">
        <is>
          <t>Как добрые соседи-бобры наказали жадного гнома</t>
        </is>
      </c>
      <c r="L3680" s="2" t="inlineStr">
        <is>
          <t>https://animator.ru/db/?p=show_film&amp;fid=5415</t>
        </is>
      </c>
      <c r="M3680" s="2">
        <f>HYPERLINK("https://ru.wikipedia.org/w/index.php?search=%D0%94%D0%B5%D0%BD%D1%8C%20%D1%80%D0%BE%D0%B6%D0%B4%D0%B5%D0%BD%D0%B8%D1%8F%20%281982%29%201982%20%D1%84%D0%B8%D0%BB%D1%8C%D0%BC","искать")</f>
        <v/>
      </c>
      <c r="N3680" s="3" t="n"/>
      <c r="O3680" s="2" t="n"/>
      <c r="P3680" s="2" t="inlineStr">
        <is>
          <t>ГФФ: «ДЕНЬ РОЖДЕНИЯ» 1983 — год отличается, проверить — по сверке другой фильм, не предложено</t>
        </is>
      </c>
    </row>
    <row r="3681">
      <c r="A3681" s="2" t="n">
        <v>3680</v>
      </c>
      <c r="B3681" s="2" t="inlineStr">
        <is>
          <t>короткая</t>
        </is>
      </c>
      <c r="C3681" s="2" t="n">
        <v>14084</v>
      </c>
      <c r="D3681" s="3" t="inlineStr">
        <is>
          <t>Щенок и семеро гусят</t>
        </is>
      </c>
      <c r="E3681" s="2" t="n">
        <v>1983</v>
      </c>
      <c r="F3681" s="2" t="inlineStr">
        <is>
          <t>мультфильм</t>
        </is>
      </c>
      <c r="G3681" s="2" t="inlineStr">
        <is>
          <t>УЗБЕКФИЛЬМ</t>
        </is>
      </c>
      <c r="H3681" s="2" t="n">
        <v>46</v>
      </c>
      <c r="I3681" s="2" t="inlineStr"/>
      <c r="J3681" s="2" t="inlineStr"/>
      <c r="K3681" s="3" t="inlineStr">
        <is>
          <t>Как друзья наказали хулигана кота. Для малышей</t>
        </is>
      </c>
      <c r="L3681" s="2" t="inlineStr">
        <is>
          <t>https://animator.ru/db/?p=show_film&amp;fid=5481</t>
        </is>
      </c>
      <c r="M3681" s="2">
        <f>HYPERLINK("https://ru.wikipedia.org/w/index.php?search=%D0%A9%D0%B5%D0%BD%D0%BE%D0%BA%20%D0%B8%20%D1%81%D0%B5%D0%BC%D0%B5%D1%80%D0%BE%20%D0%B3%D1%83%D1%81%D1%8F%D1%82%201983%20%D1%84%D0%B8%D0%BB%D1%8C%D0%BC","искать")</f>
        <v/>
      </c>
      <c r="N3681" s="3" t="n"/>
      <c r="O3681" s="2" t="n"/>
      <c r="P3681" s="2" t="n"/>
    </row>
    <row r="3682">
      <c r="A3682" s="2" t="n">
        <v>3681</v>
      </c>
      <c r="B3682" s="2" t="inlineStr">
        <is>
          <t>короткая</t>
        </is>
      </c>
      <c r="C3682" s="2" t="n">
        <v>14138</v>
      </c>
      <c r="D3682" s="3" t="inlineStr">
        <is>
          <t>Настоящие друзья</t>
        </is>
      </c>
      <c r="E3682" s="2" t="n">
        <v>1976</v>
      </c>
      <c r="F3682" s="2" t="inlineStr">
        <is>
          <t>мультфильм</t>
        </is>
      </c>
      <c r="G3682" s="2" t="inlineStr">
        <is>
          <t>ГРУЗИНСКАЯ СТУДИЯ ТЕЛЕВИДЕНИЯ</t>
        </is>
      </c>
      <c r="H3682" s="2" t="n">
        <v>46</v>
      </c>
      <c r="I3682" s="2" t="inlineStr"/>
      <c r="J3682" s="2" t="inlineStr"/>
      <c r="K3682" s="3" t="inlineStr">
        <is>
          <t>О приключениях маленького мышонка. Для малышей</t>
        </is>
      </c>
      <c r="L3682" s="2" t="inlineStr">
        <is>
          <t>https://animator.ru/db/?p=show_film&amp;fid=5536</t>
        </is>
      </c>
      <c r="M3682" s="2">
        <f>HYPERLINK("https://ru.wikipedia.org/w/index.php?search=%D0%9D%D0%B0%D1%81%D1%82%D0%BE%D1%8F%D1%89%D0%B8%D0%B5%20%D0%B4%D1%80%D1%83%D0%B7%D1%8C%D1%8F%201976%20%D1%84%D0%B8%D0%BB%D1%8C%D0%BC","искать")</f>
        <v/>
      </c>
      <c r="N3682" s="3" t="n"/>
      <c r="O3682" s="2" t="n"/>
      <c r="P3682" s="2" t="n"/>
    </row>
    <row r="3683">
      <c r="A3683" s="2" t="n">
        <v>3682</v>
      </c>
      <c r="B3683" s="2" t="inlineStr">
        <is>
          <t>короткая</t>
        </is>
      </c>
      <c r="C3683" s="2" t="n">
        <v>14152</v>
      </c>
      <c r="D3683" s="3" t="inlineStr">
        <is>
          <t>Подарок волшебника</t>
        </is>
      </c>
      <c r="E3683" s="2" t="n">
        <v>1987</v>
      </c>
      <c r="F3683" s="2" t="inlineStr">
        <is>
          <t>мультфильм</t>
        </is>
      </c>
      <c r="G3683" s="2" t="inlineStr">
        <is>
          <t>КАЗАХТЕЛЕФИЛЬМ</t>
        </is>
      </c>
      <c r="H3683" s="2" t="n">
        <v>46</v>
      </c>
      <c r="I3683" s="2" t="inlineStr"/>
      <c r="J3683" s="2" t="inlineStr"/>
      <c r="K3683" s="3" t="inlineStr">
        <is>
          <t>Как волшебник проучил жадного брата. Для детей</t>
        </is>
      </c>
      <c r="L3683" s="2" t="inlineStr">
        <is>
          <t>https://animator.ru/db/?p=show_film&amp;fid=5550</t>
        </is>
      </c>
      <c r="M3683" s="2">
        <f>HYPERLINK("https://ru.wikipedia.org/w/index.php?search=%D0%9F%D0%BE%D0%B4%D0%B0%D1%80%D0%BE%D0%BA%20%D0%B2%D0%BE%D0%BB%D1%88%D0%B5%D0%B1%D0%BD%D0%B8%D0%BA%D0%B0%201987%20%D1%84%D0%B8%D0%BB%D1%8C%D0%BC","искать")</f>
        <v/>
      </c>
      <c r="N3683" s="3" t="n"/>
      <c r="O3683" s="2" t="n"/>
      <c r="P3683" s="2" t="n"/>
    </row>
    <row r="3684">
      <c r="A3684" s="2" t="n">
        <v>3683</v>
      </c>
      <c r="B3684" s="2" t="inlineStr">
        <is>
          <t>короткая</t>
        </is>
      </c>
      <c r="C3684" s="2" t="n">
        <v>14183</v>
      </c>
      <c r="D3684" s="3" t="inlineStr">
        <is>
          <t>Солнечный зайчик</t>
        </is>
      </c>
      <c r="E3684" s="2" t="n">
        <v>1978</v>
      </c>
      <c r="F3684" s="2" t="inlineStr">
        <is>
          <t>мультфильм</t>
        </is>
      </c>
      <c r="G3684" s="2" t="inlineStr">
        <is>
          <t>КУЙБЫШЕВТЕЛЕФИЛЬМ</t>
        </is>
      </c>
      <c r="H3684" s="2" t="n">
        <v>46</v>
      </c>
      <c r="I3684" s="2" t="inlineStr"/>
      <c r="J3684" s="2" t="inlineStr"/>
      <c r="K3684" s="3" t="inlineStr">
        <is>
          <t>Как медвежонок с зеркальцем играл. Для малышей</t>
        </is>
      </c>
      <c r="L3684" s="2" t="inlineStr">
        <is>
          <t>https://animator.ru/db/?p=show_film&amp;fid=5581</t>
        </is>
      </c>
      <c r="M3684" s="2">
        <f>HYPERLINK("https://ru.wikipedia.org/w/index.php?search=%D0%A1%D0%BE%D0%BB%D0%BD%D0%B5%D1%87%D0%BD%D1%8B%D0%B9%20%D0%B7%D0%B0%D0%B9%D1%87%D0%B8%D0%BA%201978%20%D1%84%D0%B8%D0%BB%D1%8C%D0%BC","искать")</f>
        <v/>
      </c>
      <c r="N3684" s="3" t="n"/>
      <c r="O3684" s="2" t="n"/>
      <c r="P3684" s="2" t="n"/>
    </row>
    <row r="3685">
      <c r="A3685" s="2" t="n">
        <v>3684</v>
      </c>
      <c r="B3685" s="2" t="inlineStr">
        <is>
          <t>короткая</t>
        </is>
      </c>
      <c r="C3685" s="2" t="n">
        <v>14314</v>
      </c>
      <c r="D3685" s="3" t="inlineStr">
        <is>
          <t>Дождь идет (Танго)</t>
        </is>
      </c>
      <c r="E3685" s="2" t="n">
        <v>1990</v>
      </c>
      <c r="F3685" s="2" t="inlineStr">
        <is>
          <t>мультфильм</t>
        </is>
      </c>
      <c r="G3685" s="2" t="inlineStr">
        <is>
          <t>СОЮЗТЕЛЕФИЛЬМ</t>
        </is>
      </c>
      <c r="H3685" s="2" t="n">
        <v>46</v>
      </c>
      <c r="I3685" s="2" t="inlineStr"/>
      <c r="J3685" s="2" t="inlineStr"/>
      <c r="K3685" s="3" t="inlineStr">
        <is>
          <t>Трогательная история любви двух молодых людей.</t>
        </is>
      </c>
      <c r="L3685" s="2" t="inlineStr">
        <is>
          <t>https://animator.ru/db/?p=show_film&amp;fid=5860</t>
        </is>
      </c>
      <c r="M3685" s="2">
        <f>HYPERLINK("https://ru.wikipedia.org/w/index.php?search=%D0%94%D0%BE%D0%B6%D0%B4%D1%8C%20%D0%B8%D0%B4%D0%B5%D1%82%20%28%D0%A2%D0%B0%D0%BD%D0%B3%D0%BE%29%201990%20%D1%84%D0%B8%D0%BB%D1%8C%D0%BC","искать")</f>
        <v/>
      </c>
      <c r="N3685" s="3" t="n"/>
      <c r="O3685" s="2" t="n"/>
      <c r="P3685" s="2" t="n"/>
    </row>
    <row r="3686">
      <c r="A3686" s="2" t="n">
        <v>3685</v>
      </c>
      <c r="B3686" s="2" t="inlineStr">
        <is>
          <t>короткая</t>
        </is>
      </c>
      <c r="C3686" s="2" t="n">
        <v>12085</v>
      </c>
      <c r="D3686" s="3" t="inlineStr">
        <is>
          <t>Ну, Погоди! ч.14</t>
        </is>
      </c>
      <c r="E3686" s="2" t="n">
        <v>1984</v>
      </c>
      <c r="F3686" s="2" t="inlineStr">
        <is>
          <t>мультфильм</t>
        </is>
      </c>
      <c r="G3686" s="2" t="inlineStr">
        <is>
          <t>Союзмультфильм</t>
        </is>
      </c>
      <c r="H3686" s="2" t="n">
        <v>47</v>
      </c>
      <c r="I3686" s="2" t="inlineStr"/>
      <c r="J3686" s="2" t="inlineStr"/>
      <c r="K3686" s="3" t="inlineStr">
        <is>
          <t>Приключения Зайца и Волка в Доме юных техников.</t>
        </is>
      </c>
      <c r="L3686" s="2" t="inlineStr">
        <is>
          <t>2026-10_мультфильмы_список_владельца.xlsx; https://animator.ru/db/?p=show_film&amp;fid=3201</t>
        </is>
      </c>
      <c r="M3686" s="2">
        <f>HYPERLINK("https://ru.wikipedia.org/w/index.php?search=%D0%9D%D1%83%2C%20%D0%9F%D0%BE%D0%B3%D0%BE%D0%B4%D0%B8%21%20%D1%87.14%201984%20%D1%84%D0%B8%D0%BB%D1%8C%D0%BC","искать")</f>
        <v/>
      </c>
      <c r="N3686" s="3" t="n"/>
      <c r="O3686" s="2" t="n"/>
      <c r="P3686" s="2" t="n"/>
    </row>
    <row r="3687">
      <c r="A3687" s="2" t="n">
        <v>3686</v>
      </c>
      <c r="B3687" s="2" t="inlineStr">
        <is>
          <t>короткая</t>
        </is>
      </c>
      <c r="C3687" s="2" t="n">
        <v>12215</v>
      </c>
      <c r="D3687" s="3" t="inlineStr">
        <is>
          <t>Мышь и верблюд</t>
        </is>
      </c>
      <c r="E3687" s="2" t="n">
        <v>1987</v>
      </c>
      <c r="F3687" s="2" t="inlineStr">
        <is>
          <t>мультфильм</t>
        </is>
      </c>
      <c r="G3687" s="2" t="inlineStr">
        <is>
          <t>Союзмультфильм, МОНГОЛКИНО</t>
        </is>
      </c>
      <c r="H3687" s="2" t="n">
        <v>47</v>
      </c>
      <c r="I3687" s="2" t="inlineStr"/>
      <c r="J3687" s="2" t="inlineStr"/>
      <c r="K3687" s="3" t="inlineStr">
        <is>
          <t>О том, как появились знаки восточного гороскопа</t>
        </is>
      </c>
      <c r="L3687" s="2" t="inlineStr">
        <is>
          <t>2026-10_мультфильмы_список_владельца.xlsx; https://animator.ru/db/?p=show_film&amp;fid=3332</t>
        </is>
      </c>
      <c r="M3687" s="2">
        <f>HYPERLINK("https://ru.wikipedia.org/w/index.php?search=%D0%9C%D1%8B%D1%88%D1%8C%20%D0%B8%20%D0%B2%D0%B5%D1%80%D0%B1%D0%BB%D1%8E%D0%B4%201987%20%D1%84%D0%B8%D0%BB%D1%8C%D0%BC","искать")</f>
        <v/>
      </c>
      <c r="N3687" s="3" t="n"/>
      <c r="O3687" s="2" t="n"/>
      <c r="P3687" s="2" t="n"/>
    </row>
    <row r="3688">
      <c r="A3688" s="2" t="n">
        <v>3687</v>
      </c>
      <c r="B3688" s="2" t="inlineStr">
        <is>
          <t>короткая</t>
        </is>
      </c>
      <c r="C3688" s="2" t="n">
        <v>13237</v>
      </c>
      <c r="D3688" s="3" t="inlineStr">
        <is>
          <t>Кровавый джон</t>
        </is>
      </c>
      <c r="E3688" s="2" t="n">
        <v>1974</v>
      </c>
      <c r="F3688" s="2" t="inlineStr">
        <is>
          <t>мультфильм</t>
        </is>
      </c>
      <c r="G3688" s="2" t="inlineStr">
        <is>
          <t>ТАЛЛИННФИЛЬМ</t>
        </is>
      </c>
      <c r="H3688" s="2" t="n">
        <v>47</v>
      </c>
      <c r="I3688" s="2" t="inlineStr"/>
      <c r="J3688" s="2" t="inlineStr"/>
      <c r="K3688" s="3" t="inlineStr">
        <is>
          <t>Пародийные приключения "кровавого" пирата Джона</t>
        </is>
      </c>
      <c r="L3688" s="2" t="inlineStr">
        <is>
          <t>https://animator.ru/db/?p=show_film&amp;fid=4480</t>
        </is>
      </c>
      <c r="M3688" s="2">
        <f>HYPERLINK("https://ru.wikipedia.org/w/index.php?search=%D0%9A%D1%80%D0%BE%D0%B2%D0%B0%D0%B2%D1%8B%D0%B9%20%D0%B4%D0%B6%D0%BE%D0%BD%201974%20%D1%84%D0%B8%D0%BB%D1%8C%D0%BC","искать")</f>
        <v/>
      </c>
      <c r="N3688" s="3" t="n"/>
      <c r="O3688" s="2" t="n"/>
      <c r="P3688" s="2" t="n"/>
    </row>
    <row r="3689">
      <c r="A3689" s="2" t="n">
        <v>3688</v>
      </c>
      <c r="B3689" s="2" t="inlineStr">
        <is>
          <t>короткая</t>
        </is>
      </c>
      <c r="C3689" s="2" t="n">
        <v>13408</v>
      </c>
      <c r="D3689" s="3" t="inlineStr">
        <is>
          <t>Большой секрет для маленькой компании</t>
        </is>
      </c>
      <c r="E3689" s="2" t="n">
        <v>1979</v>
      </c>
      <c r="F3689" s="2" t="inlineStr">
        <is>
          <t>мультфильм</t>
        </is>
      </c>
      <c r="G3689" s="2" t="inlineStr">
        <is>
          <t>ЭКРАН</t>
        </is>
      </c>
      <c r="H3689" s="2" t="n">
        <v>47</v>
      </c>
      <c r="I3689" s="2" t="inlineStr"/>
      <c r="J3689" s="2" t="inlineStr"/>
      <c r="K3689" s="3" t="inlineStr">
        <is>
          <t>3 друга путешествуя открывают один общий секрет</t>
        </is>
      </c>
      <c r="L3689" s="2" t="inlineStr">
        <is>
          <t>2026-10_мультфильмы_список_владельца.xlsx; https://animator.ru/db/?p=show_film&amp;fid=4688</t>
        </is>
      </c>
      <c r="M3689" s="2">
        <f>HYPERLINK("https://ru.wikipedia.org/w/index.php?search=%D0%91%D0%BE%D0%BB%D1%8C%D1%88%D0%BE%D0%B9%20%D1%81%D0%B5%D0%BA%D1%80%D0%B5%D1%82%20%D0%B4%D0%BB%D1%8F%20%D0%BC%D0%B0%D0%BB%D0%B5%D0%BD%D1%8C%D0%BA%D0%BE%D0%B9%20%D0%BA%D0%BE%D0%BC%D0%BF%D0%B0%D0%BD%D0%B8%D0%B8%201979%20%D1%84%D0%B8%D0%BB%D1%8C%D0%BC","искать")</f>
        <v/>
      </c>
      <c r="N3689" s="3" t="n"/>
      <c r="O3689" s="2" t="n"/>
      <c r="P3689" s="2" t="n"/>
    </row>
    <row r="3690">
      <c r="A3690" s="2" t="n">
        <v>3689</v>
      </c>
      <c r="B3690" s="2" t="inlineStr">
        <is>
          <t>короткая</t>
        </is>
      </c>
      <c r="C3690" s="2" t="n">
        <v>13796</v>
      </c>
      <c r="D3690" s="3" t="inlineStr">
        <is>
          <t>Новогодняя песенка Деда Мороза</t>
        </is>
      </c>
      <c r="E3690" s="2" t="n">
        <v>1983</v>
      </c>
      <c r="F3690" s="2" t="inlineStr">
        <is>
          <t>мультфильм</t>
        </is>
      </c>
      <c r="G3690" s="2" t="inlineStr">
        <is>
          <t>ЭКРАН</t>
        </is>
      </c>
      <c r="H3690" s="2" t="n">
        <v>47</v>
      </c>
      <c r="I3690" s="2" t="inlineStr"/>
      <c r="J3690" s="2" t="inlineStr"/>
      <c r="K3690" s="3" t="inlineStr">
        <is>
          <t>Новгодние поздравления Деда Морооза и Снеговика</t>
        </is>
      </c>
      <c r="L3690" s="2" t="inlineStr">
        <is>
          <t>https://animator.ru/db/?p=show_film&amp;fid=5189</t>
        </is>
      </c>
      <c r="M3690" s="2">
        <f>HYPERLINK("https://ru.wikipedia.org/w/index.php?search=%D0%9D%D0%BE%D0%B2%D0%BE%D0%B3%D0%BE%D0%B4%D0%BD%D1%8F%D1%8F%20%D0%BF%D0%B5%D1%81%D0%B5%D0%BD%D0%BA%D0%B0%20%D0%94%D0%B5%D0%B4%D0%B0%20%D0%9C%D0%BE%D1%80%D0%BE%D0%B7%D0%B0%201983%20%D1%84%D0%B8%D0%BB%D1%8C%D0%BC","искать")</f>
        <v/>
      </c>
      <c r="N3690" s="3" t="n"/>
      <c r="O3690" s="2" t="n"/>
      <c r="P3690" s="2" t="n"/>
    </row>
    <row r="3691">
      <c r="A3691" s="2" t="n">
        <v>3690</v>
      </c>
      <c r="B3691" s="2" t="inlineStr">
        <is>
          <t>короткая</t>
        </is>
      </c>
      <c r="C3691" s="2" t="n">
        <v>13837</v>
      </c>
      <c r="D3691" s="3" t="inlineStr">
        <is>
          <t>Последний заяц</t>
        </is>
      </c>
      <c r="E3691" s="2" t="n">
        <v>1971</v>
      </c>
      <c r="F3691" s="2" t="inlineStr">
        <is>
          <t>мультфильм</t>
        </is>
      </c>
      <c r="G3691" s="2" t="inlineStr">
        <is>
          <t>ЭКРАН</t>
        </is>
      </c>
      <c r="H3691" s="2" t="n">
        <v>47</v>
      </c>
      <c r="I3691" s="2" t="inlineStr"/>
      <c r="J3691" s="2" t="inlineStr"/>
      <c r="K3691" s="3" t="inlineStr">
        <is>
          <t>Как зайцу и волку удалось спастись от охотников</t>
        </is>
      </c>
      <c r="L3691" s="2" t="inlineStr">
        <is>
          <t>https://animator.ru/db/?p=show_film&amp;fid=5230</t>
        </is>
      </c>
      <c r="M3691" s="2">
        <f>HYPERLINK("https://ru.wikipedia.org/w/index.php?search=%D0%9F%D0%BE%D1%81%D0%BB%D0%B5%D0%B4%D0%BD%D0%B8%D0%B9%20%D0%B7%D0%B0%D1%8F%D1%86%201971%20%D1%84%D0%B8%D0%BB%D1%8C%D0%BC","искать")</f>
        <v/>
      </c>
      <c r="N3691" s="3" t="n"/>
      <c r="O3691" s="2" t="n"/>
      <c r="P3691" s="2" t="n"/>
    </row>
    <row r="3692">
      <c r="A3692" s="2" t="n">
        <v>3691</v>
      </c>
      <c r="B3692" s="2" t="inlineStr">
        <is>
          <t>короткая</t>
        </is>
      </c>
      <c r="C3692" s="2" t="n">
        <v>14109</v>
      </c>
      <c r="D3692" s="3" t="inlineStr">
        <is>
          <t>Добрая сказка</t>
        </is>
      </c>
      <c r="E3692" s="2" t="n">
        <v>1986</v>
      </c>
      <c r="F3692" s="2" t="inlineStr">
        <is>
          <t>мультфильм</t>
        </is>
      </c>
      <c r="G3692" s="2" t="inlineStr">
        <is>
          <t>АЗЕРБАЙДЖАНФИЛЬМ</t>
        </is>
      </c>
      <c r="H3692" s="2" t="n">
        <v>47</v>
      </c>
      <c r="I3692" s="2" t="inlineStr"/>
      <c r="J3692" s="2" t="inlineStr"/>
      <c r="K3692" s="3" t="inlineStr">
        <is>
          <t>О маленьком Зауре и его добрых делах. Для детей</t>
        </is>
      </c>
      <c r="L3692" s="2" t="inlineStr">
        <is>
          <t>https://animator.ru/db/?p=show_film&amp;fid=5507</t>
        </is>
      </c>
      <c r="M3692" s="2">
        <f>HYPERLINK("https://ru.wikipedia.org/w/index.php?search=%D0%94%D0%BE%D0%B1%D1%80%D0%B0%D1%8F%20%D1%81%D0%BA%D0%B0%D0%B7%D0%BA%D0%B0%201986%20%D1%84%D0%B8%D0%BB%D1%8C%D0%BC","искать")</f>
        <v/>
      </c>
      <c r="N3692" s="3" t="n"/>
      <c r="O3692" s="2" t="n"/>
      <c r="P3692" s="2" t="n"/>
    </row>
    <row r="3693">
      <c r="A3693" s="2" t="n">
        <v>3692</v>
      </c>
      <c r="B3693" s="2" t="inlineStr">
        <is>
          <t>короткая</t>
        </is>
      </c>
      <c r="C3693" s="2" t="n">
        <v>10172</v>
      </c>
      <c r="D3693" s="3" t="inlineStr">
        <is>
          <t>Приключения Паскуале</t>
        </is>
      </c>
      <c r="E3693" s="2" t="n">
        <v>1966</v>
      </c>
      <c r="F3693" s="2" t="inlineStr">
        <is>
          <t>фильм-спектакль</t>
        </is>
      </c>
      <c r="G3693" s="2" t="inlineStr">
        <is>
          <t>Radiotelevisão Portuguesa (RTP)</t>
        </is>
      </c>
      <c r="H3693" s="2" t="n">
        <v>48</v>
      </c>
      <c r="I3693" s="2" t="inlineStr"/>
      <c r="J3693" s="2" t="inlineStr"/>
      <c r="K3693" s="3" t="inlineStr">
        <is>
          <t>Телеспектакль о приключениях мошенника Паскуале.</t>
        </is>
      </c>
      <c r="L3693" s="2" t="inlineStr">
        <is>
          <t>https://www.kino-teatr.ru/teatr/movie/131270/annot/</t>
        </is>
      </c>
      <c r="M3693" s="2">
        <f>HYPERLINK("https://ru.wikipedia.org/w/index.php?search=%D0%9F%D1%80%D0%B8%D0%BA%D0%BB%D1%8E%D1%87%D0%B5%D0%BD%D0%B8%D1%8F%20%D0%9F%D0%B0%D1%81%D0%BA%D1%83%D0%B0%D0%BB%D0%B5%201966%20%D1%84%D0%B8%D0%BB%D1%8C%D0%BC","искать")</f>
        <v/>
      </c>
      <c r="N3693" s="3" t="n"/>
      <c r="O3693" s="2" t="n"/>
      <c r="P3693" s="2" t="n"/>
    </row>
    <row r="3694">
      <c r="A3694" s="2" t="n">
        <v>3693</v>
      </c>
      <c r="B3694" s="2" t="inlineStr">
        <is>
          <t>короткая</t>
        </is>
      </c>
      <c r="C3694" s="2" t="n">
        <v>11669</v>
      </c>
      <c r="D3694" s="3" t="inlineStr">
        <is>
          <t>Зеленый кузнечик</t>
        </is>
      </c>
      <c r="E3694" s="2" t="n">
        <v>1972</v>
      </c>
      <c r="F3694" s="2" t="inlineStr">
        <is>
          <t>мультфильм</t>
        </is>
      </c>
      <c r="G3694" s="2" t="inlineStr">
        <is>
          <t>Союзмультфильм</t>
        </is>
      </c>
      <c r="H3694" s="2" t="n">
        <v>48</v>
      </c>
      <c r="I3694" s="2" t="inlineStr"/>
      <c r="J3694" s="2" t="inlineStr"/>
      <c r="K3694" s="3" t="inlineStr">
        <is>
          <t>Как кузнечик замучил весь город барабанным боем.</t>
        </is>
      </c>
      <c r="L3694" s="2" t="inlineStr">
        <is>
          <t>2026-10_мультфильмы_список_владельца.xlsx; https://animator.ru/db/?p=show_film&amp;fid=2583</t>
        </is>
      </c>
      <c r="M3694" s="2">
        <f>HYPERLINK("https://ru.wikipedia.org/w/index.php?search=%D0%97%D0%B5%D0%BB%D0%B5%D0%BD%D1%8B%D0%B9%20%D0%BA%D1%83%D0%B7%D0%BD%D0%B5%D1%87%D0%B8%D0%BA%201972%20%D1%84%D0%B8%D0%BB%D1%8C%D0%BC","искать")</f>
        <v/>
      </c>
      <c r="N3694" s="3" t="n"/>
      <c r="O3694" s="2" t="n"/>
      <c r="P3694" s="2" t="n"/>
    </row>
    <row r="3695">
      <c r="A3695" s="2" t="n">
        <v>3694</v>
      </c>
      <c r="B3695" s="2" t="inlineStr">
        <is>
          <t>короткая</t>
        </is>
      </c>
      <c r="C3695" s="2" t="n">
        <v>12261</v>
      </c>
      <c r="D3695" s="3" t="inlineStr">
        <is>
          <t>Три лягушонка ч.2</t>
        </is>
      </c>
      <c r="E3695" s="2" t="n">
        <v>1988</v>
      </c>
      <c r="F3695" s="2" t="inlineStr">
        <is>
          <t>мультфильм</t>
        </is>
      </c>
      <c r="G3695" s="2" t="inlineStr">
        <is>
          <t>Союзмультфильм</t>
        </is>
      </c>
      <c r="H3695" s="2" t="n">
        <v>48</v>
      </c>
      <c r="I3695" s="2" t="inlineStr"/>
      <c r="J3695" s="2" t="inlineStr"/>
      <c r="K3695" s="3" t="inlineStr">
        <is>
          <t>На этот раз три малыша-лягушонка попали в школу.</t>
        </is>
      </c>
      <c r="L3695" s="2" t="inlineStr">
        <is>
          <t>2026-10_мультфильмы_список_владельца.xlsx; https://animator.ru/db/?p=show_film&amp;fid=3378</t>
        </is>
      </c>
      <c r="M3695" s="2">
        <f>HYPERLINK("https://ru.wikipedia.org/w/index.php?search=%D0%A2%D1%80%D0%B8%20%D0%BB%D1%8F%D0%B3%D1%83%D1%88%D0%BE%D0%BD%D0%BA%D0%B0%20%D1%87.2%201988%20%D1%84%D0%B8%D0%BB%D1%8C%D0%BC","искать")</f>
        <v/>
      </c>
      <c r="N3695" s="3" t="n"/>
      <c r="O3695" s="2" t="n"/>
      <c r="P3695" s="2" t="n"/>
    </row>
    <row r="3696">
      <c r="A3696" s="2" t="n">
        <v>3695</v>
      </c>
      <c r="B3696" s="2" t="inlineStr">
        <is>
          <t>короткая</t>
        </is>
      </c>
      <c r="C3696" s="2" t="n">
        <v>13406</v>
      </c>
      <c r="D3696" s="3" t="inlineStr">
        <is>
          <t>Олимпийский характер</t>
        </is>
      </c>
      <c r="E3696" s="2" t="n">
        <v>1979</v>
      </c>
      <c r="F3696" s="2" t="inlineStr">
        <is>
          <t>мультфильм</t>
        </is>
      </c>
      <c r="G3696" s="2" t="inlineStr">
        <is>
          <t>ЭКРАН</t>
        </is>
      </c>
      <c r="H3696" s="2" t="n">
        <v>48</v>
      </c>
      <c r="I3696" s="2" t="inlineStr"/>
      <c r="J3696" s="2" t="inlineStr"/>
      <c r="K3696" s="3" t="inlineStr">
        <is>
          <t>Как медвежэонок Миша стал олимпийским талисманом</t>
        </is>
      </c>
      <c r="L3696" s="2" t="inlineStr">
        <is>
          <t>https://animator.ru/db/?p=show_film&amp;fid=4686</t>
        </is>
      </c>
      <c r="M3696" s="2">
        <f>HYPERLINK("https://ru.wikipedia.org/w/index.php?search=%D0%9E%D0%BB%D0%B8%D0%BC%D0%BF%D0%B8%D0%B9%D1%81%D0%BA%D0%B8%D0%B9%20%D1%85%D0%B0%D1%80%D0%B0%D0%BA%D1%82%D0%B5%D1%80%201979%20%D1%84%D0%B8%D0%BB%D1%8C%D0%BC","искать")</f>
        <v/>
      </c>
      <c r="N3696" s="3" t="n"/>
      <c r="O3696" s="2" t="n"/>
      <c r="P3696" s="2" t="n"/>
    </row>
    <row r="3697">
      <c r="A3697" s="2" t="n">
        <v>3696</v>
      </c>
      <c r="B3697" s="2" t="inlineStr">
        <is>
          <t>короткая</t>
        </is>
      </c>
      <c r="C3697" s="2" t="n">
        <v>13507</v>
      </c>
      <c r="D3697" s="3" t="inlineStr">
        <is>
          <t>СЛЕДСТВИЕ ВЕДУТ КОЛОБКИ (Серии 1-2 и последняя)</t>
        </is>
      </c>
      <c r="E3697" s="2" t="n">
        <v>1986</v>
      </c>
      <c r="F3697" s="2" t="inlineStr">
        <is>
          <t>мультфильм</t>
        </is>
      </c>
      <c r="G3697" s="2" t="inlineStr">
        <is>
          <t>СОЮЗТЕЛЕФИЛЬМ</t>
        </is>
      </c>
      <c r="H3697" s="2" t="n">
        <v>48</v>
      </c>
      <c r="I3697" s="2" t="inlineStr"/>
      <c r="J3697" s="2" t="inlineStr"/>
      <c r="K3697" s="3" t="inlineStr">
        <is>
          <t>Братья Пилоты ведут следствие о пропавшем слоне.</t>
        </is>
      </c>
      <c r="L3697" s="2" t="inlineStr">
        <is>
          <t>https://animator.ru/db/?p=show_film&amp;fid=4797</t>
        </is>
      </c>
      <c r="M3697" s="2">
        <f>HYPERLINK("https://ru.wikipedia.org/w/index.php?search=%D0%A1%D0%9B%D0%95%D0%94%D0%A1%D0%A2%D0%92%D0%98%D0%95%20%D0%92%D0%95%D0%94%D0%A3%D0%A2%20%D0%9A%D0%9E%D0%9B%D0%9E%D0%91%D0%9A%D0%98%20%28%D0%A1%D0%B5%D1%80%D0%B8%D0%B8%201-2%20%D0%B8%20%D0%BF%D0%BE%D1%81%D0%BB%D0%B5%D0%B4%D0%BD%D1%8F%D1%8F%29%201986%20%D1%84%D0%B8%D0%BB%D1%8C%D0%BC","искать")</f>
        <v/>
      </c>
      <c r="N3697" s="3" t="n"/>
      <c r="O3697" s="2" t="n"/>
      <c r="P3697" s="2" t="n"/>
    </row>
    <row r="3698">
      <c r="A3698" s="2" t="n">
        <v>3697</v>
      </c>
      <c r="B3698" s="2" t="inlineStr">
        <is>
          <t>короткая</t>
        </is>
      </c>
      <c r="C3698" s="2" t="n">
        <v>13582</v>
      </c>
      <c r="D3698" s="3" t="inlineStr">
        <is>
          <t>Приключение на даче</t>
        </is>
      </c>
      <c r="E3698" s="2" t="n">
        <v>1980</v>
      </c>
      <c r="F3698" s="2" t="inlineStr">
        <is>
          <t>мультфильм</t>
        </is>
      </c>
      <c r="G3698" s="2" t="inlineStr">
        <is>
          <t>КИЕВНАУЧФИЛЬМ</t>
        </is>
      </c>
      <c r="H3698" s="2" t="n">
        <v>48</v>
      </c>
      <c r="I3698" s="2" t="inlineStr"/>
      <c r="J3698" s="2" t="inlineStr"/>
      <c r="K3698" s="3" t="inlineStr">
        <is>
          <t>Как сорняки чуть огород не погубили. Для малышей</t>
        </is>
      </c>
      <c r="L3698" s="2" t="inlineStr">
        <is>
          <t>https://animator.ru/db/?p=show_film&amp;fid=4920</t>
        </is>
      </c>
      <c r="M3698" s="2">
        <f>HYPERLINK("https://ru.wikipedia.org/w/index.php?search=%D0%9F%D1%80%D0%B8%D0%BA%D0%BB%D1%8E%D1%87%D0%B5%D0%BD%D0%B8%D0%B5%20%D0%BD%D0%B0%20%D0%B4%D0%B0%D1%87%D0%B5%201980%20%D1%84%D0%B8%D0%BB%D1%8C%D0%BC","искать")</f>
        <v/>
      </c>
      <c r="N3698" s="3" t="n"/>
      <c r="O3698" s="2" t="n"/>
      <c r="P3698" s="2" t="n"/>
    </row>
    <row r="3699">
      <c r="A3699" s="2" t="n">
        <v>3698</v>
      </c>
      <c r="B3699" s="2" t="inlineStr">
        <is>
          <t>короткая</t>
        </is>
      </c>
      <c r="C3699" s="2" t="n">
        <v>14115</v>
      </c>
      <c r="D3699" s="3" t="inlineStr">
        <is>
          <t>Зум-зум</t>
        </is>
      </c>
      <c r="E3699" s="2" t="n">
        <v>1970</v>
      </c>
      <c r="F3699" s="2" t="inlineStr">
        <is>
          <t>мультфильм</t>
        </is>
      </c>
      <c r="G3699" s="2" t="inlineStr">
        <is>
          <t>ГОСТЕЛЕРАДИО ЛАТВ. ССР ("ТЕЛЕФИЛЬМ-РИГА")</t>
        </is>
      </c>
      <c r="H3699" s="2" t="n">
        <v>48</v>
      </c>
      <c r="I3699" s="2" t="inlineStr"/>
      <c r="J3699" s="2" t="inlineStr"/>
      <c r="K3699" s="3" t="inlineStr">
        <is>
          <t>О храбром зайчонке, спасшем барашка. Для малышей</t>
        </is>
      </c>
      <c r="L3699" s="2" t="inlineStr">
        <is>
          <t>https://animator.ru/db/?p=show_film&amp;fid=5513</t>
        </is>
      </c>
      <c r="M3699" s="2">
        <f>HYPERLINK("https://ru.wikipedia.org/w/index.php?search=%D0%97%D1%83%D0%BC-%D0%B7%D1%83%D0%BC%201970%20%D1%84%D0%B8%D0%BB%D1%8C%D0%BC","искать")</f>
        <v/>
      </c>
      <c r="N3699" s="3" t="n"/>
      <c r="O3699" s="2" t="n"/>
      <c r="P3699" s="2" t="n"/>
    </row>
    <row r="3700">
      <c r="A3700" s="2" t="n">
        <v>3699</v>
      </c>
      <c r="B3700" s="2" t="inlineStr">
        <is>
          <t>короткая</t>
        </is>
      </c>
      <c r="C3700" s="2" t="n">
        <v>14210</v>
      </c>
      <c r="D3700" s="3" t="inlineStr">
        <is>
          <t>Верблюжонок топотой</t>
        </is>
      </c>
      <c r="E3700" s="2" t="n">
        <v>1986</v>
      </c>
      <c r="F3700" s="2" t="inlineStr">
        <is>
          <t>мультфильм</t>
        </is>
      </c>
      <c r="G3700" s="2" t="inlineStr">
        <is>
          <t>КИРГИЗФИЛЬМ</t>
        </is>
      </c>
      <c r="H3700" s="2" t="n">
        <v>48</v>
      </c>
      <c r="I3700" s="2" t="inlineStr"/>
      <c r="J3700" s="2" t="inlineStr"/>
      <c r="K3700" s="3" t="inlineStr">
        <is>
          <t>Как ленивый верблюжонок был наказан и исправился</t>
        </is>
      </c>
      <c r="L3700" s="2" t="inlineStr">
        <is>
          <t>https://animator.ru/db/?p=show_film&amp;fid=5609</t>
        </is>
      </c>
      <c r="M3700" s="2">
        <f>HYPERLINK("https://ru.wikipedia.org/w/index.php?search=%D0%92%D0%B5%D1%80%D0%B1%D0%BB%D1%8E%D0%B6%D0%BE%D0%BD%D0%BE%D0%BA%20%D1%82%D0%BE%D0%BF%D0%BE%D1%82%D0%BE%D0%B9%201986%20%D1%84%D0%B8%D0%BB%D1%8C%D0%BC","искать")</f>
        <v/>
      </c>
      <c r="N3700" s="3" t="n"/>
      <c r="O3700" s="2" t="n"/>
      <c r="P3700" s="2" t="n"/>
    </row>
    <row r="3701">
      <c r="A3701" s="2" t="n">
        <v>3700</v>
      </c>
      <c r="B3701" s="2" t="inlineStr">
        <is>
          <t>короткая</t>
        </is>
      </c>
      <c r="C3701" s="2" t="n">
        <v>11719</v>
      </c>
      <c r="D3701" s="3" t="inlineStr">
        <is>
          <t>Часы с кукушкой</t>
        </is>
      </c>
      <c r="E3701" s="2" t="n">
        <v>1973</v>
      </c>
      <c r="F3701" s="2" t="inlineStr">
        <is>
          <t>мультфильм</t>
        </is>
      </c>
      <c r="G3701" s="2" t="inlineStr">
        <is>
          <t>Союзмультфильм</t>
        </is>
      </c>
      <c r="H3701" s="2" t="n">
        <v>49</v>
      </c>
      <c r="I3701" s="2" t="inlineStr"/>
      <c r="J3701" s="2" t="inlineStr"/>
      <c r="K3701" s="3" t="inlineStr">
        <is>
          <t>Сказка о том, как кукушка из часов в лес улетела.</t>
        </is>
      </c>
      <c r="L3701" s="2" t="inlineStr">
        <is>
          <t>2026-10_мультфильмы_список_владельца.xlsx; https://animator.ru/db/?p=show_film&amp;fid=2633</t>
        </is>
      </c>
      <c r="M3701" s="2">
        <f>HYPERLINK("https://ru.wikipedia.org/w/index.php?search=%D0%A7%D0%B0%D1%81%D1%8B%20%D1%81%20%D0%BA%D1%83%D0%BA%D1%83%D1%88%D0%BA%D0%BE%D0%B9%201973%20%D1%84%D0%B8%D0%BB%D1%8C%D0%BC","искать")</f>
        <v/>
      </c>
      <c r="N3701" s="3" t="n"/>
      <c r="O3701" s="2" t="n"/>
      <c r="P3701" s="2" t="n"/>
    </row>
    <row r="3702">
      <c r="A3702" s="2" t="n">
        <v>3701</v>
      </c>
      <c r="B3702" s="2" t="inlineStr">
        <is>
          <t>короткая</t>
        </is>
      </c>
      <c r="C3702" s="2" t="n">
        <v>11784</v>
      </c>
      <c r="D3702" s="3" t="inlineStr">
        <is>
          <t>Радуга</t>
        </is>
      </c>
      <c r="E3702" s="2" t="n">
        <v>1975</v>
      </c>
      <c r="F3702" s="2" t="inlineStr">
        <is>
          <t>мультфильм</t>
        </is>
      </c>
      <c r="G3702" s="2" t="inlineStr">
        <is>
          <t>Союзмультфильм</t>
        </is>
      </c>
      <c r="H3702" s="2" t="n">
        <v>49</v>
      </c>
      <c r="I3702" s="2" t="inlineStr"/>
      <c r="J3702" s="2" t="inlineStr"/>
      <c r="K3702" s="3" t="inlineStr">
        <is>
          <t>Сказка о двух мальчиках, которых подружила радуга</t>
        </is>
      </c>
      <c r="L3702" s="2" t="inlineStr">
        <is>
          <t>https://animator.ru/db/?p=show_film&amp;fid=2698</t>
        </is>
      </c>
      <c r="M3702" s="2">
        <f>HYPERLINK("https://ru.wikipedia.org/w/index.php?search=%D0%A0%D0%B0%D0%B4%D1%83%D0%B3%D0%B0%201975%20%D1%84%D0%B8%D0%BB%D1%8C%D0%BC","искать")</f>
        <v/>
      </c>
      <c r="N3702" s="3" t="n"/>
      <c r="O3702" s="2" t="n"/>
      <c r="P3702" s="2" t="n"/>
    </row>
    <row r="3703">
      <c r="A3703" s="2" t="n">
        <v>3702</v>
      </c>
      <c r="B3703" s="2" t="inlineStr">
        <is>
          <t>короткая</t>
        </is>
      </c>
      <c r="C3703" s="2" t="n">
        <v>11964</v>
      </c>
      <c r="D3703" s="3" t="inlineStr">
        <is>
          <t>Ивашка из Дворца пионеров</t>
        </is>
      </c>
      <c r="E3703" s="2" t="n">
        <v>1981</v>
      </c>
      <c r="F3703" s="2" t="inlineStr">
        <is>
          <t>мультфильм</t>
        </is>
      </c>
      <c r="G3703" s="2" t="inlineStr">
        <is>
          <t>Союзмультфильм</t>
        </is>
      </c>
      <c r="H3703" s="2" t="n">
        <v>49</v>
      </c>
      <c r="I3703" s="2" t="inlineStr"/>
      <c r="J3703" s="2" t="inlineStr"/>
      <c r="K3703" s="3" t="inlineStr">
        <is>
          <t>Приключения современного мальчика в стране сказок</t>
        </is>
      </c>
      <c r="L3703" s="2" t="inlineStr">
        <is>
          <t>https://animator.ru/db/?p=show_film&amp;fid=2880</t>
        </is>
      </c>
      <c r="M3703" s="2">
        <f>HYPERLINK("https://ru.wikipedia.org/w/index.php?search=%D0%98%D0%B2%D0%B0%D1%88%D0%BA%D0%B0%20%D0%B8%D0%B7%20%D0%94%D0%B2%D0%BE%D1%80%D1%86%D0%B0%20%D0%BF%D0%B8%D0%BE%D0%BD%D0%B5%D1%80%D0%BE%D0%B2%201981%20%D1%84%D0%B8%D0%BB%D1%8C%D0%BC","искать")</f>
        <v/>
      </c>
      <c r="N3703" s="3" t="n"/>
      <c r="O3703" s="2" t="n"/>
      <c r="P3703" s="2" t="n"/>
    </row>
    <row r="3704">
      <c r="A3704" s="2" t="n">
        <v>3703</v>
      </c>
      <c r="B3704" s="2" t="inlineStr">
        <is>
          <t>короткая</t>
        </is>
      </c>
      <c r="C3704" s="2" t="n">
        <v>13026</v>
      </c>
      <c r="D3704" s="3" t="inlineStr">
        <is>
          <t>Волшебное зеркало</t>
        </is>
      </c>
      <c r="E3704" s="2" t="n">
        <v>1990</v>
      </c>
      <c r="F3704" s="2" t="inlineStr">
        <is>
          <t>мультфильм</t>
        </is>
      </c>
      <c r="G3704" s="2" t="inlineStr">
        <is>
          <t>КАЗАХФИЛЬМ</t>
        </is>
      </c>
      <c r="H3704" s="2" t="n">
        <v>49</v>
      </c>
      <c r="I3704" s="2" t="inlineStr"/>
      <c r="J3704" s="2" t="inlineStr"/>
      <c r="K3704" s="3" t="inlineStr">
        <is>
          <t>О приключениях добродушного Дяу, похитевшего руно</t>
        </is>
      </c>
      <c r="L3704" s="2" t="inlineStr">
        <is>
          <t>https://animator.ru/db/?p=show_film&amp;fid=4258</t>
        </is>
      </c>
      <c r="M3704" s="2">
        <f>HYPERLINK("https://ru.wikipedia.org/w/index.php?search=%D0%92%D0%BE%D0%BB%D1%88%D0%B5%D0%B1%D0%BD%D0%BE%D0%B5%20%D0%B7%D0%B5%D1%80%D0%BA%D0%B0%D0%BB%D0%BE%201990%20%D1%84%D0%B8%D0%BB%D1%8C%D0%BC","искать")</f>
        <v/>
      </c>
      <c r="N3704" s="3" t="n"/>
      <c r="O3704" s="2" t="n"/>
      <c r="P3704" s="2" t="n"/>
    </row>
    <row r="3705">
      <c r="A3705" s="2" t="n">
        <v>3704</v>
      </c>
      <c r="B3705" s="2" t="inlineStr">
        <is>
          <t>короткая</t>
        </is>
      </c>
      <c r="C3705" s="2" t="n">
        <v>13046</v>
      </c>
      <c r="D3705" s="3" t="inlineStr">
        <is>
          <t>Украденный пудель</t>
        </is>
      </c>
      <c r="E3705" s="2" t="n">
        <v>1972</v>
      </c>
      <c r="F3705" s="2" t="inlineStr">
        <is>
          <t>мультфильм</t>
        </is>
      </c>
      <c r="G3705" s="2" t="inlineStr">
        <is>
          <t>РИЖСКАЯ КИНОСТУДИЯ</t>
        </is>
      </c>
      <c r="H3705" s="2" t="n">
        <v>49</v>
      </c>
      <c r="I3705" s="2" t="inlineStr"/>
      <c r="J3705" s="2" t="inlineStr"/>
      <c r="K3705" s="3" t="inlineStr">
        <is>
          <t>История о цирке, клоуне и добрых детях. Для детей</t>
        </is>
      </c>
      <c r="L3705" s="2" t="inlineStr">
        <is>
          <t>https://animator.ru/db/?p=show_film&amp;fid=4278</t>
        </is>
      </c>
      <c r="M3705" s="2">
        <f>HYPERLINK("https://ru.wikipedia.org/w/index.php?search=%D0%A3%D0%BA%D1%80%D0%B0%D0%B4%D0%B5%D0%BD%D0%BD%D1%8B%D0%B9%20%D0%BF%D1%83%D0%B4%D0%B5%D0%BB%D1%8C%201972%20%D1%84%D0%B8%D0%BB%D1%8C%D0%BC","искать")</f>
        <v/>
      </c>
      <c r="N3705" s="3" t="n"/>
      <c r="O3705" s="2" t="n"/>
      <c r="P3705" s="2" t="n"/>
    </row>
    <row r="3706">
      <c r="A3706" s="2" t="n">
        <v>3705</v>
      </c>
      <c r="B3706" s="2" t="inlineStr">
        <is>
          <t>короткая</t>
        </is>
      </c>
      <c r="C3706" s="2" t="n">
        <v>14037</v>
      </c>
      <c r="D3706" s="3" t="inlineStr">
        <is>
          <t>Мечта маленького ослика</t>
        </is>
      </c>
      <c r="E3706" s="2" t="n">
        <v>1984</v>
      </c>
      <c r="F3706" s="2" t="inlineStr">
        <is>
          <t>мультфильм</t>
        </is>
      </c>
      <c r="G3706" s="2" t="inlineStr">
        <is>
          <t>Свердловская киностудия</t>
        </is>
      </c>
      <c r="H3706" s="2" t="n">
        <v>49</v>
      </c>
      <c r="I3706" s="2" t="inlineStr"/>
      <c r="J3706" s="2" t="inlineStr"/>
      <c r="K3706" s="3" t="inlineStr">
        <is>
          <t>Маленький ослик мечтал превратиться в... бабочку!</t>
        </is>
      </c>
      <c r="L3706" s="2" t="inlineStr">
        <is>
          <t>2026-10_мультфильмы_список_владельца.xlsx; https://animator.ru/db/?p=show_film&amp;fid=5433</t>
        </is>
      </c>
      <c r="M3706" s="2">
        <f>HYPERLINK("https://ru.wikipedia.org/w/index.php?search=%D0%9C%D0%B5%D1%87%D1%82%D0%B0%20%D0%BC%D0%B0%D0%BB%D0%B5%D0%BD%D1%8C%D0%BA%D0%BE%D0%B3%D0%BE%20%D0%BE%D1%81%D0%BB%D0%B8%D0%BA%D0%B0%201984%20%D1%84%D0%B8%D0%BB%D1%8C%D0%BC","искать")</f>
        <v/>
      </c>
      <c r="N3706" s="3" t="n"/>
      <c r="O3706" s="2" t="n"/>
      <c r="P3706" s="2" t="n"/>
    </row>
    <row r="3707">
      <c r="A3707" s="2" t="n">
        <v>3706</v>
      </c>
      <c r="B3707" s="2" t="inlineStr">
        <is>
          <t>короткая</t>
        </is>
      </c>
      <c r="C3707" s="2" t="n">
        <v>14076</v>
      </c>
      <c r="D3707" s="3" t="inlineStr">
        <is>
          <t>Счастливый день</t>
        </is>
      </c>
      <c r="E3707" s="2" t="n">
        <v>1983</v>
      </c>
      <c r="F3707" s="2" t="inlineStr">
        <is>
          <t>мультфильм</t>
        </is>
      </c>
      <c r="G3707" s="2" t="inlineStr">
        <is>
          <t>ТАДЖИКФИЛЬМ</t>
        </is>
      </c>
      <c r="H3707" s="2" t="n">
        <v>49</v>
      </c>
      <c r="I3707" s="2" t="inlineStr"/>
      <c r="J3707" s="2" t="inlineStr"/>
      <c r="K3707" s="3" t="inlineStr">
        <is>
          <t>О доброй девочке, помогающей дедушке по хозяйству</t>
        </is>
      </c>
      <c r="L3707" s="2" t="inlineStr">
        <is>
          <t>https://animator.ru/db/?p=show_film&amp;fid=5473</t>
        </is>
      </c>
      <c r="M3707" s="2">
        <f>HYPERLINK("https://ru.wikipedia.org/w/index.php?search=%D0%A1%D1%87%D0%B0%D1%81%D1%82%D0%BB%D0%B8%D0%B2%D1%8B%D0%B9%20%D0%B4%D0%B5%D0%BD%D1%8C%201983%20%D1%84%D0%B8%D0%BB%D1%8C%D0%BC","искать")</f>
        <v/>
      </c>
      <c r="N3707" s="3" t="n"/>
      <c r="O3707" s="2" t="n"/>
      <c r="P3707" s="2" t="n"/>
    </row>
    <row r="3708">
      <c r="A3708" s="2" t="n">
        <v>3707</v>
      </c>
      <c r="B3708" s="2" t="inlineStr">
        <is>
          <t>короткая</t>
        </is>
      </c>
      <c r="C3708" s="2" t="n">
        <v>14091</v>
      </c>
      <c r="D3708" s="3" t="inlineStr">
        <is>
          <t>Веревка</t>
        </is>
      </c>
      <c r="E3708" s="2" t="n">
        <v>1987</v>
      </c>
      <c r="F3708" s="2" t="inlineStr">
        <is>
          <t>мультфильм</t>
        </is>
      </c>
      <c r="G3708" s="2" t="inlineStr">
        <is>
          <t>КАЗАХТЕЛЕФИЛЬМ</t>
        </is>
      </c>
      <c r="H3708" s="2" t="n">
        <v>49</v>
      </c>
      <c r="I3708" s="2" t="inlineStr"/>
      <c r="J3708" s="2" t="inlineStr"/>
      <c r="K3708" s="3" t="inlineStr">
        <is>
          <t>Как пытаются с пользой употребить обрывок веревки</t>
        </is>
      </c>
      <c r="L3708" s="2" t="inlineStr">
        <is>
          <t>https://animator.ru/db/?p=show_film&amp;fid=5489</t>
        </is>
      </c>
      <c r="M3708" s="2">
        <f>HYPERLINK("https://ru.wikipedia.org/w/index.php?search=%D0%92%D0%B5%D1%80%D0%B5%D0%B2%D0%BA%D0%B0%201987%20%D1%84%D0%B8%D0%BB%D1%8C%D0%BC","искать")</f>
        <v/>
      </c>
      <c r="N3708" s="3" t="n"/>
      <c r="O3708" s="2" t="n"/>
      <c r="P3708" s="2" t="n"/>
    </row>
    <row r="3709">
      <c r="A3709" s="2" t="n">
        <v>3708</v>
      </c>
      <c r="B3709" s="2" t="inlineStr">
        <is>
          <t>короткая</t>
        </is>
      </c>
      <c r="C3709" s="2" t="n">
        <v>14117</v>
      </c>
      <c r="D3709" s="3" t="inlineStr">
        <is>
          <t>Как аукнется, так и откликнется</t>
        </is>
      </c>
      <c r="E3709" s="2" t="n">
        <v>1975</v>
      </c>
      <c r="F3709" s="2" t="inlineStr">
        <is>
          <t>мультфильм</t>
        </is>
      </c>
      <c r="G3709" s="2" t="inlineStr">
        <is>
          <t>Свердловская киностудия</t>
        </is>
      </c>
      <c r="H3709" s="2" t="n">
        <v>49</v>
      </c>
      <c r="I3709" s="2" t="inlineStr"/>
      <c r="J3709" s="2" t="inlineStr"/>
      <c r="K3709" s="3" t="inlineStr">
        <is>
          <t>Как скоморохи наказали глупого царского советника</t>
        </is>
      </c>
      <c r="L3709" s="2" t="inlineStr">
        <is>
          <t>https://animator.ru/db/?p=show_film&amp;fid=5515</t>
        </is>
      </c>
      <c r="M3709" s="2">
        <f>HYPERLINK("https://ru.wikipedia.org/w/index.php?search=%D0%9A%D0%B0%D0%BA%20%D0%B0%D1%83%D0%BA%D0%BD%D0%B5%D1%82%D1%81%D1%8F%2C%20%D1%82%D0%B0%D0%BA%20%D0%B8%20%D0%BE%D1%82%D0%BA%D0%BB%D0%B8%D0%BA%D0%BD%D0%B5%D1%82%D1%81%D1%8F%201975%20%D1%84%D0%B8%D0%BB%D1%8C%D0%BC","искать")</f>
        <v/>
      </c>
      <c r="N3709" s="3" t="n"/>
      <c r="O3709" s="2" t="n"/>
      <c r="P3709" s="2" t="n"/>
    </row>
    <row r="3710">
      <c r="A3710" s="2" t="n">
        <v>3709</v>
      </c>
      <c r="B3710" s="2" t="inlineStr">
        <is>
          <t>короткая</t>
        </is>
      </c>
      <c r="C3710" s="2" t="n">
        <v>11692</v>
      </c>
      <c r="D3710" s="3" t="inlineStr">
        <is>
          <t>Аврора</t>
        </is>
      </c>
      <c r="E3710" s="2" t="n">
        <v>1973</v>
      </c>
      <c r="F3710" s="2" t="inlineStr">
        <is>
          <t>мультфильм</t>
        </is>
      </c>
      <c r="G3710" s="2" t="inlineStr">
        <is>
          <t>Союзмультфильм</t>
        </is>
      </c>
      <c r="H3710" s="2" t="n">
        <v>50</v>
      </c>
      <c r="I3710" s="2" t="inlineStr"/>
      <c r="J3710" s="2" t="inlineStr"/>
      <c r="K3710" s="3" t="inlineStr">
        <is>
          <t>Познавательный фильм об истории крейсера "Аврора".</t>
        </is>
      </c>
      <c r="L3710" s="2" t="inlineStr">
        <is>
          <t>2026-10_мультфильмы_список_владельца.xlsx; https://animator.ru/db/?p=show_film&amp;fid=2606</t>
        </is>
      </c>
      <c r="M3710" s="2">
        <f>HYPERLINK("https://ru.wikipedia.org/w/index.php?search=%D0%90%D0%B2%D1%80%D0%BE%D1%80%D0%B0%201973%20%D1%84%D0%B8%D0%BB%D1%8C%D0%BC","искать")</f>
        <v/>
      </c>
      <c r="N3710" s="3" t="n"/>
      <c r="O3710" s="2" t="n"/>
      <c r="P3710" s="2" t="n"/>
    </row>
    <row r="3711">
      <c r="A3711" s="2" t="n">
        <v>3710</v>
      </c>
      <c r="B3711" s="2" t="inlineStr">
        <is>
          <t>короткая</t>
        </is>
      </c>
      <c r="C3711" s="2" t="n">
        <v>12054</v>
      </c>
      <c r="D3711" s="3" t="inlineStr">
        <is>
          <t>Про мамонтенка</t>
        </is>
      </c>
      <c r="E3711" s="2" t="n">
        <v>1983</v>
      </c>
      <c r="F3711" s="2" t="inlineStr">
        <is>
          <t>мультфильм</t>
        </is>
      </c>
      <c r="G3711" s="2" t="inlineStr">
        <is>
          <t>Союзмультфильм</t>
        </is>
      </c>
      <c r="H3711" s="2" t="n">
        <v>50</v>
      </c>
      <c r="I3711" s="2" t="inlineStr"/>
      <c r="J3711" s="2" t="inlineStr"/>
      <c r="K3711" s="3" t="inlineStr">
        <is>
          <t>Про героя-мамонтенка, который погиб, защищая друга</t>
        </is>
      </c>
      <c r="L3711" s="2" t="inlineStr">
        <is>
          <t>https://animator.ru/db/?p=show_film&amp;fid=3169</t>
        </is>
      </c>
      <c r="M3711" s="2">
        <f>HYPERLINK("https://ru.wikipedia.org/w/index.php?search=%D0%9F%D1%80%D0%BE%20%D0%BC%D0%B0%D0%BC%D0%BE%D0%BD%D1%82%D0%B5%D0%BD%D0%BA%D0%B0%201983%20%D1%84%D0%B8%D0%BB%D1%8C%D0%BC","искать")</f>
        <v/>
      </c>
      <c r="N3711" s="3" t="n"/>
      <c r="O3711" s="2" t="n"/>
      <c r="P3711" s="2" t="n"/>
    </row>
    <row r="3712">
      <c r="A3712" s="2" t="n">
        <v>3711</v>
      </c>
      <c r="B3712" s="2" t="inlineStr">
        <is>
          <t>короткая</t>
        </is>
      </c>
      <c r="C3712" s="2" t="n">
        <v>12526</v>
      </c>
      <c r="D3712" s="3" t="inlineStr">
        <is>
          <t>Про всех на свете</t>
        </is>
      </c>
      <c r="E3712" s="2" t="n">
        <v>1984</v>
      </c>
      <c r="F3712" s="2" t="inlineStr">
        <is>
          <t>мультфильм</t>
        </is>
      </c>
      <c r="G3712" s="2" t="inlineStr">
        <is>
          <t>КИЕВНАУЧФИЛЬМ</t>
        </is>
      </c>
      <c r="H3712" s="2" t="n">
        <v>50</v>
      </c>
      <c r="I3712" s="2" t="inlineStr"/>
      <c r="J3712" s="2" t="inlineStr"/>
      <c r="K3712" s="3" t="inlineStr">
        <is>
          <t>Участвует детский хор Клуба Киевского станкозавода</t>
        </is>
      </c>
      <c r="L3712" s="2" t="inlineStr">
        <is>
          <t>https://animator.ru/db/?p=show_film&amp;fid=3702</t>
        </is>
      </c>
      <c r="M3712" s="2">
        <f>HYPERLINK("https://ru.wikipedia.org/w/index.php?search=%D0%9F%D1%80%D0%BE%20%D0%B2%D1%81%D0%B5%D1%85%20%D0%BD%D0%B0%20%D1%81%D0%B2%D0%B5%D1%82%D0%B5%201984%20%D1%84%D0%B8%D0%BB%D1%8C%D0%BC","искать")</f>
        <v/>
      </c>
      <c r="N3712" s="3" t="n"/>
      <c r="O3712" s="2" t="n"/>
      <c r="P3712" s="2" t="n"/>
    </row>
    <row r="3713">
      <c r="A3713" s="2" t="n">
        <v>3712</v>
      </c>
      <c r="B3713" s="2" t="inlineStr">
        <is>
          <t>короткая</t>
        </is>
      </c>
      <c r="C3713" s="2" t="n">
        <v>13340</v>
      </c>
      <c r="D3713" s="3" t="inlineStr">
        <is>
          <t>Горе-кузнец</t>
        </is>
      </c>
      <c r="E3713" s="2" t="n">
        <v>1976</v>
      </c>
      <c r="F3713" s="2" t="inlineStr">
        <is>
          <t>мультфильм</t>
        </is>
      </c>
      <c r="G3713" s="2" t="inlineStr">
        <is>
          <t>ТАЛЛИННФИЛЬМ</t>
        </is>
      </c>
      <c r="H3713" s="2" t="n">
        <v>50</v>
      </c>
      <c r="I3713" s="2" t="inlineStr"/>
      <c r="J3713" s="2" t="inlineStr"/>
      <c r="K3713" s="3" t="inlineStr">
        <is>
          <t>О ленивом парне, которого учили кузнечному ремеслу</t>
        </is>
      </c>
      <c r="L3713" s="2" t="inlineStr">
        <is>
          <t>https://animator.ru/db/?p=show_film&amp;fid=4612</t>
        </is>
      </c>
      <c r="M3713" s="2">
        <f>HYPERLINK("https://ru.wikipedia.org/w/index.php?search=%D0%93%D0%BE%D1%80%D0%B5-%D0%BA%D1%83%D0%B7%D0%BD%D0%B5%D1%86%201976%20%D1%84%D0%B8%D0%BB%D1%8C%D0%BC","искать")</f>
        <v/>
      </c>
      <c r="N3713" s="3" t="n"/>
      <c r="O3713" s="2" t="n"/>
      <c r="P3713" s="2" t="n"/>
    </row>
    <row r="3714">
      <c r="A3714" s="2" t="n">
        <v>3713</v>
      </c>
      <c r="B3714" s="2" t="inlineStr">
        <is>
          <t>короткая</t>
        </is>
      </c>
      <c r="C3714" s="2" t="n">
        <v>13555</v>
      </c>
      <c r="D3714" s="3" t="inlineStr">
        <is>
          <t>С 9:00 до 18:00</t>
        </is>
      </c>
      <c r="E3714" s="2" t="n">
        <v>1987</v>
      </c>
      <c r="F3714" s="2" t="inlineStr">
        <is>
          <t>мультфильм</t>
        </is>
      </c>
      <c r="G3714" s="2" t="inlineStr">
        <is>
          <t>Союзмультфильм</t>
        </is>
      </c>
      <c r="H3714" s="2" t="n">
        <v>50</v>
      </c>
      <c r="I3714" s="2" t="inlineStr"/>
      <c r="J3714" s="2" t="inlineStr"/>
      <c r="K3714" s="3" t="inlineStr">
        <is>
          <t>Описание одного рабочего дня обыкновенной женщины.</t>
        </is>
      </c>
      <c r="L3714" s="2" t="inlineStr">
        <is>
          <t>https://animator.ru/db/?p=show_film&amp;fid=4890</t>
        </is>
      </c>
      <c r="M3714" s="2">
        <f>HYPERLINK("https://ru.wikipedia.org/w/index.php?search=%D0%A1%209%3A00%20%D0%B4%D0%BE%2018%3A00%201987%20%D1%84%D0%B8%D0%BB%D1%8C%D0%BC","искать")</f>
        <v/>
      </c>
      <c r="N3714" s="3" t="n"/>
      <c r="O3714" s="2" t="n"/>
      <c r="P3714" s="2" t="n"/>
    </row>
    <row r="3715">
      <c r="A3715" s="2" t="n">
        <v>3714</v>
      </c>
      <c r="B3715" s="2" t="inlineStr">
        <is>
          <t>короткая</t>
        </is>
      </c>
      <c r="C3715" s="2" t="n">
        <v>13858</v>
      </c>
      <c r="D3715" s="3" t="inlineStr">
        <is>
          <t>Приключения поросенка Фунтика. 4. Фунтик в цирке</t>
        </is>
      </c>
      <c r="E3715" s="2" t="n">
        <v>1988</v>
      </c>
      <c r="F3715" s="2" t="inlineStr">
        <is>
          <t>мультфильм</t>
        </is>
      </c>
      <c r="G3715" s="2" t="inlineStr">
        <is>
          <t>ЭКРАН</t>
        </is>
      </c>
      <c r="H3715" s="2" t="n">
        <v>50</v>
      </c>
      <c r="I3715" s="2" t="inlineStr"/>
      <c r="J3715" s="2" t="inlineStr"/>
      <c r="K3715" s="3" t="inlineStr">
        <is>
          <t>Фунтик всем рассказывает правду об алчной хозяйке.</t>
        </is>
      </c>
      <c r="L3715" s="2" t="inlineStr">
        <is>
          <t>2026-10_мультфильмы_список_владельца.xlsx; https://animator.ru/db/?p=show_film&amp;fid=5251</t>
        </is>
      </c>
      <c r="M3715" s="2">
        <f>HYPERLINK("https://ru.wikipedia.org/w/index.php?search=%D0%9F%D1%80%D0%B8%D0%BA%D0%BB%D1%8E%D1%87%D0%B5%D0%BD%D0%B8%D1%8F%20%D0%BF%D0%BE%D1%80%D0%BE%D1%81%D0%B5%D0%BD%D0%BA%D0%B0%20%D0%A4%D1%83%D0%BD%D1%82%D0%B8%D0%BA%D0%B0.%204.%20%D0%A4%D1%83%D0%BD%D1%82%D0%B8%D0%BA%20%D0%B2%20%D1%86%D0%B8%D1%80%D0%BA%D0%B5%201988%20%D1%84%D0%B8%D0%BB%D1%8C%D0%BC","искать")</f>
        <v/>
      </c>
      <c r="N3715" s="3" t="n"/>
      <c r="O3715" s="2" t="n"/>
      <c r="P3715" s="2" t="n"/>
    </row>
    <row r="3716">
      <c r="A3716" s="2" t="n">
        <v>3715</v>
      </c>
      <c r="B3716" s="2" t="inlineStr">
        <is>
          <t>короткая</t>
        </is>
      </c>
      <c r="C3716" s="2" t="n">
        <v>14030</v>
      </c>
      <c r="D3716" s="3" t="inlineStr">
        <is>
          <t>Кураш</t>
        </is>
      </c>
      <c r="E3716" s="2" t="n">
        <v>1980</v>
      </c>
      <c r="F3716" s="2" t="inlineStr">
        <is>
          <t>мультфильм</t>
        </is>
      </c>
      <c r="G3716" s="2" t="inlineStr">
        <is>
          <t>УЗБЕКФИЛЬМ</t>
        </is>
      </c>
      <c r="H3716" s="2" t="n">
        <v>50</v>
      </c>
      <c r="I3716" s="2" t="inlineStr"/>
      <c r="J3716" s="2" t="inlineStr"/>
      <c r="K3716" s="3" t="inlineStr">
        <is>
          <t>Как дедушка помог внуку в народной борьбе "Кураш".</t>
        </is>
      </c>
      <c r="L3716" s="2" t="inlineStr">
        <is>
          <t>2026-10_мультфильмы_список_владельца.xlsx; https://animator.ru/db/?p=show_film&amp;fid=5426</t>
        </is>
      </c>
      <c r="M3716" s="2">
        <f>HYPERLINK("https://ru.wikipedia.org/w/index.php?search=%D0%9A%D1%83%D1%80%D0%B0%D1%88%201980%20%D1%84%D0%B8%D0%BB%D1%8C%D0%BC","искать")</f>
        <v/>
      </c>
      <c r="N3716" s="3" t="n"/>
      <c r="O3716" s="2" t="n"/>
      <c r="P3716" s="2" t="n"/>
    </row>
    <row r="3717">
      <c r="A3717" s="2" t="n">
        <v>3716</v>
      </c>
      <c r="B3717" s="2" t="inlineStr">
        <is>
          <t>короткая</t>
        </is>
      </c>
      <c r="C3717" s="2" t="n">
        <v>14113</v>
      </c>
      <c r="D3717" s="3" t="inlineStr">
        <is>
          <t>Заяц, Скрип и скрипка</t>
        </is>
      </c>
      <c r="E3717" s="2" t="n">
        <v>1976</v>
      </c>
      <c r="F3717" s="2" t="inlineStr">
        <is>
          <t>мультфильм</t>
        </is>
      </c>
      <c r="G3717" s="2" t="inlineStr">
        <is>
          <t>КУЙБЫШЕВТЕЛЕФИЛЬМ</t>
        </is>
      </c>
      <c r="H3717" s="2" t="n">
        <v>50</v>
      </c>
      <c r="I3717" s="2" t="inlineStr"/>
      <c r="J3717" s="2" t="inlineStr"/>
      <c r="K3717" s="3" t="inlineStr">
        <is>
          <t>Как зайчонок учился играть на скрипке. Для малышей</t>
        </is>
      </c>
      <c r="L3717" s="2" t="inlineStr">
        <is>
          <t>https://animator.ru/db/?p=show_film&amp;fid=5511</t>
        </is>
      </c>
      <c r="M3717" s="2">
        <f>HYPERLINK("https://ru.wikipedia.org/w/index.php?search=%D0%97%D0%B0%D1%8F%D1%86%2C%20%D0%A1%D0%BA%D1%80%D0%B8%D0%BF%20%D0%B8%20%D1%81%D0%BA%D1%80%D0%B8%D0%BF%D0%BA%D0%B0%201976%20%D1%84%D0%B8%D0%BB%D1%8C%D0%BC","искать")</f>
        <v/>
      </c>
      <c r="N3717" s="3" t="n"/>
      <c r="O3717" s="2" t="n"/>
      <c r="P3717" s="2" t="n"/>
    </row>
    <row r="3718">
      <c r="A3718" s="2" t="n">
        <v>3717</v>
      </c>
      <c r="B3718" s="2" t="inlineStr">
        <is>
          <t>короткая</t>
        </is>
      </c>
      <c r="C3718" s="2" t="n">
        <v>14170</v>
      </c>
      <c r="D3718" s="3" t="inlineStr">
        <is>
          <t>Самая сладкая дыня</t>
        </is>
      </c>
      <c r="E3718" s="2" t="n">
        <v>1986</v>
      </c>
      <c r="F3718" s="2" t="inlineStr">
        <is>
          <t>мультфильм</t>
        </is>
      </c>
      <c r="G3718" s="2" t="inlineStr">
        <is>
          <t>ТУРКМЕНТЕЛЕФИЛЬМ</t>
        </is>
      </c>
      <c r="H3718" s="2" t="n">
        <v>50</v>
      </c>
      <c r="I3718" s="2" t="inlineStr"/>
      <c r="J3718" s="2" t="inlineStr"/>
      <c r="K3718" s="3" t="inlineStr">
        <is>
          <t>Как храбрый малыш Аширка познакомился с шакаленком</t>
        </is>
      </c>
      <c r="L3718" s="2" t="inlineStr">
        <is>
          <t>https://animator.ru/db/?p=show_film&amp;fid=5568</t>
        </is>
      </c>
      <c r="M3718" s="2">
        <f>HYPERLINK("https://ru.wikipedia.org/w/index.php?search=%D0%A1%D0%B0%D0%BC%D0%B0%D1%8F%20%D1%81%D0%BB%D0%B0%D0%B4%D0%BA%D0%B0%D1%8F%20%D0%B4%D1%8B%D0%BD%D1%8F%201986%20%D1%84%D0%B8%D0%BB%D1%8C%D0%BC","искать")</f>
        <v/>
      </c>
      <c r="N3718" s="3" t="n"/>
      <c r="O3718" s="2" t="n"/>
      <c r="P3718" s="2" t="n"/>
    </row>
    <row r="3719">
      <c r="A3719" s="2" t="n">
        <v>3718</v>
      </c>
      <c r="B3719" s="2" t="inlineStr">
        <is>
          <t>короткая</t>
        </is>
      </c>
      <c r="C3719" s="2" t="n">
        <v>12771</v>
      </c>
      <c r="D3719" s="3" t="inlineStr">
        <is>
          <t>Три совета мудреца</t>
        </is>
      </c>
      <c r="E3719" s="2" t="n">
        <v>1981</v>
      </c>
      <c r="F3719" s="2" t="inlineStr">
        <is>
          <t>мультфильм</t>
        </is>
      </c>
      <c r="G3719" s="2" t="inlineStr">
        <is>
          <t>АРМЕНФИЛЬМ</t>
        </is>
      </c>
      <c r="H3719" s="2" t="n">
        <v>51</v>
      </c>
      <c r="I3719" s="2" t="inlineStr"/>
      <c r="J3719" s="2" t="inlineStr"/>
      <c r="K3719" s="3" t="inlineStr">
        <is>
          <t>Советы мудреца сделали бедняка богатым и счастливым</t>
        </is>
      </c>
      <c r="L3719" s="2" t="inlineStr">
        <is>
          <t>https://animator.ru/db/?p=show_film&amp;fid=3980</t>
        </is>
      </c>
      <c r="M3719" s="2">
        <f>HYPERLINK("https://ru.wikipedia.org/w/index.php?search=%D0%A2%D1%80%D0%B8%20%D1%81%D0%BE%D0%B2%D0%B5%D1%82%D0%B0%20%D0%BC%D1%83%D0%B4%D1%80%D0%B5%D1%86%D0%B0%201981%20%D1%84%D0%B8%D0%BB%D1%8C%D0%BC","искать")</f>
        <v/>
      </c>
      <c r="N3719" s="3" t="n"/>
      <c r="O3719" s="2" t="n"/>
      <c r="P3719" s="2" t="n"/>
    </row>
    <row r="3720">
      <c r="A3720" s="2" t="n">
        <v>3719</v>
      </c>
      <c r="B3720" s="2" t="inlineStr">
        <is>
          <t>короткая</t>
        </is>
      </c>
      <c r="C3720" s="2" t="n">
        <v>12835</v>
      </c>
      <c r="D3720" s="3" t="inlineStr">
        <is>
          <t>Портной бесо</t>
        </is>
      </c>
      <c r="E3720" s="2" t="n">
        <v>1978</v>
      </c>
      <c r="F3720" s="2" t="inlineStr">
        <is>
          <t>мультфильм</t>
        </is>
      </c>
      <c r="G3720" s="2" t="inlineStr">
        <is>
          <t>ГРУЗИЯ-ФИЛЬМ - АО</t>
        </is>
      </c>
      <c r="H3720" s="2" t="n">
        <v>51</v>
      </c>
      <c r="I3720" s="2" t="inlineStr"/>
      <c r="J3720" s="2" t="inlineStr"/>
      <c r="K3720" s="3" t="inlineStr">
        <is>
          <t>О приключениях портного Бесо, который творит чудеса</t>
        </is>
      </c>
      <c r="L3720" s="2" t="inlineStr">
        <is>
          <t>https://animator.ru/db/?p=show_film&amp;fid=4055</t>
        </is>
      </c>
      <c r="M3720" s="2">
        <f>HYPERLINK("https://ru.wikipedia.org/w/index.php?search=%D0%9F%D0%BE%D1%80%D1%82%D0%BD%D0%BE%D0%B9%20%D0%B1%D0%B5%D1%81%D0%BE%201978%20%D1%84%D0%B8%D0%BB%D1%8C%D0%BC","искать")</f>
        <v/>
      </c>
      <c r="N3720" s="3" t="n"/>
      <c r="O3720" s="2" t="n"/>
      <c r="P3720" s="2" t="n"/>
    </row>
    <row r="3721">
      <c r="A3721" s="2" t="n">
        <v>3720</v>
      </c>
      <c r="B3721" s="2" t="inlineStr">
        <is>
          <t>короткая</t>
        </is>
      </c>
      <c r="C3721" s="2" t="n">
        <v>12992</v>
      </c>
      <c r="D3721" s="3" t="inlineStr">
        <is>
          <t>Сборник микромультфильмов n 2</t>
        </is>
      </c>
      <c r="E3721" s="2" t="n">
        <v>1971</v>
      </c>
      <c r="F3721" s="2" t="inlineStr">
        <is>
          <t>мультфильм</t>
        </is>
      </c>
      <c r="G3721" s="2" t="inlineStr">
        <is>
          <t>КАЗАХФИЛЬМ</t>
        </is>
      </c>
      <c r="H3721" s="2" t="n">
        <v>51</v>
      </c>
      <c r="I3721" s="2" t="inlineStr"/>
      <c r="J3721" s="2" t="inlineStr"/>
      <c r="K3721" s="3" t="inlineStr">
        <is>
          <t>Сюжеты - "Святой осел", "Любитель одиночества" (см)</t>
        </is>
      </c>
      <c r="L3721" s="2" t="inlineStr">
        <is>
          <t>https://animator.ru/db/?p=show_film&amp;fid=4224</t>
        </is>
      </c>
      <c r="M3721" s="2">
        <f>HYPERLINK("https://ru.wikipedia.org/w/index.php?search=%D0%A1%D0%B1%D0%BE%D1%80%D0%BD%D0%B8%D0%BA%20%D0%BC%D0%B8%D0%BA%D1%80%D0%BE%D0%BC%D1%83%D0%BB%D1%8C%D1%82%D1%84%D0%B8%D0%BB%D1%8C%D0%BC%D0%BE%D0%B2%20n%202%201971%20%D1%84%D0%B8%D0%BB%D1%8C%D0%BC","искать")</f>
        <v/>
      </c>
      <c r="N3721" s="3" t="n"/>
      <c r="O3721" s="2" t="n"/>
      <c r="P3721" s="2" t="n"/>
    </row>
    <row r="3722">
      <c r="A3722" s="2" t="n">
        <v>3721</v>
      </c>
      <c r="B3722" s="2" t="inlineStr">
        <is>
          <t>короткая</t>
        </is>
      </c>
      <c r="C3722" s="2" t="n">
        <v>13084</v>
      </c>
      <c r="D3722" s="3" t="inlineStr">
        <is>
          <t>Папуля</t>
        </is>
      </c>
      <c r="E3722" s="2" t="n">
        <v>1986</v>
      </c>
      <c r="F3722" s="2" t="inlineStr">
        <is>
          <t>мультфильм</t>
        </is>
      </c>
      <c r="G3722" s="2" t="inlineStr">
        <is>
          <t>РИЖСКАЯ КИНОСТУДИЯ</t>
        </is>
      </c>
      <c r="H3722" s="2" t="n">
        <v>51</v>
      </c>
      <c r="I3722" s="2" t="inlineStr"/>
      <c r="J3722" s="2" t="inlineStr"/>
      <c r="K3722" s="3" t="inlineStr">
        <is>
          <t>Как глава мышиной семьи захмелев попал в лапы кошке</t>
        </is>
      </c>
      <c r="L3722" s="2" t="inlineStr">
        <is>
          <t>https://animator.ru/db/?p=show_film&amp;fid=4316</t>
        </is>
      </c>
      <c r="M3722" s="2">
        <f>HYPERLINK("https://ru.wikipedia.org/w/index.php?search=%D0%9F%D0%B0%D0%BF%D1%83%D0%BB%D1%8F%201986%20%D1%84%D0%B8%D0%BB%D1%8C%D0%BC","искать")</f>
        <v/>
      </c>
      <c r="N3722" s="3" t="n"/>
      <c r="O3722" s="2" t="n"/>
      <c r="P3722" s="2" t="n"/>
    </row>
    <row r="3723">
      <c r="A3723" s="2" t="n">
        <v>3722</v>
      </c>
      <c r="B3723" s="2" t="inlineStr">
        <is>
          <t>короткая</t>
        </is>
      </c>
      <c r="C3723" s="2" t="n">
        <v>13346</v>
      </c>
      <c r="D3723" s="3" t="inlineStr">
        <is>
          <t>Судьба венеры</t>
        </is>
      </c>
      <c r="E3723" s="2" t="n">
        <v>1980</v>
      </c>
      <c r="F3723" s="2" t="inlineStr">
        <is>
          <t>мультфильм</t>
        </is>
      </c>
      <c r="G3723" s="2" t="inlineStr">
        <is>
          <t>ТАЛЛИННФИЛЬМ</t>
        </is>
      </c>
      <c r="H3723" s="2" t="n">
        <v>51</v>
      </c>
      <c r="I3723" s="2" t="inlineStr"/>
      <c r="J3723" s="2" t="inlineStr"/>
      <c r="K3723" s="3" t="inlineStr">
        <is>
          <t>О том, как лишилась рук знаменитая Венера Милосская</t>
        </is>
      </c>
      <c r="L3723" s="2" t="inlineStr">
        <is>
          <t>https://animator.ru/db/?p=show_film&amp;fid=4621</t>
        </is>
      </c>
      <c r="M3723" s="2">
        <f>HYPERLINK("https://ru.wikipedia.org/w/index.php?search=%D0%A1%D1%83%D0%B4%D1%8C%D0%B1%D0%B0%20%D0%B2%D0%B5%D0%BD%D0%B5%D1%80%D1%8B%201980%20%D1%84%D0%B8%D0%BB%D1%8C%D0%BC","искать")</f>
        <v/>
      </c>
      <c r="N3723" s="3" t="n"/>
      <c r="O3723" s="2" t="n"/>
      <c r="P3723" s="2" t="n"/>
    </row>
    <row r="3724">
      <c r="A3724" s="2" t="n">
        <v>3723</v>
      </c>
      <c r="B3724" s="2" t="inlineStr">
        <is>
          <t>короткая</t>
        </is>
      </c>
      <c r="C3724" s="2" t="n">
        <v>13365</v>
      </c>
      <c r="D3724" s="3" t="inlineStr">
        <is>
          <t>Канбак-шал (Старик перекати-поле)</t>
        </is>
      </c>
      <c r="E3724" s="2" t="n">
        <v>1979</v>
      </c>
      <c r="F3724" s="2" t="inlineStr">
        <is>
          <t>мультфильм</t>
        </is>
      </c>
      <c r="G3724" s="2" t="inlineStr">
        <is>
          <t>КАЗАХФИЛЬМ</t>
        </is>
      </c>
      <c r="H3724" s="2" t="n">
        <v>51</v>
      </c>
      <c r="I3724" s="2" t="inlineStr"/>
      <c r="J3724" s="2" t="inlineStr"/>
      <c r="K3724" s="3" t="inlineStr">
        <is>
          <t>Канбак-шал путешествует с малчиком по стране сказок</t>
        </is>
      </c>
      <c r="L3724" s="2" t="inlineStr">
        <is>
          <t>https://animator.ru/db/?p=show_film&amp;fid=4643</t>
        </is>
      </c>
      <c r="M3724" s="2">
        <f>HYPERLINK("https://ru.wikipedia.org/w/index.php?search=%D0%9A%D0%B0%D0%BD%D0%B1%D0%B0%D0%BA-%D1%88%D0%B0%D0%BB%20%28%D0%A1%D1%82%D0%B0%D1%80%D0%B8%D0%BA%20%D0%BF%D0%B5%D1%80%D0%B5%D0%BA%D0%B0%D1%82%D0%B8-%D0%BF%D0%BE%D0%BB%D0%B5%29%201979%20%D1%84%D0%B8%D0%BB%D1%8C%D0%BC","искать")</f>
        <v/>
      </c>
      <c r="N3724" s="3" t="n"/>
      <c r="O3724" s="2" t="n"/>
      <c r="P3724" s="2" t="n"/>
    </row>
    <row r="3725">
      <c r="A3725" s="2" t="n">
        <v>3724</v>
      </c>
      <c r="B3725" s="2" t="inlineStr">
        <is>
          <t>короткая</t>
        </is>
      </c>
      <c r="C3725" s="2" t="n">
        <v>14024</v>
      </c>
      <c r="D3725" s="3" t="inlineStr">
        <is>
          <t>Живая глина</t>
        </is>
      </c>
      <c r="E3725" s="2" t="n">
        <v>1982</v>
      </c>
      <c r="F3725" s="2" t="inlineStr">
        <is>
          <t>мультфильм</t>
        </is>
      </c>
      <c r="G3725" s="2" t="inlineStr">
        <is>
          <t>УЗБЕКФИЛЬМ</t>
        </is>
      </c>
      <c r="H3725" s="2" t="n">
        <v>51</v>
      </c>
      <c r="I3725" s="2" t="inlineStr"/>
      <c r="J3725" s="2" t="inlineStr"/>
      <c r="K3725" s="3" t="inlineStr">
        <is>
          <t>Как был наказан Мурад, завидовавший соседу-гончару.</t>
        </is>
      </c>
      <c r="L3725" s="2" t="inlineStr">
        <is>
          <t>2026-10_мультфильмы_список_владельца.xlsx; https://animator.ru/db/?p=show_film&amp;fid=5419</t>
        </is>
      </c>
      <c r="M3725" s="2">
        <f>HYPERLINK("https://ru.wikipedia.org/w/index.php?search=%D0%96%D0%B8%D0%B2%D0%B0%D1%8F%20%D0%B3%D0%BB%D0%B8%D0%BD%D0%B0%201982%20%D1%84%D0%B8%D0%BB%D1%8C%D0%BC","искать")</f>
        <v/>
      </c>
      <c r="N3725" s="3" t="n"/>
      <c r="O3725" s="2" t="n"/>
      <c r="P3725" s="2" t="n"/>
    </row>
    <row r="3726">
      <c r="A3726" s="2" t="n">
        <v>3725</v>
      </c>
      <c r="B3726" s="2" t="inlineStr">
        <is>
          <t>короткая</t>
        </is>
      </c>
      <c r="C3726" s="2" t="n">
        <v>14154</v>
      </c>
      <c r="D3726" s="3" t="inlineStr">
        <is>
          <t>Подушка для солнышка</t>
        </is>
      </c>
      <c r="E3726" s="2" t="n">
        <v>1984</v>
      </c>
      <c r="F3726" s="2" t="inlineStr">
        <is>
          <t>мультфильм</t>
        </is>
      </c>
      <c r="G3726" s="2" t="inlineStr">
        <is>
          <t>САРАТОВТЕЛЕФИЛЬМ</t>
        </is>
      </c>
      <c r="H3726" s="2" t="n">
        <v>51</v>
      </c>
      <c r="I3726" s="2" t="inlineStr"/>
      <c r="J3726" s="2" t="inlineStr"/>
      <c r="K3726" s="3" t="inlineStr">
        <is>
          <t>Как зверюшки узнали: где спит Солнышко. Для малышей</t>
        </is>
      </c>
      <c r="L3726" s="2" t="inlineStr">
        <is>
          <t>https://animator.ru/db/?p=show_film&amp;fid=5552</t>
        </is>
      </c>
      <c r="M3726" s="2">
        <f>HYPERLINK("https://ru.wikipedia.org/w/index.php?search=%D0%9F%D0%BE%D0%B4%D1%83%D1%88%D0%BA%D0%B0%20%D0%B4%D0%BB%D1%8F%20%D1%81%D0%BE%D0%BB%D0%BD%D1%8B%D1%88%D0%BA%D0%B0%201984%20%D1%84%D0%B8%D0%BB%D1%8C%D0%BC","искать")</f>
        <v/>
      </c>
      <c r="N3726" s="3" t="n"/>
      <c r="O3726" s="2" t="n"/>
      <c r="P3726" s="2" t="n"/>
    </row>
    <row r="3727">
      <c r="A3727" s="2" t="n">
        <v>3726</v>
      </c>
      <c r="B3727" s="2" t="inlineStr">
        <is>
          <t>короткая</t>
        </is>
      </c>
      <c r="C3727" s="2" t="n">
        <v>12446</v>
      </c>
      <c r="D3727" s="3" t="inlineStr">
        <is>
          <t>Лис и дрозд</t>
        </is>
      </c>
      <c r="E3727" s="2" t="n">
        <v>1982</v>
      </c>
      <c r="F3727" s="2" t="inlineStr">
        <is>
          <t>мультфильм</t>
        </is>
      </c>
      <c r="G3727" s="2" t="inlineStr">
        <is>
          <t>КИЕВНАУЧФИЛЬМ</t>
        </is>
      </c>
      <c r="H3727" s="2" t="n">
        <v>52</v>
      </c>
      <c r="I3727" s="2" t="inlineStr"/>
      <c r="J3727" s="2" t="inlineStr"/>
      <c r="K3727" s="3" t="inlineStr">
        <is>
          <t>Зло в образе Лисицы наказано добром в образе Дрозда.</t>
        </is>
      </c>
      <c r="L3727" s="2" t="inlineStr">
        <is>
          <t>https://animator.ru/db/?p=show_film&amp;fid=3617</t>
        </is>
      </c>
      <c r="M3727" s="2">
        <f>HYPERLINK("https://ru.wikipedia.org/w/index.php?search=%D0%9B%D0%B8%D1%81%20%D0%B8%20%D0%B4%D1%80%D0%BE%D0%B7%D0%B4%201982%20%D1%84%D0%B8%D0%BB%D1%8C%D0%BC","искать")</f>
        <v/>
      </c>
      <c r="N3727" s="3" t="n"/>
      <c r="O3727" s="2" t="n"/>
      <c r="P3727" s="2" t="n"/>
    </row>
    <row r="3728">
      <c r="A3728" s="2" t="n">
        <v>3727</v>
      </c>
      <c r="B3728" s="2" t="inlineStr">
        <is>
          <t>короткая</t>
        </is>
      </c>
      <c r="C3728" s="2" t="n">
        <v>12478</v>
      </c>
      <c r="D3728" s="3" t="inlineStr">
        <is>
          <t>Одуванчик - толстые щеки</t>
        </is>
      </c>
      <c r="E3728" s="2" t="n">
        <v>1971</v>
      </c>
      <c r="F3728" s="2" t="inlineStr">
        <is>
          <t>мультфильм</t>
        </is>
      </c>
      <c r="G3728" s="2" t="inlineStr">
        <is>
          <t>КИЕВНАУЧФИЛЬМ</t>
        </is>
      </c>
      <c r="H3728" s="2" t="n">
        <v>52</v>
      </c>
      <c r="I3728" s="2" t="inlineStr"/>
      <c r="J3728" s="2" t="inlineStr"/>
      <c r="K3728" s="3" t="inlineStr">
        <is>
          <t>Одуванчик был толстощек, пока не рассмеялся от души.</t>
        </is>
      </c>
      <c r="L3728" s="2" t="inlineStr">
        <is>
          <t>https://animator.ru/db/?p=show_film&amp;fid=3653</t>
        </is>
      </c>
      <c r="M3728" s="2">
        <f>HYPERLINK("https://ru.wikipedia.org/w/index.php?search=%D0%9E%D0%B4%D1%83%D0%B2%D0%B0%D0%BD%D1%87%D0%B8%D0%BA%20-%20%D1%82%D0%BE%D0%BB%D1%81%D1%82%D1%8B%D0%B5%20%D1%89%D0%B5%D0%BA%D0%B8%201971%20%D1%84%D0%B8%D0%BB%D1%8C%D0%BC","искать")</f>
        <v/>
      </c>
      <c r="N3728" s="3" t="n"/>
      <c r="O3728" s="2" t="n"/>
      <c r="P3728" s="2" t="n"/>
    </row>
    <row r="3729">
      <c r="A3729" s="2" t="n">
        <v>3728</v>
      </c>
      <c r="B3729" s="2" t="inlineStr">
        <is>
          <t>короткая</t>
        </is>
      </c>
      <c r="C3729" s="2" t="n">
        <v>12756</v>
      </c>
      <c r="D3729" s="3" t="inlineStr">
        <is>
          <t>Спорт, Спорт, Спорт (Этот упрямый ослик)</t>
        </is>
      </c>
      <c r="E3729" s="2" t="n">
        <v>1974</v>
      </c>
      <c r="F3729" s="2" t="inlineStr">
        <is>
          <t>мультфильм</t>
        </is>
      </c>
      <c r="G3729" s="2" t="inlineStr">
        <is>
          <t>АРМЕНФИЛЬМ</t>
        </is>
      </c>
      <c r="H3729" s="2" t="n">
        <v>52</v>
      </c>
      <c r="I3729" s="2" t="inlineStr"/>
      <c r="J3729" s="2" t="inlineStr"/>
      <c r="K3729" s="3" t="inlineStr">
        <is>
          <t>О том, как ослик занимался спортом и стал чемпионом.</t>
        </is>
      </c>
      <c r="L3729" s="2" t="inlineStr">
        <is>
          <t>2026-10_мультфильмы_список_владельца.xlsx; https://animator.ru/db/?p=show_film&amp;fid=3965</t>
        </is>
      </c>
      <c r="M3729" s="2">
        <f>HYPERLINK("https://ru.wikipedia.org/w/index.php?search=%D0%A1%D0%BF%D0%BE%D1%80%D1%82%2C%20%D0%A1%D0%BF%D0%BE%D1%80%D1%82%2C%20%D0%A1%D0%BF%D0%BE%D1%80%D1%82%20%28%D0%AD%D1%82%D0%BE%D1%82%20%D1%83%D0%BF%D1%80%D1%8F%D0%BC%D1%8B%D0%B9%20%D0%BE%D1%81%D0%BB%D0%B8%D0%BA%29%201974%20%D1%84%D0%B8%D0%BB%D1%8C%D0%BC","искать")</f>
        <v/>
      </c>
      <c r="N3729" s="3" t="n"/>
      <c r="O3729" s="2" t="n"/>
      <c r="P3729" s="2" t="n"/>
    </row>
    <row r="3730">
      <c r="A3730" s="2" t="n">
        <v>3729</v>
      </c>
      <c r="B3730" s="2" t="inlineStr">
        <is>
          <t>короткая</t>
        </is>
      </c>
      <c r="C3730" s="2" t="n">
        <v>13104</v>
      </c>
      <c r="D3730" s="3" t="inlineStr">
        <is>
          <t>Про белую розу, которая умела краснеть</t>
        </is>
      </c>
      <c r="E3730" s="2" t="n">
        <v>1982</v>
      </c>
      <c r="F3730" s="2" t="inlineStr">
        <is>
          <t>мультфильм</t>
        </is>
      </c>
      <c r="G3730" s="2" t="inlineStr">
        <is>
          <t>МОЛДОВА-ФИЛЬМ</t>
        </is>
      </c>
      <c r="H3730" s="2" t="n">
        <v>52</v>
      </c>
      <c r="I3730" s="2" t="inlineStr"/>
      <c r="J3730" s="2" t="inlineStr"/>
      <c r="K3730" s="3" t="inlineStr">
        <is>
          <t>Белая роза краснела, когда при ней говорили неправду</t>
        </is>
      </c>
      <c r="L3730" s="2" t="inlineStr">
        <is>
          <t>https://animator.ru/db/?p=show_film&amp;fid=4336</t>
        </is>
      </c>
      <c r="M3730" s="2">
        <f>HYPERLINK("https://ru.wikipedia.org/w/index.php?search=%D0%9F%D1%80%D0%BE%20%D0%B1%D0%B5%D0%BB%D1%83%D1%8E%20%D1%80%D0%BE%D0%B7%D1%83%2C%20%D0%BA%D0%BE%D1%82%D0%BE%D1%80%D0%B0%D1%8F%20%D1%83%D0%BC%D0%B5%D0%BB%D0%B0%20%D0%BA%D1%80%D0%B0%D1%81%D0%BD%D0%B5%D1%82%D1%8C%201982%20%D1%84%D0%B8%D0%BB%D1%8C%D0%BC","искать")</f>
        <v/>
      </c>
      <c r="N3730" s="3" t="n"/>
      <c r="O3730" s="2" t="n"/>
      <c r="P3730" s="2" t="n"/>
    </row>
    <row r="3731">
      <c r="A3731" s="2" t="n">
        <v>3730</v>
      </c>
      <c r="B3731" s="2" t="inlineStr">
        <is>
          <t>короткая</t>
        </is>
      </c>
      <c r="C3731" s="2" t="n">
        <v>13376</v>
      </c>
      <c r="D3731" s="3" t="inlineStr">
        <is>
          <t>Лямзи-Тыри-Бонди, злой волшебник</t>
        </is>
      </c>
      <c r="E3731" s="2" t="n">
        <v>1976</v>
      </c>
      <c r="F3731" s="2" t="inlineStr">
        <is>
          <t>мультфильм</t>
        </is>
      </c>
      <c r="G3731" s="2" t="inlineStr">
        <is>
          <t>ЭКРАН</t>
        </is>
      </c>
      <c r="H3731" s="2" t="n">
        <v>52</v>
      </c>
      <c r="I3731" s="2" t="inlineStr"/>
      <c r="J3731" s="2" t="inlineStr"/>
      <c r="K3731" s="3" t="inlineStr">
        <is>
          <t>О необыкновенных приключениях Коли Рогова. Для детей</t>
        </is>
      </c>
      <c r="L3731" s="2" t="inlineStr">
        <is>
          <t>https://animator.ru/db/?p=show_film&amp;fid=4656</t>
        </is>
      </c>
      <c r="M3731" s="2">
        <f>HYPERLINK("https://ru.wikipedia.org/w/index.php?search=%D0%9B%D1%8F%D0%BC%D0%B7%D0%B8-%D0%A2%D1%8B%D1%80%D0%B8-%D0%91%D0%BE%D0%BD%D0%B4%D0%B8%2C%20%D0%B7%D0%BB%D0%BE%D0%B9%20%D0%B2%D0%BE%D0%BB%D1%88%D0%B5%D0%B1%D0%BD%D0%B8%D0%BA%201976%20%D1%84%D0%B8%D0%BB%D1%8C%D0%BC","искать")</f>
        <v/>
      </c>
      <c r="N3731" s="3" t="n"/>
      <c r="O3731" s="2" t="n"/>
      <c r="P3731" s="2" t="n"/>
    </row>
    <row r="3732">
      <c r="A3732" s="2" t="n">
        <v>3731</v>
      </c>
      <c r="B3732" s="2" t="inlineStr">
        <is>
          <t>короткая</t>
        </is>
      </c>
      <c r="C3732" s="2" t="n">
        <v>13471</v>
      </c>
      <c r="D3732" s="3" t="inlineStr">
        <is>
          <t>Ох, отдохнул</t>
        </is>
      </c>
      <c r="E3732" s="2" t="n">
        <v>1979</v>
      </c>
      <c r="F3732" s="2" t="inlineStr">
        <is>
          <t>мультфильм</t>
        </is>
      </c>
      <c r="G3732" s="2" t="inlineStr">
        <is>
          <t>ТУРКМЕНТЕЛЕФИЛЬМ</t>
        </is>
      </c>
      <c r="H3732" s="2" t="n">
        <v>52</v>
      </c>
      <c r="I3732" s="2" t="inlineStr"/>
      <c r="J3732" s="2" t="inlineStr"/>
      <c r="K3732" s="3" t="inlineStr">
        <is>
          <t>Как друзья-зверюшки проучили браконьера. Для малышей</t>
        </is>
      </c>
      <c r="L3732" s="2" t="inlineStr">
        <is>
          <t>https://animator.ru/db/?p=show_film&amp;fid=4758</t>
        </is>
      </c>
      <c r="M3732" s="2">
        <f>HYPERLINK("https://ru.wikipedia.org/w/index.php?search=%D0%9E%D1%85%2C%20%D0%BE%D1%82%D0%B4%D0%BE%D1%85%D0%BD%D1%83%D0%BB%201979%20%D1%84%D0%B8%D0%BB%D1%8C%D0%BC","искать")</f>
        <v/>
      </c>
      <c r="N3732" s="3" t="n"/>
      <c r="O3732" s="2" t="n"/>
      <c r="P3732" s="2" t="n"/>
    </row>
    <row r="3733">
      <c r="A3733" s="2" t="n">
        <v>3732</v>
      </c>
      <c r="B3733" s="2" t="inlineStr">
        <is>
          <t>короткая</t>
        </is>
      </c>
      <c r="C3733" s="2" t="n">
        <v>14203</v>
      </c>
      <c r="D3733" s="3" t="inlineStr">
        <is>
          <t>Я рисую красный лес</t>
        </is>
      </c>
      <c r="E3733" s="2" t="n">
        <v>1974</v>
      </c>
      <c r="F3733" s="2" t="inlineStr">
        <is>
          <t>мультфильм</t>
        </is>
      </c>
      <c r="G3733" s="2" t="inlineStr">
        <is>
          <t>СВЕРДЛОВСКТЕЛЕФИЛЬМ</t>
        </is>
      </c>
      <c r="H3733" s="2" t="n">
        <v>52</v>
      </c>
      <c r="I3733" s="2" t="inlineStr"/>
      <c r="J3733" s="2" t="inlineStr"/>
      <c r="K3733" s="3" t="inlineStr">
        <is>
          <t>Сказка для малышей о приключениях котенка-художника.</t>
        </is>
      </c>
      <c r="L3733" s="2" t="inlineStr">
        <is>
          <t>2026-10_мультфильмы_список_владельца.xlsx; https://animator.ru/db/?p=show_film&amp;fid=5601</t>
        </is>
      </c>
      <c r="M3733" s="2">
        <f>HYPERLINK("https://ru.wikipedia.org/w/index.php?search=%D0%AF%20%D1%80%D0%B8%D1%81%D1%83%D1%8E%20%D0%BA%D1%80%D0%B0%D1%81%D0%BD%D1%8B%D0%B9%20%D0%BB%D0%B5%D1%81%201974%20%D1%84%D0%B8%D0%BB%D1%8C%D0%BC","искать")</f>
        <v/>
      </c>
      <c r="N3733" s="3" t="n"/>
      <c r="O3733" s="2" t="n"/>
      <c r="P3733" s="2" t="n"/>
    </row>
    <row r="3734">
      <c r="A3734" s="2" t="n">
        <v>3733</v>
      </c>
      <c r="B3734" s="2" t="inlineStr">
        <is>
          <t>короткая</t>
        </is>
      </c>
      <c r="C3734" s="2" t="n">
        <v>11388</v>
      </c>
      <c r="D3734" s="3" t="inlineStr">
        <is>
          <t>Концерт</t>
        </is>
      </c>
      <c r="E3734" s="2" t="n">
        <v>1962</v>
      </c>
      <c r="F3734" s="2" t="inlineStr">
        <is>
          <t>не игровое</t>
        </is>
      </c>
      <c r="G3734" s="2" t="n"/>
      <c r="H3734" s="2" t="n">
        <v>53</v>
      </c>
      <c r="I3734" s="2" t="inlineStr"/>
      <c r="J3734" s="2" t="inlineStr"/>
      <c r="K3734" s="3" t="inlineStr">
        <is>
          <t>Киноконцерт Свердловского театра музыкальной комедии.</t>
        </is>
      </c>
      <c r="L3734" s="2" t="inlineStr">
        <is>
          <t>Кино_СССР телефильмы и пропуски включить в базу.xlsx</t>
        </is>
      </c>
      <c r="M3734" s="2">
        <f>HYPERLINK("https://ru.wikipedia.org/w/index.php?search=%D0%9A%D0%BE%D0%BD%D1%86%D0%B5%D1%80%D1%82%201962%20%D1%84%D0%B8%D0%BB%D1%8C%D0%BC","искать")</f>
        <v/>
      </c>
      <c r="N3734" s="3" t="n"/>
      <c r="O3734" s="2" t="n"/>
      <c r="P3734" s="2" t="n"/>
    </row>
    <row r="3735">
      <c r="A3735" s="2" t="n">
        <v>3734</v>
      </c>
      <c r="B3735" s="2" t="inlineStr">
        <is>
          <t>короткая</t>
        </is>
      </c>
      <c r="C3735" s="2" t="n">
        <v>11708</v>
      </c>
      <c r="D3735" s="3" t="inlineStr">
        <is>
          <t>Новеллы о космосе</t>
        </is>
      </c>
      <c r="E3735" s="2" t="n">
        <v>1973</v>
      </c>
      <c r="F3735" s="2" t="inlineStr">
        <is>
          <t>мультфильм</t>
        </is>
      </c>
      <c r="G3735" s="2" t="inlineStr">
        <is>
          <t>Союзмультфильм</t>
        </is>
      </c>
      <c r="H3735" s="2" t="n">
        <v>53</v>
      </c>
      <c r="I3735" s="2" t="inlineStr"/>
      <c r="J3735" s="2" t="inlineStr"/>
      <c r="K3735" s="3" t="inlineStr">
        <is>
          <t>Забавные приключения рисованых космонавтов. Для детей</t>
        </is>
      </c>
      <c r="L3735" s="2" t="inlineStr">
        <is>
          <t>https://animator.ru/db/?p=show_film&amp;fid=2622</t>
        </is>
      </c>
      <c r="M3735" s="2">
        <f>HYPERLINK("https://ru.wikipedia.org/w/index.php?search=%D0%9D%D0%BE%D0%B2%D0%B5%D0%BB%D0%BB%D1%8B%20%D0%BE%20%D0%BA%D0%BE%D1%81%D0%BC%D0%BE%D1%81%D0%B5%201973%20%D1%84%D0%B8%D0%BB%D1%8C%D0%BC","искать")</f>
        <v/>
      </c>
      <c r="N3735" s="3" t="n"/>
      <c r="O3735" s="2" t="n"/>
      <c r="P3735" s="2" t="n"/>
    </row>
    <row r="3736">
      <c r="A3736" s="2" t="n">
        <v>3735</v>
      </c>
      <c r="B3736" s="2" t="inlineStr">
        <is>
          <t>короткая</t>
        </is>
      </c>
      <c r="C3736" s="2" t="n">
        <v>13374</v>
      </c>
      <c r="D3736" s="3" t="inlineStr">
        <is>
          <t>Лень</t>
        </is>
      </c>
      <c r="E3736" s="2" t="n">
        <v>1981</v>
      </c>
      <c r="F3736" s="2" t="inlineStr">
        <is>
          <t>мультфильм</t>
        </is>
      </c>
      <c r="G3736" s="2" t="inlineStr">
        <is>
          <t>КУЙБЫШЕВТЕЛЕФИЛЬМ</t>
        </is>
      </c>
      <c r="H3736" s="2" t="n">
        <v>53</v>
      </c>
      <c r="I3736" s="2" t="inlineStr"/>
      <c r="J3736" s="2" t="inlineStr"/>
      <c r="K3736" s="3" t="inlineStr">
        <is>
          <t>Как медвежонок Ивашка подружтлся с Ленью. Для малышей</t>
        </is>
      </c>
      <c r="L3736" s="2" t="inlineStr">
        <is>
          <t>https://animator.ru/db/?p=show_film&amp;fid=4653</t>
        </is>
      </c>
      <c r="M3736" s="2">
        <f>HYPERLINK("https://ru.wikipedia.org/w/index.php?search=%D0%9B%D0%B5%D0%BD%D1%8C%201981%20%D1%84%D0%B8%D0%BB%D1%8C%D0%BC","искать")</f>
        <v/>
      </c>
      <c r="N3736" s="3" t="n"/>
      <c r="O3736" s="2" t="n"/>
      <c r="P3736" s="2" t="n"/>
    </row>
    <row r="3737">
      <c r="A3737" s="2" t="n">
        <v>3736</v>
      </c>
      <c r="B3737" s="2" t="inlineStr">
        <is>
          <t>короткая</t>
        </is>
      </c>
      <c r="C3737" s="2" t="n">
        <v>13856</v>
      </c>
      <c r="D3737" s="3" t="inlineStr">
        <is>
          <t>Беда</t>
        </is>
      </c>
      <c r="E3737" s="2" t="n">
        <v>1978</v>
      </c>
      <c r="F3737" s="2" t="inlineStr">
        <is>
          <t>мультфильм</t>
        </is>
      </c>
      <c r="G3737" s="2" t="inlineStr">
        <is>
          <t>КУЙБЫШЕВТЕЛЕФИЛЬМ</t>
        </is>
      </c>
      <c r="H3737" s="2" t="n">
        <v>53</v>
      </c>
      <c r="I3737" s="2" t="inlineStr"/>
      <c r="J3737" s="2" t="inlineStr"/>
      <c r="K3737" s="3" t="inlineStr">
        <is>
          <t>О друзьях, помогавших зайцу одолеть беду. Для малышей</t>
        </is>
      </c>
      <c r="L3737" s="2" t="inlineStr">
        <is>
          <t>https://animator.ru/db/?p=show_film&amp;fid=5249</t>
        </is>
      </c>
      <c r="M3737" s="2">
        <f>HYPERLINK("https://ru.wikipedia.org/w/index.php?search=%D0%91%D0%B5%D0%B4%D0%B0%201978%20%D1%84%D0%B8%D0%BB%D1%8C%D0%BC","искать")</f>
        <v/>
      </c>
      <c r="N3737" s="3" t="n"/>
      <c r="O3737" s="2" t="n"/>
      <c r="P3737" s="2" t="inlineStr">
        <is>
          <t>ГФФ: «БЕДА» 1977 — год отличается, проверить — по сверке другой фильм, не предложено</t>
        </is>
      </c>
    </row>
    <row r="3738">
      <c r="A3738" s="2" t="n">
        <v>3737</v>
      </c>
      <c r="B3738" s="2" t="inlineStr">
        <is>
          <t>короткая</t>
        </is>
      </c>
      <c r="C3738" s="2" t="n">
        <v>14050</v>
      </c>
      <c r="D3738" s="3" t="inlineStr">
        <is>
          <t>Вера и Анфиса тушат пожар</t>
        </is>
      </c>
      <c r="E3738" s="2" t="n">
        <v>1987</v>
      </c>
      <c r="F3738" s="2" t="inlineStr">
        <is>
          <t>мультфильм</t>
        </is>
      </c>
      <c r="G3738" s="2" t="inlineStr">
        <is>
          <t>Свердловская киностудия</t>
        </is>
      </c>
      <c r="H3738" s="2" t="n">
        <v>53</v>
      </c>
      <c r="I3738" s="2" t="inlineStr"/>
      <c r="J3738" s="2" t="inlineStr"/>
      <c r="K3738" s="3" t="inlineStr">
        <is>
          <t>Вторая часть мультфильма о девочке Вере и ее подружке</t>
        </is>
      </c>
      <c r="L3738" s="2" t="inlineStr">
        <is>
          <t>2026-10_мультфильмы_список_владельца.xlsx; https://animator.ru/db/?p=show_film&amp;fid=5446</t>
        </is>
      </c>
      <c r="M3738" s="2">
        <f>HYPERLINK("https://ru.wikipedia.org/w/index.php?search=%D0%92%D0%B5%D1%80%D0%B0%20%D0%B8%20%D0%90%D0%BD%D1%84%D0%B8%D1%81%D0%B0%20%D1%82%D1%83%D1%88%D0%B0%D1%82%20%D0%BF%D0%BE%D0%B6%D0%B0%D1%80%201987%20%D1%84%D0%B8%D0%BB%D1%8C%D0%BC","искать")</f>
        <v/>
      </c>
      <c r="N3738" s="3" t="n"/>
      <c r="O3738" s="2" t="n"/>
      <c r="P3738" s="2" t="n"/>
    </row>
    <row r="3739">
      <c r="A3739" s="2" t="n">
        <v>3738</v>
      </c>
      <c r="B3739" s="2" t="inlineStr">
        <is>
          <t>короткая</t>
        </is>
      </c>
      <c r="C3739" s="2" t="n">
        <v>14119</v>
      </c>
      <c r="D3739" s="3" t="inlineStr">
        <is>
          <t>Как здоровье, братец Лис?</t>
        </is>
      </c>
      <c r="E3739" s="2" t="n">
        <v>1981</v>
      </c>
      <c r="F3739" s="2" t="inlineStr">
        <is>
          <t>мультфильм</t>
        </is>
      </c>
      <c r="G3739" s="2" t="inlineStr">
        <is>
          <t>ТУРКМЕНТЕЛЕФИЛЬМ</t>
        </is>
      </c>
      <c r="H3739" s="2" t="n">
        <v>53</v>
      </c>
      <c r="I3739" s="2" t="inlineStr"/>
      <c r="J3739" s="2" t="inlineStr"/>
      <c r="K3739" s="3" t="inlineStr">
        <is>
          <t>Как звери перевоспитали ленивого лисенка. Для малышей</t>
        </is>
      </c>
      <c r="L3739" s="2" t="inlineStr">
        <is>
          <t>https://animator.ru/db/?p=show_film&amp;fid=5517</t>
        </is>
      </c>
      <c r="M3739" s="2">
        <f>HYPERLINK("https://ru.wikipedia.org/w/index.php?search=%D0%9A%D0%B0%D0%BA%20%D0%B7%D0%B4%D0%BE%D1%80%D0%BE%D0%B2%D1%8C%D0%B5%2C%20%D0%B1%D1%80%D0%B0%D1%82%D0%B5%D1%86%20%D0%9B%D0%B8%D1%81%3F%201981%20%D1%84%D0%B8%D0%BB%D1%8C%D0%BC","искать")</f>
        <v/>
      </c>
      <c r="N3739" s="3" t="n"/>
      <c r="O3739" s="2" t="n"/>
      <c r="P3739" s="2" t="n"/>
    </row>
    <row r="3740">
      <c r="A3740" s="2" t="n">
        <v>3739</v>
      </c>
      <c r="B3740" s="2" t="inlineStr">
        <is>
          <t>короткая</t>
        </is>
      </c>
      <c r="C3740" s="2" t="n">
        <v>14139</v>
      </c>
      <c r="D3740" s="3" t="inlineStr">
        <is>
          <t>Находчивый лягушонок</t>
        </is>
      </c>
      <c r="E3740" s="2" t="n">
        <v>1981</v>
      </c>
      <c r="F3740" s="2" t="inlineStr">
        <is>
          <t>мультфильм</t>
        </is>
      </c>
      <c r="G3740" s="2" t="inlineStr">
        <is>
          <t>ВОЛГОГРАДТЕЛЕФИЛЬМ</t>
        </is>
      </c>
      <c r="H3740" s="2" t="n">
        <v>53</v>
      </c>
      <c r="I3740" s="2" t="inlineStr"/>
      <c r="J3740" s="2" t="inlineStr"/>
      <c r="K3740" s="3" t="inlineStr">
        <is>
          <t>Как друзья спасли от засухи цветущий луг. Для малышей</t>
        </is>
      </c>
      <c r="L3740" s="2" t="inlineStr">
        <is>
          <t>https://animator.ru/db/?p=show_film&amp;fid=5537</t>
        </is>
      </c>
      <c r="M3740" s="2">
        <f>HYPERLINK("https://ru.wikipedia.org/w/index.php?search=%D0%9D%D0%B0%D1%85%D0%BE%D0%B4%D1%87%D0%B8%D0%B2%D1%8B%D0%B9%20%D0%BB%D1%8F%D0%B3%D1%83%D1%88%D0%BE%D0%BD%D0%BE%D0%BA%201981%20%D1%84%D0%B8%D0%BB%D1%8C%D0%BC","искать")</f>
        <v/>
      </c>
      <c r="N3740" s="3" t="n"/>
      <c r="O3740" s="2" t="n"/>
      <c r="P3740" s="2" t="n"/>
    </row>
    <row r="3741">
      <c r="A3741" s="2" t="n">
        <v>3740</v>
      </c>
      <c r="B3741" s="2" t="inlineStr">
        <is>
          <t>короткая</t>
        </is>
      </c>
      <c r="C3741" s="2" t="n">
        <v>14200</v>
      </c>
      <c r="D3741" s="3" t="inlineStr">
        <is>
          <t>Эх, ты, Тишка, Тишка...</t>
        </is>
      </c>
      <c r="E3741" s="2" t="n">
        <v>1975</v>
      </c>
      <c r="F3741" s="2" t="inlineStr">
        <is>
          <t>мультфильм</t>
        </is>
      </c>
      <c r="G3741" s="2" t="inlineStr">
        <is>
          <t>ПЕРМЬТЕЛЕФИЛЬМ</t>
        </is>
      </c>
      <c r="H3741" s="2" t="n">
        <v>53</v>
      </c>
      <c r="I3741" s="2" t="inlineStr"/>
      <c r="J3741" s="2" t="inlineStr"/>
      <c r="K3741" s="3" t="inlineStr">
        <is>
          <t>Про неприятности Тишки - пуделя-врунишки. Для малышей</t>
        </is>
      </c>
      <c r="L3741" s="2" t="inlineStr">
        <is>
          <t>https://animator.ru/db/?p=show_film&amp;fid=5598</t>
        </is>
      </c>
      <c r="M3741" s="2">
        <f>HYPERLINK("https://ru.wikipedia.org/w/index.php?search=%D0%AD%D1%85%2C%20%D1%82%D1%8B%2C%20%D0%A2%D0%B8%D1%88%D0%BA%D0%B0%2C%20%D0%A2%D0%B8%D1%88%D0%BA%D0%B0...%201975%20%D1%84%D0%B8%D0%BB%D1%8C%D0%BC","искать")</f>
        <v/>
      </c>
      <c r="N3741" s="3" t="n"/>
      <c r="O3741" s="2" t="n"/>
      <c r="P3741" s="2" t="n"/>
    </row>
    <row r="3742">
      <c r="A3742" s="2" t="n">
        <v>3741</v>
      </c>
      <c r="B3742" s="2" t="inlineStr">
        <is>
          <t>короткая</t>
        </is>
      </c>
      <c r="C3742" s="2" t="n">
        <v>14446</v>
      </c>
      <c r="D3742" s="3" t="inlineStr">
        <is>
          <t>Учите детей плавать</t>
        </is>
      </c>
      <c r="E3742" s="2" t="n">
        <v>1988</v>
      </c>
      <c r="F3742" s="2" t="inlineStr">
        <is>
          <t>мультфильм</t>
        </is>
      </c>
      <c r="G3742" s="2" t="n"/>
      <c r="H3742" s="2" t="n">
        <v>53</v>
      </c>
      <c r="I3742" s="2" t="inlineStr"/>
      <c r="J3742" s="2" t="inlineStr"/>
      <c r="K3742" s="3" t="inlineStr">
        <is>
          <t>О том, как дельфины спасли детей, не умеющих плавать.</t>
        </is>
      </c>
      <c r="L3742" s="2" t="inlineStr">
        <is>
          <t>https://animator.ru/db/?p=show_film&amp;fid=6696</t>
        </is>
      </c>
      <c r="M3742" s="2">
        <f>HYPERLINK("https://ru.wikipedia.org/w/index.php?search=%D0%A3%D1%87%D0%B8%D1%82%D0%B5%20%D0%B4%D0%B5%D1%82%D0%B5%D0%B9%20%D0%BF%D0%BB%D0%B0%D0%B2%D0%B0%D1%82%D1%8C%201988%20%D1%84%D0%B8%D0%BB%D1%8C%D0%BC","искать")</f>
        <v/>
      </c>
      <c r="N3742" s="3" t="n"/>
      <c r="O3742" s="2" t="n"/>
      <c r="P3742" s="2" t="n"/>
    </row>
    <row r="3743">
      <c r="A3743" s="2" t="n">
        <v>3742</v>
      </c>
      <c r="B3743" s="2" t="inlineStr">
        <is>
          <t>короткая</t>
        </is>
      </c>
      <c r="C3743" s="2" t="n">
        <v>14452</v>
      </c>
      <c r="D3743" s="3" t="inlineStr">
        <is>
          <t>Черный аист</t>
        </is>
      </c>
      <c r="E3743" s="2" t="n">
        <v>1986</v>
      </c>
      <c r="F3743" s="2" t="inlineStr">
        <is>
          <t>мультфильм</t>
        </is>
      </c>
      <c r="G3743" s="2" t="n"/>
      <c r="H3743" s="2" t="n">
        <v>53</v>
      </c>
      <c r="I3743" s="2" t="inlineStr"/>
      <c r="J3743" s="2" t="inlineStr"/>
      <c r="K3743" s="3" t="inlineStr">
        <is>
          <t>О том, как мальчик спас раненого аиста и выходил его.</t>
        </is>
      </c>
      <c r="L3743" s="2" t="inlineStr">
        <is>
          <t>https://animator.ru/db/?p=show_film&amp;fid=6702</t>
        </is>
      </c>
      <c r="M3743" s="2">
        <f>HYPERLINK("https://ru.wikipedia.org/w/index.php?search=%D0%A7%D0%B5%D1%80%D0%BD%D1%8B%D0%B9%20%D0%B0%D0%B8%D1%81%D1%82%201986%20%D1%84%D0%B8%D0%BB%D1%8C%D0%BC","искать")</f>
        <v/>
      </c>
      <c r="N3743" s="3" t="n"/>
      <c r="O3743" s="2" t="n"/>
      <c r="P3743" s="2" t="n"/>
    </row>
    <row r="3744">
      <c r="A3744" s="2" t="n">
        <v>3743</v>
      </c>
      <c r="B3744" s="2" t="inlineStr">
        <is>
          <t>короткая</t>
        </is>
      </c>
      <c r="C3744" s="2" t="n">
        <v>10099</v>
      </c>
      <c r="D3744" s="3" t="inlineStr">
        <is>
          <t>Рабочий день В.И. Ленина</t>
        </is>
      </c>
      <c r="E3744" s="2" t="n">
        <v>1962</v>
      </c>
      <c r="F3744" s="2" t="inlineStr">
        <is>
          <t>фильм-спектакль</t>
        </is>
      </c>
      <c r="G3744" s="2" t="inlineStr">
        <is>
          <t>Главная редакция общественно-политических программ ЦТ</t>
        </is>
      </c>
      <c r="H3744" s="2" t="n">
        <v>54</v>
      </c>
      <c r="I3744" s="2" t="inlineStr"/>
      <c r="J3744" s="2" t="inlineStr"/>
      <c r="K3744" s="3" t="inlineStr">
        <is>
          <t>Об одном рабочем дне В.И.Ленина - 4 февраля 1921 года.</t>
        </is>
      </c>
      <c r="L3744" s="2" t="inlineStr">
        <is>
          <t>https://www.kino-teatr.ru/teatr/movie/83869/annot/</t>
        </is>
      </c>
      <c r="M3744" s="2">
        <f>HYPERLINK("https://ru.wikipedia.org/w/index.php?search=%D0%A0%D0%B0%D0%B1%D0%BE%D1%87%D0%B8%D0%B9%20%D0%B4%D0%B5%D0%BD%D1%8C%20%D0%92.%D0%98.%20%D0%9B%D0%B5%D0%BD%D0%B8%D0%BD%D0%B0%201962%20%D1%84%D0%B8%D0%BB%D1%8C%D0%BC","искать")</f>
        <v/>
      </c>
      <c r="N3744" s="3" t="n"/>
      <c r="O3744" s="2" t="n"/>
      <c r="P3744" s="2" t="n"/>
    </row>
    <row r="3745">
      <c r="A3745" s="2" t="n">
        <v>3744</v>
      </c>
      <c r="B3745" s="2" t="inlineStr">
        <is>
          <t>короткая</t>
        </is>
      </c>
      <c r="C3745" s="2" t="n">
        <v>13321</v>
      </c>
      <c r="D3745" s="3" t="inlineStr">
        <is>
          <t>Гугуцэ - почтальон</t>
        </is>
      </c>
      <c r="E3745" s="2" t="n">
        <v>1976</v>
      </c>
      <c r="F3745" s="2" t="inlineStr">
        <is>
          <t>мультфильм</t>
        </is>
      </c>
      <c r="G3745" s="2" t="inlineStr">
        <is>
          <t>МОЛДОВА-ФИЛЬМ</t>
        </is>
      </c>
      <c r="H3745" s="2" t="n">
        <v>54</v>
      </c>
      <c r="I3745" s="2" t="inlineStr"/>
      <c r="J3745" s="2" t="inlineStr"/>
      <c r="K3745" s="3" t="inlineStr">
        <is>
          <t>Продолжение приключений маленького Гугуцэ. Для малышей</t>
        </is>
      </c>
      <c r="L3745" s="2" t="inlineStr">
        <is>
          <t>https://animator.ru/db/?p=show_film&amp;fid=4590</t>
        </is>
      </c>
      <c r="M3745" s="2">
        <f>HYPERLINK("https://ru.wikipedia.org/w/index.php?search=%D0%93%D1%83%D0%B3%D1%83%D1%86%D1%8D%20-%20%D0%BF%D0%BE%D1%87%D1%82%D0%B0%D0%BB%D1%8C%D0%BE%D0%BD%201976%20%D1%84%D0%B8%D0%BB%D1%8C%D0%BC","искать")</f>
        <v/>
      </c>
      <c r="N3745" s="3" t="n"/>
      <c r="O3745" s="2" t="n"/>
      <c r="P3745" s="2" t="n"/>
    </row>
    <row r="3746">
      <c r="A3746" s="2" t="n">
        <v>3745</v>
      </c>
      <c r="B3746" s="2" t="inlineStr">
        <is>
          <t>короткая</t>
        </is>
      </c>
      <c r="C3746" s="2" t="n">
        <v>13349</v>
      </c>
      <c r="D3746" s="3" t="inlineStr">
        <is>
          <t>Всходы</t>
        </is>
      </c>
      <c r="E3746" s="2" t="n">
        <v>1981</v>
      </c>
      <c r="F3746" s="2" t="inlineStr">
        <is>
          <t>мультфильм</t>
        </is>
      </c>
      <c r="G3746" s="2" t="inlineStr">
        <is>
          <t>УЗБЕКФИЛЬМ</t>
        </is>
      </c>
      <c r="H3746" s="2" t="n">
        <v>54</v>
      </c>
      <c r="I3746" s="2" t="inlineStr"/>
      <c r="J3746" s="2" t="inlineStr"/>
      <c r="K3746" s="3" t="inlineStr">
        <is>
          <t>О юноше, превратившем бесплодную землю в цветущий край</t>
        </is>
      </c>
      <c r="L3746" s="2" t="inlineStr">
        <is>
          <t>https://animator.ru/db/?p=show_film&amp;fid=4625</t>
        </is>
      </c>
      <c r="M3746" s="2">
        <f>HYPERLINK("https://ru.wikipedia.org/w/index.php?search=%D0%92%D1%81%D1%85%D0%BE%D0%B4%D1%8B%201981%20%D1%84%D0%B8%D0%BB%D1%8C%D0%BC","искать")</f>
        <v/>
      </c>
      <c r="N3746" s="3" t="n"/>
      <c r="O3746" s="2" t="n"/>
      <c r="P3746" s="2" t="n"/>
    </row>
    <row r="3747">
      <c r="A3747" s="2" t="n">
        <v>3746</v>
      </c>
      <c r="B3747" s="2" t="inlineStr">
        <is>
          <t>короткая</t>
        </is>
      </c>
      <c r="C3747" s="2" t="n">
        <v>14107</v>
      </c>
      <c r="D3747" s="3" t="inlineStr">
        <is>
          <t>Девочка и лев</t>
        </is>
      </c>
      <c r="E3747" s="2" t="n">
        <v>1974</v>
      </c>
      <c r="F3747" s="2" t="inlineStr">
        <is>
          <t>мультфильм</t>
        </is>
      </c>
      <c r="G3747" s="2" t="inlineStr">
        <is>
          <t>ПЕРМЬТЕЛЕФИЛЬМ</t>
        </is>
      </c>
      <c r="H3747" s="2" t="n">
        <v>54</v>
      </c>
      <c r="I3747" s="2" t="inlineStr"/>
      <c r="J3747" s="2" t="inlineStr"/>
      <c r="K3747" s="3" t="inlineStr">
        <is>
          <t>О девочек, которая вылечила больного льва. Для малышей</t>
        </is>
      </c>
      <c r="L3747" s="2" t="inlineStr">
        <is>
          <t>https://animator.ru/db/?p=show_film&amp;fid=5505</t>
        </is>
      </c>
      <c r="M3747" s="2">
        <f>HYPERLINK("https://ru.wikipedia.org/w/index.php?search=%D0%94%D0%B5%D0%B2%D0%BE%D1%87%D0%BA%D0%B0%20%D0%B8%20%D0%BB%D0%B5%D0%B2%201974%20%D1%84%D0%B8%D0%BB%D1%8C%D0%BC","искать")</f>
        <v/>
      </c>
      <c r="N3747" s="3" t="n"/>
      <c r="O3747" s="2" t="n"/>
      <c r="P3747" s="2" t="n"/>
    </row>
    <row r="3748">
      <c r="A3748" s="2" t="n">
        <v>3747</v>
      </c>
      <c r="B3748" s="2" t="inlineStr">
        <is>
          <t>короткая</t>
        </is>
      </c>
      <c r="C3748" s="2" t="n">
        <v>14182</v>
      </c>
      <c r="D3748" s="3" t="inlineStr">
        <is>
          <t>Солнечный зайчик</t>
        </is>
      </c>
      <c r="E3748" s="2" t="n">
        <v>1984</v>
      </c>
      <c r="F3748" s="2" t="inlineStr">
        <is>
          <t>мультфильм</t>
        </is>
      </c>
      <c r="G3748" s="2" t="inlineStr">
        <is>
          <t>КАЗАХТЕЛЕФИЛЬМ</t>
        </is>
      </c>
      <c r="H3748" s="2" t="n">
        <v>54</v>
      </c>
      <c r="I3748" s="2" t="inlineStr"/>
      <c r="J3748" s="2" t="inlineStr"/>
      <c r="K3748" s="3" t="inlineStr">
        <is>
          <t>О мышонке, узнавшем цену настоящей дружбы. Для малышей</t>
        </is>
      </c>
      <c r="L3748" s="2" t="inlineStr">
        <is>
          <t>https://animator.ru/db/?p=show_film&amp;fid=5580</t>
        </is>
      </c>
      <c r="M3748" s="2">
        <f>HYPERLINK("https://ru.wikipedia.org/w/index.php?search=%D0%A1%D0%BE%D0%BB%D0%BD%D0%B5%D1%87%D0%BD%D1%8B%D0%B9%20%D0%B7%D0%B0%D0%B9%D1%87%D0%B8%D0%BA%201984%20%D1%84%D0%B8%D0%BB%D1%8C%D0%BC","искать")</f>
        <v/>
      </c>
      <c r="N3748" s="3" t="n"/>
      <c r="O3748" s="2" t="n"/>
      <c r="P3748" s="2" t="n"/>
    </row>
    <row r="3749">
      <c r="A3749" s="2" t="n">
        <v>3748</v>
      </c>
      <c r="B3749" s="2" t="inlineStr">
        <is>
          <t>короткая</t>
        </is>
      </c>
      <c r="C3749" s="2" t="n">
        <v>8946</v>
      </c>
      <c r="D3749" s="3" t="inlineStr">
        <is>
          <t>Пожар</t>
        </is>
      </c>
      <c r="E3749" s="2" t="n">
        <v>1959</v>
      </c>
      <c r="F3749" s="2" t="inlineStr">
        <is>
          <t>кинофильм</t>
        </is>
      </c>
      <c r="G3749" s="2" t="n"/>
      <c r="H3749" s="2" t="n">
        <v>55</v>
      </c>
      <c r="I3749" s="2" t="inlineStr"/>
      <c r="J3749" s="2" t="inlineStr"/>
      <c r="K3749" s="3" t="inlineStr">
        <is>
          <t>Оставленные без присмотра дети устраивают пожар в доме.</t>
        </is>
      </c>
      <c r="L3749" s="2" t="inlineStr">
        <is>
          <t>Кино_СССР сводный каталог.xlsx: список фильмов (доп.)</t>
        </is>
      </c>
      <c r="M3749" s="2">
        <f>HYPERLINK("https://ru.wikipedia.org/w/index.php?search=%D0%9F%D0%BE%D0%B6%D0%B0%D1%80%201959%20%D1%84%D0%B8%D0%BB%D1%8C%D0%BC","искать")</f>
        <v/>
      </c>
      <c r="N3749" s="3" t="n"/>
      <c r="O3749" s="2" t="n"/>
      <c r="P3749" s="2" t="n"/>
    </row>
    <row r="3750">
      <c r="A3750" s="2" t="n">
        <v>3749</v>
      </c>
      <c r="B3750" s="2" t="inlineStr">
        <is>
          <t>короткая</t>
        </is>
      </c>
      <c r="C3750" s="2" t="n">
        <v>11359</v>
      </c>
      <c r="D3750" s="3" t="inlineStr">
        <is>
          <t>Весенняя фантазия</t>
        </is>
      </c>
      <c r="E3750" s="2" t="n">
        <v>1964</v>
      </c>
      <c r="F3750" s="2" t="inlineStr">
        <is>
          <t>не игровое</t>
        </is>
      </c>
      <c r="G3750" s="2" t="n"/>
      <c r="H3750" s="2" t="n">
        <v>55</v>
      </c>
      <c r="I3750" s="2" t="inlineStr"/>
      <c r="J3750" s="2" t="inlineStr"/>
      <c r="K3750" s="3" t="inlineStr">
        <is>
          <t>Концерт-ревю с участием талантливой эстрадной молодежи.</t>
        </is>
      </c>
      <c r="L3750" s="2" t="inlineStr">
        <is>
          <t>Кино_СССР телефильмы и пропуски включить в базу.xlsx</t>
        </is>
      </c>
      <c r="M3750" s="2">
        <f>HYPERLINK("https://ru.wikipedia.org/w/index.php?search=%D0%92%D0%B5%D1%81%D0%B5%D0%BD%D0%BD%D1%8F%D1%8F%20%D1%84%D0%B0%D0%BD%D1%82%D0%B0%D0%B7%D0%B8%D1%8F%201964%20%D1%84%D0%B8%D0%BB%D1%8C%D0%BC","искать")</f>
        <v/>
      </c>
      <c r="N3750" s="3" t="n"/>
      <c r="O3750" s="2" t="n"/>
      <c r="P3750" s="2" t="n"/>
    </row>
    <row r="3751">
      <c r="A3751" s="2" t="n">
        <v>3750</v>
      </c>
      <c r="B3751" s="2" t="inlineStr">
        <is>
          <t>короткая</t>
        </is>
      </c>
      <c r="C3751" s="2" t="n">
        <v>11737</v>
      </c>
      <c r="D3751" s="3" t="inlineStr">
        <is>
          <t>Как козлик землю держал</t>
        </is>
      </c>
      <c r="E3751" s="2" t="n">
        <v>1974</v>
      </c>
      <c r="F3751" s="2" t="inlineStr">
        <is>
          <t>мультфильм</t>
        </is>
      </c>
      <c r="G3751" s="2" t="inlineStr">
        <is>
          <t>Союзмультфильм</t>
        </is>
      </c>
      <c r="H3751" s="2" t="n">
        <v>55</v>
      </c>
      <c r="I3751" s="2" t="inlineStr"/>
      <c r="J3751" s="2" t="inlineStr"/>
      <c r="K3751" s="3" t="inlineStr">
        <is>
          <t>Как козлик защищал Землю от грома и молнии. Для малышей</t>
        </is>
      </c>
      <c r="L3751" s="2" t="inlineStr">
        <is>
          <t>https://animator.ru/db/?p=show_film&amp;fid=2651</t>
        </is>
      </c>
      <c r="M3751" s="2">
        <f>HYPERLINK("https://ru.wikipedia.org/w/index.php?search=%D0%9A%D0%B0%D0%BA%20%D0%BA%D0%BE%D0%B7%D0%BB%D0%B8%D0%BA%20%D0%B7%D0%B5%D0%BC%D0%BB%D1%8E%20%D0%B4%D0%B5%D1%80%D0%B6%D0%B0%D0%BB%201974%20%D1%84%D0%B8%D0%BB%D1%8C%D0%BC","искать")</f>
        <v/>
      </c>
      <c r="N3751" s="3" t="n"/>
      <c r="O3751" s="2" t="n"/>
      <c r="P3751" s="2" t="n"/>
    </row>
    <row r="3752">
      <c r="A3752" s="2" t="n">
        <v>3751</v>
      </c>
      <c r="B3752" s="2" t="inlineStr">
        <is>
          <t>короткая</t>
        </is>
      </c>
      <c r="C3752" s="2" t="n">
        <v>12172</v>
      </c>
      <c r="D3752" s="3" t="inlineStr">
        <is>
          <t>На воде</t>
        </is>
      </c>
      <c r="E3752" s="2" t="n">
        <v>1986</v>
      </c>
      <c r="F3752" s="2" t="inlineStr">
        <is>
          <t>мультфильм</t>
        </is>
      </c>
      <c r="G3752" s="2" t="inlineStr">
        <is>
          <t>Союзмультфильм</t>
        </is>
      </c>
      <c r="H3752" s="2" t="n">
        <v>55</v>
      </c>
      <c r="I3752" s="2" t="inlineStr"/>
      <c r="J3752" s="2" t="inlineStr"/>
      <c r="K3752" s="3" t="inlineStr">
        <is>
          <t>Находчивость друзей помогла покорить злую огромную Рыбу</t>
        </is>
      </c>
      <c r="L3752" s="2" t="inlineStr">
        <is>
          <t>https://animator.ru/db/?p=show_film&amp;fid=3288</t>
        </is>
      </c>
      <c r="M3752" s="2">
        <f>HYPERLINK("https://ru.wikipedia.org/w/index.php?search=%D0%9D%D0%B0%20%D0%B2%D0%BE%D0%B4%D0%B5%201986%20%D1%84%D0%B8%D0%BB%D1%8C%D0%BC","искать")</f>
        <v/>
      </c>
      <c r="N3752" s="3" t="n"/>
      <c r="O3752" s="2" t="n"/>
      <c r="P3752" s="2" t="n"/>
    </row>
    <row r="3753">
      <c r="A3753" s="2" t="n">
        <v>3752</v>
      </c>
      <c r="B3753" s="2" t="inlineStr">
        <is>
          <t>короткая</t>
        </is>
      </c>
      <c r="C3753" s="2" t="n">
        <v>12483</v>
      </c>
      <c r="D3753" s="3" t="inlineStr">
        <is>
          <t>Осенняя рыбалка</t>
        </is>
      </c>
      <c r="E3753" s="2" t="n">
        <v>1968</v>
      </c>
      <c r="F3753" s="2" t="inlineStr">
        <is>
          <t>мультфильм</t>
        </is>
      </c>
      <c r="G3753" s="2" t="inlineStr">
        <is>
          <t>КИЕВНАУЧФИЛЬМ</t>
        </is>
      </c>
      <c r="H3753" s="2" t="n">
        <v>55</v>
      </c>
      <c r="I3753" s="2" t="inlineStr"/>
      <c r="J3753" s="2" t="inlineStr"/>
      <c r="K3753" s="3" t="inlineStr">
        <is>
          <t>Как медвежата выудили на рыбалке звезды, луну и солнце.</t>
        </is>
      </c>
      <c r="L3753" s="2" t="inlineStr">
        <is>
          <t>2026-10_мультфильмы_список_владельца.xlsx; https://animator.ru/db/?p=show_film&amp;fid=3658</t>
        </is>
      </c>
      <c r="M3753" s="2">
        <f>HYPERLINK("https://ru.wikipedia.org/w/index.php?search=%D0%9E%D1%81%D0%B5%D0%BD%D0%BD%D1%8F%D1%8F%20%D1%80%D1%8B%D0%B1%D0%B0%D0%BB%D0%BA%D0%B0%201968%20%D1%84%D0%B8%D0%BB%D1%8C%D0%BC","искать")</f>
        <v/>
      </c>
      <c r="N3753" s="3" t="n"/>
      <c r="O3753" s="2" t="n"/>
      <c r="P3753" s="2" t="n"/>
    </row>
    <row r="3754">
      <c r="A3754" s="2" t="n">
        <v>3753</v>
      </c>
      <c r="B3754" s="2" t="inlineStr">
        <is>
          <t>короткая</t>
        </is>
      </c>
      <c r="C3754" s="2" t="n">
        <v>12987</v>
      </c>
      <c r="D3754" s="3" t="inlineStr">
        <is>
          <t>Сборник микромульфильмов n 1</t>
        </is>
      </c>
      <c r="E3754" s="2" t="n">
        <v>1970</v>
      </c>
      <c r="F3754" s="2" t="inlineStr">
        <is>
          <t>мультфильм</t>
        </is>
      </c>
      <c r="G3754" s="2" t="inlineStr">
        <is>
          <t>КАЗАХФИЛЬМ</t>
        </is>
      </c>
      <c r="H3754" s="2" t="n">
        <v>55</v>
      </c>
      <c r="I3754" s="2" t="inlineStr"/>
      <c r="J3754" s="2" t="inlineStr"/>
      <c r="K3754" s="3" t="inlineStr">
        <is>
          <t>Сюжеты - "Охота на жар-птицу", "Случай с Ходжа-Насыром"</t>
        </is>
      </c>
      <c r="L3754" s="2" t="inlineStr">
        <is>
          <t>https://animator.ru/db/?p=show_film&amp;fid=4219</t>
        </is>
      </c>
      <c r="M3754" s="2">
        <f>HYPERLINK("https://ru.wikipedia.org/w/index.php?search=%D0%A1%D0%B1%D0%BE%D1%80%D0%BD%D0%B8%D0%BA%20%D0%BC%D0%B8%D0%BA%D1%80%D0%BE%D0%BC%D1%83%D0%BB%D1%8C%D1%84%D0%B8%D0%BB%D1%8C%D0%BC%D0%BE%D0%B2%20n%201%201970%20%D1%84%D0%B8%D0%BB%D1%8C%D0%BC","искать")</f>
        <v/>
      </c>
      <c r="N3754" s="3" t="n"/>
      <c r="O3754" s="2" t="n"/>
      <c r="P3754" s="2" t="n"/>
    </row>
    <row r="3755">
      <c r="A3755" s="2" t="n">
        <v>3754</v>
      </c>
      <c r="B3755" s="2" t="inlineStr">
        <is>
          <t>короткая</t>
        </is>
      </c>
      <c r="C3755" s="2" t="n">
        <v>13530</v>
      </c>
      <c r="D3755" s="3" t="inlineStr">
        <is>
          <t>Король и дыня</t>
        </is>
      </c>
      <c r="E3755" s="2" t="n">
        <v>1974</v>
      </c>
      <c r="F3755" s="2" t="inlineStr">
        <is>
          <t>мультфильм</t>
        </is>
      </c>
      <c r="G3755" s="2" t="inlineStr">
        <is>
          <t>САРАТОВТЕЛЕФИЛЬМ</t>
        </is>
      </c>
      <c r="H3755" s="2" t="n">
        <v>55</v>
      </c>
      <c r="I3755" s="2" t="inlineStr"/>
      <c r="J3755" s="2" t="inlineStr"/>
      <c r="K3755" s="3" t="inlineStr">
        <is>
          <t>Приключения обыкновенной дыни, попавшей на стол короля.</t>
        </is>
      </c>
      <c r="L3755" s="2" t="inlineStr">
        <is>
          <t>2026-10_мультфильмы_список_владельца.xlsx; https://animator.ru/db/?p=show_film&amp;fid=4849</t>
        </is>
      </c>
      <c r="M3755" s="2">
        <f>HYPERLINK("https://ru.wikipedia.org/w/index.php?search=%D0%9A%D0%BE%D1%80%D0%BE%D0%BB%D1%8C%20%D0%B8%20%D0%B4%D1%8B%D0%BD%D1%8F%201974%20%D1%84%D0%B8%D0%BB%D1%8C%D0%BC","искать")</f>
        <v/>
      </c>
      <c r="N3755" s="3" t="n"/>
      <c r="O3755" s="2" t="n"/>
      <c r="P3755" s="2" t="n"/>
    </row>
    <row r="3756">
      <c r="A3756" s="2" t="n">
        <v>3755</v>
      </c>
      <c r="B3756" s="2" t="inlineStr">
        <is>
          <t>короткая</t>
        </is>
      </c>
      <c r="C3756" s="2" t="n">
        <v>13795</v>
      </c>
      <c r="D3756" s="3" t="inlineStr">
        <is>
          <t>Новогоднее приключение</t>
        </is>
      </c>
      <c r="E3756" s="2" t="n">
        <v>1980</v>
      </c>
      <c r="F3756" s="2" t="inlineStr">
        <is>
          <t>мультфильм</t>
        </is>
      </c>
      <c r="G3756" s="2" t="inlineStr">
        <is>
          <t>ЭКРАН</t>
        </is>
      </c>
      <c r="H3756" s="2" t="n">
        <v>55</v>
      </c>
      <c r="I3756" s="2" t="inlineStr"/>
      <c r="J3756" s="2" t="inlineStr"/>
      <c r="K3756" s="3" t="inlineStr">
        <is>
          <t>Приключения Медвежонка в канун Нового Года. Для малышей</t>
        </is>
      </c>
      <c r="L3756" s="2" t="inlineStr">
        <is>
          <t>https://animator.ru/db/?p=show_film&amp;fid=5188</t>
        </is>
      </c>
      <c r="M3756" s="2">
        <f>HYPERLINK("https://ru.wikipedia.org/w/index.php?search=%D0%9D%D0%BE%D0%B2%D0%BE%D0%B3%D0%BE%D0%B4%D0%BD%D0%B5%D0%B5%20%D0%BF%D1%80%D0%B8%D0%BA%D0%BB%D1%8E%D1%87%D0%B5%D0%BD%D0%B8%D0%B5%201980%20%D1%84%D0%B8%D0%BB%D1%8C%D0%BC","искать")</f>
        <v/>
      </c>
      <c r="N3756" s="3" t="n"/>
      <c r="O3756" s="2" t="n"/>
      <c r="P3756" s="2" t="n"/>
    </row>
    <row r="3757">
      <c r="A3757" s="2" t="n">
        <v>3756</v>
      </c>
      <c r="B3757" s="2" t="inlineStr">
        <is>
          <t>короткая</t>
        </is>
      </c>
      <c r="C3757" s="2" t="n">
        <v>14129</v>
      </c>
      <c r="D3757" s="3" t="inlineStr">
        <is>
          <t>Лосенок</t>
        </is>
      </c>
      <c r="E3757" s="2" t="n">
        <v>1984</v>
      </c>
      <c r="F3757" s="2" t="inlineStr">
        <is>
          <t>мультфильм</t>
        </is>
      </c>
      <c r="G3757" s="2" t="inlineStr">
        <is>
          <t>КУЙБЫШЕВТЕЛЕФИЛЬМ</t>
        </is>
      </c>
      <c r="H3757" s="2" t="n">
        <v>55</v>
      </c>
      <c r="I3757" s="2" t="inlineStr"/>
      <c r="J3757" s="2" t="inlineStr"/>
      <c r="K3757" s="3" t="inlineStr">
        <is>
          <t>Как ребята спасли и вырастили сироту-лосенка. Для детей</t>
        </is>
      </c>
      <c r="L3757" s="2" t="inlineStr">
        <is>
          <t>https://animator.ru/db/?p=show_film&amp;fid=5527</t>
        </is>
      </c>
      <c r="M3757" s="2">
        <f>HYPERLINK("https://ru.wikipedia.org/w/index.php?search=%D0%9B%D0%BE%D1%81%D0%B5%D0%BD%D0%BE%D0%BA%201984%20%D1%84%D0%B8%D0%BB%D1%8C%D0%BC","искать")</f>
        <v/>
      </c>
      <c r="N3757" s="3" t="n"/>
      <c r="O3757" s="2" t="n"/>
      <c r="P3757" s="2" t="n"/>
    </row>
    <row r="3758">
      <c r="A3758" s="2" t="n">
        <v>3757</v>
      </c>
      <c r="B3758" s="2" t="inlineStr">
        <is>
          <t>короткая</t>
        </is>
      </c>
      <c r="C3758" s="2" t="n">
        <v>14408</v>
      </c>
      <c r="D3758" s="3" t="inlineStr">
        <is>
          <t>Вардевар - праздник роз</t>
        </is>
      </c>
      <c r="E3758" s="2" t="n">
        <v>1989</v>
      </c>
      <c r="F3758" s="2" t="inlineStr">
        <is>
          <t>мультфильм</t>
        </is>
      </c>
      <c r="G3758" s="2" t="inlineStr">
        <is>
          <t>АРМЕНФИЛЬМ</t>
        </is>
      </c>
      <c r="H3758" s="2" t="n">
        <v>55</v>
      </c>
      <c r="I3758" s="2" t="inlineStr"/>
      <c r="J3758" s="2" t="inlineStr"/>
      <c r="K3758" s="3" t="inlineStr">
        <is>
          <t>О древнем, восходящем к античности, празднике Вардевар.</t>
        </is>
      </c>
      <c r="L3758" s="2" t="inlineStr">
        <is>
          <t>https://animator.ru/db/?p=show_film&amp;fid=6639</t>
        </is>
      </c>
      <c r="M3758" s="2">
        <f>HYPERLINK("https://ru.wikipedia.org/w/index.php?search=%D0%92%D0%B0%D1%80%D0%B4%D0%B5%D0%B2%D0%B0%D1%80%20-%20%D0%BF%D1%80%D0%B0%D0%B7%D0%B4%D0%BD%D0%B8%D0%BA%20%D1%80%D0%BE%D0%B7%201989%20%D1%84%D0%B8%D0%BB%D1%8C%D0%BC","искать")</f>
        <v/>
      </c>
      <c r="N3758" s="3" t="n"/>
      <c r="O3758" s="2" t="n"/>
      <c r="P3758" s="2" t="n"/>
    </row>
    <row r="3759">
      <c r="A3759" s="2" t="n">
        <v>3758</v>
      </c>
      <c r="B3759" s="2" t="inlineStr">
        <is>
          <t>короткая</t>
        </is>
      </c>
      <c r="C3759" s="2" t="n">
        <v>13314</v>
      </c>
      <c r="D3759" s="3" t="inlineStr">
        <is>
          <t>Едет? Едет!</t>
        </is>
      </c>
      <c r="E3759" s="2" t="n">
        <v>1977</v>
      </c>
      <c r="F3759" s="2" t="inlineStr">
        <is>
          <t>мультфильм</t>
        </is>
      </c>
      <c r="G3759" s="2" t="inlineStr">
        <is>
          <t>ТАЛЛИННФИЛЬМ</t>
        </is>
      </c>
      <c r="H3759" s="2" t="n">
        <v>56</v>
      </c>
      <c r="I3759" s="2" t="inlineStr"/>
      <c r="J3759" s="2" t="inlineStr"/>
      <c r="K3759" s="3" t="inlineStr">
        <is>
          <t>Об истории транспорта от пещерной эпохи до современности</t>
        </is>
      </c>
      <c r="L3759" s="2" t="inlineStr">
        <is>
          <t>https://animator.ru/db/?p=show_film&amp;fid=4576</t>
        </is>
      </c>
      <c r="M3759" s="2">
        <f>HYPERLINK("https://ru.wikipedia.org/w/index.php?search=%D0%95%D0%B4%D0%B5%D1%82%3F%20%D0%95%D0%B4%D0%B5%D1%82%21%201977%20%D1%84%D0%B8%D0%BB%D1%8C%D0%BC","искать")</f>
        <v/>
      </c>
      <c r="N3759" s="3" t="n"/>
      <c r="O3759" s="2" t="n"/>
      <c r="P3759" s="2" t="n"/>
    </row>
    <row r="3760">
      <c r="A3760" s="2" t="n">
        <v>3759</v>
      </c>
      <c r="B3760" s="2" t="inlineStr">
        <is>
          <t>короткая</t>
        </is>
      </c>
      <c r="C3760" s="2" t="n">
        <v>13483</v>
      </c>
      <c r="D3760" s="3" t="inlineStr">
        <is>
          <t>Бермудское кольцо</t>
        </is>
      </c>
      <c r="E3760" s="2" t="n">
        <v>1988</v>
      </c>
      <c r="F3760" s="2" t="inlineStr">
        <is>
          <t>мультфильм</t>
        </is>
      </c>
      <c r="G3760" s="2" t="inlineStr">
        <is>
          <t>ЛИТОВСКАЯ КИНОСТУДИЯ</t>
        </is>
      </c>
      <c r="H3760" s="2" t="n">
        <v>56</v>
      </c>
      <c r="I3760" s="2" t="inlineStr"/>
      <c r="J3760" s="2" t="inlineStr"/>
      <c r="K3760" s="3" t="inlineStr">
        <is>
          <t>О приключениях баскетбольного мяча на Земле и в космосе.</t>
        </is>
      </c>
      <c r="L3760" s="2" t="inlineStr">
        <is>
          <t>2026-10_мультфильмы_список_владельца.xlsx; https://animator.ru/db/?p=show_film&amp;fid=4773</t>
        </is>
      </c>
      <c r="M3760" s="2">
        <f>HYPERLINK("https://ru.wikipedia.org/w/index.php?search=%D0%91%D0%B5%D1%80%D0%BC%D1%83%D0%B4%D1%81%D0%BA%D0%BE%D0%B5%20%D0%BA%D0%BE%D0%BB%D1%8C%D1%86%D0%BE%201988%20%D1%84%D0%B8%D0%BB%D1%8C%D0%BC","искать")</f>
        <v/>
      </c>
      <c r="N3760" s="3" t="n"/>
      <c r="O3760" s="2" t="n"/>
      <c r="P3760" s="2" t="n"/>
    </row>
    <row r="3761">
      <c r="A3761" s="2" t="n">
        <v>3760</v>
      </c>
      <c r="B3761" s="2" t="inlineStr">
        <is>
          <t>короткая</t>
        </is>
      </c>
      <c r="C3761" s="2" t="n">
        <v>13740</v>
      </c>
      <c r="D3761" s="3" t="inlineStr">
        <is>
          <t>Кошки-мышки</t>
        </is>
      </c>
      <c r="E3761" s="2" t="n">
        <v>1975</v>
      </c>
      <c r="F3761" s="2" t="inlineStr">
        <is>
          <t>мультфильм</t>
        </is>
      </c>
      <c r="G3761" s="2" t="inlineStr">
        <is>
          <t>ЭКРАН</t>
        </is>
      </c>
      <c r="H3761" s="2" t="n">
        <v>56</v>
      </c>
      <c r="I3761" s="2" t="inlineStr"/>
      <c r="J3761" s="2" t="inlineStr"/>
      <c r="K3761" s="3" t="inlineStr">
        <is>
          <t>О приключениях друзей - котенка Кыцика и мышонка Мыцика.</t>
        </is>
      </c>
      <c r="L3761" s="2" t="inlineStr">
        <is>
          <t>2026-10_мультфильмы_список_владельца.xlsx; https://animator.ru/db/?p=show_film&amp;fid=5133</t>
        </is>
      </c>
      <c r="M3761" s="2">
        <f>HYPERLINK("https://ru.wikipedia.org/w/index.php?search=%D0%9A%D0%BE%D1%88%D0%BA%D0%B8-%D0%BC%D1%8B%D1%88%D0%BA%D0%B8%201975%20%D1%84%D0%B8%D0%BB%D1%8C%D0%BC","искать")</f>
        <v/>
      </c>
      <c r="N3761" s="3" t="n"/>
      <c r="O3761" s="2" t="n"/>
      <c r="P3761" s="2" t="n"/>
    </row>
    <row r="3762">
      <c r="A3762" s="2" t="n">
        <v>3761</v>
      </c>
      <c r="B3762" s="2" t="inlineStr">
        <is>
          <t>короткая</t>
        </is>
      </c>
      <c r="C3762" s="2" t="n">
        <v>14089</v>
      </c>
      <c r="D3762" s="3" t="inlineStr">
        <is>
          <t>Бужорел. Легенда о пионе</t>
        </is>
      </c>
      <c r="E3762" s="2" t="n">
        <v>1986</v>
      </c>
      <c r="F3762" s="2" t="inlineStr">
        <is>
          <t>мультфильм</t>
        </is>
      </c>
      <c r="G3762" s="2" t="n"/>
      <c r="H3762" s="2" t="n">
        <v>56</v>
      </c>
      <c r="I3762" s="2" t="inlineStr"/>
      <c r="J3762" s="2" t="inlineStr"/>
      <c r="K3762" s="3" t="inlineStr">
        <is>
          <t>Сказка о юоноше, который был превращен в пион. Для детей</t>
        </is>
      </c>
      <c r="L3762" s="2" t="inlineStr">
        <is>
          <t>https://animator.ru/db/?p=show_film&amp;fid=5487</t>
        </is>
      </c>
      <c r="M3762" s="2">
        <f>HYPERLINK("https://ru.wikipedia.org/w/index.php?search=%D0%91%D1%83%D0%B6%D0%BE%D1%80%D0%B5%D0%BB.%20%D0%9B%D0%B5%D0%B3%D0%B5%D0%BD%D0%B4%D0%B0%20%D0%BE%20%D0%BF%D0%B8%D0%BE%D0%BD%D0%B5%201986%20%D1%84%D0%B8%D0%BB%D1%8C%D0%BC","искать")</f>
        <v/>
      </c>
      <c r="N3762" s="3" t="n"/>
      <c r="O3762" s="2" t="n"/>
      <c r="P3762" s="2" t="n"/>
    </row>
    <row r="3763">
      <c r="A3763" s="2" t="n">
        <v>3762</v>
      </c>
      <c r="B3763" s="2" t="inlineStr">
        <is>
          <t>короткая</t>
        </is>
      </c>
      <c r="C3763" s="2" t="n">
        <v>14110</v>
      </c>
      <c r="D3763" s="3" t="inlineStr">
        <is>
          <t>Друзья</t>
        </is>
      </c>
      <c r="E3763" s="2" t="n">
        <v>1973</v>
      </c>
      <c r="F3763" s="2" t="inlineStr">
        <is>
          <t>мультфильм</t>
        </is>
      </c>
      <c r="G3763" s="2" t="inlineStr">
        <is>
          <t>ТУРКМЕНФИЛЬМ</t>
        </is>
      </c>
      <c r="H3763" s="2" t="n">
        <v>56</v>
      </c>
      <c r="I3763" s="2" t="inlineStr"/>
      <c r="J3763" s="2" t="inlineStr"/>
      <c r="K3763" s="3" t="inlineStr">
        <is>
          <t>О приключениях щенка Конгурджи и его друзей. Для малышей</t>
        </is>
      </c>
      <c r="L3763" s="2" t="inlineStr">
        <is>
          <t>https://animator.ru/db/?p=show_film&amp;fid=5508</t>
        </is>
      </c>
      <c r="M3763" s="2">
        <f>HYPERLINK("https://ru.wikipedia.org/w/index.php?search=%D0%94%D1%80%D1%83%D0%B7%D1%8C%D1%8F%201973%20%D1%84%D0%B8%D0%BB%D1%8C%D0%BC","искать")</f>
        <v/>
      </c>
      <c r="N3763" s="3" t="n"/>
      <c r="O3763" s="2" t="n"/>
      <c r="P3763" s="2" t="n"/>
    </row>
    <row r="3764">
      <c r="A3764" s="2" t="n">
        <v>3763</v>
      </c>
      <c r="B3764" s="2" t="inlineStr">
        <is>
          <t>короткая</t>
        </is>
      </c>
      <c r="C3764" s="2" t="n">
        <v>14285</v>
      </c>
      <c r="D3764" s="3" t="inlineStr">
        <is>
          <t>Три панька на ярмарке</t>
        </is>
      </c>
      <c r="E3764" s="2" t="n">
        <v>1991</v>
      </c>
      <c r="F3764" s="2" t="inlineStr">
        <is>
          <t>мультфильм</t>
        </is>
      </c>
      <c r="G3764" s="2" t="inlineStr">
        <is>
          <t>УКРАНИМАФИЛЬМ</t>
        </is>
      </c>
      <c r="H3764" s="2" t="n">
        <v>56</v>
      </c>
      <c r="I3764" s="2" t="inlineStr"/>
      <c r="J3764" s="2" t="inlineStr"/>
      <c r="K3764" s="3" t="inlineStr">
        <is>
          <t>Продолжение комических происшествий со знакомыми героями</t>
        </is>
      </c>
      <c r="L3764" s="2" t="inlineStr">
        <is>
          <t>https://animator.ru/db/?p=show_film&amp;fid=5809</t>
        </is>
      </c>
      <c r="M3764" s="2">
        <f>HYPERLINK("https://ru.wikipedia.org/w/index.php?search=%D0%A2%D1%80%D0%B8%20%D0%BF%D0%B0%D0%BD%D1%8C%D0%BA%D0%B0%20%D0%BD%D0%B0%20%D1%8F%D1%80%D0%BC%D0%B0%D1%80%D0%BA%D0%B5%201991%20%D1%84%D0%B8%D0%BB%D1%8C%D0%BC","искать")</f>
        <v/>
      </c>
      <c r="N3764" s="3" t="n"/>
      <c r="O3764" s="2" t="n"/>
      <c r="P3764" s="2" t="n"/>
    </row>
    <row r="3765">
      <c r="A3765" s="2" t="n">
        <v>3764</v>
      </c>
      <c r="B3765" s="2" t="inlineStr">
        <is>
          <t>короткая</t>
        </is>
      </c>
      <c r="C3765" s="2" t="n">
        <v>14445</v>
      </c>
      <c r="D3765" s="3" t="inlineStr">
        <is>
          <t>Трус</t>
        </is>
      </c>
      <c r="E3765" s="2" t="n">
        <v>1980</v>
      </c>
      <c r="F3765" s="2" t="inlineStr">
        <is>
          <t>мультфильм</t>
        </is>
      </c>
      <c r="G3765" s="2" t="inlineStr">
        <is>
          <t>ЭКРАН</t>
        </is>
      </c>
      <c r="H3765" s="2" t="n">
        <v>56</v>
      </c>
      <c r="I3765" s="2" t="inlineStr"/>
      <c r="J3765" s="2" t="inlineStr"/>
      <c r="K3765" s="3" t="inlineStr">
        <is>
          <t>О том, как герой фильма сумел преодолеть чувство страха.</t>
        </is>
      </c>
      <c r="L3765" s="2" t="inlineStr">
        <is>
          <t>https://animator.ru/db/?p=show_film&amp;fid=6694</t>
        </is>
      </c>
      <c r="M3765" s="2">
        <f>HYPERLINK("https://ru.wikipedia.org/w/index.php?search=%D0%A2%D1%80%D1%83%D1%81%201980%20%D1%84%D0%B8%D0%BB%D1%8C%D0%BC","искать")</f>
        <v/>
      </c>
      <c r="N3765" s="3" t="n"/>
      <c r="O3765" s="2" t="n"/>
      <c r="P3765" s="2" t="n"/>
    </row>
    <row r="3766">
      <c r="A3766" s="2" t="n">
        <v>3765</v>
      </c>
      <c r="B3766" s="2" t="inlineStr">
        <is>
          <t>короткая</t>
        </is>
      </c>
      <c r="C3766" s="2" t="n">
        <v>11838</v>
      </c>
      <c r="D3766" s="3" t="inlineStr">
        <is>
          <t>Кто я такой?</t>
        </is>
      </c>
      <c r="E3766" s="2" t="n">
        <v>1977</v>
      </c>
      <c r="F3766" s="2" t="inlineStr">
        <is>
          <t>мультфильм</t>
        </is>
      </c>
      <c r="G3766" s="2" t="inlineStr">
        <is>
          <t>Союзмультфильм</t>
        </is>
      </c>
      <c r="H3766" s="2" t="n">
        <v>57</v>
      </c>
      <c r="I3766" s="2" t="inlineStr"/>
      <c r="J3766" s="2" t="inlineStr"/>
      <c r="K3766" s="3" t="inlineStr">
        <is>
          <t>Мультфильм про головастика, который не знал кто он такой.</t>
        </is>
      </c>
      <c r="L3766" s="2" t="inlineStr">
        <is>
          <t>https://animator.ru/db/?p=show_film&amp;fid=2753</t>
        </is>
      </c>
      <c r="M3766" s="2">
        <f>HYPERLINK("https://ru.wikipedia.org/w/index.php?search=%D0%9A%D1%82%D0%BE%20%D1%8F%20%D1%82%D0%B0%D0%BA%D0%BE%D0%B9%3F%201977%20%D1%84%D0%B8%D0%BB%D1%8C%D0%BC","искать")</f>
        <v/>
      </c>
      <c r="N3766" s="3" t="n"/>
      <c r="O3766" s="2" t="n"/>
      <c r="P3766" s="2" t="n"/>
    </row>
    <row r="3767">
      <c r="A3767" s="2" t="n">
        <v>3766</v>
      </c>
      <c r="B3767" s="2" t="inlineStr">
        <is>
          <t>короткая</t>
        </is>
      </c>
      <c r="C3767" s="2" t="n">
        <v>12150</v>
      </c>
      <c r="D3767" s="3" t="inlineStr">
        <is>
          <t>Огуречная лошадка</t>
        </is>
      </c>
      <c r="E3767" s="2" t="n">
        <v>1985</v>
      </c>
      <c r="F3767" s="2" t="inlineStr">
        <is>
          <t>мультфильм</t>
        </is>
      </c>
      <c r="G3767" s="2" t="inlineStr">
        <is>
          <t>Союзмультфильм</t>
        </is>
      </c>
      <c r="H3767" s="2" t="n">
        <v>57</v>
      </c>
      <c r="I3767" s="2" t="inlineStr"/>
      <c r="J3767" s="2" t="inlineStr"/>
      <c r="K3767" s="3" t="inlineStr">
        <is>
          <t>История о девочке Маше, выращивающей на огороде огуречик.</t>
        </is>
      </c>
      <c r="L3767" s="2" t="inlineStr">
        <is>
          <t>2026-10_мультфильмы_список_владельца.xlsx; https://animator.ru/db/?p=show_film&amp;fid=3266</t>
        </is>
      </c>
      <c r="M3767" s="2">
        <f>HYPERLINK("https://ru.wikipedia.org/w/index.php?search=%D0%9E%D0%B3%D1%83%D1%80%D0%B5%D1%87%D0%BD%D0%B0%D1%8F%20%D0%BB%D0%BE%D1%88%D0%B0%D0%B4%D0%BA%D0%B0%201985%20%D1%84%D0%B8%D0%BB%D1%8C%D0%BC","искать")</f>
        <v/>
      </c>
      <c r="N3767" s="3" t="n"/>
      <c r="O3767" s="2" t="n"/>
      <c r="P3767" s="2" t="n"/>
    </row>
    <row r="3768">
      <c r="A3768" s="2" t="n">
        <v>3767</v>
      </c>
      <c r="B3768" s="2" t="inlineStr">
        <is>
          <t>короткая</t>
        </is>
      </c>
      <c r="C3768" s="2" t="n">
        <v>12440</v>
      </c>
      <c r="D3768" s="3" t="inlineStr">
        <is>
          <t>Кто в лесу хозяин</t>
        </is>
      </c>
      <c r="E3768" s="2" t="n">
        <v>1977</v>
      </c>
      <c r="F3768" s="2" t="inlineStr">
        <is>
          <t>мультфильм</t>
        </is>
      </c>
      <c r="G3768" s="2" t="inlineStr">
        <is>
          <t>КИЕВНАУЧФИЛЬМ</t>
        </is>
      </c>
      <c r="H3768" s="2" t="n">
        <v>57</v>
      </c>
      <c r="I3768" s="2" t="inlineStr"/>
      <c r="J3768" s="2" t="inlineStr"/>
      <c r="K3768" s="3" t="inlineStr">
        <is>
          <t>Как медвежонок хотел всем доказать, что он в лесу хозяин.</t>
        </is>
      </c>
      <c r="L3768" s="2" t="inlineStr">
        <is>
          <t>https://animator.ru/db/?p=show_film&amp;fid=3611</t>
        </is>
      </c>
      <c r="M3768" s="2">
        <f>HYPERLINK("https://ru.wikipedia.org/w/index.php?search=%D0%9A%D1%82%D0%BE%20%D0%B2%20%D0%BB%D0%B5%D1%81%D1%83%20%D1%85%D0%BE%D0%B7%D1%8F%D0%B8%D0%BD%201977%20%D1%84%D0%B8%D0%BB%D1%8C%D0%BC","искать")</f>
        <v/>
      </c>
      <c r="N3768" s="3" t="n"/>
      <c r="O3768" s="2" t="n"/>
      <c r="P3768" s="2" t="n"/>
    </row>
    <row r="3769">
      <c r="A3769" s="2" t="n">
        <v>3768</v>
      </c>
      <c r="B3769" s="2" t="inlineStr">
        <is>
          <t>короткая</t>
        </is>
      </c>
      <c r="C3769" s="2" t="n">
        <v>13082</v>
      </c>
      <c r="D3769" s="3" t="inlineStr">
        <is>
          <t>Приключение старого дворника</t>
        </is>
      </c>
      <c r="E3769" s="2" t="n">
        <v>1986</v>
      </c>
      <c r="F3769" s="2" t="inlineStr">
        <is>
          <t>мультфильм</t>
        </is>
      </c>
      <c r="G3769" s="2" t="inlineStr">
        <is>
          <t>РИЖСКАЯ КИНОСТУДИЯ</t>
        </is>
      </c>
      <c r="H3769" s="2" t="n">
        <v>57</v>
      </c>
      <c r="I3769" s="2" t="inlineStr"/>
      <c r="J3769" s="2" t="inlineStr"/>
      <c r="K3769" s="3" t="inlineStr">
        <is>
          <t>Про умного робота, который помог дворнику навести чистоту</t>
        </is>
      </c>
      <c r="L3769" s="2" t="inlineStr">
        <is>
          <t>https://animator.ru/db/?p=show_film&amp;fid=4314</t>
        </is>
      </c>
      <c r="M3769" s="2">
        <f>HYPERLINK("https://ru.wikipedia.org/w/index.php?search=%D0%9F%D1%80%D0%B8%D0%BA%D0%BB%D1%8E%D1%87%D0%B5%D0%BD%D0%B8%D0%B5%20%D1%81%D1%82%D0%B0%D1%80%D0%BE%D0%B3%D0%BE%20%D0%B4%D0%B2%D0%BE%D1%80%D0%BD%D0%B8%D0%BA%D0%B0%201986%20%D1%84%D0%B8%D0%BB%D1%8C%D0%BC","искать")</f>
        <v/>
      </c>
      <c r="N3769" s="3" t="n"/>
      <c r="O3769" s="2" t="n"/>
      <c r="P3769" s="2" t="n"/>
    </row>
    <row r="3770">
      <c r="A3770" s="2" t="n">
        <v>3769</v>
      </c>
      <c r="B3770" s="2" t="inlineStr">
        <is>
          <t>короткая</t>
        </is>
      </c>
      <c r="C3770" s="2" t="n">
        <v>13488</v>
      </c>
      <c r="D3770" s="3" t="inlineStr">
        <is>
          <t>Петушок и курочка</t>
        </is>
      </c>
      <c r="E3770" s="2" t="n">
        <v>1990</v>
      </c>
      <c r="F3770" s="2" t="inlineStr">
        <is>
          <t>мультфильм</t>
        </is>
      </c>
      <c r="G3770" s="2" t="inlineStr">
        <is>
          <t>ЛЕННАУЧФИЛЬМ - Санкт-Петербургская студия научно-популярных фильмов - ФУП</t>
        </is>
      </c>
      <c r="H3770" s="2" t="n">
        <v>57</v>
      </c>
      <c r="I3770" s="2" t="inlineStr"/>
      <c r="J3770" s="2" t="inlineStr"/>
      <c r="K3770" s="3" t="inlineStr">
        <is>
          <t>Русская народная сказка. Как петушок курочке глазик ушиб.</t>
        </is>
      </c>
      <c r="L3770" s="2" t="inlineStr">
        <is>
          <t>2026-10_мультфильмы_список_владельца.xlsx; https://animator.ru/db/?p=show_film&amp;fid=4778</t>
        </is>
      </c>
      <c r="M3770" s="2">
        <f>HYPERLINK("https://ru.wikipedia.org/w/index.php?search=%D0%9F%D0%B5%D1%82%D1%83%D1%88%D0%BE%D0%BA%20%D0%B8%20%D0%BA%D1%83%D1%80%D0%BE%D1%87%D0%BA%D0%B0%201990%20%D1%84%D0%B8%D0%BB%D1%8C%D0%BC","искать")</f>
        <v/>
      </c>
      <c r="N3770" s="3" t="n"/>
      <c r="O3770" s="2" t="n"/>
      <c r="P3770" s="2" t="n"/>
    </row>
    <row r="3771">
      <c r="A3771" s="2" t="n">
        <v>3770</v>
      </c>
      <c r="B3771" s="2" t="inlineStr">
        <is>
          <t>короткая</t>
        </is>
      </c>
      <c r="C3771" s="2" t="n">
        <v>13598</v>
      </c>
      <c r="D3771" s="3" t="inlineStr">
        <is>
          <t>Добрый лес</t>
        </is>
      </c>
      <c r="E3771" s="2" t="n">
        <v>1983</v>
      </c>
      <c r="F3771" s="2" t="inlineStr">
        <is>
          <t>мультфильм</t>
        </is>
      </c>
      <c r="G3771" s="2" t="inlineStr">
        <is>
          <t>КУЙБЫШЕВТЕЛЕФИЛЬМ</t>
        </is>
      </c>
      <c r="H3771" s="2" t="n">
        <v>57</v>
      </c>
      <c r="I3771" s="2" t="inlineStr"/>
      <c r="J3771" s="2" t="inlineStr"/>
      <c r="K3771" s="3" t="inlineStr">
        <is>
          <t>О бельчатах, которых перевоспитывал весь лес. Для малышей</t>
        </is>
      </c>
      <c r="L3771" s="2" t="inlineStr">
        <is>
          <t>https://animator.ru/db/?p=show_film&amp;fid=4948</t>
        </is>
      </c>
      <c r="M3771" s="2">
        <f>HYPERLINK("https://ru.wikipedia.org/w/index.php?search=%D0%94%D0%BE%D0%B1%D1%80%D1%8B%D0%B9%20%D0%BB%D0%B5%D1%81%201983%20%D1%84%D0%B8%D0%BB%D1%8C%D0%BC","искать")</f>
        <v/>
      </c>
      <c r="N3771" s="3" t="n"/>
      <c r="O3771" s="2" t="n"/>
      <c r="P3771" s="2" t="n"/>
    </row>
    <row r="3772">
      <c r="A3772" s="2" t="n">
        <v>3771</v>
      </c>
      <c r="B3772" s="2" t="inlineStr">
        <is>
          <t>короткая</t>
        </is>
      </c>
      <c r="C3772" s="2" t="n">
        <v>13601</v>
      </c>
      <c r="D3772" s="3" t="inlineStr">
        <is>
          <t>Далеко-далеко на юге</t>
        </is>
      </c>
      <c r="E3772" s="2" t="n">
        <v>1982</v>
      </c>
      <c r="F3772" s="2" t="inlineStr">
        <is>
          <t>мультфильм</t>
        </is>
      </c>
      <c r="G3772" s="2" t="inlineStr">
        <is>
          <t>САРАТОВТЕЛЕФИЛЬМ</t>
        </is>
      </c>
      <c r="H3772" s="2" t="n">
        <v>57</v>
      </c>
      <c r="I3772" s="2" t="inlineStr"/>
      <c r="J3772" s="2" t="inlineStr"/>
      <c r="K3772" s="3" t="inlineStr">
        <is>
          <t>О путешествии Медвежонка и Лягушонка за чудесным каштаном</t>
        </is>
      </c>
      <c r="L3772" s="2" t="inlineStr">
        <is>
          <t>https://animator.ru/db/?p=show_film&amp;fid=4951</t>
        </is>
      </c>
      <c r="M3772" s="2">
        <f>HYPERLINK("https://ru.wikipedia.org/w/index.php?search=%D0%94%D0%B0%D0%BB%D0%B5%D0%BA%D0%BE-%D0%B4%D0%B0%D0%BB%D0%B5%D0%BA%D0%BE%20%D0%BD%D0%B0%20%D1%8E%D0%B3%D0%B5%201982%20%D1%84%D0%B8%D0%BB%D1%8C%D0%BC","искать")</f>
        <v/>
      </c>
      <c r="N3772" s="3" t="n"/>
      <c r="O3772" s="2" t="n"/>
      <c r="P3772" s="2" t="n"/>
    </row>
    <row r="3773">
      <c r="A3773" s="2" t="n">
        <v>3772</v>
      </c>
      <c r="B3773" s="2" t="inlineStr">
        <is>
          <t>короткая</t>
        </is>
      </c>
      <c r="C3773" s="2" t="n">
        <v>13625</v>
      </c>
      <c r="D3773" s="3" t="inlineStr">
        <is>
          <t>Берегите тепло ч.1</t>
        </is>
      </c>
      <c r="E3773" s="2" t="n">
        <v>1986</v>
      </c>
      <c r="F3773" s="2" t="inlineStr">
        <is>
          <t>мультфильм</t>
        </is>
      </c>
      <c r="G3773" s="2" t="inlineStr">
        <is>
          <t>ЭКРАН</t>
        </is>
      </c>
      <c r="H3773" s="2" t="n">
        <v>57</v>
      </c>
      <c r="I3773" s="2" t="inlineStr"/>
      <c r="J3773" s="2" t="inlineStr"/>
      <c r="K3773" s="3" t="inlineStr">
        <is>
          <t>Инструктивный фильм о том, как сохранить тепло в квартире</t>
        </is>
      </c>
      <c r="L3773" s="2" t="inlineStr">
        <is>
          <t>https://animator.ru/db/?p=show_film&amp;fid=5017</t>
        </is>
      </c>
      <c r="M3773" s="2">
        <f>HYPERLINK("https://ru.wikipedia.org/w/index.php?search=%D0%91%D0%B5%D1%80%D0%B5%D0%B3%D0%B8%D1%82%D0%B5%20%D1%82%D0%B5%D0%BF%D0%BB%D0%BE%20%D1%87.1%201986%20%D1%84%D0%B8%D0%BB%D1%8C%D0%BC","искать")</f>
        <v/>
      </c>
      <c r="N3773" s="3" t="n"/>
      <c r="O3773" s="2" t="n"/>
      <c r="P3773" s="2" t="n"/>
    </row>
    <row r="3774">
      <c r="A3774" s="2" t="n">
        <v>3773</v>
      </c>
      <c r="B3774" s="2" t="inlineStr">
        <is>
          <t>короткая</t>
        </is>
      </c>
      <c r="C3774" s="2" t="n">
        <v>13888</v>
      </c>
      <c r="D3774" s="3" t="inlineStr">
        <is>
          <t>Сестрички-привычки</t>
        </is>
      </c>
      <c r="E3774" s="2" t="n">
        <v>1989</v>
      </c>
      <c r="F3774" s="2" t="inlineStr">
        <is>
          <t>мультфильм</t>
        </is>
      </c>
      <c r="G3774" s="2" t="inlineStr">
        <is>
          <t>ЭКРАН</t>
        </is>
      </c>
      <c r="H3774" s="2" t="n">
        <v>57</v>
      </c>
      <c r="I3774" s="2" t="inlineStr"/>
      <c r="J3774" s="2" t="inlineStr"/>
      <c r="K3774" s="3" t="inlineStr">
        <is>
          <t>Как Андрюша Шумелкин избавлялся от своих плохих привычек.</t>
        </is>
      </c>
      <c r="L3774" s="2" t="inlineStr">
        <is>
          <t>2026-10_мультфильмы_список_владельца.xlsx; https://animator.ru/db/?p=show_film&amp;fid=5281</t>
        </is>
      </c>
      <c r="M3774" s="2">
        <f>HYPERLINK("https://ru.wikipedia.org/w/index.php?search=%D0%A1%D0%B5%D1%81%D1%82%D1%80%D0%B8%D1%87%D0%BA%D0%B8-%D0%BF%D1%80%D0%B8%D0%B2%D1%8B%D1%87%D0%BA%D0%B8%201989%20%D1%84%D0%B8%D0%BB%D1%8C%D0%BC","искать")</f>
        <v/>
      </c>
      <c r="N3774" s="3" t="n"/>
      <c r="O3774" s="2" t="n"/>
      <c r="P3774" s="2" t="n"/>
    </row>
    <row r="3775">
      <c r="A3775" s="2" t="n">
        <v>3774</v>
      </c>
      <c r="B3775" s="2" t="inlineStr">
        <is>
          <t>короткая</t>
        </is>
      </c>
      <c r="C3775" s="2" t="n">
        <v>14131</v>
      </c>
      <c r="D3775" s="3" t="inlineStr">
        <is>
          <t>Мартышка и смычки</t>
        </is>
      </c>
      <c r="E3775" s="2" t="n">
        <v>1970</v>
      </c>
      <c r="F3775" s="2" t="inlineStr">
        <is>
          <t>мультфильм</t>
        </is>
      </c>
      <c r="G3775" s="2" t="inlineStr">
        <is>
          <t>СВЕРДЛОВСКТЕЛЕФИЛЬМ</t>
        </is>
      </c>
      <c r="H3775" s="2" t="n">
        <v>57</v>
      </c>
      <c r="I3775" s="2" t="inlineStr"/>
      <c r="J3775" s="2" t="inlineStr"/>
      <c r="K3775" s="3" t="inlineStr">
        <is>
          <t>Как Мартышка участвовала в конкурсе музыкантов. Для детей</t>
        </is>
      </c>
      <c r="L3775" s="2" t="inlineStr">
        <is>
          <t>https://animator.ru/db/?p=show_film&amp;fid=5529</t>
        </is>
      </c>
      <c r="M3775" s="2">
        <f>HYPERLINK("https://ru.wikipedia.org/w/index.php?search=%D0%9C%D0%B0%D1%80%D1%82%D1%8B%D1%88%D0%BA%D0%B0%20%D0%B8%20%D1%81%D0%BC%D1%8B%D1%87%D0%BA%D0%B8%201970%20%D1%84%D0%B8%D0%BB%D1%8C%D0%BC","искать")</f>
        <v/>
      </c>
      <c r="N3775" s="3" t="n"/>
      <c r="O3775" s="2" t="n"/>
      <c r="P3775" s="2" t="n"/>
    </row>
    <row r="3776">
      <c r="A3776" s="2" t="n">
        <v>3775</v>
      </c>
      <c r="B3776" s="2" t="inlineStr">
        <is>
          <t>короткая</t>
        </is>
      </c>
      <c r="C3776" s="2" t="n">
        <v>14171</v>
      </c>
      <c r="D3776" s="3" t="inlineStr">
        <is>
          <t>Самый уважаемый</t>
        </is>
      </c>
      <c r="E3776" s="2" t="n">
        <v>1972</v>
      </c>
      <c r="F3776" s="2" t="inlineStr">
        <is>
          <t>мультфильм</t>
        </is>
      </c>
      <c r="G3776" s="2" t="inlineStr">
        <is>
          <t>ПЕРМЬТЕЛЕФИЛЬМ</t>
        </is>
      </c>
      <c r="H3776" s="2" t="n">
        <v>57</v>
      </c>
      <c r="I3776" s="2" t="inlineStr"/>
      <c r="J3776" s="2" t="inlineStr"/>
      <c r="K3776" s="3" t="inlineStr">
        <is>
          <t>О приключениях маленького музейного самолетика. Для детей</t>
        </is>
      </c>
      <c r="L3776" s="2" t="inlineStr">
        <is>
          <t>https://animator.ru/db/?p=show_film&amp;fid=5569</t>
        </is>
      </c>
      <c r="M3776" s="2">
        <f>HYPERLINK("https://ru.wikipedia.org/w/index.php?search=%D0%A1%D0%B0%D0%BC%D1%8B%D0%B9%20%D1%83%D0%B2%D0%B0%D0%B6%D0%B0%D0%B5%D0%BC%D1%8B%D0%B9%201972%20%D1%84%D0%B8%D0%BB%D1%8C%D0%BC","искать")</f>
        <v/>
      </c>
      <c r="N3776" s="3" t="n"/>
      <c r="O3776" s="2" t="n"/>
      <c r="P3776" s="2" t="n"/>
    </row>
    <row r="3777">
      <c r="A3777" s="2" t="n">
        <v>3776</v>
      </c>
      <c r="B3777" s="2" t="inlineStr">
        <is>
          <t>короткая</t>
        </is>
      </c>
      <c r="C3777" s="2" t="n">
        <v>7768</v>
      </c>
      <c r="D3777" s="3" t="inlineStr">
        <is>
          <t>Красные башмачки</t>
        </is>
      </c>
      <c r="E3777" s="2" t="n">
        <v>1986</v>
      </c>
      <c r="F3777" s="2" t="inlineStr">
        <is>
          <t>телефильм</t>
        </is>
      </c>
      <c r="G3777" s="2" t="n"/>
      <c r="H3777" s="2" t="n">
        <v>58</v>
      </c>
      <c r="I3777" s="2" t="inlineStr"/>
      <c r="J3777" s="2" t="inlineStr"/>
      <c r="K3777" s="3" t="inlineStr">
        <is>
          <t>О приключениях маленькой девочки Марийки в волшебном лесу.</t>
        </is>
      </c>
      <c r="L3777" s="2" t="inlineStr">
        <is>
          <t>Кино_СССР сводный каталог.xlsx: список телефильмов</t>
        </is>
      </c>
      <c r="M3777" s="2">
        <f>HYPERLINK("https://ru.wikipedia.org/w/index.php?search=%D0%9A%D1%80%D0%B0%D1%81%D0%BD%D1%8B%D0%B5%20%D0%B1%D0%B0%D1%88%D0%BC%D0%B0%D1%87%D0%BA%D0%B8%201986%20%D1%84%D0%B8%D0%BB%D1%8C%D0%BC","искать")</f>
        <v/>
      </c>
      <c r="N3777" s="3" t="n"/>
      <c r="O3777" s="2" t="n"/>
      <c r="P3777" s="2" t="n"/>
    </row>
    <row r="3778">
      <c r="A3778" s="2" t="n">
        <v>3777</v>
      </c>
      <c r="B3778" s="2" t="inlineStr">
        <is>
          <t>короткая</t>
        </is>
      </c>
      <c r="C3778" s="2" t="n">
        <v>12208</v>
      </c>
      <c r="D3778" s="3" t="inlineStr">
        <is>
          <t>Как ослик грустью заболел</t>
        </is>
      </c>
      <c r="E3778" s="2" t="n">
        <v>1987</v>
      </c>
      <c r="F3778" s="2" t="inlineStr">
        <is>
          <t>мультфильм</t>
        </is>
      </c>
      <c r="G3778" s="2" t="inlineStr">
        <is>
          <t>Союзмультфильм</t>
        </is>
      </c>
      <c r="H3778" s="2" t="n">
        <v>58</v>
      </c>
      <c r="I3778" s="2" t="inlineStr"/>
      <c r="J3778" s="2" t="inlineStr"/>
      <c r="K3778" s="3" t="inlineStr">
        <is>
          <t>Как маленький Ослик помог грузовичку Фыр-Фыру. Для малышей</t>
        </is>
      </c>
      <c r="L3778" s="2" t="inlineStr">
        <is>
          <t>https://animator.ru/db/?p=show_film&amp;fid=3325</t>
        </is>
      </c>
      <c r="M3778" s="2">
        <f>HYPERLINK("https://ru.wikipedia.org/w/index.php?search=%D0%9A%D0%B0%D0%BA%20%D0%BE%D1%81%D0%BB%D0%B8%D0%BA%20%D0%B3%D1%80%D1%83%D1%81%D1%82%D1%8C%D1%8E%20%D0%B7%D0%B0%D0%B1%D0%BE%D0%BB%D0%B5%D0%BB%201987%20%D1%84%D0%B8%D0%BB%D1%8C%D0%BC","искать")</f>
        <v/>
      </c>
      <c r="N3778" s="3" t="n"/>
      <c r="O3778" s="2" t="n"/>
      <c r="P3778" s="2" t="n"/>
    </row>
    <row r="3779">
      <c r="A3779" s="2" t="n">
        <v>3778</v>
      </c>
      <c r="B3779" s="2" t="inlineStr">
        <is>
          <t>короткая</t>
        </is>
      </c>
      <c r="C3779" s="2" t="n">
        <v>12772</v>
      </c>
      <c r="D3779" s="3" t="inlineStr">
        <is>
          <t>Фанос-неудачник</t>
        </is>
      </c>
      <c r="E3779" s="2" t="n">
        <v>1980</v>
      </c>
      <c r="F3779" s="2" t="inlineStr">
        <is>
          <t>мультфильм</t>
        </is>
      </c>
      <c r="G3779" s="2" t="inlineStr">
        <is>
          <t>АРМЕНФИЛЬМ</t>
        </is>
      </c>
      <c r="H3779" s="2" t="n">
        <v>58</v>
      </c>
      <c r="I3779" s="2" t="inlineStr"/>
      <c r="J3779" s="2" t="inlineStr"/>
      <c r="K3779" s="3" t="inlineStr">
        <is>
          <t>О бедном крестьянине, который страдал из-за своей глупости</t>
        </is>
      </c>
      <c r="L3779" s="2" t="inlineStr">
        <is>
          <t>https://animator.ru/db/?p=show_film&amp;fid=3981</t>
        </is>
      </c>
      <c r="M3779" s="2">
        <f>HYPERLINK("https://ru.wikipedia.org/w/index.php?search=%D0%A4%D0%B0%D0%BD%D0%BE%D1%81-%D0%BD%D0%B5%D1%83%D0%B4%D0%B0%D1%87%D0%BD%D0%B8%D0%BA%201980%20%D1%84%D0%B8%D0%BB%D1%8C%D0%BC","искать")</f>
        <v/>
      </c>
      <c r="N3779" s="3" t="n"/>
      <c r="O3779" s="2" t="n"/>
      <c r="P3779" s="2" t="n"/>
    </row>
    <row r="3780">
      <c r="A3780" s="2" t="n">
        <v>3779</v>
      </c>
      <c r="B3780" s="2" t="inlineStr">
        <is>
          <t>короткая</t>
        </is>
      </c>
      <c r="C3780" s="2" t="n">
        <v>12944</v>
      </c>
      <c r="D3780" s="3" t="inlineStr">
        <is>
          <t>День рождения весны</t>
        </is>
      </c>
      <c r="E3780" s="2" t="n">
        <v>1985</v>
      </c>
      <c r="F3780" s="2" t="inlineStr">
        <is>
          <t>мультфильм</t>
        </is>
      </c>
      <c r="G3780" s="2" t="inlineStr">
        <is>
          <t>ГРУЗИЯ-ФИЛЬМ - АО</t>
        </is>
      </c>
      <c r="H3780" s="2" t="n">
        <v>58</v>
      </c>
      <c r="I3780" s="2" t="inlineStr"/>
      <c r="J3780" s="2" t="inlineStr"/>
      <c r="K3780" s="3" t="inlineStr">
        <is>
          <t>Веселая сказка о том, как праздновали обитатели леса весну</t>
        </is>
      </c>
      <c r="L3780" s="2" t="inlineStr">
        <is>
          <t>https://animator.ru/db/?p=show_film&amp;fid=4174</t>
        </is>
      </c>
      <c r="M3780" s="2">
        <f>HYPERLINK("https://ru.wikipedia.org/w/index.php?search=%D0%94%D0%B5%D0%BD%D1%8C%20%D1%80%D0%BE%D0%B6%D0%B4%D0%B5%D0%BD%D0%B8%D1%8F%20%D0%B2%D0%B5%D1%81%D0%BD%D1%8B%201985%20%D1%84%D0%B8%D0%BB%D1%8C%D0%BC","искать")</f>
        <v/>
      </c>
      <c r="N3780" s="3" t="n"/>
      <c r="O3780" s="2" t="n"/>
      <c r="P3780" s="2" t="n"/>
    </row>
    <row r="3781">
      <c r="A3781" s="2" t="n">
        <v>3780</v>
      </c>
      <c r="B3781" s="2" t="inlineStr">
        <is>
          <t>короткая</t>
        </is>
      </c>
      <c r="C3781" s="2" t="n">
        <v>12972</v>
      </c>
      <c r="D3781" s="3" t="inlineStr">
        <is>
          <t>Барсук и луна</t>
        </is>
      </c>
      <c r="E3781" s="2" t="n">
        <v>1981</v>
      </c>
      <c r="F3781" s="2" t="inlineStr">
        <is>
          <t>мультфильм</t>
        </is>
      </c>
      <c r="G3781" s="2" t="inlineStr">
        <is>
          <t>КАЗАХФИЛЬМ</t>
        </is>
      </c>
      <c r="H3781" s="2" t="n">
        <v>58</v>
      </c>
      <c r="I3781" s="2" t="inlineStr"/>
      <c r="J3781" s="2" t="inlineStr"/>
      <c r="K3781" s="3" t="inlineStr">
        <is>
          <t>О том, как маленький Барсук поздравил с днем рождения маму</t>
        </is>
      </c>
      <c r="L3781" s="2" t="inlineStr">
        <is>
          <t>https://animator.ru/db/?p=show_film&amp;fid=4204</t>
        </is>
      </c>
      <c r="M3781" s="2">
        <f>HYPERLINK("https://ru.wikipedia.org/w/index.php?search=%D0%91%D0%B0%D1%80%D1%81%D1%83%D0%BA%20%D0%B8%20%D0%BB%D1%83%D0%BD%D0%B0%201981%20%D1%84%D0%B8%D0%BB%D1%8C%D0%BC","искать")</f>
        <v/>
      </c>
      <c r="N3781" s="3" t="n"/>
      <c r="O3781" s="2" t="n"/>
      <c r="P3781" s="2" t="n"/>
    </row>
    <row r="3782">
      <c r="A3782" s="2" t="n">
        <v>3781</v>
      </c>
      <c r="B3782" s="2" t="inlineStr">
        <is>
          <t>короткая</t>
        </is>
      </c>
      <c r="C3782" s="2" t="n">
        <v>13126</v>
      </c>
      <c r="D3782" s="3" t="inlineStr">
        <is>
          <t>Будильники</t>
        </is>
      </c>
      <c r="E3782" s="2" t="n">
        <v>1989</v>
      </c>
      <c r="F3782" s="2" t="inlineStr">
        <is>
          <t>мультфильм</t>
        </is>
      </c>
      <c r="G3782" s="2" t="inlineStr">
        <is>
          <t>МОЛДОВА-ФИЛЬМ</t>
        </is>
      </c>
      <c r="H3782" s="2" t="n">
        <v>58</v>
      </c>
      <c r="I3782" s="2" t="inlineStr"/>
      <c r="J3782" s="2" t="inlineStr"/>
      <c r="K3782" s="3" t="inlineStr">
        <is>
          <t>Мальчик перевел стрелки будильника и началось... Для детей</t>
        </is>
      </c>
      <c r="L3782" s="2" t="inlineStr">
        <is>
          <t>https://animator.ru/db/?p=show_film&amp;fid=4358</t>
        </is>
      </c>
      <c r="M3782" s="2">
        <f>HYPERLINK("https://ru.wikipedia.org/w/index.php?search=%D0%91%D1%83%D0%B4%D0%B8%D0%BB%D1%8C%D0%BD%D0%B8%D0%BA%D0%B8%201989%20%D1%84%D0%B8%D0%BB%D1%8C%D0%BC","искать")</f>
        <v/>
      </c>
      <c r="N3782" s="3" t="n"/>
      <c r="O3782" s="2" t="n"/>
      <c r="P3782" s="2" t="n"/>
    </row>
    <row r="3783">
      <c r="A3783" s="2" t="n">
        <v>3782</v>
      </c>
      <c r="B3783" s="2" t="inlineStr">
        <is>
          <t>короткая</t>
        </is>
      </c>
      <c r="C3783" s="2" t="n">
        <v>13396</v>
      </c>
      <c r="D3783" s="3" t="inlineStr">
        <is>
          <t>Герон</t>
        </is>
      </c>
      <c r="E3783" s="2" t="n">
        <v>1979</v>
      </c>
      <c r="F3783" s="2" t="inlineStr">
        <is>
          <t>мультфильм</t>
        </is>
      </c>
      <c r="G3783" s="2" t="inlineStr">
        <is>
          <t>ЭКРАН</t>
        </is>
      </c>
      <c r="H3783" s="2" t="n">
        <v>58</v>
      </c>
      <c r="I3783" s="2" t="inlineStr"/>
      <c r="J3783" s="2" t="inlineStr"/>
      <c r="K3783" s="3" t="inlineStr">
        <is>
          <t>Как древнегреческий ученый Герон изобрел "паровую турбину"</t>
        </is>
      </c>
      <c r="L3783" s="2" t="inlineStr">
        <is>
          <t>https://animator.ru/db/?p=show_film&amp;fid=4676</t>
        </is>
      </c>
      <c r="M3783" s="2">
        <f>HYPERLINK("https://ru.wikipedia.org/w/index.php?search=%D0%93%D0%B5%D1%80%D0%BE%D0%BD%201979%20%D1%84%D0%B8%D0%BB%D1%8C%D0%BC","искать")</f>
        <v/>
      </c>
      <c r="N3783" s="3" t="n"/>
      <c r="O3783" s="2" t="n"/>
      <c r="P3783" s="2" t="n"/>
    </row>
    <row r="3784">
      <c r="A3784" s="2" t="n">
        <v>3783</v>
      </c>
      <c r="B3784" s="2" t="inlineStr">
        <is>
          <t>короткая</t>
        </is>
      </c>
      <c r="C3784" s="2" t="n">
        <v>13994</v>
      </c>
      <c r="D3784" s="3" t="inlineStr">
        <is>
          <t>Чужая шуба</t>
        </is>
      </c>
      <c r="E3784" s="2" t="n">
        <v>1985</v>
      </c>
      <c r="F3784" s="2" t="inlineStr">
        <is>
          <t>мультфильм</t>
        </is>
      </c>
      <c r="G3784" s="2" t="inlineStr">
        <is>
          <t>ЭКРАН</t>
        </is>
      </c>
      <c r="H3784" s="2" t="n">
        <v>58</v>
      </c>
      <c r="I3784" s="2" t="inlineStr"/>
      <c r="J3784" s="2" t="inlineStr"/>
      <c r="K3784" s="3" t="inlineStr">
        <is>
          <t>Как Заяц лисью шубу надел, да попал в переделку. Для детей</t>
        </is>
      </c>
      <c r="L3784" s="2" t="inlineStr">
        <is>
          <t>https://animator.ru/db/?p=show_film&amp;fid=5388</t>
        </is>
      </c>
      <c r="M3784" s="2">
        <f>HYPERLINK("https://ru.wikipedia.org/w/index.php?search=%D0%A7%D1%83%D0%B6%D0%B0%D1%8F%20%D1%88%D1%83%D0%B1%D0%B0%201985%20%D1%84%D0%B8%D0%BB%D1%8C%D0%BC","искать")</f>
        <v/>
      </c>
      <c r="N3784" s="3" t="n"/>
      <c r="O3784" s="2" t="n"/>
      <c r="P3784" s="2" t="n"/>
    </row>
    <row r="3785">
      <c r="A3785" s="2" t="n">
        <v>3784</v>
      </c>
      <c r="B3785" s="2" t="inlineStr">
        <is>
          <t>короткая</t>
        </is>
      </c>
      <c r="C3785" s="2" t="n">
        <v>14013</v>
      </c>
      <c r="D3785" s="3" t="inlineStr">
        <is>
          <t>Волшебные узоры</t>
        </is>
      </c>
      <c r="E3785" s="2" t="n">
        <v>1984</v>
      </c>
      <c r="F3785" s="2" t="inlineStr">
        <is>
          <t>мультфильм</t>
        </is>
      </c>
      <c r="G3785" s="2" t="inlineStr">
        <is>
          <t>АЗЕРБАЙДЖАНФИЛЬМ</t>
        </is>
      </c>
      <c r="H3785" s="2" t="n">
        <v>58</v>
      </c>
      <c r="I3785" s="2" t="inlineStr"/>
      <c r="J3785" s="2" t="inlineStr"/>
      <c r="K3785" s="3" t="inlineStr">
        <is>
          <t>О чудо-ковре, который защитил своего творца от жадного бая</t>
        </is>
      </c>
      <c r="L3785" s="2" t="inlineStr">
        <is>
          <t>https://animator.ru/db/?p=show_film&amp;fid=5407</t>
        </is>
      </c>
      <c r="M3785" s="2">
        <f>HYPERLINK("https://ru.wikipedia.org/w/index.php?search=%D0%92%D0%BE%D0%BB%D1%88%D0%B5%D0%B1%D0%BD%D1%8B%D0%B5%20%D1%83%D0%B7%D0%BE%D1%80%D1%8B%201984%20%D1%84%D0%B8%D0%BB%D1%8C%D0%BC","искать")</f>
        <v/>
      </c>
      <c r="N3785" s="3" t="n"/>
      <c r="O3785" s="2" t="n"/>
      <c r="P3785" s="2" t="n"/>
    </row>
    <row r="3786">
      <c r="A3786" s="2" t="n">
        <v>3785</v>
      </c>
      <c r="B3786" s="2" t="inlineStr">
        <is>
          <t>короткая</t>
        </is>
      </c>
      <c r="C3786" s="2" t="n">
        <v>14048</v>
      </c>
      <c r="D3786" s="3" t="inlineStr">
        <is>
          <t>Приключения маленьких друзей (часть 1)</t>
        </is>
      </c>
      <c r="E3786" s="2" t="n">
        <v>1986</v>
      </c>
      <c r="F3786" s="2" t="inlineStr">
        <is>
          <t>мультфильм</t>
        </is>
      </c>
      <c r="G3786" s="2" t="inlineStr">
        <is>
          <t>ГРУЗИЯ-ФИЛЬМ - АО</t>
        </is>
      </c>
      <c r="H3786" s="2" t="n">
        <v>58</v>
      </c>
      <c r="I3786" s="2" t="inlineStr"/>
      <c r="J3786" s="2" t="inlineStr"/>
      <c r="K3786" s="3" t="inlineStr">
        <is>
          <t>Приключения мальчика Нико и его друга - пса Кинкли-Минкли.</t>
        </is>
      </c>
      <c r="L3786" s="2" t="inlineStr">
        <is>
          <t>2026-10_мультфильмы_список_владельца.xlsx; https://animator.ru/db/?p=show_film&amp;fid=5444</t>
        </is>
      </c>
      <c r="M3786" s="2">
        <f>HYPERLINK("https://ru.wikipedia.org/w/index.php?search=%D0%9F%D1%80%D0%B8%D0%BA%D0%BB%D1%8E%D1%87%D0%B5%D0%BD%D0%B8%D1%8F%20%D0%BC%D0%B0%D0%BB%D0%B5%D0%BD%D1%8C%D0%BA%D0%B8%D1%85%20%D0%B4%D1%80%D1%83%D0%B7%D0%B5%D0%B9%20%28%D1%87%D0%B0%D1%81%D1%82%D1%8C%201%29%201986%20%D1%84%D0%B8%D0%BB%D1%8C%D0%BC","искать")</f>
        <v/>
      </c>
      <c r="N3786" s="3" t="n"/>
      <c r="O3786" s="2" t="n"/>
      <c r="P3786" s="2" t="n"/>
    </row>
    <row r="3787">
      <c r="A3787" s="2" t="n">
        <v>3786</v>
      </c>
      <c r="B3787" s="2" t="inlineStr">
        <is>
          <t>короткая</t>
        </is>
      </c>
      <c r="C3787" s="2" t="n">
        <v>14146</v>
      </c>
      <c r="D3787" s="3" t="inlineStr">
        <is>
          <t>Переполох</t>
        </is>
      </c>
      <c r="E3787" s="2" t="n">
        <v>1975</v>
      </c>
      <c r="F3787" s="2" t="inlineStr">
        <is>
          <t>мультфильм</t>
        </is>
      </c>
      <c r="G3787" s="2" t="inlineStr">
        <is>
          <t>ТУРКМЕНТЕЛЕФИЛЬМ</t>
        </is>
      </c>
      <c r="H3787" s="2" t="n">
        <v>58</v>
      </c>
      <c r="I3787" s="2" t="inlineStr"/>
      <c r="J3787" s="2" t="inlineStr"/>
      <c r="K3787" s="3" t="inlineStr">
        <is>
          <t>кКак звери-малыши испугались маленького краба. Для малышей</t>
        </is>
      </c>
      <c r="L3787" s="2" t="inlineStr">
        <is>
          <t>https://animator.ru/db/?p=show_film&amp;fid=5544</t>
        </is>
      </c>
      <c r="M3787" s="2">
        <f>HYPERLINK("https://ru.wikipedia.org/w/index.php?search=%D0%9F%D0%B5%D1%80%D0%B5%D0%BF%D0%BE%D0%BB%D0%BE%D1%85%201975%20%D1%84%D0%B8%D0%BB%D1%8C%D0%BC","искать")</f>
        <v/>
      </c>
      <c r="N3787" s="3" t="n"/>
      <c r="O3787" s="2" t="n"/>
      <c r="P3787" s="2" t="inlineStr">
        <is>
          <t>ГФФ: «ПЕРЕПОЛОХ» 1975 — по сверке другой фильм, не предложено</t>
        </is>
      </c>
    </row>
    <row r="3788">
      <c r="A3788" s="2" t="n">
        <v>3787</v>
      </c>
      <c r="B3788" s="2" t="inlineStr">
        <is>
          <t>короткая</t>
        </is>
      </c>
      <c r="C3788" s="2" t="n">
        <v>8203</v>
      </c>
      <c r="D3788" s="3" t="inlineStr">
        <is>
          <t>Приключения Вембу и Тембу</t>
        </is>
      </c>
      <c r="E3788" s="2" t="n">
        <v>1983</v>
      </c>
      <c r="F3788" s="2" t="inlineStr">
        <is>
          <t>телефильм</t>
        </is>
      </c>
      <c r="G3788" s="2" t="n"/>
      <c r="H3788" s="2" t="n">
        <v>59</v>
      </c>
      <c r="I3788" s="2" t="inlineStr"/>
      <c r="J3788" s="2" t="inlineStr"/>
      <c r="K3788" s="3" t="inlineStr">
        <is>
          <t>Фильм о забавных приключениях двух обезьянок Вембу и Тембу.</t>
        </is>
      </c>
      <c r="L3788" s="2" t="inlineStr">
        <is>
          <t>Кино_СССР сводный каталог.xlsx: список телефильмов</t>
        </is>
      </c>
      <c r="M3788" s="2">
        <f>HYPERLINK("https://ru.wikipedia.org/w/index.php?search=%D0%9F%D1%80%D0%B8%D0%BA%D0%BB%D1%8E%D1%87%D0%B5%D0%BD%D0%B8%D1%8F%20%D0%92%D0%B5%D0%BC%D0%B1%D1%83%20%D0%B8%20%D0%A2%D0%B5%D0%BC%D0%B1%D1%83%201983%20%D1%84%D0%B8%D0%BB%D1%8C%D0%BC","искать")</f>
        <v/>
      </c>
      <c r="N3788" s="3" t="n"/>
      <c r="O3788" s="2" t="n"/>
      <c r="P3788" s="2" t="n"/>
    </row>
    <row r="3789">
      <c r="A3789" s="2" t="n">
        <v>3788</v>
      </c>
      <c r="B3789" s="2" t="inlineStr">
        <is>
          <t>короткая</t>
        </is>
      </c>
      <c r="C3789" s="2" t="n">
        <v>10169</v>
      </c>
      <c r="D3789" s="3" t="inlineStr">
        <is>
          <t>Много лет спустя</t>
        </is>
      </c>
      <c r="E3789" s="2" t="n">
        <v>1966</v>
      </c>
      <c r="F3789" s="2" t="inlineStr">
        <is>
          <t>фильм-спектакль</t>
        </is>
      </c>
      <c r="G3789" s="2" t="inlineStr">
        <is>
          <t>Ленинградское ТВ</t>
        </is>
      </c>
      <c r="H3789" s="2" t="n">
        <v>59</v>
      </c>
      <c r="I3789" s="2" t="inlineStr"/>
      <c r="J3789" s="2" t="inlineStr"/>
      <c r="K3789" s="3" t="inlineStr">
        <is>
          <t>По рассказу Анатолия Кузнецова.
О случайной встрече друзей.</t>
        </is>
      </c>
      <c r="L3789" s="2" t="inlineStr">
        <is>
          <t>https://www.kino-teatr.ru/teatr/movie/92791/annot/</t>
        </is>
      </c>
      <c r="M3789" s="2">
        <f>HYPERLINK("https://ru.wikipedia.org/w/index.php?search=%D0%9C%D0%BD%D0%BE%D0%B3%D0%BE%20%D0%BB%D0%B5%D1%82%20%D1%81%D0%BF%D1%83%D1%81%D1%82%D1%8F%201966%20%D1%84%D0%B8%D0%BB%D1%8C%D0%BC","искать")</f>
        <v/>
      </c>
      <c r="N3789" s="3" t="n"/>
      <c r="O3789" s="2" t="n"/>
      <c r="P3789" s="2" t="n"/>
    </row>
    <row r="3790">
      <c r="A3790" s="2" t="n">
        <v>3789</v>
      </c>
      <c r="B3790" s="2" t="inlineStr">
        <is>
          <t>короткая</t>
        </is>
      </c>
      <c r="C3790" s="2" t="n">
        <v>11654</v>
      </c>
      <c r="D3790" s="3" t="inlineStr">
        <is>
          <t>Чужие следы</t>
        </is>
      </c>
      <c r="E3790" s="2" t="n">
        <v>1971</v>
      </c>
      <c r="F3790" s="2" t="inlineStr">
        <is>
          <t>мультфильм</t>
        </is>
      </c>
      <c r="G3790" s="2" t="inlineStr">
        <is>
          <t>Союзмультфильм</t>
        </is>
      </c>
      <c r="H3790" s="2" t="n">
        <v>59</v>
      </c>
      <c r="I3790" s="2" t="inlineStr"/>
      <c r="J3790" s="2" t="inlineStr"/>
      <c r="K3790" s="3" t="inlineStr">
        <is>
          <t>Ловкая Лиса, ограбив курятник, сумела все свалить на Волка.</t>
        </is>
      </c>
      <c r="L3790" s="2" t="inlineStr">
        <is>
          <t>2026-10_мультфильмы_список_владельца.xlsx; https://animator.ru/db/?p=show_film&amp;fid=2568</t>
        </is>
      </c>
      <c r="M3790" s="2">
        <f>HYPERLINK("https://ru.wikipedia.org/w/index.php?search=%D0%A7%D1%83%D0%B6%D0%B8%D0%B5%20%D1%81%D0%BB%D0%B5%D0%B4%D1%8B%201971%20%D1%84%D0%B8%D0%BB%D1%8C%D0%BC","искать")</f>
        <v/>
      </c>
      <c r="N3790" s="3" t="n"/>
      <c r="O3790" s="2" t="n"/>
      <c r="P3790" s="2" t="n"/>
    </row>
    <row r="3791">
      <c r="A3791" s="2" t="n">
        <v>3790</v>
      </c>
      <c r="B3791" s="2" t="inlineStr">
        <is>
          <t>короткая</t>
        </is>
      </c>
      <c r="C3791" s="2" t="n">
        <v>11744</v>
      </c>
      <c r="D3791" s="3" t="inlineStr">
        <is>
          <t>Манилов</t>
        </is>
      </c>
      <c r="E3791" s="2" t="n">
        <v>1974</v>
      </c>
      <c r="F3791" s="2" t="inlineStr">
        <is>
          <t>мультфильм</t>
        </is>
      </c>
      <c r="G3791" s="2" t="inlineStr">
        <is>
          <t>Союзмультфильм</t>
        </is>
      </c>
      <c r="H3791" s="2" t="n">
        <v>59</v>
      </c>
      <c r="I3791" s="2" t="inlineStr"/>
      <c r="J3791" s="2" t="inlineStr"/>
      <c r="K3791" s="3" t="inlineStr">
        <is>
          <t>Эпизод "Чичиков у Манилова" из поэмы Гоголя "Мертвые души".</t>
        </is>
      </c>
      <c r="L3791" s="2" t="inlineStr">
        <is>
          <t>2026-10_мультфильмы_список_владельца.xlsx; https://animator.ru/db/?p=show_film&amp;fid=2658</t>
        </is>
      </c>
      <c r="M3791" s="2">
        <f>HYPERLINK("https://ru.wikipedia.org/w/index.php?search=%D0%9C%D0%B0%D0%BD%D0%B8%D0%BB%D0%BE%D0%B2%201974%20%D1%84%D0%B8%D0%BB%D1%8C%D0%BC","искать")</f>
        <v/>
      </c>
      <c r="N3791" s="3" t="n"/>
      <c r="O3791" s="2" t="n"/>
      <c r="P3791" s="2" t="n"/>
    </row>
    <row r="3792">
      <c r="A3792" s="2" t="n">
        <v>3791</v>
      </c>
      <c r="B3792" s="2" t="inlineStr">
        <is>
          <t>короткая</t>
        </is>
      </c>
      <c r="C3792" s="2" t="n">
        <v>11745</v>
      </c>
      <c r="D3792" s="3" t="inlineStr">
        <is>
          <t>Ноздрев</t>
        </is>
      </c>
      <c r="E3792" s="2" t="n">
        <v>1974</v>
      </c>
      <c r="F3792" s="2" t="inlineStr">
        <is>
          <t>мультфильм</t>
        </is>
      </c>
      <c r="G3792" s="2" t="inlineStr">
        <is>
          <t>Союзмультфильм</t>
        </is>
      </c>
      <c r="H3792" s="2" t="n">
        <v>59</v>
      </c>
      <c r="I3792" s="2" t="inlineStr"/>
      <c r="J3792" s="2" t="inlineStr"/>
      <c r="K3792" s="3" t="inlineStr">
        <is>
          <t>Эпизод "Чичиков у Ноздрева" из поэмы Гоголя "Мертвые души".</t>
        </is>
      </c>
      <c r="L3792" s="2" t="inlineStr">
        <is>
          <t>2026-10_мультфильмы_список_владельца.xlsx; https://animator.ru/db/?p=show_film&amp;fid=2659</t>
        </is>
      </c>
      <c r="M3792" s="2">
        <f>HYPERLINK("https://ru.wikipedia.org/w/index.php?search=%D0%9D%D0%BE%D0%B7%D0%B4%D1%80%D0%B5%D0%B2%201974%20%D1%84%D0%B8%D0%BB%D1%8C%D0%BC","искать")</f>
        <v/>
      </c>
      <c r="N3792" s="3" t="n"/>
      <c r="O3792" s="2" t="n"/>
      <c r="P3792" s="2" t="n"/>
    </row>
    <row r="3793">
      <c r="A3793" s="2" t="n">
        <v>3792</v>
      </c>
      <c r="B3793" s="2" t="inlineStr">
        <is>
          <t>короткая</t>
        </is>
      </c>
      <c r="C3793" s="2" t="n">
        <v>12686</v>
      </c>
      <c r="D3793" s="3" t="inlineStr">
        <is>
          <t>Клетка</t>
        </is>
      </c>
      <c r="E3793" s="2" t="n">
        <v>1990</v>
      </c>
      <c r="F3793" s="2" t="inlineStr">
        <is>
          <t>мультфильм</t>
        </is>
      </c>
      <c r="G3793" s="2" t="inlineStr">
        <is>
          <t>БЕЛАРУСЬФИЛЬМ НАЦИОНАЛЬНАЯ КИНОСТУДИЯ - ГП</t>
        </is>
      </c>
      <c r="H3793" s="2" t="n">
        <v>59</v>
      </c>
      <c r="I3793" s="2" t="inlineStr"/>
      <c r="J3793" s="2" t="inlineStr"/>
      <c r="K3793" s="3" t="inlineStr">
        <is>
          <t>О приключениях гепарда Несси,выпущенной ненадолго из клетки</t>
        </is>
      </c>
      <c r="L3793" s="2" t="inlineStr">
        <is>
          <t>https://gosfilmofond.ru/films/241495/</t>
        </is>
      </c>
      <c r="M3793" s="2">
        <f>HYPERLINK("https://ru.wikipedia.org/w/index.php?search=%D0%9A%D0%BB%D0%B5%D1%82%D0%BA%D0%B0%201990%20%D1%84%D0%B8%D0%BB%D1%8C%D0%BC","искать")</f>
        <v/>
      </c>
      <c r="N3793" s="3" t="n"/>
      <c r="O3793" s="2" t="n"/>
      <c r="P3793" s="2" t="n"/>
    </row>
    <row r="3794">
      <c r="A3794" s="2" t="n">
        <v>3793</v>
      </c>
      <c r="B3794" s="2" t="inlineStr">
        <is>
          <t>короткая</t>
        </is>
      </c>
      <c r="C3794" s="2" t="n">
        <v>12795</v>
      </c>
      <c r="D3794" s="3" t="inlineStr">
        <is>
          <t>Волки и овцы</t>
        </is>
      </c>
      <c r="E3794" s="2" t="n">
        <v>1976</v>
      </c>
      <c r="F3794" s="2" t="inlineStr">
        <is>
          <t>мультфильм</t>
        </is>
      </c>
      <c r="G3794" s="2" t="inlineStr">
        <is>
          <t>ГРУЗИЯ-ФИЛЬМ - АО</t>
        </is>
      </c>
      <c r="H3794" s="2" t="n">
        <v>59</v>
      </c>
      <c r="I3794" s="2" t="inlineStr"/>
      <c r="J3794" s="2" t="inlineStr"/>
      <c r="K3794" s="3" t="inlineStr">
        <is>
          <t>Притча о стаде баранов, которые добровольно идут на гибель.</t>
        </is>
      </c>
      <c r="L3794" s="2" t="inlineStr">
        <is>
          <t>2026-10_мультфильмы_список_владельца.xlsx; https://animator.ru/db/?p=show_film&amp;fid=4004</t>
        </is>
      </c>
      <c r="M3794" s="2">
        <f>HYPERLINK("https://ru.wikipedia.org/w/index.php?search=%D0%92%D0%BE%D0%BB%D0%BA%D0%B8%20%D0%B8%20%D0%BE%D0%B2%D1%86%D1%8B%201976%20%D1%84%D0%B8%D0%BB%D1%8C%D0%BC","искать")</f>
        <v/>
      </c>
      <c r="N3794" s="3" t="n"/>
      <c r="O3794" s="2" t="n"/>
      <c r="P3794" s="2" t="n"/>
    </row>
    <row r="3795">
      <c r="A3795" s="2" t="n">
        <v>3794</v>
      </c>
      <c r="B3795" s="2" t="inlineStr">
        <is>
          <t>короткая</t>
        </is>
      </c>
      <c r="C3795" s="2" t="n">
        <v>12995</v>
      </c>
      <c r="D3795" s="3" t="inlineStr">
        <is>
          <t>Три желания</t>
        </is>
      </c>
      <c r="E3795" s="2" t="n">
        <v>1971</v>
      </c>
      <c r="F3795" s="2" t="inlineStr">
        <is>
          <t>мультфильм</t>
        </is>
      </c>
      <c r="G3795" s="2" t="inlineStr">
        <is>
          <t>КАЗАХФИЛЬМ</t>
        </is>
      </c>
      <c r="H3795" s="2" t="n">
        <v>59</v>
      </c>
      <c r="I3795" s="2" t="inlineStr"/>
      <c r="J3795" s="2" t="inlineStr"/>
      <c r="K3795" s="3" t="inlineStr">
        <is>
          <t>Об умном и добром паучке Ананси - герое африканских сказок.</t>
        </is>
      </c>
      <c r="L3795" s="2" t="inlineStr">
        <is>
          <t>2026-10_мультфильмы_список_владельца.xlsx; https://animator.ru/db/?p=show_film&amp;fid=4227</t>
        </is>
      </c>
      <c r="M3795" s="2">
        <f>HYPERLINK("https://ru.wikipedia.org/w/index.php?search=%D0%A2%D1%80%D0%B8%20%D0%B6%D0%B5%D0%BB%D0%B0%D0%BD%D0%B8%D1%8F%201971%20%D1%84%D0%B8%D0%BB%D1%8C%D0%BC","искать")</f>
        <v/>
      </c>
      <c r="N3795" s="3" t="n"/>
      <c r="O3795" s="2" t="n"/>
      <c r="P3795" s="2" t="n"/>
    </row>
    <row r="3796">
      <c r="A3796" s="2" t="n">
        <v>3795</v>
      </c>
      <c r="B3796" s="2" t="inlineStr">
        <is>
          <t>короткая</t>
        </is>
      </c>
      <c r="C3796" s="2" t="n">
        <v>13145</v>
      </c>
      <c r="D3796" s="3" t="inlineStr">
        <is>
          <t>Осторожно, Караси!</t>
        </is>
      </c>
      <c r="E3796" s="2" t="n">
        <v>1987</v>
      </c>
      <c r="F3796" s="2" t="inlineStr">
        <is>
          <t>мультфильм</t>
        </is>
      </c>
      <c r="G3796" s="2" t="inlineStr">
        <is>
          <t>БЕЛАРУСЬФИЛЬМ НАЦИОНАЛЬНАЯ КИНОСТУДИЯ - ГП</t>
        </is>
      </c>
      <c r="H3796" s="2" t="n">
        <v>59</v>
      </c>
      <c r="I3796" s="2" t="inlineStr"/>
      <c r="J3796" s="2" t="inlineStr"/>
      <c r="K3796" s="3" t="inlineStr">
        <is>
          <t>Мелиоратор не решился переделывать красивый уголок природы.</t>
        </is>
      </c>
      <c r="L3796" s="2" t="inlineStr">
        <is>
          <t>2026-10_мультфильмы_список_владельца.xlsx; https://animator.ru/db/?p=show_film&amp;fid=4377</t>
        </is>
      </c>
      <c r="M3796" s="2">
        <f>HYPERLINK("https://ru.wikipedia.org/w/index.php?search=%D0%9E%D1%81%D1%82%D0%BE%D1%80%D0%BE%D0%B6%D0%BD%D0%BE%2C%20%D0%9A%D0%B0%D1%80%D0%B0%D1%81%D0%B8%21%201987%20%D1%84%D0%B8%D0%BB%D1%8C%D0%BC","искать")</f>
        <v/>
      </c>
      <c r="N3796" s="3" t="n"/>
      <c r="O3796" s="2" t="n"/>
      <c r="P3796" s="2" t="n"/>
    </row>
    <row r="3797">
      <c r="A3797" s="2" t="n">
        <v>3796</v>
      </c>
      <c r="B3797" s="2" t="inlineStr">
        <is>
          <t>короткая</t>
        </is>
      </c>
      <c r="C3797" s="2" t="n">
        <v>13284</v>
      </c>
      <c r="D3797" s="3" t="inlineStr">
        <is>
          <t>Горох</t>
        </is>
      </c>
      <c r="E3797" s="2" t="n">
        <v>1988</v>
      </c>
      <c r="F3797" s="2" t="inlineStr">
        <is>
          <t>мультфильм</t>
        </is>
      </c>
      <c r="G3797" s="2" t="inlineStr">
        <is>
          <t>ТАЛЛИННФИЛЬМ</t>
        </is>
      </c>
      <c r="H3797" s="2" t="n">
        <v>59</v>
      </c>
      <c r="I3797" s="2" t="inlineStr"/>
      <c r="J3797" s="2" t="inlineStr"/>
      <c r="K3797" s="3" t="inlineStr">
        <is>
          <t>По мотивам сказки Лейды Тигане "Ворона варит гороховый суп"</t>
        </is>
      </c>
      <c r="L3797" s="2" t="inlineStr">
        <is>
          <t>https://animator.ru/db/?p=show_film&amp;fid=4541</t>
        </is>
      </c>
      <c r="M3797" s="2">
        <f>HYPERLINK("https://ru.wikipedia.org/w/index.php?search=%D0%93%D0%BE%D1%80%D0%BE%D1%85%201988%20%D1%84%D0%B8%D0%BB%D1%8C%D0%BC","искать")</f>
        <v/>
      </c>
      <c r="N3797" s="3" t="n"/>
      <c r="O3797" s="2" t="n"/>
      <c r="P3797" s="2" t="n"/>
    </row>
    <row r="3798">
      <c r="A3798" s="2" t="n">
        <v>3797</v>
      </c>
      <c r="B3798" s="2" t="inlineStr">
        <is>
          <t>короткая</t>
        </is>
      </c>
      <c r="C3798" s="2" t="n">
        <v>13401</v>
      </c>
      <c r="D3798" s="3" t="inlineStr">
        <is>
          <t>Нокаут</t>
        </is>
      </c>
      <c r="E3798" s="2" t="n">
        <v>1980</v>
      </c>
      <c r="F3798" s="2" t="inlineStr">
        <is>
          <t>мультфильм</t>
        </is>
      </c>
      <c r="G3798" s="2" t="inlineStr">
        <is>
          <t>ЭКРАН</t>
        </is>
      </c>
      <c r="H3798" s="2" t="n">
        <v>59</v>
      </c>
      <c r="I3798" s="2" t="inlineStr"/>
      <c r="J3798" s="2" t="inlineStr"/>
      <c r="K3798" s="3" t="inlineStr">
        <is>
          <t>Как олимпийский Мишка проучил хулигана и курильщика Барбоса</t>
        </is>
      </c>
      <c r="L3798" s="2" t="inlineStr">
        <is>
          <t>https://animator.ru/db/?p=show_film&amp;fid=4681</t>
        </is>
      </c>
      <c r="M3798" s="2">
        <f>HYPERLINK("https://ru.wikipedia.org/w/index.php?search=%D0%9D%D0%BE%D0%BA%D0%B0%D1%83%D1%82%201980%20%D1%84%D0%B8%D0%BB%D1%8C%D0%BC","искать")</f>
        <v/>
      </c>
      <c r="N3798" s="3" t="n"/>
      <c r="O3798" s="2" t="n"/>
      <c r="P3798" s="2" t="n"/>
    </row>
    <row r="3799">
      <c r="A3799" s="2" t="n">
        <v>3798</v>
      </c>
      <c r="B3799" s="2" t="inlineStr">
        <is>
          <t>короткая</t>
        </is>
      </c>
      <c r="C3799" s="2" t="n">
        <v>13476</v>
      </c>
      <c r="D3799" s="3" t="inlineStr">
        <is>
          <t>Крылатый ослик</t>
        </is>
      </c>
      <c r="E3799" s="2" t="n">
        <v>1984</v>
      </c>
      <c r="F3799" s="2" t="inlineStr">
        <is>
          <t>мультфильм</t>
        </is>
      </c>
      <c r="G3799" s="2" t="inlineStr">
        <is>
          <t>ТУРКМЕНТЕЛЕФИЛЬМ</t>
        </is>
      </c>
      <c r="H3799" s="2" t="n">
        <v>59</v>
      </c>
      <c r="I3799" s="2" t="inlineStr"/>
      <c r="J3799" s="2" t="inlineStr"/>
      <c r="K3799" s="3" t="inlineStr">
        <is>
          <t>Как малыш муравей превратился в доброго ослика. Для малышей</t>
        </is>
      </c>
      <c r="L3799" s="2" t="inlineStr">
        <is>
          <t>https://animator.ru/db/?p=show_film&amp;fid=4764</t>
        </is>
      </c>
      <c r="M3799" s="2">
        <f>HYPERLINK("https://ru.wikipedia.org/w/index.php?search=%D0%9A%D1%80%D1%8B%D0%BB%D0%B0%D1%82%D1%8B%D0%B9%20%D0%BE%D1%81%D0%BB%D0%B8%D0%BA%201984%20%D1%84%D0%B8%D0%BB%D1%8C%D0%BC","искать")</f>
        <v/>
      </c>
      <c r="N3799" s="3" t="n"/>
      <c r="O3799" s="2" t="n"/>
      <c r="P3799" s="2" t="n"/>
    </row>
    <row r="3800">
      <c r="A3800" s="2" t="n">
        <v>3799</v>
      </c>
      <c r="B3800" s="2" t="inlineStr">
        <is>
          <t>короткая</t>
        </is>
      </c>
      <c r="C3800" s="2" t="n">
        <v>13628</v>
      </c>
      <c r="D3800" s="3" t="inlineStr">
        <is>
          <t>Берегите электроэнергию</t>
        </is>
      </c>
      <c r="E3800" s="2" t="n">
        <v>1986</v>
      </c>
      <c r="F3800" s="2" t="inlineStr">
        <is>
          <t>мультфильм</t>
        </is>
      </c>
      <c r="G3800" s="2" t="inlineStr">
        <is>
          <t>ЭКРАН</t>
        </is>
      </c>
      <c r="H3800" s="2" t="n">
        <v>59</v>
      </c>
      <c r="I3800" s="2" t="inlineStr"/>
      <c r="J3800" s="2" t="inlineStr"/>
      <c r="K3800" s="3" t="inlineStr">
        <is>
          <t>Лампионик убеждает зрителей не разбазаривать электроэнергию</t>
        </is>
      </c>
      <c r="L3800" s="2" t="inlineStr">
        <is>
          <t>https://animator.ru/db/?p=show_film&amp;fid=5020</t>
        </is>
      </c>
      <c r="M3800" s="2">
        <f>HYPERLINK("https://ru.wikipedia.org/w/index.php?search=%D0%91%D0%B5%D1%80%D0%B5%D0%B3%D0%B8%D1%82%D0%B5%20%D1%8D%D0%BB%D0%B5%D0%BA%D1%82%D1%80%D0%BE%D1%8D%D0%BD%D0%B5%D1%80%D0%B3%D0%B8%D1%8E%201986%20%D1%84%D0%B8%D0%BB%D1%8C%D0%BC","искать")</f>
        <v/>
      </c>
      <c r="N3800" s="3" t="n"/>
      <c r="O3800" s="2" t="n"/>
      <c r="P3800" s="2" t="n"/>
    </row>
    <row r="3801">
      <c r="A3801" s="2" t="n">
        <v>3800</v>
      </c>
      <c r="B3801" s="2" t="inlineStr">
        <is>
          <t>короткая</t>
        </is>
      </c>
      <c r="C3801" s="2" t="n">
        <v>13799</v>
      </c>
      <c r="D3801" s="3" t="inlineStr">
        <is>
          <t>Ну, погоди! N 1</t>
        </is>
      </c>
      <c r="E3801" s="2" t="n">
        <v>1980</v>
      </c>
      <c r="F3801" s="2" t="inlineStr">
        <is>
          <t>мультфильм</t>
        </is>
      </c>
      <c r="G3801" s="2" t="inlineStr">
        <is>
          <t>ЭКРАН</t>
        </is>
      </c>
      <c r="H3801" s="2" t="n">
        <v>59</v>
      </c>
      <c r="I3801" s="2" t="inlineStr"/>
      <c r="J3801" s="2" t="inlineStr"/>
      <c r="K3801" s="3" t="inlineStr">
        <is>
          <t>Телевариант знаменитой серии. Как Волк решил стать "моржом"</t>
        </is>
      </c>
      <c r="L3801" s="2" t="inlineStr">
        <is>
          <t>https://animator.ru/db/?p=show_film&amp;fid=5192</t>
        </is>
      </c>
      <c r="M3801" s="2">
        <f>HYPERLINK("https://ru.wikipedia.org/w/index.php?search=%D0%9D%D1%83%2C%20%D0%BF%D0%BE%D0%B3%D0%BE%D0%B4%D0%B8%21%20N%201%201980%20%D1%84%D0%B8%D0%BB%D1%8C%D0%BC","искать")</f>
        <v/>
      </c>
      <c r="N3801" s="3" t="n"/>
      <c r="O3801" s="2" t="n"/>
      <c r="P3801" s="2" t="n"/>
    </row>
    <row r="3802">
      <c r="A3802" s="2" t="n">
        <v>3801</v>
      </c>
      <c r="B3802" s="2" t="inlineStr">
        <is>
          <t>короткая</t>
        </is>
      </c>
      <c r="C3802" s="2" t="n">
        <v>13824</v>
      </c>
      <c r="D3802" s="3" t="inlineStr">
        <is>
          <t>Песня о летучих мышах</t>
        </is>
      </c>
      <c r="E3802" s="2" t="n">
        <v>1986</v>
      </c>
      <c r="F3802" s="2" t="inlineStr">
        <is>
          <t>мультфильм</t>
        </is>
      </c>
      <c r="G3802" s="2" t="inlineStr">
        <is>
          <t>ЭКРАН</t>
        </is>
      </c>
      <c r="H3802" s="2" t="n">
        <v>59</v>
      </c>
      <c r="I3802" s="2" t="inlineStr"/>
      <c r="J3802" s="2" t="inlineStr"/>
      <c r="K3802" s="3" t="inlineStr">
        <is>
          <t>Как Семен избавиился от мышей, подарив им крылья. Для детей</t>
        </is>
      </c>
      <c r="L3802" s="2" t="inlineStr">
        <is>
          <t>https://animator.ru/db/?p=show_film&amp;fid=5217</t>
        </is>
      </c>
      <c r="M3802" s="2">
        <f>HYPERLINK("https://ru.wikipedia.org/w/index.php?search=%D0%9F%D0%B5%D1%81%D0%BD%D1%8F%20%D0%BE%20%D0%BB%D0%B5%D1%82%D1%83%D1%87%D0%B8%D1%85%20%D0%BC%D1%8B%D1%88%D0%B0%D1%85%201986%20%D1%84%D0%B8%D0%BB%D1%8C%D0%BC","искать")</f>
        <v/>
      </c>
      <c r="N3802" s="3" t="n"/>
      <c r="O3802" s="2" t="n"/>
      <c r="P3802" s="2" t="n"/>
    </row>
    <row r="3803">
      <c r="A3803" s="2" t="n">
        <v>3802</v>
      </c>
      <c r="B3803" s="2" t="inlineStr">
        <is>
          <t>короткая</t>
        </is>
      </c>
      <c r="C3803" s="2" t="n">
        <v>13866</v>
      </c>
      <c r="D3803" s="3" t="inlineStr">
        <is>
          <t>Пугало</t>
        </is>
      </c>
      <c r="E3803" s="2" t="n">
        <v>1990</v>
      </c>
      <c r="F3803" s="2" t="inlineStr">
        <is>
          <t>мультфильм</t>
        </is>
      </c>
      <c r="G3803" s="2" t="inlineStr">
        <is>
          <t>СОЮЗТЕЛЕФИЛЬМ</t>
        </is>
      </c>
      <c r="H3803" s="2" t="n">
        <v>59</v>
      </c>
      <c r="I3803" s="2" t="inlineStr"/>
      <c r="J3803" s="2" t="inlineStr"/>
      <c r="K3803" s="3" t="inlineStr">
        <is>
          <t>О несчастной любви Пугала к корыстной Зайчихе. Для взрослых</t>
        </is>
      </c>
      <c r="L3803" s="2" t="inlineStr">
        <is>
          <t>https://animator.ru/db/?p=show_film&amp;fid=5259</t>
        </is>
      </c>
      <c r="M3803" s="2">
        <f>HYPERLINK("https://ru.wikipedia.org/w/index.php?search=%D0%9F%D1%83%D0%B3%D0%B0%D0%BB%D0%BE%201990%20%D1%84%D0%B8%D0%BB%D1%8C%D0%BC","искать")</f>
        <v/>
      </c>
      <c r="N3803" s="3" t="n"/>
      <c r="O3803" s="2" t="n"/>
      <c r="P3803" s="2" t="n"/>
    </row>
    <row r="3804">
      <c r="A3804" s="2" t="n">
        <v>3803</v>
      </c>
      <c r="B3804" s="2" t="inlineStr">
        <is>
          <t>короткая</t>
        </is>
      </c>
      <c r="C3804" s="2" t="n">
        <v>14097</v>
      </c>
      <c r="D3804" s="3" t="inlineStr">
        <is>
          <t>Волшебный мешочек</t>
        </is>
      </c>
      <c r="E3804" s="2" t="n">
        <v>1975</v>
      </c>
      <c r="F3804" s="2" t="inlineStr">
        <is>
          <t>мультфильм</t>
        </is>
      </c>
      <c r="G3804" s="2" t="inlineStr">
        <is>
          <t>КУЙБЫШЕВТЕЛЕФИЛЬМ</t>
        </is>
      </c>
      <c r="H3804" s="2" t="n">
        <v>59</v>
      </c>
      <c r="I3804" s="2" t="inlineStr"/>
      <c r="J3804" s="2" t="inlineStr"/>
      <c r="K3804" s="3" t="inlineStr">
        <is>
          <t>О медвежонке Ивашке, который делал добрые дела. Для малышей</t>
        </is>
      </c>
      <c r="L3804" s="2" t="inlineStr">
        <is>
          <t>https://animator.ru/db/?p=show_film&amp;fid=5495</t>
        </is>
      </c>
      <c r="M3804" s="2">
        <f>HYPERLINK("https://ru.wikipedia.org/w/index.php?search=%D0%92%D0%BE%D0%BB%D1%88%D0%B5%D0%B1%D0%BD%D1%8B%D0%B9%20%D0%BC%D0%B5%D1%88%D0%BE%D1%87%D0%B5%D0%BA%201975%20%D1%84%D0%B8%D0%BB%D1%8C%D0%BC","искать")</f>
        <v/>
      </c>
      <c r="N3804" s="3" t="n"/>
      <c r="O3804" s="2" t="n"/>
      <c r="P3804" s="2" t="n"/>
    </row>
    <row r="3805">
      <c r="A3805" s="2" t="n">
        <v>3804</v>
      </c>
      <c r="B3805" s="2" t="inlineStr">
        <is>
          <t>короткая</t>
        </is>
      </c>
      <c r="C3805" s="2" t="n">
        <v>14155</v>
      </c>
      <c r="D3805" s="3" t="inlineStr">
        <is>
          <t>Понарошку</t>
        </is>
      </c>
      <c r="E3805" s="2" t="n">
        <v>1984</v>
      </c>
      <c r="F3805" s="2" t="inlineStr">
        <is>
          <t>мультфильм</t>
        </is>
      </c>
      <c r="G3805" s="2" t="inlineStr">
        <is>
          <t>КУЙБЫШЕВТЕЛЕФИЛЬМ</t>
        </is>
      </c>
      <c r="H3805" s="2" t="n">
        <v>59</v>
      </c>
      <c r="I3805" s="2" t="inlineStr"/>
      <c r="J3805" s="2" t="inlineStr"/>
      <c r="K3805" s="3" t="inlineStr">
        <is>
          <t>Как друзья помогли щенку по прозвущу Понарошку. Для малышей</t>
        </is>
      </c>
      <c r="L3805" s="2" t="inlineStr">
        <is>
          <t>https://animator.ru/db/?p=show_film&amp;fid=5553</t>
        </is>
      </c>
      <c r="M3805" s="2">
        <f>HYPERLINK("https://ru.wikipedia.org/w/index.php?search=%D0%9F%D0%BE%D0%BD%D0%B0%D1%80%D0%BE%D1%88%D0%BA%D1%83%201984%20%D1%84%D0%B8%D0%BB%D1%8C%D0%BC","искать")</f>
        <v/>
      </c>
      <c r="N3805" s="3" t="n"/>
      <c r="O3805" s="2" t="n"/>
      <c r="P3805" s="2" t="n"/>
    </row>
    <row r="3806">
      <c r="A3806" s="2" t="n">
        <v>3805</v>
      </c>
      <c r="B3806" s="2" t="inlineStr">
        <is>
          <t>короткая</t>
        </is>
      </c>
      <c r="C3806" s="2" t="n">
        <v>11780</v>
      </c>
      <c r="D3806" s="3" t="inlineStr">
        <is>
          <t>Необычный друг</t>
        </is>
      </c>
      <c r="E3806" s="2" t="n">
        <v>1975</v>
      </c>
      <c r="F3806" s="2" t="inlineStr">
        <is>
          <t>мультфильм</t>
        </is>
      </c>
      <c r="G3806" s="2" t="inlineStr">
        <is>
          <t>Союзмультфильм</t>
        </is>
      </c>
      <c r="H3806" s="2" t="n">
        <v>60</v>
      </c>
      <c r="I3806" s="2" t="inlineStr"/>
      <c r="J3806" s="2" t="inlineStr"/>
      <c r="K3806" s="3" t="inlineStr">
        <is>
          <t>О том, как мальчик мечтал подружиться с носорогом. Для детей</t>
        </is>
      </c>
      <c r="L3806" s="2" t="inlineStr">
        <is>
          <t>https://animator.ru/db/?p=show_film&amp;fid=2694</t>
        </is>
      </c>
      <c r="M3806" s="2">
        <f>HYPERLINK("https://ru.wikipedia.org/w/index.php?search=%D0%9D%D0%B5%D0%BE%D0%B1%D1%8B%D1%87%D0%BD%D1%8B%D0%B9%20%D0%B4%D1%80%D1%83%D0%B3%201975%20%D1%84%D0%B8%D0%BB%D1%8C%D0%BC","искать")</f>
        <v/>
      </c>
      <c r="N3806" s="3" t="n"/>
      <c r="O3806" s="2" t="n"/>
      <c r="P3806" s="2" t="n"/>
    </row>
    <row r="3807">
      <c r="A3807" s="2" t="n">
        <v>3806</v>
      </c>
      <c r="B3807" s="2" t="inlineStr">
        <is>
          <t>короткая</t>
        </is>
      </c>
      <c r="C3807" s="2" t="n">
        <v>12360</v>
      </c>
      <c r="D3807" s="3" t="inlineStr">
        <is>
          <t>Дождик, дождик, пуще!</t>
        </is>
      </c>
      <c r="E3807" s="2" t="n">
        <v>1982</v>
      </c>
      <c r="F3807" s="2" t="inlineStr">
        <is>
          <t>мультфильм</t>
        </is>
      </c>
      <c r="G3807" s="2" t="inlineStr">
        <is>
          <t>КИЕВНАУЧФИЛЬМ</t>
        </is>
      </c>
      <c r="H3807" s="2" t="n">
        <v>60</v>
      </c>
      <c r="I3807" s="2" t="inlineStr"/>
      <c r="J3807" s="2" t="inlineStr"/>
      <c r="K3807" s="3" t="inlineStr">
        <is>
          <t>О Гномике и старом Гноме, которые управляли дождем для людей</t>
        </is>
      </c>
      <c r="L3807" s="2" t="inlineStr">
        <is>
          <t>https://animator.ru/db/?p=show_film&amp;fid=3527</t>
        </is>
      </c>
      <c r="M3807" s="2">
        <f>HYPERLINK("https://ru.wikipedia.org/w/index.php?search=%D0%94%D0%BE%D0%B6%D0%B4%D0%B8%D0%BA%2C%20%D0%B4%D0%BE%D0%B6%D0%B4%D0%B8%D0%BA%2C%20%D0%BF%D1%83%D1%89%D0%B5%21%201982%20%D1%84%D0%B8%D0%BB%D1%8C%D0%BC","искать")</f>
        <v/>
      </c>
      <c r="N3807" s="3" t="n"/>
      <c r="O3807" s="2" t="n"/>
      <c r="P3807" s="2" t="n"/>
    </row>
    <row r="3808">
      <c r="A3808" s="2" t="n">
        <v>3807</v>
      </c>
      <c r="B3808" s="2" t="inlineStr">
        <is>
          <t>короткая</t>
        </is>
      </c>
      <c r="C3808" s="2" t="n">
        <v>13322</v>
      </c>
      <c r="D3808" s="3" t="inlineStr">
        <is>
          <t>Слава вам, небесные братья!</t>
        </is>
      </c>
      <c r="E3808" s="2" t="n">
        <v>1961</v>
      </c>
      <c r="F3808" s="2" t="inlineStr">
        <is>
          <t>мультфильм</t>
        </is>
      </c>
      <c r="G3808" s="2" t="inlineStr">
        <is>
          <t>Союзмультфильм</t>
        </is>
      </c>
      <c r="H3808" s="2" t="n">
        <v>60</v>
      </c>
      <c r="I3808" s="2" t="inlineStr"/>
      <c r="J3808" s="2" t="inlineStr"/>
      <c r="K3808" s="3" t="inlineStr">
        <is>
          <t>Фильм-плакат, посвященный полетам в космос Гагарина и Титова</t>
        </is>
      </c>
      <c r="L3808" s="2" t="inlineStr">
        <is>
          <t>https://animator.ru/db/?p=show_film&amp;fid=4591</t>
        </is>
      </c>
      <c r="M3808" s="2">
        <f>HYPERLINK("https://ru.wikipedia.org/w/index.php?search=%D0%A1%D0%BB%D0%B0%D0%B2%D0%B0%20%D0%B2%D0%B0%D0%BC%2C%20%D0%BD%D0%B5%D0%B1%D0%B5%D1%81%D0%BD%D1%8B%D0%B5%20%D0%B1%D1%80%D0%B0%D1%82%D1%8C%D1%8F%21%201961%20%D1%84%D0%B8%D0%BB%D1%8C%D0%BC","искать")</f>
        <v/>
      </c>
      <c r="N3808" s="3" t="n"/>
      <c r="O3808" s="2" t="n"/>
      <c r="P3808" s="2" t="n"/>
    </row>
    <row r="3809">
      <c r="A3809" s="2" t="n">
        <v>3808</v>
      </c>
      <c r="B3809" s="2" t="inlineStr">
        <is>
          <t>короткая</t>
        </is>
      </c>
      <c r="C3809" s="2" t="n">
        <v>13616</v>
      </c>
      <c r="D3809" s="3" t="inlineStr">
        <is>
          <t>Автомобиль с хвостиком</t>
        </is>
      </c>
      <c r="E3809" s="2" t="n">
        <v>1973</v>
      </c>
      <c r="F3809" s="2" t="inlineStr">
        <is>
          <t>мультфильм</t>
        </is>
      </c>
      <c r="G3809" s="2" t="inlineStr">
        <is>
          <t>ЭКРАН</t>
        </is>
      </c>
      <c r="H3809" s="2" t="n">
        <v>60</v>
      </c>
      <c r="I3809" s="2" t="inlineStr"/>
      <c r="J3809" s="2" t="inlineStr"/>
      <c r="K3809" s="3" t="inlineStr">
        <is>
          <t>Муравьишка и черепаха развозят посылки и письма. Для малышей</t>
        </is>
      </c>
      <c r="L3809" s="2" t="inlineStr">
        <is>
          <t>https://animator.ru/db/?p=show_film&amp;fid=5008</t>
        </is>
      </c>
      <c r="M3809" s="2">
        <f>HYPERLINK("https://ru.wikipedia.org/w/index.php?search=%D0%90%D0%B2%D1%82%D0%BE%D0%BC%D0%BE%D0%B1%D0%B8%D0%BB%D1%8C%20%D1%81%20%D1%85%D0%B2%D0%BE%D1%81%D1%82%D0%B8%D0%BA%D0%BE%D0%BC%201973%20%D1%84%D0%B8%D0%BB%D1%8C%D0%BC","искать")</f>
        <v/>
      </c>
      <c r="N3809" s="3" t="n"/>
      <c r="O3809" s="2" t="n"/>
      <c r="P3809" s="2" t="n"/>
    </row>
    <row r="3810">
      <c r="A3810" s="2" t="n">
        <v>3809</v>
      </c>
      <c r="B3810" s="2" t="inlineStr">
        <is>
          <t>короткая</t>
        </is>
      </c>
      <c r="C3810" s="2" t="n">
        <v>13757</v>
      </c>
      <c r="D3810" s="3" t="inlineStr">
        <is>
          <t>Мальчик шел, сова летела...</t>
        </is>
      </c>
      <c r="E3810" s="2" t="n">
        <v>1981</v>
      </c>
      <c r="F3810" s="2" t="inlineStr">
        <is>
          <t>мультфильм</t>
        </is>
      </c>
      <c r="G3810" s="2" t="inlineStr">
        <is>
          <t>ЭКРАН</t>
        </is>
      </c>
      <c r="H3810" s="2" t="n">
        <v>60</v>
      </c>
      <c r="I3810" s="2" t="inlineStr"/>
      <c r="J3810" s="2" t="inlineStr"/>
      <c r="K3810" s="3" t="inlineStr">
        <is>
          <t>Как мальчик Вася и сова Дуся пошли искать пропавшее солнышко</t>
        </is>
      </c>
      <c r="L3810" s="2" t="inlineStr">
        <is>
          <t>https://animator.ru/db/?p=show_film&amp;fid=5150</t>
        </is>
      </c>
      <c r="M3810" s="2">
        <f>HYPERLINK("https://ru.wikipedia.org/w/index.php?search=%D0%9C%D0%B0%D0%BB%D1%8C%D1%87%D0%B8%D0%BA%20%D1%88%D0%B5%D0%BB%2C%20%D1%81%D0%BE%D0%B2%D0%B0%20%D0%BB%D0%B5%D1%82%D0%B5%D0%BB%D0%B0...%201981%20%D1%84%D0%B8%D0%BB%D1%8C%D0%BC","искать")</f>
        <v/>
      </c>
      <c r="N3810" s="3" t="n"/>
      <c r="O3810" s="2" t="n"/>
      <c r="P3810" s="2" t="n"/>
    </row>
    <row r="3811">
      <c r="A3811" s="2" t="n">
        <v>3810</v>
      </c>
      <c r="B3811" s="2" t="inlineStr">
        <is>
          <t>короткая</t>
        </is>
      </c>
      <c r="C3811" s="2" t="n">
        <v>13794</v>
      </c>
      <c r="D3811" s="3" t="inlineStr">
        <is>
          <t>Не надо торопиться</t>
        </is>
      </c>
      <c r="E3811" s="2" t="n">
        <v>1985</v>
      </c>
      <c r="F3811" s="2" t="inlineStr">
        <is>
          <t>мультфильм</t>
        </is>
      </c>
      <c r="G3811" s="2" t="inlineStr">
        <is>
          <t>ЭКРАН</t>
        </is>
      </c>
      <c r="H3811" s="2" t="n">
        <v>60</v>
      </c>
      <c r="I3811" s="2" t="inlineStr"/>
      <c r="J3811" s="2" t="inlineStr"/>
      <c r="K3811" s="3" t="inlineStr">
        <is>
          <t>Песню И.Романова на стихи Л.Дербенква поют Черепаха и Улитка</t>
        </is>
      </c>
      <c r="L3811" s="2" t="inlineStr">
        <is>
          <t>https://animator.ru/db/?p=show_film&amp;fid=5187</t>
        </is>
      </c>
      <c r="M3811" s="2">
        <f>HYPERLINK("https://ru.wikipedia.org/w/index.php?search=%D0%9D%D0%B5%20%D0%BD%D0%B0%D0%B4%D0%BE%20%D1%82%D0%BE%D1%80%D0%BE%D0%BF%D0%B8%D1%82%D1%8C%D1%81%D1%8F%201985%20%D1%84%D0%B8%D0%BB%D1%8C%D0%BC","искать")</f>
        <v/>
      </c>
      <c r="N3811" s="3" t="n"/>
      <c r="O3811" s="2" t="n"/>
      <c r="P3811" s="2" t="n"/>
    </row>
    <row r="3812">
      <c r="A3812" s="2" t="n">
        <v>3811</v>
      </c>
      <c r="B3812" s="2" t="inlineStr">
        <is>
          <t>короткая</t>
        </is>
      </c>
      <c r="C3812" s="2" t="n">
        <v>13821</v>
      </c>
      <c r="D3812" s="3" t="inlineStr">
        <is>
          <t>Пейзаж</t>
        </is>
      </c>
      <c r="E3812" s="2" t="n">
        <v>1982</v>
      </c>
      <c r="F3812" s="2" t="inlineStr">
        <is>
          <t>мультфильм</t>
        </is>
      </c>
      <c r="G3812" s="2" t="inlineStr">
        <is>
          <t>ЭКРАН</t>
        </is>
      </c>
      <c r="H3812" s="2" t="n">
        <v>60</v>
      </c>
      <c r="I3812" s="2" t="inlineStr"/>
      <c r="J3812" s="2" t="inlineStr"/>
      <c r="K3812" s="3" t="inlineStr">
        <is>
          <t>О глупом медведе, которому не понравился нарисованный пейзаж</t>
        </is>
      </c>
      <c r="L3812" s="2" t="inlineStr">
        <is>
          <t>https://animator.ru/db/?p=show_film&amp;fid=5214</t>
        </is>
      </c>
      <c r="M3812" s="2">
        <f>HYPERLINK("https://ru.wikipedia.org/w/index.php?search=%D0%9F%D0%B5%D0%B9%D0%B7%D0%B0%D0%B6%201982%20%D1%84%D0%B8%D0%BB%D1%8C%D0%BC","искать")</f>
        <v/>
      </c>
      <c r="N3812" s="3" t="n"/>
      <c r="O3812" s="2" t="n"/>
      <c r="P3812" s="2" t="n"/>
    </row>
    <row r="3813">
      <c r="A3813" s="2" t="n">
        <v>3812</v>
      </c>
      <c r="B3813" s="2" t="inlineStr">
        <is>
          <t>короткая</t>
        </is>
      </c>
      <c r="C3813" s="2" t="n">
        <v>13938</v>
      </c>
      <c r="D3813" s="3" t="inlineStr">
        <is>
          <t>Утренняя музыка</t>
        </is>
      </c>
      <c r="E3813" s="2" t="n">
        <v>1974</v>
      </c>
      <c r="F3813" s="2" t="inlineStr">
        <is>
          <t>мультфильм</t>
        </is>
      </c>
      <c r="G3813" s="2" t="inlineStr">
        <is>
          <t>ЭКРАН</t>
        </is>
      </c>
      <c r="H3813" s="2" t="n">
        <v>60</v>
      </c>
      <c r="I3813" s="2" t="inlineStr"/>
      <c r="J3813" s="2" t="inlineStr"/>
      <c r="K3813" s="3" t="inlineStr">
        <is>
          <t>Как мудрый жук помог кузнечику найти любимое дела. Для детей</t>
        </is>
      </c>
      <c r="L3813" s="2" t="inlineStr">
        <is>
          <t>https://animator.ru/db/?p=show_film&amp;fid=5332</t>
        </is>
      </c>
      <c r="M3813" s="2">
        <f>HYPERLINK("https://ru.wikipedia.org/w/index.php?search=%D0%A3%D1%82%D1%80%D0%B5%D0%BD%D0%BD%D1%8F%D1%8F%20%D0%BC%D1%83%D0%B7%D1%8B%D0%BA%D0%B0%201974%20%D1%84%D0%B8%D0%BB%D1%8C%D0%BC","искать")</f>
        <v/>
      </c>
      <c r="N3813" s="3" t="n"/>
      <c r="O3813" s="2" t="n"/>
      <c r="P3813" s="2" t="n"/>
    </row>
    <row r="3814">
      <c r="A3814" s="2" t="n">
        <v>3813</v>
      </c>
      <c r="B3814" s="2" t="inlineStr">
        <is>
          <t>короткая</t>
        </is>
      </c>
      <c r="C3814" s="2" t="n">
        <v>14108</v>
      </c>
      <c r="D3814" s="3" t="inlineStr">
        <is>
          <t>Девочка и птички</t>
        </is>
      </c>
      <c r="E3814" s="2" t="n">
        <v>1973</v>
      </c>
      <c r="F3814" s="2" t="inlineStr">
        <is>
          <t>мультфильм</t>
        </is>
      </c>
      <c r="G3814" s="2" t="inlineStr">
        <is>
          <t>ГРУЗИНСКАЯ СТУДИЯ ТЕЛЕВИДЕНИЯ</t>
        </is>
      </c>
      <c r="H3814" s="2" t="n">
        <v>60</v>
      </c>
      <c r="I3814" s="2" t="inlineStr"/>
      <c r="J3814" s="2" t="inlineStr"/>
      <c r="K3814" s="3" t="inlineStr">
        <is>
          <t>Как девочка оживила вышитых на занавеске птичек. Для малышей</t>
        </is>
      </c>
      <c r="L3814" s="2" t="inlineStr">
        <is>
          <t>https://animator.ru/db/?p=show_film&amp;fid=5506</t>
        </is>
      </c>
      <c r="M3814" s="2">
        <f>HYPERLINK("https://ru.wikipedia.org/w/index.php?search=%D0%94%D0%B5%D0%B2%D0%BE%D1%87%D0%BA%D0%B0%20%D0%B8%20%D0%BF%D1%82%D0%B8%D1%87%D0%BA%D0%B8%201973%20%D1%84%D0%B8%D0%BB%D1%8C%D0%BC","искать")</f>
        <v/>
      </c>
      <c r="N3814" s="3" t="n"/>
      <c r="O3814" s="2" t="n"/>
      <c r="P3814" s="2" t="n"/>
    </row>
    <row r="3815">
      <c r="A3815" s="2" t="n">
        <v>3814</v>
      </c>
      <c r="B3815" s="2" t="inlineStr">
        <is>
          <t>короткая</t>
        </is>
      </c>
      <c r="C3815" s="2" t="n">
        <v>14185</v>
      </c>
      <c r="D3815" s="3" t="inlineStr">
        <is>
          <t>Спасибо, верный!</t>
        </is>
      </c>
      <c r="E3815" s="2" t="n">
        <v>1980</v>
      </c>
      <c r="F3815" s="2" t="inlineStr">
        <is>
          <t>мультфильм</t>
        </is>
      </c>
      <c r="G3815" s="2" t="inlineStr">
        <is>
          <t>АЗЕРБАЙДЖАНТЕЛЕФИЛЬМ</t>
        </is>
      </c>
      <c r="H3815" s="2" t="n">
        <v>60</v>
      </c>
      <c r="I3815" s="2" t="inlineStr"/>
      <c r="J3815" s="2" t="inlineStr"/>
      <c r="K3815" s="3" t="inlineStr">
        <is>
          <t>Как щенок Верный спас дедушку Кямрана от волков. Для малышей</t>
        </is>
      </c>
      <c r="L3815" s="2" t="inlineStr">
        <is>
          <t>https://animator.ru/db/?p=show_film&amp;fid=5583</t>
        </is>
      </c>
      <c r="M3815" s="2">
        <f>HYPERLINK("https://ru.wikipedia.org/w/index.php?search=%D0%A1%D0%BF%D0%B0%D1%81%D0%B8%D0%B1%D0%BE%2C%20%D0%B2%D0%B5%D1%80%D0%BD%D1%8B%D0%B9%21%201980%20%D1%84%D0%B8%D0%BB%D1%8C%D0%BC","искать")</f>
        <v/>
      </c>
      <c r="N3815" s="3" t="n"/>
      <c r="O3815" s="2" t="n"/>
      <c r="P3815" s="2" t="n"/>
    </row>
    <row r="3816">
      <c r="A3816" s="2" t="n">
        <v>3815</v>
      </c>
      <c r="B3816" s="2" t="inlineStr">
        <is>
          <t>короткая</t>
        </is>
      </c>
      <c r="C3816" s="2" t="n">
        <v>14316</v>
      </c>
      <c r="D3816" s="3" t="inlineStr">
        <is>
          <t>Одна капля</t>
        </is>
      </c>
      <c r="E3816" s="2" t="n">
        <v>1989</v>
      </c>
      <c r="F3816" s="2" t="inlineStr">
        <is>
          <t>мультфильм</t>
        </is>
      </c>
      <c r="G3816" s="2" t="inlineStr">
        <is>
          <t>ТУРКМЕНФИЛЬМ</t>
        </is>
      </c>
      <c r="H3816" s="2" t="n">
        <v>60</v>
      </c>
      <c r="I3816" s="2" t="inlineStr"/>
      <c r="J3816" s="2" t="inlineStr"/>
      <c r="K3816" s="3" t="inlineStr">
        <is>
          <t>Сказка о добром и отзывчивом мальчике, победившем злого Дэва</t>
        </is>
      </c>
      <c r="L3816" s="2" t="inlineStr">
        <is>
          <t>https://animator.ru/db/?p=show_film&amp;fid=5862</t>
        </is>
      </c>
      <c r="M3816" s="2">
        <f>HYPERLINK("https://ru.wikipedia.org/w/index.php?search=%D0%9E%D0%B4%D0%BD%D0%B0%20%D0%BA%D0%B0%D0%BF%D0%BB%D1%8F%201989%20%D1%84%D0%B8%D0%BB%D1%8C%D0%BC","искать")</f>
        <v/>
      </c>
      <c r="N3816" s="3" t="n"/>
      <c r="O3816" s="2" t="n"/>
      <c r="P3816" s="2" t="n"/>
    </row>
    <row r="3817">
      <c r="A3817" s="2" t="n">
        <v>3816</v>
      </c>
      <c r="B3817" s="2" t="inlineStr">
        <is>
          <t>короткая</t>
        </is>
      </c>
      <c r="C3817" s="2" t="n">
        <v>7798</v>
      </c>
      <c r="D3817" s="3" t="inlineStr">
        <is>
          <t>Летние гастроли</t>
        </is>
      </c>
      <c r="E3817" s="2" t="n">
        <v>1979</v>
      </c>
      <c r="F3817" s="2" t="inlineStr">
        <is>
          <t>телефильм</t>
        </is>
      </c>
      <c r="G3817" s="2" t="n"/>
      <c r="H3817" s="2" t="n">
        <v>61</v>
      </c>
      <c r="I3817" s="2" t="inlineStr"/>
      <c r="J3817" s="2" t="inlineStr"/>
      <c r="K3817" s="3" t="inlineStr">
        <is>
          <t>История любви солистки балета на льду и известного хоккеиста.</t>
        </is>
      </c>
      <c r="L3817" s="2" t="inlineStr">
        <is>
          <t>Кино_СССР сводный каталог.xlsx: список телефильмов</t>
        </is>
      </c>
      <c r="M3817" s="2">
        <f>HYPERLINK("https://ru.wikipedia.org/w/index.php?search=%D0%9B%D0%B5%D1%82%D0%BD%D0%B8%D0%B5%20%D0%B3%D0%B0%D1%81%D1%82%D1%80%D0%BE%D0%BB%D0%B8%201979%20%D1%84%D0%B8%D0%BB%D1%8C%D0%BC","искать")</f>
        <v/>
      </c>
      <c r="N3817" s="3" t="n"/>
      <c r="O3817" s="2" t="n"/>
      <c r="P3817" s="2" t="n"/>
    </row>
    <row r="3818">
      <c r="A3818" s="2" t="n">
        <v>3817</v>
      </c>
      <c r="B3818" s="2" t="inlineStr">
        <is>
          <t>короткая</t>
        </is>
      </c>
      <c r="C3818" s="2" t="n">
        <v>11644</v>
      </c>
      <c r="D3818" s="3" t="inlineStr">
        <is>
          <t>Скрипка пионера</t>
        </is>
      </c>
      <c r="E3818" s="2" t="n">
        <v>1971</v>
      </c>
      <c r="F3818" s="2" t="inlineStr">
        <is>
          <t>мультфильм</t>
        </is>
      </c>
      <c r="G3818" s="2" t="inlineStr">
        <is>
          <t>Союзмультфильм</t>
        </is>
      </c>
      <c r="H3818" s="2" t="n">
        <v>61</v>
      </c>
      <c r="I3818" s="2" t="inlineStr"/>
      <c r="J3818" s="2" t="inlineStr"/>
      <c r="K3818" s="3" t="inlineStr">
        <is>
          <t>Рассказ о подвиге юного героя, отдавшего жизнь во имя Родины.</t>
        </is>
      </c>
      <c r="L3818" s="2" t="inlineStr">
        <is>
          <t>https://animator.ru/db/?p=show_film&amp;fid=2558</t>
        </is>
      </c>
      <c r="M3818" s="2">
        <f>HYPERLINK("https://ru.wikipedia.org/w/index.php?search=%D0%A1%D0%BA%D1%80%D0%B8%D0%BF%D0%BA%D0%B0%20%D0%BF%D0%B8%D0%BE%D0%BD%D0%B5%D1%80%D0%B0%201971%20%D1%84%D0%B8%D0%BB%D1%8C%D0%BC","искать")</f>
        <v/>
      </c>
      <c r="N3818" s="3" t="n"/>
      <c r="O3818" s="2" t="n"/>
      <c r="P3818" s="2" t="n"/>
    </row>
    <row r="3819">
      <c r="A3819" s="2" t="n">
        <v>3818</v>
      </c>
      <c r="B3819" s="2" t="inlineStr">
        <is>
          <t>короткая</t>
        </is>
      </c>
      <c r="C3819" s="2" t="n">
        <v>12081</v>
      </c>
      <c r="D3819" s="3" t="inlineStr">
        <is>
          <t>На задней парте (выпуск 3)</t>
        </is>
      </c>
      <c r="E3819" s="2" t="n">
        <v>1984</v>
      </c>
      <c r="F3819" s="2" t="inlineStr">
        <is>
          <t>мультфильм</t>
        </is>
      </c>
      <c r="G3819" s="2" t="inlineStr">
        <is>
          <t>Союзмультфильм</t>
        </is>
      </c>
      <c r="H3819" s="2" t="n">
        <v>61</v>
      </c>
      <c r="I3819" s="2" t="inlineStr"/>
      <c r="J3819" s="2" t="inlineStr"/>
      <c r="K3819" s="3" t="inlineStr">
        <is>
          <t>Комические истории о соседях по парте - отличнице и озорнике.</t>
        </is>
      </c>
      <c r="L3819" s="2" t="inlineStr">
        <is>
          <t>2026-10_мультфильмы_список_владельца.xlsx; https://animator.ru/db/?p=show_film&amp;fid=3196</t>
        </is>
      </c>
      <c r="M3819" s="2">
        <f>HYPERLINK("https://ru.wikipedia.org/w/index.php?search=%D0%9D%D0%B0%20%D0%B7%D0%B0%D0%B4%D0%BD%D0%B5%D0%B9%20%D0%BF%D0%B0%D1%80%D1%82%D0%B5%20%28%D0%B2%D1%8B%D0%BF%D1%83%D1%81%D0%BA%203%29%201984%20%D1%84%D0%B8%D0%BB%D1%8C%D0%BC","искать")</f>
        <v/>
      </c>
      <c r="N3819" s="3" t="n"/>
      <c r="O3819" s="2" t="n"/>
      <c r="P3819" s="2" t="n"/>
    </row>
    <row r="3820">
      <c r="A3820" s="2" t="n">
        <v>3819</v>
      </c>
      <c r="B3820" s="2" t="inlineStr">
        <is>
          <t>короткая</t>
        </is>
      </c>
      <c r="C3820" s="2" t="n">
        <v>12147</v>
      </c>
      <c r="D3820" s="3" t="inlineStr">
        <is>
          <t>На задней парте (выпуск 4)</t>
        </is>
      </c>
      <c r="E3820" s="2" t="n">
        <v>1985</v>
      </c>
      <c r="F3820" s="2" t="inlineStr">
        <is>
          <t>мультфильм</t>
        </is>
      </c>
      <c r="G3820" s="2" t="inlineStr">
        <is>
          <t>Союзмультфильм</t>
        </is>
      </c>
      <c r="H3820" s="2" t="n">
        <v>61</v>
      </c>
      <c r="I3820" s="2" t="inlineStr"/>
      <c r="J3820" s="2" t="inlineStr"/>
      <c r="K3820" s="3" t="inlineStr">
        <is>
          <t>Комические истории о соседях по парте - отличнице и озорнике.</t>
        </is>
      </c>
      <c r="L3820" s="2" t="inlineStr">
        <is>
          <t>2026-10_мультфильмы_список_владельца.xlsx; https://animator.ru/db/?p=show_film&amp;fid=3263</t>
        </is>
      </c>
      <c r="M3820" s="2">
        <f>HYPERLINK("https://ru.wikipedia.org/w/index.php?search=%D0%9D%D0%B0%20%D0%B7%D0%B0%D0%B4%D0%BD%D0%B5%D0%B9%20%D0%BF%D0%B0%D1%80%D1%82%D0%B5%20%28%D0%B2%D1%8B%D0%BF%D1%83%D1%81%D0%BA%204%29%201985%20%D1%84%D0%B8%D0%BB%D1%8C%D0%BC","искать")</f>
        <v/>
      </c>
      <c r="N3820" s="3" t="n"/>
      <c r="O3820" s="2" t="n"/>
      <c r="P3820" s="2" t="n"/>
    </row>
    <row r="3821">
      <c r="A3821" s="2" t="n">
        <v>3820</v>
      </c>
      <c r="B3821" s="2" t="inlineStr">
        <is>
          <t>короткая</t>
        </is>
      </c>
      <c r="C3821" s="2" t="n">
        <v>12159</v>
      </c>
      <c r="D3821" s="3" t="inlineStr">
        <is>
          <t>Слоненок заболел</t>
        </is>
      </c>
      <c r="E3821" s="2" t="n">
        <v>1985</v>
      </c>
      <c r="F3821" s="2" t="inlineStr">
        <is>
          <t>мультфильм</t>
        </is>
      </c>
      <c r="G3821" s="2" t="inlineStr">
        <is>
          <t>Союзмультфильм</t>
        </is>
      </c>
      <c r="H3821" s="2" t="n">
        <v>61</v>
      </c>
      <c r="I3821" s="2" t="inlineStr"/>
      <c r="J3821" s="2" t="inlineStr"/>
      <c r="K3821" s="3" t="inlineStr">
        <is>
          <t>О коте-обманщике, которого вывели на чистую воду. Для малышей</t>
        </is>
      </c>
      <c r="L3821" s="2" t="inlineStr">
        <is>
          <t>https://animator.ru/db/?p=show_film&amp;fid=3275</t>
        </is>
      </c>
      <c r="M3821" s="2">
        <f>HYPERLINK("https://ru.wikipedia.org/w/index.php?search=%D0%A1%D0%BB%D0%BE%D0%BD%D0%B5%D0%BD%D0%BE%D0%BA%20%D0%B7%D0%B0%D0%B1%D0%BE%D0%BB%D0%B5%D0%BB%201985%20%D1%84%D0%B8%D0%BB%D1%8C%D0%BC","искать")</f>
        <v/>
      </c>
      <c r="N3821" s="3" t="n"/>
      <c r="O3821" s="2" t="n"/>
      <c r="P3821" s="2" t="n"/>
    </row>
    <row r="3822">
      <c r="A3822" s="2" t="n">
        <v>3821</v>
      </c>
      <c r="B3822" s="2" t="inlineStr">
        <is>
          <t>короткая</t>
        </is>
      </c>
      <c r="C3822" s="2" t="n">
        <v>12936</v>
      </c>
      <c r="D3822" s="3" t="inlineStr">
        <is>
          <t>Бачо едет к бабушке</t>
        </is>
      </c>
      <c r="E3822" s="2" t="n">
        <v>1979</v>
      </c>
      <c r="F3822" s="2" t="inlineStr">
        <is>
          <t>мультфильм</t>
        </is>
      </c>
      <c r="G3822" s="2" t="inlineStr">
        <is>
          <t>ГРУЗИЯ-ФИЛЬМ - АО</t>
        </is>
      </c>
      <c r="H3822" s="2" t="n">
        <v>61</v>
      </c>
      <c r="I3822" s="2" t="inlineStr"/>
      <c r="J3822" s="2" t="inlineStr"/>
      <c r="K3822" s="3" t="inlineStr">
        <is>
          <t>По сказке О. Иоселиани о том, как перевоспитали неряху-лешего</t>
        </is>
      </c>
      <c r="L3822" s="2" t="inlineStr">
        <is>
          <t>2026-10_мультфильмы_список_владельца.xlsx; https://animator.ru/db/?p=show_film&amp;fid=4166</t>
        </is>
      </c>
      <c r="M3822" s="2">
        <f>HYPERLINK("https://ru.wikipedia.org/w/index.php?search=%D0%91%D0%B0%D1%87%D0%BE%20%D0%B5%D0%B4%D0%B5%D1%82%20%D0%BA%20%D0%B1%D0%B0%D0%B1%D1%83%D1%88%D0%BA%D0%B5%201979%20%D1%84%D0%B8%D0%BB%D1%8C%D0%BC","искать")</f>
        <v/>
      </c>
      <c r="N3822" s="3" t="n"/>
      <c r="O3822" s="2" t="n"/>
      <c r="P3822" s="2" t="n"/>
    </row>
    <row r="3823">
      <c r="A3823" s="2" t="n">
        <v>3822</v>
      </c>
      <c r="B3823" s="2" t="inlineStr">
        <is>
          <t>короткая</t>
        </is>
      </c>
      <c r="C3823" s="2" t="n">
        <v>13264</v>
      </c>
      <c r="D3823" s="3" t="inlineStr">
        <is>
          <t>Стрелок</t>
        </is>
      </c>
      <c r="E3823" s="2" t="n">
        <v>1976</v>
      </c>
      <c r="F3823" s="2" t="inlineStr">
        <is>
          <t>мультфильм</t>
        </is>
      </c>
      <c r="G3823" s="2" t="inlineStr">
        <is>
          <t>ТАЛЛИННФИЛЬМ</t>
        </is>
      </c>
      <c r="H3823" s="2" t="n">
        <v>61</v>
      </c>
      <c r="I3823" s="2" t="inlineStr"/>
      <c r="J3823" s="2" t="inlineStr"/>
      <c r="K3823" s="3" t="inlineStr">
        <is>
          <t>Об охотнике-китобое, которого пощадил и спас раненный им кит.</t>
        </is>
      </c>
      <c r="L3823" s="2" t="inlineStr">
        <is>
          <t>2026-10_мультфильмы_список_владельца.xlsx; https://animator.ru/db/?p=show_film&amp;fid=4516</t>
        </is>
      </c>
      <c r="M3823" s="2">
        <f>HYPERLINK("https://ru.wikipedia.org/w/index.php?search=%D0%A1%D1%82%D1%80%D0%B5%D0%BB%D0%BE%D0%BA%201976%20%D1%84%D0%B8%D0%BB%D1%8C%D0%BC","искать")</f>
        <v/>
      </c>
      <c r="N3823" s="3" t="n"/>
      <c r="O3823" s="2" t="n"/>
      <c r="P3823" s="2" t="n"/>
    </row>
    <row r="3824">
      <c r="A3824" s="2" t="n">
        <v>3823</v>
      </c>
      <c r="B3824" s="2" t="inlineStr">
        <is>
          <t>короткая</t>
        </is>
      </c>
      <c r="C3824" s="2" t="n">
        <v>13378</v>
      </c>
      <c r="D3824" s="3" t="inlineStr">
        <is>
          <t>Марусина карусель</t>
        </is>
      </c>
      <c r="E3824" s="2" t="n">
        <v>1977</v>
      </c>
      <c r="F3824" s="2" t="inlineStr">
        <is>
          <t>мультфильм</t>
        </is>
      </c>
      <c r="G3824" s="2" t="inlineStr">
        <is>
          <t>ЭКРАН</t>
        </is>
      </c>
      <c r="H3824" s="2" t="n">
        <v>61</v>
      </c>
      <c r="I3824" s="2" t="inlineStr"/>
      <c r="J3824" s="2" t="inlineStr"/>
      <c r="K3824" s="3" t="inlineStr">
        <is>
          <t>Об игрушечной лошадке Марусе, которая нашла себе дело по душе</t>
        </is>
      </c>
      <c r="L3824" s="2" t="inlineStr">
        <is>
          <t>https://animator.ru/db/?p=show_film&amp;fid=4658</t>
        </is>
      </c>
      <c r="M3824" s="2">
        <f>HYPERLINK("https://ru.wikipedia.org/w/index.php?search=%D0%9C%D0%B0%D1%80%D1%83%D1%81%D0%B8%D0%BD%D0%B0%20%D0%BA%D0%B0%D1%80%D1%83%D1%81%D0%B5%D0%BB%D1%8C%201977%20%D1%84%D0%B8%D0%BB%D1%8C%D0%BC","искать")</f>
        <v/>
      </c>
      <c r="N3824" s="3" t="n"/>
      <c r="O3824" s="2" t="n"/>
      <c r="P3824" s="2" t="n"/>
    </row>
    <row r="3825">
      <c r="A3825" s="2" t="n">
        <v>3824</v>
      </c>
      <c r="B3825" s="2" t="inlineStr">
        <is>
          <t>короткая</t>
        </is>
      </c>
      <c r="C3825" s="2" t="n">
        <v>13402</v>
      </c>
      <c r="D3825" s="3" t="inlineStr">
        <is>
          <t>Ночь рождения</t>
        </is>
      </c>
      <c r="E3825" s="2" t="n">
        <v>1980</v>
      </c>
      <c r="F3825" s="2" t="inlineStr">
        <is>
          <t>мультфильм</t>
        </is>
      </c>
      <c r="G3825" s="2" t="inlineStr">
        <is>
          <t>СОЮЗТЕЛЕФИЛЬМ</t>
        </is>
      </c>
      <c r="H3825" s="2" t="n">
        <v>61</v>
      </c>
      <c r="I3825" s="2" t="inlineStr"/>
      <c r="J3825" s="2" t="inlineStr"/>
      <c r="K3825" s="3" t="inlineStr">
        <is>
          <t>Как мальчик Тима перестал бояться ночной темноты. Для малышей</t>
        </is>
      </c>
      <c r="L3825" s="2" t="inlineStr">
        <is>
          <t>https://animator.ru/db/?p=show_film&amp;fid=4682</t>
        </is>
      </c>
      <c r="M3825" s="2">
        <f>HYPERLINK("https://ru.wikipedia.org/w/index.php?search=%D0%9D%D0%BE%D1%87%D1%8C%20%D1%80%D0%BE%D0%B6%D0%B4%D0%B5%D0%BD%D0%B8%D1%8F%201980%20%D1%84%D0%B8%D0%BB%D1%8C%D0%BC","искать")</f>
        <v/>
      </c>
      <c r="N3825" s="3" t="n"/>
      <c r="O3825" s="2" t="n"/>
      <c r="P3825" s="2" t="n"/>
    </row>
    <row r="3826">
      <c r="A3826" s="2" t="n">
        <v>3825</v>
      </c>
      <c r="B3826" s="2" t="inlineStr">
        <is>
          <t>короткая</t>
        </is>
      </c>
      <c r="C3826" s="2" t="n">
        <v>13494</v>
      </c>
      <c r="D3826" s="3" t="inlineStr">
        <is>
          <t>Дело прошлое</t>
        </is>
      </c>
      <c r="E3826" s="2" t="n">
        <v>1989</v>
      </c>
      <c r="F3826" s="2" t="inlineStr">
        <is>
          <t>мультфильм</t>
        </is>
      </c>
      <c r="G3826" s="2" t="inlineStr">
        <is>
          <t>Свердловская киностудия</t>
        </is>
      </c>
      <c r="H3826" s="2" t="n">
        <v>61</v>
      </c>
      <c r="I3826" s="2" t="inlineStr"/>
      <c r="J3826" s="2" t="inlineStr"/>
      <c r="K3826" s="3" t="inlineStr">
        <is>
          <t>По уральской байке о двух кикиморах, наказавших жадного парня</t>
        </is>
      </c>
      <c r="L3826" s="2" t="inlineStr">
        <is>
          <t>https://animator.ru/db/?p=show_film&amp;fid=4784</t>
        </is>
      </c>
      <c r="M3826" s="2">
        <f>HYPERLINK("https://ru.wikipedia.org/w/index.php?search=%D0%94%D0%B5%D0%BB%D0%BE%20%D0%BF%D1%80%D0%BE%D1%88%D0%BB%D0%BE%D0%B5%201989%20%D1%84%D0%B8%D0%BB%D1%8C%D0%BC","искать")</f>
        <v/>
      </c>
      <c r="N3826" s="3" t="n"/>
      <c r="O3826" s="2" t="n"/>
      <c r="P3826" s="2" t="n"/>
    </row>
    <row r="3827">
      <c r="A3827" s="2" t="n">
        <v>3826</v>
      </c>
      <c r="B3827" s="2" t="inlineStr">
        <is>
          <t>короткая</t>
        </is>
      </c>
      <c r="C3827" s="2" t="n">
        <v>13696</v>
      </c>
      <c r="D3827" s="3" t="inlineStr">
        <is>
          <t>Заколдованное слово</t>
        </is>
      </c>
      <c r="E3827" s="2" t="n">
        <v>1976</v>
      </c>
      <c r="F3827" s="2" t="inlineStr">
        <is>
          <t>мультфильм</t>
        </is>
      </c>
      <c r="G3827" s="2" t="inlineStr">
        <is>
          <t>ЭКРАН</t>
        </is>
      </c>
      <c r="H3827" s="2" t="n">
        <v>61</v>
      </c>
      <c r="I3827" s="2" t="inlineStr"/>
      <c r="J3827" s="2" t="inlineStr"/>
      <c r="K3827" s="3" t="inlineStr">
        <is>
          <t>Как звери проучили Волка, который не умел читать. Для малышей</t>
        </is>
      </c>
      <c r="L3827" s="2" t="inlineStr">
        <is>
          <t>https://animator.ru/db/?p=show_film&amp;fid=5089</t>
        </is>
      </c>
      <c r="M3827" s="2">
        <f>HYPERLINK("https://ru.wikipedia.org/w/index.php?search=%D0%97%D0%B0%D0%BA%D0%BE%D0%BB%D0%B4%D0%BE%D0%B2%D0%B0%D0%BD%D0%BD%D0%BE%D0%B5%20%D1%81%D0%BB%D0%BE%D0%B2%D0%BE%201976%20%D1%84%D0%B8%D0%BB%D1%8C%D0%BC","искать")</f>
        <v/>
      </c>
      <c r="N3827" s="3" t="n"/>
      <c r="O3827" s="2" t="n"/>
      <c r="P3827" s="2" t="n"/>
    </row>
    <row r="3828">
      <c r="A3828" s="2" t="n">
        <v>3827</v>
      </c>
      <c r="B3828" s="2" t="inlineStr">
        <is>
          <t>короткая</t>
        </is>
      </c>
      <c r="C3828" s="2" t="n">
        <v>13700</v>
      </c>
      <c r="D3828" s="3" t="inlineStr">
        <is>
          <t>Здравствуйте, тетя Лиса!</t>
        </is>
      </c>
      <c r="E3828" s="2" t="n">
        <v>1974</v>
      </c>
      <c r="F3828" s="2" t="inlineStr">
        <is>
          <t>мультфильм</t>
        </is>
      </c>
      <c r="G3828" s="2" t="inlineStr">
        <is>
          <t>ЭКРАН</t>
        </is>
      </c>
      <c r="H3828" s="2" t="n">
        <v>61</v>
      </c>
      <c r="I3828" s="2" t="inlineStr"/>
      <c r="J3828" s="2" t="inlineStr"/>
      <c r="K3828" s="3" t="inlineStr">
        <is>
          <t>О цыплятах и утенке, перехитривших коварную лису. Для малышей</t>
        </is>
      </c>
      <c r="L3828" s="2" t="inlineStr">
        <is>
          <t>https://animator.ru/db/?p=show_film&amp;fid=5093</t>
        </is>
      </c>
      <c r="M3828" s="2">
        <f>HYPERLINK("https://ru.wikipedia.org/w/index.php?search=%D0%97%D0%B4%D1%80%D0%B0%D0%B2%D1%81%D1%82%D0%B2%D1%83%D0%B9%D1%82%D0%B5%2C%20%D1%82%D0%B5%D1%82%D1%8F%20%D0%9B%D0%B8%D1%81%D0%B0%21%201974%20%D1%84%D0%B8%D0%BB%D1%8C%D0%BC","искать")</f>
        <v/>
      </c>
      <c r="N3828" s="3" t="n"/>
      <c r="O3828" s="2" t="n"/>
      <c r="P3828" s="2" t="n"/>
    </row>
    <row r="3829">
      <c r="A3829" s="2" t="n">
        <v>3828</v>
      </c>
      <c r="B3829" s="2" t="inlineStr">
        <is>
          <t>короткая</t>
        </is>
      </c>
      <c r="C3829" s="2" t="n">
        <v>14004</v>
      </c>
      <c r="D3829" s="3" t="inlineStr">
        <is>
          <t>А кто волшебник?</t>
        </is>
      </c>
      <c r="E3829" s="2" t="n">
        <v>1972</v>
      </c>
      <c r="F3829" s="2" t="inlineStr">
        <is>
          <t>мультфильм</t>
        </is>
      </c>
      <c r="G3829" s="2" t="inlineStr">
        <is>
          <t>УЗБЕКФИЛЬМ</t>
        </is>
      </c>
      <c r="H3829" s="2" t="n">
        <v>61</v>
      </c>
      <c r="I3829" s="2" t="inlineStr"/>
      <c r="J3829" s="2" t="inlineStr"/>
      <c r="K3829" s="3" t="inlineStr">
        <is>
          <t>Как волшебник помог перевоспитать злого мальчика. Для малышей</t>
        </is>
      </c>
      <c r="L3829" s="2" t="inlineStr">
        <is>
          <t>https://animator.ru/db/?p=show_film&amp;fid=5398</t>
        </is>
      </c>
      <c r="M3829" s="2">
        <f>HYPERLINK("https://ru.wikipedia.org/w/index.php?search=%D0%90%20%D0%BA%D1%82%D0%BE%20%D0%B2%D0%BE%D0%BB%D1%88%D0%B5%D0%B1%D0%BD%D0%B8%D0%BA%3F%201972%20%D1%84%D0%B8%D0%BB%D1%8C%D0%BC","искать")</f>
        <v/>
      </c>
      <c r="N3829" s="3" t="n"/>
      <c r="O3829" s="2" t="n"/>
      <c r="P3829" s="2" t="n"/>
    </row>
    <row r="3830">
      <c r="A3830" s="2" t="n">
        <v>3829</v>
      </c>
      <c r="B3830" s="2" t="inlineStr">
        <is>
          <t>короткая</t>
        </is>
      </c>
      <c r="C3830" s="2" t="n">
        <v>14047</v>
      </c>
      <c r="D3830" s="3" t="inlineStr">
        <is>
          <t>Почти невыдуманная история</t>
        </is>
      </c>
      <c r="E3830" s="2" t="n">
        <v>1979</v>
      </c>
      <c r="F3830" s="2" t="inlineStr">
        <is>
          <t>мультфильм</t>
        </is>
      </c>
      <c r="G3830" s="2" t="inlineStr">
        <is>
          <t>УЗБЕКФИЛЬМ</t>
        </is>
      </c>
      <c r="H3830" s="2" t="n">
        <v>61</v>
      </c>
      <c r="I3830" s="2" t="inlineStr"/>
      <c r="J3830" s="2" t="inlineStr"/>
      <c r="K3830" s="3" t="inlineStr">
        <is>
          <t>О гагарах, нашедших приют на крыше современного большого дома</t>
        </is>
      </c>
      <c r="L3830" s="2" t="inlineStr">
        <is>
          <t>https://animator.ru/db/?p=show_film&amp;fid=5443</t>
        </is>
      </c>
      <c r="M3830" s="2">
        <f>HYPERLINK("https://ru.wikipedia.org/w/index.php?search=%D0%9F%D0%BE%D1%87%D1%82%D0%B8%20%D0%BD%D0%B5%D0%B2%D1%8B%D0%B4%D1%83%D0%BC%D0%B0%D0%BD%D0%BD%D0%B0%D1%8F%20%D0%B8%D1%81%D1%82%D0%BE%D1%80%D0%B8%D1%8F%201979%20%D1%84%D0%B8%D0%BB%D1%8C%D0%BC","искать")</f>
        <v/>
      </c>
      <c r="N3830" s="3" t="n"/>
      <c r="O3830" s="2" t="n"/>
      <c r="P3830" s="2" t="n"/>
    </row>
    <row r="3831">
      <c r="A3831" s="2" t="n">
        <v>3830</v>
      </c>
      <c r="B3831" s="2" t="inlineStr">
        <is>
          <t>короткая</t>
        </is>
      </c>
      <c r="C3831" s="2" t="n">
        <v>11805</v>
      </c>
      <c r="D3831" s="3" t="inlineStr">
        <is>
          <t>Ну, Погоди! ч.9</t>
        </is>
      </c>
      <c r="E3831" s="2" t="n">
        <v>1976</v>
      </c>
      <c r="F3831" s="2" t="inlineStr">
        <is>
          <t>мультфильм</t>
        </is>
      </c>
      <c r="G3831" s="2" t="inlineStr">
        <is>
          <t>Союзмультфильм</t>
        </is>
      </c>
      <c r="H3831" s="2" t="n">
        <v>62</v>
      </c>
      <c r="I3831" s="2" t="inlineStr"/>
      <c r="J3831" s="2" t="inlineStr"/>
      <c r="K3831" s="3" t="inlineStr">
        <is>
          <t>Песня Г.Савельева в исполнении ансамбля "Оловянные солдатики".</t>
        </is>
      </c>
      <c r="L3831" s="2" t="inlineStr">
        <is>
          <t>2026-10_мультфильмы_список_владельца.xlsx; https://animator.ru/db/?p=show_film&amp;fid=2719</t>
        </is>
      </c>
      <c r="M3831" s="2">
        <f>HYPERLINK("https://ru.wikipedia.org/w/index.php?search=%D0%9D%D1%83%2C%20%D0%9F%D0%BE%D0%B3%D0%BE%D0%B4%D0%B8%21%20%D1%87.9%201976%20%D1%84%D0%B8%D0%BB%D1%8C%D0%BC","искать")</f>
        <v/>
      </c>
      <c r="N3831" s="3" t="n"/>
      <c r="O3831" s="2" t="n"/>
      <c r="P3831" s="2" t="n"/>
    </row>
    <row r="3832">
      <c r="A3832" s="2" t="n">
        <v>3831</v>
      </c>
      <c r="B3832" s="2" t="inlineStr">
        <is>
          <t>короткая</t>
        </is>
      </c>
      <c r="C3832" s="2" t="n">
        <v>12118</v>
      </c>
      <c r="D3832" s="3" t="inlineStr">
        <is>
          <t>Пришелец в капусте</t>
        </is>
      </c>
      <c r="E3832" s="2" t="n">
        <v>1989</v>
      </c>
      <c r="F3832" s="2" t="inlineStr">
        <is>
          <t>мультфильм</t>
        </is>
      </c>
      <c r="G3832" s="2" t="inlineStr">
        <is>
          <t>Союзмультфильм</t>
        </is>
      </c>
      <c r="H3832" s="2" t="n">
        <v>62</v>
      </c>
      <c r="I3832" s="2" t="inlineStr"/>
      <c r="J3832" s="2" t="inlineStr"/>
      <c r="K3832" s="3" t="inlineStr">
        <is>
          <t>Как Старик нашел в капусте сынка Ванюшу. Первый фильм трилогии</t>
        </is>
      </c>
      <c r="L3832" s="2" t="inlineStr">
        <is>
          <t>https://animator.ru/db/?p=show_film&amp;fid=3234</t>
        </is>
      </c>
      <c r="M3832" s="2">
        <f>HYPERLINK("https://ru.wikipedia.org/w/index.php?search=%D0%9F%D1%80%D0%B8%D1%88%D0%B5%D0%BB%D0%B5%D1%86%20%D0%B2%20%D0%BA%D0%B0%D0%BF%D1%83%D1%81%D1%82%D0%B5%201989%20%D1%84%D0%B8%D0%BB%D1%8C%D0%BC","искать")</f>
        <v/>
      </c>
      <c r="N3832" s="3" t="n"/>
      <c r="O3832" s="2" t="n"/>
      <c r="P3832" s="2" t="n"/>
    </row>
    <row r="3833">
      <c r="A3833" s="2" t="n">
        <v>3832</v>
      </c>
      <c r="B3833" s="2" t="inlineStr">
        <is>
          <t>короткая</t>
        </is>
      </c>
      <c r="C3833" s="2" t="n">
        <v>12411</v>
      </c>
      <c r="D3833" s="3" t="inlineStr">
        <is>
          <t>Как кошечка и собачка мыли пол</t>
        </is>
      </c>
      <c r="E3833" s="2" t="n">
        <v>1977</v>
      </c>
      <c r="F3833" s="2" t="inlineStr">
        <is>
          <t>мультфильм</t>
        </is>
      </c>
      <c r="G3833" s="2" t="inlineStr">
        <is>
          <t>КИЕВНАУЧФИЛЬМ</t>
        </is>
      </c>
      <c r="H3833" s="2" t="n">
        <v>62</v>
      </c>
      <c r="I3833" s="2" t="inlineStr"/>
      <c r="J3833" s="2" t="inlineStr"/>
      <c r="K3833" s="3" t="inlineStr">
        <is>
          <t>Два друга устроили генеральную уборку.По сказке Карела Чапека.</t>
        </is>
      </c>
      <c r="L3833" s="2" t="inlineStr">
        <is>
          <t>2026-10_мультфильмы_список_владельца.xlsx; https://animator.ru/db/?p=show_film&amp;fid=3582</t>
        </is>
      </c>
      <c r="M3833" s="2">
        <f>HYPERLINK("https://ru.wikipedia.org/w/index.php?search=%D0%9A%D0%B0%D0%BA%20%D0%BA%D0%BE%D1%88%D0%B5%D1%87%D0%BA%D0%B0%20%D0%B8%20%D1%81%D0%BE%D0%B1%D0%B0%D1%87%D0%BA%D0%B0%20%D0%BC%D1%8B%D0%BB%D0%B8%20%D0%BF%D0%BE%D0%BB%201977%20%D1%84%D0%B8%D0%BB%D1%8C%D0%BC","искать")</f>
        <v/>
      </c>
      <c r="N3833" s="3" t="n"/>
      <c r="O3833" s="2" t="n"/>
      <c r="P3833" s="2" t="n"/>
    </row>
    <row r="3834">
      <c r="A3834" s="2" t="n">
        <v>3833</v>
      </c>
      <c r="B3834" s="2" t="inlineStr">
        <is>
          <t>короткая</t>
        </is>
      </c>
      <c r="C3834" s="2" t="n">
        <v>13083</v>
      </c>
      <c r="D3834" s="3" t="inlineStr">
        <is>
          <t>Внук лесника и...</t>
        </is>
      </c>
      <c r="E3834" s="2" t="n">
        <v>1985</v>
      </c>
      <c r="F3834" s="2" t="inlineStr">
        <is>
          <t>мультфильм</t>
        </is>
      </c>
      <c r="G3834" s="2" t="inlineStr">
        <is>
          <t>РИЖСКАЯ КИНОСТУДИЯ</t>
        </is>
      </c>
      <c r="H3834" s="2" t="n">
        <v>62</v>
      </c>
      <c r="I3834" s="2" t="inlineStr"/>
      <c r="J3834" s="2" t="inlineStr"/>
      <c r="K3834" s="3" t="inlineStr">
        <is>
          <t>Как внук лесника с друзьями-зверушками браконьера перевоспитал</t>
        </is>
      </c>
      <c r="L3834" s="2" t="inlineStr">
        <is>
          <t>https://animator.ru/db/?p=show_film&amp;fid=4315</t>
        </is>
      </c>
      <c r="M3834" s="2">
        <f>HYPERLINK("https://ru.wikipedia.org/w/index.php?search=%D0%92%D0%BD%D1%83%D0%BA%20%D0%BB%D0%B5%D1%81%D0%BD%D0%B8%D0%BA%D0%B0%20%D0%B8...%201985%20%D1%84%D0%B8%D0%BB%D1%8C%D0%BC","искать")</f>
        <v/>
      </c>
      <c r="N3834" s="3" t="n"/>
      <c r="O3834" s="2" t="n"/>
      <c r="P3834" s="2" t="n"/>
    </row>
    <row r="3835">
      <c r="A3835" s="2" t="n">
        <v>3834</v>
      </c>
      <c r="B3835" s="2" t="inlineStr">
        <is>
          <t>короткая</t>
        </is>
      </c>
      <c r="C3835" s="2" t="n">
        <v>13159</v>
      </c>
      <c r="D3835" s="3" t="inlineStr">
        <is>
          <t>Храбрый пастушок</t>
        </is>
      </c>
      <c r="E3835" s="2" t="n">
        <v>1986</v>
      </c>
      <c r="F3835" s="2" t="inlineStr">
        <is>
          <t>мультфильм</t>
        </is>
      </c>
      <c r="G3835" s="2" t="inlineStr">
        <is>
          <t>ТАДЖИКФИЛЬМ</t>
        </is>
      </c>
      <c r="H3835" s="2" t="n">
        <v>62</v>
      </c>
      <c r="I3835" s="2" t="inlineStr"/>
      <c r="J3835" s="2" t="inlineStr"/>
      <c r="K3835" s="3" t="inlineStr">
        <is>
          <t>Сказка о маленьком трусишке, который стал храбрым. Для малышей</t>
        </is>
      </c>
      <c r="L3835" s="2" t="inlineStr">
        <is>
          <t>https://animator.ru/db/?p=show_film&amp;fid=4396</t>
        </is>
      </c>
      <c r="M3835" s="2">
        <f>HYPERLINK("https://ru.wikipedia.org/w/index.php?search=%D0%A5%D1%80%D0%B0%D0%B1%D1%80%D1%8B%D0%B9%20%D0%BF%D0%B0%D1%81%D1%82%D1%83%D1%88%D0%BE%D0%BA%201986%20%D1%84%D0%B8%D0%BB%D1%8C%D0%BC","искать")</f>
        <v/>
      </c>
      <c r="N3835" s="3" t="n"/>
      <c r="O3835" s="2" t="n"/>
      <c r="P3835" s="2" t="n"/>
    </row>
    <row r="3836">
      <c r="A3836" s="2" t="n">
        <v>3835</v>
      </c>
      <c r="B3836" s="2" t="inlineStr">
        <is>
          <t>короткая</t>
        </is>
      </c>
      <c r="C3836" s="2" t="n">
        <v>13201</v>
      </c>
      <c r="D3836" s="3" t="inlineStr">
        <is>
          <t>Золотой лист</t>
        </is>
      </c>
      <c r="E3836" s="2" t="n">
        <v>1985</v>
      </c>
      <c r="F3836" s="2" t="inlineStr">
        <is>
          <t>мультфильм</t>
        </is>
      </c>
      <c r="G3836" s="2" t="inlineStr">
        <is>
          <t>УЗБЕКФИЛЬМ</t>
        </is>
      </c>
      <c r="H3836" s="2" t="n">
        <v>62</v>
      </c>
      <c r="I3836" s="2" t="inlineStr"/>
      <c r="J3836" s="2" t="inlineStr"/>
      <c r="K3836" s="3" t="inlineStr">
        <is>
          <t>О дикообразе, ждавшем целый год новой встречи с золотым листом</t>
        </is>
      </c>
      <c r="L3836" s="2" t="inlineStr">
        <is>
          <t>https://animator.ru/db/?p=show_film&amp;fid=4440</t>
        </is>
      </c>
      <c r="M3836" s="2">
        <f>HYPERLINK("https://ru.wikipedia.org/w/index.php?search=%D0%97%D0%BE%D0%BB%D0%BE%D1%82%D0%BE%D0%B9%20%D0%BB%D0%B8%D1%81%D1%82%201985%20%D1%84%D0%B8%D0%BB%D1%8C%D0%BC","искать")</f>
        <v/>
      </c>
      <c r="N3836" s="3" t="n"/>
      <c r="O3836" s="2" t="n"/>
      <c r="P3836" s="2" t="n"/>
    </row>
    <row r="3837">
      <c r="A3837" s="2" t="n">
        <v>3836</v>
      </c>
      <c r="B3837" s="2" t="inlineStr">
        <is>
          <t>короткая</t>
        </is>
      </c>
      <c r="C3837" s="2" t="n">
        <v>13653</v>
      </c>
      <c r="D3837" s="3" t="inlineStr">
        <is>
          <t>В лесу родилась елочка</t>
        </is>
      </c>
      <c r="E3837" s="2" t="n">
        <v>1972</v>
      </c>
      <c r="F3837" s="2" t="inlineStr">
        <is>
          <t>мультфильм</t>
        </is>
      </c>
      <c r="G3837" s="2" t="inlineStr">
        <is>
          <t>ЭКРАН</t>
        </is>
      </c>
      <c r="H3837" s="2" t="n">
        <v>62</v>
      </c>
      <c r="I3837" s="2" t="inlineStr"/>
      <c r="J3837" s="2" t="inlineStr"/>
      <c r="K3837" s="3" t="inlineStr">
        <is>
          <t>Как ожил нарисованный человечек и отправился в лес за елочкой.</t>
        </is>
      </c>
      <c r="L3837" s="2" t="inlineStr">
        <is>
          <t>2026-10_мультфильмы_список_владельца.xlsx; https://animator.ru/db/?p=show_film&amp;fid=5045</t>
        </is>
      </c>
      <c r="M3837" s="2">
        <f>HYPERLINK("https://ru.wikipedia.org/w/index.php?search=%D0%92%20%D0%BB%D0%B5%D1%81%D1%83%20%D1%80%D0%BE%D0%B4%D0%B8%D0%BB%D0%B0%D1%81%D1%8C%20%D0%B5%D0%BB%D0%BE%D1%87%D0%BA%D0%B0%201972%20%D1%84%D0%B8%D0%BB%D1%8C%D0%BC","искать")</f>
        <v/>
      </c>
      <c r="N3837" s="3" t="n"/>
      <c r="O3837" s="2" t="n"/>
      <c r="P3837" s="2" t="n"/>
    </row>
    <row r="3838">
      <c r="A3838" s="2" t="n">
        <v>3837</v>
      </c>
      <c r="B3838" s="2" t="inlineStr">
        <is>
          <t>короткая</t>
        </is>
      </c>
      <c r="C3838" s="2" t="n">
        <v>14040</v>
      </c>
      <c r="D3838" s="3" t="inlineStr">
        <is>
          <t>Обыкновенное опасное приключение</t>
        </is>
      </c>
      <c r="E3838" s="2" t="n">
        <v>1987</v>
      </c>
      <c r="F3838" s="2" t="inlineStr">
        <is>
          <t>мультфильм</t>
        </is>
      </c>
      <c r="G3838" s="2" t="inlineStr">
        <is>
          <t>АРМЕНФИЛЬМ</t>
        </is>
      </c>
      <c r="H3838" s="2" t="n">
        <v>62</v>
      </c>
      <c r="I3838" s="2" t="inlineStr"/>
      <c r="J3838" s="2" t="inlineStr"/>
      <c r="K3838" s="3" t="inlineStr">
        <is>
          <t>Как двое мальчиков оказались пленниками робота-инопланетянина.</t>
        </is>
      </c>
      <c r="L3838" s="2" t="inlineStr">
        <is>
          <t>2026-10_мультфильмы_список_владельца.xlsx; https://animator.ru/db/?p=show_film&amp;fid=5436</t>
        </is>
      </c>
      <c r="M3838" s="2">
        <f>HYPERLINK("https://ru.wikipedia.org/w/index.php?search=%D0%9E%D0%B1%D1%8B%D0%BA%D0%BD%D0%BE%D0%B2%D0%B5%D0%BD%D0%BD%D0%BE%D0%B5%20%D0%BE%D0%BF%D0%B0%D1%81%D0%BD%D0%BE%D0%B5%20%D0%BF%D1%80%D0%B8%D0%BA%D0%BB%D1%8E%D1%87%D0%B5%D0%BD%D0%B8%D0%B5%201987%20%D1%84%D0%B8%D0%BB%D1%8C%D0%BC","искать")</f>
        <v/>
      </c>
      <c r="N3838" s="3" t="n"/>
      <c r="O3838" s="2" t="n"/>
      <c r="P3838" s="2" t="n"/>
    </row>
    <row r="3839">
      <c r="A3839" s="2" t="n">
        <v>3838</v>
      </c>
      <c r="B3839" s="2" t="inlineStr">
        <is>
          <t>короткая</t>
        </is>
      </c>
      <c r="C3839" s="2" t="n">
        <v>14101</v>
      </c>
      <c r="D3839" s="3" t="inlineStr">
        <is>
          <t>Всем чертям назло</t>
        </is>
      </c>
      <c r="E3839" s="2" t="n">
        <v>1981</v>
      </c>
      <c r="F3839" s="2" t="inlineStr">
        <is>
          <t>мультфильм</t>
        </is>
      </c>
      <c r="G3839" s="2" t="inlineStr">
        <is>
          <t>ПЕРМЬТЕЛЕФИЛЬМ</t>
        </is>
      </c>
      <c r="H3839" s="2" t="n">
        <v>62</v>
      </c>
      <c r="I3839" s="2" t="inlineStr"/>
      <c r="J3839" s="2" t="inlineStr"/>
      <c r="K3839" s="3" t="inlineStr">
        <is>
          <t>Как Баба-яга и черти старались помешать счастью Ивана да Марьи</t>
        </is>
      </c>
      <c r="L3839" s="2" t="inlineStr">
        <is>
          <t>https://animator.ru/db/?p=show_film&amp;fid=5499</t>
        </is>
      </c>
      <c r="M3839" s="2">
        <f>HYPERLINK("https://ru.wikipedia.org/w/index.php?search=%D0%92%D1%81%D0%B5%D0%BC%20%D1%87%D0%B5%D1%80%D1%82%D1%8F%D0%BC%20%D0%BD%D0%B0%D0%B7%D0%BB%D0%BE%201981%20%D1%84%D0%B8%D0%BB%D1%8C%D0%BC","искать")</f>
        <v/>
      </c>
      <c r="N3839" s="3" t="n"/>
      <c r="O3839" s="2" t="n"/>
      <c r="P3839" s="2" t="n"/>
    </row>
    <row r="3840">
      <c r="A3840" s="2" t="n">
        <v>3839</v>
      </c>
      <c r="B3840" s="2" t="inlineStr">
        <is>
          <t>короткая</t>
        </is>
      </c>
      <c r="C3840" s="2" t="n">
        <v>14151</v>
      </c>
      <c r="D3840" s="3" t="inlineStr">
        <is>
          <t>Пики-желторотик</t>
        </is>
      </c>
      <c r="E3840" s="2" t="n">
        <v>1974</v>
      </c>
      <c r="F3840" s="2" t="inlineStr">
        <is>
          <t>мультфильм</t>
        </is>
      </c>
      <c r="G3840" s="2" t="inlineStr">
        <is>
          <t>САРАТОВТЕЛЕФИЛЬМ</t>
        </is>
      </c>
      <c r="H3840" s="2" t="n">
        <v>62</v>
      </c>
      <c r="I3840" s="2" t="inlineStr"/>
      <c r="J3840" s="2" t="inlineStr"/>
      <c r="K3840" s="3" t="inlineStr">
        <is>
          <t>О приключениях птенчика Пики в первый день жизни. Для малышей.</t>
        </is>
      </c>
      <c r="L3840" s="2" t="inlineStr">
        <is>
          <t>2026-10_мультфильмы_список_владельца.xlsx; https://animator.ru/db/?p=show_film&amp;fid=5549</t>
        </is>
      </c>
      <c r="M3840" s="2">
        <f>HYPERLINK("https://ru.wikipedia.org/w/index.php?search=%D0%9F%D0%B8%D0%BA%D0%B8-%D0%B6%D0%B5%D0%BB%D1%82%D0%BE%D1%80%D0%BE%D1%82%D0%B8%D0%BA%201974%20%D1%84%D0%B8%D0%BB%D1%8C%D0%BC","искать")</f>
        <v/>
      </c>
      <c r="N3840" s="3" t="n"/>
      <c r="O3840" s="2" t="n"/>
      <c r="P3840" s="2" t="n"/>
    </row>
    <row r="3841">
      <c r="A3841" s="2" t="n">
        <v>3840</v>
      </c>
      <c r="B3841" s="2" t="inlineStr">
        <is>
          <t>короткая</t>
        </is>
      </c>
      <c r="C3841" s="2" t="n">
        <v>14187</v>
      </c>
      <c r="D3841" s="3" t="inlineStr">
        <is>
          <t>Стрелочник</t>
        </is>
      </c>
      <c r="E3841" s="2" t="n">
        <v>1987</v>
      </c>
      <c r="F3841" s="2" t="inlineStr">
        <is>
          <t>мультфильм</t>
        </is>
      </c>
      <c r="G3841" s="2" t="inlineStr">
        <is>
          <t>СВЕРДЛОВСКТЕЛЕФИЛЬМ</t>
        </is>
      </c>
      <c r="H3841" s="2" t="n">
        <v>62</v>
      </c>
      <c r="I3841" s="2" t="inlineStr"/>
      <c r="J3841" s="2" t="inlineStr"/>
      <c r="K3841" s="3" t="inlineStr">
        <is>
          <t>Воры-работники склада свалили недостачу на мышку. Для взрослых</t>
        </is>
      </c>
      <c r="L3841" s="2" t="inlineStr">
        <is>
          <t>https://animator.ru/db/?p=show_film&amp;fid=5585</t>
        </is>
      </c>
      <c r="M3841" s="2">
        <f>HYPERLINK("https://ru.wikipedia.org/w/index.php?search=%D0%A1%D1%82%D1%80%D0%B5%D0%BB%D0%BE%D1%87%D0%BD%D0%B8%D0%BA%201987%20%D1%84%D0%B8%D0%BB%D1%8C%D0%BC","искать")</f>
        <v/>
      </c>
      <c r="N3841" s="3" t="n"/>
      <c r="O3841" s="2" t="n"/>
      <c r="P3841" s="2" t="n"/>
    </row>
    <row r="3842">
      <c r="A3842" s="2" t="n">
        <v>3841</v>
      </c>
      <c r="B3842" s="2" t="inlineStr">
        <is>
          <t>короткая</t>
        </is>
      </c>
      <c r="C3842" s="2" t="n">
        <v>9403</v>
      </c>
      <c r="D3842" s="3" t="inlineStr">
        <is>
          <t>Казаки идут</t>
        </is>
      </c>
      <c r="E3842" s="2" t="n">
        <v>1991</v>
      </c>
      <c r="F3842" s="2" t="inlineStr">
        <is>
          <t>кинофильм</t>
        </is>
      </c>
      <c r="G3842" s="2" t="n"/>
      <c r="H3842" s="2" t="n">
        <v>63</v>
      </c>
      <c r="I3842" s="2" t="inlineStr"/>
      <c r="J3842" s="2" t="inlineStr"/>
      <c r="K3842" s="3" t="inlineStr">
        <is>
          <t>XVI век. Запорожские казаки ведут борьбу с поляками и татарами.</t>
        </is>
      </c>
      <c r="L3842" s="2" t="inlineStr">
        <is>
          <t>Кино_СССР сводный каталог.xlsx: список фильмов (доп.)</t>
        </is>
      </c>
      <c r="M3842" s="2">
        <f>HYPERLINK("https://ru.wikipedia.org/w/index.php?search=%D0%9A%D0%B0%D0%B7%D0%B0%D0%BA%D0%B8%20%D0%B8%D0%B4%D1%83%D1%82%201991%20%D1%84%D0%B8%D0%BB%D1%8C%D0%BC","искать")</f>
        <v/>
      </c>
      <c r="N3842" s="3" t="n"/>
      <c r="O3842" s="2" t="n"/>
      <c r="P3842" s="2" t="n"/>
    </row>
    <row r="3843">
      <c r="A3843" s="2" t="n">
        <v>3842</v>
      </c>
      <c r="B3843" s="2" t="inlineStr">
        <is>
          <t>короткая</t>
        </is>
      </c>
      <c r="C3843" s="2" t="n">
        <v>11902</v>
      </c>
      <c r="D3843" s="3" t="inlineStr">
        <is>
          <t>Желтый слон</t>
        </is>
      </c>
      <c r="E3843" s="2" t="n">
        <v>1979</v>
      </c>
      <c r="F3843" s="2" t="inlineStr">
        <is>
          <t>мультфильм</t>
        </is>
      </c>
      <c r="G3843" s="2" t="inlineStr">
        <is>
          <t>Союзмультфильм</t>
        </is>
      </c>
      <c r="H3843" s="2" t="n">
        <v>63</v>
      </c>
      <c r="I3843" s="2" t="inlineStr"/>
      <c r="J3843" s="2" t="inlineStr"/>
      <c r="K3843" s="3" t="inlineStr">
        <is>
          <t>О карнавале, который чуть не испортила глупая ссора . Для детей</t>
        </is>
      </c>
      <c r="L3843" s="2" t="inlineStr">
        <is>
          <t>https://animator.ru/db/?p=show_film&amp;fid=2817</t>
        </is>
      </c>
      <c r="M3843" s="2">
        <f>HYPERLINK("https://ru.wikipedia.org/w/index.php?search=%D0%96%D0%B5%D0%BB%D1%82%D1%8B%D0%B9%20%D1%81%D0%BB%D0%BE%D0%BD%201979%20%D1%84%D0%B8%D0%BB%D1%8C%D0%BC","искать")</f>
        <v/>
      </c>
      <c r="N3843" s="3" t="n"/>
      <c r="O3843" s="2" t="n"/>
      <c r="P3843" s="2" t="n"/>
    </row>
    <row r="3844">
      <c r="A3844" s="2" t="n">
        <v>3843</v>
      </c>
      <c r="B3844" s="2" t="inlineStr">
        <is>
          <t>короткая</t>
        </is>
      </c>
      <c r="C3844" s="2" t="n">
        <v>12531</v>
      </c>
      <c r="D3844" s="3" t="inlineStr">
        <is>
          <t>Пугало</t>
        </is>
      </c>
      <c r="E3844" s="2" t="n">
        <v>1968</v>
      </c>
      <c r="F3844" s="2" t="inlineStr">
        <is>
          <t>мультфильм</t>
        </is>
      </c>
      <c r="G3844" s="2" t="inlineStr">
        <is>
          <t>КИЕВНАУЧФИЛЬМ</t>
        </is>
      </c>
      <c r="H3844" s="2" t="n">
        <v>63</v>
      </c>
      <c r="I3844" s="2" t="inlineStr"/>
      <c r="J3844" s="2" t="inlineStr"/>
      <c r="K3844" s="3" t="inlineStr">
        <is>
          <t>О добром Пугале, которое зимой превратилось в доброго Снеговика</t>
        </is>
      </c>
      <c r="L3844" s="2" t="inlineStr">
        <is>
          <t>https://animator.ru/db/?p=show_film&amp;fid=3707</t>
        </is>
      </c>
      <c r="M3844" s="2">
        <f>HYPERLINK("https://ru.wikipedia.org/w/index.php?search=%D0%9F%D1%83%D0%B3%D0%B0%D0%BB%D0%BE%201968%20%D1%84%D0%B8%D0%BB%D1%8C%D0%BC","искать")</f>
        <v/>
      </c>
      <c r="N3844" s="3" t="n"/>
      <c r="O3844" s="2" t="n"/>
      <c r="P3844" s="2" t="inlineStr">
        <is>
          <t>ГФФ: «ПУГАЛО» 1968 — по сверке другой фильм, не предложено</t>
        </is>
      </c>
    </row>
    <row r="3845">
      <c r="A3845" s="2" t="n">
        <v>3844</v>
      </c>
      <c r="B3845" s="2" t="inlineStr">
        <is>
          <t>короткая</t>
        </is>
      </c>
      <c r="C3845" s="2" t="n">
        <v>13731</v>
      </c>
      <c r="D3845" s="3" t="inlineStr">
        <is>
          <t>Космические пришельцы 2</t>
        </is>
      </c>
      <c r="E3845" s="2" t="n">
        <v>1982</v>
      </c>
      <c r="F3845" s="2" t="inlineStr">
        <is>
          <t>мультфильм</t>
        </is>
      </c>
      <c r="G3845" s="2" t="inlineStr">
        <is>
          <t>ЭКРАН</t>
        </is>
      </c>
      <c r="H3845" s="2" t="n">
        <v>63</v>
      </c>
      <c r="I3845" s="2" t="inlineStr"/>
      <c r="J3845" s="2" t="inlineStr"/>
      <c r="K3845" s="3" t="inlineStr">
        <is>
          <t>Продолжение приключений земных ученых и космичечских пришельцев</t>
        </is>
      </c>
      <c r="L3845" s="2" t="inlineStr">
        <is>
          <t>https://animator.ru/db/?p=show_film&amp;fid=5124</t>
        </is>
      </c>
      <c r="M3845" s="2">
        <f>HYPERLINK("https://ru.wikipedia.org/w/index.php?search=%D0%9A%D0%BE%D1%81%D0%BC%D0%B8%D1%87%D0%B5%D1%81%D0%BA%D0%B8%D0%B5%20%D0%BF%D1%80%D0%B8%D1%88%D0%B5%D0%BB%D1%8C%D1%86%D1%8B%202%201982%20%D1%84%D0%B8%D0%BB%D1%8C%D0%BC","искать")</f>
        <v/>
      </c>
      <c r="N3845" s="3" t="n"/>
      <c r="O3845" s="2" t="n"/>
      <c r="P3845" s="2" t="n"/>
    </row>
    <row r="3846">
      <c r="A3846" s="2" t="n">
        <v>3845</v>
      </c>
      <c r="B3846" s="2" t="inlineStr">
        <is>
          <t>короткая</t>
        </is>
      </c>
      <c r="C3846" s="2" t="n">
        <v>14250</v>
      </c>
      <c r="D3846" s="3" t="inlineStr">
        <is>
          <t>Дядя Фёдор, пёс и кот. 2. Митя и Мурка</t>
        </is>
      </c>
      <c r="E3846" s="2" t="n">
        <v>1976</v>
      </c>
      <c r="F3846" s="2" t="inlineStr">
        <is>
          <t>мультфильм</t>
        </is>
      </c>
      <c r="G3846" s="2" t="inlineStr">
        <is>
          <t>ЭКРАН</t>
        </is>
      </c>
      <c r="H3846" s="2" t="n">
        <v>63</v>
      </c>
      <c r="I3846" s="2" t="inlineStr"/>
      <c r="J3846" s="2" t="inlineStr"/>
      <c r="K3846" s="3" t="inlineStr">
        <is>
          <t>О веселых приключениях мальчика Федора и его друзей Пса и Кота.</t>
        </is>
      </c>
      <c r="L3846" s="2" t="inlineStr">
        <is>
          <t>https://animator.ru/db/?p=show_film&amp;fid=5674</t>
        </is>
      </c>
      <c r="M3846" s="2">
        <f>HYPERLINK("https://ru.wikipedia.org/w/index.php?search=%D0%94%D1%8F%D0%B4%D1%8F%20%D0%A4%D1%91%D0%B4%D0%BE%D1%80%2C%20%D0%BF%D1%91%D1%81%20%D0%B8%20%D0%BA%D0%BE%D1%82.%202.%20%D0%9C%D0%B8%D1%82%D1%8F%20%D0%B8%20%D0%9C%D1%83%D1%80%D0%BA%D0%B0%201976%20%D1%84%D0%B8%D0%BB%D1%8C%D0%BC","искать")</f>
        <v/>
      </c>
      <c r="N3846" s="3" t="n"/>
      <c r="O3846" s="2" t="n"/>
      <c r="P3846" s="2" t="n"/>
    </row>
    <row r="3847">
      <c r="A3847" s="2" t="n">
        <v>3846</v>
      </c>
      <c r="B3847" s="2" t="inlineStr">
        <is>
          <t>короткая</t>
        </is>
      </c>
      <c r="C3847" s="2" t="n">
        <v>9918</v>
      </c>
      <c r="D3847" s="3" t="inlineStr">
        <is>
          <t>Когда уходят снега</t>
        </is>
      </c>
      <c r="E3847" s="2" t="n">
        <v>1976</v>
      </c>
      <c r="F3847" s="2" t="inlineStr">
        <is>
          <t>телефильм</t>
        </is>
      </c>
      <c r="G3847" s="2" t="inlineStr">
        <is>
          <t>Казахтелефильм</t>
        </is>
      </c>
      <c r="H3847" s="2" t="n">
        <v>64</v>
      </c>
      <c r="I3847" s="2" t="inlineStr"/>
      <c r="J3847" s="2" t="inlineStr"/>
      <c r="K3847" s="3" t="inlineStr">
        <is>
          <t>Мальчик Санджар приехал к деду на каникулы и узнает родной край.</t>
        </is>
      </c>
      <c r="L3847" s="2" t="inlineStr">
        <is>
          <t>https://www.kino-teatr.ru/short/movie/sov/92638/annot/</t>
        </is>
      </c>
      <c r="M3847" s="2">
        <f>HYPERLINK("https://ru.wikipedia.org/w/index.php?search=%D0%9A%D0%BE%D0%B3%D0%B4%D0%B0%20%D1%83%D1%85%D0%BE%D0%B4%D1%8F%D1%82%20%D1%81%D0%BD%D0%B5%D0%B3%D0%B0%201976%20%D1%84%D0%B8%D0%BB%D1%8C%D0%BC","искать")</f>
        <v/>
      </c>
      <c r="N3847" s="3" t="n"/>
      <c r="O3847" s="2" t="n"/>
      <c r="P3847" s="2" t="n"/>
    </row>
    <row r="3848">
      <c r="A3848" s="2" t="n">
        <v>3847</v>
      </c>
      <c r="B3848" s="2" t="inlineStr">
        <is>
          <t>короткая</t>
        </is>
      </c>
      <c r="C3848" s="2" t="n">
        <v>11386</v>
      </c>
      <c r="D3848" s="3" t="inlineStr">
        <is>
          <t>Чёрный кот</t>
        </is>
      </c>
      <c r="E3848" s="2" t="n">
        <v>1989</v>
      </c>
      <c r="F3848" s="2" t="inlineStr">
        <is>
          <t>не игровое</t>
        </is>
      </c>
      <c r="G3848" s="2" t="n"/>
      <c r="H3848" s="2" t="n">
        <v>64</v>
      </c>
      <c r="I3848" s="2" t="inlineStr"/>
      <c r="J3848" s="2" t="inlineStr"/>
      <c r="K3848" s="3" t="inlineStr">
        <is>
          <t>Песни 1960-х годов исполняют ленинградские драматические актеры.</t>
        </is>
      </c>
      <c r="L3848" s="2" t="inlineStr">
        <is>
          <t>Кино_СССР телефильмы и пропуски включить в базу.xlsx</t>
        </is>
      </c>
      <c r="M3848" s="2">
        <f>HYPERLINK("https://ru.wikipedia.org/w/index.php?search=%D0%A7%D1%91%D1%80%D0%BD%D1%8B%D0%B9%20%D0%BA%D0%BE%D1%82%201989%20%D1%84%D0%B8%D0%BB%D1%8C%D0%BC","искать")</f>
        <v/>
      </c>
      <c r="N3848" s="3" t="n"/>
      <c r="O3848" s="2" t="n"/>
      <c r="P3848" s="2" t="n"/>
    </row>
    <row r="3849">
      <c r="A3849" s="2" t="n">
        <v>3848</v>
      </c>
      <c r="B3849" s="2" t="inlineStr">
        <is>
          <t>короткая</t>
        </is>
      </c>
      <c r="C3849" s="2" t="n">
        <v>11793</v>
      </c>
      <c r="D3849" s="3" t="inlineStr">
        <is>
          <t>Голубой щенок</t>
        </is>
      </c>
      <c r="E3849" s="2" t="n">
        <v>1976</v>
      </c>
      <c r="F3849" s="2" t="inlineStr">
        <is>
          <t>мультфильм</t>
        </is>
      </c>
      <c r="G3849" s="2" t="inlineStr">
        <is>
          <t>Союзмультфильм</t>
        </is>
      </c>
      <c r="H3849" s="2" t="n">
        <v>64</v>
      </c>
      <c r="I3849" s="2" t="inlineStr"/>
      <c r="J3849" s="2" t="inlineStr"/>
      <c r="K3849" s="3" t="inlineStr">
        <is>
          <t>Мюзикл по сказке Д.Урбана о злоключениях щенка с голубой шерстью</t>
        </is>
      </c>
      <c r="L3849" s="2" t="inlineStr">
        <is>
          <t>https://animator.ru/db/?p=show_film&amp;fid=2707</t>
        </is>
      </c>
      <c r="M3849" s="2">
        <f>HYPERLINK("https://ru.wikipedia.org/w/index.php?search=%D0%93%D0%BE%D0%BB%D1%83%D0%B1%D0%BE%D0%B9%20%D1%89%D0%B5%D0%BD%D0%BE%D0%BA%201976%20%D1%84%D0%B8%D0%BB%D1%8C%D0%BC","искать")</f>
        <v/>
      </c>
      <c r="N3849" s="3" t="n"/>
      <c r="O3849" s="2" t="n"/>
      <c r="P3849" s="2" t="n"/>
    </row>
    <row r="3850">
      <c r="A3850" s="2" t="n">
        <v>3849</v>
      </c>
      <c r="B3850" s="2" t="inlineStr">
        <is>
          <t>короткая</t>
        </is>
      </c>
      <c r="C3850" s="2" t="n">
        <v>11956</v>
      </c>
      <c r="D3850" s="3" t="inlineStr">
        <is>
          <t>Бездомные домовые</t>
        </is>
      </c>
      <c r="E3850" s="2" t="n">
        <v>1981</v>
      </c>
      <c r="F3850" s="2" t="inlineStr">
        <is>
          <t>мультфильм</t>
        </is>
      </c>
      <c r="G3850" s="2" t="inlineStr">
        <is>
          <t>Союзмультфильм</t>
        </is>
      </c>
      <c r="H3850" s="2" t="n">
        <v>64</v>
      </c>
      <c r="I3850" s="2" t="inlineStr"/>
      <c r="J3850" s="2" t="inlineStr"/>
      <c r="K3850" s="3" t="inlineStr">
        <is>
          <t>О двух маленьких домовых, которых злая хозяйка прогнала из дома.</t>
        </is>
      </c>
      <c r="L3850" s="2" t="inlineStr">
        <is>
          <t>2026-10_мультфильмы_список_владельца.xlsx; https://animator.ru/db/?p=show_film&amp;fid=2872</t>
        </is>
      </c>
      <c r="M3850" s="2">
        <f>HYPERLINK("https://ru.wikipedia.org/w/index.php?search=%D0%91%D0%B5%D0%B7%D0%B4%D0%BE%D0%BC%D0%BD%D1%8B%D0%B5%20%D0%B4%D0%BE%D0%BC%D0%BE%D0%B2%D1%8B%D0%B5%201981%20%D1%84%D0%B8%D0%BB%D1%8C%D0%BC","искать")</f>
        <v/>
      </c>
      <c r="N3850" s="3" t="n"/>
      <c r="O3850" s="2" t="n"/>
      <c r="P3850" s="2" t="n"/>
    </row>
    <row r="3851">
      <c r="A3851" s="2" t="n">
        <v>3850</v>
      </c>
      <c r="B3851" s="2" t="inlineStr">
        <is>
          <t>короткая</t>
        </is>
      </c>
      <c r="C3851" s="2" t="n">
        <v>11980</v>
      </c>
      <c r="D3851" s="3" t="inlineStr">
        <is>
          <t>Он попался!</t>
        </is>
      </c>
      <c r="E3851" s="2" t="n">
        <v>1981</v>
      </c>
      <c r="F3851" s="2" t="inlineStr">
        <is>
          <t>мультфильм</t>
        </is>
      </c>
      <c r="G3851" s="2" t="inlineStr">
        <is>
          <t>Союзмультфильм</t>
        </is>
      </c>
      <c r="H3851" s="2" t="n">
        <v>64</v>
      </c>
      <c r="I3851" s="2" t="inlineStr"/>
      <c r="J3851" s="2" t="inlineStr"/>
      <c r="K3851" s="3" t="inlineStr">
        <is>
          <t>Как бобер, белочка, мышонок и барсук "спасали" зайку от медведя.</t>
        </is>
      </c>
      <c r="L3851" s="2" t="inlineStr">
        <is>
          <t>https://animator.ru/db/?p=show_film&amp;fid=3094</t>
        </is>
      </c>
      <c r="M3851" s="2">
        <f>HYPERLINK("https://ru.wikipedia.org/w/index.php?search=%D0%9E%D0%BD%20%D0%BF%D0%BE%D0%BF%D0%B0%D0%BB%D1%81%D1%8F%21%201981%20%D1%84%D0%B8%D0%BB%D1%8C%D0%BC","искать")</f>
        <v/>
      </c>
      <c r="N3851" s="3" t="n"/>
      <c r="O3851" s="2" t="n"/>
      <c r="P3851" s="2" t="n"/>
    </row>
    <row r="3852">
      <c r="A3852" s="2" t="n">
        <v>3851</v>
      </c>
      <c r="B3852" s="2" t="inlineStr">
        <is>
          <t>короткая</t>
        </is>
      </c>
      <c r="C3852" s="2" t="n">
        <v>12134</v>
      </c>
      <c r="D3852" s="3" t="inlineStr">
        <is>
          <t>Пятачок</t>
        </is>
      </c>
      <c r="E3852" s="2" t="n">
        <v>1977</v>
      </c>
      <c r="F3852" s="2" t="inlineStr">
        <is>
          <t>мультфильм</t>
        </is>
      </c>
      <c r="G3852" s="2" t="inlineStr">
        <is>
          <t>Союзмультфильм</t>
        </is>
      </c>
      <c r="H3852" s="2" t="n">
        <v>64</v>
      </c>
      <c r="I3852" s="2" t="inlineStr"/>
      <c r="J3852" s="2" t="inlineStr"/>
      <c r="K3852" s="3" t="inlineStr">
        <is>
          <t>Барсучонок нашел на дороге пятачок вернул его хозяину - Котенку.</t>
        </is>
      </c>
      <c r="L3852" s="2" t="inlineStr">
        <is>
          <t>https://animator.ru/db/?p=show_film&amp;fid=3250</t>
        </is>
      </c>
      <c r="M3852" s="2">
        <f>HYPERLINK("https://ru.wikipedia.org/w/index.php?search=%D0%9F%D1%8F%D1%82%D0%B0%D1%87%D0%BE%D0%BA%201977%20%D1%84%D0%B8%D0%BB%D1%8C%D0%BC","искать")</f>
        <v/>
      </c>
      <c r="N3852" s="3" t="n"/>
      <c r="O3852" s="2" t="n"/>
      <c r="P3852" s="2" t="n"/>
    </row>
    <row r="3853">
      <c r="A3853" s="2" t="n">
        <v>3852</v>
      </c>
      <c r="B3853" s="2" t="inlineStr">
        <is>
          <t>короткая</t>
        </is>
      </c>
      <c r="C3853" s="2" t="n">
        <v>13103</v>
      </c>
      <c r="D3853" s="3" t="inlineStr">
        <is>
          <t>Остановите поезд!</t>
        </is>
      </c>
      <c r="E3853" s="2" t="n">
        <v>1982</v>
      </c>
      <c r="F3853" s="2" t="inlineStr">
        <is>
          <t>мультфильм</t>
        </is>
      </c>
      <c r="G3853" s="2" t="inlineStr">
        <is>
          <t>МОЛДОВА-ФИЛЬМ</t>
        </is>
      </c>
      <c r="H3853" s="2" t="n">
        <v>64</v>
      </c>
      <c r="I3853" s="2" t="inlineStr"/>
      <c r="J3853" s="2" t="inlineStr"/>
      <c r="K3853" s="3" t="inlineStr">
        <is>
          <t>Как дружба с дельфином научила девочку понимать красоту природы.</t>
        </is>
      </c>
      <c r="L3853" s="2" t="inlineStr">
        <is>
          <t>2026-10_мультфильмы_список_владельца.xlsx; https://animator.ru/db/?p=show_film&amp;fid=4335</t>
        </is>
      </c>
      <c r="M3853" s="2">
        <f>HYPERLINK("https://ru.wikipedia.org/w/index.php?search=%D0%9E%D1%81%D1%82%D0%B0%D0%BD%D0%BE%D0%B2%D0%B8%D1%82%D0%B5%20%D0%BF%D0%BE%D0%B5%D0%B7%D0%B4%21%201982%20%D1%84%D0%B8%D0%BB%D1%8C%D0%BC","искать")</f>
        <v/>
      </c>
      <c r="N3853" s="3" t="n"/>
      <c r="O3853" s="2" t="n"/>
      <c r="P3853" s="2" t="n"/>
    </row>
    <row r="3854">
      <c r="A3854" s="2" t="n">
        <v>3853</v>
      </c>
      <c r="B3854" s="2" t="inlineStr">
        <is>
          <t>короткая</t>
        </is>
      </c>
      <c r="C3854" s="2" t="n">
        <v>13334</v>
      </c>
      <c r="D3854" s="3" t="inlineStr">
        <is>
          <t>Чинара</t>
        </is>
      </c>
      <c r="E3854" s="2" t="n">
        <v>1983</v>
      </c>
      <c r="F3854" s="2" t="inlineStr">
        <is>
          <t>мультфильм</t>
        </is>
      </c>
      <c r="G3854" s="2" t="inlineStr">
        <is>
          <t>ТАДЖИКФИЛЬМ</t>
        </is>
      </c>
      <c r="H3854" s="2" t="n">
        <v>64</v>
      </c>
      <c r="I3854" s="2" t="inlineStr"/>
      <c r="J3854" s="2" t="inlineStr"/>
      <c r="K3854" s="3" t="inlineStr">
        <is>
          <t>В городе гибнет прекрасная чинара, отравленная выхлопными газами</t>
        </is>
      </c>
      <c r="L3854" s="2" t="inlineStr">
        <is>
          <t>https://animator.ru/db/?p=show_film&amp;fid=4605</t>
        </is>
      </c>
      <c r="M3854" s="2">
        <f>HYPERLINK("https://ru.wikipedia.org/w/index.php?search=%D0%A7%D0%B8%D0%BD%D0%B0%D1%80%D0%B0%201983%20%D1%84%D0%B8%D0%BB%D1%8C%D0%BC","искать")</f>
        <v/>
      </c>
      <c r="N3854" s="3" t="n"/>
      <c r="O3854" s="2" t="n"/>
      <c r="P3854" s="2" t="n"/>
    </row>
    <row r="3855">
      <c r="A3855" s="2" t="n">
        <v>3854</v>
      </c>
      <c r="B3855" s="2" t="inlineStr">
        <is>
          <t>короткая</t>
        </is>
      </c>
      <c r="C3855" s="2" t="n">
        <v>13682</v>
      </c>
      <c r="D3855" s="3" t="inlineStr">
        <is>
          <t>Домик на колёсах</t>
        </is>
      </c>
      <c r="E3855" s="2" t="n">
        <v>1971</v>
      </c>
      <c r="F3855" s="2" t="inlineStr">
        <is>
          <t>мультфильм</t>
        </is>
      </c>
      <c r="G3855" s="2" t="inlineStr">
        <is>
          <t>ЭКРАН</t>
        </is>
      </c>
      <c r="H3855" s="2" t="n">
        <v>64</v>
      </c>
      <c r="I3855" s="2" t="inlineStr"/>
      <c r="J3855" s="2" t="inlineStr"/>
      <c r="K3855" s="3" t="inlineStr">
        <is>
          <t>О мальчике Гоше и его друзьях: которые помогли одинокой ласточке</t>
        </is>
      </c>
      <c r="L3855" s="2" t="inlineStr">
        <is>
          <t>https://animator.ru/db/?p=show_film&amp;fid=5074</t>
        </is>
      </c>
      <c r="M3855" s="2">
        <f>HYPERLINK("https://ru.wikipedia.org/w/index.php?search=%D0%94%D0%BE%D0%BC%D0%B8%D0%BA%20%D0%BD%D0%B0%20%D0%BA%D0%BE%D0%BB%D1%91%D1%81%D0%B0%D1%85%201971%20%D1%84%D0%B8%D0%BB%D1%8C%D0%BC","искать")</f>
        <v/>
      </c>
      <c r="N3855" s="3" t="n"/>
      <c r="O3855" s="2" t="n"/>
      <c r="P3855" s="2" t="n"/>
    </row>
    <row r="3856">
      <c r="A3856" s="2" t="n">
        <v>3855</v>
      </c>
      <c r="B3856" s="2" t="inlineStr">
        <is>
          <t>короткая</t>
        </is>
      </c>
      <c r="C3856" s="2" t="n">
        <v>14012</v>
      </c>
      <c r="D3856" s="3" t="inlineStr">
        <is>
          <t>Волчья шкура</t>
        </is>
      </c>
      <c r="E3856" s="2" t="n">
        <v>1982</v>
      </c>
      <c r="F3856" s="2" t="inlineStr">
        <is>
          <t>мультфильм</t>
        </is>
      </c>
      <c r="G3856" s="2" t="inlineStr">
        <is>
          <t>ТАДЖИКФИЛЬМ</t>
        </is>
      </c>
      <c r="H3856" s="2" t="n">
        <v>64</v>
      </c>
      <c r="I3856" s="2" t="inlineStr"/>
      <c r="J3856" s="2" t="inlineStr"/>
      <c r="K3856" s="3" t="inlineStr">
        <is>
          <t>О трех друзьях, которые сумели напугать злых волков. Для малышей</t>
        </is>
      </c>
      <c r="L3856" s="2" t="inlineStr">
        <is>
          <t>https://animator.ru/db/?p=show_film&amp;fid=5406</t>
        </is>
      </c>
      <c r="M3856" s="2">
        <f>HYPERLINK("https://ru.wikipedia.org/w/index.php?search=%D0%92%D0%BE%D0%BB%D1%87%D1%8C%D1%8F%20%D1%88%D0%BA%D1%83%D1%80%D0%B0%201982%20%D1%84%D0%B8%D0%BB%D1%8C%D0%BC","искать")</f>
        <v/>
      </c>
      <c r="N3856" s="3" t="n"/>
      <c r="O3856" s="2" t="n"/>
      <c r="P3856" s="2" t="n"/>
    </row>
    <row r="3857">
      <c r="A3857" s="2" t="n">
        <v>3856</v>
      </c>
      <c r="B3857" s="2" t="inlineStr">
        <is>
          <t>короткая</t>
        </is>
      </c>
      <c r="C3857" s="2" t="n">
        <v>14145</v>
      </c>
      <c r="D3857" s="3" t="inlineStr">
        <is>
          <t>Пекарь и лентяй</t>
        </is>
      </c>
      <c r="E3857" s="2" t="n">
        <v>1987</v>
      </c>
      <c r="F3857" s="2" t="inlineStr">
        <is>
          <t>мультфильм</t>
        </is>
      </c>
      <c r="G3857" s="2" t="inlineStr">
        <is>
          <t>УЗБЕКТЕЛЕФИЛЬМ. ДИРЕКЦИЯ ТЕЛЕПРОГРАММ</t>
        </is>
      </c>
      <c r="H3857" s="2" t="n">
        <v>64</v>
      </c>
      <c r="I3857" s="2" t="inlineStr"/>
      <c r="J3857" s="2" t="inlineStr"/>
      <c r="K3857" s="3" t="inlineStr">
        <is>
          <t>Как лентяй завоевал уважение, научившись труду пекаря. Для детей</t>
        </is>
      </c>
      <c r="L3857" s="2" t="inlineStr">
        <is>
          <t>https://animator.ru/db/?p=show_film&amp;fid=5543</t>
        </is>
      </c>
      <c r="M3857" s="2">
        <f>HYPERLINK("https://ru.wikipedia.org/w/index.php?search=%D0%9F%D0%B5%D0%BA%D0%B0%D1%80%D1%8C%20%D0%B8%20%D0%BB%D0%B5%D0%BD%D1%82%D1%8F%D0%B9%201987%20%D1%84%D0%B8%D0%BB%D1%8C%D0%BC","искать")</f>
        <v/>
      </c>
      <c r="N3857" s="3" t="n"/>
      <c r="O3857" s="2" t="n"/>
      <c r="P3857" s="2" t="n"/>
    </row>
    <row r="3858">
      <c r="A3858" s="2" t="n">
        <v>3857</v>
      </c>
      <c r="B3858" s="2" t="inlineStr">
        <is>
          <t>короткая</t>
        </is>
      </c>
      <c r="C3858" s="2" t="n">
        <v>11946</v>
      </c>
      <c r="D3858" s="3" t="inlineStr">
        <is>
          <t>Первый автограф</t>
        </is>
      </c>
      <c r="E3858" s="2" t="n">
        <v>1980</v>
      </c>
      <c r="F3858" s="2" t="inlineStr">
        <is>
          <t>мультфильм</t>
        </is>
      </c>
      <c r="G3858" s="2" t="inlineStr">
        <is>
          <t>Союзмультфильм</t>
        </is>
      </c>
      <c r="H3858" s="2" t="n">
        <v>65</v>
      </c>
      <c r="I3858" s="2" t="inlineStr"/>
      <c r="J3858" s="2" t="inlineStr"/>
      <c r="K3858" s="3" t="inlineStr">
        <is>
          <t>О том, как звери пытались получить автограф у олимпийского Мишки.</t>
        </is>
      </c>
      <c r="L3858" s="2" t="inlineStr">
        <is>
          <t>https://animator.ru/db/?p=show_film&amp;fid=2862</t>
        </is>
      </c>
      <c r="M3858" s="2">
        <f>HYPERLINK("https://ru.wikipedia.org/w/index.php?search=%D0%9F%D0%B5%D1%80%D0%B2%D1%8B%D0%B9%20%D0%B0%D0%B2%D1%82%D0%BE%D0%B3%D1%80%D0%B0%D1%84%201980%20%D1%84%D0%B8%D0%BB%D1%8C%D0%BC","искать")</f>
        <v/>
      </c>
      <c r="N3858" s="3" t="n"/>
      <c r="O3858" s="2" t="n"/>
      <c r="P3858" s="2" t="n"/>
    </row>
    <row r="3859">
      <c r="A3859" s="2" t="n">
        <v>3858</v>
      </c>
      <c r="B3859" s="2" t="inlineStr">
        <is>
          <t>короткая</t>
        </is>
      </c>
      <c r="C3859" s="2" t="n">
        <v>12394</v>
      </c>
      <c r="D3859" s="3" t="inlineStr">
        <is>
          <t>История с единицей</t>
        </is>
      </c>
      <c r="E3859" s="2" t="n">
        <v>1975</v>
      </c>
      <c r="F3859" s="2" t="inlineStr">
        <is>
          <t>мультфильм</t>
        </is>
      </c>
      <c r="G3859" s="2" t="inlineStr">
        <is>
          <t>КИЕВНАУЧФИЛЬМ</t>
        </is>
      </c>
      <c r="H3859" s="2" t="n">
        <v>65</v>
      </c>
      <c r="I3859" s="2" t="inlineStr"/>
      <c r="J3859" s="2" t="inlineStr"/>
      <c r="K3859" s="3" t="inlineStr">
        <is>
          <t>История о том, как двоечник Барабанов избавился от плохих оценок.</t>
        </is>
      </c>
      <c r="L3859" s="2" t="inlineStr">
        <is>
          <t>https://animator.ru/db/?p=show_film&amp;fid=3565</t>
        </is>
      </c>
      <c r="M3859" s="2">
        <f>HYPERLINK("https://ru.wikipedia.org/w/index.php?search=%D0%98%D1%81%D1%82%D0%BE%D1%80%D0%B8%D1%8F%20%D1%81%20%D0%B5%D0%B4%D0%B8%D0%BD%D0%B8%D1%86%D0%B5%D0%B9%201975%20%D1%84%D0%B8%D0%BB%D1%8C%D0%BC","искать")</f>
        <v/>
      </c>
      <c r="N3859" s="3" t="n"/>
      <c r="O3859" s="2" t="n"/>
      <c r="P3859" s="2" t="n"/>
    </row>
    <row r="3860">
      <c r="A3860" s="2" t="n">
        <v>3859</v>
      </c>
      <c r="B3860" s="2" t="inlineStr">
        <is>
          <t>короткая</t>
        </is>
      </c>
      <c r="C3860" s="2" t="n">
        <v>12954</v>
      </c>
      <c r="D3860" s="3" t="inlineStr">
        <is>
          <t>Очокочи</t>
        </is>
      </c>
      <c r="E3860" s="2" t="n">
        <v>1987</v>
      </c>
      <c r="F3860" s="2" t="inlineStr">
        <is>
          <t>мультфильм</t>
        </is>
      </c>
      <c r="G3860" s="2" t="inlineStr">
        <is>
          <t>ГРУЗИЯ-ФИЛЬМ - АО</t>
        </is>
      </c>
      <c r="H3860" s="2" t="n">
        <v>65</v>
      </c>
      <c r="I3860" s="2" t="inlineStr"/>
      <c r="J3860" s="2" t="inlineStr"/>
      <c r="K3860" s="3" t="inlineStr">
        <is>
          <t>Популярный персонаж грузинского фольклора попадает в реальный мир</t>
        </is>
      </c>
      <c r="L3860" s="2" t="inlineStr">
        <is>
          <t>https://animator.ru/db/?p=show_film&amp;fid=4184</t>
        </is>
      </c>
      <c r="M3860" s="2">
        <f>HYPERLINK("https://ru.wikipedia.org/w/index.php?search=%D0%9E%D1%87%D0%BE%D0%BA%D0%BE%D1%87%D0%B8%201987%20%D1%84%D0%B8%D0%BB%D1%8C%D0%BC","искать")</f>
        <v/>
      </c>
      <c r="N3860" s="3" t="n"/>
      <c r="O3860" s="2" t="n"/>
      <c r="P3860" s="2" t="n"/>
    </row>
    <row r="3861">
      <c r="A3861" s="2" t="n">
        <v>3860</v>
      </c>
      <c r="B3861" s="2" t="inlineStr">
        <is>
          <t>короткая</t>
        </is>
      </c>
      <c r="C3861" s="2" t="n">
        <v>13075</v>
      </c>
      <c r="D3861" s="3" t="inlineStr">
        <is>
          <t>Дилли Далли в солнечном саду</t>
        </is>
      </c>
      <c r="E3861" s="2" t="n">
        <v>1976</v>
      </c>
      <c r="F3861" s="2" t="inlineStr">
        <is>
          <t>мультфильм</t>
        </is>
      </c>
      <c r="G3861" s="2" t="inlineStr">
        <is>
          <t>ГОСТЕЛЕРАДИО ЛАТВ. ССР ("ТЕЛЕФИЛЬМ-РИГА")</t>
        </is>
      </c>
      <c r="H3861" s="2" t="n">
        <v>65</v>
      </c>
      <c r="I3861" s="2" t="inlineStr"/>
      <c r="J3861" s="2" t="inlineStr"/>
      <c r="K3861" s="3" t="inlineStr">
        <is>
          <t>О новых приключениях мальчика и его врага Перпендикула. Для детей</t>
        </is>
      </c>
      <c r="L3861" s="2" t="inlineStr">
        <is>
          <t>https://animator.ru/db/?p=show_film&amp;fid=4307</t>
        </is>
      </c>
      <c r="M3861" s="2">
        <f>HYPERLINK("https://ru.wikipedia.org/w/index.php?search=%D0%94%D0%B8%D0%BB%D0%BB%D0%B8%20%D0%94%D0%B0%D0%BB%D0%BB%D0%B8%20%D0%B2%20%D1%81%D0%BE%D0%BB%D0%BD%D0%B5%D1%87%D0%BD%D0%BE%D0%BC%20%D1%81%D0%B0%D0%B4%D1%83%201976%20%D1%84%D0%B8%D0%BB%D1%8C%D0%BC","искать")</f>
        <v/>
      </c>
      <c r="N3861" s="3" t="n"/>
      <c r="O3861" s="2" t="n"/>
      <c r="P3861" s="2" t="n"/>
    </row>
    <row r="3862">
      <c r="A3862" s="2" t="n">
        <v>3861</v>
      </c>
      <c r="B3862" s="2" t="inlineStr">
        <is>
          <t>короткая</t>
        </is>
      </c>
      <c r="C3862" s="2" t="n">
        <v>13770</v>
      </c>
      <c r="D3862" s="3" t="inlineStr">
        <is>
          <t>Морозный узор</t>
        </is>
      </c>
      <c r="E3862" s="2" t="n">
        <v>1974</v>
      </c>
      <c r="F3862" s="2" t="inlineStr">
        <is>
          <t>мультфильм</t>
        </is>
      </c>
      <c r="G3862" s="2" t="inlineStr">
        <is>
          <t>ЭКРАН</t>
        </is>
      </c>
      <c r="H3862" s="2" t="n">
        <v>65</v>
      </c>
      <c r="I3862" s="2" t="inlineStr"/>
      <c r="J3862" s="2" t="inlineStr"/>
      <c r="K3862" s="3" t="inlineStr">
        <is>
          <t>Как Морозик украсил дождливый день сверкающим снегом. Для малышей</t>
        </is>
      </c>
      <c r="L3862" s="2" t="inlineStr">
        <is>
          <t>https://animator.ru/db/?p=show_film&amp;fid=5163</t>
        </is>
      </c>
      <c r="M3862" s="2">
        <f>HYPERLINK("https://ru.wikipedia.org/w/index.php?search=%D0%9C%D0%BE%D1%80%D0%BE%D0%B7%D0%BD%D1%8B%D0%B9%20%D1%83%D0%B7%D0%BE%D1%80%201974%20%D1%84%D0%B8%D0%BB%D1%8C%D0%BC","искать")</f>
        <v/>
      </c>
      <c r="N3862" s="3" t="n"/>
      <c r="O3862" s="2" t="n"/>
      <c r="P3862" s="2" t="n"/>
    </row>
    <row r="3863">
      <c r="A3863" s="2" t="n">
        <v>3862</v>
      </c>
      <c r="B3863" s="2" t="inlineStr">
        <is>
          <t>короткая</t>
        </is>
      </c>
      <c r="C3863" s="2" t="n">
        <v>14118</v>
      </c>
      <c r="D3863" s="3" t="inlineStr">
        <is>
          <t>Как ваня жену выбирал</t>
        </is>
      </c>
      <c r="E3863" s="2" t="n">
        <v>1975</v>
      </c>
      <c r="F3863" s="2" t="inlineStr">
        <is>
          <t>мультфильм</t>
        </is>
      </c>
      <c r="G3863" s="2" t="inlineStr">
        <is>
          <t>ПЕРМЬТЕЛЕФИЛЬМ</t>
        </is>
      </c>
      <c r="H3863" s="2" t="n">
        <v>65</v>
      </c>
      <c r="I3863" s="2" t="inlineStr"/>
      <c r="J3863" s="2" t="inlineStr"/>
      <c r="K3863" s="3" t="inlineStr">
        <is>
          <t>В поисках невесты герой понял, что богатство - не главное в жизни</t>
        </is>
      </c>
      <c r="L3863" s="2" t="inlineStr">
        <is>
          <t>https://animator.ru/db/?p=show_film&amp;fid=5516</t>
        </is>
      </c>
      <c r="M3863" s="2">
        <f>HYPERLINK("https://ru.wikipedia.org/w/index.php?search=%D0%9A%D0%B0%D0%BA%20%D0%B2%D0%B0%D0%BD%D1%8F%20%D0%B6%D0%B5%D0%BD%D1%83%20%D0%B2%D1%8B%D0%B1%D0%B8%D1%80%D0%B0%D0%BB%201975%20%D1%84%D0%B8%D0%BB%D1%8C%D0%BC","искать")</f>
        <v/>
      </c>
      <c r="N3863" s="3" t="n"/>
      <c r="O3863" s="2" t="n"/>
      <c r="P3863" s="2" t="n"/>
    </row>
    <row r="3864">
      <c r="A3864" s="2" t="n">
        <v>3863</v>
      </c>
      <c r="B3864" s="2" t="inlineStr">
        <is>
          <t>короткая</t>
        </is>
      </c>
      <c r="C3864" s="2" t="n">
        <v>14443</v>
      </c>
      <c r="D3864" s="3" t="inlineStr">
        <is>
          <t>Старый волк и новичок Пуфик</t>
        </is>
      </c>
      <c r="E3864" s="2" t="n">
        <v>1974</v>
      </c>
      <c r="F3864" s="2" t="inlineStr">
        <is>
          <t>мультфильм</t>
        </is>
      </c>
      <c r="G3864" s="2" t="inlineStr">
        <is>
          <t>СВЕРДЛОВСКТЕЛЕФИЛЬМ</t>
        </is>
      </c>
      <c r="H3864" s="2" t="n">
        <v>65</v>
      </c>
      <c r="I3864" s="2" t="inlineStr"/>
      <c r="J3864" s="2" t="inlineStr"/>
      <c r="K3864" s="3" t="inlineStr">
        <is>
          <t>О смешных и поучительных приключениях волка-второгодника в школе.</t>
        </is>
      </c>
      <c r="L3864" s="2" t="inlineStr">
        <is>
          <t>https://animator.ru/db/?p=show_film&amp;fid=6692</t>
        </is>
      </c>
      <c r="M3864" s="2">
        <f>HYPERLINK("https://ru.wikipedia.org/w/index.php?search=%D0%A1%D1%82%D0%B0%D1%80%D1%8B%D0%B9%20%D0%B2%D0%BE%D0%BB%D0%BA%20%D0%B8%20%D0%BD%D0%BE%D0%B2%D0%B8%D1%87%D0%BE%D0%BA%20%D0%9F%D1%83%D1%84%D0%B8%D0%BA%201974%20%D1%84%D0%B8%D0%BB%D1%8C%D0%BC","искать")</f>
        <v/>
      </c>
      <c r="N3864" s="3" t="n"/>
      <c r="O3864" s="2" t="n"/>
      <c r="P3864" s="2" t="n"/>
    </row>
    <row r="3865">
      <c r="A3865" s="2" t="n">
        <v>3864</v>
      </c>
      <c r="B3865" s="2" t="inlineStr">
        <is>
          <t>короткая</t>
        </is>
      </c>
      <c r="C3865" s="2" t="n">
        <v>8955</v>
      </c>
      <c r="D3865" s="3" t="inlineStr">
        <is>
          <t>Пополам</t>
        </is>
      </c>
      <c r="E3865" s="2" t="n">
        <v>1967</v>
      </c>
      <c r="F3865" s="2" t="inlineStr">
        <is>
          <t>кинофильм</t>
        </is>
      </c>
      <c r="G3865" s="2" t="n"/>
      <c r="H3865" s="2" t="n">
        <v>66</v>
      </c>
      <c r="I3865" s="2" t="inlineStr"/>
      <c r="J3865" s="2" t="inlineStr"/>
      <c r="K3865" s="3" t="inlineStr">
        <is>
          <t>Музыкальный фильм-ревю с участием советских и венгерских артистов.</t>
        </is>
      </c>
      <c r="L3865" s="2" t="inlineStr">
        <is>
          <t>Кино_СССР сводный каталог.xlsx: список фильмов (доп.)</t>
        </is>
      </c>
      <c r="M3865" s="2">
        <f>HYPERLINK("https://ru.wikipedia.org/w/index.php?search=%D0%9F%D0%BE%D0%BF%D0%BE%D0%BB%D0%B0%D0%BC%201967%20%D1%84%D0%B8%D0%BB%D1%8C%D0%BC","искать")</f>
        <v/>
      </c>
      <c r="N3865" s="3" t="n"/>
      <c r="O3865" s="2" t="n"/>
      <c r="P3865" s="2" t="n"/>
    </row>
    <row r="3866">
      <c r="A3866" s="2" t="n">
        <v>3865</v>
      </c>
      <c r="B3866" s="2" t="inlineStr">
        <is>
          <t>короткая</t>
        </is>
      </c>
      <c r="C3866" s="2" t="n">
        <v>13323</v>
      </c>
      <c r="D3866" s="3" t="inlineStr">
        <is>
          <t>Приключения бумажного листа</t>
        </is>
      </c>
      <c r="E3866" s="2" t="n">
        <v>1981</v>
      </c>
      <c r="F3866" s="2" t="inlineStr">
        <is>
          <t>мультфильм</t>
        </is>
      </c>
      <c r="G3866" s="2" t="n"/>
      <c r="H3866" s="2" t="n">
        <v>66</v>
      </c>
      <c r="I3866" s="2" t="inlineStr"/>
      <c r="J3866" s="2" t="inlineStr"/>
      <c r="K3866" s="3" t="inlineStr">
        <is>
          <t>О листке бумаги, который не хочет служить бюрократам. Для взрослых</t>
        </is>
      </c>
      <c r="L3866" s="2" t="inlineStr">
        <is>
          <t>https://animator.ru/db/?p=show_film&amp;fid=4592</t>
        </is>
      </c>
      <c r="M3866" s="2">
        <f>HYPERLINK("https://ru.wikipedia.org/w/index.php?search=%D0%9F%D1%80%D0%B8%D0%BA%D0%BB%D1%8E%D1%87%D0%B5%D0%BD%D0%B8%D1%8F%20%D0%B1%D1%83%D0%BC%D0%B0%D0%B6%D0%BD%D0%BE%D0%B3%D0%BE%20%D0%BB%D0%B8%D1%81%D1%82%D0%B0%201981%20%D1%84%D0%B8%D0%BB%D1%8C%D0%BC","искать")</f>
        <v/>
      </c>
      <c r="N3866" s="3" t="n"/>
      <c r="O3866" s="2" t="n"/>
      <c r="P3866" s="2" t="n"/>
    </row>
    <row r="3867">
      <c r="A3867" s="2" t="n">
        <v>3866</v>
      </c>
      <c r="B3867" s="2" t="inlineStr">
        <is>
          <t>короткая</t>
        </is>
      </c>
      <c r="C3867" s="2" t="n">
        <v>13445</v>
      </c>
      <c r="D3867" s="3" t="inlineStr">
        <is>
          <t>Малиновка и Медведь</t>
        </is>
      </c>
      <c r="E3867" s="2" t="n">
        <v>1983</v>
      </c>
      <c r="F3867" s="2" t="inlineStr">
        <is>
          <t>мультфильм</t>
        </is>
      </c>
      <c r="G3867" s="2" t="inlineStr">
        <is>
          <t>ЭКРАН</t>
        </is>
      </c>
      <c r="H3867" s="2" t="n">
        <v>66</v>
      </c>
      <c r="I3867" s="2" t="inlineStr"/>
      <c r="J3867" s="2" t="inlineStr"/>
      <c r="K3867" s="3" t="inlineStr">
        <is>
          <t>О трогательном отношении Медведя к малышке Малиновке. Для малышей.</t>
        </is>
      </c>
      <c r="L3867" s="2" t="inlineStr">
        <is>
          <t>2026-10_мультфильмы_список_владельца.xlsx; https://animator.ru/db/?p=show_film&amp;fid=4726</t>
        </is>
      </c>
      <c r="M3867" s="2">
        <f>HYPERLINK("https://ru.wikipedia.org/w/index.php?search=%D0%9C%D0%B0%D0%BB%D0%B8%D0%BD%D0%BE%D0%B2%D0%BA%D0%B0%20%D0%B8%20%D0%9C%D0%B5%D0%B4%D0%B2%D0%B5%D0%B4%D1%8C%201983%20%D1%84%D0%B8%D0%BB%D1%8C%D0%BC","искать")</f>
        <v/>
      </c>
      <c r="N3867" s="3" t="n"/>
      <c r="O3867" s="2" t="n"/>
      <c r="P3867" s="2" t="n"/>
    </row>
    <row r="3868">
      <c r="A3868" s="2" t="n">
        <v>3867</v>
      </c>
      <c r="B3868" s="2" t="inlineStr">
        <is>
          <t>короткая</t>
        </is>
      </c>
      <c r="C3868" s="2" t="n">
        <v>14136</v>
      </c>
      <c r="D3868" s="3" t="inlineStr">
        <is>
          <t>Надутый хвастунишка</t>
        </is>
      </c>
      <c r="E3868" s="2" t="n">
        <v>1972</v>
      </c>
      <c r="F3868" s="2" t="inlineStr">
        <is>
          <t>мультфильм</t>
        </is>
      </c>
      <c r="G3868" s="2" t="inlineStr">
        <is>
          <t>КАЗАХТЕЛЕФИЛЬМ</t>
        </is>
      </c>
      <c r="H3868" s="2" t="n">
        <v>66</v>
      </c>
      <c r="I3868" s="2" t="inlineStr"/>
      <c r="J3868" s="2" t="inlineStr"/>
      <c r="K3868" s="3" t="inlineStr">
        <is>
          <t>О воздушном шарике, который решил поспорить с солнцем. Для малышей</t>
        </is>
      </c>
      <c r="L3868" s="2" t="inlineStr">
        <is>
          <t>https://animator.ru/db/?p=show_film&amp;fid=5534</t>
        </is>
      </c>
      <c r="M3868" s="2">
        <f>HYPERLINK("https://ru.wikipedia.org/w/index.php?search=%D0%9D%D0%B0%D0%B4%D1%83%D1%82%D1%8B%D0%B9%20%D1%85%D0%B2%D0%B0%D1%81%D1%82%D1%83%D0%BD%D0%B8%D1%88%D0%BA%D0%B0%201972%20%D1%84%D0%B8%D0%BB%D1%8C%D0%BC","искать")</f>
        <v/>
      </c>
      <c r="N3868" s="3" t="n"/>
      <c r="O3868" s="2" t="n"/>
      <c r="P3868" s="2" t="n"/>
    </row>
    <row r="3869">
      <c r="A3869" s="2" t="n">
        <v>3868</v>
      </c>
      <c r="B3869" s="2" t="inlineStr">
        <is>
          <t>короткая</t>
        </is>
      </c>
      <c r="C3869" s="2" t="n">
        <v>11522</v>
      </c>
      <c r="D3869" s="3" t="inlineStr">
        <is>
          <t>Пластилиновый ежик</t>
        </is>
      </c>
      <c r="E3869" s="2" t="n">
        <v>1969</v>
      </c>
      <c r="F3869" s="2" t="inlineStr">
        <is>
          <t>мультфильм</t>
        </is>
      </c>
      <c r="G3869" s="2" t="inlineStr">
        <is>
          <t>Союзмультфильм</t>
        </is>
      </c>
      <c r="H3869" s="2" t="n">
        <v>67</v>
      </c>
      <c r="I3869" s="2" t="inlineStr"/>
      <c r="J3869" s="2" t="inlineStr"/>
      <c r="K3869" s="3" t="inlineStr">
        <is>
          <t>Добрый ёжик из пластилина помог больному мальчику собрать гербарий.</t>
        </is>
      </c>
      <c r="L3869" s="2" t="inlineStr">
        <is>
          <t>https://animator.ru/db/?p=show_film&amp;fid=2293</t>
        </is>
      </c>
      <c r="M3869" s="2">
        <f>HYPERLINK("https://ru.wikipedia.org/w/index.php?search=%D0%9F%D0%BB%D0%B0%D1%81%D1%82%D0%B8%D0%BB%D0%B8%D0%BD%D0%BE%D0%B2%D1%8B%D0%B9%20%D0%B5%D0%B6%D0%B8%D0%BA%201969%20%D1%84%D0%B8%D0%BB%D1%8C%D0%BC","искать")</f>
        <v/>
      </c>
      <c r="N3869" s="3" t="n"/>
      <c r="O3869" s="2" t="n"/>
      <c r="P3869" s="2" t="n"/>
    </row>
    <row r="3870">
      <c r="A3870" s="2" t="n">
        <v>3869</v>
      </c>
      <c r="B3870" s="2" t="inlineStr">
        <is>
          <t>короткая</t>
        </is>
      </c>
      <c r="C3870" s="2" t="n">
        <v>11700</v>
      </c>
      <c r="D3870" s="3" t="inlineStr">
        <is>
          <t>Волшебные фонарики</t>
        </is>
      </c>
      <c r="E3870" s="2" t="n">
        <v>1973</v>
      </c>
      <c r="F3870" s="2" t="inlineStr">
        <is>
          <t>мультфильм</t>
        </is>
      </c>
      <c r="G3870" s="2" t="inlineStr">
        <is>
          <t>Союзмультфильм</t>
        </is>
      </c>
      <c r="H3870" s="2" t="n">
        <v>67</v>
      </c>
      <c r="I3870" s="2" t="inlineStr"/>
      <c r="J3870" s="2" t="inlineStr"/>
      <c r="K3870" s="3" t="inlineStr">
        <is>
          <t>По сказке Е.Серовой о Мышонке, избавившем лесных жителей от страха.</t>
        </is>
      </c>
      <c r="L3870" s="2" t="inlineStr">
        <is>
          <t>2026-10_мультфильмы_список_владельца.xlsx; https://animator.ru/db/?p=show_film&amp;fid=2614</t>
        </is>
      </c>
      <c r="M3870" s="2">
        <f>HYPERLINK("https://ru.wikipedia.org/w/index.php?search=%D0%92%D0%BE%D0%BB%D1%88%D0%B5%D0%B1%D0%BD%D1%8B%D0%B5%20%D1%84%D0%BE%D0%BD%D0%B0%D1%80%D0%B8%D0%BA%D0%B8%201973%20%D1%84%D0%B8%D0%BB%D1%8C%D0%BC","искать")</f>
        <v/>
      </c>
      <c r="N3870" s="3" t="n"/>
      <c r="O3870" s="2" t="n"/>
      <c r="P3870" s="2" t="n"/>
    </row>
    <row r="3871">
      <c r="A3871" s="2" t="n">
        <v>3870</v>
      </c>
      <c r="B3871" s="2" t="inlineStr">
        <is>
          <t>короткая</t>
        </is>
      </c>
      <c r="C3871" s="2" t="n">
        <v>11764</v>
      </c>
      <c r="D3871" s="3" t="inlineStr">
        <is>
          <t>Верните Рекса</t>
        </is>
      </c>
      <c r="E3871" s="2" t="n">
        <v>1975</v>
      </c>
      <c r="F3871" s="2" t="inlineStr">
        <is>
          <t>мультфильм</t>
        </is>
      </c>
      <c r="G3871" s="2" t="inlineStr">
        <is>
          <t>Союзмультфильм</t>
        </is>
      </c>
      <c r="H3871" s="2" t="n">
        <v>67</v>
      </c>
      <c r="I3871" s="2" t="inlineStr"/>
      <c r="J3871" s="2" t="inlineStr"/>
      <c r="K3871" s="3" t="inlineStr">
        <is>
          <t>Про верного пса, который отдал жизнь за маленького друга. Для детей</t>
        </is>
      </c>
      <c r="L3871" s="2" t="inlineStr">
        <is>
          <t>https://animator.ru/db/?p=show_film&amp;fid=2678</t>
        </is>
      </c>
      <c r="M3871" s="2">
        <f>HYPERLINK("https://ru.wikipedia.org/w/index.php?search=%D0%92%D0%B5%D1%80%D0%BD%D0%B8%D1%82%D0%B5%20%D0%A0%D0%B5%D0%BA%D1%81%D0%B0%201975%20%D1%84%D0%B8%D0%BB%D1%8C%D0%BC","искать")</f>
        <v/>
      </c>
      <c r="N3871" s="3" t="n"/>
      <c r="O3871" s="2" t="n"/>
      <c r="P3871" s="2" t="n"/>
    </row>
    <row r="3872">
      <c r="A3872" s="2" t="n">
        <v>3871</v>
      </c>
      <c r="B3872" s="2" t="inlineStr">
        <is>
          <t>короткая</t>
        </is>
      </c>
      <c r="C3872" s="2" t="n">
        <v>13808</v>
      </c>
      <c r="D3872" s="3" t="inlineStr">
        <is>
          <t>Остров капитанов 1</t>
        </is>
      </c>
      <c r="E3872" s="2" t="n">
        <v>1985</v>
      </c>
      <c r="F3872" s="2" t="inlineStr">
        <is>
          <t>мультфильм</t>
        </is>
      </c>
      <c r="G3872" s="2" t="inlineStr">
        <is>
          <t>ЭКРАН</t>
        </is>
      </c>
      <c r="H3872" s="2" t="n">
        <v>67</v>
      </c>
      <c r="I3872" s="2" t="inlineStr"/>
      <c r="J3872" s="2" t="inlineStr"/>
      <c r="K3872" s="3" t="inlineStr">
        <is>
          <t>О маленьких капитанах, которые победили страшных пиратов. Для детей</t>
        </is>
      </c>
      <c r="L3872" s="2" t="inlineStr">
        <is>
          <t>https://animator.ru/db/?p=show_film&amp;fid=5201</t>
        </is>
      </c>
      <c r="M3872" s="2">
        <f>HYPERLINK("https://ru.wikipedia.org/w/index.php?search=%D0%9E%D1%81%D1%82%D1%80%D0%BE%D0%B2%20%D0%BA%D0%B0%D0%BF%D0%B8%D1%82%D0%B0%D0%BD%D0%BE%D0%B2%201%201985%20%D1%84%D0%B8%D0%BB%D1%8C%D0%BC","искать")</f>
        <v/>
      </c>
      <c r="N3872" s="3" t="n"/>
      <c r="O3872" s="2" t="n"/>
      <c r="P3872" s="2" t="n"/>
    </row>
    <row r="3873">
      <c r="A3873" s="2" t="n">
        <v>3872</v>
      </c>
      <c r="B3873" s="2" t="inlineStr">
        <is>
          <t>короткая</t>
        </is>
      </c>
      <c r="C3873" s="2" t="n">
        <v>10723</v>
      </c>
      <c r="D3873" s="3" t="inlineStr">
        <is>
          <t>Четыре беспокойных дня в Кудиновке</t>
        </is>
      </c>
      <c r="E3873" s="2" t="n">
        <v>1977</v>
      </c>
      <c r="F3873" s="2" t="inlineStr">
        <is>
          <t>фильм-спектакль</t>
        </is>
      </c>
      <c r="G3873" s="2" t="inlineStr">
        <is>
          <t>Центральное телевидение</t>
        </is>
      </c>
      <c r="H3873" s="2" t="n">
        <v>68</v>
      </c>
      <c r="I3873" s="2" t="inlineStr"/>
      <c r="J3873" s="2" t="inlineStr"/>
      <c r="K3873" s="3" t="inlineStr">
        <is>
          <t>По произведению В. Тучкова.
Приключения школьников на уборке урожая.</t>
        </is>
      </c>
      <c r="L3873" s="2" t="inlineStr">
        <is>
          <t>https://www.kino-teatr.ru/teatr/movie/9013/annot/</t>
        </is>
      </c>
      <c r="M3873" s="2">
        <f>HYPERLINK("https://ru.wikipedia.org/w/index.php?search=%D0%A7%D0%B5%D1%82%D1%8B%D1%80%D0%B5%20%D0%B1%D0%B5%D1%81%D0%BF%D0%BE%D0%BA%D0%BE%D0%B9%D0%BD%D1%8B%D1%85%20%D0%B4%D0%BD%D1%8F%20%D0%B2%20%D0%9A%D1%83%D0%B4%D0%B8%D0%BD%D0%BE%D0%B2%D0%BA%D0%B5%201977%20%D1%84%D0%B8%D0%BB%D1%8C%D0%BC","искать")</f>
        <v/>
      </c>
      <c r="N3873" s="3" t="n"/>
      <c r="O3873" s="2" t="n"/>
      <c r="P3873" s="2" t="n"/>
    </row>
    <row r="3874">
      <c r="A3874" s="2" t="n">
        <v>3873</v>
      </c>
      <c r="B3874" s="2" t="inlineStr">
        <is>
          <t>короткая</t>
        </is>
      </c>
      <c r="C3874" s="2" t="n">
        <v>11747</v>
      </c>
      <c r="D3874" s="3" t="inlineStr">
        <is>
          <t>Прометей</t>
        </is>
      </c>
      <c r="E3874" s="2" t="n">
        <v>1974</v>
      </c>
      <c r="F3874" s="2" t="inlineStr">
        <is>
          <t>мультфильм</t>
        </is>
      </c>
      <c r="G3874" s="2" t="inlineStr">
        <is>
          <t>Союзмультфильм</t>
        </is>
      </c>
      <c r="H3874" s="2" t="n">
        <v>68</v>
      </c>
      <c r="I3874" s="2" t="inlineStr"/>
      <c r="J3874" s="2" t="inlineStr"/>
      <c r="K3874" s="3" t="inlineStr">
        <is>
          <t>По мотивам древнегреческого мифа о Прометее, подарившем огонь людям.</t>
        </is>
      </c>
      <c r="L3874" s="2" t="inlineStr">
        <is>
          <t>2026-10_мультфильмы_список_владельца.xlsx; https://animator.ru/db/?p=show_film&amp;fid=2661</t>
        </is>
      </c>
      <c r="M3874" s="2">
        <f>HYPERLINK("https://ru.wikipedia.org/w/index.php?search=%D0%9F%D1%80%D0%BE%D0%BC%D0%B5%D1%82%D0%B5%D0%B9%201974%20%D1%84%D0%B8%D0%BB%D1%8C%D0%BC","искать")</f>
        <v/>
      </c>
      <c r="N3874" s="3" t="n"/>
      <c r="O3874" s="2" t="n"/>
      <c r="P3874" s="2" t="n"/>
    </row>
    <row r="3875">
      <c r="A3875" s="2" t="n">
        <v>3874</v>
      </c>
      <c r="B3875" s="2" t="inlineStr">
        <is>
          <t>короткая</t>
        </is>
      </c>
      <c r="C3875" s="2" t="n">
        <v>12354</v>
      </c>
      <c r="D3875" s="3" t="inlineStr">
        <is>
          <t>Бурый и белый</t>
        </is>
      </c>
      <c r="E3875" s="2" t="n">
        <v>1976</v>
      </c>
      <c r="F3875" s="2" t="inlineStr">
        <is>
          <t>мультфильм</t>
        </is>
      </c>
      <c r="G3875" s="2" t="inlineStr">
        <is>
          <t>КИЕВНАУЧФИЛЬМ</t>
        </is>
      </c>
      <c r="H3875" s="2" t="n">
        <v>68</v>
      </c>
      <c r="I3875" s="2" t="inlineStr"/>
      <c r="J3875" s="2" t="inlineStr"/>
      <c r="K3875" s="3" t="inlineStr">
        <is>
          <t>Дело 1. Бурый и Белый. Детектив Тедди разыскивает пропавших медвежат</t>
        </is>
      </c>
      <c r="L3875" s="2" t="inlineStr">
        <is>
          <t>https://animator.ru/db/?p=show_film&amp;fid=3521</t>
        </is>
      </c>
      <c r="M3875" s="2">
        <f>HYPERLINK("https://ru.wikipedia.org/w/index.php?search=%D0%91%D1%83%D1%80%D1%8B%D0%B9%20%D0%B8%20%D0%B1%D0%B5%D0%BB%D1%8B%D0%B9%201976%20%D1%84%D0%B8%D0%BB%D1%8C%D0%BC","искать")</f>
        <v/>
      </c>
      <c r="N3875" s="3" t="n"/>
      <c r="O3875" s="2" t="n"/>
      <c r="P3875" s="2" t="n"/>
    </row>
    <row r="3876">
      <c r="A3876" s="2" t="n">
        <v>3875</v>
      </c>
      <c r="B3876" s="2" t="inlineStr">
        <is>
          <t>короткая</t>
        </is>
      </c>
      <c r="C3876" s="2" t="n">
        <v>12417</v>
      </c>
      <c r="D3876" s="3" t="inlineStr">
        <is>
          <t>Как ежик и медвежонок встречали новый год</t>
        </is>
      </c>
      <c r="E3876" s="2" t="n">
        <v>1975</v>
      </c>
      <c r="F3876" s="2" t="inlineStr">
        <is>
          <t>мультфильм</t>
        </is>
      </c>
      <c r="G3876" s="2" t="inlineStr">
        <is>
          <t>КИЕВНАУЧФИЛЬМ</t>
        </is>
      </c>
      <c r="H3876" s="2" t="n">
        <v>68</v>
      </c>
      <c r="I3876" s="2" t="inlineStr"/>
      <c r="J3876" s="2" t="inlineStr"/>
      <c r="K3876" s="3" t="inlineStr">
        <is>
          <t>Ну какой же Новый Год без елки? Дружба преодолеет любые препятствия!</t>
        </is>
      </c>
      <c r="L3876" s="2" t="inlineStr">
        <is>
          <t>2026-10_мультфильмы_список_владельца.xlsx; https://animator.ru/db/?p=show_film&amp;fid=3588</t>
        </is>
      </c>
      <c r="M3876" s="2">
        <f>HYPERLINK("https://ru.wikipedia.org/w/index.php?search=%D0%9A%D0%B0%D0%BA%20%D0%B5%D0%B6%D0%B8%D0%BA%20%D0%B8%20%D0%BC%D0%B5%D0%B4%D0%B2%D0%B5%D0%B6%D0%BE%D0%BD%D0%BE%D0%BA%20%D0%B2%D1%81%D1%82%D1%80%D0%B5%D1%87%D0%B0%D0%BB%D0%B8%20%D0%BD%D0%BE%D0%B2%D1%8B%D0%B9%20%D0%B3%D0%BE%D0%B4%201975%20%D1%84%D0%B8%D0%BB%D1%8C%D0%BC","искать")</f>
        <v/>
      </c>
      <c r="N3876" s="3" t="n"/>
      <c r="O3876" s="2" t="n"/>
      <c r="P3876" s="2" t="n"/>
    </row>
    <row r="3877">
      <c r="A3877" s="2" t="n">
        <v>3876</v>
      </c>
      <c r="B3877" s="2" t="inlineStr">
        <is>
          <t>короткая</t>
        </is>
      </c>
      <c r="C3877" s="2" t="n">
        <v>12539</v>
      </c>
      <c r="D3877" s="3" t="inlineStr">
        <is>
          <t>Самый главный воробей</t>
        </is>
      </c>
      <c r="E3877" s="2" t="n">
        <v>1977</v>
      </c>
      <c r="F3877" s="2" t="inlineStr">
        <is>
          <t>мультфильм</t>
        </is>
      </c>
      <c r="G3877" s="2" t="inlineStr">
        <is>
          <t>КИЕВНАУЧФИЛЬМ</t>
        </is>
      </c>
      <c r="H3877" s="2" t="n">
        <v>68</v>
      </c>
      <c r="I3877" s="2" t="inlineStr"/>
      <c r="J3877" s="2" t="inlineStr"/>
      <c r="K3877" s="3" t="inlineStr">
        <is>
          <t>Фильм о маленьком воробьишке, который был самым главным в аэропорту.</t>
        </is>
      </c>
      <c r="L3877" s="2" t="inlineStr">
        <is>
          <t>https://animator.ru/db/?p=show_film&amp;fid=3717</t>
        </is>
      </c>
      <c r="M3877" s="2">
        <f>HYPERLINK("https://ru.wikipedia.org/w/index.php?search=%D0%A1%D0%B0%D0%BC%D1%8B%D0%B9%20%D0%B3%D0%BB%D0%B0%D0%B2%D0%BD%D1%8B%D0%B9%20%D0%B2%D0%BE%D1%80%D0%BE%D0%B1%D0%B5%D0%B9%201977%20%D1%84%D0%B8%D0%BB%D1%8C%D0%BC","искать")</f>
        <v/>
      </c>
      <c r="N3877" s="3" t="n"/>
      <c r="O3877" s="2" t="n"/>
      <c r="P3877" s="2" t="n"/>
    </row>
    <row r="3878">
      <c r="A3878" s="2" t="n">
        <v>3877</v>
      </c>
      <c r="B3878" s="2" t="inlineStr">
        <is>
          <t>короткая</t>
        </is>
      </c>
      <c r="C3878" s="2" t="n">
        <v>13209</v>
      </c>
      <c r="D3878" s="3" t="inlineStr">
        <is>
          <t>Шлеп, шмяк, бряк</t>
        </is>
      </c>
      <c r="E3878" s="2" t="n">
        <v>1988</v>
      </c>
      <c r="F3878" s="2" t="inlineStr">
        <is>
          <t>мультфильм</t>
        </is>
      </c>
      <c r="G3878" s="2" t="inlineStr">
        <is>
          <t>УЗБЕКФИЛЬМ</t>
        </is>
      </c>
      <c r="H3878" s="2" t="n">
        <v>68</v>
      </c>
      <c r="I3878" s="2" t="inlineStr"/>
      <c r="J3878" s="2" t="inlineStr"/>
      <c r="K3878" s="3" t="inlineStr">
        <is>
          <t>О добром сказочном старичке, помирившем родителей девочки. Для детей</t>
        </is>
      </c>
      <c r="L3878" s="2" t="inlineStr">
        <is>
          <t>https://animator.ru/db/?p=show_film&amp;fid=4448</t>
        </is>
      </c>
      <c r="M3878" s="2">
        <f>HYPERLINK("https://ru.wikipedia.org/w/index.php?search=%D0%A8%D0%BB%D0%B5%D0%BF%2C%20%D1%88%D0%BC%D1%8F%D0%BA%2C%20%D0%B1%D1%80%D1%8F%D0%BA%201988%20%D1%84%D0%B8%D0%BB%D1%8C%D0%BC","искать")</f>
        <v/>
      </c>
      <c r="N3878" s="3" t="n"/>
      <c r="O3878" s="2" t="n"/>
      <c r="P3878" s="2" t="n"/>
    </row>
    <row r="3879">
      <c r="A3879" s="2" t="n">
        <v>3878</v>
      </c>
      <c r="B3879" s="2" t="inlineStr">
        <is>
          <t>короткая</t>
        </is>
      </c>
      <c r="C3879" s="2" t="n">
        <v>13218</v>
      </c>
      <c r="D3879" s="3" t="inlineStr">
        <is>
          <t>Короли бензоколонки</t>
        </is>
      </c>
      <c r="E3879" s="2" t="n">
        <v>1990</v>
      </c>
      <c r="F3879" s="2" t="inlineStr">
        <is>
          <t>мультфильм</t>
        </is>
      </c>
      <c r="G3879" s="2" t="inlineStr">
        <is>
          <t>КАЗАХФИЛЬМ</t>
        </is>
      </c>
      <c r="H3879" s="2" t="n">
        <v>68</v>
      </c>
      <c r="I3879" s="2" t="inlineStr"/>
      <c r="J3879" s="2" t="inlineStr"/>
      <c r="K3879" s="3" t="inlineStr">
        <is>
          <t>Шутливая история о частниках - владельцах бензоколонки. Для взрослых</t>
        </is>
      </c>
      <c r="L3879" s="2" t="inlineStr">
        <is>
          <t>https://animator.ru/db/?p=show_film&amp;fid=4457</t>
        </is>
      </c>
      <c r="M3879" s="2">
        <f>HYPERLINK("https://ru.wikipedia.org/w/index.php?search=%D0%9A%D0%BE%D1%80%D0%BE%D0%BB%D0%B8%20%D0%B1%D0%B5%D0%BD%D0%B7%D0%BE%D0%BA%D0%BE%D0%BB%D0%BE%D0%BD%D0%BA%D0%B8%201990%20%D1%84%D0%B8%D0%BB%D1%8C%D0%BC","искать")</f>
        <v/>
      </c>
      <c r="N3879" s="3" t="n"/>
      <c r="O3879" s="2" t="n"/>
      <c r="P3879" s="2" t="n"/>
    </row>
    <row r="3880">
      <c r="A3880" s="2" t="n">
        <v>3879</v>
      </c>
      <c r="B3880" s="2" t="inlineStr">
        <is>
          <t>короткая</t>
        </is>
      </c>
      <c r="C3880" s="2" t="n">
        <v>13463</v>
      </c>
      <c r="D3880" s="3" t="inlineStr">
        <is>
          <t>Подземный переход</t>
        </is>
      </c>
      <c r="E3880" s="2" t="n">
        <v>1984</v>
      </c>
      <c r="F3880" s="2" t="inlineStr">
        <is>
          <t>мультфильм</t>
        </is>
      </c>
      <c r="G3880" s="2" t="inlineStr">
        <is>
          <t>ЭКРАН</t>
        </is>
      </c>
      <c r="H3880" s="2" t="n">
        <v>68</v>
      </c>
      <c r="I3880" s="2" t="inlineStr"/>
      <c r="J3880" s="2" t="inlineStr"/>
      <c r="K3880" s="3" t="inlineStr">
        <is>
          <t>О веселых приключениях ужа, ондатры, лисенка и барсучка. Для малышей</t>
        </is>
      </c>
      <c r="L3880" s="2" t="inlineStr">
        <is>
          <t>https://animator.ru/db/?p=show_film&amp;fid=4744</t>
        </is>
      </c>
      <c r="M3880" s="2">
        <f>HYPERLINK("https://ru.wikipedia.org/w/index.php?search=%D0%9F%D0%BE%D0%B4%D0%B7%D0%B5%D0%BC%D0%BD%D1%8B%D0%B9%20%D0%BF%D0%B5%D1%80%D0%B5%D1%85%D0%BE%D0%B4%201984%20%D1%84%D0%B8%D0%BB%D1%8C%D0%BC","искать")</f>
        <v/>
      </c>
      <c r="N3880" s="3" t="n"/>
      <c r="O3880" s="2" t="n"/>
      <c r="P3880" s="2" t="n"/>
    </row>
    <row r="3881">
      <c r="A3881" s="2" t="n">
        <v>3880</v>
      </c>
      <c r="B3881" s="2" t="inlineStr">
        <is>
          <t>короткая</t>
        </is>
      </c>
      <c r="C3881" s="2" t="n">
        <v>13778</v>
      </c>
      <c r="D3881" s="3" t="inlineStr">
        <is>
          <t>Нарисовать начало</t>
        </is>
      </c>
      <c r="E3881" s="2" t="n">
        <v>1975</v>
      </c>
      <c r="F3881" s="2" t="inlineStr">
        <is>
          <t>мультфильм</t>
        </is>
      </c>
      <c r="G3881" s="2" t="inlineStr">
        <is>
          <t>ЭКРАН</t>
        </is>
      </c>
      <c r="H3881" s="2" t="n">
        <v>68</v>
      </c>
      <c r="I3881" s="2" t="inlineStr"/>
      <c r="J3881" s="2" t="inlineStr"/>
      <c r="K3881" s="3" t="inlineStr">
        <is>
          <t>О приключениях человечков, нарисованных на классной доске. Для детей</t>
        </is>
      </c>
      <c r="L3881" s="2" t="inlineStr">
        <is>
          <t>https://animator.ru/db/?p=show_film&amp;fid=5171</t>
        </is>
      </c>
      <c r="M3881" s="2">
        <f>HYPERLINK("https://ru.wikipedia.org/w/index.php?search=%D0%9D%D0%B0%D1%80%D0%B8%D1%81%D0%BE%D0%B2%D0%B0%D1%82%D1%8C%20%D0%BD%D0%B0%D1%87%D0%B0%D0%BB%D0%BE%201975%20%D1%84%D0%B8%D0%BB%D1%8C%D0%BC","искать")</f>
        <v/>
      </c>
      <c r="N3881" s="3" t="n"/>
      <c r="O3881" s="2" t="n"/>
      <c r="P3881" s="2" t="n"/>
    </row>
    <row r="3882">
      <c r="A3882" s="2" t="n">
        <v>3881</v>
      </c>
      <c r="B3882" s="2" t="inlineStr">
        <is>
          <t>короткая</t>
        </is>
      </c>
      <c r="C3882" s="2" t="n">
        <v>13909</v>
      </c>
      <c r="D3882" s="3" t="inlineStr">
        <is>
          <t>Соломенный жаворонок</t>
        </is>
      </c>
      <c r="E3882" s="2" t="n">
        <v>1980</v>
      </c>
      <c r="F3882" s="2" t="inlineStr">
        <is>
          <t>мультфильм</t>
        </is>
      </c>
      <c r="G3882" s="2" t="inlineStr">
        <is>
          <t>ЭКРАН</t>
        </is>
      </c>
      <c r="H3882" s="2" t="n">
        <v>68</v>
      </c>
      <c r="I3882" s="2" t="inlineStr"/>
      <c r="J3882" s="2" t="inlineStr"/>
      <c r="K3882" s="3" t="inlineStr">
        <is>
          <t>По мотивам русских сказок о мальчике, который освободил Весну Красну</t>
        </is>
      </c>
      <c r="L3882" s="2" t="inlineStr">
        <is>
          <t>https://animator.ru/db/?p=show_film&amp;fid=5303</t>
        </is>
      </c>
      <c r="M3882" s="2">
        <f>HYPERLINK("https://ru.wikipedia.org/w/index.php?search=%D0%A1%D0%BE%D0%BB%D0%BE%D0%BC%D0%B5%D0%BD%D0%BD%D1%8B%D0%B9%20%D0%B6%D0%B0%D0%B2%D0%BE%D1%80%D0%BE%D0%BD%D0%BE%D0%BA%201980%20%D1%84%D0%B8%D0%BB%D1%8C%D0%BC","искать")</f>
        <v/>
      </c>
      <c r="N3882" s="3" t="n"/>
      <c r="O3882" s="2" t="n"/>
      <c r="P3882" s="2" t="n"/>
    </row>
    <row r="3883">
      <c r="A3883" s="2" t="n">
        <v>3882</v>
      </c>
      <c r="B3883" s="2" t="inlineStr">
        <is>
          <t>короткая</t>
        </is>
      </c>
      <c r="C3883" s="2" t="n">
        <v>13998</v>
      </c>
      <c r="D3883" s="3" t="inlineStr">
        <is>
          <t>ШКОЛА ПОМОЩНИКОВ. Фильм первый</t>
        </is>
      </c>
      <c r="E3883" s="2" t="n">
        <v>1986</v>
      </c>
      <c r="F3883" s="2" t="inlineStr">
        <is>
          <t>мультфильм</t>
        </is>
      </c>
      <c r="G3883" s="2" t="inlineStr">
        <is>
          <t>ЭКРАН</t>
        </is>
      </c>
      <c r="H3883" s="2" t="n">
        <v>68</v>
      </c>
      <c r="I3883" s="2" t="inlineStr"/>
      <c r="J3883" s="2" t="inlineStr"/>
      <c r="K3883" s="3" t="inlineStr">
        <is>
          <t>Кукла-директор и Мипрофончик учат детей домашней работе. Для малышей</t>
        </is>
      </c>
      <c r="L3883" s="2" t="inlineStr">
        <is>
          <t>https://animator.ru/db/?p=show_film&amp;fid=5392</t>
        </is>
      </c>
      <c r="M3883" s="2">
        <f>HYPERLINK("https://ru.wikipedia.org/w/index.php?search=%D0%A8%D0%9A%D0%9E%D0%9B%D0%90%20%D0%9F%D0%9E%D0%9C%D0%9E%D0%A9%D0%9D%D0%98%D0%9A%D0%9E%D0%92.%20%D0%A4%D0%B8%D0%BB%D1%8C%D0%BC%20%D0%BF%D0%B5%D1%80%D0%B2%D1%8B%D0%B9%201986%20%D1%84%D0%B8%D0%BB%D1%8C%D0%BC","искать")</f>
        <v/>
      </c>
      <c r="N3883" s="3" t="n"/>
      <c r="O3883" s="2" t="n"/>
      <c r="P3883" s="2" t="n"/>
    </row>
    <row r="3884">
      <c r="A3884" s="2" t="n">
        <v>3883</v>
      </c>
      <c r="B3884" s="2" t="inlineStr">
        <is>
          <t>короткая</t>
        </is>
      </c>
      <c r="C3884" s="2" t="n">
        <v>14033</v>
      </c>
      <c r="D3884" s="3" t="inlineStr">
        <is>
          <t>Летающий суслик</t>
        </is>
      </c>
      <c r="E3884" s="2" t="n">
        <v>1983</v>
      </c>
      <c r="F3884" s="2" t="inlineStr">
        <is>
          <t>мультфильм</t>
        </is>
      </c>
      <c r="G3884" s="2" t="inlineStr">
        <is>
          <t>УЗБЕКФИЛЬМ</t>
        </is>
      </c>
      <c r="H3884" s="2" t="n">
        <v>68</v>
      </c>
      <c r="I3884" s="2" t="inlineStr"/>
      <c r="J3884" s="2" t="inlineStr"/>
      <c r="K3884" s="3" t="inlineStr">
        <is>
          <t>Как маленький суслик попал в орлиное гнездо и подружился с орленком.</t>
        </is>
      </c>
      <c r="L3884" s="2" t="inlineStr">
        <is>
          <t>2026-10_мультфильмы_список_владельца.xlsx; https://animator.ru/db/?p=show_film&amp;fid=5429</t>
        </is>
      </c>
      <c r="M3884" s="2">
        <f>HYPERLINK("https://ru.wikipedia.org/w/index.php?search=%D0%9B%D0%B5%D1%82%D0%B0%D1%8E%D1%89%D0%B8%D0%B9%20%D1%81%D1%83%D1%81%D0%BB%D0%B8%D0%BA%201983%20%D1%84%D0%B8%D0%BB%D1%8C%D0%BC","искать")</f>
        <v/>
      </c>
      <c r="N3884" s="3" t="n"/>
      <c r="O3884" s="2" t="n"/>
      <c r="P3884" s="2" t="n"/>
    </row>
    <row r="3885">
      <c r="A3885" s="2" t="n">
        <v>3884</v>
      </c>
      <c r="B3885" s="2" t="inlineStr">
        <is>
          <t>короткая</t>
        </is>
      </c>
      <c r="C3885" s="2" t="n">
        <v>14045</v>
      </c>
      <c r="D3885" s="3" t="inlineStr">
        <is>
          <t>Пингвиненок</t>
        </is>
      </c>
      <c r="E3885" s="2" t="n">
        <v>1983</v>
      </c>
      <c r="F3885" s="2" t="inlineStr">
        <is>
          <t>мультфильм</t>
        </is>
      </c>
      <c r="G3885" s="2" t="inlineStr">
        <is>
          <t>Свердловская киностудия</t>
        </is>
      </c>
      <c r="H3885" s="2" t="n">
        <v>68</v>
      </c>
      <c r="I3885" s="2" t="inlineStr"/>
      <c r="J3885" s="2" t="inlineStr"/>
      <c r="K3885" s="3" t="inlineStr">
        <is>
          <t>Как подружились пингвиненок с Южного полюса и медвежонок с Северного</t>
        </is>
      </c>
      <c r="L3885" s="2" t="inlineStr">
        <is>
          <t>https://animator.ru/db/?p=show_film&amp;fid=5441</t>
        </is>
      </c>
      <c r="M3885" s="2">
        <f>HYPERLINK("https://ru.wikipedia.org/w/index.php?search=%D0%9F%D0%B8%D0%BD%D0%B3%D0%B2%D0%B8%D0%BD%D0%B5%D0%BD%D0%BE%D0%BA%201983%20%D1%84%D0%B8%D0%BB%D1%8C%D0%BC","искать")</f>
        <v/>
      </c>
      <c r="N3885" s="3" t="n"/>
      <c r="O3885" s="2" t="n"/>
      <c r="P3885" s="2" t="n"/>
    </row>
    <row r="3886">
      <c r="A3886" s="2" t="n">
        <v>3885</v>
      </c>
      <c r="B3886" s="2" t="inlineStr">
        <is>
          <t>короткая</t>
        </is>
      </c>
      <c r="C3886" s="2" t="n">
        <v>14083</v>
      </c>
      <c r="D3886" s="3" t="inlineStr">
        <is>
          <t>Шубка для тучи</t>
        </is>
      </c>
      <c r="E3886" s="2" t="n">
        <v>1987</v>
      </c>
      <c r="F3886" s="2" t="inlineStr">
        <is>
          <t>мультфильм</t>
        </is>
      </c>
      <c r="G3886" s="2" t="inlineStr">
        <is>
          <t>ТАДЖИКФИЛЬМ</t>
        </is>
      </c>
      <c r="H3886" s="2" t="n">
        <v>68</v>
      </c>
      <c r="I3886" s="2" t="inlineStr"/>
      <c r="J3886" s="2" t="inlineStr"/>
      <c r="K3886" s="3" t="inlineStr">
        <is>
          <t>Как волшебник-портной превратил невзрачный уголок в цветущую долину.</t>
        </is>
      </c>
      <c r="L3886" s="2" t="inlineStr">
        <is>
          <t>2026-10_мультфильмы_список_владельца.xlsx; https://animator.ru/db/?p=show_film&amp;fid=5480</t>
        </is>
      </c>
      <c r="M3886" s="2">
        <f>HYPERLINK("https://ru.wikipedia.org/w/index.php?search=%D0%A8%D1%83%D0%B1%D0%BA%D0%B0%20%D0%B4%D0%BB%D1%8F%20%D1%82%D1%83%D1%87%D0%B8%201987%20%D1%84%D0%B8%D0%BB%D1%8C%D0%BC","искать")</f>
        <v/>
      </c>
      <c r="N3886" s="3" t="n"/>
      <c r="O3886" s="2" t="n"/>
      <c r="P3886" s="2" t="n"/>
    </row>
    <row r="3887">
      <c r="A3887" s="2" t="n">
        <v>3886</v>
      </c>
      <c r="B3887" s="2" t="inlineStr">
        <is>
          <t>короткая</t>
        </is>
      </c>
      <c r="C3887" s="2" t="n">
        <v>11601</v>
      </c>
      <c r="D3887" s="3" t="inlineStr">
        <is>
          <t>Ну, Погоди! ч.2</t>
        </is>
      </c>
      <c r="E3887" s="2" t="n">
        <v>1970</v>
      </c>
      <c r="F3887" s="2" t="inlineStr">
        <is>
          <t>мультфильм</t>
        </is>
      </c>
      <c r="G3887" s="2" t="inlineStr">
        <is>
          <t>Союзмультфильм</t>
        </is>
      </c>
      <c r="H3887" s="2" t="n">
        <v>69</v>
      </c>
      <c r="I3887" s="2" t="inlineStr"/>
      <c r="J3887" s="2" t="inlineStr"/>
      <c r="K3887" s="3" t="inlineStr">
        <is>
          <t>Второй выпуск о приключениях Волка и Зайца в парке культуры и отдыха.</t>
        </is>
      </c>
      <c r="L3887" s="2" t="inlineStr">
        <is>
          <t>2026-10_мультфильмы_список_владельца.xlsx; https://animator.ru/db/?p=show_film&amp;fid=2514</t>
        </is>
      </c>
      <c r="M3887" s="2">
        <f>HYPERLINK("https://ru.wikipedia.org/w/index.php?search=%D0%9D%D1%83%2C%20%D0%9F%D0%BE%D0%B3%D0%BE%D0%B4%D0%B8%21%20%D1%87.2%201970%20%D1%84%D0%B8%D0%BB%D1%8C%D0%BC","искать")</f>
        <v/>
      </c>
      <c r="N3887" s="3" t="n"/>
      <c r="O3887" s="2" t="n"/>
      <c r="P3887" s="2" t="n"/>
    </row>
    <row r="3888">
      <c r="A3888" s="2" t="n">
        <v>3887</v>
      </c>
      <c r="B3888" s="2" t="inlineStr">
        <is>
          <t>короткая</t>
        </is>
      </c>
      <c r="C3888" s="2" t="n">
        <v>11707</v>
      </c>
      <c r="D3888" s="3" t="inlineStr">
        <is>
          <t>Немухинские музыканты</t>
        </is>
      </c>
      <c r="E3888" s="2" t="n">
        <v>1973</v>
      </c>
      <c r="F3888" s="2" t="inlineStr">
        <is>
          <t>мультфильм</t>
        </is>
      </c>
      <c r="G3888" s="2" t="inlineStr">
        <is>
          <t>Союзмультфильм</t>
        </is>
      </c>
      <c r="H3888" s="2" t="n">
        <v>69</v>
      </c>
      <c r="I3888" s="2" t="inlineStr"/>
      <c r="J3888" s="2" t="inlineStr"/>
      <c r="K3888" s="3" t="inlineStr">
        <is>
          <t>Каждвй цвет звучит по-своему - это и доказали герои фильма. Для детей</t>
        </is>
      </c>
      <c r="L3888" s="2" t="inlineStr">
        <is>
          <t>https://animator.ru/db/?p=show_film&amp;fid=2621</t>
        </is>
      </c>
      <c r="M3888" s="2">
        <f>HYPERLINK("https://ru.wikipedia.org/w/index.php?search=%D0%9D%D0%B5%D0%BC%D1%83%D1%85%D0%B8%D0%BD%D1%81%D0%BA%D0%B8%D0%B5%20%D0%BC%D1%83%D0%B7%D1%8B%D0%BA%D0%B0%D0%BD%D1%82%D1%8B%201973%20%D1%84%D0%B8%D0%BB%D1%8C%D0%BC","искать")</f>
        <v/>
      </c>
      <c r="N3888" s="3" t="n"/>
      <c r="O3888" s="2" t="n"/>
      <c r="P3888" s="2" t="n"/>
    </row>
    <row r="3889">
      <c r="A3889" s="2" t="n">
        <v>3888</v>
      </c>
      <c r="B3889" s="2" t="inlineStr">
        <is>
          <t>короткая</t>
        </is>
      </c>
      <c r="C3889" s="2" t="n">
        <v>11758</v>
      </c>
      <c r="D3889" s="3" t="inlineStr">
        <is>
          <t>Чебурашка. 3. Шапокляк</t>
        </is>
      </c>
      <c r="E3889" s="2" t="n">
        <v>1974</v>
      </c>
      <c r="F3889" s="2" t="inlineStr">
        <is>
          <t>мультфильм</t>
        </is>
      </c>
      <c r="G3889" s="2" t="inlineStr">
        <is>
          <t>Союзмультфильм</t>
        </is>
      </c>
      <c r="H3889" s="2" t="n">
        <v>69</v>
      </c>
      <c r="I3889" s="2" t="inlineStr"/>
      <c r="J3889" s="2" t="inlineStr"/>
      <c r="K3889" s="3" t="inlineStr">
        <is>
          <t>Продолжение приключений Чебурашки, Крокодила Гены и старушки Шапокляк</t>
        </is>
      </c>
      <c r="L3889" s="2" t="inlineStr">
        <is>
          <t>https://animator.ru/db/?p=show_film&amp;fid=2672</t>
        </is>
      </c>
      <c r="M3889" s="2">
        <f>HYPERLINK("https://ru.wikipedia.org/w/index.php?search=%D0%A7%D0%B5%D0%B1%D1%83%D1%80%D0%B0%D1%88%D0%BA%D0%B0.%203.%20%D0%A8%D0%B0%D0%BF%D0%BE%D0%BA%D0%BB%D1%8F%D0%BA%201974%20%D1%84%D0%B8%D0%BB%D1%8C%D0%BC","искать")</f>
        <v/>
      </c>
      <c r="N3889" s="3" t="n"/>
      <c r="O3889" s="2" t="n"/>
      <c r="P3889" s="2" t="n"/>
    </row>
    <row r="3890">
      <c r="A3890" s="2" t="n">
        <v>3889</v>
      </c>
      <c r="B3890" s="2" t="inlineStr">
        <is>
          <t>короткая</t>
        </is>
      </c>
      <c r="C3890" s="2" t="n">
        <v>11812</v>
      </c>
      <c r="D3890" s="3" t="inlineStr">
        <is>
          <t>Птичка Тари</t>
        </is>
      </c>
      <c r="E3890" s="2" t="n">
        <v>1976</v>
      </c>
      <c r="F3890" s="2" t="inlineStr">
        <is>
          <t>мультфильм</t>
        </is>
      </c>
      <c r="G3890" s="2" t="inlineStr">
        <is>
          <t>Союзмультфильм</t>
        </is>
      </c>
      <c r="H3890" s="2" t="n">
        <v>69</v>
      </c>
      <c r="I3890" s="2" t="inlineStr"/>
      <c r="J3890" s="2" t="inlineStr"/>
      <c r="K3890" s="3" t="inlineStr">
        <is>
          <t>О полезной птичке, которая непобоялась чистить зубы самому крокодилу.</t>
        </is>
      </c>
      <c r="L3890" s="2" t="inlineStr">
        <is>
          <t>2026-10_мультфильмы_список_владельца.xlsx; https://animator.ru/db/?p=show_film&amp;fid=2726</t>
        </is>
      </c>
      <c r="M3890" s="2">
        <f>HYPERLINK("https://ru.wikipedia.org/w/index.php?search=%D0%9F%D1%82%D0%B8%D1%87%D0%BA%D0%B0%20%D0%A2%D0%B0%D1%80%D0%B8%201976%20%D1%84%D0%B8%D0%BB%D1%8C%D0%BC","искать")</f>
        <v/>
      </c>
      <c r="N3890" s="3" t="n"/>
      <c r="O3890" s="2" t="n"/>
      <c r="P3890" s="2" t="n"/>
    </row>
    <row r="3891">
      <c r="A3891" s="2" t="n">
        <v>3890</v>
      </c>
      <c r="B3891" s="2" t="inlineStr">
        <is>
          <t>короткая</t>
        </is>
      </c>
      <c r="C3891" s="2" t="n">
        <v>12812</v>
      </c>
      <c r="D3891" s="3" t="inlineStr">
        <is>
          <t>Как построили дом</t>
        </is>
      </c>
      <c r="E3891" s="2" t="n">
        <v>1965</v>
      </c>
      <c r="F3891" s="2" t="inlineStr">
        <is>
          <t>мультфильм</t>
        </is>
      </c>
      <c r="G3891" s="2" t="inlineStr">
        <is>
          <t>ГРУЗИЯ-ФИЛЬМ - АО</t>
        </is>
      </c>
      <c r="H3891" s="2" t="n">
        <v>69</v>
      </c>
      <c r="I3891" s="2" t="inlineStr"/>
      <c r="J3891" s="2" t="inlineStr"/>
      <c r="K3891" s="3" t="inlineStr">
        <is>
          <t>Притча о сотворении Первого Дома в истории человечества. Для взрослых</t>
        </is>
      </c>
      <c r="L3891" s="2" t="inlineStr">
        <is>
          <t>https://animator.ru/db/?p=show_film&amp;fid=4023</t>
        </is>
      </c>
      <c r="M3891" s="2">
        <f>HYPERLINK("https://ru.wikipedia.org/w/index.php?search=%D0%9A%D0%B0%D0%BA%20%D0%BF%D0%BE%D1%81%D1%82%D1%80%D0%BE%D0%B8%D0%BB%D0%B8%20%D0%B4%D0%BE%D0%BC%201965%20%D1%84%D0%B8%D0%BB%D1%8C%D0%BC","искать")</f>
        <v/>
      </c>
      <c r="N3891" s="3" t="n"/>
      <c r="O3891" s="2" t="n"/>
      <c r="P3891" s="2" t="n"/>
    </row>
    <row r="3892">
      <c r="A3892" s="2" t="n">
        <v>3891</v>
      </c>
      <c r="B3892" s="2" t="inlineStr">
        <is>
          <t>короткая</t>
        </is>
      </c>
      <c r="C3892" s="2" t="n">
        <v>12956</v>
      </c>
      <c r="D3892" s="3" t="inlineStr">
        <is>
          <t>Баллада о певце</t>
        </is>
      </c>
      <c r="E3892" s="2" t="n">
        <v>1987</v>
      </c>
      <c r="F3892" s="2" t="inlineStr">
        <is>
          <t>мультфильм</t>
        </is>
      </c>
      <c r="G3892" s="2" t="inlineStr">
        <is>
          <t>ГРУЗИЯ-ФИЛЬМ - АО</t>
        </is>
      </c>
      <c r="H3892" s="2" t="n">
        <v>69</v>
      </c>
      <c r="I3892" s="2" t="inlineStr"/>
      <c r="J3892" s="2" t="inlineStr"/>
      <c r="K3892" s="3" t="inlineStr">
        <is>
          <t>О том как вино и слава превратили талантливого ослика в глупого осла.</t>
        </is>
      </c>
      <c r="L3892" s="2" t="inlineStr">
        <is>
          <t>2026-10_мультфильмы_список_владельца.xlsx; https://animator.ru/db/?p=show_film&amp;fid=4186</t>
        </is>
      </c>
      <c r="M3892" s="2">
        <f>HYPERLINK("https://ru.wikipedia.org/w/index.php?search=%D0%91%D0%B0%D0%BB%D0%BB%D0%B0%D0%B4%D0%B0%20%D0%BE%20%D0%BF%D0%B5%D0%B2%D1%86%D0%B5%201987%20%D1%84%D0%B8%D0%BB%D1%8C%D0%BC","искать")</f>
        <v/>
      </c>
      <c r="N3892" s="3" t="n"/>
      <c r="O3892" s="2" t="n"/>
      <c r="P3892" s="2" t="n"/>
    </row>
    <row r="3893">
      <c r="A3893" s="2" t="n">
        <v>3892</v>
      </c>
      <c r="B3893" s="2" t="inlineStr">
        <is>
          <t>короткая</t>
        </is>
      </c>
      <c r="C3893" s="2" t="n">
        <v>13387</v>
      </c>
      <c r="D3893" s="3" t="inlineStr">
        <is>
          <t>Как тоску одолели</t>
        </is>
      </c>
      <c r="E3893" s="2" t="n">
        <v>1978</v>
      </c>
      <c r="F3893" s="2" t="inlineStr">
        <is>
          <t>мультфильм</t>
        </is>
      </c>
      <c r="G3893" s="2" t="inlineStr">
        <is>
          <t>ЭКРАН</t>
        </is>
      </c>
      <c r="H3893" s="2" t="n">
        <v>69</v>
      </c>
      <c r="I3893" s="2" t="inlineStr"/>
      <c r="J3893" s="2" t="inlineStr"/>
      <c r="K3893" s="3" t="inlineStr">
        <is>
          <t>Веселый Мастер приехал в заколдованный город и победил колдунью Тоску</t>
        </is>
      </c>
      <c r="L3893" s="2" t="inlineStr">
        <is>
          <t>https://animator.ru/db/?p=show_film&amp;fid=4667</t>
        </is>
      </c>
      <c r="M3893" s="2">
        <f>HYPERLINK("https://ru.wikipedia.org/w/index.php?search=%D0%9A%D0%B0%D0%BA%20%D1%82%D0%BE%D1%81%D0%BA%D1%83%20%D0%BE%D0%B4%D0%BE%D0%BB%D0%B5%D0%BB%D0%B8%201978%20%D1%84%D0%B8%D0%BB%D1%8C%D0%BC","искать")</f>
        <v/>
      </c>
      <c r="N3893" s="3" t="n"/>
      <c r="O3893" s="2" t="n"/>
      <c r="P3893" s="2" t="n"/>
    </row>
    <row r="3894">
      <c r="A3894" s="2" t="n">
        <v>3893</v>
      </c>
      <c r="B3894" s="2" t="inlineStr">
        <is>
          <t>короткая</t>
        </is>
      </c>
      <c r="C3894" s="2" t="n">
        <v>13400</v>
      </c>
      <c r="D3894" s="3" t="inlineStr">
        <is>
          <t>Метаморфоза</t>
        </is>
      </c>
      <c r="E3894" s="2" t="n">
        <v>1980</v>
      </c>
      <c r="F3894" s="2" t="inlineStr">
        <is>
          <t>мультфильм</t>
        </is>
      </c>
      <c r="G3894" s="2" t="inlineStr">
        <is>
          <t>ЭКРАН</t>
        </is>
      </c>
      <c r="H3894" s="2" t="n">
        <v>69</v>
      </c>
      <c r="I3894" s="2" t="inlineStr"/>
      <c r="J3894" s="2" t="inlineStr"/>
      <c r="K3894" s="3" t="inlineStr">
        <is>
          <t>Как олимпийский Мишка перевоспитал быка, который не занимался спортом</t>
        </is>
      </c>
      <c r="L3894" s="2" t="inlineStr">
        <is>
          <t>https://animator.ru/db/?p=show_film&amp;fid=4680</t>
        </is>
      </c>
      <c r="M3894" s="2">
        <f>HYPERLINK("https://ru.wikipedia.org/w/index.php?search=%D0%9C%D0%B5%D1%82%D0%B0%D0%BC%D0%BE%D1%80%D1%84%D0%BE%D0%B7%D0%B0%201980%20%D1%84%D0%B8%D0%BB%D1%8C%D0%BC","искать")</f>
        <v/>
      </c>
      <c r="N3894" s="3" t="n"/>
      <c r="O3894" s="2" t="n"/>
      <c r="P3894" s="2" t="n"/>
    </row>
    <row r="3895">
      <c r="A3895" s="2" t="n">
        <v>3894</v>
      </c>
      <c r="B3895" s="2" t="inlineStr">
        <is>
          <t>короткая</t>
        </is>
      </c>
      <c r="C3895" s="2" t="n">
        <v>13535</v>
      </c>
      <c r="D3895" s="3" t="inlineStr">
        <is>
          <t>Ишь ты, Масленица!</t>
        </is>
      </c>
      <c r="E3895" s="2" t="n">
        <v>1985</v>
      </c>
      <c r="F3895" s="2" t="inlineStr">
        <is>
          <t>мультфильм</t>
        </is>
      </c>
      <c r="G3895" s="2" t="inlineStr">
        <is>
          <t>АРМЕНФИЛЬМ</t>
        </is>
      </c>
      <c r="H3895" s="2" t="n">
        <v>69</v>
      </c>
      <c r="I3895" s="2" t="inlineStr"/>
      <c r="J3895" s="2" t="inlineStr"/>
      <c r="K3895" s="3" t="inlineStr">
        <is>
          <t>По мотивам сказки О.Туманяна о бедняке, наказавшем богача за жадность</t>
        </is>
      </c>
      <c r="L3895" s="2" t="inlineStr">
        <is>
          <t>https://animator.ru/db/?p=show_film&amp;fid=4855</t>
        </is>
      </c>
      <c r="M3895" s="2">
        <f>HYPERLINK("https://ru.wikipedia.org/w/index.php?search=%D0%98%D1%88%D1%8C%20%D1%82%D1%8B%2C%20%D0%9C%D0%B0%D1%81%D0%BB%D0%B5%D0%BD%D0%B8%D1%86%D0%B0%21%201985%20%D1%84%D0%B8%D0%BB%D1%8C%D0%BC","искать")</f>
        <v/>
      </c>
      <c r="N3895" s="3" t="n"/>
      <c r="O3895" s="2" t="n"/>
      <c r="P3895" s="2" t="n"/>
    </row>
    <row r="3896">
      <c r="A3896" s="2" t="n">
        <v>3895</v>
      </c>
      <c r="B3896" s="2" t="inlineStr">
        <is>
          <t>короткая</t>
        </is>
      </c>
      <c r="C3896" s="2" t="n">
        <v>11706</v>
      </c>
      <c r="D3896" s="3" t="inlineStr">
        <is>
          <t>Мы с Джеком</t>
        </is>
      </c>
      <c r="E3896" s="2" t="n">
        <v>1973</v>
      </c>
      <c r="F3896" s="2" t="inlineStr">
        <is>
          <t>мультфильм</t>
        </is>
      </c>
      <c r="G3896" s="2" t="inlineStr">
        <is>
          <t>Союзмультфильм</t>
        </is>
      </c>
      <c r="H3896" s="2" t="n">
        <v>70</v>
      </c>
      <c r="I3896" s="2" t="inlineStr"/>
      <c r="J3896" s="2" t="inlineStr"/>
      <c r="K3896" s="3" t="inlineStr">
        <is>
          <t>Мальчик и его верный пес спасают девочку, упавшую в прорубь. Для детей</t>
        </is>
      </c>
      <c r="L3896" s="2" t="inlineStr">
        <is>
          <t>https://animator.ru/db/?p=show_film&amp;fid=2620</t>
        </is>
      </c>
      <c r="M3896" s="2">
        <f>HYPERLINK("https://ru.wikipedia.org/w/index.php?search=%D0%9C%D1%8B%20%D1%81%20%D0%94%D0%B6%D0%B5%D0%BA%D0%BE%D0%BC%201973%20%D1%84%D0%B8%D0%BB%D1%8C%D0%BC","искать")</f>
        <v/>
      </c>
      <c r="N3896" s="3" t="n"/>
      <c r="O3896" s="2" t="n"/>
      <c r="P3896" s="2" t="n"/>
    </row>
    <row r="3897">
      <c r="A3897" s="2" t="n">
        <v>3896</v>
      </c>
      <c r="B3897" s="2" t="inlineStr">
        <is>
          <t>короткая</t>
        </is>
      </c>
      <c r="C3897" s="2" t="n">
        <v>11738</v>
      </c>
      <c r="D3897" s="3" t="inlineStr">
        <is>
          <t>Как львенок и черепаха пели песню</t>
        </is>
      </c>
      <c r="E3897" s="2" t="n">
        <v>1974</v>
      </c>
      <c r="F3897" s="2" t="inlineStr">
        <is>
          <t>мультфильм</t>
        </is>
      </c>
      <c r="G3897" s="2" t="inlineStr">
        <is>
          <t>Союзмультфильм</t>
        </is>
      </c>
      <c r="H3897" s="2" t="n">
        <v>70</v>
      </c>
      <c r="I3897" s="2" t="inlineStr"/>
      <c r="J3897" s="2" t="inlineStr"/>
      <c r="K3897" s="3" t="inlineStr">
        <is>
          <t>Черепаха сочинила песню, а Львенок выучил ее, и они стали петь вместе.</t>
        </is>
      </c>
      <c r="L3897" s="2" t="inlineStr">
        <is>
          <t>https://animator.ru/db/?p=show_film&amp;fid=2652</t>
        </is>
      </c>
      <c r="M3897" s="2">
        <f>HYPERLINK("https://ru.wikipedia.org/w/index.php?search=%D0%9A%D0%B0%D0%BA%20%D0%BB%D1%8C%D0%B2%D0%B5%D0%BD%D0%BE%D0%BA%20%D0%B8%20%D1%87%D0%B5%D1%80%D0%B5%D0%BF%D0%B0%D1%85%D0%B0%20%D0%BF%D0%B5%D0%BB%D0%B8%20%D0%BF%D0%B5%D1%81%D0%BD%D1%8E%201974%20%D1%84%D0%B8%D0%BB%D1%8C%D0%BC","искать")</f>
        <v/>
      </c>
      <c r="N3897" s="3" t="n"/>
      <c r="O3897" s="2" t="n"/>
      <c r="P3897" s="2" t="n"/>
    </row>
    <row r="3898">
      <c r="A3898" s="2" t="n">
        <v>3897</v>
      </c>
      <c r="B3898" s="2" t="inlineStr">
        <is>
          <t>короткая</t>
        </is>
      </c>
      <c r="C3898" s="2" t="n">
        <v>12043</v>
      </c>
      <c r="D3898" s="3" t="inlineStr">
        <is>
          <t>Змей на чердаке</t>
        </is>
      </c>
      <c r="E3898" s="2" t="n">
        <v>1983</v>
      </c>
      <c r="F3898" s="2" t="inlineStr">
        <is>
          <t>мультфильм</t>
        </is>
      </c>
      <c r="G3898" s="2" t="inlineStr">
        <is>
          <t>Союзмультфильм</t>
        </is>
      </c>
      <c r="H3898" s="2" t="n">
        <v>70</v>
      </c>
      <c r="I3898" s="2" t="inlineStr"/>
      <c r="J3898" s="2" t="inlineStr"/>
      <c r="K3898" s="3" t="inlineStr">
        <is>
          <t>На чердаке жили страхи, которые пугали трусливого мальчишку. Для детей</t>
        </is>
      </c>
      <c r="L3898" s="2" t="inlineStr">
        <is>
          <t>https://animator.ru/db/?p=show_film&amp;fid=3158</t>
        </is>
      </c>
      <c r="M3898" s="2">
        <f>HYPERLINK("https://ru.wikipedia.org/w/index.php?search=%D0%97%D0%BC%D0%B5%D0%B9%20%D0%BD%D0%B0%20%D1%87%D0%B5%D1%80%D0%B4%D0%B0%D0%BA%D0%B5%201983%20%D1%84%D0%B8%D0%BB%D1%8C%D0%BC","искать")</f>
        <v/>
      </c>
      <c r="N3898" s="3" t="n"/>
      <c r="O3898" s="2" t="n"/>
      <c r="P3898" s="2" t="n"/>
    </row>
    <row r="3899">
      <c r="A3899" s="2" t="n">
        <v>3898</v>
      </c>
      <c r="B3899" s="2" t="inlineStr">
        <is>
          <t>короткая</t>
        </is>
      </c>
      <c r="C3899" s="2" t="n">
        <v>12434</v>
      </c>
      <c r="D3899" s="3" t="inlineStr">
        <is>
          <t>Дело поручается детективу Тедди. 2. Космическая загадка</t>
        </is>
      </c>
      <c r="E3899" s="2" t="n">
        <v>1986</v>
      </c>
      <c r="F3899" s="2" t="inlineStr">
        <is>
          <t>мультфильм</t>
        </is>
      </c>
      <c r="G3899" s="2" t="inlineStr">
        <is>
          <t>КИЕВНАУЧФИЛЬМ</t>
        </is>
      </c>
      <c r="H3899" s="2" t="n">
        <v>70</v>
      </c>
      <c r="I3899" s="2" t="inlineStr"/>
      <c r="J3899" s="2" t="inlineStr"/>
      <c r="K3899" s="3" t="inlineStr">
        <is>
          <t>Дело 2. Детективы расследуют события, связанные с прилетом инопланетян</t>
        </is>
      </c>
      <c r="L3899" s="2" t="inlineStr">
        <is>
          <t>https://animator.ru/db/?p=show_film&amp;fid=3605</t>
        </is>
      </c>
      <c r="M3899" s="2">
        <f>HYPERLINK("https://ru.wikipedia.org/w/index.php?search=%D0%94%D0%B5%D0%BB%D0%BE%20%D0%BF%D0%BE%D1%80%D1%83%D1%87%D0%B0%D0%B5%D1%82%D1%81%D1%8F%20%D0%B4%D0%B5%D1%82%D0%B5%D0%BA%D1%82%D0%B8%D0%B2%D1%83%20%D0%A2%D0%B5%D0%B4%D0%B4%D0%B8.%202.%20%D0%9A%D0%BE%D1%81%D0%BC%D0%B8%D1%87%D0%B5%D1%81%D0%BA%D0%B0%D1%8F%20%D0%B7%D0%B0%D0%B3%D0%B0%D0%B4%D0%BA%D0%B0%201986%20%D1%84%D0%B8%D0%BB%D1%8C%D0%BC","искать")</f>
        <v/>
      </c>
      <c r="N3899" s="3" t="n"/>
      <c r="O3899" s="2" t="n"/>
      <c r="P3899" s="2" t="n"/>
    </row>
    <row r="3900">
      <c r="A3900" s="2" t="n">
        <v>3899</v>
      </c>
      <c r="B3900" s="2" t="inlineStr">
        <is>
          <t>короткая</t>
        </is>
      </c>
      <c r="C3900" s="2" t="n">
        <v>13124</v>
      </c>
      <c r="D3900" s="3" t="inlineStr">
        <is>
          <t>Апогоны</t>
        </is>
      </c>
      <c r="E3900" s="2" t="n">
        <v>1988</v>
      </c>
      <c r="F3900" s="2" t="inlineStr">
        <is>
          <t>мультфильм</t>
        </is>
      </c>
      <c r="G3900" s="2" t="inlineStr">
        <is>
          <t>МОЛДОВА-ФИЛЬМ</t>
        </is>
      </c>
      <c r="H3900" s="2" t="n">
        <v>70</v>
      </c>
      <c r="I3900" s="2" t="inlineStr"/>
      <c r="J3900" s="2" t="inlineStr"/>
      <c r="K3900" s="3" t="inlineStr">
        <is>
          <t>Экология. Рыбки апогоны погибают по вине людей, загрязнивших воды моря</t>
        </is>
      </c>
      <c r="L3900" s="2" t="inlineStr">
        <is>
          <t>https://animator.ru/db/?p=show_film&amp;fid=4356</t>
        </is>
      </c>
      <c r="M3900" s="2">
        <f>HYPERLINK("https://ru.wikipedia.org/w/index.php?search=%D0%90%D0%BF%D0%BE%D0%B3%D0%BE%D0%BD%D1%8B%201988%20%D1%84%D0%B8%D0%BB%D1%8C%D0%BC","искать")</f>
        <v/>
      </c>
      <c r="N3900" s="3" t="n"/>
      <c r="O3900" s="2" t="n"/>
      <c r="P3900" s="2" t="n"/>
    </row>
    <row r="3901">
      <c r="A3901" s="2" t="n">
        <v>3900</v>
      </c>
      <c r="B3901" s="2" t="inlineStr">
        <is>
          <t>короткая</t>
        </is>
      </c>
      <c r="C3901" s="2" t="n">
        <v>13578</v>
      </c>
      <c r="D3901" s="3" t="inlineStr">
        <is>
          <t>Чертенок с пушистым хвостом</t>
        </is>
      </c>
      <c r="E3901" s="2" t="n">
        <v>1985</v>
      </c>
      <c r="F3901" s="2" t="inlineStr">
        <is>
          <t>мультфильм</t>
        </is>
      </c>
      <c r="G3901" s="2" t="inlineStr">
        <is>
          <t>МУЛЬТТЕЛЕФИЛЬМ ("Экран")</t>
        </is>
      </c>
      <c r="H3901" s="2" t="n">
        <v>70</v>
      </c>
      <c r="I3901" s="2" t="inlineStr"/>
      <c r="J3901" s="2" t="inlineStr"/>
      <c r="K3901" s="3" t="inlineStr">
        <is>
          <t>Два пса почему-то мечтают избавиться от общения с этим милым котенком.</t>
        </is>
      </c>
      <c r="L3901" s="2" t="inlineStr">
        <is>
          <t>2026-10_мультфильмы_список_владельца.xlsx; https://animator.ru/db/?p=show_film&amp;fid=4915</t>
        </is>
      </c>
      <c r="M3901" s="2">
        <f>HYPERLINK("https://ru.wikipedia.org/w/index.php?search=%D0%A7%D0%B5%D1%80%D1%82%D0%B5%D0%BD%D0%BE%D0%BA%20%D1%81%20%D0%BF%D1%83%D1%88%D0%B8%D1%81%D1%82%D1%8B%D0%BC%20%D1%85%D0%B2%D0%BE%D1%81%D1%82%D0%BE%D0%BC%201985%20%D1%84%D0%B8%D0%BB%D1%8C%D0%BC","искать")</f>
        <v/>
      </c>
      <c r="N3901" s="3" t="n"/>
      <c r="O3901" s="2" t="n"/>
      <c r="P3901" s="2" t="n"/>
    </row>
    <row r="3902">
      <c r="A3902" s="2" t="n">
        <v>3901</v>
      </c>
      <c r="B3902" s="2" t="inlineStr">
        <is>
          <t>короткая</t>
        </is>
      </c>
      <c r="C3902" s="2" t="n">
        <v>13973</v>
      </c>
      <c r="D3902" s="3" t="inlineStr">
        <is>
          <t>Встречайте бабушку</t>
        </is>
      </c>
      <c r="E3902" s="2" t="n">
        <v>1984</v>
      </c>
      <c r="F3902" s="2" t="inlineStr">
        <is>
          <t>мультфильм</t>
        </is>
      </c>
      <c r="G3902" s="2" t="inlineStr">
        <is>
          <t>ЭКРАН</t>
        </is>
      </c>
      <c r="H3902" s="2" t="n">
        <v>70</v>
      </c>
      <c r="I3902" s="2" t="inlineStr"/>
      <c r="J3902" s="2" t="inlineStr"/>
      <c r="K3902" s="3" t="inlineStr">
        <is>
          <t>Когда из деревни приезжает бабушка, в доме становится уютно и спокойно</t>
        </is>
      </c>
      <c r="L3902" s="2" t="inlineStr">
        <is>
          <t>https://animator.ru/db/?p=show_film&amp;fid=5367</t>
        </is>
      </c>
      <c r="M3902" s="2">
        <f>HYPERLINK("https://ru.wikipedia.org/w/index.php?search=%D0%92%D1%81%D1%82%D1%80%D0%B5%D1%87%D0%B0%D0%B9%D1%82%D0%B5%20%D0%B1%D0%B0%D0%B1%D1%83%D1%88%D0%BA%D1%83%201984%20%D1%84%D0%B8%D0%BB%D1%8C%D0%BC","искать")</f>
        <v/>
      </c>
      <c r="N3902" s="3" t="n"/>
      <c r="O3902" s="2" t="n"/>
      <c r="P3902" s="2" t="n"/>
    </row>
    <row r="3903">
      <c r="A3903" s="2" t="n">
        <v>3902</v>
      </c>
      <c r="B3903" s="2" t="inlineStr">
        <is>
          <t>короткая</t>
        </is>
      </c>
      <c r="C3903" s="2" t="n">
        <v>14281</v>
      </c>
      <c r="D3903" s="3" t="inlineStr">
        <is>
          <t>Три панька хозяйствуют</t>
        </is>
      </c>
      <c r="E3903" s="2" t="n">
        <v>1990</v>
      </c>
      <c r="F3903" s="2" t="inlineStr">
        <is>
          <t>мультфильм</t>
        </is>
      </c>
      <c r="G3903" s="2" t="inlineStr">
        <is>
          <t>КИЕВНАУЧФИЛЬМ</t>
        </is>
      </c>
      <c r="H3903" s="2" t="n">
        <v>70</v>
      </c>
      <c r="I3903" s="2" t="inlineStr"/>
      <c r="J3903" s="2" t="inlineStr"/>
      <c r="K3903" s="3" t="inlineStr">
        <is>
          <t>Продолжение забавных происшествий с тремя чудаками из украинского села</t>
        </is>
      </c>
      <c r="L3903" s="2" t="inlineStr">
        <is>
          <t>https://animator.ru/db/?p=show_film&amp;fid=5757</t>
        </is>
      </c>
      <c r="M3903" s="2">
        <f>HYPERLINK("https://ru.wikipedia.org/w/index.php?search=%D0%A2%D1%80%D0%B8%20%D0%BF%D0%B0%D0%BD%D1%8C%D0%BA%D0%B0%20%D1%85%D0%BE%D0%B7%D1%8F%D0%B9%D1%81%D1%82%D0%B2%D1%83%D1%8E%D1%82%201990%20%D1%84%D0%B8%D0%BB%D1%8C%D0%BC","искать")</f>
        <v/>
      </c>
      <c r="N3903" s="3" t="n"/>
      <c r="O3903" s="2" t="n"/>
      <c r="P3903" s="2" t="n"/>
    </row>
    <row r="3904">
      <c r="A3904" s="2" t="n">
        <v>3903</v>
      </c>
      <c r="B3904" s="2" t="inlineStr">
        <is>
          <t>короткая</t>
        </is>
      </c>
      <c r="C3904" s="2" t="n">
        <v>9967</v>
      </c>
      <c r="D3904" s="3" t="inlineStr">
        <is>
          <t>Звездочка и куланенок</t>
        </is>
      </c>
      <c r="E3904" s="2" t="n">
        <v>1981</v>
      </c>
      <c r="F3904" s="2" t="inlineStr">
        <is>
          <t>кинофильм</t>
        </is>
      </c>
      <c r="G3904" s="2" t="inlineStr">
        <is>
          <t>Туркменфильм</t>
        </is>
      </c>
      <c r="H3904" s="2" t="n">
        <v>71</v>
      </c>
      <c r="I3904" s="2" t="inlineStr"/>
      <c r="J3904" s="2" t="inlineStr"/>
      <c r="K3904" s="3" t="inlineStr">
        <is>
          <t>Как октябрята спасли раненого куланенка и помогли задержать браконьера.</t>
        </is>
      </c>
      <c r="L3904" s="2" t="inlineStr">
        <is>
          <t>https://www.kino-teatr.ru/short/movie/sov/92636/annot/</t>
        </is>
      </c>
      <c r="M3904" s="2">
        <f>HYPERLINK("https://ru.wikipedia.org/w/index.php?search=%D0%97%D0%B2%D0%B5%D0%B7%D0%B4%D0%BE%D1%87%D0%BA%D0%B0%20%D0%B8%20%D0%BA%D1%83%D0%BB%D0%B0%D0%BD%D0%B5%D0%BD%D0%BE%D0%BA%201981%20%D1%84%D0%B8%D0%BB%D1%8C%D0%BC","искать")</f>
        <v/>
      </c>
      <c r="N3904" s="3" t="n"/>
      <c r="O3904" s="2" t="n"/>
      <c r="P3904" s="2" t="n"/>
    </row>
    <row r="3905">
      <c r="A3905" s="2" t="n">
        <v>3904</v>
      </c>
      <c r="B3905" s="2" t="inlineStr">
        <is>
          <t>короткая</t>
        </is>
      </c>
      <c r="C3905" s="2" t="n">
        <v>10035</v>
      </c>
      <c r="D3905" s="3" t="inlineStr">
        <is>
          <t>Атака</t>
        </is>
      </c>
      <c r="E3905" s="2" t="n">
        <v>1989</v>
      </c>
      <c r="F3905" s="2" t="inlineStr">
        <is>
          <t>кинофильм</t>
        </is>
      </c>
      <c r="G3905" s="2" t="inlineStr">
        <is>
          <t>Азербайджанфильм ("Дебют")</t>
        </is>
      </c>
      <c r="H3905" s="2" t="n">
        <v>71</v>
      </c>
      <c r="I3905" s="2" t="inlineStr"/>
      <c r="J3905" s="2" t="inlineStr"/>
      <c r="K3905" s="3" t="inlineStr">
        <is>
          <t>Повествует о возникновении бессмысленного конфликта между двумя сёлами.</t>
        </is>
      </c>
      <c r="L3905" s="2" t="inlineStr">
        <is>
          <t>https://www.kino-teatr.ru/short/movie/sov/85373/annot/</t>
        </is>
      </c>
      <c r="M3905" s="2">
        <f>HYPERLINK("https://ru.wikipedia.org/w/index.php?search=%D0%90%D1%82%D0%B0%D0%BA%D0%B0%201989%20%D1%84%D0%B8%D0%BB%D1%8C%D0%BC","искать")</f>
        <v/>
      </c>
      <c r="N3905" s="3" t="n"/>
      <c r="O3905" s="2" t="n"/>
      <c r="P3905" s="2" t="n"/>
    </row>
    <row r="3906">
      <c r="A3906" s="2" t="n">
        <v>3905</v>
      </c>
      <c r="B3906" s="2" t="inlineStr">
        <is>
          <t>короткая</t>
        </is>
      </c>
      <c r="C3906" s="2" t="n">
        <v>11628</v>
      </c>
      <c r="D3906" s="3" t="inlineStr">
        <is>
          <t>Как ослик счастье искал</t>
        </is>
      </c>
      <c r="E3906" s="2" t="n">
        <v>1971</v>
      </c>
      <c r="F3906" s="2" t="inlineStr">
        <is>
          <t>мультфильм</t>
        </is>
      </c>
      <c r="G3906" s="2" t="inlineStr">
        <is>
          <t>Союзмультфильм</t>
        </is>
      </c>
      <c r="H3906" s="2" t="n">
        <v>71</v>
      </c>
      <c r="I3906" s="2" t="inlineStr"/>
      <c r="J3906" s="2" t="inlineStr"/>
      <c r="K3906" s="3" t="inlineStr">
        <is>
          <t>А счастье, оказывается, это возможность делать доброе дело. Для малышей</t>
        </is>
      </c>
      <c r="L3906" s="2" t="inlineStr">
        <is>
          <t>https://animator.ru/db/?p=show_film&amp;fid=2542</t>
        </is>
      </c>
      <c r="M3906" s="2">
        <f>HYPERLINK("https://ru.wikipedia.org/w/index.php?search=%D0%9A%D0%B0%D0%BA%20%D0%BE%D1%81%D0%BB%D0%B8%D0%BA%20%D1%81%D1%87%D0%B0%D1%81%D1%82%D1%8C%D0%B5%20%D0%B8%D1%81%D0%BA%D0%B0%D0%BB%201971%20%D1%84%D0%B8%D0%BB%D1%8C%D0%BC","искать")</f>
        <v/>
      </c>
      <c r="N3906" s="3" t="n"/>
      <c r="O3906" s="2" t="n"/>
      <c r="P3906" s="2" t="n"/>
    </row>
    <row r="3907">
      <c r="A3907" s="2" t="n">
        <v>3906</v>
      </c>
      <c r="B3907" s="2" t="inlineStr">
        <is>
          <t>короткая</t>
        </is>
      </c>
      <c r="C3907" s="2" t="n">
        <v>12095</v>
      </c>
      <c r="D3907" s="3" t="inlineStr">
        <is>
          <t>Разрешите погулять с вашей собакой</t>
        </is>
      </c>
      <c r="E3907" s="2" t="n">
        <v>1984</v>
      </c>
      <c r="F3907" s="2" t="inlineStr">
        <is>
          <t>мультфильм</t>
        </is>
      </c>
      <c r="G3907" s="2" t="inlineStr">
        <is>
          <t>Союзмультфильм</t>
        </is>
      </c>
      <c r="H3907" s="2" t="n">
        <v>71</v>
      </c>
      <c r="I3907" s="2" t="inlineStr"/>
      <c r="J3907" s="2" t="inlineStr"/>
      <c r="K3907" s="3" t="inlineStr">
        <is>
          <t>О мальчике, который очень любил собак и выгуливал собак своих знакомых.</t>
        </is>
      </c>
      <c r="L3907" s="2" t="inlineStr">
        <is>
          <t>https://animator.ru/db/?p=show_film&amp;fid=3211</t>
        </is>
      </c>
      <c r="M3907" s="2">
        <f>HYPERLINK("https://ru.wikipedia.org/w/index.php?search=%D0%A0%D0%B0%D0%B7%D1%80%D0%B5%D1%88%D0%B8%D1%82%D0%B5%20%D0%BF%D0%BE%D0%B3%D1%83%D0%BB%D1%8F%D1%82%D1%8C%20%D1%81%20%D0%B2%D0%B0%D1%88%D0%B5%D0%B9%20%D1%81%D0%BE%D0%B1%D0%B0%D0%BA%D0%BE%D0%B9%201984%20%D1%84%D0%B8%D0%BB%D1%8C%D0%BC","искать")</f>
        <v/>
      </c>
      <c r="N3907" s="3" t="n"/>
      <c r="O3907" s="2" t="n"/>
      <c r="P3907" s="2" t="n"/>
    </row>
    <row r="3908">
      <c r="A3908" s="2" t="n">
        <v>3907</v>
      </c>
      <c r="B3908" s="2" t="inlineStr">
        <is>
          <t>короткая</t>
        </is>
      </c>
      <c r="C3908" s="2" t="n">
        <v>12249</v>
      </c>
      <c r="D3908" s="3" t="inlineStr">
        <is>
          <t>Котенок с улицы Лизюкова</t>
        </is>
      </c>
      <c r="E3908" s="2" t="n">
        <v>1988</v>
      </c>
      <c r="F3908" s="2" t="inlineStr">
        <is>
          <t>мультфильм</t>
        </is>
      </c>
      <c r="G3908" s="2" t="inlineStr">
        <is>
          <t>Союзмультфильм</t>
        </is>
      </c>
      <c r="H3908" s="2" t="n">
        <v>71</v>
      </c>
      <c r="I3908" s="2" t="inlineStr"/>
      <c r="J3908" s="2" t="inlineStr"/>
      <c r="K3908" s="3" t="inlineStr">
        <is>
          <t>О том, как котенок хотел превратиться в зверя, которого бы все боялись.</t>
        </is>
      </c>
      <c r="L3908" s="2" t="inlineStr">
        <is>
          <t>https://animator.ru/db/?p=show_film&amp;fid=3366</t>
        </is>
      </c>
      <c r="M3908" s="2">
        <f>HYPERLINK("https://ru.wikipedia.org/w/index.php?search=%D0%9A%D0%BE%D1%82%D0%B5%D0%BD%D0%BE%D0%BA%20%D1%81%20%D1%83%D0%BB%D0%B8%D1%86%D1%8B%20%D0%9B%D0%B8%D0%B7%D1%8E%D0%BA%D0%BE%D0%B2%D0%B0%201988%20%D1%84%D0%B8%D0%BB%D1%8C%D0%BC","искать")</f>
        <v/>
      </c>
      <c r="N3908" s="3" t="n"/>
      <c r="O3908" s="2" t="n"/>
      <c r="P3908" s="2" t="n"/>
    </row>
    <row r="3909">
      <c r="A3909" s="2" t="n">
        <v>3908</v>
      </c>
      <c r="B3909" s="2" t="inlineStr">
        <is>
          <t>короткая</t>
        </is>
      </c>
      <c r="C3909" s="2" t="n">
        <v>12391</v>
      </c>
      <c r="D3909" s="3" t="inlineStr">
        <is>
          <t>Из жизни карандашей</t>
        </is>
      </c>
      <c r="E3909" s="2" t="n">
        <v>1988</v>
      </c>
      <c r="F3909" s="2" t="inlineStr">
        <is>
          <t>мультфильм</t>
        </is>
      </c>
      <c r="G3909" s="2" t="inlineStr">
        <is>
          <t>КИЕВНАУЧФИЛЬМ</t>
        </is>
      </c>
      <c r="H3909" s="2" t="n">
        <v>71</v>
      </c>
      <c r="I3909" s="2" t="inlineStr"/>
      <c r="J3909" s="2" t="inlineStr"/>
      <c r="K3909" s="3" t="inlineStr">
        <is>
          <t>Две истории о том, как карандаши раскрашивали и украшали мир. Для детей</t>
        </is>
      </c>
      <c r="L3909" s="2" t="inlineStr">
        <is>
          <t>https://animator.ru/db/?p=show_film&amp;fid=3562</t>
        </is>
      </c>
      <c r="M3909" s="2">
        <f>HYPERLINK("https://ru.wikipedia.org/w/index.php?search=%D0%98%D0%B7%20%D0%B6%D0%B8%D0%B7%D0%BD%D0%B8%20%D0%BA%D0%B0%D1%80%D0%B0%D0%BD%D0%B4%D0%B0%D1%88%D0%B5%D0%B9%201988%20%D1%84%D0%B8%D0%BB%D1%8C%D0%BC","искать")</f>
        <v/>
      </c>
      <c r="N3909" s="3" t="n"/>
      <c r="O3909" s="2" t="n"/>
      <c r="P3909" s="2" t="n"/>
    </row>
    <row r="3910">
      <c r="A3910" s="2" t="n">
        <v>3909</v>
      </c>
      <c r="B3910" s="2" t="inlineStr">
        <is>
          <t>короткая</t>
        </is>
      </c>
      <c r="C3910" s="2" t="n">
        <v>13226</v>
      </c>
      <c r="D3910" s="3" t="inlineStr">
        <is>
          <t>Вот так чемпионы!</t>
        </is>
      </c>
      <c r="E3910" s="2" t="n">
        <v>1971</v>
      </c>
      <c r="F3910" s="2" t="inlineStr">
        <is>
          <t>мультфильм</t>
        </is>
      </c>
      <c r="G3910" s="2" t="inlineStr">
        <is>
          <t>ТАЛЛИННФИЛЬМ</t>
        </is>
      </c>
      <c r="H3910" s="2" t="n">
        <v>71</v>
      </c>
      <c r="I3910" s="2" t="inlineStr"/>
      <c r="J3910" s="2" t="inlineStr"/>
      <c r="K3910" s="3" t="inlineStr">
        <is>
          <t>О лесной Олимпиаде, в которой принимает участие всякая мелкая живность.</t>
        </is>
      </c>
      <c r="L3910" s="2" t="inlineStr">
        <is>
          <t>2026-10_мультфильмы_список_владельца.xlsx; https://animator.ru/db/?p=show_film&amp;fid=4466</t>
        </is>
      </c>
      <c r="M3910" s="2">
        <f>HYPERLINK("https://ru.wikipedia.org/w/index.php?search=%D0%92%D0%BE%D1%82%20%D1%82%D0%B0%D0%BA%20%D1%87%D0%B5%D0%BC%D0%BF%D0%B8%D0%BE%D0%BD%D1%8B%21%201971%20%D1%84%D0%B8%D0%BB%D1%8C%D0%BC","искать")</f>
        <v/>
      </c>
      <c r="N3910" s="3" t="n"/>
      <c r="O3910" s="2" t="n"/>
      <c r="P3910" s="2" t="n"/>
    </row>
    <row r="3911">
      <c r="A3911" s="2" t="n">
        <v>3910</v>
      </c>
      <c r="B3911" s="2" t="inlineStr">
        <is>
          <t>короткая</t>
        </is>
      </c>
      <c r="C3911" s="2" t="n">
        <v>13397</v>
      </c>
      <c r="D3911" s="3" t="inlineStr">
        <is>
          <t>Дядюшка Ау в городе</t>
        </is>
      </c>
      <c r="E3911" s="2" t="n">
        <v>1979</v>
      </c>
      <c r="F3911" s="2" t="inlineStr">
        <is>
          <t>мультфильм</t>
        </is>
      </c>
      <c r="G3911" s="2" t="inlineStr">
        <is>
          <t>ЭКРАН</t>
        </is>
      </c>
      <c r="H3911" s="2" t="n">
        <v>71</v>
      </c>
      <c r="I3911" s="2" t="inlineStr"/>
      <c r="J3911" s="2" t="inlineStr"/>
      <c r="K3911" s="3" t="inlineStr">
        <is>
          <t>Всем ли идет на пользу переезд?Приключения маленького лесного человечка</t>
        </is>
      </c>
      <c r="L3911" s="2" t="inlineStr">
        <is>
          <t>2026-10_мультфильмы_список_владельца.xlsx; https://animator.ru/db/?p=show_film&amp;fid=4677</t>
        </is>
      </c>
      <c r="M3911" s="2">
        <f>HYPERLINK("https://ru.wikipedia.org/w/index.php?search=%D0%94%D1%8F%D0%B4%D1%8E%D1%88%D0%BA%D0%B0%20%D0%90%D1%83%20%D0%B2%20%D0%B3%D0%BE%D1%80%D0%BE%D0%B4%D0%B5%201979%20%D1%84%D0%B8%D0%BB%D1%8C%D0%BC","искать")</f>
        <v/>
      </c>
      <c r="N3911" s="3" t="n"/>
      <c r="O3911" s="2" t="n"/>
      <c r="P3911" s="2" t="n"/>
    </row>
    <row r="3912">
      <c r="A3912" s="2" t="n">
        <v>3911</v>
      </c>
      <c r="B3912" s="2" t="inlineStr">
        <is>
          <t>короткая</t>
        </is>
      </c>
      <c r="C3912" s="2" t="n">
        <v>13404</v>
      </c>
      <c r="D3912" s="3" t="inlineStr">
        <is>
          <t>Чудеса</t>
        </is>
      </c>
      <c r="E3912" s="2" t="n">
        <v>1980</v>
      </c>
      <c r="F3912" s="2" t="inlineStr">
        <is>
          <t>мультфильм</t>
        </is>
      </c>
      <c r="G3912" s="2" t="inlineStr">
        <is>
          <t>ЭКРАН</t>
        </is>
      </c>
      <c r="H3912" s="2" t="n">
        <v>71</v>
      </c>
      <c r="I3912" s="2" t="inlineStr"/>
      <c r="J3912" s="2" t="inlineStr"/>
      <c r="K3912" s="3" t="inlineStr">
        <is>
          <t>Поспорили Клоун с ребятами - кто больший выдумщик и затейник. Для детей</t>
        </is>
      </c>
      <c r="L3912" s="2" t="inlineStr">
        <is>
          <t>https://animator.ru/db/?p=show_film&amp;fid=4684</t>
        </is>
      </c>
      <c r="M3912" s="2">
        <f>HYPERLINK("https://ru.wikipedia.org/w/index.php?search=%D0%A7%D1%83%D0%B4%D0%B5%D1%81%D0%B0%201980%20%D1%84%D0%B8%D0%BB%D1%8C%D0%BC","искать")</f>
        <v/>
      </c>
      <c r="N3912" s="3" t="n"/>
      <c r="O3912" s="2" t="n"/>
      <c r="P3912" s="2" t="n"/>
    </row>
    <row r="3913">
      <c r="A3913" s="2" t="n">
        <v>3912</v>
      </c>
      <c r="B3913" s="2" t="inlineStr">
        <is>
          <t>короткая</t>
        </is>
      </c>
      <c r="C3913" s="2" t="n">
        <v>13692</v>
      </c>
      <c r="D3913" s="3" t="inlineStr">
        <is>
          <t>Если бы я был моим папой (выпуск 2)</t>
        </is>
      </c>
      <c r="E3913" s="2" t="n">
        <v>1988</v>
      </c>
      <c r="F3913" s="2" t="inlineStr">
        <is>
          <t>мультфильм</t>
        </is>
      </c>
      <c r="G3913" s="2" t="inlineStr">
        <is>
          <t>ЭКРАН</t>
        </is>
      </c>
      <c r="H3913" s="2" t="n">
        <v>71</v>
      </c>
      <c r="I3913" s="2" t="inlineStr"/>
      <c r="J3913" s="2" t="inlineStr"/>
      <c r="K3913" s="3" t="inlineStr">
        <is>
          <t>Мечты мальчика о добрых делах, которые он сумеет сделать, став взрослым</t>
        </is>
      </c>
      <c r="L3913" s="2" t="inlineStr">
        <is>
          <t>2026-10_мультфильмы_список_владельца.xlsx; https://animator.ru/db/?p=show_film&amp;fid=5084</t>
        </is>
      </c>
      <c r="M3913" s="2">
        <f>HYPERLINK("https://ru.wikipedia.org/w/index.php?search=%D0%95%D1%81%D0%BB%D0%B8%20%D0%B1%D1%8B%20%D1%8F%20%D0%B1%D1%8B%D0%BB%20%D0%BC%D0%BE%D0%B8%D0%BC%20%D0%BF%D0%B0%D0%BF%D0%BE%D0%B9%20%28%D0%B2%D1%8B%D0%BF%D1%83%D1%81%D0%BA%202%29%201988%20%D1%84%D0%B8%D0%BB%D1%8C%D0%BC","искать")</f>
        <v/>
      </c>
      <c r="N3913" s="3" t="n"/>
      <c r="O3913" s="2" t="n"/>
      <c r="P3913" s="2" t="n"/>
    </row>
    <row r="3914">
      <c r="A3914" s="2" t="n">
        <v>3913</v>
      </c>
      <c r="B3914" s="2" t="inlineStr">
        <is>
          <t>короткая</t>
        </is>
      </c>
      <c r="C3914" s="2" t="n">
        <v>13881</v>
      </c>
      <c r="D3914" s="3" t="inlineStr">
        <is>
          <t>Робинзон Кузя</t>
        </is>
      </c>
      <c r="E3914" s="2" t="n">
        <v>1978</v>
      </c>
      <c r="F3914" s="2" t="inlineStr">
        <is>
          <t>мультфильм</t>
        </is>
      </c>
      <c r="G3914" s="2" t="inlineStr">
        <is>
          <t>ЭКРАН</t>
        </is>
      </c>
      <c r="H3914" s="2" t="n">
        <v>71</v>
      </c>
      <c r="I3914" s="2" t="inlineStr"/>
      <c r="J3914" s="2" t="inlineStr"/>
      <c r="K3914" s="3" t="inlineStr">
        <is>
          <t>О приключения мальчика Кузи, попавшего на необитаемый остров. Для детей</t>
        </is>
      </c>
      <c r="L3914" s="2" t="inlineStr">
        <is>
          <t>https://animator.ru/db/?p=show_film&amp;fid=5274</t>
        </is>
      </c>
      <c r="M3914" s="2">
        <f>HYPERLINK("https://ru.wikipedia.org/w/index.php?search=%D0%A0%D0%BE%D0%B1%D0%B8%D0%BD%D0%B7%D0%BE%D0%BD%20%D0%9A%D1%83%D0%B7%D1%8F%201978%20%D1%84%D0%B8%D0%BB%D1%8C%D0%BC","искать")</f>
        <v/>
      </c>
      <c r="N3914" s="3" t="n"/>
      <c r="O3914" s="2" t="n"/>
      <c r="P3914" s="2" t="n"/>
    </row>
    <row r="3915">
      <c r="A3915" s="2" t="n">
        <v>3914</v>
      </c>
      <c r="B3915" s="2" t="inlineStr">
        <is>
          <t>короткая</t>
        </is>
      </c>
      <c r="C3915" s="2" t="n">
        <v>9955</v>
      </c>
      <c r="D3915" s="3" t="inlineStr">
        <is>
          <t>Немой свидетель</t>
        </is>
      </c>
      <c r="E3915" s="2" t="n">
        <v>1980</v>
      </c>
      <c r="F3915" s="2" t="inlineStr">
        <is>
          <t>кинофильм</t>
        </is>
      </c>
      <c r="G3915" s="2" t="inlineStr">
        <is>
          <t>Арменфильм</t>
        </is>
      </c>
      <c r="H3915" s="2" t="n">
        <v>72</v>
      </c>
      <c r="I3915" s="2" t="inlineStr"/>
      <c r="J3915" s="2" t="inlineStr"/>
      <c r="K3915" s="3" t="inlineStr">
        <is>
          <t>О преступлении, раскрытом благодаря уму и смекалке молодого следователя.</t>
        </is>
      </c>
      <c r="L3915" s="2" t="inlineStr">
        <is>
          <t>https://www.kino-teatr.ru/short/movie/sov/10927/annot/</t>
        </is>
      </c>
      <c r="M3915" s="2">
        <f>HYPERLINK("https://ru.wikipedia.org/w/index.php?search=%D0%9D%D0%B5%D0%BC%D0%BE%D0%B9%20%D1%81%D0%B2%D0%B8%D0%B4%D0%B5%D1%82%D0%B5%D0%BB%D1%8C%201980%20%D1%84%D0%B8%D0%BB%D1%8C%D0%BC","искать")</f>
        <v/>
      </c>
      <c r="N3915" s="3" t="n"/>
      <c r="O3915" s="2" t="n"/>
      <c r="P3915" s="2" t="n"/>
    </row>
    <row r="3916">
      <c r="A3916" s="2" t="n">
        <v>3915</v>
      </c>
      <c r="B3916" s="2" t="inlineStr">
        <is>
          <t>короткая</t>
        </is>
      </c>
      <c r="C3916" s="2" t="n">
        <v>11779</v>
      </c>
      <c r="D3916" s="3" t="inlineStr">
        <is>
          <t>Наша няня</t>
        </is>
      </c>
      <c r="E3916" s="2" t="n">
        <v>1975</v>
      </c>
      <c r="F3916" s="2" t="inlineStr">
        <is>
          <t>мультфильм</t>
        </is>
      </c>
      <c r="G3916" s="2" t="inlineStr">
        <is>
          <t>Союзмультфильм</t>
        </is>
      </c>
      <c r="H3916" s="2" t="n">
        <v>72</v>
      </c>
      <c r="I3916" s="2" t="inlineStr"/>
      <c r="J3916" s="2" t="inlineStr"/>
      <c r="K3916" s="3" t="inlineStr">
        <is>
          <t>Фильм о дружбе и приключениях мальчика и его забавной механической няни.</t>
        </is>
      </c>
      <c r="L3916" s="2" t="inlineStr">
        <is>
          <t>https://animator.ru/db/?p=show_film&amp;fid=2693</t>
        </is>
      </c>
      <c r="M3916" s="2">
        <f>HYPERLINK("https://ru.wikipedia.org/w/index.php?search=%D0%9D%D0%B0%D1%88%D0%B0%20%D0%BD%D1%8F%D0%BD%D1%8F%201975%20%D1%84%D0%B8%D0%BB%D1%8C%D0%BC","искать")</f>
        <v/>
      </c>
      <c r="N3916" s="3" t="n"/>
      <c r="O3916" s="2" t="n"/>
      <c r="P3916" s="2" t="n"/>
    </row>
    <row r="3917">
      <c r="A3917" s="2" t="n">
        <v>3916</v>
      </c>
      <c r="B3917" s="2" t="inlineStr">
        <is>
          <t>короткая</t>
        </is>
      </c>
      <c r="C3917" s="2" t="n">
        <v>11924</v>
      </c>
      <c r="D3917" s="3" t="inlineStr">
        <is>
          <t>Про щенка</t>
        </is>
      </c>
      <c r="E3917" s="2" t="n">
        <v>1979</v>
      </c>
      <c r="F3917" s="2" t="inlineStr">
        <is>
          <t>мультфильм</t>
        </is>
      </c>
      <c r="G3917" s="2" t="inlineStr">
        <is>
          <t>Союзмультфильм</t>
        </is>
      </c>
      <c r="H3917" s="2" t="n">
        <v>72</v>
      </c>
      <c r="I3917" s="2" t="inlineStr"/>
      <c r="J3917" s="2" t="inlineStr"/>
      <c r="K3917" s="3" t="inlineStr">
        <is>
          <t>Маленький щенок решил во что бы то ни стало выяснить, стоит ли кусаться?</t>
        </is>
      </c>
      <c r="L3917" s="2" t="inlineStr">
        <is>
          <t>https://animator.ru/db/?p=show_film&amp;fid=2839</t>
        </is>
      </c>
      <c r="M3917" s="2">
        <f>HYPERLINK("https://ru.wikipedia.org/w/index.php?search=%D0%9F%D1%80%D0%BE%20%D1%89%D0%B5%D0%BD%D0%BA%D0%B0%201979%20%D1%84%D0%B8%D0%BB%D1%8C%D0%BC","искать")</f>
        <v/>
      </c>
      <c r="N3917" s="3" t="n"/>
      <c r="O3917" s="2" t="n"/>
      <c r="P3917" s="2" t="n"/>
    </row>
    <row r="3918">
      <c r="A3918" s="2" t="n">
        <v>3917</v>
      </c>
      <c r="B3918" s="2" t="inlineStr">
        <is>
          <t>короткая</t>
        </is>
      </c>
      <c r="C3918" s="2" t="n">
        <v>13089</v>
      </c>
      <c r="D3918" s="3" t="inlineStr">
        <is>
          <t>Братишка</t>
        </is>
      </c>
      <c r="E3918" s="2" t="n">
        <v>1987</v>
      </c>
      <c r="F3918" s="2" t="inlineStr">
        <is>
          <t>мультфильм</t>
        </is>
      </c>
      <c r="G3918" s="2" t="inlineStr">
        <is>
          <t>РИЖСКАЯ КИНОСТУДИЯ</t>
        </is>
      </c>
      <c r="H3918" s="2" t="n">
        <v>72</v>
      </c>
      <c r="I3918" s="2" t="inlineStr"/>
      <c r="J3918" s="2" t="inlineStr"/>
      <c r="K3918" s="3" t="inlineStr">
        <is>
          <t>Музыка, любовь и красота превращают озорного чертенка в доброго мальчика</t>
        </is>
      </c>
      <c r="L3918" s="2" t="inlineStr">
        <is>
          <t>https://animator.ru/db/?p=show_film&amp;fid=4321</t>
        </is>
      </c>
      <c r="M3918" s="2">
        <f>HYPERLINK("https://ru.wikipedia.org/w/index.php?search=%D0%91%D1%80%D0%B0%D1%82%D0%B8%D1%88%D0%BA%D0%B0%201987%20%D1%84%D0%B8%D0%BB%D1%8C%D0%BC","искать")</f>
        <v/>
      </c>
      <c r="N3918" s="3" t="n"/>
      <c r="O3918" s="2" t="n"/>
      <c r="P3918" s="2" t="n"/>
    </row>
    <row r="3919">
      <c r="A3919" s="2" t="n">
        <v>3918</v>
      </c>
      <c r="B3919" s="2" t="inlineStr">
        <is>
          <t>короткая</t>
        </is>
      </c>
      <c r="C3919" s="2" t="n">
        <v>13529</v>
      </c>
      <c r="D3919" s="3" t="inlineStr">
        <is>
          <t>Голубой слоненок</t>
        </is>
      </c>
      <c r="E3919" s="2" t="n">
        <v>1976</v>
      </c>
      <c r="F3919" s="2" t="inlineStr">
        <is>
          <t>мультфильм</t>
        </is>
      </c>
      <c r="G3919" s="2" t="inlineStr">
        <is>
          <t>УЗБЕКФИЛЬМ</t>
        </is>
      </c>
      <c r="H3919" s="2" t="n">
        <v>72</v>
      </c>
      <c r="I3919" s="2" t="inlineStr"/>
      <c r="J3919" s="2" t="inlineStr"/>
      <c r="K3919" s="3" t="inlineStr">
        <is>
          <t>Мультфильм о добром слоненке и его друзьях, которые победили злой смерч.</t>
        </is>
      </c>
      <c r="L3919" s="2" t="inlineStr">
        <is>
          <t>2026-10_мультфильмы_список_владельца.xlsx; https://animator.ru/db/?p=show_film&amp;fid=4848</t>
        </is>
      </c>
      <c r="M3919" s="2">
        <f>HYPERLINK("https://ru.wikipedia.org/w/index.php?search=%D0%93%D0%BE%D0%BB%D1%83%D0%B1%D0%BE%D0%B9%20%D1%81%D0%BB%D0%BE%D0%BD%D0%B5%D0%BD%D0%BE%D0%BA%201976%20%D1%84%D0%B8%D0%BB%D1%8C%D0%BC","искать")</f>
        <v/>
      </c>
      <c r="N3919" s="3" t="n"/>
      <c r="O3919" s="2" t="n"/>
      <c r="P3919" s="2" t="n"/>
    </row>
    <row r="3920">
      <c r="A3920" s="2" t="n">
        <v>3919</v>
      </c>
      <c r="B3920" s="2" t="inlineStr">
        <is>
          <t>короткая</t>
        </is>
      </c>
      <c r="C3920" s="2" t="n">
        <v>13691</v>
      </c>
      <c r="D3920" s="3" t="inlineStr">
        <is>
          <t>Если бы я был моим папой (выпуск 1)</t>
        </is>
      </c>
      <c r="E3920" s="2" t="n">
        <v>1987</v>
      </c>
      <c r="F3920" s="2" t="inlineStr">
        <is>
          <t>мультфильм</t>
        </is>
      </c>
      <c r="G3920" s="2" t="inlineStr">
        <is>
          <t>ЭКРАН</t>
        </is>
      </c>
      <c r="H3920" s="2" t="n">
        <v>72</v>
      </c>
      <c r="I3920" s="2" t="inlineStr"/>
      <c r="J3920" s="2" t="inlineStr"/>
      <c r="K3920" s="3" t="inlineStr">
        <is>
          <t>Мечты мальчика о добрых делах, которые он сумеет сделать, став взрослым.</t>
        </is>
      </c>
      <c r="L3920" s="2" t="inlineStr">
        <is>
          <t>2026-10_мультфильмы_список_владельца.xlsx; https://animator.ru/db/?p=show_film&amp;fid=5083</t>
        </is>
      </c>
      <c r="M3920" s="2">
        <f>HYPERLINK("https://ru.wikipedia.org/w/index.php?search=%D0%95%D1%81%D0%BB%D0%B8%20%D0%B1%D1%8B%20%D1%8F%20%D0%B1%D1%8B%D0%BB%20%D0%BC%D0%BE%D0%B8%D0%BC%20%D0%BF%D0%B0%D0%BF%D0%BE%D0%B9%20%28%D0%B2%D1%8B%D0%BF%D1%83%D1%81%D0%BA%201%29%201987%20%D1%84%D0%B8%D0%BB%D1%8C%D0%BC","искать")</f>
        <v/>
      </c>
      <c r="N3920" s="3" t="n"/>
      <c r="O3920" s="2" t="n"/>
      <c r="P3920" s="2" t="n"/>
    </row>
    <row r="3921">
      <c r="A3921" s="2" t="n">
        <v>3920</v>
      </c>
      <c r="B3921" s="2" t="inlineStr">
        <is>
          <t>короткая</t>
        </is>
      </c>
      <c r="C3921" s="2" t="n">
        <v>14019</v>
      </c>
      <c r="D3921" s="3" t="inlineStr">
        <is>
          <t>Дедушкина дудочка</t>
        </is>
      </c>
      <c r="E3921" s="2" t="n">
        <v>1985</v>
      </c>
      <c r="F3921" s="2" t="inlineStr">
        <is>
          <t>мультфильм</t>
        </is>
      </c>
      <c r="G3921" s="2" t="inlineStr">
        <is>
          <t>Свердловская киностудия</t>
        </is>
      </c>
      <c r="H3921" s="2" t="n">
        <v>72</v>
      </c>
      <c r="I3921" s="2" t="inlineStr"/>
      <c r="J3921" s="2" t="inlineStr"/>
      <c r="K3921" s="3" t="inlineStr">
        <is>
          <t>О девочке, которую волшебная дудочка научила помогать по дому, Для детей</t>
        </is>
      </c>
      <c r="L3921" s="2" t="inlineStr">
        <is>
          <t>https://animator.ru/db/?p=show_film&amp;fid=5414</t>
        </is>
      </c>
      <c r="M3921" s="2">
        <f>HYPERLINK("https://ru.wikipedia.org/w/index.php?search=%D0%94%D0%B5%D0%B4%D1%83%D1%88%D0%BA%D0%B8%D0%BD%D0%B0%20%D0%B4%D1%83%D0%B4%D0%BE%D1%87%D0%BA%D0%B0%201985%20%D1%84%D0%B8%D0%BB%D1%8C%D0%BC","искать")</f>
        <v/>
      </c>
      <c r="N3921" s="3" t="n"/>
      <c r="O3921" s="2" t="n"/>
      <c r="P3921" s="2" t="n"/>
    </row>
    <row r="3922">
      <c r="A3922" s="2" t="n">
        <v>3921</v>
      </c>
      <c r="B3922" s="2" t="inlineStr">
        <is>
          <t>короткая</t>
        </is>
      </c>
      <c r="C3922" s="2" t="n">
        <v>14276</v>
      </c>
      <c r="D3922" s="3" t="inlineStr">
        <is>
          <t>Бравый инспектор Мамочкин</t>
        </is>
      </c>
      <c r="E3922" s="2" t="n">
        <v>1977</v>
      </c>
      <c r="F3922" s="2" t="inlineStr">
        <is>
          <t>мультфильм</t>
        </is>
      </c>
      <c r="G3922" s="2" t="inlineStr">
        <is>
          <t>Союзмультфильм</t>
        </is>
      </c>
      <c r="H3922" s="2" t="n">
        <v>72</v>
      </c>
      <c r="I3922" s="2" t="inlineStr"/>
      <c r="J3922" s="2" t="inlineStr"/>
      <c r="K3922" s="3" t="inlineStr">
        <is>
          <t>Как инспектор ГАИ Мамочкин наказал нарушителя общественного спокойствия.</t>
        </is>
      </c>
      <c r="L3922" s="2" t="inlineStr">
        <is>
          <t>2026-10_мультфильмы_список_владельца.xlsx; https://animator.ru/db/?p=show_film&amp;fid=5748</t>
        </is>
      </c>
      <c r="M3922" s="2">
        <f>HYPERLINK("https://ru.wikipedia.org/w/index.php?search=%D0%91%D1%80%D0%B0%D0%B2%D1%8B%D0%B9%20%D0%B8%D0%BD%D1%81%D0%BF%D0%B5%D0%BA%D1%82%D0%BE%D1%80%20%D0%9C%D0%B0%D0%BC%D0%BE%D1%87%D0%BA%D0%B8%D0%BD%201977%20%D1%84%D0%B8%D0%BB%D1%8C%D0%BC","искать")</f>
        <v/>
      </c>
      <c r="N3922" s="3" t="n"/>
      <c r="O3922" s="2" t="n"/>
      <c r="P3922" s="2" t="n"/>
    </row>
    <row r="3923">
      <c r="A3923" s="2" t="n">
        <v>3922</v>
      </c>
      <c r="B3923" s="2" t="inlineStr">
        <is>
          <t>короткая</t>
        </is>
      </c>
      <c r="C3923" s="2" t="n">
        <v>7688</v>
      </c>
      <c r="D3923" s="3" t="inlineStr">
        <is>
          <t>Искренность</t>
        </is>
      </c>
      <c r="E3923" s="2" t="n">
        <v>1983</v>
      </c>
      <c r="F3923" s="2" t="inlineStr">
        <is>
          <t>телефильм</t>
        </is>
      </c>
      <c r="G3923" s="2" t="n"/>
      <c r="H3923" s="2" t="n">
        <v>73</v>
      </c>
      <c r="I3923" s="2" t="inlineStr"/>
      <c r="J3923" s="2" t="inlineStr"/>
      <c r="K3923" s="3" t="inlineStr">
        <is>
          <t>Фильм рассказывает о двух молодых людях, выбравших разные жизненные пути.</t>
        </is>
      </c>
      <c r="L3923" s="2" t="inlineStr">
        <is>
          <t>Кино_СССР сводный каталог.xlsx: список телефильмов</t>
        </is>
      </c>
      <c r="M3923" s="2">
        <f>HYPERLINK("https://ru.wikipedia.org/w/index.php?search=%D0%98%D1%81%D0%BA%D1%80%D0%B5%D0%BD%D0%BD%D0%BE%D1%81%D1%82%D1%8C%201983%20%D1%84%D0%B8%D0%BB%D1%8C%D0%BC","искать")</f>
        <v/>
      </c>
      <c r="N3923" s="3" t="n"/>
      <c r="O3923" s="2" t="n"/>
      <c r="P3923" s="2" t="n"/>
    </row>
    <row r="3924">
      <c r="A3924" s="2" t="n">
        <v>3923</v>
      </c>
      <c r="B3924" s="2" t="inlineStr">
        <is>
          <t>короткая</t>
        </is>
      </c>
      <c r="C3924" s="2" t="n">
        <v>11392</v>
      </c>
      <c r="D3924" s="3" t="inlineStr">
        <is>
          <t>Танцует Диляфруз Джаббарова</t>
        </is>
      </c>
      <c r="E3924" s="2" t="n">
        <v>1972</v>
      </c>
      <c r="F3924" s="2" t="inlineStr">
        <is>
          <t>не игровое</t>
        </is>
      </c>
      <c r="G3924" s="2" t="n"/>
      <c r="H3924" s="2" t="n">
        <v>73</v>
      </c>
      <c r="I3924" s="2" t="inlineStr"/>
      <c r="J3924" s="2" t="inlineStr"/>
      <c r="K3924" s="3" t="inlineStr">
        <is>
          <t>Фильм-концерт: танцы известной узбекской танцовщицы Дилафруз Джаббаровой.</t>
        </is>
      </c>
      <c r="L3924" s="2" t="inlineStr">
        <is>
          <t>Кино_СССР телефильмы и пропуски включить в базу.xlsx</t>
        </is>
      </c>
      <c r="M3924" s="2">
        <f>HYPERLINK("https://ru.wikipedia.org/w/index.php?search=%D0%A2%D0%B0%D0%BD%D1%86%D1%83%D0%B5%D1%82%20%D0%94%D0%B8%D0%BB%D1%8F%D1%84%D1%80%D1%83%D0%B7%20%D0%94%D0%B6%D0%B0%D0%B1%D0%B1%D0%B0%D1%80%D0%BE%D0%B2%D0%B0%201972%20%D1%84%D0%B8%D0%BB%D1%8C%D0%BC","искать")</f>
        <v/>
      </c>
      <c r="N3924" s="3" t="n"/>
      <c r="O3924" s="2" t="n"/>
      <c r="P3924" s="2" t="n"/>
    </row>
    <row r="3925">
      <c r="A3925" s="2" t="n">
        <v>3924</v>
      </c>
      <c r="B3925" s="2" t="inlineStr">
        <is>
          <t>короткая</t>
        </is>
      </c>
      <c r="C3925" s="2" t="n">
        <v>12334</v>
      </c>
      <c r="D3925" s="3" t="inlineStr">
        <is>
          <t>Вася и динозавр</t>
        </is>
      </c>
      <c r="E3925" s="2" t="n">
        <v>1971</v>
      </c>
      <c r="F3925" s="2" t="inlineStr">
        <is>
          <t>мультфильм</t>
        </is>
      </c>
      <c r="G3925" s="2" t="inlineStr">
        <is>
          <t>КИЕВНАУЧФИЛЬМ</t>
        </is>
      </c>
      <c r="H3925" s="2" t="n">
        <v>73</v>
      </c>
      <c r="I3925" s="2" t="inlineStr"/>
      <c r="J3925" s="2" t="inlineStr"/>
      <c r="K3925" s="3" t="inlineStr">
        <is>
          <t>О приключениях мальчика и его собачки, попавших в доисторические времена.</t>
        </is>
      </c>
      <c r="L3925" s="2" t="inlineStr">
        <is>
          <t>2026-10_мультфильмы_список_владельца.xlsx; https://animator.ru/db/?p=show_film&amp;fid=3498</t>
        </is>
      </c>
      <c r="M3925" s="2">
        <f>HYPERLINK("https://ru.wikipedia.org/w/index.php?search=%D0%92%D0%B0%D1%81%D1%8F%20%D0%B8%20%D0%B4%D0%B8%D0%BD%D0%BE%D0%B7%D0%B0%D0%B2%D1%80%201971%20%D1%84%D0%B8%D0%BB%D1%8C%D0%BC","искать")</f>
        <v/>
      </c>
      <c r="N3925" s="3" t="n"/>
      <c r="O3925" s="2" t="n"/>
      <c r="P3925" s="2" t="n"/>
    </row>
    <row r="3926">
      <c r="A3926" s="2" t="n">
        <v>3925</v>
      </c>
      <c r="B3926" s="2" t="inlineStr">
        <is>
          <t>короткая</t>
        </is>
      </c>
      <c r="C3926" s="2" t="n">
        <v>14016</v>
      </c>
      <c r="D3926" s="3" t="inlineStr">
        <is>
          <t>Давай меняться</t>
        </is>
      </c>
      <c r="E3926" s="2" t="n">
        <v>1984</v>
      </c>
      <c r="F3926" s="2" t="inlineStr">
        <is>
          <t>мультфильм</t>
        </is>
      </c>
      <c r="G3926" s="2" t="inlineStr">
        <is>
          <t>УЗБЕКФИЛЬМ</t>
        </is>
      </c>
      <c r="H3926" s="2" t="n">
        <v>73</v>
      </c>
      <c r="I3926" s="2" t="inlineStr"/>
      <c r="J3926" s="2" t="inlineStr"/>
      <c r="K3926" s="3" t="inlineStr">
        <is>
          <t>Черепашонок отдал свой панцирь ящерице, чтобы быстрее бегать. Для малышей</t>
        </is>
      </c>
      <c r="L3926" s="2" t="inlineStr">
        <is>
          <t>https://animator.ru/db/?p=show_film&amp;fid=5411</t>
        </is>
      </c>
      <c r="M3926" s="2">
        <f>HYPERLINK("https://ru.wikipedia.org/w/index.php?search=%D0%94%D0%B0%D0%B2%D0%B0%D0%B9%20%D0%BC%D0%B5%D0%BD%D1%8F%D1%82%D1%8C%D1%81%D1%8F%201984%20%D1%84%D0%B8%D0%BB%D1%8C%D0%BC","искать")</f>
        <v/>
      </c>
      <c r="N3926" s="3" t="n"/>
      <c r="O3926" s="2" t="n"/>
      <c r="P3926" s="2" t="n"/>
    </row>
    <row r="3927">
      <c r="A3927" s="2" t="n">
        <v>3926</v>
      </c>
      <c r="B3927" s="2" t="inlineStr">
        <is>
          <t>короткая</t>
        </is>
      </c>
      <c r="C3927" s="2" t="n">
        <v>14023</v>
      </c>
      <c r="D3927" s="3" t="inlineStr">
        <is>
          <t>Еж, пес и мальчик Нико</t>
        </is>
      </c>
      <c r="E3927" s="2" t="n">
        <v>1984</v>
      </c>
      <c r="F3927" s="2" t="inlineStr">
        <is>
          <t>мультфильм</t>
        </is>
      </c>
      <c r="G3927" s="2" t="inlineStr">
        <is>
          <t>ГРУЗИЯ-ФИЛЬМ - АО</t>
        </is>
      </c>
      <c r="H3927" s="2" t="n">
        <v>73</v>
      </c>
      <c r="I3927" s="2" t="inlineStr"/>
      <c r="J3927" s="2" t="inlineStr"/>
      <c r="K3927" s="3" t="inlineStr">
        <is>
          <t>О старой собаке, которая в трудную минуту пришла на помощь мальчику Нико.</t>
        </is>
      </c>
      <c r="L3927" s="2" t="inlineStr">
        <is>
          <t>2026-10_мультфильмы_список_владельца.xlsx; https://animator.ru/db/?p=show_film&amp;fid=5418</t>
        </is>
      </c>
      <c r="M3927" s="2">
        <f>HYPERLINK("https://ru.wikipedia.org/w/index.php?search=%D0%95%D0%B6%2C%20%D0%BF%D0%B5%D1%81%20%D0%B8%20%D0%BC%D0%B0%D0%BB%D1%8C%D1%87%D0%B8%D0%BA%20%D0%9D%D0%B8%D0%BA%D0%BE%201984%20%D1%84%D0%B8%D0%BB%D1%8C%D0%BC","искать")</f>
        <v/>
      </c>
      <c r="N3927" s="3" t="n"/>
      <c r="O3927" s="2" t="n"/>
      <c r="P3927" s="2" t="n"/>
    </row>
    <row r="3928">
      <c r="A3928" s="2" t="n">
        <v>3927</v>
      </c>
      <c r="B3928" s="2" t="inlineStr">
        <is>
          <t>короткая</t>
        </is>
      </c>
      <c r="C3928" s="2" t="n">
        <v>11932</v>
      </c>
      <c r="D3928" s="3" t="inlineStr">
        <is>
          <t>Веселая карусель n 11. Погоня</t>
        </is>
      </c>
      <c r="E3928" s="2" t="n">
        <v>1980</v>
      </c>
      <c r="F3928" s="2" t="inlineStr">
        <is>
          <t>мультфильм</t>
        </is>
      </c>
      <c r="G3928" s="2" t="inlineStr">
        <is>
          <t>Союзмультфильм</t>
        </is>
      </c>
      <c r="H3928" s="2" t="n">
        <v>74</v>
      </c>
      <c r="I3928" s="2" t="inlineStr"/>
      <c r="J3928" s="2" t="inlineStr"/>
      <c r="K3928" s="3" t="inlineStr">
        <is>
          <t>Сюжет из альманаха «ВЕСЕЛАЯ КАРУСЕЛЬ N 11»
Как львенок за страусом гонялся</t>
        </is>
      </c>
      <c r="L3928" s="2" t="inlineStr">
        <is>
          <t>https://animator.ru/db/?p=show_film&amp;fid=2847</t>
        </is>
      </c>
      <c r="M3928" s="2">
        <f>HYPERLINK("https://ru.wikipedia.org/w/index.php?search=%D0%92%D0%B5%D1%81%D0%B5%D0%BB%D0%B0%D1%8F%20%D0%BA%D0%B0%D1%80%D1%83%D1%81%D0%B5%D0%BB%D1%8C%20n%2011.%20%D0%9F%D0%BE%D0%B3%D0%BE%D0%BD%D1%8F%201980%20%D1%84%D0%B8%D0%BB%D1%8C%D0%BC","искать")</f>
        <v/>
      </c>
      <c r="N3928" s="3" t="n"/>
      <c r="O3928" s="2" t="n"/>
      <c r="P3928" s="2" t="n"/>
    </row>
    <row r="3929">
      <c r="A3929" s="2" t="n">
        <v>3928</v>
      </c>
      <c r="B3929" s="2" t="inlineStr">
        <is>
          <t>короткая</t>
        </is>
      </c>
      <c r="C3929" s="2" t="n">
        <v>12402</v>
      </c>
      <c r="D3929" s="3" t="inlineStr">
        <is>
          <t>Как казаки инопланетян встречали</t>
        </is>
      </c>
      <c r="E3929" s="2" t="n">
        <v>1983</v>
      </c>
      <c r="F3929" s="2" t="inlineStr">
        <is>
          <t>мультфильм</t>
        </is>
      </c>
      <c r="G3929" s="2" t="inlineStr">
        <is>
          <t>КИЕВНАУЧФИЛЬМ</t>
        </is>
      </c>
      <c r="H3929" s="2" t="n">
        <v>74</v>
      </c>
      <c r="I3929" s="2" t="inlineStr"/>
      <c r="J3929" s="2" t="inlineStr"/>
      <c r="K3929" s="3" t="inlineStr">
        <is>
          <t>Мульт из серии про Запорожских казаков.О встрече казаков с инопланетянами.</t>
        </is>
      </c>
      <c r="L3929" s="2" t="inlineStr">
        <is>
          <t>2026-10_мультфильмы_список_владельца.xlsx; https://animator.ru/db/?p=show_film&amp;fid=3573</t>
        </is>
      </c>
      <c r="M3929" s="2">
        <f>HYPERLINK("https://ru.wikipedia.org/w/index.php?search=%D0%9A%D0%B0%D0%BA%20%D0%BA%D0%B0%D0%B7%D0%B0%D0%BA%D0%B8%20%D0%B8%D0%BD%D0%BE%D0%BF%D0%BB%D0%B0%D0%BD%D0%B5%D1%82%D1%8F%D0%BD%20%D0%B2%D1%81%D1%82%D1%80%D0%B5%D1%87%D0%B0%D0%BB%D0%B8%201983%20%D1%84%D0%B8%D0%BB%D1%8C%D0%BC","искать")</f>
        <v/>
      </c>
      <c r="N3929" s="3" t="n"/>
      <c r="O3929" s="2" t="n"/>
      <c r="P3929" s="2" t="n"/>
    </row>
    <row r="3930">
      <c r="A3930" s="2" t="n">
        <v>3929</v>
      </c>
      <c r="B3930" s="2" t="inlineStr">
        <is>
          <t>короткая</t>
        </is>
      </c>
      <c r="C3930" s="2" t="n">
        <v>12529</v>
      </c>
      <c r="D3930" s="3" t="inlineStr">
        <is>
          <t>Про поросенка, который умел играть в шашки</t>
        </is>
      </c>
      <c r="E3930" s="2" t="n">
        <v>1972</v>
      </c>
      <c r="F3930" s="2" t="inlineStr">
        <is>
          <t>мультфильм</t>
        </is>
      </c>
      <c r="G3930" s="2" t="inlineStr">
        <is>
          <t>КИЕВНАУЧФИЛЬМ</t>
        </is>
      </c>
      <c r="H3930" s="2" t="n">
        <v>74</v>
      </c>
      <c r="I3930" s="2" t="inlineStr"/>
      <c r="J3930" s="2" t="inlineStr"/>
      <c r="K3930" s="3" t="inlineStr">
        <is>
          <t>О поросенке, который всех обыгрывал в шашки. И даже трижды - серого волка.</t>
        </is>
      </c>
      <c r="L3930" s="2" t="inlineStr">
        <is>
          <t>2026-10_мультфильмы_список_владельца.xlsx; https://animator.ru/db/?p=show_film&amp;fid=3705</t>
        </is>
      </c>
      <c r="M3930" s="2">
        <f>HYPERLINK("https://ru.wikipedia.org/w/index.php?search=%D0%9F%D1%80%D0%BE%20%D0%BF%D0%BE%D1%80%D0%BE%D1%81%D0%B5%D0%BD%D0%BA%D0%B0%2C%20%D0%BA%D0%BE%D1%82%D0%BE%D1%80%D1%8B%D0%B9%20%D1%83%D0%BC%D0%B5%D0%BB%20%D0%B8%D0%B3%D1%80%D0%B0%D1%82%D1%8C%20%D0%B2%20%D1%88%D0%B0%D1%88%D0%BA%D0%B8%201972%20%D1%84%D0%B8%D0%BB%D1%8C%D0%BC","искать")</f>
        <v/>
      </c>
      <c r="N3930" s="3" t="n"/>
      <c r="O3930" s="2" t="n"/>
      <c r="P3930" s="2" t="n"/>
    </row>
    <row r="3931">
      <c r="A3931" s="2" t="n">
        <v>3930</v>
      </c>
      <c r="B3931" s="2" t="inlineStr">
        <is>
          <t>короткая</t>
        </is>
      </c>
      <c r="C3931" s="2" t="n">
        <v>13651</v>
      </c>
      <c r="D3931" s="3" t="inlineStr">
        <is>
          <t>Ветер про запас</t>
        </is>
      </c>
      <c r="E3931" s="2" t="n">
        <v>1982</v>
      </c>
      <c r="F3931" s="2" t="inlineStr">
        <is>
          <t>мультфильм</t>
        </is>
      </c>
      <c r="G3931" s="2" t="inlineStr">
        <is>
          <t>ЭКРАН</t>
        </is>
      </c>
      <c r="H3931" s="2" t="n">
        <v>74</v>
      </c>
      <c r="I3931" s="2" t="inlineStr"/>
      <c r="J3931" s="2" t="inlineStr"/>
      <c r="K3931" s="3" t="inlineStr">
        <is>
          <t>По мотивам сказок С.Писахова. О том, как Сеня Малина сумел укротить ветер.</t>
        </is>
      </c>
      <c r="L3931" s="2" t="inlineStr">
        <is>
          <t>https://animator.ru/db/?p=show_film&amp;fid=5043</t>
        </is>
      </c>
      <c r="M3931" s="2">
        <f>HYPERLINK("https://ru.wikipedia.org/w/index.php?search=%D0%92%D0%B5%D1%82%D0%B5%D1%80%20%D0%BF%D1%80%D0%BE%20%D0%B7%D0%B0%D0%BF%D0%B0%D1%81%201982%20%D1%84%D0%B8%D0%BB%D1%8C%D0%BC","искать")</f>
        <v/>
      </c>
      <c r="N3931" s="3" t="n"/>
      <c r="O3931" s="2" t="n"/>
      <c r="P3931" s="2" t="n"/>
    </row>
    <row r="3932">
      <c r="A3932" s="2" t="n">
        <v>3931</v>
      </c>
      <c r="B3932" s="2" t="inlineStr">
        <is>
          <t>короткая</t>
        </is>
      </c>
      <c r="C3932" s="2" t="n">
        <v>8773</v>
      </c>
      <c r="D3932" s="3" t="inlineStr">
        <is>
          <t>Концерт артистов оперетты</t>
        </is>
      </c>
      <c r="E3932" s="2" t="n">
        <v>1969</v>
      </c>
      <c r="F3932" s="2" t="inlineStr">
        <is>
          <t>кинофильм</t>
        </is>
      </c>
      <c r="G3932" s="2" t="n"/>
      <c r="H3932" s="2" t="n">
        <v>75</v>
      </c>
      <c r="I3932" s="2" t="inlineStr"/>
      <c r="J3932" s="2" t="inlineStr"/>
      <c r="K3932" s="3" t="inlineStr">
        <is>
          <t>Музыкальный фильм с участием артистов Одесского театра музыкальной комедии.</t>
        </is>
      </c>
      <c r="L3932" s="2" t="inlineStr">
        <is>
          <t>Кино_СССР сводный каталог.xlsx: список фильмов (доп.)</t>
        </is>
      </c>
      <c r="M3932" s="2">
        <f>HYPERLINK("https://ru.wikipedia.org/w/index.php?search=%D0%9A%D0%BE%D0%BD%D1%86%D0%B5%D1%80%D1%82%20%D0%B0%D1%80%D1%82%D0%B8%D1%81%D1%82%D0%BE%D0%B2%20%D0%BE%D0%BF%D0%B5%D1%80%D0%B5%D1%82%D1%82%D1%8B%201969%20%D1%84%D0%B8%D0%BB%D1%8C%D0%BC","искать")</f>
        <v/>
      </c>
      <c r="N3932" s="3" t="n"/>
      <c r="O3932" s="2" t="n"/>
      <c r="P3932" s="2" t="n"/>
    </row>
    <row r="3933">
      <c r="A3933" s="2" t="n">
        <v>3932</v>
      </c>
      <c r="B3933" s="2" t="inlineStr">
        <is>
          <t>короткая</t>
        </is>
      </c>
      <c r="C3933" s="2" t="n">
        <v>11366</v>
      </c>
      <c r="D3933" s="3" t="inlineStr">
        <is>
          <t>Голубой огонёк-1963</t>
        </is>
      </c>
      <c r="E3933" s="2" t="n">
        <v>1963</v>
      </c>
      <c r="F3933" s="2" t="inlineStr">
        <is>
          <t>не игровое</t>
        </is>
      </c>
      <c r="G3933" s="2" t="n"/>
      <c r="H3933" s="2" t="n">
        <v>75</v>
      </c>
      <c r="I3933" s="2" t="inlineStr"/>
      <c r="J3933" s="2" t="inlineStr"/>
      <c r="K3933" s="3" t="inlineStr">
        <is>
          <t>Телевизионный музыкальный фильм-концерт, посвящён встрече Нового 1964 года.</t>
        </is>
      </c>
      <c r="L3933" s="2" t="inlineStr">
        <is>
          <t>Кино_СССР телефильмы и пропуски включить в базу.xlsx</t>
        </is>
      </c>
      <c r="M3933" s="2">
        <f>HYPERLINK("https://ru.wikipedia.org/w/index.php?search=%D0%93%D0%BE%D0%BB%D1%83%D0%B1%D0%BE%D0%B9%20%D0%BE%D0%B3%D0%BE%D0%BD%D1%91%D0%BA-1963%201963%20%D1%84%D0%B8%D0%BB%D1%8C%D0%BC","искать")</f>
        <v/>
      </c>
      <c r="N3933" s="3" t="n"/>
      <c r="O3933" s="2" t="n"/>
      <c r="P3933" s="2" t="n"/>
    </row>
    <row r="3934">
      <c r="A3934" s="2" t="n">
        <v>3933</v>
      </c>
      <c r="B3934" s="2" t="inlineStr">
        <is>
          <t>короткая</t>
        </is>
      </c>
      <c r="C3934" s="2" t="n">
        <v>11769</v>
      </c>
      <c r="D3934" s="3" t="inlineStr">
        <is>
          <t>Достать до неба</t>
        </is>
      </c>
      <c r="E3934" s="2" t="n">
        <v>1975</v>
      </c>
      <c r="F3934" s="2" t="inlineStr">
        <is>
          <t>мультфильм</t>
        </is>
      </c>
      <c r="G3934" s="2" t="inlineStr">
        <is>
          <t>Союзмультфильм</t>
        </is>
      </c>
      <c r="H3934" s="2" t="n">
        <v>75</v>
      </c>
      <c r="I3934" s="2" t="inlineStr"/>
      <c r="J3934" s="2" t="inlineStr"/>
      <c r="K3934" s="3" t="inlineStr">
        <is>
          <t>Дети с помощью Космонавта возвращают на небо упавшую звездочку. Для малышей</t>
        </is>
      </c>
      <c r="L3934" s="2" t="inlineStr">
        <is>
          <t>https://animator.ru/db/?p=show_film&amp;fid=2683</t>
        </is>
      </c>
      <c r="M3934" s="2">
        <f>HYPERLINK("https://ru.wikipedia.org/w/index.php?search=%D0%94%D0%BE%D1%81%D1%82%D0%B0%D1%82%D1%8C%20%D0%B4%D0%BE%20%D0%BD%D0%B5%D0%B1%D0%B0%201975%20%D1%84%D0%B8%D0%BB%D1%8C%D0%BC","искать")</f>
        <v/>
      </c>
      <c r="N3934" s="3" t="n"/>
      <c r="O3934" s="2" t="n"/>
      <c r="P3934" s="2" t="n"/>
    </row>
    <row r="3935">
      <c r="A3935" s="2" t="n">
        <v>3934</v>
      </c>
      <c r="B3935" s="2" t="inlineStr">
        <is>
          <t>короткая</t>
        </is>
      </c>
      <c r="C3935" s="2" t="n">
        <v>11855</v>
      </c>
      <c r="D3935" s="3" t="inlineStr">
        <is>
          <t>Старт</t>
        </is>
      </c>
      <c r="E3935" s="2" t="n">
        <v>1977</v>
      </c>
      <c r="F3935" s="2" t="inlineStr">
        <is>
          <t>мультфильм</t>
        </is>
      </c>
      <c r="G3935" s="2" t="inlineStr">
        <is>
          <t>Союзмультфильм</t>
        </is>
      </c>
      <c r="H3935" s="2" t="n">
        <v>75</v>
      </c>
      <c r="I3935" s="2" t="inlineStr"/>
      <c r="J3935" s="2" t="inlineStr"/>
      <c r="K3935" s="3" t="inlineStr">
        <is>
          <t>В погоне за телевизионным мастером человек становится отличным спортсменом.</t>
        </is>
      </c>
      <c r="L3935" s="2" t="inlineStr">
        <is>
          <t>https://animator.ru/db/?p=show_film&amp;fid=2770</t>
        </is>
      </c>
      <c r="M3935" s="2">
        <f>HYPERLINK("https://ru.wikipedia.org/w/index.php?search=%D0%A1%D1%82%D0%B0%D1%80%D1%82%201977%20%D1%84%D0%B8%D0%BB%D1%8C%D0%BC","искать")</f>
        <v/>
      </c>
      <c r="N3935" s="3" t="n"/>
      <c r="O3935" s="2" t="n"/>
      <c r="P3935" s="2" t="n"/>
    </row>
    <row r="3936">
      <c r="A3936" s="2" t="n">
        <v>3935</v>
      </c>
      <c r="B3936" s="2" t="inlineStr">
        <is>
          <t>короткая</t>
        </is>
      </c>
      <c r="C3936" s="2" t="n">
        <v>13440</v>
      </c>
      <c r="D3936" s="3" t="inlineStr">
        <is>
          <t>Тушканчик. Ракушка</t>
        </is>
      </c>
      <c r="E3936" s="2" t="n">
        <v>1983</v>
      </c>
      <c r="F3936" s="2" t="inlineStr">
        <is>
          <t>мультфильм</t>
        </is>
      </c>
      <c r="G3936" s="2" t="inlineStr">
        <is>
          <t>ЭКРАН</t>
        </is>
      </c>
      <c r="H3936" s="2" t="n">
        <v>75</v>
      </c>
      <c r="I3936" s="2" t="inlineStr"/>
      <c r="J3936" s="2" t="inlineStr"/>
      <c r="K3936" s="3" t="inlineStr">
        <is>
          <t>Как Тушканчик подарил Дикобразу ракушку, в которой шумело море. Для малышей</t>
        </is>
      </c>
      <c r="L3936" s="2" t="inlineStr">
        <is>
          <t>https://animator.ru/db/?p=show_film&amp;fid=4721</t>
        </is>
      </c>
      <c r="M3936" s="2">
        <f>HYPERLINK("https://ru.wikipedia.org/w/index.php?search=%D0%A2%D1%83%D1%88%D0%BA%D0%B0%D0%BD%D1%87%D0%B8%D0%BA.%20%D0%A0%D0%B0%D0%BA%D1%83%D1%88%D0%BA%D0%B0%201983%20%D1%84%D0%B8%D0%BB%D1%8C%D0%BC","искать")</f>
        <v/>
      </c>
      <c r="N3936" s="3" t="n"/>
      <c r="O3936" s="2" t="n"/>
      <c r="P3936" s="2" t="n"/>
    </row>
    <row r="3937">
      <c r="A3937" s="2" t="n">
        <v>3936</v>
      </c>
      <c r="B3937" s="2" t="inlineStr">
        <is>
          <t>короткая</t>
        </is>
      </c>
      <c r="C3937" s="2" t="n">
        <v>14073</v>
      </c>
      <c r="D3937" s="3" t="inlineStr">
        <is>
          <t>Сказки старого Усто</t>
        </is>
      </c>
      <c r="E3937" s="2" t="n">
        <v>1986</v>
      </c>
      <c r="F3937" s="2" t="inlineStr">
        <is>
          <t>мультфильм</t>
        </is>
      </c>
      <c r="G3937" s="2" t="inlineStr">
        <is>
          <t>УЗБЕКФИЛЬМ</t>
        </is>
      </c>
      <c r="H3937" s="2" t="n">
        <v>75</v>
      </c>
      <c r="I3937" s="2" t="inlineStr"/>
      <c r="J3937" s="2" t="inlineStr"/>
      <c r="K3937" s="3" t="inlineStr">
        <is>
          <t>Гончар Усто делает фигурки, которые становятся героями его веселых историй.</t>
        </is>
      </c>
      <c r="L3937" s="2" t="inlineStr">
        <is>
          <t>2026-10_мультфильмы_список_владельца.xlsx; https://animator.ru/db/?p=show_film&amp;fid=5469</t>
        </is>
      </c>
      <c r="M3937" s="2">
        <f>HYPERLINK("https://ru.wikipedia.org/w/index.php?search=%D0%A1%D0%BA%D0%B0%D0%B7%D0%BA%D0%B8%20%D1%81%D1%82%D0%B0%D1%80%D0%BE%D0%B3%D0%BE%20%D0%A3%D1%81%D1%82%D0%BE%201986%20%D1%84%D0%B8%D0%BB%D1%8C%D0%BC","искать")</f>
        <v/>
      </c>
      <c r="N3937" s="3" t="n"/>
      <c r="O3937" s="2" t="n"/>
      <c r="P3937" s="2" t="n"/>
    </row>
    <row r="3938">
      <c r="A3938" s="2" t="n">
        <v>3937</v>
      </c>
      <c r="B3938" s="2" t="inlineStr">
        <is>
          <t>короткая</t>
        </is>
      </c>
      <c r="C3938" s="2" t="n">
        <v>9855</v>
      </c>
      <c r="D3938" s="3" t="inlineStr">
        <is>
          <t>Там, за окошком, лето</t>
        </is>
      </c>
      <c r="E3938" s="2" t="n">
        <v>1968</v>
      </c>
      <c r="F3938" s="2" t="inlineStr">
        <is>
          <t>телефильм</t>
        </is>
      </c>
      <c r="G3938" s="2" t="inlineStr">
        <is>
          <t>ЭКРАН (ОСТАНКИНО)</t>
        </is>
      </c>
      <c r="H3938" s="2" t="n">
        <v>76</v>
      </c>
      <c r="I3938" s="2" t="inlineStr"/>
      <c r="J3938" s="2" t="inlineStr"/>
      <c r="K3938" s="3" t="inlineStr">
        <is>
          <t>О необыкновенных и веселых похождениях Буратино и зайчика Тепы по оранжерее.</t>
        </is>
      </c>
      <c r="L3938" s="2" t="inlineStr">
        <is>
          <t>https://www.kino-teatr.ru/short/movie/sov/9534/annot/</t>
        </is>
      </c>
      <c r="M3938" s="2">
        <f>HYPERLINK("https://ru.wikipedia.org/w/index.php?search=%D0%A2%D0%B0%D0%BC%2C%20%D0%B7%D0%B0%20%D0%BE%D0%BA%D0%BE%D1%88%D0%BA%D0%BE%D0%BC%2C%20%D0%BB%D0%B5%D1%82%D0%BE%201968%20%D1%84%D0%B8%D0%BB%D1%8C%D0%BC","искать")</f>
        <v/>
      </c>
      <c r="N3938" s="3" t="n"/>
      <c r="O3938" s="2" t="n"/>
      <c r="P3938" s="2" t="n"/>
    </row>
    <row r="3939">
      <c r="A3939" s="2" t="n">
        <v>3938</v>
      </c>
      <c r="B3939" s="2" t="inlineStr">
        <is>
          <t>короткая</t>
        </is>
      </c>
      <c r="C3939" s="2" t="n">
        <v>11922</v>
      </c>
      <c r="D3939" s="3" t="inlineStr">
        <is>
          <t>Приезжайте в гости</t>
        </is>
      </c>
      <c r="E3939" s="2" t="n">
        <v>1979</v>
      </c>
      <c r="F3939" s="2" t="inlineStr">
        <is>
          <t>мультфильм</t>
        </is>
      </c>
      <c r="G3939" s="2" t="inlineStr">
        <is>
          <t>Союзмультфильм</t>
        </is>
      </c>
      <c r="H3939" s="2" t="n">
        <v>76</v>
      </c>
      <c r="I3939" s="2" t="inlineStr"/>
      <c r="J3939" s="2" t="inlineStr"/>
      <c r="K3939" s="3" t="inlineStr">
        <is>
          <t>Лесные зверушки приглашают африканского слоненка в гости на новогоднюю ёлку.</t>
        </is>
      </c>
      <c r="L3939" s="2" t="inlineStr">
        <is>
          <t>https://animator.ru/db/?p=show_film&amp;fid=2837</t>
        </is>
      </c>
      <c r="M3939" s="2">
        <f>HYPERLINK("https://ru.wikipedia.org/w/index.php?search=%D0%9F%D1%80%D0%B8%D0%B5%D0%B7%D0%B6%D0%B0%D0%B9%D1%82%D0%B5%20%D0%B2%20%D0%B3%D0%BE%D1%81%D1%82%D0%B8%201979%20%D1%84%D0%B8%D0%BB%D1%8C%D0%BC","искать")</f>
        <v/>
      </c>
      <c r="N3939" s="3" t="n"/>
      <c r="O3939" s="2" t="n"/>
      <c r="P3939" s="2" t="n"/>
    </row>
    <row r="3940">
      <c r="A3940" s="2" t="n">
        <v>3939</v>
      </c>
      <c r="B3940" s="2" t="inlineStr">
        <is>
          <t>короткая</t>
        </is>
      </c>
      <c r="C3940" s="2" t="n">
        <v>11997</v>
      </c>
      <c r="D3940" s="3" t="inlineStr">
        <is>
          <t>Боцман и попугай. Ч.1</t>
        </is>
      </c>
      <c r="E3940" s="2" t="n">
        <v>1982</v>
      </c>
      <c r="F3940" s="2" t="inlineStr">
        <is>
          <t>мультфильм</t>
        </is>
      </c>
      <c r="G3940" s="2" t="inlineStr">
        <is>
          <t>Союзмультфильм</t>
        </is>
      </c>
      <c r="H3940" s="2" t="n">
        <v>76</v>
      </c>
      <c r="I3940" s="2" t="inlineStr"/>
      <c r="J3940" s="2" t="inlineStr"/>
      <c r="K3940" s="3" t="inlineStr">
        <is>
          <t>О приключениях боцмана Ромы и его попугая.
"Эх, Рома, Рома..." Мульт первый</t>
        </is>
      </c>
      <c r="L3940" s="2" t="inlineStr">
        <is>
          <t>2026-10_мультфильмы_список_владельца.xlsx; https://animator.ru/db/?p=show_film&amp;fid=3111</t>
        </is>
      </c>
      <c r="M3940" s="2">
        <f>HYPERLINK("https://ru.wikipedia.org/w/index.php?search=%D0%91%D0%BE%D1%86%D0%BC%D0%B0%D0%BD%20%D0%B8%20%D0%BF%D0%BE%D0%BF%D1%83%D0%B3%D0%B0%D0%B9.%20%D0%A7.1%201982%20%D1%84%D0%B8%D0%BB%D1%8C%D0%BC","искать")</f>
        <v/>
      </c>
      <c r="N3940" s="3" t="n"/>
      <c r="O3940" s="2" t="n"/>
      <c r="P3940" s="2" t="n"/>
    </row>
    <row r="3941">
      <c r="A3941" s="2" t="n">
        <v>3940</v>
      </c>
      <c r="B3941" s="2" t="inlineStr">
        <is>
          <t>короткая</t>
        </is>
      </c>
      <c r="C3941" s="2" t="n">
        <v>12005</v>
      </c>
      <c r="D3941" s="3" t="inlineStr">
        <is>
          <t>Дедушкин бинокль</t>
        </is>
      </c>
      <c r="E3941" s="2" t="n">
        <v>1982</v>
      </c>
      <c r="F3941" s="2" t="inlineStr">
        <is>
          <t>мультфильм</t>
        </is>
      </c>
      <c r="G3941" s="2" t="inlineStr">
        <is>
          <t>Союзмультфильм</t>
        </is>
      </c>
      <c r="H3941" s="2" t="n">
        <v>76</v>
      </c>
      <c r="I3941" s="2" t="inlineStr"/>
      <c r="J3941" s="2" t="inlineStr"/>
      <c r="K3941" s="3" t="inlineStr">
        <is>
          <t>Мальчик знакомится с боевой юностью своего дедушки, героя гражданской войны.</t>
        </is>
      </c>
      <c r="L3941" s="2" t="inlineStr">
        <is>
          <t>https://animator.ru/db/?p=show_film&amp;fid=3119</t>
        </is>
      </c>
      <c r="M3941" s="2">
        <f>HYPERLINK("https://ru.wikipedia.org/w/index.php?search=%D0%94%D0%B5%D0%B4%D1%83%D1%88%D0%BA%D0%B8%D0%BD%20%D0%B1%D0%B8%D0%BD%D0%BE%D0%BA%D0%BB%D1%8C%201982%20%D1%84%D0%B8%D0%BB%D1%8C%D0%BC","искать")</f>
        <v/>
      </c>
      <c r="N3941" s="3" t="n"/>
      <c r="O3941" s="2" t="n"/>
      <c r="P3941" s="2" t="n"/>
    </row>
    <row r="3942">
      <c r="A3942" s="2" t="n">
        <v>3941</v>
      </c>
      <c r="B3942" s="2" t="inlineStr">
        <is>
          <t>короткая</t>
        </is>
      </c>
      <c r="C3942" s="2" t="n">
        <v>12345</v>
      </c>
      <c r="D3942" s="3" t="inlineStr">
        <is>
          <t>Встреча, которая не состоялась</t>
        </is>
      </c>
      <c r="E3942" s="2" t="n">
        <v>1971</v>
      </c>
      <c r="F3942" s="2" t="inlineStr">
        <is>
          <t>мультфильм</t>
        </is>
      </c>
      <c r="G3942" s="2" t="inlineStr">
        <is>
          <t>КИЕВНАУЧФИЛЬМ</t>
        </is>
      </c>
      <c r="H3942" s="2" t="n">
        <v>76</v>
      </c>
      <c r="I3942" s="2" t="inlineStr"/>
      <c r="J3942" s="2" t="inlineStr"/>
      <c r="K3942" s="3" t="inlineStr">
        <is>
          <t>Первым на Земле инопланетяне встретили пьяного, испугались и улетели обратно</t>
        </is>
      </c>
      <c r="L3942" s="2" t="inlineStr">
        <is>
          <t>https://animator.ru/db/?p=show_film&amp;fid=3512</t>
        </is>
      </c>
      <c r="M3942" s="2">
        <f>HYPERLINK("https://ru.wikipedia.org/w/index.php?search=%D0%92%D1%81%D1%82%D1%80%D0%B5%D1%87%D0%B0%2C%20%D0%BA%D0%BE%D1%82%D0%BE%D1%80%D0%B0%D1%8F%20%D0%BD%D0%B5%20%D1%81%D0%BE%D1%81%D1%82%D0%BE%D1%8F%D0%BB%D0%B0%D1%81%D1%8C%201971%20%D1%84%D0%B8%D0%BB%D1%8C%D0%BC","искать")</f>
        <v/>
      </c>
      <c r="N3942" s="3" t="n"/>
      <c r="O3942" s="2" t="n"/>
      <c r="P3942" s="2" t="n"/>
    </row>
    <row r="3943">
      <c r="A3943" s="2" t="n">
        <v>3942</v>
      </c>
      <c r="B3943" s="2" t="inlineStr">
        <is>
          <t>короткая</t>
        </is>
      </c>
      <c r="C3943" s="2" t="n">
        <v>12436</v>
      </c>
      <c r="D3943" s="3" t="inlineStr">
        <is>
          <t>Котенок</t>
        </is>
      </c>
      <c r="E3943" s="2" t="n">
        <v>1979</v>
      </c>
      <c r="F3943" s="2" t="inlineStr">
        <is>
          <t>мультфильм</t>
        </is>
      </c>
      <c r="G3943" s="2" t="inlineStr">
        <is>
          <t>КИЕВНАУЧФИЛЬМ</t>
        </is>
      </c>
      <c r="H3943" s="2" t="n">
        <v>76</v>
      </c>
      <c r="I3943" s="2" t="inlineStr"/>
      <c r="J3943" s="2" t="inlineStr"/>
      <c r="K3943" s="3" t="inlineStr">
        <is>
          <t>О том, как малыш, переборов собственный страх, спасает замерзающего котенка.</t>
        </is>
      </c>
      <c r="L3943" s="2" t="inlineStr">
        <is>
          <t>2026-10_мультфильмы_список_владельца.xlsx; https://animator.ru/db/?p=show_film&amp;fid=3607</t>
        </is>
      </c>
      <c r="M3943" s="2">
        <f>HYPERLINK("https://ru.wikipedia.org/w/index.php?search=%D0%9A%D0%BE%D1%82%D0%B5%D0%BD%D0%BE%D0%BA%201979%20%D1%84%D0%B8%D0%BB%D1%8C%D0%BC","искать")</f>
        <v/>
      </c>
      <c r="N3943" s="3" t="n"/>
      <c r="O3943" s="2" t="n"/>
      <c r="P3943" s="2" t="n"/>
    </row>
    <row r="3944">
      <c r="A3944" s="2" t="n">
        <v>3943</v>
      </c>
      <c r="B3944" s="2" t="inlineStr">
        <is>
          <t>короткая</t>
        </is>
      </c>
      <c r="C3944" s="2" t="n">
        <v>9880</v>
      </c>
      <c r="D3944" s="3" t="inlineStr">
        <is>
          <t>Проходная пешка</t>
        </is>
      </c>
      <c r="E3944" s="2" t="n">
        <v>1970</v>
      </c>
      <c r="F3944" s="2" t="inlineStr">
        <is>
          <t>телефильм</t>
        </is>
      </c>
      <c r="G3944" s="2" t="inlineStr">
        <is>
          <t>Грузиятелефильм</t>
        </is>
      </c>
      <c r="H3944" s="2" t="n">
        <v>77</v>
      </c>
      <c r="I3944" s="2" t="inlineStr"/>
      <c r="J3944" s="2" t="inlineStr"/>
      <c r="K3944" s="3" t="inlineStr">
        <is>
          <t>Рассказ о соседях, собирающихся регулярно во дворе, чтобы поиграть в шахматы.</t>
        </is>
      </c>
      <c r="L3944" s="2" t="inlineStr">
        <is>
          <t>https://www.kino-teatr.ru/short/movie/sov/86076/annot/</t>
        </is>
      </c>
      <c r="M3944" s="2">
        <f>HYPERLINK("https://ru.wikipedia.org/w/index.php?search=%D0%9F%D1%80%D0%BE%D1%85%D0%BE%D0%B4%D0%BD%D0%B0%D1%8F%20%D0%BF%D0%B5%D1%88%D0%BA%D0%B0%201970%20%D1%84%D0%B8%D0%BB%D1%8C%D0%BC","искать")</f>
        <v/>
      </c>
      <c r="N3944" s="3" t="n"/>
      <c r="O3944" s="2" t="n"/>
      <c r="P3944" s="2" t="n"/>
    </row>
    <row r="3945">
      <c r="A3945" s="2" t="n">
        <v>3944</v>
      </c>
      <c r="B3945" s="2" t="inlineStr">
        <is>
          <t>короткая</t>
        </is>
      </c>
      <c r="C3945" s="2" t="n">
        <v>11360</v>
      </c>
      <c r="D3945" s="3" t="inlineStr">
        <is>
          <t>Вечное представление</t>
        </is>
      </c>
      <c r="E3945" s="2" t="n">
        <v>1981</v>
      </c>
      <c r="F3945" s="2" t="inlineStr">
        <is>
          <t>не игровое</t>
        </is>
      </c>
      <c r="G3945" s="2" t="n"/>
      <c r="H3945" s="2" t="n">
        <v>77</v>
      </c>
      <c r="I3945" s="2" t="inlineStr"/>
      <c r="J3945" s="2" t="inlineStr"/>
      <c r="K3945" s="3" t="inlineStr">
        <is>
          <t>Концерт-бенефис, посвященный юбилею народной артистке Эстонской ССР Ите Эвер.</t>
        </is>
      </c>
      <c r="L3945" s="2" t="inlineStr">
        <is>
          <t>Кино_СССР телефильмы и пропуски включить в базу.xlsx</t>
        </is>
      </c>
      <c r="M3945" s="2">
        <f>HYPERLINK("https://ru.wikipedia.org/w/index.php?search=%D0%92%D0%B5%D1%87%D0%BD%D0%BE%D0%B5%20%D0%BF%D1%80%D0%B5%D0%B4%D1%81%D1%82%D0%B0%D0%B2%D0%BB%D0%B5%D0%BD%D0%B8%D0%B5%201981%20%D1%84%D0%B8%D0%BB%D1%8C%D0%BC","искать")</f>
        <v/>
      </c>
      <c r="N3945" s="3" t="n"/>
      <c r="O3945" s="2" t="n"/>
      <c r="P3945" s="2" t="n"/>
    </row>
    <row r="3946">
      <c r="A3946" s="2" t="n">
        <v>3945</v>
      </c>
      <c r="B3946" s="2" t="inlineStr">
        <is>
          <t>короткая</t>
        </is>
      </c>
      <c r="C3946" s="2" t="n">
        <v>11906</v>
      </c>
      <c r="D3946" s="3" t="inlineStr">
        <is>
          <t>Как лиса зайца догоняла</t>
        </is>
      </c>
      <c r="E3946" s="2" t="n">
        <v>1979</v>
      </c>
      <c r="F3946" s="2" t="inlineStr">
        <is>
          <t>мультфильм</t>
        </is>
      </c>
      <c r="G3946" s="2" t="inlineStr">
        <is>
          <t>Союзмультфильм</t>
        </is>
      </c>
      <c r="H3946" s="2" t="n">
        <v>77</v>
      </c>
      <c r="I3946" s="2" t="inlineStr"/>
      <c r="J3946" s="2" t="inlineStr"/>
      <c r="K3946" s="3" t="inlineStr">
        <is>
          <t>О хитрой лисе и добром, но простодушном Зайчике, которого Лиса решила съесть.</t>
        </is>
      </c>
      <c r="L3946" s="2" t="inlineStr">
        <is>
          <t>https://animator.ru/db/?p=show_film&amp;fid=2821</t>
        </is>
      </c>
      <c r="M3946" s="2">
        <f>HYPERLINK("https://ru.wikipedia.org/w/index.php?search=%D0%9A%D0%B0%D0%BA%20%D0%BB%D0%B8%D1%81%D0%B0%20%D0%B7%D0%B0%D0%B9%D1%86%D0%B0%20%D0%B4%D0%BE%D0%B3%D0%BE%D0%BD%D1%8F%D0%BB%D0%B0%201979%20%D1%84%D0%B8%D0%BB%D1%8C%D0%BC","искать")</f>
        <v/>
      </c>
      <c r="N3946" s="3" t="n"/>
      <c r="O3946" s="2" t="n"/>
      <c r="P3946" s="2" t="n"/>
    </row>
    <row r="3947">
      <c r="A3947" s="2" t="n">
        <v>3946</v>
      </c>
      <c r="B3947" s="2" t="inlineStr">
        <is>
          <t>короткая</t>
        </is>
      </c>
      <c r="C3947" s="2" t="n">
        <v>12408</v>
      </c>
      <c r="D3947" s="3" t="inlineStr">
        <is>
          <t>Как казаки соль покупали</t>
        </is>
      </c>
      <c r="E3947" s="2" t="n">
        <v>1975</v>
      </c>
      <c r="F3947" s="2" t="inlineStr">
        <is>
          <t>мультфильм</t>
        </is>
      </c>
      <c r="G3947" s="2" t="inlineStr">
        <is>
          <t>КИЕВНАУЧФИЛЬМ</t>
        </is>
      </c>
      <c r="H3947" s="2" t="n">
        <v>77</v>
      </c>
      <c r="I3947" s="2" t="inlineStr"/>
      <c r="J3947" s="2" t="inlineStr"/>
      <c r="K3947" s="3" t="inlineStr">
        <is>
          <t>Мульт из серии про Запорожских казаков.О том, как казаки злого пана проучили.</t>
        </is>
      </c>
      <c r="L3947" s="2" t="inlineStr">
        <is>
          <t>2026-10_мультфильмы_список_владельца.xlsx; https://animator.ru/db/?p=show_film&amp;fid=3579</t>
        </is>
      </c>
      <c r="M3947" s="2">
        <f>HYPERLINK("https://ru.wikipedia.org/w/index.php?search=%D0%9A%D0%B0%D0%BA%20%D0%BA%D0%B0%D0%B7%D0%B0%D0%BA%D0%B8%20%D1%81%D0%BE%D0%BB%D1%8C%20%D0%BF%D0%BE%D0%BA%D1%83%D0%BF%D0%B0%D0%BB%D0%B8%201975%20%D1%84%D0%B8%D0%BB%D1%8C%D0%BC","искать")</f>
        <v/>
      </c>
      <c r="N3947" s="3" t="n"/>
      <c r="O3947" s="2" t="n"/>
      <c r="P3947" s="2" t="n"/>
    </row>
    <row r="3948">
      <c r="A3948" s="2" t="n">
        <v>3947</v>
      </c>
      <c r="B3948" s="2" t="inlineStr">
        <is>
          <t>короткая</t>
        </is>
      </c>
      <c r="C3948" s="2" t="n">
        <v>12960</v>
      </c>
      <c r="D3948" s="3" t="inlineStr">
        <is>
          <t>Бревно</t>
        </is>
      </c>
      <c r="E3948" s="2" t="n">
        <v>1988</v>
      </c>
      <c r="F3948" s="2" t="inlineStr">
        <is>
          <t>мультфильм</t>
        </is>
      </c>
      <c r="G3948" s="2" t="inlineStr">
        <is>
          <t>ГРУЗИЯ-ФИЛЬМ - АО</t>
        </is>
      </c>
      <c r="H3948" s="2" t="n">
        <v>77</v>
      </c>
      <c r="I3948" s="2" t="inlineStr"/>
      <c r="J3948" s="2" t="inlineStr"/>
      <c r="K3948" s="3" t="inlineStr">
        <is>
          <t>Вмешательство бюрократа в любую работу может довести до абсурда. Для взрослых</t>
        </is>
      </c>
      <c r="L3948" s="2" t="inlineStr">
        <is>
          <t>https://animator.ru/db/?p=show_film&amp;fid=4190</t>
        </is>
      </c>
      <c r="M3948" s="2">
        <f>HYPERLINK("https://ru.wikipedia.org/w/index.php?search=%D0%91%D1%80%D0%B5%D0%B2%D0%BD%D0%BE%201988%20%D1%84%D0%B8%D0%BB%D1%8C%D0%BC","искать")</f>
        <v/>
      </c>
      <c r="N3948" s="3" t="n"/>
      <c r="O3948" s="2" t="n"/>
      <c r="P3948" s="2" t="n"/>
    </row>
    <row r="3949">
      <c r="A3949" s="2" t="n">
        <v>3948</v>
      </c>
      <c r="B3949" s="2" t="inlineStr">
        <is>
          <t>короткая</t>
        </is>
      </c>
      <c r="C3949" s="2" t="n">
        <v>13972</v>
      </c>
      <c r="D3949" s="3" t="inlineStr">
        <is>
          <t>В стране ловушек</t>
        </is>
      </c>
      <c r="E3949" s="2" t="n">
        <v>1975</v>
      </c>
      <c r="F3949" s="2" t="inlineStr">
        <is>
          <t>мультфильм</t>
        </is>
      </c>
      <c r="G3949" s="2" t="inlineStr">
        <is>
          <t>ЭКРАН</t>
        </is>
      </c>
      <c r="H3949" s="2" t="n">
        <v>77</v>
      </c>
      <c r="I3949" s="2" t="inlineStr"/>
      <c r="J3949" s="2" t="inlineStr"/>
      <c r="K3949" s="3" t="inlineStr">
        <is>
          <t>О приключениях школьников в сказочном царстве страха. Перемонтирован в 1978 г</t>
        </is>
      </c>
      <c r="L3949" s="2" t="inlineStr">
        <is>
          <t>https://animator.ru/db/?p=show_film&amp;fid=5366</t>
        </is>
      </c>
      <c r="M3949" s="2">
        <f>HYPERLINK("https://ru.wikipedia.org/w/index.php?search=%D0%92%20%D1%81%D1%82%D1%80%D0%B0%D0%BD%D0%B5%20%D0%BB%D0%BE%D0%B2%D1%83%D1%88%D0%B5%D0%BA%201975%20%D1%84%D0%B8%D0%BB%D1%8C%D0%BC","искать")</f>
        <v/>
      </c>
      <c r="N3949" s="3" t="n"/>
      <c r="O3949" s="2" t="n"/>
      <c r="P3949" s="2" t="n"/>
    </row>
    <row r="3950">
      <c r="A3950" s="2" t="n">
        <v>3949</v>
      </c>
      <c r="B3950" s="2" t="inlineStr">
        <is>
          <t>короткая</t>
        </is>
      </c>
      <c r="C3950" s="2" t="n">
        <v>14075</v>
      </c>
      <c r="D3950" s="3" t="inlineStr">
        <is>
          <t>Судья и странник</t>
        </is>
      </c>
      <c r="E3950" s="2" t="n">
        <v>1987</v>
      </c>
      <c r="F3950" s="2" t="inlineStr">
        <is>
          <t>мультфильм</t>
        </is>
      </c>
      <c r="G3950" s="2" t="inlineStr">
        <is>
          <t>УЗБЕКФИЛЬМ</t>
        </is>
      </c>
      <c r="H3950" s="2" t="n">
        <v>77</v>
      </c>
      <c r="I3950" s="2" t="inlineStr"/>
      <c r="J3950" s="2" t="inlineStr"/>
      <c r="K3950" s="3" t="inlineStr">
        <is>
          <t>Странник сумел восстановить справедливость в городе и наказать жадного судью.</t>
        </is>
      </c>
      <c r="L3950" s="2" t="inlineStr">
        <is>
          <t>2026-10_мультфильмы_список_владельца.xlsx; https://animator.ru/db/?p=show_film&amp;fid=5472</t>
        </is>
      </c>
      <c r="M3950" s="2">
        <f>HYPERLINK("https://ru.wikipedia.org/w/index.php?search=%D0%A1%D1%83%D0%B4%D1%8C%D1%8F%20%D0%B8%20%D1%81%D1%82%D1%80%D0%B0%D0%BD%D0%BD%D0%B8%D0%BA%201987%20%D1%84%D0%B8%D0%BB%D1%8C%D0%BC","искать")</f>
        <v/>
      </c>
      <c r="N3950" s="3" t="n"/>
      <c r="O3950" s="2" t="n"/>
      <c r="P3950" s="2" t="n"/>
    </row>
    <row r="3951">
      <c r="A3951" s="2" t="n">
        <v>3950</v>
      </c>
      <c r="B3951" s="2" t="inlineStr">
        <is>
          <t>короткая</t>
        </is>
      </c>
      <c r="C3951" s="2" t="n">
        <v>14427</v>
      </c>
      <c r="D3951" s="3" t="inlineStr">
        <is>
          <t>Обида</t>
        </is>
      </c>
      <c r="E3951" s="2" t="n">
        <v>1981</v>
      </c>
      <c r="F3951" s="2" t="inlineStr">
        <is>
          <t>мультфильм</t>
        </is>
      </c>
      <c r="G3951" s="2" t="n"/>
      <c r="H3951" s="2" t="n">
        <v>77</v>
      </c>
      <c r="I3951" s="2" t="inlineStr"/>
      <c r="J3951" s="2" t="inlineStr"/>
      <c r="K3951" s="3" t="inlineStr">
        <is>
          <t>О том, как Зайка обидел Медвежонка, но с помощью Крота понял, что был неправ.</t>
        </is>
      </c>
      <c r="L3951" s="2" t="inlineStr">
        <is>
          <t>https://animator.ru/db/?p=show_film&amp;fid=6668</t>
        </is>
      </c>
      <c r="M3951" s="2">
        <f>HYPERLINK("https://ru.wikipedia.org/w/index.php?search=%D0%9E%D0%B1%D0%B8%D0%B4%D0%B0%201981%20%D1%84%D0%B8%D0%BB%D1%8C%D0%BC","искать")</f>
        <v/>
      </c>
      <c r="N3951" s="3" t="n"/>
      <c r="O3951" s="2" t="n"/>
      <c r="P3951" s="2" t="n"/>
    </row>
    <row r="3952">
      <c r="A3952" s="2" t="n">
        <v>3951</v>
      </c>
      <c r="B3952" s="2" t="inlineStr">
        <is>
          <t>короткая</t>
        </is>
      </c>
      <c r="C3952" s="2" t="n">
        <v>14441</v>
      </c>
      <c r="D3952" s="3" t="inlineStr">
        <is>
          <t>Сон</t>
        </is>
      </c>
      <c r="E3952" s="2" t="n">
        <v>1980</v>
      </c>
      <c r="F3952" s="2" t="inlineStr">
        <is>
          <t>мультфильм</t>
        </is>
      </c>
      <c r="G3952" s="2" t="inlineStr">
        <is>
          <t>ЭКРАН</t>
        </is>
      </c>
      <c r="H3952" s="2" t="n">
        <v>77</v>
      </c>
      <c r="I3952" s="2" t="inlineStr"/>
      <c r="J3952" s="2" t="inlineStr"/>
      <c r="K3952" s="3" t="inlineStr">
        <is>
          <t>Трилогия о приключениях четырех друзей - енота, крота, зайчонка и медвежонка.</t>
        </is>
      </c>
      <c r="L3952" s="2" t="inlineStr">
        <is>
          <t>2026-10_мультфильмы_список_владельца.xlsx; https://animator.ru/db/?p=show_film&amp;fid=6689</t>
        </is>
      </c>
      <c r="M3952" s="2">
        <f>HYPERLINK("https://ru.wikipedia.org/w/index.php?search=%D0%A1%D0%BE%D0%BD%201980%20%D1%84%D0%B8%D0%BB%D1%8C%D0%BC","искать")</f>
        <v/>
      </c>
      <c r="N3952" s="3" t="n"/>
      <c r="O3952" s="2" t="n"/>
      <c r="P3952" s="2" t="n"/>
    </row>
    <row r="3953">
      <c r="A3953" s="2" t="n">
        <v>3952</v>
      </c>
      <c r="B3953" s="2" t="inlineStr">
        <is>
          <t>короткая</t>
        </is>
      </c>
      <c r="C3953" s="2" t="n">
        <v>11853</v>
      </c>
      <c r="D3953" s="3" t="inlineStr">
        <is>
          <t>Солнышко на нитке</t>
        </is>
      </c>
      <c r="E3953" s="2" t="n">
        <v>1977</v>
      </c>
      <c r="F3953" s="2" t="inlineStr">
        <is>
          <t>мультфильм</t>
        </is>
      </c>
      <c r="G3953" s="2" t="inlineStr">
        <is>
          <t>Союзмультфильм</t>
        </is>
      </c>
      <c r="H3953" s="2" t="n">
        <v>78</v>
      </c>
      <c r="I3953" s="2" t="inlineStr"/>
      <c r="J3953" s="2" t="inlineStr"/>
      <c r="K3953" s="3" t="inlineStr">
        <is>
          <t>Когда солнышко скрылось за тучу, мышонок решил заменить его воздушным шариком.</t>
        </is>
      </c>
      <c r="L3953" s="2" t="inlineStr">
        <is>
          <t>https://animator.ru/db/?p=show_film&amp;fid=2768</t>
        </is>
      </c>
      <c r="M3953" s="2">
        <f>HYPERLINK("https://ru.wikipedia.org/w/index.php?search=%D0%A1%D0%BE%D0%BB%D0%BD%D1%8B%D1%88%D0%BA%D0%BE%20%D0%BD%D0%B0%20%D0%BD%D0%B8%D1%82%D0%BA%D0%B5%201977%20%D1%84%D0%B8%D0%BB%D1%8C%D0%BC","искать")</f>
        <v/>
      </c>
      <c r="N3953" s="3" t="n"/>
      <c r="O3953" s="2" t="n"/>
      <c r="P3953" s="2" t="n"/>
    </row>
    <row r="3954">
      <c r="A3954" s="2" t="n">
        <v>3953</v>
      </c>
      <c r="B3954" s="2" t="inlineStr">
        <is>
          <t>короткая</t>
        </is>
      </c>
      <c r="C3954" s="2" t="n">
        <v>13263</v>
      </c>
      <c r="D3954" s="3" t="inlineStr">
        <is>
          <t>Сорванец</t>
        </is>
      </c>
      <c r="E3954" s="2" t="n">
        <v>1975</v>
      </c>
      <c r="F3954" s="2" t="inlineStr">
        <is>
          <t>мультфильм</t>
        </is>
      </c>
      <c r="G3954" s="2" t="inlineStr">
        <is>
          <t>ТАЛЛИННФИЛЬМ</t>
        </is>
      </c>
      <c r="H3954" s="2" t="n">
        <v>78</v>
      </c>
      <c r="I3954" s="2" t="inlineStr"/>
      <c r="J3954" s="2" t="inlineStr"/>
      <c r="K3954" s="3" t="inlineStr">
        <is>
          <t>О непослушном мальчике, который превратился в поросенка, но сумел исправиться.</t>
        </is>
      </c>
      <c r="L3954" s="2" t="inlineStr">
        <is>
          <t>2026-10_мультфильмы_список_владельца.xlsx; https://animator.ru/db/?p=show_film&amp;fid=4515</t>
        </is>
      </c>
      <c r="M3954" s="2">
        <f>HYPERLINK("https://ru.wikipedia.org/w/index.php?search=%D0%A1%D0%BE%D1%80%D0%B2%D0%B0%D0%BD%D0%B5%D1%86%201975%20%D1%84%D0%B8%D0%BB%D1%8C%D0%BC","искать")</f>
        <v/>
      </c>
      <c r="N3954" s="3" t="n"/>
      <c r="O3954" s="2" t="n"/>
      <c r="P3954" s="2" t="n"/>
    </row>
    <row r="3955">
      <c r="A3955" s="2" t="n">
        <v>3954</v>
      </c>
      <c r="B3955" s="2" t="inlineStr">
        <is>
          <t>короткая</t>
        </is>
      </c>
      <c r="C3955" s="2" t="n">
        <v>13357</v>
      </c>
      <c r="D3955" s="3" t="inlineStr">
        <is>
          <t>Зайчик в очках</t>
        </is>
      </c>
      <c r="E3955" s="2" t="n">
        <v>1981</v>
      </c>
      <c r="F3955" s="2" t="inlineStr">
        <is>
          <t>мультфильм</t>
        </is>
      </c>
      <c r="G3955" s="2" t="inlineStr">
        <is>
          <t>КАЗАХФИЛЬМ</t>
        </is>
      </c>
      <c r="H3955" s="2" t="n">
        <v>78</v>
      </c>
      <c r="I3955" s="2" t="inlineStr"/>
      <c r="J3955" s="2" t="inlineStr"/>
      <c r="K3955" s="3" t="inlineStr">
        <is>
          <t>Зайчик, который надел уменьшающие очки и вообразил себя самым большим и сльным</t>
        </is>
      </c>
      <c r="L3955" s="2" t="inlineStr">
        <is>
          <t>https://animator.ru/db/?p=show_film&amp;fid=4635</t>
        </is>
      </c>
      <c r="M3955" s="2">
        <f>HYPERLINK("https://ru.wikipedia.org/w/index.php?search=%D0%97%D0%B0%D0%B9%D1%87%D0%B8%D0%BA%20%D0%B2%20%D0%BE%D1%87%D0%BA%D0%B0%D1%85%201981%20%D1%84%D0%B8%D0%BB%D1%8C%D0%BC","искать")</f>
        <v/>
      </c>
      <c r="N3955" s="3" t="n"/>
      <c r="O3955" s="2" t="n"/>
      <c r="P3955" s="2" t="n"/>
    </row>
    <row r="3956">
      <c r="A3956" s="2" t="n">
        <v>3955</v>
      </c>
      <c r="B3956" s="2" t="inlineStr">
        <is>
          <t>короткая</t>
        </is>
      </c>
      <c r="C3956" s="2" t="n">
        <v>13581</v>
      </c>
      <c r="D3956" s="3" t="inlineStr">
        <is>
          <t>Веселая карусель n 17</t>
        </is>
      </c>
      <c r="E3956" s="2" t="n">
        <v>1982</v>
      </c>
      <c r="F3956" s="2" t="inlineStr">
        <is>
          <t>мультфильм</t>
        </is>
      </c>
      <c r="G3956" s="2" t="inlineStr">
        <is>
          <t>Союзмультфильм</t>
        </is>
      </c>
      <c r="H3956" s="2" t="n">
        <v>78</v>
      </c>
      <c r="I3956" s="2" t="inlineStr"/>
      <c r="J3956" s="2" t="inlineStr"/>
      <c r="K3956" s="3" t="inlineStr">
        <is>
          <t>17-ая серия альманаха «ВЕСЕЛАЯ КАРУСЕЛЬ»
сюжеты: «ВРЕДНЫЙ СОВЕТ», «СОСТЯЗАНИЕ»</t>
        </is>
      </c>
      <c r="L3956" s="2" t="inlineStr">
        <is>
          <t>https://animator.ru/db/?p=show_film&amp;fid=4918</t>
        </is>
      </c>
      <c r="M3956" s="2">
        <f>HYPERLINK("https://ru.wikipedia.org/w/index.php?search=%D0%92%D0%B5%D1%81%D0%B5%D0%BB%D0%B0%D1%8F%20%D0%BA%D0%B0%D1%80%D1%83%D1%81%D0%B5%D0%BB%D1%8C%20n%2017%201982%20%D1%84%D0%B8%D0%BB%D1%8C%D0%BC","искать")</f>
        <v/>
      </c>
      <c r="N3956" s="3" t="n"/>
      <c r="O3956" s="2" t="n"/>
      <c r="P3956" s="2" t="n"/>
    </row>
    <row r="3957">
      <c r="A3957" s="2" t="n">
        <v>3956</v>
      </c>
      <c r="B3957" s="2" t="inlineStr">
        <is>
          <t>короткая</t>
        </is>
      </c>
      <c r="C3957" s="2" t="n">
        <v>7577</v>
      </c>
      <c r="D3957" s="3" t="inlineStr">
        <is>
          <t>Если я полюблю...</t>
        </is>
      </c>
      <c r="E3957" s="2" t="n">
        <v>1976</v>
      </c>
      <c r="F3957" s="2" t="inlineStr">
        <is>
          <t>телефильм</t>
        </is>
      </c>
      <c r="G3957" s="2" t="n"/>
      <c r="H3957" s="2" t="n">
        <v>79</v>
      </c>
      <c r="I3957" s="2" t="inlineStr"/>
      <c r="J3957" s="2" t="inlineStr"/>
      <c r="K3957" s="3" t="inlineStr">
        <is>
          <t>О первой экспедиции выпускницы геологического института Шуры и ее первой любви.</t>
        </is>
      </c>
      <c r="L3957" s="2" t="inlineStr">
        <is>
          <t>Кино_СССР сводный каталог.xlsx: список телефильмов</t>
        </is>
      </c>
      <c r="M3957" s="2">
        <f>HYPERLINK("https://ru.wikipedia.org/w/index.php?search=%D0%95%D1%81%D0%BB%D0%B8%20%D1%8F%20%D0%BF%D0%BE%D0%BB%D1%8E%D0%B1%D0%BB%D1%8E...%201976%20%D1%84%D0%B8%D0%BB%D1%8C%D0%BC","искать")</f>
        <v/>
      </c>
      <c r="N3957" s="3" t="n"/>
      <c r="O3957" s="2" t="n"/>
      <c r="P3957" s="2" t="n"/>
    </row>
    <row r="3958">
      <c r="A3958" s="2" t="n">
        <v>3957</v>
      </c>
      <c r="B3958" s="2" t="inlineStr">
        <is>
          <t>короткая</t>
        </is>
      </c>
      <c r="C3958" s="2" t="n">
        <v>11432</v>
      </c>
      <c r="D3958" s="3" t="inlineStr">
        <is>
          <t>Тимошкина елка</t>
        </is>
      </c>
      <c r="E3958" s="2" t="n">
        <v>1966</v>
      </c>
      <c r="F3958" s="2" t="inlineStr">
        <is>
          <t>мультфильм</t>
        </is>
      </c>
      <c r="G3958" s="2" t="inlineStr">
        <is>
          <t>Союзмультфильм</t>
        </is>
      </c>
      <c r="H3958" s="2" t="n">
        <v>79</v>
      </c>
      <c r="I3958" s="2" t="inlineStr"/>
      <c r="J3958" s="2" t="inlineStr"/>
      <c r="K3958" s="3" t="inlineStr">
        <is>
          <t>Для детей. Как мальчик и его друг щенок достали в Новогоднюю ночь красивую елку</t>
        </is>
      </c>
      <c r="L3958" s="2" t="inlineStr">
        <is>
          <t>https://animator.ru/db/?p=show_film&amp;fid=2203</t>
        </is>
      </c>
      <c r="M3958" s="2">
        <f>HYPERLINK("https://ru.wikipedia.org/w/index.php?search=%D0%A2%D0%B8%D0%BC%D0%BE%D1%88%D0%BA%D0%B8%D0%BD%D0%B0%20%D0%B5%D0%BB%D0%BA%D0%B0%201966%20%D1%84%D0%B8%D0%BB%D1%8C%D0%BC","искать")</f>
        <v/>
      </c>
      <c r="N3958" s="3" t="n"/>
      <c r="O3958" s="2" t="n"/>
      <c r="P3958" s="2" t="n"/>
    </row>
    <row r="3959">
      <c r="A3959" s="2" t="n">
        <v>3958</v>
      </c>
      <c r="B3959" s="2" t="inlineStr">
        <is>
          <t>короткая</t>
        </is>
      </c>
      <c r="C3959" s="2" t="n">
        <v>11627</v>
      </c>
      <c r="D3959" s="3" t="inlineStr">
        <is>
          <t>Как мы весну делали</t>
        </is>
      </c>
      <c r="E3959" s="2" t="n">
        <v>1971</v>
      </c>
      <c r="F3959" s="2" t="inlineStr">
        <is>
          <t>мультфильм</t>
        </is>
      </c>
      <c r="G3959" s="2" t="inlineStr">
        <is>
          <t>Союзмультфильм</t>
        </is>
      </c>
      <c r="H3959" s="2" t="n">
        <v>79</v>
      </c>
      <c r="I3959" s="2" t="inlineStr"/>
      <c r="J3959" s="2" t="inlineStr"/>
      <c r="K3959" s="3" t="inlineStr">
        <is>
          <t>Приключения медвежонка и солнышка, которые украшали весеннюю Землю. Для малышей</t>
        </is>
      </c>
      <c r="L3959" s="2" t="inlineStr">
        <is>
          <t>https://animator.ru/db/?p=show_film&amp;fid=2541</t>
        </is>
      </c>
      <c r="M3959" s="2">
        <f>HYPERLINK("https://ru.wikipedia.org/w/index.php?search=%D0%9A%D0%B0%D0%BA%20%D0%BC%D1%8B%20%D0%B2%D0%B5%D1%81%D0%BD%D1%83%20%D0%B4%D0%B5%D0%BB%D0%B0%D0%BB%D0%B8%201971%20%D1%84%D0%B8%D0%BB%D1%8C%D0%BC","искать")</f>
        <v/>
      </c>
      <c r="N3959" s="3" t="n"/>
      <c r="O3959" s="2" t="n"/>
      <c r="P3959" s="2" t="n"/>
    </row>
    <row r="3960">
      <c r="A3960" s="2" t="n">
        <v>3959</v>
      </c>
      <c r="B3960" s="2" t="inlineStr">
        <is>
          <t>короткая</t>
        </is>
      </c>
      <c r="C3960" s="2" t="n">
        <v>12940</v>
      </c>
      <c r="D3960" s="3" t="inlineStr">
        <is>
          <t>Сказка в сказке</t>
        </is>
      </c>
      <c r="E3960" s="2" t="n">
        <v>1983</v>
      </c>
      <c r="F3960" s="2" t="inlineStr">
        <is>
          <t>мультфильм</t>
        </is>
      </c>
      <c r="G3960" s="2" t="inlineStr">
        <is>
          <t>ГРУЗИЯ-ФИЛЬМ - АО</t>
        </is>
      </c>
      <c r="H3960" s="2" t="n">
        <v>79</v>
      </c>
      <c r="I3960" s="2" t="inlineStr"/>
      <c r="J3960" s="2" t="inlineStr"/>
      <c r="K3960" s="3" t="inlineStr">
        <is>
          <t>Несмотря на козни ведьмы и Дэва старик сумел рассказать детям сказку, Для детей</t>
        </is>
      </c>
      <c r="L3960" s="2" t="inlineStr">
        <is>
          <t>https://animator.ru/db/?p=show_film&amp;fid=4170</t>
        </is>
      </c>
      <c r="M3960" s="2">
        <f>HYPERLINK("https://ru.wikipedia.org/w/index.php?search=%D0%A1%D0%BA%D0%B0%D0%B7%D0%BA%D0%B0%20%D0%B2%20%D1%81%D0%BA%D0%B0%D0%B7%D0%BA%D0%B5%201983%20%D1%84%D0%B8%D0%BB%D1%8C%D0%BC","искать")</f>
        <v/>
      </c>
      <c r="N3960" s="3" t="n"/>
      <c r="O3960" s="2" t="n"/>
      <c r="P3960" s="2" t="n"/>
    </row>
    <row r="3961">
      <c r="A3961" s="2" t="n">
        <v>3960</v>
      </c>
      <c r="B3961" s="2" t="inlineStr">
        <is>
          <t>короткая</t>
        </is>
      </c>
      <c r="C3961" s="2" t="n">
        <v>13066</v>
      </c>
      <c r="D3961" s="3" t="inlineStr">
        <is>
          <t>Ну и случай!</t>
        </is>
      </c>
      <c r="E3961" s="2" t="n">
        <v>1972</v>
      </c>
      <c r="F3961" s="2" t="inlineStr">
        <is>
          <t>мультфильм</t>
        </is>
      </c>
      <c r="G3961" s="2" t="inlineStr">
        <is>
          <t>ГОСТЕЛЕРАДИО ЛАТВ. ССР ("ТЕЛЕФИЛЬМ-РИГА")</t>
        </is>
      </c>
      <c r="H3961" s="2" t="n">
        <v>79</v>
      </c>
      <c r="I3961" s="2" t="inlineStr"/>
      <c r="J3961" s="2" t="inlineStr"/>
      <c r="K3961" s="3" t="inlineStr">
        <is>
          <t>О приключениях мальчика и его друзей - пса, лебедя и озорника-робота. Для детей</t>
        </is>
      </c>
      <c r="L3961" s="2" t="inlineStr">
        <is>
          <t>https://animator.ru/db/?p=show_film&amp;fid=4298</t>
        </is>
      </c>
      <c r="M3961" s="2">
        <f>HYPERLINK("https://ru.wikipedia.org/w/index.php?search=%D0%9D%D1%83%20%D0%B8%20%D1%81%D0%BB%D1%83%D1%87%D0%B0%D0%B9%21%201972%20%D1%84%D0%B8%D0%BB%D1%8C%D0%BC","искать")</f>
        <v/>
      </c>
      <c r="N3961" s="3" t="n"/>
      <c r="O3961" s="2" t="n"/>
      <c r="P3961" s="2" t="n"/>
    </row>
    <row r="3962">
      <c r="A3962" s="2" t="n">
        <v>3961</v>
      </c>
      <c r="B3962" s="2" t="inlineStr">
        <is>
          <t>короткая</t>
        </is>
      </c>
      <c r="C3962" s="2" t="n">
        <v>13072</v>
      </c>
      <c r="D3962" s="3" t="inlineStr">
        <is>
          <t>Дилли Далли в Минку-парке</t>
        </is>
      </c>
      <c r="E3962" s="2" t="n">
        <v>1975</v>
      </c>
      <c r="F3962" s="2" t="inlineStr">
        <is>
          <t>мультфильм</t>
        </is>
      </c>
      <c r="G3962" s="2" t="inlineStr">
        <is>
          <t>ГОСТЕЛЕРАДИО ЛАТВ. ССР ("ТЕЛЕФИЛЬМ-РИГА")</t>
        </is>
      </c>
      <c r="H3962" s="2" t="n">
        <v>79</v>
      </c>
      <c r="I3962" s="2" t="inlineStr"/>
      <c r="J3962" s="2" t="inlineStr"/>
      <c r="K3962" s="3" t="inlineStr">
        <is>
          <t>О веселом мальчике, построившем для своих друзей фантастический парк. Для детей</t>
        </is>
      </c>
      <c r="L3962" s="2" t="inlineStr">
        <is>
          <t>https://animator.ru/db/?p=show_film&amp;fid=4304</t>
        </is>
      </c>
      <c r="M3962" s="2">
        <f>HYPERLINK("https://ru.wikipedia.org/w/index.php?search=%D0%94%D0%B8%D0%BB%D0%BB%D0%B8%20%D0%94%D0%B0%D0%BB%D0%BB%D0%B8%20%D0%B2%20%D0%9C%D0%B8%D0%BD%D0%BA%D1%83-%D0%BF%D0%B0%D1%80%D0%BA%D0%B5%201975%20%D1%84%D0%B8%D0%BB%D1%8C%D0%BC","искать")</f>
        <v/>
      </c>
      <c r="N3962" s="3" t="n"/>
      <c r="O3962" s="2" t="n"/>
      <c r="P3962" s="2" t="n"/>
    </row>
    <row r="3963">
      <c r="A3963" s="2" t="n">
        <v>3962</v>
      </c>
      <c r="B3963" s="2" t="inlineStr">
        <is>
          <t>короткая</t>
        </is>
      </c>
      <c r="C3963" s="2" t="n">
        <v>13634</v>
      </c>
      <c r="D3963" s="3" t="inlineStr">
        <is>
          <t>Кто расскажет небылицу</t>
        </is>
      </c>
      <c r="E3963" s="2" t="n">
        <v>1982</v>
      </c>
      <c r="F3963" s="2" t="inlineStr">
        <is>
          <t>мультфильм</t>
        </is>
      </c>
      <c r="G3963" s="2" t="inlineStr">
        <is>
          <t>АРМЕНФИЛЬМ</t>
        </is>
      </c>
      <c r="H3963" s="2" t="n">
        <v>79</v>
      </c>
      <c r="I3963" s="2" t="inlineStr"/>
      <c r="J3963" s="2" t="inlineStr"/>
      <c r="K3963" s="3" t="inlineStr">
        <is>
          <t>По мотивам армянской народной сказки. Как царь проиграл крестьянину полцарства.</t>
        </is>
      </c>
      <c r="L3963" s="2" t="inlineStr">
        <is>
          <t>2026-10_мультфильмы_список_владельца.xlsx; https://animator.ru/db/?p=show_film&amp;fid=5026</t>
        </is>
      </c>
      <c r="M3963" s="2">
        <f>HYPERLINK("https://ru.wikipedia.org/w/index.php?search=%D0%9A%D1%82%D0%BE%20%D1%80%D0%B0%D1%81%D1%81%D0%BA%D0%B0%D0%B6%D0%B5%D1%82%20%D0%BD%D0%B5%D0%B1%D1%8B%D0%BB%D0%B8%D1%86%D1%83%201982%20%D1%84%D0%B8%D0%BB%D1%8C%D0%BC","искать")</f>
        <v/>
      </c>
      <c r="N3963" s="3" t="n"/>
      <c r="O3963" s="2" t="n"/>
      <c r="P3963" s="2" t="n"/>
    </row>
    <row r="3964">
      <c r="A3964" s="2" t="n">
        <v>3963</v>
      </c>
      <c r="B3964" s="2" t="inlineStr">
        <is>
          <t>короткая</t>
        </is>
      </c>
      <c r="C3964" s="2" t="n">
        <v>14192</v>
      </c>
      <c r="D3964" s="3" t="inlineStr">
        <is>
          <t>ФАНТАДРОМ (Взлетное поле фантазии)</t>
        </is>
      </c>
      <c r="E3964" s="2" t="n">
        <v>1984</v>
      </c>
      <c r="F3964" s="2" t="inlineStr">
        <is>
          <t>мультфильм</t>
        </is>
      </c>
      <c r="G3964" s="2" t="inlineStr">
        <is>
          <t>ГОСТЕЛЕРАДИО ЛАТВ. ССР ("ТЕЛЕФИЛЬМ-РИГА")</t>
        </is>
      </c>
      <c r="H3964" s="2" t="n">
        <v>79</v>
      </c>
      <c r="I3964" s="2" t="inlineStr"/>
      <c r="J3964" s="2" t="inlineStr"/>
      <c r="K3964" s="3" t="inlineStr">
        <is>
          <t>Фантастические приключения космонавта Агниса и робота Индрикса 13-го в ХХ1 веке</t>
        </is>
      </c>
      <c r="L3964" s="2" t="inlineStr">
        <is>
          <t>https://animator.ru/db/?p=show_film&amp;fid=5590</t>
        </is>
      </c>
      <c r="M3964" s="2">
        <f>HYPERLINK("https://ru.wikipedia.org/w/index.php?search=%D0%A4%D0%90%D0%9D%D0%A2%D0%90%D0%94%D0%A0%D0%9E%D0%9C%20%28%D0%92%D0%B7%D0%BB%D0%B5%D1%82%D0%BD%D0%BE%D0%B5%20%D0%BF%D0%BE%D0%BB%D0%B5%20%D1%84%D0%B0%D0%BD%D1%82%D0%B0%D0%B7%D0%B8%D0%B8%29%201984%20%D1%84%D0%B8%D0%BB%D1%8C%D0%BC","искать")</f>
        <v/>
      </c>
      <c r="N3964" s="3" t="n"/>
      <c r="O3964" s="2" t="n"/>
      <c r="P3964" s="2" t="n"/>
    </row>
    <row r="3965">
      <c r="A3965" s="2" t="n">
        <v>3964</v>
      </c>
      <c r="B3965" s="2" t="inlineStr">
        <is>
          <t>короткая</t>
        </is>
      </c>
      <c r="C3965" s="2" t="n">
        <v>14426</v>
      </c>
      <c r="D3965" s="3" t="inlineStr">
        <is>
          <t>Мы рисуем</t>
        </is>
      </c>
      <c r="E3965" s="2" t="n">
        <v>1991</v>
      </c>
      <c r="F3965" s="2" t="inlineStr">
        <is>
          <t>мультфильм</t>
        </is>
      </c>
      <c r="G3965" s="2" t="inlineStr">
        <is>
          <t>СОЮЗТЕЛЕФИЛЬМ</t>
        </is>
      </c>
      <c r="H3965" s="2" t="n">
        <v>79</v>
      </c>
      <c r="I3965" s="2" t="inlineStr"/>
      <c r="J3965" s="2" t="inlineStr"/>
      <c r="K3965" s="3" t="inlineStr">
        <is>
          <t>В детских рисунках оживают герои стихотворений С.Михалкова для самых маленьких.</t>
        </is>
      </c>
      <c r="L3965" s="2" t="inlineStr">
        <is>
          <t>https://animator.ru/db/?p=show_film&amp;fid=6665</t>
        </is>
      </c>
      <c r="M3965" s="2">
        <f>HYPERLINK("https://ru.wikipedia.org/w/index.php?search=%D0%9C%D1%8B%20%D1%80%D0%B8%D1%81%D1%83%D0%B5%D0%BC%201991%20%D1%84%D0%B8%D0%BB%D1%8C%D0%BC","искать")</f>
        <v/>
      </c>
      <c r="N3965" s="3" t="n"/>
      <c r="O3965" s="2" t="n"/>
      <c r="P3965" s="2" t="n"/>
    </row>
    <row r="3966">
      <c r="A3966" s="2" t="n">
        <v>3965</v>
      </c>
      <c r="B3966" s="2" t="inlineStr">
        <is>
          <t>короткая</t>
        </is>
      </c>
      <c r="C3966" s="2" t="n">
        <v>8866</v>
      </c>
      <c r="D3966" s="3" t="inlineStr">
        <is>
          <t>Не отстреленная музыка</t>
        </is>
      </c>
      <c r="E3966" s="2" t="n">
        <v>1990</v>
      </c>
      <c r="F3966" s="2" t="inlineStr">
        <is>
          <t>кинофильм</t>
        </is>
      </c>
      <c r="G3966" s="2" t="n"/>
      <c r="H3966" s="2" t="n">
        <v>80</v>
      </c>
      <c r="I3966" s="2" t="inlineStr"/>
      <c r="J3966" s="2" t="inlineStr"/>
      <c r="K3966" s="3" t="inlineStr">
        <is>
          <t>История любви бывшего «афганца» к красивой, нежной и беспредельно искренней Оле.</t>
        </is>
      </c>
      <c r="L3966" s="2" t="inlineStr">
        <is>
          <t>Кино_СССР сводный каталог.xlsx: список фильмов (доп.)</t>
        </is>
      </c>
      <c r="M3966" s="2">
        <f>HYPERLINK("https://ru.wikipedia.org/w/index.php?search=%D0%9D%D0%B5%20%D0%BE%D1%82%D1%81%D1%82%D1%80%D0%B5%D0%BB%D0%B5%D0%BD%D0%BD%D0%B0%D1%8F%20%D0%BC%D1%83%D0%B7%D1%8B%D0%BA%D0%B0%201990%20%D1%84%D0%B8%D0%BB%D1%8C%D0%BC","искать")</f>
        <v/>
      </c>
      <c r="N3966" s="3" t="n"/>
      <c r="O3966" s="2" t="n"/>
      <c r="P3966" s="2" t="n"/>
    </row>
    <row r="3967">
      <c r="A3967" s="2" t="n">
        <v>3966</v>
      </c>
      <c r="B3967" s="2" t="inlineStr">
        <is>
          <t>короткая</t>
        </is>
      </c>
      <c r="C3967" s="2" t="n">
        <v>9376</v>
      </c>
      <c r="D3967" s="3" t="inlineStr">
        <is>
          <t>Звёздная минута</t>
        </is>
      </c>
      <c r="E3967" s="2" t="n">
        <v>1972</v>
      </c>
      <c r="F3967" s="2" t="inlineStr">
        <is>
          <t>не игровое</t>
        </is>
      </c>
      <c r="G3967" s="2" t="n"/>
      <c r="H3967" s="2" t="n">
        <v>80</v>
      </c>
      <c r="I3967" s="2" t="inlineStr"/>
      <c r="J3967" s="2" t="inlineStr"/>
      <c r="K3967" s="3" t="inlineStr">
        <is>
          <t>Документальная картина о первом полёте человека в космос — полёте Юрия Гагарина.</t>
        </is>
      </c>
      <c r="L3967" s="2" t="inlineStr">
        <is>
          <t>Кино_СССР сводный каталог.xlsx: список фильмов (доп.)</t>
        </is>
      </c>
      <c r="M3967" s="2">
        <f>HYPERLINK("https://ru.wikipedia.org/w/index.php?search=%D0%97%D0%B2%D1%91%D0%B7%D0%B4%D0%BD%D0%B0%D1%8F%20%D0%BC%D0%B8%D0%BD%D1%83%D1%82%D0%B0%201972%20%D1%84%D0%B8%D0%BB%D1%8C%D0%BC","искать")</f>
        <v/>
      </c>
      <c r="N3967" s="3" t="n"/>
      <c r="O3967" s="2" t="n"/>
      <c r="P3967" s="2" t="n"/>
    </row>
    <row r="3968">
      <c r="A3968" s="2" t="n">
        <v>3967</v>
      </c>
      <c r="B3968" s="2" t="inlineStr">
        <is>
          <t>короткая</t>
        </is>
      </c>
      <c r="C3968" s="2" t="n">
        <v>11910</v>
      </c>
      <c r="D3968" s="3" t="inlineStr">
        <is>
          <t>Маша и волшебное варенье</t>
        </is>
      </c>
      <c r="E3968" s="2" t="n">
        <v>1979</v>
      </c>
      <c r="F3968" s="2" t="inlineStr">
        <is>
          <t>мультфильм</t>
        </is>
      </c>
      <c r="G3968" s="2" t="inlineStr">
        <is>
          <t>Союзмультфильм</t>
        </is>
      </c>
      <c r="H3968" s="2" t="n">
        <v>80</v>
      </c>
      <c r="I3968" s="2" t="inlineStr"/>
      <c r="J3968" s="2" t="inlineStr"/>
      <c r="K3968" s="3" t="inlineStr">
        <is>
          <t>О том, как нехорошо врать и о том, что тайное всегда становится явным. Для детей</t>
        </is>
      </c>
      <c r="L3968" s="2" t="inlineStr">
        <is>
          <t>https://animator.ru/db/?p=show_film&amp;fid=2825</t>
        </is>
      </c>
      <c r="M3968" s="2">
        <f>HYPERLINK("https://ru.wikipedia.org/w/index.php?search=%D0%9C%D0%B0%D1%88%D0%B0%20%D0%B8%20%D0%B2%D0%BE%D0%BB%D1%88%D0%B5%D0%B1%D0%BD%D0%BE%D0%B5%20%D0%B2%D0%B0%D1%80%D0%B5%D0%BD%D1%8C%D0%B5%201979%20%D1%84%D0%B8%D0%BB%D1%8C%D0%BC","искать")</f>
        <v/>
      </c>
      <c r="N3968" s="3" t="n"/>
      <c r="O3968" s="2" t="n"/>
      <c r="P3968" s="2" t="n"/>
    </row>
    <row r="3969">
      <c r="A3969" s="2" t="n">
        <v>3968</v>
      </c>
      <c r="B3969" s="2" t="inlineStr">
        <is>
          <t>короткая</t>
        </is>
      </c>
      <c r="C3969" s="2" t="n">
        <v>12148</v>
      </c>
      <c r="D3969" s="3" t="inlineStr">
        <is>
          <t>Ну, Погоди! ч.15</t>
        </is>
      </c>
      <c r="E3969" s="2" t="n">
        <v>1985</v>
      </c>
      <c r="F3969" s="2" t="inlineStr">
        <is>
          <t>мультфильм</t>
        </is>
      </c>
      <c r="G3969" s="2" t="inlineStr">
        <is>
          <t>Союзмультфильм</t>
        </is>
      </c>
      <c r="H3969" s="2" t="n">
        <v>80</v>
      </c>
      <c r="I3969" s="2" t="inlineStr"/>
      <c r="J3969" s="2" t="inlineStr"/>
      <c r="K3969" s="3" t="inlineStr">
        <is>
          <t>Приключения Зайца и Волка в Доме культуры.Музыка из мультфильма:Айсберг(1.43 Мб)</t>
        </is>
      </c>
      <c r="L3969" s="2" t="inlineStr">
        <is>
          <t>2026-10_мультфильмы_список_владельца.xlsx; https://animator.ru/db/?p=show_film&amp;fid=3264</t>
        </is>
      </c>
      <c r="M3969" s="2">
        <f>HYPERLINK("https://ru.wikipedia.org/w/index.php?search=%D0%9D%D1%83%2C%20%D0%9F%D0%BE%D0%B3%D0%BE%D0%B4%D0%B8%21%20%D1%87.15%201985%20%D1%84%D0%B8%D0%BB%D1%8C%D0%BC","искать")</f>
        <v/>
      </c>
      <c r="N3969" s="3" t="n"/>
      <c r="O3969" s="2" t="n"/>
      <c r="P3969" s="2" t="n"/>
    </row>
    <row r="3970">
      <c r="A3970" s="2" t="n">
        <v>3969</v>
      </c>
      <c r="B3970" s="2" t="inlineStr">
        <is>
          <t>короткая</t>
        </is>
      </c>
      <c r="C3970" s="2" t="n">
        <v>12205</v>
      </c>
      <c r="D3970" s="3" t="inlineStr">
        <is>
          <t>Диалог (Крот и яйцо)</t>
        </is>
      </c>
      <c r="E3970" s="2" t="n">
        <v>1987</v>
      </c>
      <c r="F3970" s="2" t="inlineStr">
        <is>
          <t>мультфильм</t>
        </is>
      </c>
      <c r="G3970" s="2" t="inlineStr">
        <is>
          <t>Союзмультфильм</t>
        </is>
      </c>
      <c r="H3970" s="2" t="n">
        <v>80</v>
      </c>
      <c r="I3970" s="2" t="inlineStr"/>
      <c r="J3970" s="2" t="inlineStr"/>
      <c r="K3970" s="3" t="inlineStr">
        <is>
          <t>Притча о слепце, который не ведает, что творит зло. Музыка Шуберта. Для взрослых</t>
        </is>
      </c>
      <c r="L3970" s="2" t="inlineStr">
        <is>
          <t>https://animator.ru/db/?p=show_film&amp;fid=3322</t>
        </is>
      </c>
      <c r="M3970" s="2">
        <f>HYPERLINK("https://ru.wikipedia.org/w/index.php?search=%D0%94%D0%B8%D0%B0%D0%BB%D0%BE%D0%B3%20%28%D0%9A%D1%80%D0%BE%D1%82%20%D0%B8%20%D1%8F%D0%B9%D1%86%D0%BE%29%201987%20%D1%84%D0%B8%D0%BB%D1%8C%D0%BC","искать")</f>
        <v/>
      </c>
      <c r="N3970" s="3" t="n"/>
      <c r="O3970" s="2" t="n"/>
      <c r="P3970" s="2" t="n"/>
    </row>
    <row r="3971">
      <c r="A3971" s="2" t="n">
        <v>3970</v>
      </c>
      <c r="B3971" s="2" t="inlineStr">
        <is>
          <t>короткая</t>
        </is>
      </c>
      <c r="C3971" s="2" t="n">
        <v>13761</v>
      </c>
      <c r="D3971" s="3" t="inlineStr">
        <is>
          <t>Медвежонок Римцимци (1972)</t>
        </is>
      </c>
      <c r="E3971" s="2" t="n">
        <v>1972</v>
      </c>
      <c r="F3971" s="2" t="inlineStr">
        <is>
          <t>мультфильм</t>
        </is>
      </c>
      <c r="G3971" s="2" t="inlineStr">
        <is>
          <t>ЭКРАН</t>
        </is>
      </c>
      <c r="H3971" s="2" t="n">
        <v>80</v>
      </c>
      <c r="I3971" s="2" t="inlineStr"/>
      <c r="J3971" s="2" t="inlineStr"/>
      <c r="K3971" s="3" t="inlineStr">
        <is>
          <t>О медвежонке, который подружился со щенком и спас от лисы зайчонка. Для малышей.</t>
        </is>
      </c>
      <c r="L3971" s="2" t="inlineStr">
        <is>
          <t>https://animator.ru/db/?p=show_film&amp;fid=5154</t>
        </is>
      </c>
      <c r="M3971" s="2">
        <f>HYPERLINK("https://ru.wikipedia.org/w/index.php?search=%D0%9C%D0%B5%D0%B4%D0%B2%D0%B5%D0%B6%D0%BE%D0%BD%D0%BE%D0%BA%20%D0%A0%D0%B8%D0%BC%D1%86%D0%B8%D0%BC%D1%86%D0%B8%20%281972%29%201972%20%D1%84%D0%B8%D0%BB%D1%8C%D0%BC","искать")</f>
        <v/>
      </c>
      <c r="N3971" s="3" t="n"/>
      <c r="O3971" s="2" t="n"/>
      <c r="P3971" s="2" t="n"/>
    </row>
    <row r="3972">
      <c r="A3972" s="2" t="n">
        <v>3971</v>
      </c>
      <c r="B3972" s="2" t="inlineStr">
        <is>
          <t>короткая</t>
        </is>
      </c>
      <c r="C3972" s="2" t="n">
        <v>7295</v>
      </c>
      <c r="D3972" s="3" t="inlineStr">
        <is>
          <t>В первый час</t>
        </is>
      </c>
      <c r="E3972" s="2" t="n">
        <v>1965</v>
      </c>
      <c r="F3972" s="2" t="inlineStr">
        <is>
          <t>телефильм</t>
        </is>
      </c>
      <c r="G3972" s="2" t="n"/>
      <c r="H3972" s="2" t="n">
        <v>81</v>
      </c>
      <c r="I3972" s="2" t="inlineStr"/>
      <c r="J3972" s="2" t="inlineStr"/>
      <c r="K3972" s="3" t="inlineStr">
        <is>
          <t>Новогоднее телевизионное музыкальное ревю с участием популярных артистов эстрады.</t>
        </is>
      </c>
      <c r="L3972" s="2" t="inlineStr">
        <is>
          <t>Кино_СССР сводный каталог.xlsx: список телефильмов</t>
        </is>
      </c>
      <c r="M3972" s="2">
        <f>HYPERLINK("https://ru.wikipedia.org/w/index.php?search=%D0%92%20%D0%BF%D0%B5%D1%80%D0%B2%D1%8B%D0%B9%20%D1%87%D0%B0%D1%81%201965%20%D1%84%D0%B8%D0%BB%D1%8C%D0%BC","искать")</f>
        <v/>
      </c>
      <c r="N3972" s="3" t="n"/>
      <c r="O3972" s="2" t="n"/>
      <c r="P3972" s="2" t="n"/>
    </row>
    <row r="3973">
      <c r="A3973" s="2" t="n">
        <v>3972</v>
      </c>
      <c r="B3973" s="2" t="inlineStr">
        <is>
          <t>короткая</t>
        </is>
      </c>
      <c r="C3973" s="2" t="n">
        <v>7299</v>
      </c>
      <c r="D3973" s="3" t="inlineStr">
        <is>
          <t>В семнадцать мальчишеских лет</t>
        </is>
      </c>
      <c r="E3973" s="2" t="n">
        <v>1985</v>
      </c>
      <c r="F3973" s="2" t="inlineStr">
        <is>
          <t>телефильм</t>
        </is>
      </c>
      <c r="G3973" s="2" t="n"/>
      <c r="H3973" s="2" t="n">
        <v>81</v>
      </c>
      <c r="I3973" s="2" t="inlineStr"/>
      <c r="J3973" s="2" t="inlineStr"/>
      <c r="K3973" s="3" t="inlineStr">
        <is>
          <t>Телефильм повествует о героизме героя Советского Союза чеченца Ханпаши Нурадилова</t>
        </is>
      </c>
      <c r="L3973" s="2" t="inlineStr">
        <is>
          <t>Кино_СССР сводный каталог.xlsx: список телефильмов</t>
        </is>
      </c>
      <c r="M3973" s="2">
        <f>HYPERLINK("https://ru.wikipedia.org/w/index.php?search=%D0%92%20%D1%81%D0%B5%D0%BC%D0%BD%D0%B0%D0%B4%D1%86%D0%B0%D1%82%D1%8C%20%D0%BC%D0%B0%D0%BB%D1%8C%D1%87%D0%B8%D1%88%D0%B5%D1%81%D0%BA%D0%B8%D1%85%20%D0%BB%D0%B5%D1%82%201985%20%D1%84%D0%B8%D0%BB%D1%8C%D0%BC","искать")</f>
        <v/>
      </c>
      <c r="N3973" s="3" t="n"/>
      <c r="O3973" s="2" t="n"/>
      <c r="P3973" s="2" t="n"/>
    </row>
    <row r="3974">
      <c r="A3974" s="2" t="n">
        <v>3973</v>
      </c>
      <c r="B3974" s="2" t="inlineStr">
        <is>
          <t>короткая</t>
        </is>
      </c>
      <c r="C3974" s="2" t="n">
        <v>11728</v>
      </c>
      <c r="D3974" s="3" t="inlineStr">
        <is>
          <t>Веселая карусель n 6. Лечение василия</t>
        </is>
      </c>
      <c r="E3974" s="2" t="n">
        <v>1974</v>
      </c>
      <c r="F3974" s="2" t="inlineStr">
        <is>
          <t>мультфильм</t>
        </is>
      </c>
      <c r="G3974" s="2" t="inlineStr">
        <is>
          <t>Союзмультфильм</t>
        </is>
      </c>
      <c r="H3974" s="2" t="n">
        <v>81</v>
      </c>
      <c r="I3974" s="2" t="inlineStr"/>
      <c r="J3974" s="2" t="inlineStr"/>
      <c r="K3974" s="3" t="inlineStr">
        <is>
          <t>Сюжет из альманаха «ВЕСЕЛАЯ КАРУСЕЛЬ N 6»
Как великана Василия лечили от... грязи</t>
        </is>
      </c>
      <c r="L3974" s="2" t="inlineStr">
        <is>
          <t>https://animator.ru/db/?p=show_film&amp;fid=2642</t>
        </is>
      </c>
      <c r="M3974" s="2">
        <f>HYPERLINK("https://ru.wikipedia.org/w/index.php?search=%D0%92%D0%B5%D1%81%D0%B5%D0%BB%D0%B0%D1%8F%20%D0%BA%D0%B0%D1%80%D1%83%D1%81%D0%B5%D0%BB%D1%8C%20n%206.%20%D0%9B%D0%B5%D1%87%D0%B5%D0%BD%D0%B8%D0%B5%20%D0%B2%D0%B0%D1%81%D0%B8%D0%BB%D0%B8%D1%8F%201974%20%D1%84%D0%B8%D0%BB%D1%8C%D0%BC","искать")</f>
        <v/>
      </c>
      <c r="N3974" s="3" t="n"/>
      <c r="O3974" s="2" t="n"/>
      <c r="P3974" s="2" t="n"/>
    </row>
    <row r="3975">
      <c r="A3975" s="2" t="n">
        <v>3974</v>
      </c>
      <c r="B3975" s="2" t="inlineStr">
        <is>
          <t>короткая</t>
        </is>
      </c>
      <c r="C3975" s="2" t="n">
        <v>11908</v>
      </c>
      <c r="D3975" s="3" t="inlineStr">
        <is>
          <t>Кто получит приз?</t>
        </is>
      </c>
      <c r="E3975" s="2" t="n">
        <v>1979</v>
      </c>
      <c r="F3975" s="2" t="inlineStr">
        <is>
          <t>мультфильм</t>
        </is>
      </c>
      <c r="G3975" s="2" t="inlineStr">
        <is>
          <t>Союзмультфильм</t>
        </is>
      </c>
      <c r="H3975" s="2" t="n">
        <v>81</v>
      </c>
      <c r="I3975" s="2" t="inlineStr"/>
      <c r="J3975" s="2" t="inlineStr"/>
      <c r="K3975" s="3" t="inlineStr">
        <is>
          <t>О лесных соревнованиях, в которых побеждает Миша и становится символом Олимпиады.</t>
        </is>
      </c>
      <c r="L3975" s="2" t="inlineStr">
        <is>
          <t>2026-10_мультфильмы_список_владельца.xlsx; https://animator.ru/db/?p=show_film&amp;fid=2823</t>
        </is>
      </c>
      <c r="M3975" s="2">
        <f>HYPERLINK("https://ru.wikipedia.org/w/index.php?search=%D0%9A%D1%82%D0%BE%20%D0%BF%D0%BE%D0%BB%D1%83%D1%87%D0%B8%D1%82%20%D0%BF%D1%80%D0%B8%D0%B7%3F%201979%20%D1%84%D0%B8%D0%BB%D1%8C%D0%BC","искать")</f>
        <v/>
      </c>
      <c r="N3975" s="3" t="n"/>
      <c r="O3975" s="2" t="n"/>
      <c r="P3975" s="2" t="n"/>
    </row>
    <row r="3976">
      <c r="A3976" s="2" t="n">
        <v>3975</v>
      </c>
      <c r="B3976" s="2" t="inlineStr">
        <is>
          <t>короткая</t>
        </is>
      </c>
      <c r="C3976" s="2" t="n">
        <v>12171</v>
      </c>
      <c r="D3976" s="3" t="inlineStr">
        <is>
          <t>Веселая карусель n 17. Состязание</t>
        </is>
      </c>
      <c r="E3976" s="2" t="n">
        <v>1986</v>
      </c>
      <c r="F3976" s="2" t="inlineStr">
        <is>
          <t>мультфильм</t>
        </is>
      </c>
      <c r="G3976" s="2" t="inlineStr">
        <is>
          <t>Союзмультфильм</t>
        </is>
      </c>
      <c r="H3976" s="2" t="n">
        <v>81</v>
      </c>
      <c r="I3976" s="2" t="inlineStr"/>
      <c r="J3976" s="2" t="inlineStr"/>
      <c r="K3976" s="3" t="inlineStr">
        <is>
          <t>Сюжет из альманаха «ВЕСЕЛАЯ КАРУСЕЛЬ N 17»
Как черная и белая краска подружились.</t>
        </is>
      </c>
      <c r="L3976" s="2" t="inlineStr">
        <is>
          <t>https://animator.ru/db/?p=show_film&amp;fid=3287</t>
        </is>
      </c>
      <c r="M3976" s="2">
        <f>HYPERLINK("https://ru.wikipedia.org/w/index.php?search=%D0%92%D0%B5%D1%81%D0%B5%D0%BB%D0%B0%D1%8F%20%D0%BA%D0%B0%D1%80%D1%83%D1%81%D0%B5%D0%BB%D1%8C%20n%2017.%20%D0%A1%D0%BE%D1%81%D1%82%D1%8F%D0%B7%D0%B0%D0%BD%D0%B8%D0%B5%201986%20%D1%84%D0%B8%D0%BB%D1%8C%D0%BC","искать")</f>
        <v/>
      </c>
      <c r="N3976" s="3" t="n"/>
      <c r="O3976" s="2" t="n"/>
      <c r="P3976" s="2" t="n"/>
    </row>
    <row r="3977">
      <c r="A3977" s="2" t="n">
        <v>3976</v>
      </c>
      <c r="B3977" s="2" t="inlineStr">
        <is>
          <t>короткая</t>
        </is>
      </c>
      <c r="C3977" s="2" t="n">
        <v>13405</v>
      </c>
      <c r="D3977" s="3" t="inlineStr">
        <is>
          <t>Дом для леопарда</t>
        </is>
      </c>
      <c r="E3977" s="2" t="n">
        <v>1979</v>
      </c>
      <c r="F3977" s="2" t="inlineStr">
        <is>
          <t>мультфильм</t>
        </is>
      </c>
      <c r="G3977" s="2" t="inlineStr">
        <is>
          <t>ЭКРАН</t>
        </is>
      </c>
      <c r="H3977" s="2" t="n">
        <v>81</v>
      </c>
      <c r="I3977" s="2" t="inlineStr"/>
      <c r="J3977" s="2" t="inlineStr"/>
      <c r="K3977" s="3" t="inlineStr">
        <is>
          <t>Всем нужна крыша над головой. Как звери помогали глупому Леопарду найти себе дом.</t>
        </is>
      </c>
      <c r="L3977" s="2" t="inlineStr">
        <is>
          <t>2026-10_мультфильмы_список_владельца.xlsx; https://animator.ru/db/?p=show_film&amp;fid=4685</t>
        </is>
      </c>
      <c r="M3977" s="2">
        <f>HYPERLINK("https://ru.wikipedia.org/w/index.php?search=%D0%94%D0%BE%D0%BC%20%D0%B4%D0%BB%D1%8F%20%D0%BB%D0%B5%D0%BE%D0%BF%D0%B0%D1%80%D0%B4%D0%B0%201979%20%D1%84%D0%B8%D0%BB%D1%8C%D0%BC","искать")</f>
        <v/>
      </c>
      <c r="N3977" s="3" t="n"/>
      <c r="O3977" s="2" t="n"/>
      <c r="P3977" s="2" t="n"/>
    </row>
    <row r="3978">
      <c r="A3978" s="2" t="n">
        <v>3977</v>
      </c>
      <c r="B3978" s="2" t="inlineStr">
        <is>
          <t>короткая</t>
        </is>
      </c>
      <c r="C3978" s="2" t="n">
        <v>14063</v>
      </c>
      <c r="D3978" s="3" t="inlineStr">
        <is>
          <t>Сказка про аиста</t>
        </is>
      </c>
      <c r="E3978" s="2" t="n">
        <v>1980</v>
      </c>
      <c r="F3978" s="2" t="inlineStr">
        <is>
          <t>мультфильм</t>
        </is>
      </c>
      <c r="G3978" s="2" t="inlineStr">
        <is>
          <t>УЗБЕКФИЛЬМ</t>
        </is>
      </c>
      <c r="H3978" s="2" t="n">
        <v>81</v>
      </c>
      <c r="I3978" s="2" t="inlineStr"/>
      <c r="J3978" s="2" t="inlineStr"/>
      <c r="K3978" s="3" t="inlineStr">
        <is>
          <t>Как волшебный аист наказал богача за жадность и отблагодарил мальчика за доброту.</t>
        </is>
      </c>
      <c r="L3978" s="2" t="inlineStr">
        <is>
          <t>2026-10_мультфильмы_список_владельца.xlsx; https://animator.ru/db/?p=show_film&amp;fid=5459</t>
        </is>
      </c>
      <c r="M3978" s="2">
        <f>HYPERLINK("https://ru.wikipedia.org/w/index.php?search=%D0%A1%D0%BA%D0%B0%D0%B7%D0%BA%D0%B0%20%D0%BF%D1%80%D0%BE%20%D0%B0%D0%B8%D1%81%D1%82%D0%B0%201980%20%D1%84%D0%B8%D0%BB%D1%8C%D0%BC","искать")</f>
        <v/>
      </c>
      <c r="N3978" s="3" t="n"/>
      <c r="O3978" s="2" t="n"/>
      <c r="P3978" s="2" t="n"/>
    </row>
    <row r="3979">
      <c r="A3979" s="2" t="n">
        <v>3978</v>
      </c>
      <c r="B3979" s="2" t="inlineStr">
        <is>
          <t>короткая</t>
        </is>
      </c>
      <c r="C3979" s="2" t="n">
        <v>14201</v>
      </c>
      <c r="D3979" s="3" t="inlineStr">
        <is>
          <t>Яблоня</t>
        </is>
      </c>
      <c r="E3979" s="2" t="n">
        <v>1989</v>
      </c>
      <c r="F3979" s="2" t="inlineStr">
        <is>
          <t>мультфильм</t>
        </is>
      </c>
      <c r="G3979" s="2" t="inlineStr">
        <is>
          <t>КУЙБЫШЕВТЕЛЕФИЛЬМ</t>
        </is>
      </c>
      <c r="H3979" s="2" t="n">
        <v>81</v>
      </c>
      <c r="I3979" s="2" t="inlineStr"/>
      <c r="J3979" s="2" t="inlineStr"/>
      <c r="K3979" s="3" t="inlineStr">
        <is>
          <t>Эксперименты с природой чреваты опасностью - это понял герой фильма. Для взрослых</t>
        </is>
      </c>
      <c r="L3979" s="2" t="inlineStr">
        <is>
          <t>https://animator.ru/db/?p=show_film&amp;fid=5599</t>
        </is>
      </c>
      <c r="M3979" s="2">
        <f>HYPERLINK("https://ru.wikipedia.org/w/index.php?search=%D0%AF%D0%B1%D0%BB%D0%BE%D0%BD%D1%8F%201989%20%D1%84%D0%B8%D0%BB%D1%8C%D0%BC","искать")</f>
        <v/>
      </c>
      <c r="N3979" s="3" t="n"/>
      <c r="O3979" s="2" t="n"/>
      <c r="P3979" s="2" t="n"/>
    </row>
    <row r="3980">
      <c r="A3980" s="2" t="n">
        <v>3979</v>
      </c>
      <c r="B3980" s="2" t="inlineStr">
        <is>
          <t>короткая</t>
        </is>
      </c>
      <c r="C3980" s="2" t="n">
        <v>14249</v>
      </c>
      <c r="D3980" s="3" t="inlineStr">
        <is>
          <t>Ну и?</t>
        </is>
      </c>
      <c r="E3980" s="2" t="n">
        <v>1991</v>
      </c>
      <c r="F3980" s="2" t="inlineStr">
        <is>
          <t>мультфильм</t>
        </is>
      </c>
      <c r="G3980" s="2" t="inlineStr">
        <is>
          <t>ДАУКА (DAUKA)</t>
        </is>
      </c>
      <c r="H3980" s="2" t="n">
        <v>81</v>
      </c>
      <c r="I3980" s="2" t="inlineStr"/>
      <c r="J3980" s="2" t="inlineStr"/>
      <c r="K3980" s="3" t="inlineStr">
        <is>
          <t>Обычный распорядок дня - проснулся, полетал, упал, искупался, снова заснул. Ну и?</t>
        </is>
      </c>
      <c r="L3980" s="2" t="inlineStr">
        <is>
          <t>2026-10_мультфильмы_список_владельца.xlsx; https://animator.ru/db/?p=show_film&amp;fid=5672</t>
        </is>
      </c>
      <c r="M3980" s="2">
        <f>HYPERLINK("https://ru.wikipedia.org/w/index.php?search=%D0%9D%D1%83%20%D0%B8%3F%201991%20%D1%84%D0%B8%D0%BB%D1%8C%D0%BC","искать")</f>
        <v/>
      </c>
      <c r="N3980" s="3" t="n"/>
      <c r="O3980" s="2" t="n"/>
      <c r="P3980" s="2" t="n"/>
    </row>
    <row r="3981">
      <c r="A3981" s="2" t="n">
        <v>3980</v>
      </c>
      <c r="B3981" s="2" t="inlineStr">
        <is>
          <t>короткая</t>
        </is>
      </c>
      <c r="C3981" s="2" t="n">
        <v>13929</v>
      </c>
      <c r="D3981" s="3" t="inlineStr">
        <is>
          <t>Туда и обратно</t>
        </is>
      </c>
      <c r="E3981" s="2" t="n">
        <v>1986</v>
      </c>
      <c r="F3981" s="2" t="inlineStr">
        <is>
          <t>мультфильм</t>
        </is>
      </c>
      <c r="G3981" s="2" t="inlineStr">
        <is>
          <t>МУЛЬТТЕЛЕФИЛЬМ ("Экран")</t>
        </is>
      </c>
      <c r="H3981" s="2" t="n">
        <v>82</v>
      </c>
      <c r="I3981" s="2" t="inlineStr"/>
      <c r="J3981" s="2" t="inlineStr"/>
      <c r="K3981" s="3" t="inlineStr">
        <is>
          <t>Как обезьяна стала человеком, а потом снова обезьяной из-за пристрастия к бутылке.</t>
        </is>
      </c>
      <c r="L3981" s="2" t="inlineStr">
        <is>
          <t>2026-10_мультфильмы_список_владельца.xlsx; https://animator.ru/db/?p=show_film&amp;fid=5323</t>
        </is>
      </c>
      <c r="M3981" s="2">
        <f>HYPERLINK("https://ru.wikipedia.org/w/index.php?search=%D0%A2%D1%83%D0%B4%D0%B0%20%D0%B8%20%D0%BE%D0%B1%D1%80%D0%B0%D1%82%D0%BD%D0%BE%201986%20%D1%84%D0%B8%D0%BB%D1%8C%D0%BC","искать")</f>
        <v/>
      </c>
      <c r="N3981" s="3" t="n"/>
      <c r="O3981" s="2" t="n"/>
      <c r="P3981" s="2" t="n"/>
    </row>
    <row r="3982">
      <c r="A3982" s="2" t="n">
        <v>3981</v>
      </c>
      <c r="B3982" s="2" t="inlineStr">
        <is>
          <t>короткая</t>
        </is>
      </c>
      <c r="C3982" s="2" t="n">
        <v>14231</v>
      </c>
      <c r="D3982" s="3" t="inlineStr">
        <is>
          <t>Диалоги</t>
        </is>
      </c>
      <c r="E3982" s="2" t="n">
        <v>1990</v>
      </c>
      <c r="F3982" s="2" t="inlineStr">
        <is>
          <t>мультфильм</t>
        </is>
      </c>
      <c r="G3982" s="2" t="inlineStr">
        <is>
          <t>РИЖСКАЯ КИНОСТУДИЯ</t>
        </is>
      </c>
      <c r="H3982" s="2" t="n">
        <v>82</v>
      </c>
      <c r="I3982" s="2" t="inlineStr"/>
      <c r="J3982" s="2" t="inlineStr"/>
      <c r="K3982" s="3" t="inlineStr">
        <is>
          <t>Несколько историй, разыгранных реальными вещами - очками, кошельком, бусами и т.д.</t>
        </is>
      </c>
      <c r="L3982" s="2" t="inlineStr">
        <is>
          <t>https://animator.ru/db/?p=show_film&amp;fid=5653</t>
        </is>
      </c>
      <c r="M3982" s="2">
        <f>HYPERLINK("https://ru.wikipedia.org/w/index.php?search=%D0%94%D0%B8%D0%B0%D0%BB%D0%BE%D0%B3%D0%B8%201990%20%D1%84%D0%B8%D0%BB%D1%8C%D0%BC","искать")</f>
        <v/>
      </c>
      <c r="N3982" s="3" t="n"/>
      <c r="O3982" s="2" t="n"/>
      <c r="P3982" s="2" t="n"/>
    </row>
    <row r="3983">
      <c r="A3983" s="2" t="n">
        <v>3982</v>
      </c>
      <c r="B3983" s="2" t="inlineStr">
        <is>
          <t>короткая</t>
        </is>
      </c>
      <c r="C3983" s="2" t="n">
        <v>14453</v>
      </c>
      <c r="D3983" s="3" t="inlineStr">
        <is>
          <t>Что посеешь...</t>
        </is>
      </c>
      <c r="E3983" s="2" t="n">
        <v>1983</v>
      </c>
      <c r="F3983" s="2" t="inlineStr">
        <is>
          <t>мультфильм</t>
        </is>
      </c>
      <c r="G3983" s="2" t="n"/>
      <c r="H3983" s="2" t="n">
        <v>82</v>
      </c>
      <c r="I3983" s="2" t="inlineStr"/>
      <c r="J3983" s="2" t="inlineStr"/>
      <c r="K3983" s="3" t="inlineStr">
        <is>
          <t>О том, как сын бедняка вылечил раненую белую птицу, а она спасла его от злого бая.</t>
        </is>
      </c>
      <c r="L3983" s="2" t="inlineStr">
        <is>
          <t>https://animator.ru/db/?p=show_film&amp;fid=6703</t>
        </is>
      </c>
      <c r="M3983" s="2">
        <f>HYPERLINK("https://ru.wikipedia.org/w/index.php?search=%D0%A7%D1%82%D0%BE%20%D0%BF%D0%BE%D1%81%D0%B5%D0%B5%D1%88%D1%8C...%201983%20%D1%84%D0%B8%D0%BB%D1%8C%D0%BC","искать")</f>
        <v/>
      </c>
      <c r="N3983" s="3" t="n"/>
      <c r="O3983" s="2" t="n"/>
      <c r="P3983" s="2" t="n"/>
    </row>
    <row r="3984">
      <c r="A3984" s="2" t="n">
        <v>3983</v>
      </c>
      <c r="B3984" s="2" t="inlineStr">
        <is>
          <t>короткая</t>
        </is>
      </c>
      <c r="C3984" s="2" t="n">
        <v>11037</v>
      </c>
      <c r="D3984" s="3" t="inlineStr">
        <is>
          <t>Призываюсь весной</t>
        </is>
      </c>
      <c r="E3984" s="2" t="n">
        <v>1984</v>
      </c>
      <c r="F3984" s="2" t="inlineStr">
        <is>
          <t>фильм-спектакль</t>
        </is>
      </c>
      <c r="G3984" s="2" t="inlineStr">
        <is>
          <t>Главная редакция литературно-драматических программ ЦТ</t>
        </is>
      </c>
      <c r="H3984" s="2" t="n">
        <v>83</v>
      </c>
      <c r="I3984" s="2" t="inlineStr"/>
      <c r="J3984" s="2" t="inlineStr"/>
      <c r="K3984" s="3" t="inlineStr">
        <is>
          <t>Прапорщик военкомата Никита Одинцов занимается призывом молодежи на службу в армию.</t>
        </is>
      </c>
      <c r="L3984" s="2" t="inlineStr">
        <is>
          <t>https://www.kino-teatr.ru/teatr/movie/81371/annot/</t>
        </is>
      </c>
      <c r="M3984" s="2">
        <f>HYPERLINK("https://ru.wikipedia.org/w/index.php?search=%D0%9F%D1%80%D0%B8%D0%B7%D1%8B%D0%B2%D0%B0%D1%8E%D1%81%D1%8C%20%D0%B2%D0%B5%D1%81%D0%BD%D0%BE%D0%B9%201984%20%D1%84%D0%B8%D0%BB%D1%8C%D0%BC","искать")</f>
        <v/>
      </c>
      <c r="N3984" s="3" t="n"/>
      <c r="O3984" s="2" t="n"/>
      <c r="P3984" s="2" t="n"/>
    </row>
    <row r="3985">
      <c r="A3985" s="2" t="n">
        <v>3984</v>
      </c>
      <c r="B3985" s="2" t="inlineStr">
        <is>
          <t>короткая</t>
        </is>
      </c>
      <c r="C3985" s="2" t="n">
        <v>12029</v>
      </c>
      <c r="D3985" s="3" t="inlineStr">
        <is>
          <t>Чучело-Мяучело</t>
        </is>
      </c>
      <c r="E3985" s="2" t="n">
        <v>1982</v>
      </c>
      <c r="F3985" s="2" t="inlineStr">
        <is>
          <t>мультфильм</t>
        </is>
      </c>
      <c r="G3985" s="2" t="inlineStr">
        <is>
          <t>Союзмультфильм</t>
        </is>
      </c>
      <c r="H3985" s="2" t="n">
        <v>83</v>
      </c>
      <c r="I3985" s="2" t="inlineStr"/>
      <c r="J3985" s="2" t="inlineStr"/>
      <c r="K3985" s="3" t="inlineStr">
        <is>
          <t>Чучело-Мяучело показывает, что песня и хорошее настроение всегда помогают в работе.</t>
        </is>
      </c>
      <c r="L3985" s="2" t="inlineStr">
        <is>
          <t>https://animator.ru/db/?p=show_film&amp;fid=3143</t>
        </is>
      </c>
      <c r="M3985" s="2">
        <f>HYPERLINK("https://ru.wikipedia.org/w/index.php?search=%D0%A7%D1%83%D1%87%D0%B5%D0%BB%D0%BE-%D0%9C%D1%8F%D1%83%D1%87%D0%B5%D0%BB%D0%BE%201982%20%D1%84%D0%B8%D0%BB%D1%8C%D0%BC","искать")</f>
        <v/>
      </c>
      <c r="N3985" s="3" t="n"/>
      <c r="O3985" s="2" t="n"/>
      <c r="P3985" s="2" t="n"/>
    </row>
    <row r="3986">
      <c r="A3986" s="2" t="n">
        <v>3985</v>
      </c>
      <c r="B3986" s="2" t="inlineStr">
        <is>
          <t>короткая</t>
        </is>
      </c>
      <c r="C3986" s="2" t="n">
        <v>12190</v>
      </c>
      <c r="D3986" s="3" t="inlineStr">
        <is>
          <t>Приключения пингвиненка Лоло ч.1</t>
        </is>
      </c>
      <c r="E3986" s="2" t="n">
        <v>1986</v>
      </c>
      <c r="F3986" s="2" t="inlineStr">
        <is>
          <t>мультфильм</t>
        </is>
      </c>
      <c r="G3986" s="2" t="inlineStr">
        <is>
          <t>Союзмультфильм, ЛАЙФВОК КОРПОРЕЙШН, СОВИНФИЛЬМ, АИСТ КОРПОРЕЙШН</t>
        </is>
      </c>
      <c r="H3986" s="2" t="n">
        <v>83</v>
      </c>
      <c r="I3986" s="2" t="inlineStr"/>
      <c r="J3986" s="2" t="inlineStr"/>
      <c r="K3986" s="3" t="inlineStr">
        <is>
          <t>О занимательных приключениях пингвиненка Лоло, о природе и животном мире Антарктиды</t>
        </is>
      </c>
      <c r="L3986" s="2" t="inlineStr">
        <is>
          <t>2026-10_мультфильмы_список_владельца.xlsx; https://animator.ru/db/?p=show_film&amp;fid=3307</t>
        </is>
      </c>
      <c r="M3986" s="2">
        <f>HYPERLINK("https://ru.wikipedia.org/w/index.php?search=%D0%9F%D1%80%D0%B8%D0%BA%D0%BB%D1%8E%D1%87%D0%B5%D0%BD%D0%B8%D1%8F%20%D0%BF%D0%B8%D0%BD%D0%B3%D0%B2%D0%B8%D0%BD%D0%B5%D0%BD%D0%BA%D0%B0%20%D0%9B%D0%BE%D0%BB%D0%BE%20%D1%87.1%201986%20%D1%84%D0%B8%D0%BB%D1%8C%D0%BC","искать")</f>
        <v/>
      </c>
      <c r="N3986" s="3" t="n"/>
      <c r="O3986" s="2" t="n"/>
      <c r="P3986" s="2" t="n"/>
    </row>
    <row r="3987">
      <c r="A3987" s="2" t="n">
        <v>3986</v>
      </c>
      <c r="B3987" s="2" t="inlineStr">
        <is>
          <t>короткая</t>
        </is>
      </c>
      <c r="C3987" s="2" t="n">
        <v>12751</v>
      </c>
      <c r="D3987" s="3" t="inlineStr">
        <is>
          <t>Неправильное выражение (Неправильные поговорки)</t>
        </is>
      </c>
      <c r="E3987" s="2" t="n">
        <v>1973</v>
      </c>
      <c r="F3987" s="2" t="inlineStr">
        <is>
          <t>мультфильм</t>
        </is>
      </c>
      <c r="G3987" s="2" t="inlineStr">
        <is>
          <t>АРМЕНФИЛЬМ</t>
        </is>
      </c>
      <c r="H3987" s="2" t="n">
        <v>83</v>
      </c>
      <c r="I3987" s="2" t="inlineStr"/>
      <c r="J3987" s="2" t="inlineStr"/>
      <c r="K3987" s="3" t="inlineStr">
        <is>
          <t>Ослик убедил одноклассников, что обидные поговорки про ослов несправедливый наговор</t>
        </is>
      </c>
      <c r="L3987" s="2" t="inlineStr">
        <is>
          <t>https://animator.ru/db/?p=show_film&amp;fid=3960</t>
        </is>
      </c>
      <c r="M3987" s="2">
        <f>HYPERLINK("https://ru.wikipedia.org/w/index.php?search=%D0%9D%D0%B5%D0%BF%D1%80%D0%B0%D0%B2%D0%B8%D0%BB%D1%8C%D0%BD%D0%BE%D0%B5%20%D0%B2%D1%8B%D1%80%D0%B0%D0%B6%D0%B5%D0%BD%D0%B8%D0%B5%20%28%D0%9D%D0%B5%D0%BF%D1%80%D0%B0%D0%B2%D0%B8%D0%BB%D1%8C%D0%BD%D1%8B%D0%B5%20%D0%BF%D0%BE%D0%B3%D0%BE%D0%B2%D0%BE%D1%80%D0%BA%D0%B8%29%201973%20%D1%84%D0%B8%D0%BB%D1%8C%D0%BC","искать")</f>
        <v/>
      </c>
      <c r="N3987" s="3" t="n"/>
      <c r="O3987" s="2" t="n"/>
      <c r="P3987" s="2" t="n"/>
    </row>
    <row r="3988">
      <c r="A3988" s="2" t="n">
        <v>3987</v>
      </c>
      <c r="B3988" s="2" t="inlineStr">
        <is>
          <t>короткая</t>
        </is>
      </c>
      <c r="C3988" s="2" t="n">
        <v>14066</v>
      </c>
      <c r="D3988" s="3" t="inlineStr">
        <is>
          <t>Сказки-засыпайки. Следы на снегу</t>
        </is>
      </c>
      <c r="E3988" s="2" t="n">
        <v>1978</v>
      </c>
      <c r="F3988" s="2" t="inlineStr">
        <is>
          <t>мультфильм</t>
        </is>
      </c>
      <c r="G3988" s="2" t="inlineStr">
        <is>
          <t>ТАЛЛИННФИЛЬМ</t>
        </is>
      </c>
      <c r="H3988" s="2" t="n">
        <v>83</v>
      </c>
      <c r="I3988" s="2" t="inlineStr"/>
      <c r="J3988" s="2" t="inlineStr"/>
      <c r="K3988" s="3" t="inlineStr">
        <is>
          <t>Первый фильм сериала из 7 фильмов о приключениях куклы-невидимки по имени Засыпайка</t>
        </is>
      </c>
      <c r="L3988" s="2" t="inlineStr">
        <is>
          <t>https://animator.ru/db/?p=show_film&amp;fid=5462</t>
        </is>
      </c>
      <c r="M3988" s="2">
        <f>HYPERLINK("https://ru.wikipedia.org/w/index.php?search=%D0%A1%D0%BA%D0%B0%D0%B7%D0%BA%D0%B8-%D0%B7%D0%B0%D1%81%D1%8B%D0%BF%D0%B0%D0%B9%D0%BA%D0%B8.%20%D0%A1%D0%BB%D0%B5%D0%B4%D1%8B%20%D0%BD%D0%B0%20%D1%81%D0%BD%D0%B5%D0%B3%D1%83%201978%20%D1%84%D0%B8%D0%BB%D1%8C%D0%BC","искать")</f>
        <v/>
      </c>
      <c r="N3988" s="3" t="n"/>
      <c r="O3988" s="2" t="n"/>
      <c r="P3988" s="2" t="n"/>
    </row>
    <row r="3989">
      <c r="A3989" s="2" t="n">
        <v>3988</v>
      </c>
      <c r="B3989" s="2" t="inlineStr">
        <is>
          <t>короткая</t>
        </is>
      </c>
      <c r="C3989" s="2" t="n">
        <v>14196</v>
      </c>
      <c r="D3989" s="3" t="inlineStr">
        <is>
          <t>Чудовище</t>
        </is>
      </c>
      <c r="E3989" s="2" t="n">
        <v>1990</v>
      </c>
      <c r="F3989" s="2" t="inlineStr">
        <is>
          <t>мультфильм</t>
        </is>
      </c>
      <c r="G3989" s="2" t="inlineStr">
        <is>
          <t>СВЕРДЛОВСКТЕЛЕФИЛЬМ</t>
        </is>
      </c>
      <c r="H3989" s="2" t="n">
        <v>83</v>
      </c>
      <c r="I3989" s="2" t="inlineStr"/>
      <c r="J3989" s="2" t="inlineStr"/>
      <c r="K3989" s="3" t="inlineStr">
        <is>
          <t>О доброй тете Маше и забавном безобидном Чудовище.По мотивам рассказа Нины Катерли.</t>
        </is>
      </c>
      <c r="L3989" s="2" t="inlineStr">
        <is>
          <t>2026-10_мультфильмы_список_владельца.xlsx; https://animator.ru/db/?p=show_film&amp;fid=5594</t>
        </is>
      </c>
      <c r="M3989" s="2">
        <f>HYPERLINK("https://ru.wikipedia.org/w/index.php?search=%D0%A7%D1%83%D0%B4%D0%BE%D0%B2%D0%B8%D1%89%D0%B5%201990%20%D1%84%D0%B8%D0%BB%D1%8C%D0%BC","искать")</f>
        <v/>
      </c>
      <c r="N3989" s="3" t="n"/>
      <c r="O3989" s="2" t="n"/>
      <c r="P3989" s="2" t="n"/>
    </row>
    <row r="3990">
      <c r="A3990" s="2" t="n">
        <v>3989</v>
      </c>
      <c r="B3990" s="2" t="inlineStr">
        <is>
          <t>короткая</t>
        </is>
      </c>
      <c r="C3990" s="2" t="n">
        <v>12195</v>
      </c>
      <c r="D3990" s="3" t="inlineStr">
        <is>
          <t>Трое на острове</t>
        </is>
      </c>
      <c r="E3990" s="2" t="n">
        <v>1986</v>
      </c>
      <c r="F3990" s="2" t="inlineStr">
        <is>
          <t>мультфильм</t>
        </is>
      </c>
      <c r="G3990" s="2" t="inlineStr">
        <is>
          <t>Союзмультфильм</t>
        </is>
      </c>
      <c r="H3990" s="2" t="n">
        <v>84</v>
      </c>
      <c r="I3990" s="2" t="inlineStr"/>
      <c r="J3990" s="2" t="inlineStr"/>
      <c r="K3990" s="3" t="inlineStr">
        <is>
          <t>По одноименной повести В.Губарева о мальчике Боре, который попал на пиратский остров</t>
        </is>
      </c>
      <c r="L3990" s="2" t="inlineStr">
        <is>
          <t>https://animator.ru/db/?p=show_film&amp;fid=3312</t>
        </is>
      </c>
      <c r="M3990" s="2">
        <f>HYPERLINK("https://ru.wikipedia.org/w/index.php?search=%D0%A2%D1%80%D0%BE%D0%B5%20%D0%BD%D0%B0%20%D0%BE%D1%81%D1%82%D1%80%D0%BE%D0%B2%D0%B5%201986%20%D1%84%D0%B8%D0%BB%D1%8C%D0%BC","искать")</f>
        <v/>
      </c>
      <c r="N3990" s="3" t="n"/>
      <c r="O3990" s="2" t="n"/>
      <c r="P3990" s="2" t="n"/>
    </row>
    <row r="3991">
      <c r="A3991" s="2" t="n">
        <v>3990</v>
      </c>
      <c r="B3991" s="2" t="inlineStr">
        <is>
          <t>короткая</t>
        </is>
      </c>
      <c r="C3991" s="2" t="n">
        <v>12603</v>
      </c>
      <c r="D3991" s="3" t="inlineStr">
        <is>
          <t>Четыре неразлучных таракана и сверчок</t>
        </is>
      </c>
      <c r="E3991" s="2" t="n">
        <v>1975</v>
      </c>
      <c r="F3991" s="2" t="inlineStr">
        <is>
          <t>мультфильм</t>
        </is>
      </c>
      <c r="G3991" s="2" t="inlineStr">
        <is>
          <t>КИЕВНАУЧФИЛЬМ</t>
        </is>
      </c>
      <c r="H3991" s="2" t="n">
        <v>84</v>
      </c>
      <c r="I3991" s="2" t="inlineStr"/>
      <c r="J3991" s="2" t="inlineStr"/>
      <c r="K3991" s="3" t="inlineStr">
        <is>
          <t>Музыкальный мультфильм о том, как дедушка хотел избавиться от тараканов со сверчком.</t>
        </is>
      </c>
      <c r="L3991" s="2" t="inlineStr">
        <is>
          <t>https://animator.ru/db/?p=show_film&amp;fid=3783</t>
        </is>
      </c>
      <c r="M3991" s="2">
        <f>HYPERLINK("https://ru.wikipedia.org/w/index.php?search=%D0%A7%D0%B5%D1%82%D1%8B%D1%80%D0%B5%20%D0%BD%D0%B5%D1%80%D0%B0%D0%B7%D0%BB%D1%83%D1%87%D0%BD%D1%8B%D1%85%20%D1%82%D0%B0%D1%80%D0%B0%D0%BA%D0%B0%D0%BD%D0%B0%20%D0%B8%20%D1%81%D0%B2%D0%B5%D1%80%D1%87%D0%BE%D0%BA%201975%20%D1%84%D0%B8%D0%BB%D1%8C%D0%BC","искать")</f>
        <v/>
      </c>
      <c r="N3991" s="3" t="n"/>
      <c r="O3991" s="2" t="n"/>
      <c r="P3991" s="2" t="n"/>
    </row>
    <row r="3992">
      <c r="A3992" s="2" t="n">
        <v>3991</v>
      </c>
      <c r="B3992" s="2" t="inlineStr">
        <is>
          <t>короткая</t>
        </is>
      </c>
      <c r="C3992" s="2" t="n">
        <v>12937</v>
      </c>
      <c r="D3992" s="3" t="inlineStr">
        <is>
          <t>Медвежонок Бутхуз</t>
        </is>
      </c>
      <c r="E3992" s="2" t="n">
        <v>1981</v>
      </c>
      <c r="F3992" s="2" t="inlineStr">
        <is>
          <t>мультфильм</t>
        </is>
      </c>
      <c r="G3992" s="2" t="inlineStr">
        <is>
          <t>ГРУЗИЯ-ФИЛЬМ - АО</t>
        </is>
      </c>
      <c r="H3992" s="2" t="n">
        <v>84</v>
      </c>
      <c r="I3992" s="2" t="inlineStr"/>
      <c r="J3992" s="2" t="inlineStr"/>
      <c r="K3992" s="3" t="inlineStr">
        <is>
          <t>По заказу ГОСТЕЛЕРАДИО СССР . О ленивом медвежонке, которого друзья научили работать</t>
        </is>
      </c>
      <c r="L3992" s="2" t="inlineStr">
        <is>
          <t>https://animator.ru/db/?p=show_film&amp;fid=4167</t>
        </is>
      </c>
      <c r="M3992" s="2">
        <f>HYPERLINK("https://ru.wikipedia.org/w/index.php?search=%D0%9C%D0%B5%D0%B4%D0%B2%D0%B5%D0%B6%D0%BE%D0%BD%D0%BE%D0%BA%20%D0%91%D1%83%D1%82%D1%85%D1%83%D0%B7%201981%20%D1%84%D0%B8%D0%BB%D1%8C%D0%BC","искать")</f>
        <v/>
      </c>
      <c r="N3992" s="3" t="n"/>
      <c r="O3992" s="2" t="n"/>
      <c r="P3992" s="2" t="n"/>
    </row>
    <row r="3993">
      <c r="A3993" s="2" t="n">
        <v>3992</v>
      </c>
      <c r="B3993" s="2" t="inlineStr">
        <is>
          <t>короткая</t>
        </is>
      </c>
      <c r="C3993" s="2" t="n">
        <v>13660</v>
      </c>
      <c r="D3993" s="3" t="inlineStr">
        <is>
          <t>Волшебная лопата</t>
        </is>
      </c>
      <c r="E3993" s="2" t="n">
        <v>1984</v>
      </c>
      <c r="F3993" s="2" t="inlineStr">
        <is>
          <t>мультфильм</t>
        </is>
      </c>
      <c r="G3993" s="2" t="inlineStr">
        <is>
          <t>ЭКРАН</t>
        </is>
      </c>
      <c r="H3993" s="2" t="n">
        <v>84</v>
      </c>
      <c r="I3993" s="2" t="inlineStr"/>
      <c r="J3993" s="2" t="inlineStr"/>
      <c r="K3993" s="3" t="inlineStr">
        <is>
          <t>По стихам А.Барто о ленивом Васе, не хотевшем принимать участие в общественной жизни</t>
        </is>
      </c>
      <c r="L3993" s="2" t="inlineStr">
        <is>
          <t>https://animator.ru/db/?p=show_film&amp;fid=5052</t>
        </is>
      </c>
      <c r="M3993" s="2">
        <f>HYPERLINK("https://ru.wikipedia.org/w/index.php?search=%D0%92%D0%BE%D0%BB%D1%88%D0%B5%D0%B1%D0%BD%D0%B0%D1%8F%20%D0%BB%D0%BE%D0%BF%D0%B0%D1%82%D0%B0%201984%20%D1%84%D0%B8%D0%BB%D1%8C%D0%BC","искать")</f>
        <v/>
      </c>
      <c r="N3993" s="3" t="n"/>
      <c r="O3993" s="2" t="n"/>
      <c r="P3993" s="2" t="n"/>
    </row>
    <row r="3994">
      <c r="A3994" s="2" t="n">
        <v>3993</v>
      </c>
      <c r="B3994" s="2" t="inlineStr">
        <is>
          <t>короткая</t>
        </is>
      </c>
      <c r="C3994" s="2" t="n">
        <v>14288</v>
      </c>
      <c r="D3994" s="3" t="inlineStr">
        <is>
          <t>После того, как</t>
        </is>
      </c>
      <c r="E3994" s="2" t="n">
        <v>1991</v>
      </c>
      <c r="F3994" s="2" t="inlineStr">
        <is>
          <t>мультфильм</t>
        </is>
      </c>
      <c r="G3994" s="2" t="inlineStr">
        <is>
          <t>СОЮЗТЕЛЕФИЛЬМ</t>
        </is>
      </c>
      <c r="H3994" s="2" t="n">
        <v>84</v>
      </c>
      <c r="I3994" s="2" t="inlineStr"/>
      <c r="J3994" s="2" t="inlineStr"/>
      <c r="K3994" s="3" t="inlineStr">
        <is>
          <t>Музыкальная история о том, как художник создавал собственную версию сотворения мира.</t>
        </is>
      </c>
      <c r="L3994" s="2" t="inlineStr">
        <is>
          <t>https://animator.ru/db/?p=show_film&amp;fid=5828</t>
        </is>
      </c>
      <c r="M3994" s="2">
        <f>HYPERLINK("https://ru.wikipedia.org/w/index.php?search=%D0%9F%D0%BE%D1%81%D0%BB%D0%B5%20%D1%82%D0%BE%D0%B3%D0%BE%2C%20%D0%BA%D0%B0%D0%BA%201991%20%D1%84%D0%B8%D0%BB%D1%8C%D0%BC","искать")</f>
        <v/>
      </c>
      <c r="N3994" s="3" t="n"/>
      <c r="O3994" s="2" t="n"/>
      <c r="P3994" s="2" t="n"/>
    </row>
    <row r="3995">
      <c r="A3995" s="2" t="n">
        <v>3994</v>
      </c>
      <c r="B3995" s="2" t="inlineStr">
        <is>
          <t>короткая</t>
        </is>
      </c>
      <c r="C3995" s="2" t="n">
        <v>10000</v>
      </c>
      <c r="D3995" s="3" t="inlineStr">
        <is>
          <t>Происшествие</t>
        </is>
      </c>
      <c r="E3995" s="2" t="n">
        <v>1984</v>
      </c>
      <c r="F3995" s="2" t="inlineStr">
        <is>
          <t>кинофильм</t>
        </is>
      </c>
      <c r="G3995" s="2" t="inlineStr">
        <is>
          <t>Арменфильм</t>
        </is>
      </c>
      <c r="H3995" s="2" t="n">
        <v>85</v>
      </c>
      <c r="I3995" s="2" t="inlineStr"/>
      <c r="J3995" s="2" t="inlineStr"/>
      <c r="K3995" s="3" t="inlineStr">
        <is>
          <t>Автомобильная авария раскрывает характеры людей, оказавшихся в чрезвычайной ситуации.</t>
        </is>
      </c>
      <c r="L3995" s="2" t="inlineStr">
        <is>
          <t>https://www.kino-teatr.ru/short/movie/sov/84884/annot/</t>
        </is>
      </c>
      <c r="M3995" s="2">
        <f>HYPERLINK("https://ru.wikipedia.org/w/index.php?search=%D0%9F%D1%80%D0%BE%D0%B8%D1%81%D1%88%D0%B5%D1%81%D1%82%D0%B2%D0%B8%D0%B5%201984%20%D1%84%D0%B8%D0%BB%D1%8C%D0%BC","искать")</f>
        <v/>
      </c>
      <c r="N3995" s="3" t="n"/>
      <c r="O3995" s="2" t="n"/>
      <c r="P3995" s="2" t="n"/>
    </row>
    <row r="3996">
      <c r="A3996" s="2" t="n">
        <v>3995</v>
      </c>
      <c r="B3996" s="2" t="inlineStr">
        <is>
          <t>короткая</t>
        </is>
      </c>
      <c r="C3996" s="2" t="n">
        <v>11928</v>
      </c>
      <c r="D3996" s="3" t="inlineStr">
        <is>
          <t>Страшная история</t>
        </is>
      </c>
      <c r="E3996" s="2" t="n">
        <v>1979</v>
      </c>
      <c r="F3996" s="2" t="inlineStr">
        <is>
          <t>мультфильм</t>
        </is>
      </c>
      <c r="G3996" s="2" t="inlineStr">
        <is>
          <t>Союзмультфильм</t>
        </is>
      </c>
      <c r="H3996" s="2" t="n">
        <v>85</v>
      </c>
      <c r="I3996" s="2" t="inlineStr"/>
      <c r="J3996" s="2" t="inlineStr"/>
      <c r="K3996" s="3" t="inlineStr">
        <is>
          <t>Суслик и Хомяк рассказывают друг другу страшные истории, а потом не решаются заснуть.</t>
        </is>
      </c>
      <c r="L3996" s="2" t="inlineStr">
        <is>
          <t>https://animator.ru/db/?p=show_film&amp;fid=2843</t>
        </is>
      </c>
      <c r="M3996" s="2">
        <f>HYPERLINK("https://ru.wikipedia.org/w/index.php?search=%D0%A1%D1%82%D1%80%D0%B0%D1%88%D0%BD%D0%B0%D1%8F%20%D0%B8%D1%81%D1%82%D0%BE%D1%80%D0%B8%D1%8F%201979%20%D1%84%D0%B8%D0%BB%D1%8C%D0%BC","искать")</f>
        <v/>
      </c>
      <c r="N3996" s="3" t="n"/>
      <c r="O3996" s="2" t="n"/>
      <c r="P3996" s="2" t="n"/>
    </row>
    <row r="3997">
      <c r="A3997" s="2" t="n">
        <v>3996</v>
      </c>
      <c r="B3997" s="2" t="inlineStr">
        <is>
          <t>короткая</t>
        </is>
      </c>
      <c r="C3997" s="2" t="n">
        <v>12200</v>
      </c>
      <c r="D3997" s="3" t="inlineStr">
        <is>
          <t>Богатырская каша</t>
        </is>
      </c>
      <c r="E3997" s="2" t="n">
        <v>1987</v>
      </c>
      <c r="F3997" s="2" t="inlineStr">
        <is>
          <t>мультфильм</t>
        </is>
      </c>
      <c r="G3997" s="2" t="inlineStr">
        <is>
          <t>Союзмультфильм</t>
        </is>
      </c>
      <c r="H3997" s="2" t="n">
        <v>85</v>
      </c>
      <c r="I3997" s="2" t="inlineStr"/>
      <c r="J3997" s="2" t="inlineStr"/>
      <c r="K3997" s="3" t="inlineStr">
        <is>
          <t>Остроумно разыгранный комедеийный сюжет о фантазии трех мальчиков о богатырской каше.</t>
        </is>
      </c>
      <c r="L3997" s="2" t="inlineStr">
        <is>
          <t>https://animator.ru/db/?p=show_film&amp;fid=3317</t>
        </is>
      </c>
      <c r="M3997" s="2">
        <f>HYPERLINK("https://ru.wikipedia.org/w/index.php?search=%D0%91%D0%BE%D0%B3%D0%B0%D1%82%D1%8B%D1%80%D1%81%D0%BA%D0%B0%D1%8F%20%D0%BA%D0%B0%D1%88%D0%B0%201987%20%D1%84%D0%B8%D0%BB%D1%8C%D0%BC","искать")</f>
        <v/>
      </c>
      <c r="N3997" s="3" t="n"/>
      <c r="O3997" s="2" t="n"/>
      <c r="P3997" s="2" t="n"/>
    </row>
    <row r="3998">
      <c r="A3998" s="2" t="n">
        <v>3997</v>
      </c>
      <c r="B3998" s="2" t="inlineStr">
        <is>
          <t>короткая</t>
        </is>
      </c>
      <c r="C3998" s="2" t="n">
        <v>13433</v>
      </c>
      <c r="D3998" s="3" t="inlineStr">
        <is>
          <t>Чертенок №13</t>
        </is>
      </c>
      <c r="E3998" s="2" t="n">
        <v>1982</v>
      </c>
      <c r="F3998" s="2" t="inlineStr">
        <is>
          <t>мультфильм</t>
        </is>
      </c>
      <c r="G3998" s="2" t="inlineStr">
        <is>
          <t>ЭКРАН</t>
        </is>
      </c>
      <c r="H3998" s="2" t="n">
        <v>85</v>
      </c>
      <c r="I3998" s="2" t="inlineStr"/>
      <c r="J3998" s="2" t="inlineStr"/>
      <c r="K3998" s="3" t="inlineStr">
        <is>
          <t>О приключениях веселого чертенка.Люби себя, чихай на всех! И в жизни ждет тебя успех!</t>
        </is>
      </c>
      <c r="L3998" s="2" t="inlineStr">
        <is>
          <t>2026-10_мультфильмы_список_владельца.xlsx; https://animator.ru/db/?p=show_film&amp;fid=4714</t>
        </is>
      </c>
      <c r="M3998" s="2">
        <f>HYPERLINK("https://ru.wikipedia.org/w/index.php?search=%D0%A7%D0%B5%D1%80%D1%82%D0%B5%D0%BD%D0%BE%D0%BA%20%E2%84%9613%201982%20%D1%84%D0%B8%D0%BB%D1%8C%D0%BC","искать")</f>
        <v/>
      </c>
      <c r="N3998" s="3" t="n"/>
      <c r="O3998" s="2" t="n"/>
      <c r="P3998" s="2" t="n"/>
    </row>
    <row r="3999">
      <c r="A3999" s="2" t="n">
        <v>3998</v>
      </c>
      <c r="B3999" s="2" t="inlineStr">
        <is>
          <t>короткая</t>
        </is>
      </c>
      <c r="C3999" s="2" t="n">
        <v>13460</v>
      </c>
      <c r="D3999" s="3" t="inlineStr">
        <is>
          <t>Падал прошлогодний снег</t>
        </is>
      </c>
      <c r="E3999" s="2" t="n">
        <v>1983</v>
      </c>
      <c r="F3999" s="2" t="inlineStr">
        <is>
          <t>мультфильм</t>
        </is>
      </c>
      <c r="G3999" s="2" t="inlineStr">
        <is>
          <t>ЭКРАН</t>
        </is>
      </c>
      <c r="H3999" s="2" t="n">
        <v>85</v>
      </c>
      <c r="I3999" s="2" t="inlineStr"/>
      <c r="J3999" s="2" t="inlineStr"/>
      <c r="K3999" s="3" t="inlineStr">
        <is>
          <t>Забавные приключения мужика-недотепы, которого жена послала в лес за новогодней елкой</t>
        </is>
      </c>
      <c r="L3999" s="2" t="inlineStr">
        <is>
          <t>https://animator.ru/db/?p=show_film&amp;fid=4741</t>
        </is>
      </c>
      <c r="M3999" s="2">
        <f>HYPERLINK("https://ru.wikipedia.org/w/index.php?search=%D0%9F%D0%B0%D0%B4%D0%B0%D0%BB%20%D0%BF%D1%80%D0%BE%D1%88%D0%BB%D0%BE%D0%B3%D0%BE%D0%B4%D0%BD%D0%B8%D0%B9%20%D1%81%D0%BD%D0%B5%D0%B3%201983%20%D1%84%D0%B8%D0%BB%D1%8C%D0%BC","искать")</f>
        <v/>
      </c>
      <c r="N3999" s="3" t="n"/>
      <c r="O3999" s="2" t="n"/>
      <c r="P3999" s="2" t="n"/>
    </row>
    <row r="4000">
      <c r="A4000" s="2" t="n">
        <v>3999</v>
      </c>
      <c r="B4000" s="2" t="inlineStr">
        <is>
          <t>короткая</t>
        </is>
      </c>
      <c r="C4000" s="2" t="n">
        <v>13828</v>
      </c>
      <c r="D4000" s="3" t="inlineStr">
        <is>
          <t>Подарок для слона</t>
        </is>
      </c>
      <c r="E4000" s="2" t="n">
        <v>1984</v>
      </c>
      <c r="F4000" s="2" t="inlineStr">
        <is>
          <t>мультфильм</t>
        </is>
      </c>
      <c r="G4000" s="2" t="inlineStr">
        <is>
          <t>ЭКРАН</t>
        </is>
      </c>
      <c r="H4000" s="2" t="n">
        <v>85</v>
      </c>
      <c r="I4000" s="2" t="inlineStr"/>
      <c r="J4000" s="2" t="inlineStr"/>
      <c r="K4000" s="3" t="inlineStr">
        <is>
          <t>О кознях злой Дюдюки, которая напрасно пыталась поссорить дружных зверей. Для малышей</t>
        </is>
      </c>
      <c r="L4000" s="2" t="inlineStr">
        <is>
          <t>https://animator.ru/db/?p=show_film&amp;fid=5221</t>
        </is>
      </c>
      <c r="M4000" s="2">
        <f>HYPERLINK("https://ru.wikipedia.org/w/index.php?search=%D0%9F%D0%BE%D0%B4%D0%B0%D1%80%D0%BE%D0%BA%20%D0%B4%D0%BB%D1%8F%20%D1%81%D0%BB%D0%BE%D0%BD%D0%B0%201984%20%D1%84%D0%B8%D0%BB%D1%8C%D0%BC","искать")</f>
        <v/>
      </c>
      <c r="N4000" s="3" t="n"/>
      <c r="O4000" s="2" t="n"/>
      <c r="P4000" s="2" t="n"/>
    </row>
    <row r="4001">
      <c r="A4001" s="2" t="n">
        <v>4000</v>
      </c>
      <c r="B4001" s="2" t="inlineStr">
        <is>
          <t>короткая</t>
        </is>
      </c>
      <c r="C4001" s="2" t="n">
        <v>12284</v>
      </c>
      <c r="D4001" s="3" t="inlineStr">
        <is>
          <t>Оттого, что в кузнице не было гвоздя</t>
        </is>
      </c>
      <c r="E4001" s="2" t="n">
        <v>1990</v>
      </c>
      <c r="F4001" s="2" t="inlineStr">
        <is>
          <t>мультфильм</t>
        </is>
      </c>
      <c r="G4001" s="2" t="inlineStr">
        <is>
          <t>Союзмультфильм</t>
        </is>
      </c>
      <c r="H4001" s="2" t="n">
        <v>86</v>
      </c>
      <c r="I4001" s="2" t="inlineStr"/>
      <c r="J4001" s="2" t="inlineStr"/>
      <c r="K4001" s="3" t="inlineStr">
        <is>
          <t>Шуточная опера о том, как из-за отсутствия гвоздя чуть не произошла мировая катастрофа</t>
        </is>
      </c>
      <c r="L4001" s="2" t="inlineStr">
        <is>
          <t>https://animator.ru/db/?p=show_film&amp;fid=3401</t>
        </is>
      </c>
      <c r="M4001" s="2">
        <f>HYPERLINK("https://ru.wikipedia.org/w/index.php?search=%D0%9E%D1%82%D1%82%D0%BE%D0%B3%D0%BE%2C%20%D1%87%D1%82%D0%BE%20%D0%B2%20%D0%BA%D1%83%D0%B7%D0%BD%D0%B8%D1%86%D0%B5%20%D0%BD%D0%B5%20%D0%B1%D1%8B%D0%BB%D0%BE%20%D0%B3%D0%B2%D0%BE%D0%B7%D0%B4%D1%8F%201990%20%D1%84%D0%B8%D0%BB%D1%8C%D0%BC","искать")</f>
        <v/>
      </c>
      <c r="N4001" s="3" t="n"/>
      <c r="O4001" s="2" t="n"/>
      <c r="P4001" s="2" t="n"/>
    </row>
    <row r="4002">
      <c r="A4002" s="2" t="n">
        <v>4001</v>
      </c>
      <c r="B4002" s="2" t="inlineStr">
        <is>
          <t>короткая</t>
        </is>
      </c>
      <c r="C4002" s="2" t="n">
        <v>12880</v>
      </c>
      <c r="D4002" s="3" t="inlineStr">
        <is>
          <t>Жил-был мышонок</t>
        </is>
      </c>
      <c r="E4002" s="2" t="n">
        <v>1977</v>
      </c>
      <c r="F4002" s="2" t="inlineStr">
        <is>
          <t>мультфильм</t>
        </is>
      </c>
      <c r="G4002" s="2" t="inlineStr">
        <is>
          <t>ГРУЗИЯ-ФИЛЬМ - АО</t>
        </is>
      </c>
      <c r="H4002" s="2" t="n">
        <v>86</v>
      </c>
      <c r="I4002" s="2" t="inlineStr"/>
      <c r="J4002" s="2" t="inlineStr"/>
      <c r="K4002" s="3" t="inlineStr">
        <is>
          <t>Сказка о трусливом мышонке, который, даже обратившись львом, не перестал бояться кошки</t>
        </is>
      </c>
      <c r="L4002" s="2" t="inlineStr">
        <is>
          <t>https://animator.ru/db/?p=show_film&amp;fid=4110</t>
        </is>
      </c>
      <c r="M4002" s="2">
        <f>HYPERLINK("https://ru.wikipedia.org/w/index.php?search=%D0%96%D0%B8%D0%BB-%D0%B1%D1%8B%D0%BB%20%D0%BC%D1%8B%D1%88%D0%BE%D0%BD%D0%BE%D0%BA%201977%20%D1%84%D0%B8%D0%BB%D1%8C%D0%BC","искать")</f>
        <v/>
      </c>
      <c r="N4002" s="3" t="n"/>
      <c r="O4002" s="2" t="n"/>
      <c r="P4002" s="2" t="n"/>
    </row>
    <row r="4003">
      <c r="A4003" s="2" t="n">
        <v>4002</v>
      </c>
      <c r="B4003" s="2" t="inlineStr">
        <is>
          <t>короткая</t>
        </is>
      </c>
      <c r="C4003" s="2" t="n">
        <v>13892</v>
      </c>
      <c r="D4003" s="3" t="inlineStr">
        <is>
          <t>Сказка о громком барабане</t>
        </is>
      </c>
      <c r="E4003" s="2" t="n">
        <v>1973</v>
      </c>
      <c r="F4003" s="2" t="inlineStr">
        <is>
          <t>мультфильм</t>
        </is>
      </c>
      <c r="G4003" s="2" t="inlineStr">
        <is>
          <t>ЭКРАН</t>
        </is>
      </c>
      <c r="H4003" s="2" t="n">
        <v>86</v>
      </c>
      <c r="I4003" s="2" t="inlineStr"/>
      <c r="J4003" s="2" t="inlineStr"/>
      <c r="K4003" s="3" t="inlineStr">
        <is>
          <t>По одноименной сказке С.Могилевской о подвиге юного героя Гражданской войны. Для детей</t>
        </is>
      </c>
      <c r="L4003" s="2" t="inlineStr">
        <is>
          <t>https://animator.ru/db/?p=show_film&amp;fid=5286</t>
        </is>
      </c>
      <c r="M4003" s="2">
        <f>HYPERLINK("https://ru.wikipedia.org/w/index.php?search=%D0%A1%D0%BA%D0%B0%D0%B7%D0%BA%D0%B0%20%D0%BE%20%D0%B3%D1%80%D0%BE%D0%BC%D0%BA%D0%BE%D0%BC%20%D0%B1%D0%B0%D1%80%D0%B0%D0%B1%D0%B0%D0%BD%D0%B5%201973%20%D1%84%D0%B8%D0%BB%D1%8C%D0%BC","искать")</f>
        <v/>
      </c>
      <c r="N4003" s="3" t="n"/>
      <c r="O4003" s="2" t="n"/>
      <c r="P4003" s="2" t="n"/>
    </row>
    <row r="4004">
      <c r="A4004" s="2" t="n">
        <v>4003</v>
      </c>
      <c r="B4004" s="2" t="inlineStr">
        <is>
          <t>короткая</t>
        </is>
      </c>
      <c r="C4004" s="2" t="n">
        <v>14470</v>
      </c>
      <c r="D4004" s="3" t="inlineStr">
        <is>
          <t>Равновесие страха</t>
        </is>
      </c>
      <c r="E4004" s="2" t="n">
        <v>1973</v>
      </c>
      <c r="F4004" s="2" t="inlineStr">
        <is>
          <t>мультфильм</t>
        </is>
      </c>
      <c r="G4004" s="2" t="inlineStr">
        <is>
          <t>Союзмультфильм</t>
        </is>
      </c>
      <c r="H4004" s="2" t="n">
        <v>86</v>
      </c>
      <c r="I4004" s="2" t="inlineStr"/>
      <c r="J4004" s="2" t="inlineStr"/>
      <c r="K4004" s="3" t="inlineStr">
        <is>
          <t>История наращивания военной мощи между двумя соседями, которая привела к гибели Земли.</t>
        </is>
      </c>
      <c r="L4004" s="2" t="inlineStr">
        <is>
          <t>https://animator.ru/db/?p=show_film&amp;fid=6737</t>
        </is>
      </c>
      <c r="M4004" s="2">
        <f>HYPERLINK("https://ru.wikipedia.org/w/index.php?search=%D0%A0%D0%B0%D0%B2%D0%BD%D0%BE%D0%B2%D0%B5%D1%81%D0%B8%D0%B5%20%D1%81%D1%82%D1%80%D0%B0%D1%85%D0%B0%201973%20%D1%84%D0%B8%D0%BB%D1%8C%D0%BC","искать")</f>
        <v/>
      </c>
      <c r="N4004" s="3" t="n"/>
      <c r="O4004" s="2" t="n"/>
      <c r="P4004" s="2" t="n"/>
    </row>
    <row r="4005">
      <c r="A4005" s="2" t="n">
        <v>4004</v>
      </c>
      <c r="B4005" s="2" t="inlineStr">
        <is>
          <t>короткая</t>
        </is>
      </c>
      <c r="C4005" s="2" t="n">
        <v>9863</v>
      </c>
      <c r="D4005" s="3" t="inlineStr">
        <is>
          <t>Мужской хор</t>
        </is>
      </c>
      <c r="E4005" s="2" t="n">
        <v>1969</v>
      </c>
      <c r="F4005" s="2" t="inlineStr">
        <is>
          <t>телефильм</t>
        </is>
      </c>
      <c r="G4005" s="2" t="inlineStr">
        <is>
          <t>Грузия-фильм</t>
        </is>
      </c>
      <c r="H4005" s="2" t="n">
        <v>87</v>
      </c>
      <c r="I4005" s="2" t="inlineStr"/>
      <c r="J4005" s="2" t="inlineStr"/>
      <c r="K4005" s="3" t="inlineStr">
        <is>
          <t>С воодушевлением встретил мужской хор нового дирижера - молодую очаровательную женщину.</t>
        </is>
      </c>
      <c r="L4005" s="2" t="inlineStr">
        <is>
          <t>https://www.kino-teatr.ru/short/movie/sov/16024/annot/</t>
        </is>
      </c>
      <c r="M4005" s="2">
        <f>HYPERLINK("https://ru.wikipedia.org/w/index.php?search=%D0%9C%D1%83%D0%B6%D1%81%D0%BA%D0%BE%D0%B9%20%D1%85%D0%BE%D1%80%201969%20%D1%84%D0%B8%D0%BB%D1%8C%D0%BC","искать")</f>
        <v/>
      </c>
      <c r="N4005" s="3" t="n"/>
      <c r="O4005" s="2" t="n"/>
      <c r="P4005" s="2" t="n"/>
    </row>
    <row r="4006">
      <c r="A4006" s="2" t="n">
        <v>4005</v>
      </c>
      <c r="B4006" s="2" t="inlineStr">
        <is>
          <t>короткая</t>
        </is>
      </c>
      <c r="C4006" s="2" t="n">
        <v>11868</v>
      </c>
      <c r="D4006" s="3" t="inlineStr">
        <is>
          <t>Догони-ветер</t>
        </is>
      </c>
      <c r="E4006" s="2" t="n">
        <v>1978</v>
      </c>
      <c r="F4006" s="2" t="inlineStr">
        <is>
          <t>мультфильм</t>
        </is>
      </c>
      <c r="G4006" s="2" t="inlineStr">
        <is>
          <t>Союзмультфильм</t>
        </is>
      </c>
      <c r="H4006" s="2" t="n">
        <v>87</v>
      </c>
      <c r="I4006" s="2" t="inlineStr"/>
      <c r="J4006" s="2" t="inlineStr"/>
      <c r="K4006" s="3" t="inlineStr">
        <is>
          <t>По мотивам сказки К.Ушинского. Грустная история старой лошади, которую выгнали из дому.</t>
        </is>
      </c>
      <c r="L4006" s="2" t="inlineStr">
        <is>
          <t>2026-10_мультфильмы_список_владельца.xlsx; https://animator.ru/db/?p=show_film&amp;fid=2783</t>
        </is>
      </c>
      <c r="M4006" s="2">
        <f>HYPERLINK("https://ru.wikipedia.org/w/index.php?search=%D0%94%D0%BE%D0%B3%D0%BE%D0%BD%D0%B8-%D0%B2%D0%B5%D1%82%D0%B5%D1%80%201978%20%D1%84%D0%B8%D0%BB%D1%8C%D0%BC","искать")</f>
        <v/>
      </c>
      <c r="N4006" s="3" t="n"/>
      <c r="O4006" s="2" t="n"/>
      <c r="P4006" s="2" t="n"/>
    </row>
    <row r="4007">
      <c r="A4007" s="2" t="n">
        <v>4006</v>
      </c>
      <c r="B4007" s="2" t="inlineStr">
        <is>
          <t>короткая</t>
        </is>
      </c>
      <c r="C4007" s="2" t="n">
        <v>11939</v>
      </c>
      <c r="D4007" s="3" t="inlineStr">
        <is>
          <t>Каникулы в Простоквашино (ч. 2)</t>
        </is>
      </c>
      <c r="E4007" s="2" t="n">
        <v>1980</v>
      </c>
      <c r="F4007" s="2" t="inlineStr">
        <is>
          <t>мультфильм</t>
        </is>
      </c>
      <c r="G4007" s="2" t="inlineStr">
        <is>
          <t>Союзмультфильм</t>
        </is>
      </c>
      <c r="H4007" s="2" t="n">
        <v>87</v>
      </c>
      <c r="I4007" s="2" t="inlineStr"/>
      <c r="J4007" s="2" t="inlineStr"/>
      <c r="K4007" s="3" t="inlineStr">
        <is>
          <t>Кот Матроскин, пес Шарик и дядя Федор проводят летние каникулы в деревне Простоквашино.</t>
        </is>
      </c>
      <c r="L4007" s="2" t="inlineStr">
        <is>
          <t>2026-10_мультфильмы_список_владельца.xlsx; https://animator.ru/db/?p=show_film&amp;fid=2855</t>
        </is>
      </c>
      <c r="M4007" s="2">
        <f>HYPERLINK("https://ru.wikipedia.org/w/index.php?search=%D0%9A%D0%B0%D0%BD%D0%B8%D0%BA%D1%83%D0%BB%D1%8B%20%D0%B2%20%D0%9F%D1%80%D0%BE%D1%81%D1%82%D0%BE%D0%BA%D0%B2%D0%B0%D1%88%D0%B8%D0%BD%D0%BE%20%28%D1%87.%202%29%201980%20%D1%84%D0%B8%D0%BB%D1%8C%D0%BC","искать")</f>
        <v/>
      </c>
      <c r="N4007" s="3" t="n"/>
      <c r="O4007" s="2" t="n"/>
      <c r="P4007" s="2" t="n"/>
    </row>
    <row r="4008">
      <c r="A4008" s="2" t="n">
        <v>4007</v>
      </c>
      <c r="B4008" s="2" t="inlineStr">
        <is>
          <t>короткая</t>
        </is>
      </c>
      <c r="C4008" s="2" t="n">
        <v>12640</v>
      </c>
      <c r="D4008" s="3" t="inlineStr">
        <is>
          <t>Осенний вальс</t>
        </is>
      </c>
      <c r="E4008" s="2" t="n">
        <v>1989</v>
      </c>
      <c r="F4008" s="2" t="inlineStr">
        <is>
          <t>мультфильм</t>
        </is>
      </c>
      <c r="G4008" s="2" t="inlineStr">
        <is>
          <t>КИЕВНАУЧФИЛЬМ</t>
        </is>
      </c>
      <c r="H4008" s="2" t="n">
        <v>87</v>
      </c>
      <c r="I4008" s="2" t="inlineStr"/>
      <c r="J4008" s="2" t="inlineStr"/>
      <c r="K4008" s="3" t="inlineStr">
        <is>
          <t>Мультипликационный фильм, рассказывающий трогательную историю дружбы медведя и лягушки.</t>
        </is>
      </c>
      <c r="L4008" s="2" t="inlineStr">
        <is>
          <t>2026-10_мультфильмы_список_владельца.xlsx; https://animator.ru/db/?p=show_film&amp;fid=3820</t>
        </is>
      </c>
      <c r="M4008" s="2">
        <f>HYPERLINK("https://ru.wikipedia.org/w/index.php?search=%D0%9E%D1%81%D0%B5%D0%BD%D0%BD%D0%B8%D0%B9%20%D0%B2%D0%B0%D0%BB%D1%8C%D1%81%201989%20%D1%84%D0%B8%D0%BB%D1%8C%D0%BC","искать")</f>
        <v/>
      </c>
      <c r="N4008" s="3" t="n"/>
      <c r="O4008" s="2" t="n"/>
      <c r="P4008" s="2" t="n"/>
    </row>
    <row r="4009">
      <c r="A4009" s="2" t="n">
        <v>4008</v>
      </c>
      <c r="B4009" s="2" t="inlineStr">
        <is>
          <t>короткая</t>
        </is>
      </c>
      <c r="C4009" s="2" t="n">
        <v>13613</v>
      </c>
      <c r="D4009" s="3" t="inlineStr">
        <is>
          <t>Как мурзилка научился правильно писать адреса</t>
        </is>
      </c>
      <c r="E4009" s="2" t="n">
        <v>1926</v>
      </c>
      <c r="F4009" s="2" t="inlineStr">
        <is>
          <t>мультфильм</t>
        </is>
      </c>
      <c r="G4009" s="2" t="inlineStr">
        <is>
          <t>ГОСКИНО (З-я фабрика)</t>
        </is>
      </c>
      <c r="H4009" s="2" t="n">
        <v>87</v>
      </c>
      <c r="I4009" s="2" t="inlineStr"/>
      <c r="J4009" s="2" t="inlineStr"/>
      <c r="K4009" s="3" t="inlineStr">
        <is>
          <t>Образовательный фильм: Мурзилка учит зрителей писать адреса на конвертах. Не сохранился</t>
        </is>
      </c>
      <c r="L4009" s="2" t="inlineStr">
        <is>
          <t>https://animator.ru/db/?p=show_film&amp;fid=4969</t>
        </is>
      </c>
      <c r="M4009" s="2">
        <f>HYPERLINK("https://ru.wikipedia.org/w/index.php?search=%D0%9A%D0%B0%D0%BA%20%D0%BC%D1%83%D1%80%D0%B7%D0%B8%D0%BB%D0%BA%D0%B0%20%D0%BD%D0%B0%D1%83%D1%87%D0%B8%D0%BB%D1%81%D1%8F%20%D0%BF%D1%80%D0%B0%D0%B2%D0%B8%D0%BB%D1%8C%D0%BD%D0%BE%20%D0%BF%D0%B8%D1%81%D0%B0%D1%82%D1%8C%20%D0%B0%D0%B4%D1%80%D0%B5%D1%81%D0%B0%201926%20%D1%84%D0%B8%D0%BB%D1%8C%D0%BC","искать")</f>
        <v/>
      </c>
      <c r="N4009" s="3" t="n"/>
      <c r="O4009" s="2" t="n"/>
      <c r="P4009" s="2" t="n"/>
    </row>
    <row r="4010">
      <c r="A4010" s="2" t="n">
        <v>4009</v>
      </c>
      <c r="B4010" s="2" t="inlineStr">
        <is>
          <t>короткая</t>
        </is>
      </c>
      <c r="C4010" s="2" t="n">
        <v>13614</v>
      </c>
      <c r="D4010" s="3" t="inlineStr">
        <is>
          <t>Свинопас</t>
        </is>
      </c>
      <c r="E4010" s="2" t="n">
        <v>1980</v>
      </c>
      <c r="F4010" s="2" t="inlineStr">
        <is>
          <t>мультфильм</t>
        </is>
      </c>
      <c r="G4010" s="2" t="inlineStr">
        <is>
          <t>ЭКРАН</t>
        </is>
      </c>
      <c r="H4010" s="2" t="n">
        <v>87</v>
      </c>
      <c r="I4010" s="2" t="inlineStr"/>
      <c r="J4010" s="2" t="inlineStr"/>
      <c r="K4010" s="3" t="inlineStr">
        <is>
          <t>Принц вышел на разведку - чтобы подобрать себе подходящую невесту - в образе свинопаса.</t>
        </is>
      </c>
      <c r="L4010" s="2" t="inlineStr">
        <is>
          <t>2026-10_мультфильмы_список_владельца.xlsx; https://animator.ru/db/?p=show_film&amp;fid=5005</t>
        </is>
      </c>
      <c r="M4010" s="2">
        <f>HYPERLINK("https://ru.wikipedia.org/w/index.php?search=%D0%A1%D0%B2%D0%B8%D0%BD%D0%BE%D0%BF%D0%B0%D1%81%201980%20%D1%84%D0%B8%D0%BB%D1%8C%D0%BC","искать")</f>
        <v/>
      </c>
      <c r="N4010" s="3" t="n"/>
      <c r="O4010" s="2" t="n"/>
      <c r="P4010" s="2" t="n"/>
    </row>
    <row r="4011">
      <c r="A4011" s="2" t="n">
        <v>4010</v>
      </c>
      <c r="B4011" s="2" t="inlineStr">
        <is>
          <t>короткая</t>
        </is>
      </c>
      <c r="C4011" s="2" t="n">
        <v>13707</v>
      </c>
      <c r="D4011" s="3" t="inlineStr">
        <is>
          <t>Изобретение</t>
        </is>
      </c>
      <c r="E4011" s="2" t="n">
        <v>1989</v>
      </c>
      <c r="F4011" s="2" t="inlineStr">
        <is>
          <t>мультфильм</t>
        </is>
      </c>
      <c r="G4011" s="2" t="inlineStr">
        <is>
          <t>ЭКРАН</t>
        </is>
      </c>
      <c r="H4011" s="2" t="n">
        <v>87</v>
      </c>
      <c r="I4011" s="2" t="inlineStr"/>
      <c r="J4011" s="2" t="inlineStr"/>
      <c r="K4011" s="3" t="inlineStr">
        <is>
          <t>О препятствиях: которые приходится преодолевать талантливому изобретателю. Для взрослых</t>
        </is>
      </c>
      <c r="L4011" s="2" t="inlineStr">
        <is>
          <t>https://animator.ru/db/?p=show_film&amp;fid=5100</t>
        </is>
      </c>
      <c r="M4011" s="2">
        <f>HYPERLINK("https://ru.wikipedia.org/w/index.php?search=%D0%98%D0%B7%D0%BE%D0%B1%D1%80%D0%B5%D1%82%D0%B5%D0%BD%D0%B8%D0%B5%201989%20%D1%84%D0%B8%D0%BB%D1%8C%D0%BC","искать")</f>
        <v/>
      </c>
      <c r="N4011" s="3" t="n"/>
      <c r="O4011" s="2" t="n"/>
      <c r="P4011" s="2" t="n"/>
    </row>
    <row r="4012">
      <c r="A4012" s="2" t="n">
        <v>4011</v>
      </c>
      <c r="B4012" s="2" t="inlineStr">
        <is>
          <t>короткая</t>
        </is>
      </c>
      <c r="C4012" s="2" t="n">
        <v>11790</v>
      </c>
      <c r="D4012" s="3" t="inlineStr">
        <is>
          <t>Я вспоминаю</t>
        </is>
      </c>
      <c r="E4012" s="2" t="n">
        <v>1975</v>
      </c>
      <c r="F4012" s="2" t="inlineStr">
        <is>
          <t>мультфильм</t>
        </is>
      </c>
      <c r="G4012" s="2" t="inlineStr">
        <is>
          <t>Союзмультфильм</t>
        </is>
      </c>
      <c r="H4012" s="2" t="n">
        <v>88</v>
      </c>
      <c r="I4012" s="2" t="inlineStr"/>
      <c r="J4012" s="2" t="inlineStr"/>
      <c r="K4012" s="3" t="inlineStr">
        <is>
          <t>О воздушгом гимнасте, который вспоминает о своем детстве, когда он увпервые увидел цирк.</t>
        </is>
      </c>
      <c r="L4012" s="2" t="inlineStr">
        <is>
          <t>2026-10_мультфильмы_список_владельца.xlsx; https://animator.ru/db/?p=show_film&amp;fid=2704</t>
        </is>
      </c>
      <c r="M4012" s="2">
        <f>HYPERLINK("https://ru.wikipedia.org/w/index.php?search=%D0%AF%20%D0%B2%D1%81%D0%BF%D0%BE%D0%BC%D0%B8%D0%BD%D0%B0%D1%8E%201975%20%D1%84%D0%B8%D0%BB%D1%8C%D0%BC","искать")</f>
        <v/>
      </c>
      <c r="N4012" s="3" t="n"/>
      <c r="O4012" s="2" t="n"/>
      <c r="P4012" s="2" t="n"/>
    </row>
    <row r="4013">
      <c r="A4013" s="2" t="n">
        <v>4012</v>
      </c>
      <c r="B4013" s="2" t="inlineStr">
        <is>
          <t>короткая</t>
        </is>
      </c>
      <c r="C4013" s="2" t="n">
        <v>12069</v>
      </c>
      <c r="D4013" s="3" t="inlineStr">
        <is>
          <t>Волк и теленок</t>
        </is>
      </c>
      <c r="E4013" s="2" t="n">
        <v>1984</v>
      </c>
      <c r="F4013" s="2" t="inlineStr">
        <is>
          <t>мультфильм</t>
        </is>
      </c>
      <c r="G4013" s="2" t="inlineStr">
        <is>
          <t>Союзмультфильм</t>
        </is>
      </c>
      <c r="H4013" s="2" t="n">
        <v>88</v>
      </c>
      <c r="I4013" s="2" t="inlineStr"/>
      <c r="J4013" s="2" t="inlineStr"/>
      <c r="K4013" s="3" t="inlineStr">
        <is>
          <t>О том, как Волк украл Теленка, чтобы съесть его..."-Папаня! -Ну вот! А то мама, мама!.."</t>
        </is>
      </c>
      <c r="L4013" s="2" t="inlineStr">
        <is>
          <t>2026-10_мультфильмы_список_владельца.xlsx; https://animator.ru/db/?p=show_film&amp;fid=3184</t>
        </is>
      </c>
      <c r="M4013" s="2">
        <f>HYPERLINK("https://ru.wikipedia.org/w/index.php?search=%D0%92%D0%BE%D0%BB%D0%BA%20%D0%B8%20%D1%82%D0%B5%D0%BB%D0%B5%D0%BD%D0%BE%D0%BA%201984%20%D1%84%D0%B8%D0%BB%D1%8C%D0%BC","искать")</f>
        <v/>
      </c>
      <c r="N4013" s="3" t="n"/>
      <c r="O4013" s="2" t="n"/>
      <c r="P4013" s="2" t="inlineStr">
        <is>
          <t>ГФФ: «ВОЛК И ТЕЛЕНОК» 1984 — по сверке другой фильм, не предложено</t>
        </is>
      </c>
    </row>
    <row r="4014">
      <c r="A4014" s="2" t="n">
        <v>4013</v>
      </c>
      <c r="B4014" s="2" t="inlineStr">
        <is>
          <t>короткая</t>
        </is>
      </c>
      <c r="C4014" s="2" t="n">
        <v>13232</v>
      </c>
      <c r="D4014" s="3" t="inlineStr">
        <is>
          <t>Жар-птица</t>
        </is>
      </c>
      <c r="E4014" s="2" t="n">
        <v>1974</v>
      </c>
      <c r="F4014" s="2" t="inlineStr">
        <is>
          <t>мультфильм</t>
        </is>
      </c>
      <c r="G4014" s="2" t="inlineStr">
        <is>
          <t>ТАЛЛИННФИЛЬМ</t>
        </is>
      </c>
      <c r="H4014" s="2" t="n">
        <v>88</v>
      </c>
      <c r="I4014" s="2" t="inlineStr"/>
      <c r="J4014" s="2" t="inlineStr"/>
      <c r="K4014" s="3" t="inlineStr">
        <is>
          <t>Черная кошка окрасила мир в черный цвет, а Жар-птица вернула земле и людям живые краски.</t>
        </is>
      </c>
      <c r="L4014" s="2" t="inlineStr">
        <is>
          <t>2026-10_мультфильмы_список_владельца.xlsx; https://animator.ru/db/?p=show_film&amp;fid=4474</t>
        </is>
      </c>
      <c r="M4014" s="2">
        <f>HYPERLINK("https://ru.wikipedia.org/w/index.php?search=%D0%96%D0%B0%D1%80-%D0%BF%D1%82%D0%B8%D1%86%D0%B0%201974%20%D1%84%D0%B8%D0%BB%D1%8C%D0%BC","искать")</f>
        <v/>
      </c>
      <c r="N4014" s="3" t="n"/>
      <c r="O4014" s="2" t="n"/>
      <c r="P4014" s="2" t="n"/>
    </row>
    <row r="4015">
      <c r="A4015" s="2" t="n">
        <v>4014</v>
      </c>
      <c r="B4015" s="2" t="inlineStr">
        <is>
          <t>короткая</t>
        </is>
      </c>
      <c r="C4015" s="2" t="n">
        <v>14080</v>
      </c>
      <c r="D4015" s="3" t="inlineStr">
        <is>
          <t>Хозяин ветров</t>
        </is>
      </c>
      <c r="E4015" s="2" t="n">
        <v>1984</v>
      </c>
      <c r="F4015" s="2" t="inlineStr">
        <is>
          <t>мультфильм</t>
        </is>
      </c>
      <c r="G4015" s="2" t="inlineStr">
        <is>
          <t>Свердловская киностудия</t>
        </is>
      </c>
      <c r="H4015" s="2" t="n">
        <v>88</v>
      </c>
      <c r="I4015" s="2" t="inlineStr"/>
      <c r="J4015" s="2" t="inlineStr"/>
      <c r="K4015" s="3" t="inlineStr">
        <is>
          <t>По мотивам немецкой сказки о том, как Хозяин Ветров наказал жадную сестру и помог доброй</t>
        </is>
      </c>
      <c r="L4015" s="2" t="inlineStr">
        <is>
          <t>https://animator.ru/db/?p=show_film&amp;fid=5477</t>
        </is>
      </c>
      <c r="M4015" s="2">
        <f>HYPERLINK("https://ru.wikipedia.org/w/index.php?search=%D0%A5%D0%BE%D0%B7%D1%8F%D0%B8%D0%BD%20%D0%B2%D0%B5%D1%82%D1%80%D0%BE%D0%B2%201984%20%D1%84%D0%B8%D0%BB%D1%8C%D0%BC","искать")</f>
        <v/>
      </c>
      <c r="N4015" s="3" t="n"/>
      <c r="O4015" s="2" t="n"/>
      <c r="P4015" s="2" t="n"/>
    </row>
    <row r="4016">
      <c r="A4016" s="2" t="n">
        <v>4015</v>
      </c>
      <c r="B4016" s="2" t="inlineStr">
        <is>
          <t>короткая</t>
        </is>
      </c>
      <c r="C4016" s="2" t="n">
        <v>9989</v>
      </c>
      <c r="D4016" s="3" t="inlineStr">
        <is>
          <t>Этюд для домино с роялем</t>
        </is>
      </c>
      <c r="E4016" s="2" t="n">
        <v>1982</v>
      </c>
      <c r="F4016" s="2" t="inlineStr">
        <is>
          <t>телефильм</t>
        </is>
      </c>
      <c r="G4016" s="2" t="inlineStr">
        <is>
          <t>ТО "Экран"</t>
        </is>
      </c>
      <c r="H4016" s="2" t="n">
        <v>89</v>
      </c>
      <c r="I4016" s="2" t="inlineStr"/>
      <c r="J4016" s="2" t="inlineStr"/>
      <c r="K4016" s="3" t="inlineStr">
        <is>
          <t>Веселый рассказ о появлении в доме нового жильца, который игрой на рояле сдружил соседей.</t>
        </is>
      </c>
      <c r="L4016" s="2" t="inlineStr">
        <is>
          <t>https://www.kino-teatr.ru/short/movie/sov/8121/annot/</t>
        </is>
      </c>
      <c r="M4016" s="2">
        <f>HYPERLINK("https://ru.wikipedia.org/w/index.php?search=%D0%AD%D1%82%D1%8E%D0%B4%20%D0%B4%D0%BB%D1%8F%20%D0%B4%D0%BE%D0%BC%D0%B8%D0%BD%D0%BE%20%D1%81%20%D1%80%D0%BE%D1%8F%D0%BB%D0%B5%D0%BC%201982%20%D1%84%D0%B8%D0%BB%D1%8C%D0%BC","искать")</f>
        <v/>
      </c>
      <c r="N4016" s="3" t="n"/>
      <c r="O4016" s="2" t="n"/>
      <c r="P4016" s="2" t="n"/>
    </row>
    <row r="4017">
      <c r="A4017" s="2" t="n">
        <v>4016</v>
      </c>
      <c r="B4017" s="2" t="inlineStr">
        <is>
          <t>короткая</t>
        </is>
      </c>
      <c r="C4017" s="2" t="n">
        <v>11528</v>
      </c>
      <c r="D4017" s="3" t="inlineStr">
        <is>
          <t>Загребфильм. Странная птица</t>
        </is>
      </c>
      <c r="E4017" s="2" t="n">
        <v>1969</v>
      </c>
      <c r="F4017" s="2" t="inlineStr">
        <is>
          <t>мультфильм</t>
        </is>
      </c>
      <c r="G4017" s="2" t="inlineStr">
        <is>
          <t>Союзмультфильм, ЗАГРЕБФИЛЬМ</t>
        </is>
      </c>
      <c r="H4017" s="2" t="n">
        <v>89</v>
      </c>
      <c r="I4017" s="2" t="inlineStr"/>
      <c r="J4017" s="2" t="inlineStr"/>
      <c r="K4017" s="3" t="inlineStr">
        <is>
          <t>У странной птицы вылупился будильник, но мать заботится о нем, как о родном. Для взрослых</t>
        </is>
      </c>
      <c r="L4017" s="2" t="inlineStr">
        <is>
          <t>https://animator.ru/db/?p=show_film&amp;fid=2299</t>
        </is>
      </c>
      <c r="M4017" s="2">
        <f>HYPERLINK("https://ru.wikipedia.org/w/index.php?search=%D0%97%D0%B0%D0%B3%D1%80%D0%B5%D0%B1%D1%84%D0%B8%D0%BB%D1%8C%D0%BC.%20%D0%A1%D1%82%D1%80%D0%B0%D0%BD%D0%BD%D0%B0%D1%8F%20%D0%BF%D1%82%D0%B8%D1%86%D0%B0%201969%20%D1%84%D0%B8%D0%BB%D1%8C%D0%BC","искать")</f>
        <v/>
      </c>
      <c r="N4017" s="3" t="n"/>
      <c r="O4017" s="2" t="n"/>
      <c r="P4017" s="2" t="n"/>
    </row>
    <row r="4018">
      <c r="A4018" s="2" t="n">
        <v>4017</v>
      </c>
      <c r="B4018" s="2" t="inlineStr">
        <is>
          <t>короткая</t>
        </is>
      </c>
      <c r="C4018" s="2" t="n">
        <v>11631</v>
      </c>
      <c r="D4018" s="3" t="inlineStr">
        <is>
          <t>Край Земли</t>
        </is>
      </c>
      <c r="E4018" s="2" t="n">
        <v>1971</v>
      </c>
      <c r="F4018" s="2" t="inlineStr">
        <is>
          <t>мультфильм</t>
        </is>
      </c>
      <c r="G4018" s="2" t="inlineStr">
        <is>
          <t>Союзмультфильм</t>
        </is>
      </c>
      <c r="H4018" s="2" t="n">
        <v>89</v>
      </c>
      <c r="I4018" s="2" t="inlineStr"/>
      <c r="J4018" s="2" t="inlineStr"/>
      <c r="K4018" s="3" t="inlineStr">
        <is>
          <t>Для малышей - о том, как ослик искал край Земли, но никак не мог дойти до линии горизонта</t>
        </is>
      </c>
      <c r="L4018" s="2" t="inlineStr">
        <is>
          <t>https://animator.ru/db/?p=show_film&amp;fid=2545</t>
        </is>
      </c>
      <c r="M4018" s="2">
        <f>HYPERLINK("https://ru.wikipedia.org/w/index.php?search=%D0%9A%D1%80%D0%B0%D0%B9%20%D0%97%D0%B5%D0%BC%D0%BB%D0%B8%201971%20%D1%84%D0%B8%D0%BB%D1%8C%D0%BC","искать")</f>
        <v/>
      </c>
      <c r="N4018" s="3" t="n"/>
      <c r="O4018" s="2" t="n"/>
      <c r="P4018" s="2" t="n"/>
    </row>
    <row r="4019">
      <c r="A4019" s="2" t="n">
        <v>4018</v>
      </c>
      <c r="B4019" s="2" t="inlineStr">
        <is>
          <t>короткая</t>
        </is>
      </c>
      <c r="C4019" s="2" t="n">
        <v>12106</v>
      </c>
      <c r="D4019" s="3" t="inlineStr">
        <is>
          <t>Всех поймал</t>
        </is>
      </c>
      <c r="E4019" s="2" t="n">
        <v>1989</v>
      </c>
      <c r="F4019" s="2" t="inlineStr">
        <is>
          <t>мультфильм</t>
        </is>
      </c>
      <c r="G4019" s="2" t="inlineStr">
        <is>
          <t>Союзмультфильм</t>
        </is>
      </c>
      <c r="H4019" s="2" t="n">
        <v>89</v>
      </c>
      <c r="I4019" s="2" t="inlineStr"/>
      <c r="J4019" s="2" t="inlineStr"/>
      <c r="K4019" s="3" t="inlineStr">
        <is>
          <t>Как два брата-близнеца и маленький автобус спасли от гибели бездомных животных. Для детей</t>
        </is>
      </c>
      <c r="L4019" s="2" t="inlineStr">
        <is>
          <t>https://animator.ru/db/?p=show_film&amp;fid=3222</t>
        </is>
      </c>
      <c r="M4019" s="2">
        <f>HYPERLINK("https://ru.wikipedia.org/w/index.php?search=%D0%92%D1%81%D0%B5%D1%85%20%D0%BF%D0%BE%D0%B9%D0%BC%D0%B0%D0%BB%201989%20%D1%84%D0%B8%D0%BB%D1%8C%D0%BC","искать")</f>
        <v/>
      </c>
      <c r="N4019" s="3" t="n"/>
      <c r="O4019" s="2" t="n"/>
      <c r="P4019" s="2" t="n"/>
    </row>
    <row r="4020">
      <c r="A4020" s="2" t="n">
        <v>4019</v>
      </c>
      <c r="B4020" s="2" t="inlineStr">
        <is>
          <t>короткая</t>
        </is>
      </c>
      <c r="C4020" s="2" t="n">
        <v>12423</v>
      </c>
      <c r="D4020" s="3" t="inlineStr">
        <is>
          <t>Капитошка</t>
        </is>
      </c>
      <c r="E4020" s="2" t="n">
        <v>1980</v>
      </c>
      <c r="F4020" s="2" t="inlineStr">
        <is>
          <t>мультфильм</t>
        </is>
      </c>
      <c r="G4020" s="2" t="inlineStr">
        <is>
          <t>КИЕВНАУЧФИЛЬМ</t>
        </is>
      </c>
      <c r="H4020" s="2" t="n">
        <v>89</v>
      </c>
      <c r="I4020" s="2" t="inlineStr"/>
      <c r="J4020" s="2" t="inlineStr"/>
      <c r="K4020" s="3" t="inlineStr">
        <is>
          <t>К одному начинающему волку явился Капитошка - оживший дождик - и буквально сотворил чудо.</t>
        </is>
      </c>
      <c r="L4020" s="2" t="inlineStr">
        <is>
          <t>2026-10_мультфильмы_список_владельца.xlsx; https://animator.ru/db/?p=show_film&amp;fid=3594</t>
        </is>
      </c>
      <c r="M4020" s="2">
        <f>HYPERLINK("https://ru.wikipedia.org/w/index.php?search=%D0%9A%D0%B0%D0%BF%D0%B8%D1%82%D0%BE%D1%88%D0%BA%D0%B0%201980%20%D1%84%D0%B8%D0%BB%D1%8C%D0%BC","искать")</f>
        <v/>
      </c>
      <c r="N4020" s="3" t="n"/>
      <c r="O4020" s="2" t="n"/>
      <c r="P4020" s="2" t="n"/>
    </row>
    <row r="4021">
      <c r="A4021" s="2" t="n">
        <v>4020</v>
      </c>
      <c r="B4021" s="2" t="inlineStr">
        <is>
          <t>короткая</t>
        </is>
      </c>
      <c r="C4021" s="2" t="n">
        <v>12946</v>
      </c>
      <c r="D4021" s="3" t="inlineStr">
        <is>
          <t>Паук и солнце</t>
        </is>
      </c>
      <c r="E4021" s="2" t="n">
        <v>1986</v>
      </c>
      <c r="F4021" s="2" t="inlineStr">
        <is>
          <t>мультфильм</t>
        </is>
      </c>
      <c r="G4021" s="2" t="inlineStr">
        <is>
          <t>ГРУЗИЯ-ФИЛЬМ - АО</t>
        </is>
      </c>
      <c r="H4021" s="2" t="n">
        <v>89</v>
      </c>
      <c r="I4021" s="2" t="inlineStr"/>
      <c r="J4021" s="2" t="inlineStr"/>
      <c r="K4021" s="3" t="inlineStr">
        <is>
          <t>О дружбе и взаимовыручке обитателей леса, объединившихся против злобного паука. Для детей</t>
        </is>
      </c>
      <c r="L4021" s="2" t="inlineStr">
        <is>
          <t>https://animator.ru/db/?p=show_film&amp;fid=4176</t>
        </is>
      </c>
      <c r="M4021" s="2">
        <f>HYPERLINK("https://ru.wikipedia.org/w/index.php?search=%D0%9F%D0%B0%D1%83%D0%BA%20%D0%B8%20%D1%81%D0%BE%D0%BB%D0%BD%D1%86%D0%B5%201986%20%D1%84%D0%B8%D0%BB%D1%8C%D0%BC","искать")</f>
        <v/>
      </c>
      <c r="N4021" s="3" t="n"/>
      <c r="O4021" s="2" t="n"/>
      <c r="P4021" s="2" t="n"/>
    </row>
    <row r="4022">
      <c r="A4022" s="2" t="n">
        <v>4021</v>
      </c>
      <c r="B4022" s="2" t="inlineStr">
        <is>
          <t>короткая</t>
        </is>
      </c>
      <c r="C4022" s="2" t="n">
        <v>13697</v>
      </c>
      <c r="D4022" s="3" t="inlineStr">
        <is>
          <t>Записки Пирата</t>
        </is>
      </c>
      <c r="E4022" s="2" t="n">
        <v>1989</v>
      </c>
      <c r="F4022" s="2" t="inlineStr">
        <is>
          <t>мультфильм</t>
        </is>
      </c>
      <c r="G4022" s="2" t="inlineStr">
        <is>
          <t>ЭКРАН</t>
        </is>
      </c>
      <c r="H4022" s="2" t="n">
        <v>89</v>
      </c>
      <c r="I4022" s="2" t="inlineStr"/>
      <c r="J4022" s="2" t="inlineStr"/>
      <c r="K4022" s="3" t="inlineStr">
        <is>
          <t>Умный пес Пират умеет писать, читать и даже вести дневник о своих приключениях. Для детей</t>
        </is>
      </c>
      <c r="L4022" s="2" t="inlineStr">
        <is>
          <t>https://animator.ru/db/?p=show_film&amp;fid=5090</t>
        </is>
      </c>
      <c r="M4022" s="2">
        <f>HYPERLINK("https://ru.wikipedia.org/w/index.php?search=%D0%97%D0%B0%D0%BF%D0%B8%D1%81%D0%BA%D0%B8%20%D0%9F%D0%B8%D1%80%D0%B0%D1%82%D0%B0%201989%20%D1%84%D0%B8%D0%BB%D1%8C%D0%BC","искать")</f>
        <v/>
      </c>
      <c r="N4022" s="3" t="n"/>
      <c r="O4022" s="2" t="n"/>
      <c r="P4022" s="2" t="n"/>
    </row>
    <row r="4023">
      <c r="A4023" s="2" t="n">
        <v>4022</v>
      </c>
      <c r="B4023" s="2" t="inlineStr">
        <is>
          <t>короткая</t>
        </is>
      </c>
      <c r="C4023" s="2" t="n">
        <v>13868</v>
      </c>
      <c r="D4023" s="3" t="inlineStr">
        <is>
          <t>Пьяные вишни</t>
        </is>
      </c>
      <c r="E4023" s="2" t="n">
        <v>1972</v>
      </c>
      <c r="F4023" s="2" t="inlineStr">
        <is>
          <t>мультфильм</t>
        </is>
      </c>
      <c r="G4023" s="2" t="inlineStr">
        <is>
          <t>ЭКРАН</t>
        </is>
      </c>
      <c r="H4023" s="2" t="n">
        <v>89</v>
      </c>
      <c r="I4023" s="2" t="inlineStr"/>
      <c r="J4023" s="2" t="inlineStr"/>
      <c r="K4023" s="3" t="inlineStr">
        <is>
          <t>О вреде алкоголизма. В какую беду попал петушок, поклевавший "пьяные" вишни. Для взрослых</t>
        </is>
      </c>
      <c r="L4023" s="2" t="inlineStr">
        <is>
          <t>https://animator.ru/db/?p=show_film&amp;fid=5261</t>
        </is>
      </c>
      <c r="M4023" s="2">
        <f>HYPERLINK("https://ru.wikipedia.org/w/index.php?search=%D0%9F%D1%8C%D1%8F%D0%BD%D1%8B%D0%B5%20%D0%B2%D0%B8%D1%88%D0%BD%D0%B8%201972%20%D1%84%D0%B8%D0%BB%D1%8C%D0%BC","искать")</f>
        <v/>
      </c>
      <c r="N4023" s="3" t="n"/>
      <c r="O4023" s="2" t="n"/>
      <c r="P4023" s="2" t="n"/>
    </row>
    <row r="4024">
      <c r="A4024" s="2" t="n">
        <v>4023</v>
      </c>
      <c r="B4024" s="2" t="inlineStr">
        <is>
          <t>короткая</t>
        </is>
      </c>
      <c r="C4024" s="2" t="n">
        <v>12010</v>
      </c>
      <c r="D4024" s="3" t="inlineStr">
        <is>
          <t>Каша из топора</t>
        </is>
      </c>
      <c r="E4024" s="2" t="n">
        <v>1982</v>
      </c>
      <c r="F4024" s="2" t="inlineStr">
        <is>
          <t>мультфильм</t>
        </is>
      </c>
      <c r="G4024" s="2" t="inlineStr">
        <is>
          <t>Союзмультфильм</t>
        </is>
      </c>
      <c r="H4024" s="2" t="n">
        <v>90</v>
      </c>
      <c r="I4024" s="2" t="inlineStr"/>
      <c r="J4024" s="2" t="inlineStr"/>
      <c r="K4024" s="3" t="inlineStr">
        <is>
          <t>Кукольный. По мотивам русских народных сказок о том, как находчивый солдат обманул жадину.</t>
        </is>
      </c>
      <c r="L4024" s="2" t="inlineStr">
        <is>
          <t>2026-10_мультфильмы_список_владельца.xlsx; https://animator.ru/db/?p=show_film&amp;fid=3124</t>
        </is>
      </c>
      <c r="M4024" s="2">
        <f>HYPERLINK("https://ru.wikipedia.org/w/index.php?search=%D0%9A%D0%B0%D1%88%D0%B0%20%D0%B8%D0%B7%20%D1%82%D0%BE%D0%BF%D0%BE%D1%80%D0%B0%201982%20%D1%84%D0%B8%D0%BB%D1%8C%D0%BC","искать")</f>
        <v/>
      </c>
      <c r="N4024" s="3" t="n"/>
      <c r="O4024" s="2" t="n"/>
      <c r="P4024" s="2" t="n"/>
    </row>
    <row r="4025">
      <c r="A4025" s="2" t="n">
        <v>4024</v>
      </c>
      <c r="B4025" s="2" t="inlineStr">
        <is>
          <t>короткая</t>
        </is>
      </c>
      <c r="C4025" s="2" t="n">
        <v>13470</v>
      </c>
      <c r="D4025" s="3" t="inlineStr">
        <is>
          <t>Клад</t>
        </is>
      </c>
      <c r="E4025" s="2" t="n">
        <v>1985</v>
      </c>
      <c r="F4025" s="2" t="inlineStr">
        <is>
          <t>мультфильм</t>
        </is>
      </c>
      <c r="G4025" s="2" t="inlineStr">
        <is>
          <t>МУЛЬТТЕЛЕФИЛЬМ ("Экран")</t>
        </is>
      </c>
      <c r="H4025" s="2" t="n">
        <v>90</v>
      </c>
      <c r="I4025" s="2" t="inlineStr"/>
      <c r="J4025" s="2" t="inlineStr"/>
      <c r="K4025" s="3" t="inlineStr">
        <is>
          <t>Компания зверушек в поисках клада обнаружила главное богатство пустыни - воду. Для малышей</t>
        </is>
      </c>
      <c r="L4025" s="2" t="inlineStr">
        <is>
          <t>https://animator.ru/db/?p=show_film&amp;fid=4754</t>
        </is>
      </c>
      <c r="M4025" s="2">
        <f>HYPERLINK("https://ru.wikipedia.org/w/index.php?search=%D0%9A%D0%BB%D0%B0%D0%B4%201985%20%D1%84%D0%B8%D0%BB%D1%8C%D0%BC","искать")</f>
        <v/>
      </c>
      <c r="N4025" s="3" t="n"/>
      <c r="O4025" s="2" t="n"/>
      <c r="P4025" s="2" t="n"/>
    </row>
    <row r="4026">
      <c r="A4026" s="2" t="n">
        <v>4025</v>
      </c>
      <c r="B4026" s="2" t="inlineStr">
        <is>
          <t>короткая</t>
        </is>
      </c>
      <c r="C4026" s="2" t="n">
        <v>13496</v>
      </c>
      <c r="D4026" s="3" t="inlineStr">
        <is>
          <t>Нехочуха</t>
        </is>
      </c>
      <c r="E4026" s="2" t="n">
        <v>1986</v>
      </c>
      <c r="F4026" s="2" t="inlineStr">
        <is>
          <t>мультфильм</t>
        </is>
      </c>
      <c r="G4026" s="2" t="inlineStr">
        <is>
          <t>ЭКРАН</t>
        </is>
      </c>
      <c r="H4026" s="2" t="n">
        <v>90</v>
      </c>
      <c r="I4026" s="2" t="inlineStr"/>
      <c r="J4026" s="2" t="inlineStr"/>
      <c r="K4026" s="3" t="inlineStr">
        <is>
          <t>"Не хочу! Не буду!"Как перестал лениться герой фильма, обитавший ранее в стране Нехочухии.</t>
        </is>
      </c>
      <c r="L4026" s="2" t="inlineStr">
        <is>
          <t>2026-10_мультфильмы_список_владельца.xlsx; https://animator.ru/db/?p=show_film&amp;fid=4786</t>
        </is>
      </c>
      <c r="M4026" s="2">
        <f>HYPERLINK("https://ru.wikipedia.org/w/index.php?search=%D0%9D%D0%B5%D1%85%D0%BE%D1%87%D1%83%D1%85%D0%B0%201986%20%D1%84%D0%B8%D0%BB%D1%8C%D0%BC","искать")</f>
        <v/>
      </c>
      <c r="N4026" s="3" t="n"/>
      <c r="O4026" s="2" t="n"/>
      <c r="P4026" s="2" t="n"/>
    </row>
    <row r="4027">
      <c r="A4027" s="2" t="n">
        <v>4026</v>
      </c>
      <c r="B4027" s="2" t="inlineStr">
        <is>
          <t>короткая</t>
        </is>
      </c>
      <c r="C4027" s="2" t="n">
        <v>14169</v>
      </c>
      <c r="D4027" s="3" t="inlineStr">
        <is>
          <t>Русские потешки</t>
        </is>
      </c>
      <c r="E4027" s="2" t="n">
        <v>1969</v>
      </c>
      <c r="F4027" s="2" t="inlineStr">
        <is>
          <t>мультфильм</t>
        </is>
      </c>
      <c r="G4027" s="2" t="inlineStr">
        <is>
          <t>СВЕРДЛОВСКТЕЛЕФИЛЬМ</t>
        </is>
      </c>
      <c r="H4027" s="2" t="n">
        <v>90</v>
      </c>
      <c r="I4027" s="2" t="inlineStr"/>
      <c r="J4027" s="2" t="inlineStr"/>
      <c r="K4027" s="3" t="inlineStr">
        <is>
          <t>Фильм знакомит со старинными народными инструментами: жалейкой, рожком, гуслями, трещоткой</t>
        </is>
      </c>
      <c r="L4027" s="2" t="inlineStr">
        <is>
          <t>https://animator.ru/db/?p=show_film&amp;fid=5567</t>
        </is>
      </c>
      <c r="M4027" s="2">
        <f>HYPERLINK("https://ru.wikipedia.org/w/index.php?search=%D0%A0%D1%83%D1%81%D1%81%D0%BA%D0%B8%D0%B5%20%D0%BF%D0%BE%D1%82%D0%B5%D1%88%D0%BA%D0%B8%201969%20%D1%84%D0%B8%D0%BB%D1%8C%D0%BC","искать")</f>
        <v/>
      </c>
      <c r="N4027" s="3" t="n"/>
      <c r="O4027" s="2" t="n"/>
      <c r="P4027" s="2" t="n"/>
    </row>
    <row r="4028">
      <c r="A4028" s="2" t="n">
        <v>4027</v>
      </c>
      <c r="B4028" s="2" t="inlineStr">
        <is>
          <t>короткая</t>
        </is>
      </c>
      <c r="C4028" s="2" t="n">
        <v>11582</v>
      </c>
      <c r="D4028" s="3" t="inlineStr">
        <is>
          <t>Котофей Котофеевич</t>
        </is>
      </c>
      <c r="E4028" s="2" t="n">
        <v>1937</v>
      </c>
      <c r="F4028" s="2" t="inlineStr">
        <is>
          <t>мультфильм</t>
        </is>
      </c>
      <c r="G4028" s="2" t="inlineStr">
        <is>
          <t>Союзмультфильм</t>
        </is>
      </c>
      <c r="H4028" s="2" t="n">
        <v>91</v>
      </c>
      <c r="I4028" s="2" t="inlineStr"/>
      <c r="J4028" s="2" t="inlineStr"/>
      <c r="K4028" s="3" t="inlineStr">
        <is>
          <t>Котофей Котофеевич и его друзья проучают коварную лису, которая идет на воротник жене кота.</t>
        </is>
      </c>
      <c r="L4028" s="2" t="inlineStr">
        <is>
          <t>2026-10_мультфильмы_список_владельца.xlsx; https://animator.ru/db/?p=show_film&amp;fid=2479</t>
        </is>
      </c>
      <c r="M4028" s="2">
        <f>HYPERLINK("https://ru.wikipedia.org/w/index.php?search=%D0%9A%D0%BE%D1%82%D0%BE%D1%84%D0%B5%D0%B9%20%D0%9A%D0%BE%D1%82%D0%BE%D1%84%D0%B5%D0%B5%D0%B2%D0%B8%D1%87%201937%20%D1%84%D0%B8%D0%BB%D1%8C%D0%BC","искать")</f>
        <v/>
      </c>
      <c r="N4028" s="3" t="n"/>
      <c r="O4028" s="2" t="n"/>
      <c r="P4028" s="2" t="n"/>
    </row>
    <row r="4029">
      <c r="A4029" s="2" t="n">
        <v>4028</v>
      </c>
      <c r="B4029" s="2" t="inlineStr">
        <is>
          <t>короткая</t>
        </is>
      </c>
      <c r="C4029" s="2" t="n">
        <v>12110</v>
      </c>
      <c r="D4029" s="3" t="inlineStr">
        <is>
          <t>Квартет для двух солистов</t>
        </is>
      </c>
      <c r="E4029" s="2" t="n">
        <v>1989</v>
      </c>
      <c r="F4029" s="2" t="inlineStr">
        <is>
          <t>мультфильм</t>
        </is>
      </c>
      <c r="G4029" s="2" t="inlineStr">
        <is>
          <t>Союзмультфильм</t>
        </is>
      </c>
      <c r="H4029" s="2" t="n">
        <v>91</v>
      </c>
      <c r="I4029" s="2" t="inlineStr"/>
      <c r="J4029" s="2" t="inlineStr"/>
      <c r="K4029" s="3" t="inlineStr">
        <is>
          <t>О коте и мышонке, которых сдружила музыка, и о хозяине дома, котороый разрушил эту гармонию</t>
        </is>
      </c>
      <c r="L4029" s="2" t="inlineStr">
        <is>
          <t>https://animator.ru/db/?p=show_film&amp;fid=3226</t>
        </is>
      </c>
      <c r="M4029" s="2">
        <f>HYPERLINK("https://ru.wikipedia.org/w/index.php?search=%D0%9A%D0%B2%D0%B0%D1%80%D1%82%D0%B5%D1%82%20%D0%B4%D0%BB%D1%8F%20%D0%B4%D0%B2%D1%83%D1%85%20%D1%81%D0%BE%D0%BB%D0%B8%D1%81%D1%82%D0%BE%D0%B2%201989%20%D1%84%D0%B8%D0%BB%D1%8C%D0%BC","искать")</f>
        <v/>
      </c>
      <c r="N4029" s="3" t="n"/>
      <c r="O4029" s="2" t="n"/>
      <c r="P4029" s="2" t="n"/>
    </row>
    <row r="4030">
      <c r="A4030" s="2" t="n">
        <v>4029</v>
      </c>
      <c r="B4030" s="2" t="inlineStr">
        <is>
          <t>короткая</t>
        </is>
      </c>
      <c r="C4030" s="2" t="n">
        <v>12350</v>
      </c>
      <c r="D4030" s="3" t="inlineStr">
        <is>
          <t>Два справедливых цыпленка</t>
        </is>
      </c>
      <c r="E4030" s="2" t="n">
        <v>1984</v>
      </c>
      <c r="F4030" s="2" t="inlineStr">
        <is>
          <t>мультфильм</t>
        </is>
      </c>
      <c r="G4030" s="2" t="inlineStr">
        <is>
          <t>КИЕВНАУЧФИЛЬМ</t>
        </is>
      </c>
      <c r="H4030" s="2" t="n">
        <v>91</v>
      </c>
      <c r="I4030" s="2" t="inlineStr"/>
      <c r="J4030" s="2" t="inlineStr"/>
      <c r="K4030" s="3" t="inlineStr">
        <is>
          <t>О том, как два добрых, благородных цыпленка помогли заколдованному Журавлю обрести свободу.</t>
        </is>
      </c>
      <c r="L4030" s="2" t="inlineStr">
        <is>
          <t>2026-10_мультфильмы_список_владельца.xlsx; https://animator.ru/db/?p=show_film&amp;fid=3517</t>
        </is>
      </c>
      <c r="M4030" s="2">
        <f>HYPERLINK("https://ru.wikipedia.org/w/index.php?search=%D0%94%D0%B2%D0%B0%20%D1%81%D0%BF%D1%80%D0%B0%D0%B2%D0%B5%D0%B4%D0%BB%D0%B8%D0%B2%D1%8B%D1%85%20%D1%86%D1%8B%D0%BF%D0%BB%D0%B5%D0%BD%D0%BA%D0%B0%201984%20%D1%84%D0%B8%D0%BB%D1%8C%D0%BC","искать")</f>
        <v/>
      </c>
      <c r="N4030" s="3" t="n"/>
      <c r="O4030" s="2" t="n"/>
      <c r="P4030" s="2" t="n"/>
    </row>
    <row r="4031">
      <c r="A4031" s="2" t="n">
        <v>4030</v>
      </c>
      <c r="B4031" s="2" t="inlineStr">
        <is>
          <t>короткая</t>
        </is>
      </c>
      <c r="C4031" s="2" t="n">
        <v>12731</v>
      </c>
      <c r="D4031" s="3" t="inlineStr">
        <is>
          <t>Принцесса Мимо</t>
        </is>
      </c>
      <c r="E4031" s="2" t="n">
        <v>1991</v>
      </c>
      <c r="F4031" s="2" t="inlineStr">
        <is>
          <t>мультфильм</t>
        </is>
      </c>
      <c r="G4031" s="2" t="inlineStr">
        <is>
          <t>БИРЛИК</t>
        </is>
      </c>
      <c r="H4031" s="2" t="n">
        <v>91</v>
      </c>
      <c r="I4031" s="2" t="inlineStr"/>
      <c r="J4031" s="2" t="inlineStr"/>
      <c r="K4031" s="3" t="inlineStr">
        <is>
          <t>О том, как два Рыжих клоуна помогли Принцессе-Мимо спастись от козней злодея Белого клоуна.</t>
        </is>
      </c>
      <c r="L4031" s="2" t="inlineStr">
        <is>
          <t>https://animator.ru/db/?p=show_film&amp;fid=3937</t>
        </is>
      </c>
      <c r="M4031" s="2">
        <f>HYPERLINK("https://ru.wikipedia.org/w/index.php?search=%D0%9F%D1%80%D0%B8%D0%BD%D1%86%D0%B5%D1%81%D1%81%D0%B0%20%D0%9C%D0%B8%D0%BC%D0%BE%201991%20%D1%84%D0%B8%D0%BB%D1%8C%D0%BC","искать")</f>
        <v/>
      </c>
      <c r="N4031" s="3" t="n"/>
      <c r="O4031" s="2" t="n"/>
      <c r="P4031" s="2" t="n"/>
    </row>
    <row r="4032">
      <c r="A4032" s="2" t="n">
        <v>4031</v>
      </c>
      <c r="B4032" s="2" t="inlineStr">
        <is>
          <t>короткая</t>
        </is>
      </c>
      <c r="C4032" s="2" t="n">
        <v>13004</v>
      </c>
      <c r="D4032" s="3" t="inlineStr">
        <is>
          <t>Про тигренка, который ничего не боялся</t>
        </is>
      </c>
      <c r="E4032" s="2" t="n">
        <v>1986</v>
      </c>
      <c r="F4032" s="2" t="inlineStr">
        <is>
          <t>мультфильм</t>
        </is>
      </c>
      <c r="G4032" s="2" t="inlineStr">
        <is>
          <t>КАЗАХФИЛЬМ</t>
        </is>
      </c>
      <c r="H4032" s="2" t="n">
        <v>91</v>
      </c>
      <c r="I4032" s="2" t="inlineStr"/>
      <c r="J4032" s="2" t="inlineStr"/>
      <c r="K4032" s="3" t="inlineStr">
        <is>
          <t>Лишь однажды тигренок и спытал страх - за своего друга синичку, которому угрожала опасность</t>
        </is>
      </c>
      <c r="L4032" s="2" t="inlineStr">
        <is>
          <t>https://animator.ru/db/?p=show_film&amp;fid=4236</t>
        </is>
      </c>
      <c r="M4032" s="2">
        <f>HYPERLINK("https://ru.wikipedia.org/w/index.php?search=%D0%9F%D1%80%D0%BE%20%D1%82%D0%B8%D0%B3%D1%80%D0%B5%D0%BD%D0%BA%D0%B0%2C%20%D0%BA%D0%BE%D1%82%D0%BE%D1%80%D1%8B%D0%B9%20%D0%BD%D0%B8%D1%87%D0%B5%D0%B3%D0%BE%20%D0%BD%D0%B5%20%D0%B1%D0%BE%D1%8F%D0%BB%D1%81%D1%8F%201986%20%D1%84%D0%B8%D0%BB%D1%8C%D0%BC","искать")</f>
        <v/>
      </c>
      <c r="N4032" s="3" t="n"/>
      <c r="O4032" s="2" t="n"/>
      <c r="P4032" s="2" t="n"/>
    </row>
    <row r="4033">
      <c r="A4033" s="2" t="n">
        <v>4032</v>
      </c>
      <c r="B4033" s="2" t="inlineStr">
        <is>
          <t>короткая</t>
        </is>
      </c>
      <c r="C4033" s="2" t="n">
        <v>13836</v>
      </c>
      <c r="D4033" s="3" t="inlineStr">
        <is>
          <t>Портрет</t>
        </is>
      </c>
      <c r="E4033" s="2" t="n">
        <v>1987</v>
      </c>
      <c r="F4033" s="2" t="inlineStr">
        <is>
          <t>мультфильм</t>
        </is>
      </c>
      <c r="G4033" s="2" t="inlineStr">
        <is>
          <t>ЭКРАН</t>
        </is>
      </c>
      <c r="H4033" s="2" t="n">
        <v>91</v>
      </c>
      <c r="I4033" s="2" t="inlineStr"/>
      <c r="J4033" s="2" t="inlineStr"/>
      <c r="K4033" s="3" t="inlineStr">
        <is>
          <t>О подхалиме-художнике, который приукрашивает модель, рисуя портрет начальника. Для взрослых</t>
        </is>
      </c>
      <c r="L4033" s="2" t="inlineStr">
        <is>
          <t>https://animator.ru/db/?p=show_film&amp;fid=5229</t>
        </is>
      </c>
      <c r="M4033" s="2">
        <f>HYPERLINK("https://ru.wikipedia.org/w/index.php?search=%D0%9F%D0%BE%D1%80%D1%82%D1%80%D0%B5%D1%82%201987%20%D1%84%D0%B8%D0%BB%D1%8C%D0%BC","искать")</f>
        <v/>
      </c>
      <c r="N4033" s="3" t="n"/>
      <c r="O4033" s="2" t="n"/>
      <c r="P4033" s="2" t="n"/>
    </row>
    <row r="4034">
      <c r="A4034" s="2" t="n">
        <v>4033</v>
      </c>
      <c r="B4034" s="2" t="inlineStr">
        <is>
          <t>короткая</t>
        </is>
      </c>
      <c r="C4034" s="2" t="n">
        <v>14369</v>
      </c>
      <c r="D4034" s="3" t="inlineStr">
        <is>
          <t>Брак</t>
        </is>
      </c>
      <c r="E4034" s="2" t="n">
        <v>1987</v>
      </c>
      <c r="F4034" s="2" t="inlineStr">
        <is>
          <t>мультфильм</t>
        </is>
      </c>
      <c r="G4034" s="2" t="inlineStr">
        <is>
          <t>Союзмультфильм</t>
        </is>
      </c>
      <c r="H4034" s="2" t="n">
        <v>91</v>
      </c>
      <c r="I4034" s="2" t="inlineStr"/>
      <c r="J4034" s="2" t="inlineStr"/>
      <c r="K4034" s="3" t="inlineStr">
        <is>
          <t>История знакомства, любви, женитьбы и семейной жизни, рассказанная при помощи двух веревок.</t>
        </is>
      </c>
      <c r="L4034" s="2" t="inlineStr">
        <is>
          <t>https://animator.ru/db/?p=show_film&amp;fid=6198</t>
        </is>
      </c>
      <c r="M4034" s="2">
        <f>HYPERLINK("https://ru.wikipedia.org/w/index.php?search=%D0%91%D1%80%D0%B0%D0%BA%201987%20%D1%84%D0%B8%D0%BB%D1%8C%D0%BC","искать")</f>
        <v/>
      </c>
      <c r="N4034" s="3" t="n"/>
      <c r="O4034" s="2" t="n"/>
      <c r="P4034" s="2" t="n"/>
    </row>
    <row r="4035">
      <c r="A4035" s="2" t="n">
        <v>4034</v>
      </c>
      <c r="B4035" s="2" t="inlineStr">
        <is>
          <t>короткая</t>
        </is>
      </c>
      <c r="C4035" s="2" t="n">
        <v>14378</v>
      </c>
      <c r="D4035" s="3" t="inlineStr">
        <is>
          <t>ХОДЖА НАСРЕДДИН. Фильм второй</t>
        </is>
      </c>
      <c r="E4035" s="2" t="n">
        <v>1983</v>
      </c>
      <c r="F4035" s="2" t="inlineStr">
        <is>
          <t>мультфильм</t>
        </is>
      </c>
      <c r="G4035" s="2" t="n"/>
      <c r="H4035" s="2" t="n">
        <v>91</v>
      </c>
      <c r="I4035" s="2" t="inlineStr"/>
      <c r="J4035" s="2" t="inlineStr"/>
      <c r="K4035" s="3" t="inlineStr">
        <is>
          <t>По мотивам узбекских народных сказок о похождениях весёлого и находчивого Ходжи Насреддина.</t>
        </is>
      </c>
      <c r="L4035" s="2" t="inlineStr">
        <is>
          <t>https://animator.ru/db/?p=show_film&amp;fid=6312</t>
        </is>
      </c>
      <c r="M4035" s="2">
        <f>HYPERLINK("https://ru.wikipedia.org/w/index.php?search=%D0%A5%D0%9E%D0%94%D0%96%D0%90%20%D0%9D%D0%90%D0%A1%D0%A0%D0%95%D0%94%D0%94%D0%98%D0%9D.%20%D0%A4%D0%B8%D0%BB%D1%8C%D0%BC%20%D0%B2%D1%82%D0%BE%D1%80%D0%BE%D0%B9%201983%20%D1%84%D0%B8%D0%BB%D1%8C%D0%BC","искать")</f>
        <v/>
      </c>
      <c r="N4035" s="3" t="n"/>
      <c r="O4035" s="2" t="n"/>
      <c r="P4035" s="2" t="n"/>
    </row>
    <row r="4036">
      <c r="A4036" s="2" t="n">
        <v>4035</v>
      </c>
      <c r="B4036" s="2" t="inlineStr">
        <is>
          <t>короткая</t>
        </is>
      </c>
      <c r="C4036" s="2" t="n">
        <v>7590</v>
      </c>
      <c r="D4036" s="3" t="inlineStr">
        <is>
          <t>Жених и невеста</t>
        </is>
      </c>
      <c r="E4036" s="2" t="n">
        <v>1970</v>
      </c>
      <c r="F4036" s="2" t="inlineStr">
        <is>
          <t>телефильм</t>
        </is>
      </c>
      <c r="G4036" s="2" t="n"/>
      <c r="H4036" s="2" t="n">
        <v>92</v>
      </c>
      <c r="I4036" s="2" t="inlineStr"/>
      <c r="J4036" s="2" t="inlineStr"/>
      <c r="K4036" s="3" t="inlineStr">
        <is>
          <t>Музыкальная кинокомедия о любви красавицы-таджички Гульноры и певца из Азербайджана Рустама.</t>
        </is>
      </c>
      <c r="L4036" s="2" t="inlineStr">
        <is>
          <t>Кино_СССР сводный каталог.xlsx: список телефильмов</t>
        </is>
      </c>
      <c r="M4036" s="2">
        <f>HYPERLINK("https://ru.wikipedia.org/w/index.php?search=%D0%96%D0%B5%D0%BD%D0%B8%D1%85%20%D0%B8%20%D0%BD%D0%B5%D0%B2%D0%B5%D1%81%D1%82%D0%B0%201970%20%D1%84%D0%B8%D0%BB%D1%8C%D0%BC","искать")</f>
        <v/>
      </c>
      <c r="N4036" s="3" t="n"/>
      <c r="O4036" s="2" t="n"/>
      <c r="P4036" s="2" t="n"/>
    </row>
    <row r="4037">
      <c r="A4037" s="2" t="n">
        <v>4036</v>
      </c>
      <c r="B4037" s="2" t="inlineStr">
        <is>
          <t>короткая</t>
        </is>
      </c>
      <c r="C4037" s="2" t="n">
        <v>8357</v>
      </c>
      <c r="D4037" s="3" t="inlineStr">
        <is>
          <t>Следствие ведут Знатоки</t>
        </is>
      </c>
      <c r="E4037" s="2" t="n">
        <v>1971</v>
      </c>
      <c r="F4037" s="2" t="inlineStr">
        <is>
          <t>телефильм</t>
        </is>
      </c>
      <c r="G4037" s="2" t="n"/>
      <c r="H4037" s="2" t="n">
        <v>92</v>
      </c>
      <c r="I4037" s="2" t="inlineStr"/>
      <c r="J4037" s="2" t="inlineStr"/>
      <c r="K4037" s="3" t="inlineStr">
        <is>
          <t>Трое следователей МУРа - Знаменский, Томин и Кибрит (ЗнаТоКи) - распутывают сложнейшие дела.</t>
        </is>
      </c>
      <c r="L4037" s="2" t="inlineStr">
        <is>
          <t>Кино_СССР сводный каталог.xlsx: список телефильмов</t>
        </is>
      </c>
      <c r="M4037" s="2">
        <f>HYPERLINK("https://ru.wikipedia.org/w/index.php?search=%D0%A1%D0%BB%D0%B5%D0%B4%D1%81%D1%82%D0%B2%D0%B8%D0%B5%20%D0%B2%D0%B5%D0%B4%D1%83%D1%82%20%D0%97%D0%BD%D0%B0%D1%82%D0%BE%D0%BA%D0%B8%201971%20%D1%84%D0%B8%D0%BB%D1%8C%D0%BC","искать")</f>
        <v/>
      </c>
      <c r="N4037" s="3" t="n"/>
      <c r="O4037" s="2" t="n"/>
      <c r="P4037" s="2" t="n"/>
    </row>
    <row r="4038">
      <c r="A4038" s="2" t="n">
        <v>4037</v>
      </c>
      <c r="B4038" s="2" t="inlineStr">
        <is>
          <t>короткая</t>
        </is>
      </c>
      <c r="C4038" s="2" t="n">
        <v>11690</v>
      </c>
      <c r="D4038" s="3" t="inlineStr">
        <is>
          <t>Фока - на все руки дока</t>
        </is>
      </c>
      <c r="E4038" s="2" t="n">
        <v>1972</v>
      </c>
      <c r="F4038" s="2" t="inlineStr">
        <is>
          <t>мультфильм</t>
        </is>
      </c>
      <c r="G4038" s="2" t="inlineStr">
        <is>
          <t>Союзмультфильм</t>
        </is>
      </c>
      <c r="H4038" s="2" t="n">
        <v>92</v>
      </c>
      <c r="I4038" s="2" t="inlineStr"/>
      <c r="J4038" s="2" t="inlineStr"/>
      <c r="K4038" s="3" t="inlineStr">
        <is>
          <t>По сказке Е.Пермяка.О том, как мужик Фока выполнял царские задания вместо женихов принцессы.</t>
        </is>
      </c>
      <c r="L4038" s="2" t="inlineStr">
        <is>
          <t>2026-10_мультфильмы_список_владельца.xlsx; https://animator.ru/db/?p=show_film&amp;fid=2604</t>
        </is>
      </c>
      <c r="M4038" s="2">
        <f>HYPERLINK("https://ru.wikipedia.org/w/index.php?search=%D0%A4%D0%BE%D0%BA%D0%B0%20-%20%D0%BD%D0%B0%20%D0%B2%D1%81%D0%B5%20%D1%80%D1%83%D0%BA%D0%B8%20%D0%B4%D0%BE%D0%BA%D0%B0%201972%20%D1%84%D0%B8%D0%BB%D1%8C%D0%BC","искать")</f>
        <v/>
      </c>
      <c r="N4038" s="3" t="n"/>
      <c r="O4038" s="2" t="n"/>
      <c r="P4038" s="2" t="n"/>
    </row>
    <row r="4039">
      <c r="A4039" s="2" t="n">
        <v>4038</v>
      </c>
      <c r="B4039" s="2" t="inlineStr">
        <is>
          <t>короткая</t>
        </is>
      </c>
      <c r="C4039" s="2" t="n">
        <v>11870</v>
      </c>
      <c r="D4039" s="3" t="inlineStr">
        <is>
          <t>Жирафа и очки</t>
        </is>
      </c>
      <c r="E4039" s="2" t="n">
        <v>1978</v>
      </c>
      <c r="F4039" s="2" t="inlineStr">
        <is>
          <t>мультфильм</t>
        </is>
      </c>
      <c r="G4039" s="2" t="inlineStr">
        <is>
          <t>Союзмультфильм</t>
        </is>
      </c>
      <c r="H4039" s="2" t="n">
        <v>92</v>
      </c>
      <c r="I4039" s="2" t="inlineStr"/>
      <c r="J4039" s="2" t="inlineStr"/>
      <c r="K4039" s="3" t="inlineStr">
        <is>
          <t>Жирафа растранжирила деньги на массу ненужных вещей, и на необходимые очки денег не хватило.</t>
        </is>
      </c>
      <c r="L4039" s="2" t="inlineStr">
        <is>
          <t>2026-10_мультфильмы_список_владельца.xlsx; https://animator.ru/db/?p=show_film&amp;fid=2785</t>
        </is>
      </c>
      <c r="M4039" s="2">
        <f>HYPERLINK("https://ru.wikipedia.org/w/index.php?search=%D0%96%D0%B8%D1%80%D0%B0%D1%84%D0%B0%20%D0%B8%20%D0%BE%D1%87%D0%BA%D0%B8%201978%20%D1%84%D0%B8%D0%BB%D1%8C%D0%BC","искать")</f>
        <v/>
      </c>
      <c r="N4039" s="3" t="n"/>
      <c r="O4039" s="2" t="n"/>
      <c r="P4039" s="2" t="n"/>
    </row>
    <row r="4040">
      <c r="A4040" s="2" t="n">
        <v>4039</v>
      </c>
      <c r="B4040" s="2" t="inlineStr">
        <is>
          <t>короткая</t>
        </is>
      </c>
      <c r="C4040" s="2" t="n">
        <v>12279</v>
      </c>
      <c r="D4040" s="3" t="inlineStr">
        <is>
          <t>Кот и Ко</t>
        </is>
      </c>
      <c r="E4040" s="2" t="n">
        <v>1990</v>
      </c>
      <c r="F4040" s="2" t="inlineStr">
        <is>
          <t>мультфильм</t>
        </is>
      </c>
      <c r="G4040" s="2" t="inlineStr">
        <is>
          <t>Союзмультфильм</t>
        </is>
      </c>
      <c r="H4040" s="2" t="n">
        <v>92</v>
      </c>
      <c r="I4040" s="2" t="inlineStr"/>
      <c r="J4040" s="2" t="inlineStr"/>
      <c r="K4040" s="3" t="inlineStr">
        <is>
          <t>Анимационный лубок, пародирующий старинный сюжет о том, как мыши кота хоронили. Для взрослых</t>
        </is>
      </c>
      <c r="L4040" s="2" t="inlineStr">
        <is>
          <t>https://animator.ru/db/?p=show_film&amp;fid=3396</t>
        </is>
      </c>
      <c r="M4040" s="2">
        <f>HYPERLINK("https://ru.wikipedia.org/w/index.php?search=%D0%9A%D0%BE%D1%82%20%D0%B8%20%D0%9A%D0%BE%201990%20%D1%84%D0%B8%D0%BB%D1%8C%D0%BC","искать")</f>
        <v/>
      </c>
      <c r="N4040" s="3" t="n"/>
      <c r="O4040" s="2" t="n"/>
      <c r="P4040" s="2" t="n"/>
    </row>
    <row r="4041">
      <c r="A4041" s="2" t="n">
        <v>4040</v>
      </c>
      <c r="B4041" s="2" t="inlineStr">
        <is>
          <t>короткая</t>
        </is>
      </c>
      <c r="C4041" s="2" t="n">
        <v>13330</v>
      </c>
      <c r="D4041" s="3" t="inlineStr">
        <is>
          <t>Как нашли друга</t>
        </is>
      </c>
      <c r="E4041" s="2" t="n">
        <v>1981</v>
      </c>
      <c r="F4041" s="2" t="inlineStr">
        <is>
          <t>мультфильм</t>
        </is>
      </c>
      <c r="G4041" s="2" t="inlineStr">
        <is>
          <t>МОЛДОВА-ФИЛЬМ</t>
        </is>
      </c>
      <c r="H4041" s="2" t="n">
        <v>92</v>
      </c>
      <c r="I4041" s="2" t="inlineStr"/>
      <c r="J4041" s="2" t="inlineStr"/>
      <c r="K4041" s="3" t="inlineStr">
        <is>
          <t>По стихам В. Берестова. О том, как детишки из первобытной семьи, нашли своего первого друга.</t>
        </is>
      </c>
      <c r="L4041" s="2" t="inlineStr">
        <is>
          <t>2026-10_мультфильмы_список_владельца.xlsx; https://animator.ru/db/?p=show_film&amp;fid=4600</t>
        </is>
      </c>
      <c r="M4041" s="2">
        <f>HYPERLINK("https://ru.wikipedia.org/w/index.php?search=%D0%9A%D0%B0%D0%BA%20%D0%BD%D0%B0%D1%88%D0%BB%D0%B8%20%D0%B4%D1%80%D1%83%D0%B3%D0%B0%201981%20%D1%84%D0%B8%D0%BB%D1%8C%D0%BC","искать")</f>
        <v/>
      </c>
      <c r="N4041" s="3" t="n"/>
      <c r="O4041" s="2" t="n"/>
      <c r="P4041" s="2" t="n"/>
    </row>
    <row r="4042">
      <c r="A4042" s="2" t="n">
        <v>4041</v>
      </c>
      <c r="B4042" s="2" t="inlineStr">
        <is>
          <t>короткая</t>
        </is>
      </c>
      <c r="C4042" s="2" t="n">
        <v>10022</v>
      </c>
      <c r="D4042" s="3" t="inlineStr">
        <is>
          <t>Покушение</t>
        </is>
      </c>
      <c r="E4042" s="2" t="n">
        <v>1987</v>
      </c>
      <c r="F4042" s="2" t="inlineStr">
        <is>
          <t>телефильм</t>
        </is>
      </c>
      <c r="G4042" s="2" t="inlineStr">
        <is>
          <t>ТО "Экран"</t>
        </is>
      </c>
      <c r="H4042" s="2" t="n">
        <v>93</v>
      </c>
      <c r="I4042" s="2" t="inlineStr"/>
      <c r="J4042" s="2" t="inlineStr"/>
      <c r="K4042" s="3" t="inlineStr">
        <is>
          <t>Эксцентрическая комедия о своеобразном возвращении спившегося строителя Феди к трезвой жизни.</t>
        </is>
      </c>
      <c r="L4042" s="2" t="inlineStr">
        <is>
          <t>https://www.kino-teatr.ru/short/movie/sov/5344/annot/</t>
        </is>
      </c>
      <c r="M4042" s="2">
        <f>HYPERLINK("https://ru.wikipedia.org/w/index.php?search=%D0%9F%D0%BE%D0%BA%D1%83%D1%88%D0%B5%D0%BD%D0%B8%D0%B5%201987%20%D1%84%D0%B8%D0%BB%D1%8C%D0%BC","искать")</f>
        <v/>
      </c>
      <c r="N4042" s="3" t="n"/>
      <c r="O4042" s="2" t="n"/>
      <c r="P4042" s="2" t="n"/>
    </row>
    <row r="4043">
      <c r="A4043" s="2" t="n">
        <v>4042</v>
      </c>
      <c r="B4043" s="2" t="inlineStr">
        <is>
          <t>короткая</t>
        </is>
      </c>
      <c r="C4043" s="2" t="n">
        <v>11674</v>
      </c>
      <c r="D4043" s="3" t="inlineStr">
        <is>
          <t>Лошарик</t>
        </is>
      </c>
      <c r="E4043" s="2" t="n">
        <v>1971</v>
      </c>
      <c r="F4043" s="2" t="inlineStr">
        <is>
          <t>мультфильм</t>
        </is>
      </c>
      <c r="G4043" s="2" t="inlineStr">
        <is>
          <t>Союзмультфильм</t>
        </is>
      </c>
      <c r="H4043" s="2" t="n">
        <v>93</v>
      </c>
      <c r="I4043" s="2" t="inlineStr"/>
      <c r="J4043" s="2" t="inlineStr"/>
      <c r="K4043" s="3" t="inlineStr">
        <is>
          <t>Про цирковую лошадку из деревянных шариков, которая лучше всех выступала в цирке. Для малышей</t>
        </is>
      </c>
      <c r="L4043" s="2" t="inlineStr">
        <is>
          <t>https://animator.ru/db/?p=show_film&amp;fid=2588</t>
        </is>
      </c>
      <c r="M4043" s="2">
        <f>HYPERLINK("https://ru.wikipedia.org/w/index.php?search=%D0%9B%D0%BE%D1%88%D0%B0%D1%80%D0%B8%D0%BA%201971%20%D1%84%D0%B8%D0%BB%D1%8C%D0%BC","искать")</f>
        <v/>
      </c>
      <c r="N4043" s="3" t="n"/>
      <c r="O4043" s="2" t="n"/>
      <c r="P4043" s="2" t="n"/>
    </row>
    <row r="4044">
      <c r="A4044" s="2" t="n">
        <v>4043</v>
      </c>
      <c r="B4044" s="2" t="inlineStr">
        <is>
          <t>короткая</t>
        </is>
      </c>
      <c r="C4044" s="2" t="n">
        <v>11919</v>
      </c>
      <c r="D4044" s="3" t="inlineStr">
        <is>
          <t>Последние волшебники</t>
        </is>
      </c>
      <c r="E4044" s="2" t="n">
        <v>1979</v>
      </c>
      <c r="F4044" s="2" t="inlineStr">
        <is>
          <t>мультфильм</t>
        </is>
      </c>
      <c r="G4044" s="2" t="inlineStr">
        <is>
          <t>Союзмультфильм</t>
        </is>
      </c>
      <c r="H4044" s="2" t="n">
        <v>93</v>
      </c>
      <c r="I4044" s="2" t="inlineStr"/>
      <c r="J4044" s="2" t="inlineStr"/>
      <c r="K4044" s="3" t="inlineStr">
        <is>
          <t>Волшебники не могут найти себе применение в современной жизни и устраиваются работать нянями.</t>
        </is>
      </c>
      <c r="L4044" s="2" t="inlineStr">
        <is>
          <t>https://animator.ru/db/?p=show_film&amp;fid=2834</t>
        </is>
      </c>
      <c r="M4044" s="2">
        <f>HYPERLINK("https://ru.wikipedia.org/w/index.php?search=%D0%9F%D0%BE%D1%81%D0%BB%D0%B5%D0%B4%D0%BD%D0%B8%D0%B5%20%D0%B2%D0%BE%D0%BB%D1%88%D0%B5%D0%B1%D0%BD%D0%B8%D0%BA%D0%B8%201979%20%D1%84%D0%B8%D0%BB%D1%8C%D0%BC","искать")</f>
        <v/>
      </c>
      <c r="N4044" s="3" t="n"/>
      <c r="O4044" s="2" t="n"/>
      <c r="P4044" s="2" t="n"/>
    </row>
    <row r="4045">
      <c r="A4045" s="2" t="n">
        <v>4044</v>
      </c>
      <c r="B4045" s="2" t="inlineStr">
        <is>
          <t>короткая</t>
        </is>
      </c>
      <c r="C4045" s="2" t="n">
        <v>12293</v>
      </c>
      <c r="D4045" s="3" t="inlineStr">
        <is>
          <t>Три лягушонка ч.3</t>
        </is>
      </c>
      <c r="E4045" s="2" t="n">
        <v>1990</v>
      </c>
      <c r="F4045" s="2" t="inlineStr">
        <is>
          <t>мультфильм</t>
        </is>
      </c>
      <c r="G4045" s="2" t="inlineStr">
        <is>
          <t>Союзмультфильм</t>
        </is>
      </c>
      <c r="H4045" s="2" t="n">
        <v>93</v>
      </c>
      <c r="I4045" s="2" t="inlineStr"/>
      <c r="J4045" s="2" t="inlineStr"/>
      <c r="K4045" s="3" t="inlineStr">
        <is>
          <t>В этом мультфильме три малыша-лягушонка познакомились с лягушкой и отправились к ней в гости.</t>
        </is>
      </c>
      <c r="L4045" s="2" t="inlineStr">
        <is>
          <t>2026-10_мультфильмы_список_владельца.xlsx; https://animator.ru/db/?p=show_film&amp;fid=3410</t>
        </is>
      </c>
      <c r="M4045" s="2">
        <f>HYPERLINK("https://ru.wikipedia.org/w/index.php?search=%D0%A2%D1%80%D0%B8%20%D0%BB%D1%8F%D0%B3%D1%83%D1%88%D0%BE%D0%BD%D0%BA%D0%B0%20%D1%87.3%201990%20%D1%84%D0%B8%D0%BB%D1%8C%D0%BC","искать")</f>
        <v/>
      </c>
      <c r="N4045" s="3" t="n"/>
      <c r="O4045" s="2" t="n"/>
      <c r="P4045" s="2" t="n"/>
    </row>
    <row r="4046">
      <c r="A4046" s="2" t="n">
        <v>4045</v>
      </c>
      <c r="B4046" s="2" t="inlineStr">
        <is>
          <t>короткая</t>
        </is>
      </c>
      <c r="C4046" s="2" t="n">
        <v>12443</v>
      </c>
      <c r="D4046" s="3" t="inlineStr">
        <is>
          <t>Легенда о пламенном сердце</t>
        </is>
      </c>
      <c r="E4046" s="2" t="n">
        <v>1967</v>
      </c>
      <c r="F4046" s="2" t="inlineStr">
        <is>
          <t>мультфильм</t>
        </is>
      </c>
      <c r="G4046" s="2" t="inlineStr">
        <is>
          <t>КИЕВНАУЧФИЛЬМ</t>
        </is>
      </c>
      <c r="H4046" s="2" t="n">
        <v>93</v>
      </c>
      <c r="I4046" s="2" t="inlineStr"/>
      <c r="J4046" s="2" t="inlineStr"/>
      <c r="K4046" s="3" t="inlineStr">
        <is>
          <t>По мотивам рассказа Горького "Старуха Изергиль" - о гордом Данко, отдавшем людям свое сердце.</t>
        </is>
      </c>
      <c r="L4046" s="2" t="inlineStr">
        <is>
          <t>2026-10_мультфильмы_список_владельца.xlsx; https://animator.ru/db/?p=show_film&amp;fid=3614</t>
        </is>
      </c>
      <c r="M4046" s="2">
        <f>HYPERLINK("https://ru.wikipedia.org/w/index.php?search=%D0%9B%D0%B5%D0%B3%D0%B5%D0%BD%D0%B4%D0%B0%20%D0%BE%20%D0%BF%D0%BB%D0%B0%D0%BC%D0%B5%D0%BD%D0%BD%D0%BE%D0%BC%20%D1%81%D0%B5%D1%80%D0%B4%D1%86%D0%B5%201967%20%D1%84%D0%B8%D0%BB%D1%8C%D0%BC","искать")</f>
        <v/>
      </c>
      <c r="N4046" s="3" t="n"/>
      <c r="O4046" s="2" t="n"/>
      <c r="P4046" s="2" t="n"/>
    </row>
    <row r="4047">
      <c r="A4047" s="2" t="n">
        <v>4046</v>
      </c>
      <c r="B4047" s="2" t="inlineStr">
        <is>
          <t>короткая</t>
        </is>
      </c>
      <c r="C4047" s="2" t="n">
        <v>12676</v>
      </c>
      <c r="D4047" s="3" t="inlineStr">
        <is>
          <t>Ты меня не бойся</t>
        </is>
      </c>
      <c r="E4047" s="2" t="n">
        <v>1985</v>
      </c>
      <c r="F4047" s="2" t="inlineStr">
        <is>
          <t>мультфильм</t>
        </is>
      </c>
      <c r="G4047" s="2" t="inlineStr">
        <is>
          <t>БЕЛАРУСЬФИЛЬМ НАЦИОНАЛЬНАЯ КИНОСТУДИЯ - ГП</t>
        </is>
      </c>
      <c r="H4047" s="2" t="n">
        <v>93</v>
      </c>
      <c r="I4047" s="2" t="inlineStr"/>
      <c r="J4047" s="2" t="inlineStr"/>
      <c r="K4047" s="3" t="inlineStr">
        <is>
          <t>Сказка о том, как маленький охотник Никита и щенок Бобик помогли Зубренку отыскать свою маму.</t>
        </is>
      </c>
      <c r="L4047" s="2" t="inlineStr">
        <is>
          <t>2026-10_мультфильмы_список_владельца.xlsx; https://animator.ru/db/?p=show_film&amp;fid=3871</t>
        </is>
      </c>
      <c r="M4047" s="2">
        <f>HYPERLINK("https://ru.wikipedia.org/w/index.php?search=%D0%A2%D1%8B%20%D0%BC%D0%B5%D0%BD%D1%8F%20%D0%BD%D0%B5%20%D0%B1%D0%BE%D0%B9%D1%81%D1%8F%201985%20%D1%84%D0%B8%D0%BB%D1%8C%D0%BC","искать")</f>
        <v/>
      </c>
      <c r="N4047" s="3" t="n"/>
      <c r="O4047" s="2" t="n"/>
      <c r="P4047" s="2" t="n"/>
    </row>
    <row r="4048">
      <c r="A4048" s="2" t="n">
        <v>4047</v>
      </c>
      <c r="B4048" s="2" t="inlineStr">
        <is>
          <t>короткая</t>
        </is>
      </c>
      <c r="C4048" s="2" t="n">
        <v>13652</v>
      </c>
      <c r="D4048" s="3" t="inlineStr">
        <is>
          <t>В зоопарке ремонт</t>
        </is>
      </c>
      <c r="E4048" s="2" t="n">
        <v>1987</v>
      </c>
      <c r="F4048" s="2" t="inlineStr">
        <is>
          <t>мультфильм</t>
        </is>
      </c>
      <c r="G4048" s="2" t="inlineStr">
        <is>
          <t>ЭКРАН</t>
        </is>
      </c>
      <c r="H4048" s="2" t="n">
        <v>93</v>
      </c>
      <c r="I4048" s="2" t="inlineStr"/>
      <c r="J4048" s="2" t="inlineStr"/>
      <c r="K4048" s="3" t="inlineStr">
        <is>
          <t>Зоопарк закрылся на ремонт и смешные ситуации возникают с животными, которых разобрали жители</t>
        </is>
      </c>
      <c r="L4048" s="2" t="inlineStr">
        <is>
          <t>https://animator.ru/db/?p=show_film&amp;fid=5044</t>
        </is>
      </c>
      <c r="M4048" s="2">
        <f>HYPERLINK("https://ru.wikipedia.org/w/index.php?search=%D0%92%20%D0%B7%D0%BE%D0%BE%D0%BF%D0%B0%D1%80%D0%BA%D0%B5%20%D1%80%D0%B5%D0%BC%D0%BE%D0%BD%D1%82%201987%20%D1%84%D0%B8%D0%BB%D1%8C%D0%BC","искать")</f>
        <v/>
      </c>
      <c r="N4048" s="3" t="n"/>
      <c r="O4048" s="2" t="n"/>
      <c r="P4048" s="2" t="n"/>
    </row>
    <row r="4049">
      <c r="A4049" s="2" t="n">
        <v>4048</v>
      </c>
      <c r="B4049" s="2" t="inlineStr">
        <is>
          <t>короткая</t>
        </is>
      </c>
      <c r="C4049" s="2" t="n">
        <v>13865</v>
      </c>
      <c r="D4049" s="3" t="inlineStr">
        <is>
          <t>Птичий рынок</t>
        </is>
      </c>
      <c r="E4049" s="2" t="n">
        <v>1974</v>
      </c>
      <c r="F4049" s="2" t="inlineStr">
        <is>
          <t>мультфильм</t>
        </is>
      </c>
      <c r="G4049" s="2" t="inlineStr">
        <is>
          <t>ЭКРАН</t>
        </is>
      </c>
      <c r="H4049" s="2" t="n">
        <v>93</v>
      </c>
      <c r="I4049" s="2" t="inlineStr"/>
      <c r="J4049" s="2" t="inlineStr"/>
      <c r="K4049" s="3" t="inlineStr">
        <is>
          <t>Два сюжета: "Птичий рынок" - о любви к животным и "Рыболов" - о приключенияъ новичка-рыболова</t>
        </is>
      </c>
      <c r="L4049" s="2" t="inlineStr">
        <is>
          <t>https://animator.ru/db/?p=show_film&amp;fid=5258</t>
        </is>
      </c>
      <c r="M4049" s="2">
        <f>HYPERLINK("https://ru.wikipedia.org/w/index.php?search=%D0%9F%D1%82%D0%B8%D1%87%D0%B8%D0%B9%20%D1%80%D1%8B%D0%BD%D0%BE%D0%BA%201974%20%D1%84%D0%B8%D0%BB%D1%8C%D0%BC","искать")</f>
        <v/>
      </c>
      <c r="N4049" s="3" t="n"/>
      <c r="O4049" s="2" t="n"/>
      <c r="P4049" s="2" t="n"/>
    </row>
    <row r="4050">
      <c r="A4050" s="2" t="n">
        <v>4049</v>
      </c>
      <c r="B4050" s="2" t="inlineStr">
        <is>
          <t>короткая</t>
        </is>
      </c>
      <c r="C4050" s="2" t="n">
        <v>8037</v>
      </c>
      <c r="D4050" s="3" t="inlineStr">
        <is>
          <t>Односельчане</t>
        </is>
      </c>
      <c r="E4050" s="2" t="n">
        <v>1974</v>
      </c>
      <c r="F4050" s="2" t="inlineStr">
        <is>
          <t>телефильм</t>
        </is>
      </c>
      <c r="G4050" s="2" t="n"/>
      <c r="H4050" s="2" t="n">
        <v>94</v>
      </c>
      <c r="I4050" s="2" t="inlineStr"/>
      <c r="J4050" s="2" t="inlineStr"/>
      <c r="K4050" s="3" t="inlineStr">
        <is>
          <t>Համագյուղացիներ О приключениях рабочих-газопроводчиков и жителей села, куда этот газ проводят.</t>
        </is>
      </c>
      <c r="L4050" s="2" t="inlineStr">
        <is>
          <t>Кино_СССР сводный каталог.xlsx: список телефильмов</t>
        </is>
      </c>
      <c r="M4050" s="2">
        <f>HYPERLINK("https://ru.wikipedia.org/w/index.php?search=%D0%9E%D0%B4%D0%BD%D0%BE%D1%81%D0%B5%D0%BB%D1%8C%D1%87%D0%B0%D0%BD%D0%B5%201974%20%D1%84%D0%B8%D0%BB%D1%8C%D0%BC","искать")</f>
        <v/>
      </c>
      <c r="N4050" s="3" t="n"/>
      <c r="O4050" s="2" t="n"/>
      <c r="P4050" s="2" t="n"/>
    </row>
    <row r="4051">
      <c r="A4051" s="2" t="n">
        <v>4050</v>
      </c>
      <c r="B4051" s="2" t="inlineStr">
        <is>
          <t>короткая</t>
        </is>
      </c>
      <c r="C4051" s="2" t="n">
        <v>11641</v>
      </c>
      <c r="D4051" s="3" t="inlineStr">
        <is>
          <t>Самый младший дождик</t>
        </is>
      </c>
      <c r="E4051" s="2" t="n">
        <v>1971</v>
      </c>
      <c r="F4051" s="2" t="inlineStr">
        <is>
          <t>мультфильм</t>
        </is>
      </c>
      <c r="G4051" s="2" t="inlineStr">
        <is>
          <t>Союзмультфильм</t>
        </is>
      </c>
      <c r="H4051" s="2" t="n">
        <v>94</v>
      </c>
      <c r="I4051" s="2" t="inlineStr"/>
      <c r="J4051" s="2" t="inlineStr"/>
      <c r="K4051" s="3" t="inlineStr">
        <is>
          <t>О маленьком дождике, который не сразу научился приносить пользу людям и растениям. Для малышей</t>
        </is>
      </c>
      <c r="L4051" s="2" t="inlineStr">
        <is>
          <t>https://animator.ru/db/?p=show_film&amp;fid=2555</t>
        </is>
      </c>
      <c r="M4051" s="2">
        <f>HYPERLINK("https://ru.wikipedia.org/w/index.php?search=%D0%A1%D0%B0%D0%BC%D1%8B%D0%B9%20%D0%BC%D0%BB%D0%B0%D0%B4%D1%88%D0%B8%D0%B9%20%D0%B4%D0%BE%D0%B6%D0%B4%D0%B8%D0%BA%201971%20%D1%84%D0%B8%D0%BB%D1%8C%D0%BC","искать")</f>
        <v/>
      </c>
      <c r="N4051" s="3" t="n"/>
      <c r="O4051" s="2" t="n"/>
      <c r="P4051" s="2" t="n"/>
    </row>
    <row r="4052">
      <c r="A4052" s="2" t="n">
        <v>4051</v>
      </c>
      <c r="B4052" s="2" t="inlineStr">
        <is>
          <t>короткая</t>
        </is>
      </c>
      <c r="C4052" s="2" t="n">
        <v>12939</v>
      </c>
      <c r="D4052" s="3" t="inlineStr">
        <is>
          <t>Сказка на колесах продолжает путь</t>
        </is>
      </c>
      <c r="E4052" s="2" t="n">
        <v>1982</v>
      </c>
      <c r="F4052" s="2" t="inlineStr">
        <is>
          <t>мультфильм</t>
        </is>
      </c>
      <c r="G4052" s="2" t="inlineStr">
        <is>
          <t>ГРУЗИЯ-ФИЛЬМ - АО</t>
        </is>
      </c>
      <c r="H4052" s="2" t="n">
        <v>94</v>
      </c>
      <c r="I4052" s="2" t="inlineStr"/>
      <c r="J4052" s="2" t="inlineStr"/>
      <c r="K4052" s="3" t="inlineStr">
        <is>
          <t>Несмотря на козни бабы Яги и ее помощников, дедушке и внучке удается помочь сказочному театру.</t>
        </is>
      </c>
      <c r="L4052" s="2" t="inlineStr">
        <is>
          <t>2026-10_мультфильмы_список_владельца.xlsx; https://animator.ru/db/?p=show_film&amp;fid=4169</t>
        </is>
      </c>
      <c r="M4052" s="2">
        <f>HYPERLINK("https://ru.wikipedia.org/w/index.php?search=%D0%A1%D0%BA%D0%B0%D0%B7%D0%BA%D0%B0%20%D0%BD%D0%B0%20%D0%BA%D0%BE%D0%BB%D0%B5%D1%81%D0%B0%D1%85%20%D0%BF%D1%80%D0%BE%D0%B4%D0%BE%D0%BB%D0%B6%D0%B0%D0%B5%D1%82%20%D0%BF%D1%83%D1%82%D1%8C%201982%20%D1%84%D0%B8%D0%BB%D1%8C%D0%BC","искать")</f>
        <v/>
      </c>
      <c r="N4052" s="3" t="n"/>
      <c r="O4052" s="2" t="n"/>
      <c r="P4052" s="2" t="n"/>
    </row>
    <row r="4053">
      <c r="A4053" s="2" t="n">
        <v>4052</v>
      </c>
      <c r="B4053" s="2" t="inlineStr">
        <is>
          <t>короткая</t>
        </is>
      </c>
      <c r="C4053" s="2" t="n">
        <v>13389</v>
      </c>
      <c r="D4053" s="3" t="inlineStr">
        <is>
          <t>ТРИМПУ в цирке</t>
        </is>
      </c>
      <c r="E4053" s="2" t="n">
        <v>1971</v>
      </c>
      <c r="F4053" s="2" t="inlineStr">
        <is>
          <t>мультфильм</t>
        </is>
      </c>
      <c r="G4053" s="2" t="inlineStr">
        <is>
          <t>ЭКРАН</t>
        </is>
      </c>
      <c r="H4053" s="2" t="n">
        <v>94</v>
      </c>
      <c r="I4053" s="2" t="inlineStr"/>
      <c r="J4053" s="2" t="inlineStr"/>
      <c r="K4053" s="3" t="inlineStr">
        <is>
          <t>О приключениях друзей, отправившихся в путешествие и получивших награду за смелость. Для детей</t>
        </is>
      </c>
      <c r="L4053" s="2" t="inlineStr">
        <is>
          <t>https://animator.ru/db/?p=show_film&amp;fid=4669</t>
        </is>
      </c>
      <c r="M4053" s="2">
        <f>HYPERLINK("https://ru.wikipedia.org/w/index.php?search=%D0%A2%D0%A0%D0%98%D0%9C%D0%9F%D0%A3%20%D0%B2%20%D1%86%D0%B8%D1%80%D0%BA%D0%B5%201971%20%D1%84%D0%B8%D0%BB%D1%8C%D0%BC","искать")</f>
        <v/>
      </c>
      <c r="N4053" s="3" t="n"/>
      <c r="O4053" s="2" t="n"/>
      <c r="P4053" s="2" t="n"/>
    </row>
    <row r="4054">
      <c r="A4054" s="2" t="n">
        <v>4053</v>
      </c>
      <c r="B4054" s="2" t="inlineStr">
        <is>
          <t>короткая</t>
        </is>
      </c>
      <c r="C4054" s="2" t="n">
        <v>14106</v>
      </c>
      <c r="D4054" s="3" t="inlineStr">
        <is>
          <t>Девочка и клоун</t>
        </is>
      </c>
      <c r="E4054" s="2" t="n">
        <v>1989</v>
      </c>
      <c r="F4054" s="2" t="inlineStr">
        <is>
          <t>мультфильм</t>
        </is>
      </c>
      <c r="G4054" s="2" t="inlineStr">
        <is>
          <t>САРАТОВТЕЛЕФИЛЬМ</t>
        </is>
      </c>
      <c r="H4054" s="2" t="n">
        <v>94</v>
      </c>
      <c r="I4054" s="2" t="inlineStr"/>
      <c r="J4054" s="2" t="inlineStr"/>
      <c r="K4054" s="3" t="inlineStr">
        <is>
          <t>Как одинокая девочка нашла друга в ожившем игрущечном клоуне.В роли девочки - Петрусенко Анна.</t>
        </is>
      </c>
      <c r="L4054" s="2" t="inlineStr">
        <is>
          <t>2026-10_мультфильмы_список_владельца.xlsx; https://animator.ru/db/?p=show_film&amp;fid=5504</t>
        </is>
      </c>
      <c r="M4054" s="2">
        <f>HYPERLINK("https://ru.wikipedia.org/w/index.php?search=%D0%94%D0%B5%D0%B2%D0%BE%D1%87%D0%BA%D0%B0%20%D0%B8%20%D0%BA%D0%BB%D0%BE%D1%83%D0%BD%201989%20%D1%84%D0%B8%D0%BB%D1%8C%D0%BC","искать")</f>
        <v/>
      </c>
      <c r="N4054" s="3" t="n"/>
      <c r="O4054" s="2" t="n"/>
      <c r="P4054" s="2" t="n"/>
    </row>
    <row r="4055">
      <c r="A4055" s="2" t="n">
        <v>4054</v>
      </c>
      <c r="B4055" s="2" t="inlineStr">
        <is>
          <t>короткая</t>
        </is>
      </c>
      <c r="C4055" s="2" t="n">
        <v>7699</v>
      </c>
      <c r="D4055" s="3" t="inlineStr">
        <is>
          <t>Как мы искали Тишку</t>
        </is>
      </c>
      <c r="E4055" s="2" t="n">
        <v>1970</v>
      </c>
      <c r="F4055" s="2" t="inlineStr">
        <is>
          <t>телефильм</t>
        </is>
      </c>
      <c r="G4055" s="2" t="n"/>
      <c r="H4055" s="2" t="n">
        <v>95</v>
      </c>
      <c r="I4055" s="2" t="inlineStr"/>
      <c r="J4055" s="2" t="inlineStr"/>
      <c r="K4055" s="3" t="inlineStr">
        <is>
          <t>О приключениях мальчика Миши, бабушки и милиционера, разыскивающих пропавшего медвежонка Тишку.</t>
        </is>
      </c>
      <c r="L4055" s="2" t="inlineStr">
        <is>
          <t>Кино_СССР сводный каталог.xlsx: список телефильмов</t>
        </is>
      </c>
      <c r="M4055" s="2">
        <f>HYPERLINK("https://ru.wikipedia.org/w/index.php?search=%D0%9A%D0%B0%D0%BA%20%D0%BC%D1%8B%20%D0%B8%D1%81%D0%BA%D0%B0%D0%BB%D0%B8%20%D0%A2%D0%B8%D1%88%D0%BA%D1%83%201970%20%D1%84%D0%B8%D0%BB%D1%8C%D0%BC","искать")</f>
        <v/>
      </c>
      <c r="N4055" s="3" t="n"/>
      <c r="O4055" s="2" t="n"/>
      <c r="P4055" s="2" t="n"/>
    </row>
    <row r="4056">
      <c r="A4056" s="2" t="n">
        <v>4055</v>
      </c>
      <c r="B4056" s="2" t="inlineStr">
        <is>
          <t>короткая</t>
        </is>
      </c>
      <c r="C4056" s="2" t="n">
        <v>10475</v>
      </c>
      <c r="D4056" s="3" t="inlineStr">
        <is>
          <t>Фернандо Магеллан</t>
        </is>
      </c>
      <c r="E4056" s="2" t="n">
        <v>1972</v>
      </c>
      <c r="F4056" s="2" t="inlineStr">
        <is>
          <t>фильм-спектакль</t>
        </is>
      </c>
      <c r="G4056" s="2" t="inlineStr">
        <is>
          <t>Центральное телевидение</t>
        </is>
      </c>
      <c r="H4056" s="2" t="n">
        <v>95</v>
      </c>
      <c r="I4056" s="2" t="inlineStr"/>
      <c r="J4056" s="2" t="inlineStr"/>
      <c r="K4056" s="3" t="inlineStr">
        <is>
          <t>О кругосветном путешествии испанской экспедиции во главе с Фернандо Магелланом в 1519-1522 г.г.</t>
        </is>
      </c>
      <c r="L4056" s="2" t="inlineStr">
        <is>
          <t>https://www.kino-teatr.ru/teatr/movie/106090/annot/</t>
        </is>
      </c>
      <c r="M4056" s="2">
        <f>HYPERLINK("https://ru.wikipedia.org/w/index.php?search=%D0%A4%D0%B5%D1%80%D0%BD%D0%B0%D0%BD%D0%B4%D0%BE%20%D0%9C%D0%B0%D0%B3%D0%B5%D0%BB%D0%BB%D0%B0%D0%BD%201972%20%D1%84%D0%B8%D0%BB%D1%8C%D0%BC","искать")</f>
        <v/>
      </c>
      <c r="N4056" s="3" t="n"/>
      <c r="O4056" s="2" t="n"/>
      <c r="P4056" s="2" t="n"/>
    </row>
    <row r="4057">
      <c r="A4057" s="2" t="n">
        <v>4056</v>
      </c>
      <c r="B4057" s="2" t="inlineStr">
        <is>
          <t>короткая</t>
        </is>
      </c>
      <c r="C4057" s="2" t="n">
        <v>11846</v>
      </c>
      <c r="D4057" s="3" t="inlineStr">
        <is>
          <t>Одна лошадка белая</t>
        </is>
      </c>
      <c r="E4057" s="2" t="n">
        <v>1977</v>
      </c>
      <c r="F4057" s="2" t="inlineStr">
        <is>
          <t>мультфильм</t>
        </is>
      </c>
      <c r="G4057" s="2" t="inlineStr">
        <is>
          <t>Союзмультфильм</t>
        </is>
      </c>
      <c r="H4057" s="2" t="n">
        <v>95</v>
      </c>
      <c r="I4057" s="2" t="inlineStr"/>
      <c r="J4057" s="2" t="inlineStr"/>
      <c r="K4057" s="3" t="inlineStr">
        <is>
          <t>О лошадке, которая навестила за один день всех своих друзей, а про старую бабушку снова забыла.</t>
        </is>
      </c>
      <c r="L4057" s="2" t="inlineStr">
        <is>
          <t>2026-10_мультфильмы_список_владельца.xlsx; https://animator.ru/db/?p=show_film&amp;fid=2761</t>
        </is>
      </c>
      <c r="M4057" s="2">
        <f>HYPERLINK("https://ru.wikipedia.org/w/index.php?search=%D0%9E%D0%B4%D0%BD%D0%B0%20%D0%BB%D0%BE%D1%88%D0%B0%D0%B4%D0%BA%D0%B0%20%D0%B1%D0%B5%D0%BB%D0%B0%D1%8F%201977%20%D1%84%D0%B8%D0%BB%D1%8C%D0%BC","искать")</f>
        <v/>
      </c>
      <c r="N4057" s="3" t="n"/>
      <c r="O4057" s="2" t="n"/>
      <c r="P4057" s="2" t="n"/>
    </row>
    <row r="4058">
      <c r="A4058" s="2" t="n">
        <v>4057</v>
      </c>
      <c r="B4058" s="2" t="inlineStr">
        <is>
          <t>короткая</t>
        </is>
      </c>
      <c r="C4058" s="2" t="n">
        <v>11857</v>
      </c>
      <c r="D4058" s="3" t="inlineStr">
        <is>
          <t>Тайна запечного сверчка</t>
        </is>
      </c>
      <c r="E4058" s="2" t="n">
        <v>1977</v>
      </c>
      <c r="F4058" s="2" t="inlineStr">
        <is>
          <t>мультфильм</t>
        </is>
      </c>
      <c r="G4058" s="2" t="inlineStr">
        <is>
          <t>Союзмультфильм</t>
        </is>
      </c>
      <c r="H4058" s="2" t="n">
        <v>95</v>
      </c>
      <c r="I4058" s="2" t="inlineStr"/>
      <c r="J4058" s="2" t="inlineStr"/>
      <c r="K4058" s="3" t="inlineStr">
        <is>
          <t>По сказке Г.Цыферова. Эпизоды из биографии юного Моцарта. В фильме использована музыка Моцарта.</t>
        </is>
      </c>
      <c r="L4058" s="2" t="inlineStr">
        <is>
          <t>2026-10_мультфильмы_список_владельца.xlsx; https://animator.ru/db/?p=show_film&amp;fid=2772</t>
        </is>
      </c>
      <c r="M4058" s="2">
        <f>HYPERLINK("https://ru.wikipedia.org/w/index.php?search=%D0%A2%D0%B0%D0%B9%D0%BD%D0%B0%20%D0%B7%D0%B0%D0%BF%D0%B5%D1%87%D0%BD%D0%BE%D0%B3%D0%BE%20%D1%81%D0%B2%D0%B5%D1%80%D1%87%D0%BA%D0%B0%201977%20%D1%84%D0%B8%D0%BB%D1%8C%D0%BC","искать")</f>
        <v/>
      </c>
      <c r="N4058" s="3" t="n"/>
      <c r="O4058" s="2" t="n"/>
      <c r="P4058" s="2" t="n"/>
    </row>
    <row r="4059">
      <c r="A4059" s="2" t="n">
        <v>4058</v>
      </c>
      <c r="B4059" s="2" t="inlineStr">
        <is>
          <t>короткая</t>
        </is>
      </c>
      <c r="C4059" s="2" t="n">
        <v>13114</v>
      </c>
      <c r="D4059" s="3" t="inlineStr">
        <is>
          <t>Гайдук</t>
        </is>
      </c>
      <c r="E4059" s="2" t="n">
        <v>1985</v>
      </c>
      <c r="F4059" s="2" t="inlineStr">
        <is>
          <t>мультфильм</t>
        </is>
      </c>
      <c r="G4059" s="2" t="inlineStr">
        <is>
          <t>МОЛДОВА-ФИЛЬМ</t>
        </is>
      </c>
      <c r="H4059" s="2" t="n">
        <v>95</v>
      </c>
      <c r="I4059" s="2" t="inlineStr"/>
      <c r="J4059" s="2" t="inlineStr"/>
      <c r="K4059" s="3" t="inlineStr">
        <is>
          <t>О народном мстителе, ведущем борьбу с несправедливостью и жестокостью. Гран-При, Канны, Франция</t>
        </is>
      </c>
      <c r="L4059" s="2" t="inlineStr">
        <is>
          <t>https://animator.ru/db/?p=show_film&amp;fid=4346</t>
        </is>
      </c>
      <c r="M4059" s="2">
        <f>HYPERLINK("https://ru.wikipedia.org/w/index.php?search=%D0%93%D0%B0%D0%B9%D0%B4%D1%83%D0%BA%201985%20%D1%84%D0%B8%D0%BB%D1%8C%D0%BC","искать")</f>
        <v/>
      </c>
      <c r="N4059" s="3" t="n"/>
      <c r="O4059" s="2" t="n"/>
      <c r="P4059" s="2" t="n"/>
    </row>
    <row r="4060">
      <c r="A4060" s="2" t="n">
        <v>4059</v>
      </c>
      <c r="B4060" s="2" t="inlineStr">
        <is>
          <t>короткая</t>
        </is>
      </c>
      <c r="C4060" s="2" t="n">
        <v>13289</v>
      </c>
      <c r="D4060" s="3" t="inlineStr">
        <is>
          <t>Дирижер</t>
        </is>
      </c>
      <c r="E4060" s="2" t="n">
        <v>1988</v>
      </c>
      <c r="F4060" s="2" t="inlineStr">
        <is>
          <t>мультфильм</t>
        </is>
      </c>
      <c r="G4060" s="2" t="inlineStr">
        <is>
          <t>ТАЛЛИННФИЛЬМ</t>
        </is>
      </c>
      <c r="H4060" s="2" t="n">
        <v>95</v>
      </c>
      <c r="I4060" s="2" t="inlineStr"/>
      <c r="J4060" s="2" t="inlineStr"/>
      <c r="K4060" s="3" t="inlineStr">
        <is>
          <t>Вольная живая птица превратилась в деревянную и стала петь в хоре деревянных птиц. дЛЯ ВЗРОСЛЫХ</t>
        </is>
      </c>
      <c r="L4060" s="2" t="inlineStr">
        <is>
          <t>https://animator.ru/db/?p=show_film&amp;fid=4546</t>
        </is>
      </c>
      <c r="M4060" s="2">
        <f>HYPERLINK("https://ru.wikipedia.org/w/index.php?search=%D0%94%D0%B8%D1%80%D0%B8%D0%B6%D0%B5%D1%80%201988%20%D1%84%D0%B8%D0%BB%D1%8C%D0%BC","искать")</f>
        <v/>
      </c>
      <c r="N4060" s="3" t="n"/>
      <c r="O4060" s="2" t="n"/>
      <c r="P4060" s="2" t="n"/>
    </row>
    <row r="4061">
      <c r="A4061" s="2" t="n">
        <v>4060</v>
      </c>
      <c r="B4061" s="2" t="inlineStr">
        <is>
          <t>короткая</t>
        </is>
      </c>
      <c r="C4061" s="2" t="n">
        <v>13308</v>
      </c>
      <c r="D4061" s="3" t="inlineStr">
        <is>
          <t>Пылесос</t>
        </is>
      </c>
      <c r="E4061" s="2" t="n">
        <v>1978</v>
      </c>
      <c r="F4061" s="2" t="inlineStr">
        <is>
          <t>мультфильм</t>
        </is>
      </c>
      <c r="G4061" s="2" t="inlineStr">
        <is>
          <t>ТАЛЛИННФИЛЬМ</t>
        </is>
      </c>
      <c r="H4061" s="2" t="n">
        <v>95</v>
      </c>
      <c r="I4061" s="2" t="inlineStr"/>
      <c r="J4061" s="2" t="inlineStr"/>
      <c r="K4061" s="3" t="inlineStr">
        <is>
          <t>Фантастическая история о пылесосе-чудовище, который чуть не поглотил весь дом и своего хозяина.</t>
        </is>
      </c>
      <c r="L4061" s="2" t="inlineStr">
        <is>
          <t>2026-10_мультфильмы_список_владельца.xlsx; https://animator.ru/db/?p=show_film&amp;fid=4566</t>
        </is>
      </c>
      <c r="M4061" s="2">
        <f>HYPERLINK("https://ru.wikipedia.org/w/index.php?search=%D0%9F%D1%8B%D0%BB%D0%B5%D1%81%D0%BE%D1%81%201978%20%D1%84%D0%B8%D0%BB%D1%8C%D0%BC","искать")</f>
        <v/>
      </c>
      <c r="N4061" s="3" t="n"/>
      <c r="O4061" s="2" t="n"/>
      <c r="P4061" s="2" t="n"/>
    </row>
    <row r="4062">
      <c r="A4062" s="2" t="n">
        <v>4061</v>
      </c>
      <c r="B4062" s="2" t="inlineStr">
        <is>
          <t>короткая</t>
        </is>
      </c>
      <c r="C4062" s="2" t="n">
        <v>13360</v>
      </c>
      <c r="D4062" s="3" t="inlineStr">
        <is>
          <t>Золотая бита</t>
        </is>
      </c>
      <c r="E4062" s="2" t="n">
        <v>1976</v>
      </c>
      <c r="F4062" s="2" t="inlineStr">
        <is>
          <t>мультфильм</t>
        </is>
      </c>
      <c r="G4062" s="2" t="inlineStr">
        <is>
          <t>КАЗАХФИЛЬМ</t>
        </is>
      </c>
      <c r="H4062" s="2" t="n">
        <v>95</v>
      </c>
      <c r="I4062" s="2" t="inlineStr"/>
      <c r="J4062" s="2" t="inlineStr"/>
      <c r="K4062" s="3" t="inlineStr">
        <is>
          <t>О злой старухк, которая хотела отнять у мальчика волшебную биту, чтобы в пустыне не цвели цветы</t>
        </is>
      </c>
      <c r="L4062" s="2" t="inlineStr">
        <is>
          <t>https://animator.ru/db/?p=show_film&amp;fid=4638</t>
        </is>
      </c>
      <c r="M4062" s="2">
        <f>HYPERLINK("https://ru.wikipedia.org/w/index.php?search=%D0%97%D0%BE%D0%BB%D0%BE%D1%82%D0%B0%D1%8F%20%D0%B1%D0%B8%D1%82%D0%B0%201976%20%D1%84%D0%B8%D0%BB%D1%8C%D0%BC","искать")</f>
        <v/>
      </c>
      <c r="N4062" s="3" t="n"/>
      <c r="O4062" s="2" t="n"/>
      <c r="P4062" s="2" t="n"/>
    </row>
    <row r="4063">
      <c r="A4063" s="2" t="n">
        <v>4062</v>
      </c>
      <c r="B4063" s="2" t="inlineStr">
        <is>
          <t>короткая</t>
        </is>
      </c>
      <c r="C4063" s="2" t="n">
        <v>13618</v>
      </c>
      <c r="D4063" s="3" t="inlineStr">
        <is>
          <t>Акаиро</t>
        </is>
      </c>
      <c r="E4063" s="2" t="n">
        <v>1980</v>
      </c>
      <c r="F4063" s="2" t="inlineStr">
        <is>
          <t>мультфильм</t>
        </is>
      </c>
      <c r="G4063" s="2" t="inlineStr">
        <is>
          <t>ЭКРАН</t>
        </is>
      </c>
      <c r="H4063" s="2" t="n">
        <v>95</v>
      </c>
      <c r="I4063" s="2" t="inlineStr"/>
      <c r="J4063" s="2" t="inlineStr"/>
      <c r="K4063" s="3" t="inlineStr">
        <is>
          <t>По японской сказке о том, как странник вылечил мальчика, смастерив ему бумажную оригами-игрушку</t>
        </is>
      </c>
      <c r="L4063" s="2" t="inlineStr">
        <is>
          <t>2026-10_мультфильмы_список_владельца.xlsx; https://animator.ru/db/?p=show_film&amp;fid=5010</t>
        </is>
      </c>
      <c r="M4063" s="2">
        <f>HYPERLINK("https://ru.wikipedia.org/w/index.php?search=%D0%90%D0%BA%D0%B0%D0%B8%D1%80%D0%BE%201980%20%D1%84%D0%B8%D0%BB%D1%8C%D0%BC","искать")</f>
        <v/>
      </c>
      <c r="N4063" s="3" t="n"/>
      <c r="O4063" s="2" t="n"/>
      <c r="P4063" s="2" t="n"/>
    </row>
    <row r="4064">
      <c r="A4064" s="2" t="n">
        <v>4063</v>
      </c>
      <c r="B4064" s="2" t="inlineStr">
        <is>
          <t>короткая</t>
        </is>
      </c>
      <c r="C4064" s="2" t="n">
        <v>7185</v>
      </c>
      <c r="D4064" s="3" t="inlineStr">
        <is>
          <t>А пароходы гудят и уходят...</t>
        </is>
      </c>
      <c r="E4064" s="2" t="n">
        <v>1972</v>
      </c>
      <c r="F4064" s="2" t="inlineStr">
        <is>
          <t>телефильм</t>
        </is>
      </c>
      <c r="G4064" s="2" t="n"/>
      <c r="H4064" s="2" t="n">
        <v>96</v>
      </c>
      <c r="I4064" s="2" t="inlineStr"/>
      <c r="J4064" s="2" t="inlineStr"/>
      <c r="K4064" s="3" t="inlineStr">
        <is>
          <t>Леонид Комков, несмотря на отсутствие опыта, одержим желанием стать рулевым на речном теплоходе.</t>
        </is>
      </c>
      <c r="L4064" s="2" t="inlineStr">
        <is>
          <t>Кино_СССР сводный каталог.xlsx: список телефильмов</t>
        </is>
      </c>
      <c r="M4064" s="2">
        <f>HYPERLINK("https://ru.wikipedia.org/w/index.php?search=%D0%90%20%D0%BF%D0%B0%D1%80%D0%BE%D1%85%D0%BE%D0%B4%D1%8B%20%D0%B3%D1%83%D0%B4%D1%8F%D1%82%20%D0%B8%20%D1%83%D1%85%D0%BE%D0%B4%D1%8F%D1%82...%201972%20%D1%84%D0%B8%D0%BB%D1%8C%D0%BC","искать")</f>
        <v/>
      </c>
      <c r="N4064" s="3" t="n"/>
      <c r="O4064" s="2" t="n"/>
      <c r="P4064" s="2" t="n"/>
    </row>
    <row r="4065">
      <c r="A4065" s="2" t="n">
        <v>4064</v>
      </c>
      <c r="B4065" s="2" t="inlineStr">
        <is>
          <t>короткая</t>
        </is>
      </c>
      <c r="C4065" s="2" t="n">
        <v>7350</v>
      </c>
      <c r="D4065" s="3" t="inlineStr">
        <is>
          <t>Во всём виновата Залина</t>
        </is>
      </c>
      <c r="E4065" s="2" t="n">
        <v>1977</v>
      </c>
      <c r="F4065" s="2" t="inlineStr">
        <is>
          <t>телефильм</t>
        </is>
      </c>
      <c r="G4065" s="2" t="n"/>
      <c r="H4065" s="2" t="n">
        <v>96</v>
      </c>
      <c r="I4065" s="2" t="inlineStr"/>
      <c r="J4065" s="2" t="inlineStr"/>
      <c r="K4065" s="3" t="inlineStr">
        <is>
          <t>Телефильм. О молодой девушке-мелиораторе Залине, приехавшей работать в колхоз в Северной Осетии.</t>
        </is>
      </c>
      <c r="L4065" s="2" t="inlineStr">
        <is>
          <t>Кино_СССР сводный каталог.xlsx: список телефильмов</t>
        </is>
      </c>
      <c r="M4065" s="2">
        <f>HYPERLINK("https://ru.wikipedia.org/w/index.php?search=%D0%92%D0%BE%20%D0%B2%D1%81%D1%91%D0%BC%20%D0%B2%D0%B8%D0%BD%D0%BE%D0%B2%D0%B0%D1%82%D0%B0%20%D0%97%D0%B0%D0%BB%D0%B8%D0%BD%D0%B0%201977%20%D1%84%D0%B8%D0%BB%D1%8C%D0%BC","искать")</f>
        <v/>
      </c>
      <c r="N4065" s="3" t="n"/>
      <c r="O4065" s="2" t="n"/>
      <c r="P4065" s="2" t="n"/>
    </row>
    <row r="4066">
      <c r="A4066" s="2" t="n">
        <v>4065</v>
      </c>
      <c r="B4066" s="2" t="inlineStr">
        <is>
          <t>короткая</t>
        </is>
      </c>
      <c r="C4066" s="2" t="n">
        <v>7544</v>
      </c>
      <c r="D4066" s="3" t="inlineStr">
        <is>
          <t>Домино</t>
        </is>
      </c>
      <c r="E4066" s="2" t="n">
        <v>1973</v>
      </c>
      <c r="F4066" s="2" t="inlineStr">
        <is>
          <t>телефильм</t>
        </is>
      </c>
      <c r="G4066" s="2" t="n"/>
      <c r="H4066" s="2" t="n">
        <v>96</v>
      </c>
      <c r="I4066" s="2" t="inlineStr"/>
      <c r="J4066" s="2" t="inlineStr"/>
      <c r="K4066" s="3" t="inlineStr">
        <is>
          <t>Фильм о животных. По мотивам повести Э.Сетон-Томпсона. История чернобурого лиса по имени Домино.</t>
        </is>
      </c>
      <c r="L4066" s="2" t="inlineStr">
        <is>
          <t>Кино_СССР сводный каталог.xlsx: список телефильмов</t>
        </is>
      </c>
      <c r="M4066" s="2">
        <f>HYPERLINK("https://ru.wikipedia.org/w/index.php?search=%D0%94%D0%BE%D0%BC%D0%B8%D0%BD%D0%BE%201973%20%D1%84%D0%B8%D0%BB%D1%8C%D0%BC","искать")</f>
        <v/>
      </c>
      <c r="N4066" s="3" t="n"/>
      <c r="O4066" s="2" t="n"/>
      <c r="P4066" s="2" t="n"/>
    </row>
    <row r="4067">
      <c r="A4067" s="2" t="n">
        <v>4066</v>
      </c>
      <c r="B4067" s="2" t="inlineStr">
        <is>
          <t>короткая</t>
        </is>
      </c>
      <c r="C4067" s="2" t="n">
        <v>9495</v>
      </c>
      <c r="D4067" s="3" t="inlineStr">
        <is>
          <t>Не все кометы гаснут</t>
        </is>
      </c>
      <c r="E4067" s="2" t="n">
        <v>1982</v>
      </c>
      <c r="F4067" s="2" t="inlineStr">
        <is>
          <t>кинофильм</t>
        </is>
      </c>
      <c r="G4067" s="2" t="n"/>
      <c r="H4067" s="2" t="n">
        <v>96</v>
      </c>
      <c r="I4067" s="2" t="inlineStr"/>
      <c r="J4067" s="2" t="inlineStr"/>
      <c r="K4067" s="3" t="inlineStr">
        <is>
          <t>В фильме рассказывается о встрече ветеранов Великой Отечественной войны на месте былых сражений.</t>
        </is>
      </c>
      <c r="L4067" s="2" t="inlineStr">
        <is>
          <t>Кино_СССР сводный каталог.xlsx: список фильмов (доп.)</t>
        </is>
      </c>
      <c r="M4067" s="2">
        <f>HYPERLINK("https://ru.wikipedia.org/w/index.php?search=%D0%9D%D0%B5%20%D0%B2%D1%81%D0%B5%20%D0%BA%D0%BE%D0%BC%D0%B5%D1%82%D1%8B%20%D0%B3%D0%B0%D1%81%D0%BD%D1%83%D1%82%201982%20%D1%84%D0%B8%D0%BB%D1%8C%D0%BC","искать")</f>
        <v/>
      </c>
      <c r="N4067" s="3" t="n"/>
      <c r="O4067" s="2" t="n"/>
      <c r="P4067" s="2" t="n"/>
    </row>
    <row r="4068">
      <c r="A4068" s="2" t="n">
        <v>4067</v>
      </c>
      <c r="B4068" s="2" t="inlineStr">
        <is>
          <t>короткая</t>
        </is>
      </c>
      <c r="C4068" s="2" t="n">
        <v>9982</v>
      </c>
      <c r="D4068" s="3" t="inlineStr">
        <is>
          <t>Элия Исаакович и Маргарита Прокофьевна</t>
        </is>
      </c>
      <c r="E4068" s="2" t="n">
        <v>1981</v>
      </c>
      <c r="F4068" s="2" t="inlineStr">
        <is>
          <t>кинофильм</t>
        </is>
      </c>
      <c r="G4068" s="2" t="inlineStr">
        <is>
          <t>МОСФИЛЬМ</t>
        </is>
      </c>
      <c r="H4068" s="2" t="n">
        <v>96</v>
      </c>
      <c r="I4068" s="2" t="inlineStr"/>
      <c r="J4068" s="2" t="inlineStr"/>
      <c r="K4068" s="3" t="inlineStr">
        <is>
          <t>По одноименному рассказу Исаака Бабеля.
Встреча двух отверженных — гонимого еврея и проститутки.</t>
        </is>
      </c>
      <c r="L4068" s="2" t="inlineStr">
        <is>
          <t>https://www.kino-teatr.ru/short/movie/sov/8082/annot/</t>
        </is>
      </c>
      <c r="M4068" s="2">
        <f>HYPERLINK("https://ru.wikipedia.org/w/index.php?search=%D0%AD%D0%BB%D0%B8%D1%8F%20%D0%98%D1%81%D0%B0%D0%B0%D0%BA%D0%BE%D0%B2%D0%B8%D1%87%20%D0%B8%20%D0%9C%D0%B0%D1%80%D0%B3%D0%B0%D1%80%D0%B8%D1%82%D0%B0%20%D0%9F%D1%80%D0%BE%D0%BA%D0%BE%D1%84%D1%8C%D0%B5%D0%B2%D0%BD%D0%B0%201981%20%D1%84%D0%B8%D0%BB%D1%8C%D0%BC","искать")</f>
        <v/>
      </c>
      <c r="N4068" s="3" t="n"/>
      <c r="O4068" s="2" t="n"/>
      <c r="P4068" s="2" t="n"/>
    </row>
    <row r="4069">
      <c r="A4069" s="2" t="n">
        <v>4068</v>
      </c>
      <c r="B4069" s="2" t="inlineStr">
        <is>
          <t>короткая</t>
        </is>
      </c>
      <c r="C4069" s="2" t="n">
        <v>11666</v>
      </c>
      <c r="D4069" s="3" t="inlineStr">
        <is>
          <t>В тридесятом веке</t>
        </is>
      </c>
      <c r="E4069" s="2" t="n">
        <v>1972</v>
      </c>
      <c r="F4069" s="2" t="inlineStr">
        <is>
          <t>мультфильм</t>
        </is>
      </c>
      <c r="G4069" s="2" t="inlineStr">
        <is>
          <t>Союзмультфильм</t>
        </is>
      </c>
      <c r="H4069" s="2" t="n">
        <v>96</v>
      </c>
      <c r="I4069" s="2" t="inlineStr"/>
      <c r="J4069" s="2" t="inlineStr"/>
      <c r="K4069" s="3" t="inlineStr">
        <is>
          <t>Современная сказка о мальчике, улетевшем на другую планету помогать обитателям, попавшим в беду.</t>
        </is>
      </c>
      <c r="L4069" s="2" t="inlineStr">
        <is>
          <t>2026-10_мультфильмы_список_владельца.xlsx; https://animator.ru/db/?p=show_film&amp;fid=2580</t>
        </is>
      </c>
      <c r="M4069" s="2">
        <f>HYPERLINK("https://ru.wikipedia.org/w/index.php?search=%D0%92%20%D1%82%D1%80%D0%B8%D0%B4%D0%B5%D1%81%D1%8F%D1%82%D0%BE%D0%BC%20%D0%B2%D0%B5%D0%BA%D0%B5%201972%20%D1%84%D0%B8%D0%BB%D1%8C%D0%BC","искать")</f>
        <v/>
      </c>
      <c r="N4069" s="3" t="n"/>
      <c r="O4069" s="2" t="n"/>
      <c r="P4069" s="2" t="n"/>
    </row>
    <row r="4070">
      <c r="A4070" s="2" t="n">
        <v>4069</v>
      </c>
      <c r="B4070" s="2" t="inlineStr">
        <is>
          <t>короткая</t>
        </is>
      </c>
      <c r="C4070" s="2" t="n">
        <v>11762</v>
      </c>
      <c r="D4070" s="3" t="inlineStr">
        <is>
          <t>Василиса Микулишна</t>
        </is>
      </c>
      <c r="E4070" s="2" t="n">
        <v>1975</v>
      </c>
      <c r="F4070" s="2" t="inlineStr">
        <is>
          <t>мультфильм</t>
        </is>
      </c>
      <c r="G4070" s="2" t="inlineStr">
        <is>
          <t>Союзмультфильм</t>
        </is>
      </c>
      <c r="H4070" s="2" t="n">
        <v>96</v>
      </c>
      <c r="I4070" s="2" t="inlineStr"/>
      <c r="J4070" s="2" t="inlineStr"/>
      <c r="K4070" s="3" t="inlineStr">
        <is>
          <t>Девушка переоделась мужчиной ради вызволения своего любимого из неволи. По мотивам русских былин</t>
        </is>
      </c>
      <c r="L4070" s="2" t="inlineStr">
        <is>
          <t>2026-10_мультфильмы_список_владельца.xlsx; https://animator.ru/db/?p=show_film&amp;fid=2676</t>
        </is>
      </c>
      <c r="M4070" s="2">
        <f>HYPERLINK("https://ru.wikipedia.org/w/index.php?search=%D0%92%D0%B0%D1%81%D0%B8%D0%BB%D0%B8%D1%81%D0%B0%20%D0%9C%D0%B8%D0%BA%D1%83%D0%BB%D0%B8%D1%88%D0%BD%D0%B0%201975%20%D1%84%D0%B8%D0%BB%D1%8C%D0%BC","искать")</f>
        <v/>
      </c>
      <c r="N4070" s="3" t="n"/>
      <c r="O4070" s="2" t="n"/>
      <c r="P4070" s="2" t="n"/>
    </row>
    <row r="4071">
      <c r="A4071" s="2" t="n">
        <v>4070</v>
      </c>
      <c r="B4071" s="2" t="inlineStr">
        <is>
          <t>короткая</t>
        </is>
      </c>
      <c r="C4071" s="2" t="n">
        <v>12059</v>
      </c>
      <c r="D4071" s="3" t="inlineStr">
        <is>
          <t>Слоненок и письмо</t>
        </is>
      </c>
      <c r="E4071" s="2" t="n">
        <v>1983</v>
      </c>
      <c r="F4071" s="2" t="inlineStr">
        <is>
          <t>мультфильм</t>
        </is>
      </c>
      <c r="G4071" s="2" t="inlineStr">
        <is>
          <t>Союзмультфильм</t>
        </is>
      </c>
      <c r="H4071" s="2" t="n">
        <v>96</v>
      </c>
      <c r="I4071" s="2" t="inlineStr"/>
      <c r="J4071" s="2" t="inlineStr"/>
      <c r="K4071" s="3" t="inlineStr">
        <is>
          <t>Не сумев вовремя признаться в неумении читать, слоненок попадает в неловкое и смешное положение.</t>
        </is>
      </c>
      <c r="L4071" s="2" t="inlineStr">
        <is>
          <t>https://animator.ru/db/?p=show_film&amp;fid=3174</t>
        </is>
      </c>
      <c r="M4071" s="2">
        <f>HYPERLINK("https://ru.wikipedia.org/w/index.php?search=%D0%A1%D0%BB%D0%BE%D0%BD%D0%B5%D0%BD%D0%BE%D0%BA%20%D0%B8%20%D0%BF%D0%B8%D1%81%D1%8C%D0%BC%D0%BE%201983%20%D1%84%D0%B8%D0%BB%D1%8C%D0%BC","искать")</f>
        <v/>
      </c>
      <c r="N4071" s="3" t="n"/>
      <c r="O4071" s="2" t="n"/>
      <c r="P4071" s="2" t="n"/>
    </row>
    <row r="4072">
      <c r="A4072" s="2" t="n">
        <v>4071</v>
      </c>
      <c r="B4072" s="2" t="inlineStr">
        <is>
          <t>короткая</t>
        </is>
      </c>
      <c r="C4072" s="2" t="n">
        <v>12255</v>
      </c>
      <c r="D4072" s="3" t="inlineStr">
        <is>
          <t>Мы идем искать</t>
        </is>
      </c>
      <c r="E4072" s="2" t="n">
        <v>1988</v>
      </c>
      <c r="F4072" s="2" t="inlineStr">
        <is>
          <t>мультфильм</t>
        </is>
      </c>
      <c r="G4072" s="2" t="inlineStr">
        <is>
          <t>Союзмультфильм</t>
        </is>
      </c>
      <c r="H4072" s="2" t="n">
        <v>96</v>
      </c>
      <c r="I4072" s="2" t="inlineStr"/>
      <c r="J4072" s="2" t="inlineStr"/>
      <c r="K4072" s="3" t="inlineStr">
        <is>
          <t>Грустная история о том, как мальчик и его родители бросили на даче бепризорными котенка и щенка.</t>
        </is>
      </c>
      <c r="L4072" s="2" t="inlineStr">
        <is>
          <t>2026-10_мультфильмы_список_владельца.xlsx; https://animator.ru/db/?p=show_film&amp;fid=3372</t>
        </is>
      </c>
      <c r="M4072" s="2">
        <f>HYPERLINK("https://ru.wikipedia.org/w/index.php?search=%D0%9C%D1%8B%20%D0%B8%D0%B4%D0%B5%D0%BC%20%D0%B8%D1%81%D0%BA%D0%B0%D1%82%D1%8C%201988%20%D1%84%D0%B8%D0%BB%D1%8C%D0%BC","искать")</f>
        <v/>
      </c>
      <c r="N4072" s="3" t="n"/>
      <c r="O4072" s="2" t="n"/>
      <c r="P4072" s="2" t="n"/>
    </row>
    <row r="4073">
      <c r="A4073" s="2" t="n">
        <v>4072</v>
      </c>
      <c r="B4073" s="2" t="inlineStr">
        <is>
          <t>короткая</t>
        </is>
      </c>
      <c r="C4073" s="2" t="n">
        <v>13441</v>
      </c>
      <c r="D4073" s="3" t="inlineStr">
        <is>
          <t>Следствие ведут Колобки (2 серии, кукольный)</t>
        </is>
      </c>
      <c r="E4073" s="2" t="n">
        <v>1983</v>
      </c>
      <c r="F4073" s="2" t="inlineStr">
        <is>
          <t>мультфильм</t>
        </is>
      </c>
      <c r="G4073" s="2" t="inlineStr">
        <is>
          <t>ЭКРАН</t>
        </is>
      </c>
      <c r="H4073" s="2" t="n">
        <v>96</v>
      </c>
      <c r="I4073" s="2" t="inlineStr"/>
      <c r="J4073" s="2" t="inlineStr"/>
      <c r="K4073" s="3" t="inlineStr">
        <is>
          <t>Сыщики Колобок и Булочкин работают в неотложном пункте добрых дел и помогают бабушке найти внука</t>
        </is>
      </c>
      <c r="L4073" s="2" t="inlineStr">
        <is>
          <t>https://animator.ru/db/?p=show_film&amp;fid=4722</t>
        </is>
      </c>
      <c r="M4073" s="2">
        <f>HYPERLINK("https://ru.wikipedia.org/w/index.php?search=%D0%A1%D0%BB%D0%B5%D0%B4%D1%81%D1%82%D0%B2%D0%B8%D0%B5%20%D0%B2%D0%B5%D0%B4%D1%83%D1%82%20%D0%9A%D0%BE%D0%BB%D0%BE%D0%B1%D0%BA%D0%B8%20%282%20%D1%81%D0%B5%D1%80%D0%B8%D0%B8%2C%20%D0%BA%D1%83%D0%BA%D0%BE%D0%BB%D1%8C%D0%BD%D1%8B%D0%B9%29%201983%20%D1%84%D0%B8%D0%BB%D1%8C%D0%BC","искать")</f>
        <v/>
      </c>
      <c r="N4073" s="3" t="n"/>
      <c r="O4073" s="2" t="n"/>
      <c r="P4073" s="2" t="n"/>
    </row>
    <row r="4074">
      <c r="A4074" s="2" t="n">
        <v>4073</v>
      </c>
      <c r="B4074" s="2" t="inlineStr">
        <is>
          <t>короткая</t>
        </is>
      </c>
      <c r="C4074" s="2" t="n">
        <v>13760</v>
      </c>
      <c r="D4074" s="3" t="inlineStr">
        <is>
          <t>Машина времени</t>
        </is>
      </c>
      <c r="E4074" s="2" t="n">
        <v>1988</v>
      </c>
      <c r="F4074" s="2" t="inlineStr">
        <is>
          <t>мультфильм</t>
        </is>
      </c>
      <c r="G4074" s="2" t="inlineStr">
        <is>
          <t>ЭКРАН</t>
        </is>
      </c>
      <c r="H4074" s="2" t="n">
        <v>96</v>
      </c>
      <c r="I4074" s="2" t="inlineStr"/>
      <c r="J4074" s="2" t="inlineStr"/>
      <c r="K4074" s="3" t="inlineStr">
        <is>
          <t>Бракованная машина времени не работала и мастера, который ее сделал, съел динозавр. Для взрослых</t>
        </is>
      </c>
      <c r="L4074" s="2" t="inlineStr">
        <is>
          <t>https://animator.ru/db/?p=show_film&amp;fid=5153</t>
        </is>
      </c>
      <c r="M4074" s="2">
        <f>HYPERLINK("https://ru.wikipedia.org/w/index.php?search=%D0%9C%D0%B0%D1%88%D0%B8%D0%BD%D0%B0%20%D0%B2%D1%80%D0%B5%D0%BC%D0%B5%D0%BD%D0%B8%201988%20%D1%84%D0%B8%D0%BB%D1%8C%D0%BC","искать")</f>
        <v/>
      </c>
      <c r="N4074" s="3" t="n"/>
      <c r="O4074" s="2" t="n"/>
      <c r="P4074" s="2" t="n"/>
    </row>
    <row r="4075">
      <c r="A4075" s="2" t="n">
        <v>4074</v>
      </c>
      <c r="B4075" s="2" t="inlineStr">
        <is>
          <t>короткая</t>
        </is>
      </c>
      <c r="C4075" s="2" t="n">
        <v>8853</v>
      </c>
      <c r="D4075" s="3" t="inlineStr">
        <is>
          <t>Муслима</t>
        </is>
      </c>
      <c r="E4075" s="2" t="n">
        <v>1971</v>
      </c>
      <c r="F4075" s="2" t="inlineStr">
        <is>
          <t>кинофильм</t>
        </is>
      </c>
      <c r="G4075" s="2" t="n"/>
      <c r="H4075" s="2" t="n">
        <v>97</v>
      </c>
      <c r="I4075" s="2" t="inlineStr"/>
      <c r="J4075" s="2" t="inlineStr"/>
      <c r="K4075" s="3" t="inlineStr">
        <is>
          <t>Муслима, потерявшая на войне мужа, приютила немку Эмилию с детьми, эвакуированными из Прибалтики.</t>
        </is>
      </c>
      <c r="L4075" s="2" t="inlineStr">
        <is>
          <t>Кино_СССР сводный каталог.xlsx: список фильмов (доп.)</t>
        </is>
      </c>
      <c r="M4075" s="2">
        <f>HYPERLINK("https://ru.wikipedia.org/w/index.php?search=%D0%9C%D1%83%D1%81%D0%BB%D0%B8%D0%BC%D0%B0%201971%20%D1%84%D0%B8%D0%BB%D1%8C%D0%BC","искать")</f>
        <v/>
      </c>
      <c r="N4075" s="3" t="n"/>
      <c r="O4075" s="2" t="n"/>
      <c r="P4075" s="2" t="n"/>
    </row>
    <row r="4076">
      <c r="A4076" s="2" t="n">
        <v>4075</v>
      </c>
      <c r="B4076" s="2" t="inlineStr">
        <is>
          <t>короткая</t>
        </is>
      </c>
      <c r="C4076" s="2" t="n">
        <v>9187</v>
      </c>
      <c r="D4076" s="3" t="inlineStr">
        <is>
          <t>Я - граница</t>
        </is>
      </c>
      <c r="E4076" s="2" t="n">
        <v>1973</v>
      </c>
      <c r="F4076" s="2" t="inlineStr">
        <is>
          <t>кинофильм</t>
        </is>
      </c>
      <c r="G4076" s="2" t="n"/>
      <c r="H4076" s="2" t="n">
        <v>97</v>
      </c>
      <c r="I4076" s="2" t="inlineStr"/>
      <c r="J4076" s="2" t="inlineStr"/>
      <c r="K4076" s="3" t="inlineStr">
        <is>
          <t>О том, как советским пограничникам удалось обнаружить и обезвредить агентов иностранной разведки.</t>
        </is>
      </c>
      <c r="L4076" s="2" t="inlineStr">
        <is>
          <t>Кино_СССР сводный каталог.xlsx: список фильмов (доп.)</t>
        </is>
      </c>
      <c r="M4076" s="2">
        <f>HYPERLINK("https://ru.wikipedia.org/w/index.php?search=%D0%AF%20-%20%D0%B3%D1%80%D0%B0%D0%BD%D0%B8%D1%86%D0%B0%201973%20%D1%84%D0%B8%D0%BB%D1%8C%D0%BC","искать")</f>
        <v/>
      </c>
      <c r="N4076" s="3" t="n"/>
      <c r="O4076" s="2" t="n"/>
      <c r="P4076" s="2" t="n"/>
    </row>
    <row r="4077">
      <c r="A4077" s="2" t="n">
        <v>4076</v>
      </c>
      <c r="B4077" s="2" t="inlineStr">
        <is>
          <t>короткая</t>
        </is>
      </c>
      <c r="C4077" s="2" t="n">
        <v>9892</v>
      </c>
      <c r="D4077" s="3" t="inlineStr">
        <is>
          <t>Мушкетёры 4 "А"</t>
        </is>
      </c>
      <c r="E4077" s="2" t="n">
        <v>1972</v>
      </c>
      <c r="F4077" s="2" t="inlineStr">
        <is>
          <t>телефильм</t>
        </is>
      </c>
      <c r="G4077" s="2" t="inlineStr">
        <is>
          <t>Одесская киностудия, Подборки фильмов, отечественные фильмы про школу</t>
        </is>
      </c>
      <c r="H4077" s="2" t="n">
        <v>97</v>
      </c>
      <c r="I4077" s="2" t="inlineStr"/>
      <c r="J4077" s="2" t="inlineStr"/>
      <c r="K4077" s="3" t="inlineStr">
        <is>
          <t>По заказу Гостелерадио СССР.
О летних приключениях четверых ребят из рыбацкого поселка на Днепре.</t>
        </is>
      </c>
      <c r="L4077" s="2" t="inlineStr">
        <is>
          <t>https://www.kino-teatr.ru/short/movie/sov/15954/annot/</t>
        </is>
      </c>
      <c r="M4077" s="2">
        <f>HYPERLINK("https://ru.wikipedia.org/w/index.php?search=%D0%9C%D1%83%D1%88%D0%BA%D0%B5%D1%82%D1%91%D1%80%D1%8B%204%20%22%D0%90%22%201972%20%D1%84%D0%B8%D0%BB%D1%8C%D0%BC","искать")</f>
        <v/>
      </c>
      <c r="N4077" s="3" t="n"/>
      <c r="O4077" s="2" t="n"/>
      <c r="P4077" s="2" t="n"/>
    </row>
    <row r="4078">
      <c r="A4078" s="2" t="n">
        <v>4077</v>
      </c>
      <c r="B4078" s="2" t="inlineStr">
        <is>
          <t>короткая</t>
        </is>
      </c>
      <c r="C4078" s="2" t="n">
        <v>10027</v>
      </c>
      <c r="D4078" s="3" t="inlineStr">
        <is>
          <t>Вызов</t>
        </is>
      </c>
      <c r="E4078" s="2" t="n">
        <v>1988</v>
      </c>
      <c r="F4078" s="2" t="inlineStr">
        <is>
          <t>телефильм</t>
        </is>
      </c>
      <c r="G4078" s="2" t="inlineStr">
        <is>
          <t>"Таллинфильм" по заказу Гостелерадио СССР</t>
        </is>
      </c>
      <c r="H4078" s="2" t="n">
        <v>97</v>
      </c>
      <c r="I4078" s="2" t="inlineStr"/>
      <c r="J4078" s="2" t="inlineStr"/>
      <c r="K4078" s="3" t="inlineStr">
        <is>
          <t>О женщине-враче, которая сама не понимая, что ее беспокоит, обратилась за помощью к экстрасенсу..</t>
        </is>
      </c>
      <c r="L4078" s="2" t="inlineStr">
        <is>
          <t>https://www.kino-teatr.ru/short/movie/sov/81547/annot/</t>
        </is>
      </c>
      <c r="M4078" s="2">
        <f>HYPERLINK("https://ru.wikipedia.org/w/index.php?search=%D0%92%D1%8B%D0%B7%D0%BE%D0%B2%201988%20%D1%84%D0%B8%D0%BB%D1%8C%D0%BC","искать")</f>
        <v/>
      </c>
      <c r="N4078" s="3" t="n"/>
      <c r="O4078" s="2" t="n"/>
      <c r="P4078" s="2" t="n"/>
    </row>
    <row r="4079">
      <c r="A4079" s="2" t="n">
        <v>4078</v>
      </c>
      <c r="B4079" s="2" t="inlineStr">
        <is>
          <t>короткая</t>
        </is>
      </c>
      <c r="C4079" s="2" t="n">
        <v>10177</v>
      </c>
      <c r="D4079" s="3" t="inlineStr">
        <is>
          <t>Ты приходи к нам, приходи...</t>
        </is>
      </c>
      <c r="E4079" s="2" t="n">
        <v>1966</v>
      </c>
      <c r="F4079" s="2" t="inlineStr">
        <is>
          <t>фильм-спектакль</t>
        </is>
      </c>
      <c r="G4079" s="2" t="inlineStr">
        <is>
          <t>Ленинградское ТВ</t>
        </is>
      </c>
      <c r="H4079" s="2" t="n">
        <v>97</v>
      </c>
      <c r="I4079" s="2" t="inlineStr"/>
      <c r="J4079" s="2" t="inlineStr"/>
      <c r="K4079" s="3" t="inlineStr">
        <is>
          <t>По одноименной повести Виктора Голявкина.
О трогательной дружбе двух мальчишек - Ляльки и Саньки.</t>
        </is>
      </c>
      <c r="L4079" s="2" t="inlineStr">
        <is>
          <t>https://www.kino-teatr.ru/teatr/movie/92877/annot/</t>
        </is>
      </c>
      <c r="M4079" s="2">
        <f>HYPERLINK("https://ru.wikipedia.org/w/index.php?search=%D0%A2%D1%8B%20%D0%BF%D1%80%D0%B8%D1%85%D0%BE%D0%B4%D0%B8%20%D0%BA%20%D0%BD%D0%B0%D0%BC%2C%20%D0%BF%D1%80%D0%B8%D1%85%D0%BE%D0%B4%D0%B8...%201966%20%D1%84%D0%B8%D0%BB%D1%8C%D0%BC","искать")</f>
        <v/>
      </c>
      <c r="N4079" s="3" t="n"/>
      <c r="O4079" s="2" t="n"/>
      <c r="P4079" s="2" t="n"/>
    </row>
    <row r="4080">
      <c r="A4080" s="2" t="n">
        <v>4079</v>
      </c>
      <c r="B4080" s="2" t="inlineStr">
        <is>
          <t>короткая</t>
        </is>
      </c>
      <c r="C4080" s="2" t="n">
        <v>12221</v>
      </c>
      <c r="D4080" s="3" t="inlineStr">
        <is>
          <t>Поползновение</t>
        </is>
      </c>
      <c r="E4080" s="2" t="n">
        <v>1987</v>
      </c>
      <c r="F4080" s="2" t="inlineStr">
        <is>
          <t>мультфильм</t>
        </is>
      </c>
      <c r="G4080" s="2" t="inlineStr">
        <is>
          <t>Союзмультфильм</t>
        </is>
      </c>
      <c r="H4080" s="2" t="n">
        <v>97</v>
      </c>
      <c r="I4080" s="2" t="inlineStr"/>
      <c r="J4080" s="2" t="inlineStr"/>
      <c r="K4080" s="3" t="inlineStr">
        <is>
          <t>Притча о столкновении танка с "мирными" игрушками. Рука ребенка останавливает войну. Для взрослых</t>
        </is>
      </c>
      <c r="L4080" s="2" t="inlineStr">
        <is>
          <t>https://animator.ru/db/?p=show_film&amp;fid=3338</t>
        </is>
      </c>
      <c r="M4080" s="2">
        <f>HYPERLINK("https://ru.wikipedia.org/w/index.php?search=%D0%9F%D0%BE%D0%BF%D0%BE%D0%BB%D0%B7%D0%BD%D0%BE%D0%B2%D0%B5%D0%BD%D0%B8%D0%B5%201987%20%D1%84%D0%B8%D0%BB%D1%8C%D0%BC","искать")</f>
        <v/>
      </c>
      <c r="N4080" s="3" t="n"/>
      <c r="O4080" s="2" t="n"/>
      <c r="P4080" s="2" t="n"/>
    </row>
    <row r="4081">
      <c r="A4081" s="2" t="n">
        <v>4080</v>
      </c>
      <c r="B4081" s="2" t="inlineStr">
        <is>
          <t>короткая</t>
        </is>
      </c>
      <c r="C4081" s="2" t="n">
        <v>8114</v>
      </c>
      <c r="D4081" s="3" t="inlineStr">
        <is>
          <t>Пишите письма</t>
        </is>
      </c>
      <c r="E4081" s="2" t="n">
        <v>1981</v>
      </c>
      <c r="F4081" s="2" t="inlineStr">
        <is>
          <t>телефильм</t>
        </is>
      </c>
      <c r="G4081" s="2" t="n"/>
      <c r="H4081" s="2" t="n">
        <v>98</v>
      </c>
      <c r="I4081" s="2" t="inlineStr"/>
      <c r="J4081" s="2" t="inlineStr"/>
      <c r="K4081" s="3" t="inlineStr">
        <is>
          <t>Кинокомедия о том, как в одном осетинском колхозе организовали вокально-инструментальный ансамбль.</t>
        </is>
      </c>
      <c r="L4081" s="2" t="inlineStr">
        <is>
          <t>Кино_СССР сводный каталог.xlsx: список телефильмов</t>
        </is>
      </c>
      <c r="M4081" s="2">
        <f>HYPERLINK("https://ru.wikipedia.org/w/index.php?search=%D0%9F%D0%B8%D1%88%D0%B8%D1%82%D0%B5%20%D0%BF%D0%B8%D1%81%D1%8C%D0%BC%D0%B0%201981%20%D1%84%D0%B8%D0%BB%D1%8C%D0%BC","искать")</f>
        <v/>
      </c>
      <c r="N4081" s="3" t="n"/>
      <c r="O4081" s="2" t="n"/>
      <c r="P4081" s="2" t="n"/>
    </row>
    <row r="4082">
      <c r="A4082" s="2" t="n">
        <v>4081</v>
      </c>
      <c r="B4082" s="2" t="inlineStr">
        <is>
          <t>короткая</t>
        </is>
      </c>
      <c r="C4082" s="2" t="n">
        <v>11019</v>
      </c>
      <c r="D4082" s="3" t="inlineStr">
        <is>
          <t>Хромой Тимур</t>
        </is>
      </c>
      <c r="E4082" s="2" t="n">
        <v>1983</v>
      </c>
      <c r="F4082" s="2" t="inlineStr">
        <is>
          <t>фильм-спектакль</t>
        </is>
      </c>
      <c r="G4082" s="2" t="n"/>
      <c r="H4082" s="2" t="n">
        <v>98</v>
      </c>
      <c r="I4082" s="2" t="inlineStr"/>
      <c r="J4082" s="2" t="inlineStr"/>
      <c r="K4082" s="3" t="inlineStr">
        <is>
          <t>Телевизионный спектакль. Ухудшение отношений между Амиром Тимуром и Баязидом стало причиной войны.</t>
        </is>
      </c>
      <c r="L4082" s="2" t="inlineStr">
        <is>
          <t>https://www.kino-teatr.ru/teatr/movie/106181/annot/</t>
        </is>
      </c>
      <c r="M4082" s="2">
        <f>HYPERLINK("https://ru.wikipedia.org/w/index.php?search=%D0%A5%D1%80%D0%BE%D0%BC%D0%BE%D0%B9%20%D0%A2%D0%B8%D0%BC%D1%83%D1%80%201983%20%D1%84%D0%B8%D0%BB%D1%8C%D0%BC","искать")</f>
        <v/>
      </c>
      <c r="N4082" s="3" t="n"/>
      <c r="O4082" s="2" t="n"/>
      <c r="P4082" s="2" t="n"/>
    </row>
    <row r="4083">
      <c r="A4083" s="2" t="n">
        <v>4082</v>
      </c>
      <c r="B4083" s="2" t="inlineStr">
        <is>
          <t>короткая</t>
        </is>
      </c>
      <c r="C4083" s="2" t="n">
        <v>11630</v>
      </c>
      <c r="D4083" s="3" t="inlineStr">
        <is>
          <t>КАЛЕЙДОСКОП-71 (вып.2).ДОЖДИК</t>
        </is>
      </c>
      <c r="E4083" s="2" t="n">
        <v>1971</v>
      </c>
      <c r="F4083" s="2" t="inlineStr">
        <is>
          <t>мультфильм</t>
        </is>
      </c>
      <c r="G4083" s="2" t="inlineStr">
        <is>
          <t>Союзмультфильм</t>
        </is>
      </c>
      <c r="H4083" s="2" t="n">
        <v>98</v>
      </c>
      <c r="I4083" s="2" t="inlineStr"/>
      <c r="J4083" s="2" t="inlineStr"/>
      <c r="K4083" s="3" t="inlineStr">
        <is>
          <t>Для взрослых. О молодой паре, застигнутой дождем. Второй сюжет - "Шкаф" (см). Общий метраж 1 часть</t>
        </is>
      </c>
      <c r="L4083" s="2" t="inlineStr">
        <is>
          <t>https://animator.ru/db/?p=show_film&amp;fid=2544</t>
        </is>
      </c>
      <c r="M4083" s="2">
        <f>HYPERLINK("https://ru.wikipedia.org/w/index.php?search=%D0%9A%D0%90%D0%9B%D0%95%D0%99%D0%94%D0%9E%D0%A1%D0%9A%D0%9E%D0%9F-71%20%28%D0%B2%D1%8B%D0%BF.2%29.%D0%94%D0%9E%D0%96%D0%94%D0%98%D0%9A%201971%20%D1%84%D0%B8%D0%BB%D1%8C%D0%BC","искать")</f>
        <v/>
      </c>
      <c r="N4083" s="3" t="n"/>
      <c r="O4083" s="2" t="n"/>
      <c r="P4083" s="2" t="n"/>
    </row>
    <row r="4084">
      <c r="A4084" s="2" t="n">
        <v>4083</v>
      </c>
      <c r="B4084" s="2" t="inlineStr">
        <is>
          <t>короткая</t>
        </is>
      </c>
      <c r="C4084" s="2" t="n">
        <v>12493</v>
      </c>
      <c r="D4084" s="3" t="inlineStr">
        <is>
          <t>Папа, мама и золотая рыбка</t>
        </is>
      </c>
      <c r="E4084" s="2" t="n">
        <v>1976</v>
      </c>
      <c r="F4084" s="2" t="inlineStr">
        <is>
          <t>мультфильм</t>
        </is>
      </c>
      <c r="G4084" s="2" t="inlineStr">
        <is>
          <t>КИЕВНАУЧФИЛЬМ</t>
        </is>
      </c>
      <c r="H4084" s="2" t="n">
        <v>98</v>
      </c>
      <c r="I4084" s="2" t="inlineStr"/>
      <c r="J4084" s="2" t="inlineStr"/>
      <c r="K4084" s="3" t="inlineStr">
        <is>
          <t>Трудно ребенку, если поссорились папа с мамой... Но на помощь приходит Золотая рыбка. Для малышей.</t>
        </is>
      </c>
      <c r="L4084" s="2" t="inlineStr">
        <is>
          <t>2026-10_мультфильмы_список_владельца.xlsx; https://animator.ru/db/?p=show_film&amp;fid=3668</t>
        </is>
      </c>
      <c r="M4084" s="2">
        <f>HYPERLINK("https://ru.wikipedia.org/w/index.php?search=%D0%9F%D0%B0%D0%BF%D0%B0%2C%20%D0%BC%D0%B0%D0%BC%D0%B0%20%D0%B8%20%D0%B7%D0%BE%D0%BB%D0%BE%D1%82%D0%B0%D1%8F%20%D1%80%D1%8B%D0%B1%D0%BA%D0%B0%201976%20%D1%84%D0%B8%D0%BB%D1%8C%D0%BC","искать")</f>
        <v/>
      </c>
      <c r="N4084" s="3" t="n"/>
      <c r="O4084" s="2" t="n"/>
      <c r="P4084" s="2" t="n"/>
    </row>
    <row r="4085">
      <c r="A4085" s="2" t="n">
        <v>4084</v>
      </c>
      <c r="B4085" s="2" t="inlineStr">
        <is>
          <t>короткая</t>
        </is>
      </c>
      <c r="C4085" s="2" t="n">
        <v>12938</v>
      </c>
      <c r="D4085" s="3" t="inlineStr">
        <is>
          <t>Сказка на колесах</t>
        </is>
      </c>
      <c r="E4085" s="2" t="n">
        <v>1981</v>
      </c>
      <c r="F4085" s="2" t="inlineStr">
        <is>
          <t>мультфильм</t>
        </is>
      </c>
      <c r="G4085" s="2" t="inlineStr">
        <is>
          <t>ГРУЗИЯ-ФИЛЬМ - АО</t>
        </is>
      </c>
      <c r="H4085" s="2" t="n">
        <v>98</v>
      </c>
      <c r="I4085" s="2" t="inlineStr"/>
      <c r="J4085" s="2" t="inlineStr"/>
      <c r="K4085" s="3" t="inlineStr">
        <is>
          <t>По мотивам грузинской народной сказки. О злом человечке-чердачнике, который боялся детского смеха.</t>
        </is>
      </c>
      <c r="L4085" s="2" t="inlineStr">
        <is>
          <t>2026-10_мультфильмы_список_владельца.xlsx; https://animator.ru/db/?p=show_film&amp;fid=4168</t>
        </is>
      </c>
      <c r="M4085" s="2">
        <f>HYPERLINK("https://ru.wikipedia.org/w/index.php?search=%D0%A1%D0%BA%D0%B0%D0%B7%D0%BA%D0%B0%20%D0%BD%D0%B0%20%D0%BA%D0%BE%D0%BB%D0%B5%D1%81%D0%B0%D1%85%201981%20%D1%84%D0%B8%D0%BB%D1%8C%D0%BC","искать")</f>
        <v/>
      </c>
      <c r="N4085" s="3" t="n"/>
      <c r="O4085" s="2" t="n"/>
      <c r="P4085" s="2" t="n"/>
    </row>
    <row r="4086">
      <c r="A4086" s="2" t="n">
        <v>4085</v>
      </c>
      <c r="B4086" s="2" t="inlineStr">
        <is>
          <t>короткая</t>
        </is>
      </c>
      <c r="C4086" s="2" t="n">
        <v>13456</v>
      </c>
      <c r="D4086" s="3" t="inlineStr">
        <is>
          <t>Аттракцион</t>
        </is>
      </c>
      <c r="E4086" s="2" t="n">
        <v>1983</v>
      </c>
      <c r="F4086" s="2" t="inlineStr">
        <is>
          <t>мультфильм</t>
        </is>
      </c>
      <c r="G4086" s="2" t="inlineStr">
        <is>
          <t>ЭКРАН</t>
        </is>
      </c>
      <c r="H4086" s="2" t="n">
        <v>98</v>
      </c>
      <c r="I4086" s="2" t="inlineStr"/>
      <c r="J4086" s="2" t="inlineStr"/>
      <c r="K4086" s="3" t="inlineStr">
        <is>
          <t>Представление, которое устраивают на ярмарке знаменитые Панч, Пульчинелла и Петрушка. Для взрослых</t>
        </is>
      </c>
      <c r="L4086" s="2" t="inlineStr">
        <is>
          <t>https://animator.ru/db/?p=show_film&amp;fid=4737</t>
        </is>
      </c>
      <c r="M4086" s="2">
        <f>HYPERLINK("https://ru.wikipedia.org/w/index.php?search=%D0%90%D1%82%D1%82%D1%80%D0%B0%D0%BA%D1%86%D0%B8%D0%BE%D0%BD%201983%20%D1%84%D0%B8%D0%BB%D1%8C%D0%BC","искать")</f>
        <v/>
      </c>
      <c r="N4086" s="3" t="n"/>
      <c r="O4086" s="2" t="n"/>
      <c r="P4086" s="2" t="n"/>
    </row>
    <row r="4087">
      <c r="A4087" s="2" t="n">
        <v>4086</v>
      </c>
      <c r="B4087" s="2" t="inlineStr">
        <is>
          <t>короткая</t>
        </is>
      </c>
      <c r="C4087" s="2" t="n">
        <v>13520</v>
      </c>
      <c r="D4087" s="3" t="inlineStr">
        <is>
          <t>Умная собачка Соня (1/2)</t>
        </is>
      </c>
      <c r="E4087" s="2" t="n">
        <v>1991</v>
      </c>
      <c r="F4087" s="2" t="inlineStr">
        <is>
          <t>мультфильм</t>
        </is>
      </c>
      <c r="G4087" s="2" t="inlineStr">
        <is>
          <t>ЭКРАН</t>
        </is>
      </c>
      <c r="H4087" s="2" t="n">
        <v>98</v>
      </c>
      <c r="I4087" s="2" t="inlineStr"/>
      <c r="J4087" s="2" t="inlineStr"/>
      <c r="K4087" s="3" t="inlineStr">
        <is>
          <t>О забавной собачке Соне, которая, попадая в сложные ситуации, делала для себя поучительные выводы.</t>
        </is>
      </c>
      <c r="L4087" s="2" t="inlineStr">
        <is>
          <t>https://animator.ru/db/?p=show_film&amp;fid=4832</t>
        </is>
      </c>
      <c r="M4087" s="2">
        <f>HYPERLINK("https://ru.wikipedia.org/w/index.php?search=%D0%A3%D0%BC%D0%BD%D0%B0%D1%8F%20%D1%81%D0%BE%D0%B1%D0%B0%D1%87%D0%BA%D0%B0%20%D0%A1%D0%BE%D0%BD%D1%8F%20%281/2%29%201991%20%D1%84%D0%B8%D0%BB%D1%8C%D0%BC","искать")</f>
        <v/>
      </c>
      <c r="N4087" s="3" t="n"/>
      <c r="O4087" s="2" t="n"/>
      <c r="P4087" s="2" t="n"/>
    </row>
    <row r="4088">
      <c r="A4088" s="2" t="n">
        <v>4087</v>
      </c>
      <c r="B4088" s="2" t="inlineStr">
        <is>
          <t>короткая</t>
        </is>
      </c>
      <c r="C4088" s="2" t="n">
        <v>14027</v>
      </c>
      <c r="D4088" s="3" t="inlineStr">
        <is>
          <t>Клад на пустыре</t>
        </is>
      </c>
      <c r="E4088" s="2" t="n">
        <v>1987</v>
      </c>
      <c r="F4088" s="2" t="inlineStr">
        <is>
          <t>мультфильм</t>
        </is>
      </c>
      <c r="G4088" s="2" t="inlineStr">
        <is>
          <t>УЗБЕКФИЛЬМ</t>
        </is>
      </c>
      <c r="H4088" s="2" t="n">
        <v>98</v>
      </c>
      <c r="I4088" s="2" t="inlineStr"/>
      <c r="J4088" s="2" t="inlineStr"/>
      <c r="K4088" s="3" t="inlineStr">
        <is>
          <t>В поисках клада Барбос вскопал пустырь и понял, что за клад он нашел, когда все на нем зазеленело.</t>
        </is>
      </c>
      <c r="L4088" s="2" t="inlineStr">
        <is>
          <t>2026-10_мультфильмы_список_владельца.xlsx; https://animator.ru/db/?p=show_film&amp;fid=5423</t>
        </is>
      </c>
      <c r="M4088" s="2">
        <f>HYPERLINK("https://ru.wikipedia.org/w/index.php?search=%D0%9A%D0%BB%D0%B0%D0%B4%20%D0%BD%D0%B0%20%D0%BF%D1%83%D1%81%D1%82%D1%8B%D1%80%D0%B5%201987%20%D1%84%D0%B8%D0%BB%D1%8C%D0%BC","искать")</f>
        <v/>
      </c>
      <c r="N4088" s="3" t="n"/>
      <c r="O4088" s="2" t="n"/>
      <c r="P4088" s="2" t="n"/>
    </row>
    <row r="4089">
      <c r="A4089" s="2" t="n">
        <v>4088</v>
      </c>
      <c r="B4089" s="2" t="inlineStr">
        <is>
          <t>короткая</t>
        </is>
      </c>
      <c r="C4089" s="2" t="n">
        <v>8480</v>
      </c>
      <c r="D4089" s="3" t="inlineStr">
        <is>
          <t>Три оплеухи</t>
        </is>
      </c>
      <c r="E4089" s="2" t="n">
        <v>1982</v>
      </c>
      <c r="F4089" s="2" t="inlineStr">
        <is>
          <t>телефильм</t>
        </is>
      </c>
      <c r="G4089" s="2" t="n"/>
      <c r="H4089" s="2" t="n">
        <v>99</v>
      </c>
      <c r="I4089" s="2" t="inlineStr"/>
      <c r="J4089" s="2" t="inlineStr"/>
      <c r="K4089" s="3" t="inlineStr">
        <is>
          <t>Музыкальный фильм-сказка о молодом царе, который полюбил дочь ремесленника и решил на ней жениться.</t>
        </is>
      </c>
      <c r="L4089" s="2" t="inlineStr">
        <is>
          <t>Кино_СССР сводный каталог.xlsx: список телефильмов</t>
        </is>
      </c>
      <c r="M4089" s="2">
        <f>HYPERLINK("https://ru.wikipedia.org/w/index.php?search=%D0%A2%D1%80%D0%B8%20%D0%BE%D0%BF%D0%BB%D0%B5%D1%83%D1%85%D0%B8%201982%20%D1%84%D0%B8%D0%BB%D1%8C%D0%BC","искать")</f>
        <v/>
      </c>
      <c r="N4089" s="3" t="n"/>
      <c r="O4089" s="2" t="n"/>
      <c r="P4089" s="2" t="n"/>
    </row>
    <row r="4090">
      <c r="A4090" s="2" t="n">
        <v>4089</v>
      </c>
      <c r="B4090" s="2" t="inlineStr">
        <is>
          <t>короткая</t>
        </is>
      </c>
      <c r="C4090" s="2" t="n">
        <v>9382</v>
      </c>
      <c r="D4090" s="3" t="inlineStr">
        <is>
          <t>Зона</t>
        </is>
      </c>
      <c r="E4090" s="2" t="n">
        <v>1988</v>
      </c>
      <c r="F4090" s="2" t="inlineStr">
        <is>
          <t>кинофильм</t>
        </is>
      </c>
      <c r="G4090" s="2" t="n"/>
      <c r="H4090" s="2" t="n">
        <v>99</v>
      </c>
      <c r="I4090" s="2" t="inlineStr"/>
      <c r="J4090" s="2" t="inlineStr"/>
      <c r="K4090" s="3" t="inlineStr">
        <is>
          <t>По пьесе Миколы Кулиша. Голод 1925 года. История трех друзей-коммунистов, предавших высокие идеалы.</t>
        </is>
      </c>
      <c r="L4090" s="2" t="inlineStr">
        <is>
          <t>Кино_СССР сводный каталог.xlsx: список фильмов (доп.)</t>
        </is>
      </c>
      <c r="M4090" s="2">
        <f>HYPERLINK("https://ru.wikipedia.org/w/index.php?search=%D0%97%D0%BE%D0%BD%D0%B0%201988%20%D1%84%D0%B8%D0%BB%D1%8C%D0%BC","искать")</f>
        <v/>
      </c>
      <c r="N4090" s="3" t="n"/>
      <c r="O4090" s="2" t="n"/>
      <c r="P4090" s="2" t="n"/>
    </row>
    <row r="4091">
      <c r="A4091" s="2" t="n">
        <v>4090</v>
      </c>
      <c r="B4091" s="2" t="inlineStr">
        <is>
          <t>короткая</t>
        </is>
      </c>
      <c r="C4091" s="2" t="n">
        <v>10245</v>
      </c>
      <c r="D4091" s="3" t="inlineStr">
        <is>
          <t>Жизнь Матвея Кожемякина</t>
        </is>
      </c>
      <c r="E4091" s="2" t="n">
        <v>1968</v>
      </c>
      <c r="F4091" s="2" t="inlineStr">
        <is>
          <t>фильм-спектакль</t>
        </is>
      </c>
      <c r="G4091" s="2" t="inlineStr">
        <is>
          <t>Лентелефильм</t>
        </is>
      </c>
      <c r="H4091" s="2" t="n">
        <v>99</v>
      </c>
      <c r="I4091" s="2" t="inlineStr"/>
      <c r="J4091" s="2" t="inlineStr"/>
      <c r="K4091" s="3" t="inlineStr">
        <is>
          <t>По повести Максима Горького.
Матвей Кожемякин болел, страдал, бунтовал против надвигающейся смерти.</t>
        </is>
      </c>
      <c r="L4091" s="2" t="inlineStr">
        <is>
          <t>https://www.kino-teatr.ru/teatr/movie/14902/annot/</t>
        </is>
      </c>
      <c r="M4091" s="2">
        <f>HYPERLINK("https://ru.wikipedia.org/w/index.php?search=%D0%96%D0%B8%D0%B7%D0%BD%D1%8C%20%D0%9C%D0%B0%D1%82%D0%B2%D0%B5%D1%8F%20%D0%9A%D0%BE%D0%B6%D0%B5%D0%BC%D1%8F%D0%BA%D0%B8%D0%BD%D0%B0%201968%20%D1%84%D0%B8%D0%BB%D1%8C%D0%BC","искать")</f>
        <v/>
      </c>
      <c r="N4091" s="3" t="n"/>
      <c r="O4091" s="2" t="n"/>
      <c r="P4091" s="2" t="n"/>
    </row>
    <row r="4092">
      <c r="A4092" s="2" t="n">
        <v>4091</v>
      </c>
      <c r="B4092" s="2" t="inlineStr">
        <is>
          <t>короткая</t>
        </is>
      </c>
      <c r="C4092" s="2" t="n">
        <v>11991</v>
      </c>
      <c r="D4092" s="3" t="inlineStr">
        <is>
          <t>Так сойдет!</t>
        </is>
      </c>
      <c r="E4092" s="2" t="n">
        <v>1981</v>
      </c>
      <c r="F4092" s="2" t="inlineStr">
        <is>
          <t>мультфильм</t>
        </is>
      </c>
      <c r="G4092" s="2" t="inlineStr">
        <is>
          <t>Союзмультфильм</t>
        </is>
      </c>
      <c r="H4092" s="2" t="n">
        <v>99</v>
      </c>
      <c r="I4092" s="2" t="inlineStr"/>
      <c r="J4092" s="2" t="inlineStr"/>
      <c r="K4092" s="3" t="inlineStr">
        <is>
          <t>Мультфильм о зайчике, которому было лень доводить дела до конца и о том, чем это может закончиться.</t>
        </is>
      </c>
      <c r="L4092" s="2" t="inlineStr">
        <is>
          <t>2026-10_мультфильмы_список_владельца.xlsx; https://animator.ru/db/?p=show_film&amp;fid=3105</t>
        </is>
      </c>
      <c r="M4092" s="2">
        <f>HYPERLINK("https://ru.wikipedia.org/w/index.php?search=%D0%A2%D0%B0%D0%BA%20%D1%81%D0%BE%D0%B9%D0%B4%D0%B5%D1%82%21%201981%20%D1%84%D0%B8%D0%BB%D1%8C%D0%BC","искать")</f>
        <v/>
      </c>
      <c r="N4092" s="3" t="n"/>
      <c r="O4092" s="2" t="n"/>
      <c r="P4092" s="2" t="n"/>
    </row>
    <row r="4093">
      <c r="A4093" s="2" t="n">
        <v>4092</v>
      </c>
      <c r="B4093" s="2" t="inlineStr">
        <is>
          <t>короткая</t>
        </is>
      </c>
      <c r="C4093" s="2" t="n">
        <v>12381</v>
      </c>
      <c r="D4093" s="3" t="inlineStr">
        <is>
          <t>Золотая липа</t>
        </is>
      </c>
      <c r="E4093" s="2" t="n">
        <v>1980</v>
      </c>
      <c r="F4093" s="2" t="inlineStr">
        <is>
          <t>мультфильм</t>
        </is>
      </c>
      <c r="G4093" s="2" t="inlineStr">
        <is>
          <t>КИЕВНАУЧФИЛЬМ</t>
        </is>
      </c>
      <c r="H4093" s="2" t="n">
        <v>99</v>
      </c>
      <c r="I4093" s="2" t="inlineStr"/>
      <c r="J4093" s="2" t="inlineStr"/>
      <c r="K4093" s="3" t="inlineStr">
        <is>
          <t>О том, как львенок и китенок отправились за липовыми цветками, чтобы вылечить заболевшую обезьянку.</t>
        </is>
      </c>
      <c r="L4093" s="2" t="inlineStr">
        <is>
          <t>https://animator.ru/db/?p=show_film&amp;fid=3551</t>
        </is>
      </c>
      <c r="M4093" s="2">
        <f>HYPERLINK("https://ru.wikipedia.org/w/index.php?search=%D0%97%D0%BE%D0%BB%D0%BE%D1%82%D0%B0%D1%8F%20%D0%BB%D0%B8%D0%BF%D0%B0%201980%20%D1%84%D0%B8%D0%BB%D1%8C%D0%BC","искать")</f>
        <v/>
      </c>
      <c r="N4093" s="3" t="n"/>
      <c r="O4093" s="2" t="n"/>
      <c r="P4093" s="2" t="n"/>
    </row>
    <row r="4094">
      <c r="A4094" s="2" t="n">
        <v>4093</v>
      </c>
      <c r="B4094" s="2" t="inlineStr">
        <is>
          <t>короткая</t>
        </is>
      </c>
      <c r="C4094" s="2" t="n">
        <v>13137</v>
      </c>
      <c r="D4094" s="3" t="inlineStr">
        <is>
          <t>Дед и журавль</t>
        </is>
      </c>
      <c r="E4094" s="2" t="n">
        <v>1983</v>
      </c>
      <c r="F4094" s="2" t="inlineStr">
        <is>
          <t>мультфильм</t>
        </is>
      </c>
      <c r="G4094" s="2" t="inlineStr">
        <is>
          <t>БЕЛАРУСЬФИЛЬМ НАЦИОНАЛЬНАЯ КИНОСТУДИЯ - ГП</t>
        </is>
      </c>
      <c r="H4094" s="2" t="n">
        <v>99</v>
      </c>
      <c r="I4094" s="2" t="inlineStr"/>
      <c r="J4094" s="2" t="inlineStr"/>
      <c r="K4094" s="3" t="inlineStr">
        <is>
          <t>По мотивам народной сказки о волшебном журавле, который помог деду с бабкой и наказал злого богача.</t>
        </is>
      </c>
      <c r="L4094" s="2" t="inlineStr">
        <is>
          <t>2026-10_мультфильмы_список_владельца.xlsx; https://animator.ru/db/?p=show_film&amp;fid=4369</t>
        </is>
      </c>
      <c r="M4094" s="2">
        <f>HYPERLINK("https://ru.wikipedia.org/w/index.php?search=%D0%94%D0%B5%D0%B4%20%D0%B8%20%D0%B6%D1%83%D1%80%D0%B0%D0%B2%D0%BB%D1%8C%201983%20%D1%84%D0%B8%D0%BB%D1%8C%D0%BC","искать")</f>
        <v/>
      </c>
      <c r="N4094" s="3" t="n"/>
      <c r="O4094" s="2" t="n"/>
      <c r="P4094" s="2" t="n"/>
    </row>
    <row r="4095">
      <c r="A4095" s="2" t="n">
        <v>4094</v>
      </c>
      <c r="B4095" s="2" t="inlineStr">
        <is>
          <t>короткая</t>
        </is>
      </c>
      <c r="C4095" s="2" t="n">
        <v>13398</v>
      </c>
      <c r="D4095" s="3" t="inlineStr">
        <is>
          <t>Стальное колечко</t>
        </is>
      </c>
      <c r="E4095" s="2" t="n">
        <v>1979</v>
      </c>
      <c r="F4095" s="2" t="inlineStr">
        <is>
          <t>мультфильм</t>
        </is>
      </c>
      <c r="G4095" s="2" t="inlineStr">
        <is>
          <t>ЭКРАН</t>
        </is>
      </c>
      <c r="H4095" s="2" t="n">
        <v>99</v>
      </c>
      <c r="I4095" s="2" t="inlineStr"/>
      <c r="J4095" s="2" t="inlineStr"/>
      <c r="K4095" s="3" t="inlineStr">
        <is>
          <t>По мотивам одноименной сказки К.Паустовского. О том, как девочка поверила в чудо, и оно свершилось.</t>
        </is>
      </c>
      <c r="L4095" s="2" t="inlineStr">
        <is>
          <t>2026-10_мультфильмы_список_владельца.xlsx; https://animator.ru/db/?p=show_film&amp;fid=4678</t>
        </is>
      </c>
      <c r="M4095" s="2">
        <f>HYPERLINK("https://ru.wikipedia.org/w/index.php?search=%D0%A1%D1%82%D0%B0%D0%BB%D1%8C%D0%BD%D0%BE%D0%B5%20%D0%BA%D0%BE%D0%BB%D0%B5%D1%87%D0%BA%D0%BE%201979%20%D1%84%D0%B8%D0%BB%D1%8C%D0%BC","искать")</f>
        <v/>
      </c>
      <c r="N4095" s="3" t="n"/>
      <c r="O4095" s="2" t="n"/>
      <c r="P4095" s="2" t="n"/>
    </row>
    <row r="4096">
      <c r="A4096" s="2" t="n">
        <v>4095</v>
      </c>
      <c r="B4096" s="2" t="inlineStr">
        <is>
          <t>короткая</t>
        </is>
      </c>
      <c r="C4096" s="2" t="n">
        <v>13599</v>
      </c>
      <c r="D4096" s="3" t="inlineStr">
        <is>
          <t>В тусклом царстве, в сером государстве</t>
        </is>
      </c>
      <c r="E4096" s="2" t="n">
        <v>1981</v>
      </c>
      <c r="F4096" s="2" t="inlineStr">
        <is>
          <t>мультфильм</t>
        </is>
      </c>
      <c r="G4096" s="2" t="inlineStr">
        <is>
          <t>КУЙБЫШЕВТЕЛЕФИЛЬМ</t>
        </is>
      </c>
      <c r="H4096" s="2" t="n">
        <v>99</v>
      </c>
      <c r="I4096" s="2" t="inlineStr"/>
      <c r="J4096" s="2" t="inlineStr"/>
      <c r="K4096" s="3" t="inlineStr">
        <is>
          <t>Как братья Цветные Карандаши и сестра Добрая Кисточка победили врагов многоцветного мира. Для детей</t>
        </is>
      </c>
      <c r="L4096" s="2" t="inlineStr">
        <is>
          <t>https://animator.ru/db/?p=show_film&amp;fid=4949</t>
        </is>
      </c>
      <c r="M4096" s="2">
        <f>HYPERLINK("https://ru.wikipedia.org/w/index.php?search=%D0%92%20%D1%82%D1%83%D1%81%D0%BA%D0%BB%D0%BE%D0%BC%20%D1%86%D0%B0%D1%80%D1%81%D1%82%D0%B2%D0%B5%2C%20%D0%B2%20%D1%81%D0%B5%D1%80%D0%BE%D0%BC%20%D0%B3%D0%BE%D1%81%D1%83%D0%B4%D0%B0%D1%80%D1%81%D1%82%D0%B2%D0%B5%201981%20%D1%84%D0%B8%D0%BB%D1%8C%D0%BC","искать")</f>
        <v/>
      </c>
      <c r="N4096" s="3" t="n"/>
      <c r="O4096" s="2" t="n"/>
      <c r="P4096" s="2" t="n"/>
    </row>
    <row r="4097">
      <c r="A4097" s="2" t="n">
        <v>4096</v>
      </c>
      <c r="B4097" s="2" t="inlineStr">
        <is>
          <t>короткая</t>
        </is>
      </c>
      <c r="C4097" s="2" t="n">
        <v>13826</v>
      </c>
      <c r="D4097" s="3" t="inlineStr">
        <is>
          <t>Площадь картонных часов</t>
        </is>
      </c>
      <c r="E4097" s="2" t="n">
        <v>1986</v>
      </c>
      <c r="F4097" s="2" t="inlineStr">
        <is>
          <t>мультфильм</t>
        </is>
      </c>
      <c r="G4097" s="2" t="inlineStr">
        <is>
          <t>ЭКРАН</t>
        </is>
      </c>
      <c r="H4097" s="2" t="n">
        <v>99</v>
      </c>
      <c r="I4097" s="2" t="inlineStr"/>
      <c r="J4097" s="2" t="inlineStr"/>
      <c r="K4097" s="3" t="inlineStr">
        <is>
          <t>Приключения зрителей картонного городка, которых вырезал из шляпных коробок мастер Тулья. Для детей</t>
        </is>
      </c>
      <c r="L4097" s="2" t="inlineStr">
        <is>
          <t>https://animator.ru/db/?p=show_film&amp;fid=5219</t>
        </is>
      </c>
      <c r="M4097" s="2">
        <f>HYPERLINK("https://ru.wikipedia.org/w/index.php?search=%D0%9F%D0%BB%D0%BE%D1%89%D0%B0%D0%B4%D1%8C%20%D0%BA%D0%B0%D1%80%D1%82%D0%BE%D0%BD%D0%BD%D1%8B%D1%85%20%D1%87%D0%B0%D1%81%D0%BE%D0%B2%201986%20%D1%84%D0%B8%D0%BB%D1%8C%D0%BC","искать")</f>
        <v/>
      </c>
      <c r="N4097" s="3" t="n"/>
      <c r="O4097" s="2" t="n"/>
      <c r="P4097" s="2" t="n"/>
    </row>
    <row r="4098">
      <c r="A4098" s="2" t="n">
        <v>4097</v>
      </c>
      <c r="B4098" s="2" t="inlineStr">
        <is>
          <t>короткая</t>
        </is>
      </c>
      <c r="C4098" s="2" t="n">
        <v>14133</v>
      </c>
      <c r="D4098" s="3" t="inlineStr">
        <is>
          <t>Медвежонок Римцимци</t>
        </is>
      </c>
      <c r="E4098" s="2" t="n">
        <v>1966</v>
      </c>
      <c r="F4098" s="2" t="inlineStr">
        <is>
          <t>мультфильм</t>
        </is>
      </c>
      <c r="G4098" s="2" t="inlineStr">
        <is>
          <t>ЛЕНТЕЛЕФИЛЬМ - ГП</t>
        </is>
      </c>
      <c r="H4098" s="2" t="n">
        <v>99</v>
      </c>
      <c r="I4098" s="2" t="inlineStr"/>
      <c r="J4098" s="2" t="inlineStr"/>
      <c r="K4098" s="3" t="inlineStr">
        <is>
          <t>Съмка с экрана кинекопа. О медвежонке Римцимци, который нашел друга и спас его от беды. Для малышей</t>
        </is>
      </c>
      <c r="L4098" s="2" t="inlineStr">
        <is>
          <t>https://animator.ru/db/?p=show_film&amp;fid=5531</t>
        </is>
      </c>
      <c r="M4098" s="2">
        <f>HYPERLINK("https://ru.wikipedia.org/w/index.php?search=%D0%9C%D0%B5%D0%B4%D0%B2%D0%B5%D0%B6%D0%BE%D0%BD%D0%BE%D0%BA%20%D0%A0%D0%B8%D0%BC%D1%86%D0%B8%D0%BC%D1%86%D0%B8%201966%20%D1%84%D0%B8%D0%BB%D1%8C%D0%BC","искать")</f>
        <v/>
      </c>
      <c r="N4098" s="3" t="n"/>
      <c r="O4098" s="2" t="n"/>
      <c r="P4098" s="2" t="n"/>
    </row>
    <row r="4099">
      <c r="A4099" s="2" t="n">
        <v>4098</v>
      </c>
      <c r="B4099" s="2" t="inlineStr">
        <is>
          <t>короткая</t>
        </is>
      </c>
      <c r="C4099" s="2" t="n">
        <v>9928</v>
      </c>
      <c r="D4099" s="3" t="inlineStr">
        <is>
          <t>Ливень</t>
        </is>
      </c>
      <c r="E4099" s="2" t="n">
        <v>1977</v>
      </c>
      <c r="F4099" s="2" t="inlineStr">
        <is>
          <t>телефильм</t>
        </is>
      </c>
      <c r="G4099" s="2" t="inlineStr">
        <is>
          <t>Одесская к/ст по заказу Гостелерадио СССР</t>
        </is>
      </c>
      <c r="H4099" s="2" t="n">
        <v>100</v>
      </c>
      <c r="I4099" s="2" t="inlineStr"/>
      <c r="J4099" s="2" t="inlineStr"/>
      <c r="K4099" s="3" t="inlineStr">
        <is>
          <t>История о молодом человеке, который разочаровался в девушке, столкнувшись с ее душевной черствостью.</t>
        </is>
      </c>
      <c r="L4099" s="2" t="inlineStr">
        <is>
          <t>https://www.kino-teatr.ru/short/movie/sov/80870/annot/</t>
        </is>
      </c>
      <c r="M4099" s="2">
        <f>HYPERLINK("https://ru.wikipedia.org/w/index.php?search=%D0%9B%D0%B8%D0%B2%D0%B5%D0%BD%D1%8C%201977%20%D1%84%D0%B8%D0%BB%D1%8C%D0%BC","искать")</f>
        <v/>
      </c>
      <c r="N4099" s="3" t="n"/>
      <c r="O4099" s="2" t="n"/>
      <c r="P4099" s="2" t="n"/>
    </row>
    <row r="4100">
      <c r="A4100" s="2" t="n">
        <v>4099</v>
      </c>
      <c r="B4100" s="2" t="inlineStr">
        <is>
          <t>короткая</t>
        </is>
      </c>
      <c r="C4100" s="2" t="n">
        <v>11673</v>
      </c>
      <c r="D4100" s="3" t="inlineStr">
        <is>
          <t>Куда летишь, Витар?</t>
        </is>
      </c>
      <c r="E4100" s="2" t="n">
        <v>1972</v>
      </c>
      <c r="F4100" s="2" t="inlineStr">
        <is>
          <t>мультфильм</t>
        </is>
      </c>
      <c r="G4100" s="2" t="inlineStr">
        <is>
          <t>Союзмультфильм</t>
        </is>
      </c>
      <c r="H4100" s="2" t="n">
        <v>100</v>
      </c>
      <c r="I4100" s="2" t="inlineStr"/>
      <c r="J4100" s="2" t="inlineStr"/>
      <c r="K4100" s="3" t="inlineStr">
        <is>
          <t>О приключениях профессора по птичьим делам и мальчике, отправившимся в путешествие для изучения птиц</t>
        </is>
      </c>
      <c r="L4100" s="2" t="inlineStr">
        <is>
          <t>https://animator.ru/db/?p=show_film&amp;fid=2587</t>
        </is>
      </c>
      <c r="M4100" s="2">
        <f>HYPERLINK("https://ru.wikipedia.org/w/index.php?search=%D0%9A%D1%83%D0%B4%D0%B0%20%D0%BB%D0%B5%D1%82%D0%B8%D1%88%D1%8C%2C%20%D0%92%D0%B8%D1%82%D0%B0%D1%80%3F%201972%20%D1%84%D0%B8%D0%BB%D1%8C%D0%BC","искать")</f>
        <v/>
      </c>
      <c r="N4100" s="3" t="n"/>
      <c r="O4100" s="2" t="n"/>
      <c r="P4100" s="2" t="n"/>
    </row>
    <row r="4101">
      <c r="A4101" s="2" t="n">
        <v>4100</v>
      </c>
      <c r="B4101" s="2" t="inlineStr">
        <is>
          <t>короткая</t>
        </is>
      </c>
      <c r="C4101" s="2" t="n">
        <v>11677</v>
      </c>
      <c r="D4101" s="3" t="inlineStr">
        <is>
          <t>Новогодняя сказка</t>
        </is>
      </c>
      <c r="E4101" s="2" t="n">
        <v>1972</v>
      </c>
      <c r="F4101" s="2" t="inlineStr">
        <is>
          <t>мультфильм</t>
        </is>
      </c>
      <c r="G4101" s="2" t="inlineStr">
        <is>
          <t>Союзмультфильм</t>
        </is>
      </c>
      <c r="H4101" s="2" t="n">
        <v>100</v>
      </c>
      <c r="I4101" s="2" t="inlineStr"/>
      <c r="J4101" s="2" t="inlineStr"/>
      <c r="K4101" s="3" t="inlineStr">
        <is>
          <t>Как Чудище-Снежище помогло детям встретить Новый Год.Музыка из мультфильма:Песенка о елочке(4.28 Мб)</t>
        </is>
      </c>
      <c r="L4101" s="2" t="inlineStr">
        <is>
          <t>2026-10_мультфильмы_список_владельца.xlsx; https://animator.ru/db/?p=show_film&amp;fid=2591</t>
        </is>
      </c>
      <c r="M4101" s="2">
        <f>HYPERLINK("https://ru.wikipedia.org/w/index.php?search=%D0%9D%D0%BE%D0%B2%D0%BE%D0%B3%D0%BE%D0%B4%D0%BD%D1%8F%D1%8F%20%D1%81%D0%BA%D0%B0%D0%B7%D0%BA%D0%B0%201972%20%D1%84%D0%B8%D0%BB%D1%8C%D0%BC","искать")</f>
        <v/>
      </c>
      <c r="N4101" s="3" t="n"/>
      <c r="O4101" s="2" t="n"/>
      <c r="P4101" s="2" t="n"/>
    </row>
    <row r="4102">
      <c r="A4102" s="2" t="n">
        <v>4101</v>
      </c>
      <c r="B4102" s="2" t="inlineStr">
        <is>
          <t>короткая</t>
        </is>
      </c>
      <c r="C4102" s="2" t="n">
        <v>11759</v>
      </c>
      <c r="D4102" s="3" t="inlineStr">
        <is>
          <t>Шел трамвай десятый номер</t>
        </is>
      </c>
      <c r="E4102" s="2" t="n">
        <v>1974</v>
      </c>
      <c r="F4102" s="2" t="inlineStr">
        <is>
          <t>мультфильм</t>
        </is>
      </c>
      <c r="G4102" s="2" t="inlineStr">
        <is>
          <t>Союзмультфильм</t>
        </is>
      </c>
      <c r="H4102" s="2" t="n">
        <v>100</v>
      </c>
      <c r="I4102" s="2" t="inlineStr"/>
      <c r="J4102" s="2" t="inlineStr"/>
      <c r="K4102" s="3" t="inlineStr">
        <is>
          <t>По мотивам стихотворений С.Михалкова
Два сюжета: "Шел трамвай десятый номер", "Всадник" и "Про Фому"</t>
        </is>
      </c>
      <c r="L4102" s="2" t="inlineStr">
        <is>
          <t>https://animator.ru/db/?p=show_film&amp;fid=2673</t>
        </is>
      </c>
      <c r="M4102" s="2">
        <f>HYPERLINK("https://ru.wikipedia.org/w/index.php?search=%D0%A8%D0%B5%D0%BB%20%D1%82%D1%80%D0%B0%D0%BC%D0%B2%D0%B0%D0%B9%20%D0%B4%D0%B5%D1%81%D1%8F%D1%82%D1%8B%D0%B9%20%D0%BD%D0%BE%D0%BC%D0%B5%D1%80%201974%20%D1%84%D0%B8%D0%BB%D1%8C%D0%BC","искать")</f>
        <v/>
      </c>
      <c r="N4102" s="3" t="n"/>
      <c r="O4102" s="2" t="n"/>
      <c r="P4102" s="2" t="n"/>
    </row>
    <row r="4103">
      <c r="A4103" s="2" t="n">
        <v>4102</v>
      </c>
      <c r="B4103" s="2" t="inlineStr">
        <is>
          <t>короткая</t>
        </is>
      </c>
      <c r="C4103" s="2" t="n">
        <v>12232</v>
      </c>
      <c r="D4103" s="3" t="inlineStr">
        <is>
          <t>Веселая карусель n 19. Качели</t>
        </is>
      </c>
      <c r="E4103" s="2" t="n">
        <v>1988</v>
      </c>
      <c r="F4103" s="2" t="inlineStr">
        <is>
          <t>мультфильм</t>
        </is>
      </c>
      <c r="G4103" s="2" t="inlineStr">
        <is>
          <t>Союзмультфильм</t>
        </is>
      </c>
      <c r="H4103" s="2" t="n">
        <v>100</v>
      </c>
      <c r="I4103" s="2" t="inlineStr"/>
      <c r="J4103" s="2" t="inlineStr"/>
      <c r="K4103" s="3" t="inlineStr">
        <is>
          <t>Сюжет из альманаха «ВЕСЕЛАЯ КАРУСЕЛЬ N 19»
О капризной девочке, которую никто не мог снять с качелей</t>
        </is>
      </c>
      <c r="L4103" s="2" t="inlineStr">
        <is>
          <t>https://animator.ru/db/?p=show_film&amp;fid=3349</t>
        </is>
      </c>
      <c r="M4103" s="2">
        <f>HYPERLINK("https://ru.wikipedia.org/w/index.php?search=%D0%92%D0%B5%D1%81%D0%B5%D0%BB%D0%B0%D1%8F%20%D0%BA%D0%B0%D1%80%D1%83%D1%81%D0%B5%D0%BB%D1%8C%20n%2019.%20%D0%9A%D0%B0%D1%87%D0%B5%D0%BB%D0%B8%201988%20%D1%84%D0%B8%D0%BB%D1%8C%D0%BC","искать")</f>
        <v/>
      </c>
      <c r="N4103" s="3" t="n"/>
      <c r="O4103" s="2" t="n"/>
      <c r="P4103" s="2" t="n"/>
    </row>
    <row r="4104">
      <c r="A4104" s="2" t="n">
        <v>4103</v>
      </c>
      <c r="B4104" s="2" t="inlineStr">
        <is>
          <t>короткая</t>
        </is>
      </c>
      <c r="C4104" s="2" t="n">
        <v>13318</v>
      </c>
      <c r="D4104" s="3" t="inlineStr">
        <is>
          <t>Антенны среди льдов</t>
        </is>
      </c>
      <c r="E4104" s="2" t="n">
        <v>1977</v>
      </c>
      <c r="F4104" s="2" t="inlineStr">
        <is>
          <t>мультфильм</t>
        </is>
      </c>
      <c r="G4104" s="2" t="inlineStr">
        <is>
          <t>ТАЛЛИННФИЛЬМ</t>
        </is>
      </c>
      <c r="H4104" s="2" t="n">
        <v>100</v>
      </c>
      <c r="I4104" s="2" t="inlineStr"/>
      <c r="J4104" s="2" t="inlineStr"/>
      <c r="K4104" s="3" t="inlineStr">
        <is>
          <t>О трагической гибели ученого-полярника. И о бессилии техники перед могуществом природы. Для взрослых</t>
        </is>
      </c>
      <c r="L4104" s="2" t="inlineStr">
        <is>
          <t>https://animator.ru/db/?p=show_film&amp;fid=4580</t>
        </is>
      </c>
      <c r="M4104" s="2">
        <f>HYPERLINK("https://ru.wikipedia.org/w/index.php?search=%D0%90%D0%BD%D1%82%D0%B5%D0%BD%D0%BD%D1%8B%20%D1%81%D1%80%D0%B5%D0%B4%D0%B8%20%D0%BB%D1%8C%D0%B4%D0%BE%D0%B2%201977%20%D1%84%D0%B8%D0%BB%D1%8C%D0%BC","искать")</f>
        <v/>
      </c>
      <c r="N4104" s="3" t="n"/>
      <c r="O4104" s="2" t="n"/>
      <c r="P4104" s="2" t="n"/>
    </row>
    <row r="4105">
      <c r="A4105" s="2" t="n">
        <v>4104</v>
      </c>
      <c r="B4105" s="2" t="inlineStr">
        <is>
          <t>короткая</t>
        </is>
      </c>
      <c r="C4105" s="2" t="n">
        <v>13800</v>
      </c>
      <c r="D4105" s="3" t="inlineStr">
        <is>
          <t>Ну, погоди! Nn 2-3</t>
        </is>
      </c>
      <c r="E4105" s="2" t="n">
        <v>1981</v>
      </c>
      <c r="F4105" s="2" t="inlineStr">
        <is>
          <t>мультфильм</t>
        </is>
      </c>
      <c r="G4105" s="2" t="inlineStr">
        <is>
          <t>ЭКРАН</t>
        </is>
      </c>
      <c r="H4105" s="2" t="n">
        <v>100</v>
      </c>
      <c r="I4105" s="2" t="inlineStr"/>
      <c r="J4105" s="2" t="inlineStr"/>
      <c r="K4105" s="3" t="inlineStr">
        <is>
          <t>Телевариант. Два сюжета: Заяц спасает от Волка своих друзей; Заяц спасает Волка от разъяренного быка</t>
        </is>
      </c>
      <c r="L4105" s="2" t="inlineStr">
        <is>
          <t>https://animator.ru/db/?p=show_film&amp;fid=5193</t>
        </is>
      </c>
      <c r="M4105" s="2">
        <f>HYPERLINK("https://ru.wikipedia.org/w/index.php?search=%D0%9D%D1%83%2C%20%D0%BF%D0%BE%D0%B3%D0%BE%D0%B4%D0%B8%21%20Nn%202-3%201981%20%D1%84%D0%B8%D0%BB%D1%8C%D0%BC","искать")</f>
        <v/>
      </c>
      <c r="N4105" s="3" t="n"/>
      <c r="O4105" s="2" t="n"/>
      <c r="P4105" s="2" t="n"/>
    </row>
    <row r="4106">
      <c r="A4106" s="2" t="n">
        <v>4105</v>
      </c>
      <c r="B4106" s="2" t="inlineStr">
        <is>
          <t>короткая</t>
        </is>
      </c>
      <c r="C4106" s="2" t="n">
        <v>14104</v>
      </c>
      <c r="D4106" s="3" t="inlineStr">
        <is>
          <t>В стране веселой детства</t>
        </is>
      </c>
      <c r="E4106" s="2" t="n">
        <v>1986</v>
      </c>
      <c r="F4106" s="2" t="inlineStr">
        <is>
          <t>мультфильм</t>
        </is>
      </c>
      <c r="G4106" s="2" t="inlineStr">
        <is>
          <t>ПЕРМЬТЕЛЕФИЛЬМ</t>
        </is>
      </c>
      <c r="H4106" s="2" t="n">
        <v>100</v>
      </c>
      <c r="I4106" s="2" t="inlineStr"/>
      <c r="J4106" s="2" t="inlineStr"/>
      <c r="K4106" s="3" t="inlineStr">
        <is>
          <t>По мотивам книги Л.Кузьмина "Шагал один чудак" о волшебном сундуке, который возвращает в мир детства</t>
        </is>
      </c>
      <c r="L4106" s="2" t="inlineStr">
        <is>
          <t>https://animator.ru/db/?p=show_film&amp;fid=5502</t>
        </is>
      </c>
      <c r="M4106" s="2">
        <f>HYPERLINK("https://ru.wikipedia.org/w/index.php?search=%D0%92%20%D1%81%D1%82%D1%80%D0%B0%D0%BD%D0%B5%20%D0%B2%D0%B5%D1%81%D0%B5%D0%BB%D0%BE%D0%B9%20%D0%B4%D0%B5%D1%82%D1%81%D1%82%D0%B2%D0%B0%201986%20%D1%84%D0%B8%D0%BB%D1%8C%D0%BC","искать")</f>
        <v/>
      </c>
      <c r="N4106" s="3" t="n"/>
      <c r="O4106" s="2" t="n"/>
      <c r="P4106" s="2" t="n"/>
    </row>
    <row r="4107">
      <c r="A4107" s="2" t="n">
        <v>4106</v>
      </c>
      <c r="B4107" s="2" t="inlineStr">
        <is>
          <t>короткая</t>
        </is>
      </c>
      <c r="C4107" s="2" t="n">
        <v>14197</v>
      </c>
      <c r="D4107" s="3" t="inlineStr">
        <is>
          <t>Чудо-тыква</t>
        </is>
      </c>
      <c r="E4107" s="2" t="n">
        <v>1971</v>
      </c>
      <c r="F4107" s="2" t="inlineStr">
        <is>
          <t>мультфильм</t>
        </is>
      </c>
      <c r="G4107" s="2" t="inlineStr">
        <is>
          <t>ТЕЛЕФИЛЬМ-КИШИНЕВ</t>
        </is>
      </c>
      <c r="H4107" s="2" t="n">
        <v>100</v>
      </c>
      <c r="I4107" s="2" t="inlineStr"/>
      <c r="J4107" s="2" t="inlineStr"/>
      <c r="K4107" s="3" t="inlineStr">
        <is>
          <t>Как юный овощевод вырастил громадную тыкву для выставки. Черно-белыйЮ повидимомуЮ снятый "на скорую"</t>
        </is>
      </c>
      <c r="L4107" s="2" t="inlineStr">
        <is>
          <t>https://animator.ru/db/?p=show_film&amp;fid=5595</t>
        </is>
      </c>
      <c r="M4107" s="2">
        <f>HYPERLINK("https://ru.wikipedia.org/w/index.php?search=%D0%A7%D1%83%D0%B4%D0%BE-%D1%82%D1%8B%D0%BA%D0%B2%D0%B0%201971%20%D1%84%D0%B8%D0%BB%D1%8C%D0%BC","искать")</f>
        <v/>
      </c>
      <c r="N4107" s="3" t="n"/>
      <c r="O4107" s="2" t="n"/>
      <c r="P4107" s="2" t="n"/>
    </row>
    <row r="4108">
      <c r="A4108" s="2" t="n">
        <v>4107</v>
      </c>
      <c r="B4108" s="2" t="inlineStr">
        <is>
          <t>короткая</t>
        </is>
      </c>
      <c r="C4108" s="2" t="n">
        <v>7689</v>
      </c>
      <c r="D4108" s="3" t="inlineStr">
        <is>
          <t>Искусство нравиться женщинам</t>
        </is>
      </c>
      <c r="E4108" s="2" t="n">
        <v>1988</v>
      </c>
      <c r="F4108" s="2" t="inlineStr">
        <is>
          <t>телефильм</t>
        </is>
      </c>
      <c r="G4108" s="2" t="n"/>
      <c r="H4108" s="2" t="n">
        <v>101</v>
      </c>
      <c r="I4108" s="2" t="inlineStr"/>
      <c r="J4108" s="2" t="inlineStr"/>
      <c r="K4108" s="3" t="inlineStr">
        <is>
          <t>Несколько житейских историй случившихся в одном украинском селе. По мотивам рассказов Евгения Гуцала.</t>
        </is>
      </c>
      <c r="L4108" s="2" t="inlineStr">
        <is>
          <t>Кино_СССР сводный каталог.xlsx: список телефильмов</t>
        </is>
      </c>
      <c r="M4108" s="2">
        <f>HYPERLINK("https://ru.wikipedia.org/w/index.php?search=%D0%98%D1%81%D0%BA%D1%83%D1%81%D1%81%D1%82%D0%B2%D0%BE%20%D0%BD%D1%80%D0%B0%D0%B2%D0%B8%D1%82%D1%8C%D1%81%D1%8F%20%D0%B6%D0%B5%D0%BD%D1%89%D0%B8%D0%BD%D0%B0%D0%BC%201988%20%D1%84%D0%B8%D0%BB%D1%8C%D0%BC","искать")</f>
        <v/>
      </c>
      <c r="N4108" s="3" t="n"/>
      <c r="O4108" s="2" t="n"/>
      <c r="P4108" s="2" t="n"/>
    </row>
    <row r="4109">
      <c r="A4109" s="2" t="n">
        <v>4108</v>
      </c>
      <c r="B4109" s="2" t="inlineStr">
        <is>
          <t>короткая</t>
        </is>
      </c>
      <c r="C4109" s="2" t="n">
        <v>8746</v>
      </c>
      <c r="D4109" s="3" t="inlineStr">
        <is>
          <t>Излом</t>
        </is>
      </c>
      <c r="E4109" s="2" t="n">
        <v>1931</v>
      </c>
      <c r="F4109" s="2" t="inlineStr">
        <is>
          <t>кинофильм</t>
        </is>
      </c>
      <c r="G4109" s="2" t="n"/>
      <c r="H4109" s="2" t="n">
        <v>101</v>
      </c>
      <c r="I4109" s="2" t="inlineStr"/>
      <c r="J4109" s="2" t="inlineStr"/>
      <c r="K4109" s="3" t="inlineStr">
        <is>
          <t>Перерождение отсталого крымского пастуха-татарина в сознательного участника социалистической стройки.</t>
        </is>
      </c>
      <c r="L4109" s="2" t="inlineStr">
        <is>
          <t>Кино_СССР сводный каталог.xlsx: список фильмов (доп.)</t>
        </is>
      </c>
      <c r="M4109" s="2">
        <f>HYPERLINK("https://ru.wikipedia.org/w/index.php?search=%D0%98%D0%B7%D0%BB%D0%BE%D0%BC%201931%20%D1%84%D0%B8%D0%BB%D1%8C%D0%BC","искать")</f>
        <v/>
      </c>
      <c r="N4109" s="3" t="n"/>
      <c r="O4109" s="2" t="n"/>
      <c r="P4109" s="2" t="n"/>
    </row>
    <row r="4110">
      <c r="A4110" s="2" t="n">
        <v>4109</v>
      </c>
      <c r="B4110" s="2" t="inlineStr">
        <is>
          <t>короткая</t>
        </is>
      </c>
      <c r="C4110" s="2" t="n">
        <v>9979</v>
      </c>
      <c r="D4110" s="3" t="inlineStr">
        <is>
          <t>Через Босфор и Дарданеллы</t>
        </is>
      </c>
      <c r="E4110" s="2" t="n">
        <v>1981</v>
      </c>
      <c r="F4110" s="2" t="inlineStr">
        <is>
          <t>кинофильм</t>
        </is>
      </c>
      <c r="G4110" s="2" t="inlineStr">
        <is>
          <t>Мосфильм, экспериментальное молодёжное творческое объединение при участии Киностудии имени Горького</t>
        </is>
      </c>
      <c r="H4110" s="2" t="n">
        <v>101</v>
      </c>
      <c r="I4110" s="2" t="inlineStr"/>
      <c r="J4110" s="2" t="inlineStr"/>
      <c r="K4110" s="3" t="inlineStr">
        <is>
          <t>По мотивам рассказов Николая Фёдорова
Два друга – Димка и Мишка задумали отправить бутылочное письмо.</t>
        </is>
      </c>
      <c r="L4110" s="2" t="inlineStr">
        <is>
          <t>https://www.kino-teatr.ru/short/movie/sov/7810/annot/</t>
        </is>
      </c>
      <c r="M4110" s="2">
        <f>HYPERLINK("https://ru.wikipedia.org/w/index.php?search=%D0%A7%D0%B5%D1%80%D0%B5%D0%B7%20%D0%91%D0%BE%D1%81%D1%84%D0%BE%D1%80%20%D0%B8%20%D0%94%D0%B0%D1%80%D0%B4%D0%B0%D0%BD%D0%B5%D0%BB%D0%BB%D1%8B%201981%20%D1%84%D0%B8%D0%BB%D1%8C%D0%BC","искать")</f>
        <v/>
      </c>
      <c r="N4110" s="3" t="n"/>
      <c r="O4110" s="2" t="n"/>
      <c r="P4110" s="2" t="n"/>
    </row>
    <row r="4111">
      <c r="A4111" s="2" t="n">
        <v>4110</v>
      </c>
      <c r="B4111" s="2" t="inlineStr">
        <is>
          <t>короткая</t>
        </is>
      </c>
      <c r="C4111" s="2" t="n">
        <v>11842</v>
      </c>
      <c r="D4111" s="3" t="inlineStr">
        <is>
          <t>Мы рисуем октябрь</t>
        </is>
      </c>
      <c r="E4111" s="2" t="n">
        <v>1977</v>
      </c>
      <c r="F4111" s="2" t="inlineStr">
        <is>
          <t>мультфильм</t>
        </is>
      </c>
      <c r="G4111" s="2" t="inlineStr">
        <is>
          <t>Союзмультфильм</t>
        </is>
      </c>
      <c r="H4111" s="2" t="n">
        <v>101</v>
      </c>
      <c r="I4111" s="2" t="inlineStr"/>
      <c r="J4111" s="2" t="inlineStr"/>
      <c r="K4111" s="3" t="inlineStr">
        <is>
          <t>По рисункам немецких и советских детей к празднику 7 ноября, совместно со студией ТРИКФИЛЬМ (Дрезден)</t>
        </is>
      </c>
      <c r="L4111" s="2" t="inlineStr">
        <is>
          <t>https://animator.ru/db/?p=show_film&amp;fid=2757</t>
        </is>
      </c>
      <c r="M4111" s="2">
        <f>HYPERLINK("https://ru.wikipedia.org/w/index.php?search=%D0%9C%D1%8B%20%D1%80%D0%B8%D1%81%D1%83%D0%B5%D0%BC%20%D0%BE%D0%BA%D1%82%D1%8F%D0%B1%D1%80%D1%8C%201977%20%D1%84%D0%B8%D0%BB%D1%8C%D0%BC","искать")</f>
        <v/>
      </c>
      <c r="N4111" s="3" t="n"/>
      <c r="O4111" s="2" t="n"/>
      <c r="P4111" s="2" t="n"/>
    </row>
    <row r="4112">
      <c r="A4112" s="2" t="n">
        <v>4111</v>
      </c>
      <c r="B4112" s="2" t="inlineStr">
        <is>
          <t>короткая</t>
        </is>
      </c>
      <c r="C4112" s="2" t="n">
        <v>12183</v>
      </c>
      <c r="D4112" s="3" t="inlineStr">
        <is>
          <t>Веселая карусель n 18. Под елкой</t>
        </is>
      </c>
      <c r="E4112" s="2" t="n">
        <v>1986</v>
      </c>
      <c r="F4112" s="2" t="inlineStr">
        <is>
          <t>мультфильм</t>
        </is>
      </c>
      <c r="G4112" s="2" t="inlineStr">
        <is>
          <t>Союзмультфильм</t>
        </is>
      </c>
      <c r="H4112" s="2" t="n">
        <v>101</v>
      </c>
      <c r="I4112" s="2" t="inlineStr"/>
      <c r="J4112" s="2" t="inlineStr"/>
      <c r="K4112" s="3" t="inlineStr">
        <is>
          <t>Сюжет из альманаха «ВЕСЕЛАЯ КАРУСЕЛЬ N 18»
Красная Шапочка и Волк призывают бережно относиться к лесу</t>
        </is>
      </c>
      <c r="L4112" s="2" t="inlineStr">
        <is>
          <t>https://animator.ru/db/?p=show_film&amp;fid=3299</t>
        </is>
      </c>
      <c r="M4112" s="2">
        <f>HYPERLINK("https://ru.wikipedia.org/w/index.php?search=%D0%92%D0%B5%D1%81%D0%B5%D0%BB%D0%B0%D1%8F%20%D0%BA%D0%B0%D1%80%D1%83%D1%81%D0%B5%D0%BB%D1%8C%20n%2018.%20%D0%9F%D0%BE%D0%B4%20%D0%B5%D0%BB%D0%BA%D0%BE%D0%B9%201986%20%D1%84%D0%B8%D0%BB%D1%8C%D0%BC","искать")</f>
        <v/>
      </c>
      <c r="N4112" s="3" t="n"/>
      <c r="O4112" s="2" t="n"/>
      <c r="P4112" s="2" t="n"/>
    </row>
    <row r="4113">
      <c r="A4113" s="2" t="n">
        <v>4112</v>
      </c>
      <c r="B4113" s="2" t="inlineStr">
        <is>
          <t>короткая</t>
        </is>
      </c>
      <c r="C4113" s="2" t="n">
        <v>13224</v>
      </c>
      <c r="D4113" s="3" t="inlineStr">
        <is>
          <t>Вдохновение (Инспирация)</t>
        </is>
      </c>
      <c r="E4113" s="2" t="n">
        <v>1975</v>
      </c>
      <c r="F4113" s="2" t="inlineStr">
        <is>
          <t>мультфильм</t>
        </is>
      </c>
      <c r="G4113" s="2" t="inlineStr">
        <is>
          <t>ТАЛЛИННФИЛЬМ</t>
        </is>
      </c>
      <c r="H4113" s="2" t="n">
        <v>101</v>
      </c>
      <c r="I4113" s="2" t="inlineStr"/>
      <c r="J4113" s="2" t="inlineStr"/>
      <c r="K4113" s="3" t="inlineStr">
        <is>
          <t>Фантазия на темы традиционного певческого праздника, где поют народные песни и танцуют народные танцы</t>
        </is>
      </c>
      <c r="L4113" s="2" t="inlineStr">
        <is>
          <t>https://animator.ru/db/?p=show_film&amp;fid=4464</t>
        </is>
      </c>
      <c r="M4113" s="2">
        <f>HYPERLINK("https://ru.wikipedia.org/w/index.php?search=%D0%92%D0%B4%D0%BE%D1%85%D0%BD%D0%BE%D0%B2%D0%B5%D0%BD%D0%B8%D0%B5%20%28%D0%98%D0%BD%D1%81%D0%BF%D0%B8%D1%80%D0%B0%D1%86%D0%B8%D1%8F%29%201975%20%D1%84%D0%B8%D0%BB%D1%8C%D0%BC","искать")</f>
        <v/>
      </c>
      <c r="N4113" s="3" t="n"/>
      <c r="O4113" s="2" t="n"/>
      <c r="P4113" s="2" t="inlineStr">
        <is>
          <t>ГФФ: «ВДОХНОВЕНИЕ» 1976 — год отличается, проверить — по сверке другой фильм, не предложено</t>
        </is>
      </c>
    </row>
    <row r="4114">
      <c r="A4114" s="2" t="n">
        <v>4113</v>
      </c>
      <c r="B4114" s="2" t="inlineStr">
        <is>
          <t>короткая</t>
        </is>
      </c>
      <c r="C4114" s="2" t="n">
        <v>7463</v>
      </c>
      <c r="D4114" s="3" t="inlineStr">
        <is>
          <t>Гран-па</t>
        </is>
      </c>
      <c r="E4114" s="2" t="n">
        <v>1985</v>
      </c>
      <c r="F4114" s="2" t="inlineStr">
        <is>
          <t>телефильм</t>
        </is>
      </c>
      <c r="G4114" s="2" t="inlineStr">
        <is>
          <t>ТО "Экран"</t>
        </is>
      </c>
      <c r="H4114" s="2" t="n">
        <v>102</v>
      </c>
      <c r="I4114" s="2" t="inlineStr"/>
      <c r="J4114" s="2" t="inlineStr"/>
      <c r="K4114" s="3" t="inlineStr">
        <is>
          <t>Оставшись в блокадном Ленинграде, бывшая балерина Елизавета Тропинина вспоминает свой творческий путь.</t>
        </is>
      </c>
      <c r="L4114" s="2" t="inlineStr">
        <is>
          <t>Кино_СССР сводный каталог.xlsx: список телефильмов</t>
        </is>
      </c>
      <c r="M4114" s="2">
        <f>HYPERLINK("https://ru.wikipedia.org/w/index.php?search=%D0%93%D1%80%D0%B0%D0%BD-%D0%BF%D0%B0%201985%20%D1%84%D0%B8%D0%BB%D1%8C%D0%BC","искать")</f>
        <v/>
      </c>
      <c r="N4114" s="3" t="n"/>
      <c r="O4114" s="2" t="n"/>
      <c r="P4114" s="2" t="n"/>
    </row>
    <row r="4115">
      <c r="A4115" s="2" t="n">
        <v>4114</v>
      </c>
      <c r="B4115" s="2" t="inlineStr">
        <is>
          <t>короткая</t>
        </is>
      </c>
      <c r="C4115" s="2" t="n">
        <v>10057</v>
      </c>
      <c r="D4115" s="3" t="inlineStr">
        <is>
          <t>Трасса</t>
        </is>
      </c>
      <c r="E4115" s="2" t="n">
        <v>1991</v>
      </c>
      <c r="F4115" s="2" t="inlineStr">
        <is>
          <t>телефильм</t>
        </is>
      </c>
      <c r="G4115" s="2" t="inlineStr">
        <is>
          <t>Грузтелефильм</t>
        </is>
      </c>
      <c r="H4115" s="2" t="n">
        <v>102</v>
      </c>
      <c r="I4115" s="2" t="inlineStr"/>
      <c r="J4115" s="2" t="inlineStr"/>
      <c r="K4115" s="3" t="inlineStr">
        <is>
          <t>Фильм показывает, как у городских пацанов развивается мужской характер, и как в них побеждает доброта.</t>
        </is>
      </c>
      <c r="L4115" s="2" t="inlineStr">
        <is>
          <t>https://www.kino-teatr.ru/short/movie/sov/86720/annot/</t>
        </is>
      </c>
      <c r="M4115" s="2">
        <f>HYPERLINK("https://ru.wikipedia.org/w/index.php?search=%D0%A2%D1%80%D0%B0%D1%81%D1%81%D0%B0%201991%20%D1%84%D0%B8%D0%BB%D1%8C%D0%BC","искать")</f>
        <v/>
      </c>
      <c r="N4115" s="3" t="n"/>
      <c r="O4115" s="2" t="n"/>
      <c r="P4115" s="2" t="n"/>
    </row>
    <row r="4116">
      <c r="A4116" s="2" t="n">
        <v>4115</v>
      </c>
      <c r="B4116" s="2" t="inlineStr">
        <is>
          <t>короткая</t>
        </is>
      </c>
      <c r="C4116" s="2" t="n">
        <v>11619</v>
      </c>
      <c r="D4116" s="3" t="inlineStr">
        <is>
          <t>Без этого нельзя</t>
        </is>
      </c>
      <c r="E4116" s="2" t="n">
        <v>1971</v>
      </c>
      <c r="F4116" s="2" t="inlineStr">
        <is>
          <t>мультфильм</t>
        </is>
      </c>
      <c r="G4116" s="2" t="inlineStr">
        <is>
          <t>Союзмультфильм</t>
        </is>
      </c>
      <c r="H4116" s="2" t="n">
        <v>102</v>
      </c>
      <c r="I4116" s="2" t="inlineStr"/>
      <c r="J4116" s="2" t="inlineStr"/>
      <c r="K4116" s="3" t="inlineStr">
        <is>
          <t>Никто не дружил с маленьким грубым и непослушным щенком до тех пор, пока он не исправился. Для малышей</t>
        </is>
      </c>
      <c r="L4116" s="2" t="inlineStr">
        <is>
          <t>https://animator.ru/db/?p=show_film&amp;fid=2532</t>
        </is>
      </c>
      <c r="M4116" s="2">
        <f>HYPERLINK("https://ru.wikipedia.org/w/index.php?search=%D0%91%D0%B5%D0%B7%20%D1%8D%D1%82%D0%BE%D0%B3%D0%BE%20%D0%BD%D0%B5%D0%BB%D1%8C%D0%B7%D1%8F%201971%20%D1%84%D0%B8%D0%BB%D1%8C%D0%BC","искать")</f>
        <v/>
      </c>
      <c r="N4116" s="3" t="n"/>
      <c r="O4116" s="2" t="n"/>
      <c r="P4116" s="2" t="n"/>
    </row>
    <row r="4117">
      <c r="A4117" s="2" t="n">
        <v>4116</v>
      </c>
      <c r="B4117" s="2" t="inlineStr">
        <is>
          <t>короткая</t>
        </is>
      </c>
      <c r="C4117" s="2" t="n">
        <v>13637</v>
      </c>
      <c r="D4117" s="3" t="inlineStr">
        <is>
          <t>Брак по расчету</t>
        </is>
      </c>
      <c r="E4117" s="2" t="n">
        <v>1988</v>
      </c>
      <c r="F4117" s="2" t="inlineStr">
        <is>
          <t>мультфильм</t>
        </is>
      </c>
      <c r="G4117" s="2" t="inlineStr">
        <is>
          <t>ЭКРАН</t>
        </is>
      </c>
      <c r="H4117" s="2" t="n">
        <v>102</v>
      </c>
      <c r="I4117" s="2" t="inlineStr"/>
      <c r="J4117" s="2" t="inlineStr"/>
      <c r="K4117" s="3" t="inlineStr">
        <is>
          <t>Любовь и брак. Герой фильма, испугавшись брачных уз, так и не смог найти своего счастья? Для взрослых.</t>
        </is>
      </c>
      <c r="L4117" s="2" t="inlineStr">
        <is>
          <t>https://animator.ru/db/?p=show_film&amp;fid=5029</t>
        </is>
      </c>
      <c r="M4117" s="2">
        <f>HYPERLINK("https://ru.wikipedia.org/w/index.php?search=%D0%91%D1%80%D0%B0%D0%BA%20%D0%BF%D0%BE%20%D1%80%D0%B0%D1%81%D1%87%D0%B5%D1%82%D1%83%201988%20%D1%84%D0%B8%D0%BB%D1%8C%D0%BC","искать")</f>
        <v/>
      </c>
      <c r="N4117" s="3" t="n"/>
      <c r="O4117" s="2" t="n"/>
      <c r="P4117" s="2" t="n"/>
    </row>
    <row r="4118">
      <c r="A4118" s="2" t="n">
        <v>4117</v>
      </c>
      <c r="B4118" s="2" t="inlineStr">
        <is>
          <t>короткая</t>
        </is>
      </c>
      <c r="C4118" s="2" t="n">
        <v>13638</v>
      </c>
      <c r="D4118" s="3" t="inlineStr">
        <is>
          <t>Будильник</t>
        </is>
      </c>
      <c r="E4118" s="2" t="n">
        <v>1984</v>
      </c>
      <c r="F4118" s="2" t="inlineStr">
        <is>
          <t>мультфильм</t>
        </is>
      </c>
      <c r="G4118" s="2" t="n"/>
      <c r="H4118" s="2" t="n">
        <v>102</v>
      </c>
      <c r="I4118" s="2" t="inlineStr"/>
      <c r="J4118" s="2" t="inlineStr"/>
      <c r="K4118" s="3" t="inlineStr">
        <is>
          <t>Веселая заставка-песенка для передачи "Будильник", где главные действующие лица - Петушок и Будильник.</t>
        </is>
      </c>
      <c r="L4118" s="2" t="inlineStr">
        <is>
          <t>https://animator.ru/db/?p=show_film&amp;fid=5030</t>
        </is>
      </c>
      <c r="M4118" s="2">
        <f>HYPERLINK("https://ru.wikipedia.org/w/index.php?search=%D0%91%D1%83%D0%B4%D0%B8%D0%BB%D1%8C%D0%BD%D0%B8%D0%BA%201984%20%D1%84%D0%B8%D0%BB%D1%8C%D0%BC","искать")</f>
        <v/>
      </c>
      <c r="N4118" s="3" t="n"/>
      <c r="O4118" s="2" t="n"/>
      <c r="P4118" s="2" t="n"/>
    </row>
    <row r="4119">
      <c r="A4119" s="2" t="n">
        <v>4118</v>
      </c>
      <c r="B4119" s="2" t="inlineStr">
        <is>
          <t>короткая</t>
        </is>
      </c>
      <c r="C4119" s="2" t="n">
        <v>9142</v>
      </c>
      <c r="D4119" s="3" t="inlineStr">
        <is>
          <t>Хамелеон</t>
        </is>
      </c>
      <c r="E4119" s="2" t="n">
        <v>1930</v>
      </c>
      <c r="F4119" s="2" t="inlineStr">
        <is>
          <t>кинофильм</t>
        </is>
      </c>
      <c r="G4119" s="2" t="n"/>
      <c r="H4119" s="2" t="n">
        <v>103</v>
      </c>
      <c r="I4119" s="2" t="inlineStr"/>
      <c r="J4119" s="2" t="inlineStr"/>
      <c r="K4119" s="3" t="inlineStr">
        <is>
          <t>О нэпмане, пытающемся приспособиться к условиям новой действительности. Копия фильма в ГФФ не хранится.</t>
        </is>
      </c>
      <c r="L4119" s="2" t="inlineStr">
        <is>
          <t>Кино_СССР сводный каталог.xlsx: список фильмов (доп.)</t>
        </is>
      </c>
      <c r="M4119" s="2">
        <f>HYPERLINK("https://ru.wikipedia.org/w/index.php?search=%D0%A5%D0%B0%D0%BC%D0%B5%D0%BB%D0%B5%D0%BE%D0%BD%201930%20%D1%84%D0%B8%D0%BB%D1%8C%D0%BC","искать")</f>
        <v/>
      </c>
      <c r="N4119" s="3" t="n"/>
      <c r="O4119" s="2" t="n"/>
      <c r="P4119" s="2" t="n"/>
    </row>
    <row r="4120">
      <c r="A4120" s="2" t="n">
        <v>4119</v>
      </c>
      <c r="B4120" s="2" t="inlineStr">
        <is>
          <t>короткая</t>
        </is>
      </c>
      <c r="C4120" s="2" t="n">
        <v>9828</v>
      </c>
      <c r="D4120" s="3" t="inlineStr">
        <is>
          <t>Мимино</t>
        </is>
      </c>
      <c r="E4120" s="2" t="n">
        <v>1965</v>
      </c>
      <c r="F4120" s="2" t="inlineStr">
        <is>
          <t>кинофильм</t>
        </is>
      </c>
      <c r="G4120" s="2" t="inlineStr">
        <is>
          <t>Грузия-фильм</t>
        </is>
      </c>
      <c r="H4120" s="2" t="n">
        <v>103</v>
      </c>
      <c r="I4120" s="2" t="inlineStr"/>
      <c r="J4120" s="2" t="inlineStr"/>
      <c r="K4120" s="3" t="inlineStr">
        <is>
          <t>მიმინო
Маленький мальчик поймал сокола и дрессирует его для охоты. Но сокол предпочёл свободу и улетел.</t>
        </is>
      </c>
      <c r="L4120" s="2" t="inlineStr">
        <is>
          <t>https://www.kino-teatr.ru/short/movie/sov/16600/annot/</t>
        </is>
      </c>
      <c r="M4120" s="2">
        <f>HYPERLINK("https://ru.wikipedia.org/w/index.php?search=%D0%9C%D0%B8%D0%BC%D0%B8%D0%BD%D0%BE%201965%20%D1%84%D0%B8%D0%BB%D1%8C%D0%BC","искать")</f>
        <v/>
      </c>
      <c r="N4120" s="3" t="n"/>
      <c r="O4120" s="2" t="n"/>
      <c r="P4120" s="2" t="n"/>
    </row>
    <row r="4121">
      <c r="A4121" s="2" t="n">
        <v>4120</v>
      </c>
      <c r="B4121" s="2" t="inlineStr">
        <is>
          <t>короткая</t>
        </is>
      </c>
      <c r="C4121" s="2" t="n">
        <v>13913</v>
      </c>
      <c r="D4121" s="3" t="inlineStr">
        <is>
          <t>Состязание</t>
        </is>
      </c>
      <c r="E4121" s="2" t="n">
        <v>1974</v>
      </c>
      <c r="F4121" s="2" t="inlineStr">
        <is>
          <t>мультфильм</t>
        </is>
      </c>
      <c r="G4121" s="2" t="inlineStr">
        <is>
          <t>ЭКРАН</t>
        </is>
      </c>
      <c r="H4121" s="2" t="n">
        <v>103</v>
      </c>
      <c r="I4121" s="2" t="inlineStr"/>
      <c r="J4121" s="2" t="inlineStr"/>
      <c r="K4121" s="3" t="inlineStr">
        <is>
          <t>О том, как сэр Ланселот проиграл турнир, потому что не соблюдал правила уличного движения. Для взрослых</t>
        </is>
      </c>
      <c r="L4121" s="2" t="inlineStr">
        <is>
          <t>https://animator.ru/db/?p=show_film&amp;fid=5307</t>
        </is>
      </c>
      <c r="M4121" s="2">
        <f>HYPERLINK("https://ru.wikipedia.org/w/index.php?search=%D0%A1%D0%BE%D1%81%D1%82%D1%8F%D0%B7%D0%B0%D0%BD%D0%B8%D0%B5%201974%20%D1%84%D0%B8%D0%BB%D1%8C%D0%BC","искать")</f>
        <v/>
      </c>
      <c r="N4121" s="3" t="n"/>
      <c r="O4121" s="2" t="n"/>
      <c r="P4121" s="2" t="n"/>
    </row>
    <row r="4122">
      <c r="A4122" s="2" t="n">
        <v>4121</v>
      </c>
      <c r="B4122" s="2" t="inlineStr">
        <is>
          <t>короткая</t>
        </is>
      </c>
      <c r="C4122" s="2" t="n">
        <v>14204</v>
      </c>
      <c r="D4122" s="3" t="inlineStr">
        <is>
          <t>Веселая карусель. Выпуск №3</t>
        </is>
      </c>
      <c r="E4122" s="2" t="n">
        <v>1971</v>
      </c>
      <c r="F4122" s="2" t="inlineStr">
        <is>
          <t>мультфильм</t>
        </is>
      </c>
      <c r="G4122" s="2" t="inlineStr">
        <is>
          <t>Союзмультфильм</t>
        </is>
      </c>
      <c r="H4122" s="2" t="n">
        <v>103</v>
      </c>
      <c r="I4122" s="2" t="inlineStr"/>
      <c r="J4122" s="2" t="inlineStr"/>
      <c r="K4122" s="3" t="inlineStr">
        <is>
          <t>3-я серия альманаха «ВЕСЕЛАЯ КАРУСЕЛЬ»
сюжеты: «РАЗГРОМ», «РЫЖИЙ, РЫЖИЙ, КОНОПАТЫЙ», «ГОЛУБОЙ МЕТЕОРИТ»</t>
        </is>
      </c>
      <c r="L4122" s="2" t="inlineStr">
        <is>
          <t>https://animator.ru/db/?p=show_film&amp;fid=5602</t>
        </is>
      </c>
      <c r="M4122" s="2">
        <f>HYPERLINK("https://ru.wikipedia.org/w/index.php?search=%D0%92%D0%B5%D1%81%D0%B5%D0%BB%D0%B0%D1%8F%20%D0%BA%D0%B0%D1%80%D1%83%D1%81%D0%B5%D0%BB%D1%8C.%20%D0%92%D1%8B%D0%BF%D1%83%D1%81%D0%BA%20%E2%84%963%201971%20%D1%84%D0%B8%D0%BB%D1%8C%D0%BC","искать")</f>
        <v/>
      </c>
      <c r="N4122" s="3" t="n"/>
      <c r="O4122" s="2" t="n"/>
      <c r="P4122" s="2" t="n"/>
    </row>
    <row r="4123">
      <c r="A4123" s="2" t="n">
        <v>4122</v>
      </c>
      <c r="B4123" s="2" t="inlineStr">
        <is>
          <t>короткая</t>
        </is>
      </c>
      <c r="C4123" s="2" t="n">
        <v>9068</v>
      </c>
      <c r="D4123" s="3" t="inlineStr">
        <is>
          <t>Старики</t>
        </is>
      </c>
      <c r="E4123" s="2" t="n">
        <v>1974</v>
      </c>
      <c r="F4123" s="2" t="inlineStr">
        <is>
          <t>кинофильм</t>
        </is>
      </c>
      <c r="G4123" s="2" t="n"/>
      <c r="H4123" s="2" t="n">
        <v>104</v>
      </c>
      <c r="I4123" s="2" t="inlineStr"/>
      <c r="J4123" s="2" t="inlineStr"/>
      <c r="K4123" s="3" t="inlineStr">
        <is>
          <t>По мотивам рассказа Г.Чиковани "Лестница". О стариках грузинского села, организовавших хор долгожителей.</t>
        </is>
      </c>
      <c r="L4123" s="2" t="inlineStr">
        <is>
          <t>Кино_СССР сводный каталог.xlsx: список фильмов (доп.)</t>
        </is>
      </c>
      <c r="M4123" s="2">
        <f>HYPERLINK("https://ru.wikipedia.org/w/index.php?search=%D0%A1%D1%82%D0%B0%D1%80%D0%B8%D0%BA%D0%B8%201974%20%D1%84%D0%B8%D0%BB%D1%8C%D0%BC","искать")</f>
        <v/>
      </c>
      <c r="N4123" s="3" t="n"/>
      <c r="O4123" s="2" t="n"/>
      <c r="P4123" s="2" t="n"/>
    </row>
    <row r="4124">
      <c r="A4124" s="2" t="n">
        <v>4123</v>
      </c>
      <c r="B4124" s="2" t="inlineStr">
        <is>
          <t>короткая</t>
        </is>
      </c>
      <c r="C4124" s="2" t="n">
        <v>11680</v>
      </c>
      <c r="D4124" s="3" t="inlineStr">
        <is>
          <t>Ну, Погоди! ч.6</t>
        </is>
      </c>
      <c r="E4124" s="2" t="n">
        <v>1973</v>
      </c>
      <c r="F4124" s="2" t="inlineStr">
        <is>
          <t>мультфильм</t>
        </is>
      </c>
      <c r="G4124" s="2" t="inlineStr">
        <is>
          <t>Союзмультфильм</t>
        </is>
      </c>
      <c r="H4124" s="2" t="n">
        <v>104</v>
      </c>
      <c r="I4124" s="2" t="inlineStr"/>
      <c r="J4124" s="2" t="inlineStr"/>
      <c r="K4124" s="3" t="inlineStr">
        <is>
          <t>Прыгнув с парашютами, Волк и Заяц приземлились в какой-то деревушке, но и тут Заяц недосягаем для Волка.</t>
        </is>
      </c>
      <c r="L4124" s="2" t="inlineStr">
        <is>
          <t>2026-10_мультфильмы_список_владельца.xlsx; https://animator.ru/db/?p=show_film&amp;fid=2594</t>
        </is>
      </c>
      <c r="M4124" s="2">
        <f>HYPERLINK("https://ru.wikipedia.org/w/index.php?search=%D0%9D%D1%83%2C%20%D0%9F%D0%BE%D0%B3%D0%BE%D0%B4%D0%B8%21%20%D1%87.6%201973%20%D1%84%D0%B8%D0%BB%D1%8C%D0%BC","искать")</f>
        <v/>
      </c>
      <c r="N4124" s="3" t="n"/>
      <c r="O4124" s="2" t="n"/>
      <c r="P4124" s="2" t="n"/>
    </row>
    <row r="4125">
      <c r="A4125" s="2" t="n">
        <v>4124</v>
      </c>
      <c r="B4125" s="2" t="inlineStr">
        <is>
          <t>короткая</t>
        </is>
      </c>
      <c r="C4125" s="2" t="n">
        <v>11933</v>
      </c>
      <c r="D4125" s="3" t="inlineStr">
        <is>
          <t>Веселая карусель n 11. Про черепаху</t>
        </is>
      </c>
      <c r="E4125" s="2" t="n">
        <v>1980</v>
      </c>
      <c r="F4125" s="2" t="inlineStr">
        <is>
          <t>мультфильм</t>
        </is>
      </c>
      <c r="G4125" s="2" t="inlineStr">
        <is>
          <t>Союзмультфильм</t>
        </is>
      </c>
      <c r="H4125" s="2" t="n">
        <v>104</v>
      </c>
      <c r="I4125" s="2" t="inlineStr"/>
      <c r="J4125" s="2" t="inlineStr"/>
      <c r="K4125" s="3" t="inlineStr">
        <is>
          <t>Сюжет из альманаха «ВЕСЕЛАЯ КАРУСЕЛЬ N 11»
Копуша-черепаха все время опаздывает и одевается не по сезону</t>
        </is>
      </c>
      <c r="L4125" s="2" t="inlineStr">
        <is>
          <t>https://animator.ru/db/?p=show_film&amp;fid=2848</t>
        </is>
      </c>
      <c r="M4125" s="2">
        <f>HYPERLINK("https://ru.wikipedia.org/w/index.php?search=%D0%92%D0%B5%D1%81%D0%B5%D0%BB%D0%B0%D1%8F%20%D0%BA%D0%B0%D1%80%D1%83%D1%81%D0%B5%D0%BB%D1%8C%20n%2011.%20%D0%9F%D1%80%D0%BE%20%D1%87%D0%B5%D1%80%D0%B5%D0%BF%D0%B0%D1%85%D1%83%201980%20%D1%84%D0%B8%D0%BB%D1%8C%D0%BC","искать")</f>
        <v/>
      </c>
      <c r="N4125" s="3" t="n"/>
      <c r="O4125" s="2" t="n"/>
      <c r="P4125" s="2" t="n"/>
    </row>
    <row r="4126">
      <c r="A4126" s="2" t="n">
        <v>4125</v>
      </c>
      <c r="B4126" s="2" t="inlineStr">
        <is>
          <t>короткая</t>
        </is>
      </c>
      <c r="C4126" s="2" t="n">
        <v>12083</v>
      </c>
      <c r="D4126" s="3" t="inlineStr">
        <is>
          <t>Ночной цветок</t>
        </is>
      </c>
      <c r="E4126" s="2" t="n">
        <v>1984</v>
      </c>
      <c r="F4126" s="2" t="inlineStr">
        <is>
          <t>мультфильм</t>
        </is>
      </c>
      <c r="G4126" s="2" t="inlineStr">
        <is>
          <t>Союзмультфильм</t>
        </is>
      </c>
      <c r="H4126" s="2" t="n">
        <v>104</v>
      </c>
      <c r="I4126" s="2" t="inlineStr"/>
      <c r="J4126" s="2" t="inlineStr"/>
      <c r="K4126" s="3" t="inlineStr">
        <is>
          <t>Котенок, Утенок и Цыпленок отправились на поиски лечебного цветка, чтобы помочь старому Псу. Для малышей</t>
        </is>
      </c>
      <c r="L4126" s="2" t="inlineStr">
        <is>
          <t>https://animator.ru/db/?p=show_film&amp;fid=3198</t>
        </is>
      </c>
      <c r="M4126" s="2">
        <f>HYPERLINK("https://ru.wikipedia.org/w/index.php?search=%D0%9D%D0%BE%D1%87%D0%BD%D0%BE%D0%B9%20%D1%86%D0%B2%D0%B5%D1%82%D0%BE%D0%BA%201984%20%D1%84%D0%B8%D0%BB%D1%8C%D0%BC","искать")</f>
        <v/>
      </c>
      <c r="N4126" s="3" t="n"/>
      <c r="O4126" s="2" t="n"/>
      <c r="P4126" s="2" t="n"/>
    </row>
    <row r="4127">
      <c r="A4127" s="2" t="n">
        <v>4126</v>
      </c>
      <c r="B4127" s="2" t="inlineStr">
        <is>
          <t>короткая</t>
        </is>
      </c>
      <c r="C4127" s="2" t="n">
        <v>12775</v>
      </c>
      <c r="D4127" s="3" t="inlineStr">
        <is>
          <t>Но ведь мы с тобой друзья?</t>
        </is>
      </c>
      <c r="E4127" s="2" t="n">
        <v>1978</v>
      </c>
      <c r="F4127" s="2" t="inlineStr">
        <is>
          <t>мультфильм</t>
        </is>
      </c>
      <c r="G4127" s="2" t="inlineStr">
        <is>
          <t>АРМЕНФИЛЬМ</t>
        </is>
      </c>
      <c r="H4127" s="2" t="n">
        <v>105</v>
      </c>
      <c r="I4127" s="2" t="inlineStr"/>
      <c r="J4127" s="2" t="inlineStr"/>
      <c r="K4127" s="3" t="inlineStr">
        <is>
          <t>Доброе чувство овцы к эгоистичному коту перерастает во время болезни овцы в обоюдную бескорыстную дружбу.</t>
        </is>
      </c>
      <c r="L4127" s="2" t="inlineStr">
        <is>
          <t>https://animator.ru/db/?p=show_film&amp;fid=3984</t>
        </is>
      </c>
      <c r="M4127" s="2">
        <f>HYPERLINK("https://ru.wikipedia.org/w/index.php?search=%D0%9D%D0%BE%20%D0%B2%D0%B5%D0%B4%D1%8C%20%D0%BC%D1%8B%20%D1%81%20%D1%82%D0%BE%D0%B1%D0%BE%D0%B9%20%D0%B4%D1%80%D1%83%D0%B7%D1%8C%D1%8F%3F%201978%20%D1%84%D0%B8%D0%BB%D1%8C%D0%BC","искать")</f>
        <v/>
      </c>
      <c r="N4127" s="3" t="n"/>
      <c r="O4127" s="2" t="n"/>
      <c r="P4127" s="2" t="n"/>
    </row>
    <row r="4128">
      <c r="A4128" s="2" t="n">
        <v>4127</v>
      </c>
      <c r="B4128" s="2" t="inlineStr">
        <is>
          <t>короткая</t>
        </is>
      </c>
      <c r="C4128" s="2" t="n">
        <v>13580</v>
      </c>
      <c r="D4128" s="3" t="inlineStr">
        <is>
          <t>Веселая карусель. Выпуск №12</t>
        </is>
      </c>
      <c r="E4128" s="2" t="n">
        <v>1982</v>
      </c>
      <c r="F4128" s="2" t="inlineStr">
        <is>
          <t>мультфильм</t>
        </is>
      </c>
      <c r="G4128" s="2" t="inlineStr">
        <is>
          <t>Союзмультфильм</t>
        </is>
      </c>
      <c r="H4128" s="2" t="n">
        <v>105</v>
      </c>
      <c r="I4128" s="2" t="inlineStr"/>
      <c r="J4128" s="2" t="inlineStr"/>
      <c r="K4128" s="3" t="inlineStr">
        <is>
          <t>12-ая серия альманаха «ВЕСЕЛАЯ КАРУСЕЛЬ»
сюжеты: «ЧТО СЛУЧИЛОСЬ С КРОКОДИЛОМ», «ЭХО», «КАРАНДАШ И ЛАСТИК»</t>
        </is>
      </c>
      <c r="L4128" s="2" t="inlineStr">
        <is>
          <t>https://animator.ru/db/?p=show_film&amp;fid=4917</t>
        </is>
      </c>
      <c r="M4128" s="2">
        <f>HYPERLINK("https://ru.wikipedia.org/w/index.php?search=%D0%92%D0%B5%D1%81%D0%B5%D0%BB%D0%B0%D1%8F%20%D0%BA%D0%B0%D1%80%D1%83%D1%81%D0%B5%D0%BB%D1%8C.%20%D0%92%D1%8B%D0%BF%D1%83%D1%81%D0%BA%20%E2%84%9612%201982%20%D1%84%D0%B8%D0%BB%D1%8C%D0%BC","искать")</f>
        <v/>
      </c>
      <c r="N4128" s="3" t="n"/>
      <c r="O4128" s="2" t="n"/>
      <c r="P4128" s="2" t="n"/>
    </row>
    <row r="4129">
      <c r="A4129" s="2" t="n">
        <v>4128</v>
      </c>
      <c r="B4129" s="2" t="inlineStr">
        <is>
          <t>короткая</t>
        </is>
      </c>
      <c r="C4129" s="2" t="n">
        <v>13898</v>
      </c>
      <c r="D4129" s="3" t="inlineStr">
        <is>
          <t>СЛЕДСТВИЕ ВЕДУТ КОЛОБКИ (серии 1 и 2)</t>
        </is>
      </c>
      <c r="E4129" s="2" t="n">
        <v>1986</v>
      </c>
      <c r="F4129" s="2" t="inlineStr">
        <is>
          <t>мультфильм</t>
        </is>
      </c>
      <c r="G4129" s="2" t="inlineStr">
        <is>
          <t>ЭКРАН</t>
        </is>
      </c>
      <c r="H4129" s="2" t="n">
        <v>105</v>
      </c>
      <c r="I4129" s="2" t="inlineStr"/>
      <c r="J4129" s="2" t="inlineStr"/>
      <c r="K4129" s="3" t="inlineStr">
        <is>
          <t>Сыщики Б.Колобок и М.Колобок расследуют дело о пропаже полосатого слона. Из цикла "Колобки идут по следу"</t>
        </is>
      </c>
      <c r="L4129" s="2" t="inlineStr">
        <is>
          <t>https://animator.ru/db/?p=show_film&amp;fid=5292</t>
        </is>
      </c>
      <c r="M4129" s="2">
        <f>HYPERLINK("https://ru.wikipedia.org/w/index.php?search=%D0%A1%D0%9B%D0%95%D0%94%D0%A1%D0%A2%D0%92%D0%98%D0%95%20%D0%92%D0%95%D0%94%D0%A3%D0%A2%20%D0%9A%D0%9E%D0%9B%D0%9E%D0%91%D0%9A%D0%98%20%28%D1%81%D0%B5%D1%80%D0%B8%D0%B8%201%20%D0%B8%202%29%201986%20%D1%84%D0%B8%D0%BB%D1%8C%D0%BC","искать")</f>
        <v/>
      </c>
      <c r="N4129" s="3" t="n"/>
      <c r="O4129" s="2" t="n"/>
      <c r="P4129" s="2" t="n"/>
    </row>
    <row r="4130">
      <c r="A4130" s="2" t="n">
        <v>4129</v>
      </c>
      <c r="B4130" s="2" t="inlineStr">
        <is>
          <t>короткая</t>
        </is>
      </c>
      <c r="C4130" s="2" t="n">
        <v>13977</v>
      </c>
      <c r="D4130" s="3" t="inlineStr">
        <is>
          <t>Голубая стрела</t>
        </is>
      </c>
      <c r="E4130" s="2" t="n">
        <v>1985</v>
      </c>
      <c r="F4130" s="2" t="inlineStr">
        <is>
          <t>мультфильм</t>
        </is>
      </c>
      <c r="G4130" s="2" t="inlineStr">
        <is>
          <t>МУЛЬТТЕЛЕФИЛЬМ ("Экран")</t>
        </is>
      </c>
      <c r="H4130" s="2" t="n">
        <v>105</v>
      </c>
      <c r="I4130" s="2" t="inlineStr"/>
      <c r="J4130" s="2" t="inlineStr"/>
      <c r="K4130" s="3" t="inlineStr">
        <is>
          <t>По мотивам сказки Джанни Родари "Путешествие Голубой стрелы" о приключениях пассажиров игрушечного поезда</t>
        </is>
      </c>
      <c r="L4130" s="2" t="inlineStr">
        <is>
          <t>https://animator.ru/db/?p=show_film&amp;fid=5371</t>
        </is>
      </c>
      <c r="M4130" s="2">
        <f>HYPERLINK("https://ru.wikipedia.org/w/index.php?search=%D0%93%D0%BE%D0%BB%D1%83%D0%B1%D0%B0%D1%8F%20%D1%81%D1%82%D1%80%D0%B5%D0%BB%D0%B0%201985%20%D1%84%D0%B8%D0%BB%D1%8C%D0%BC","искать")</f>
        <v/>
      </c>
      <c r="N4130" s="3" t="n"/>
      <c r="O4130" s="2" t="n"/>
      <c r="P4130" s="2" t="n"/>
    </row>
    <row r="4131">
      <c r="A4131" s="2" t="n">
        <v>4130</v>
      </c>
      <c r="B4131" s="2" t="inlineStr">
        <is>
          <t>короткая</t>
        </is>
      </c>
      <c r="C4131" s="2" t="n">
        <v>8426</v>
      </c>
      <c r="D4131" s="3" t="inlineStr">
        <is>
          <t>Тадас Блинда</t>
        </is>
      </c>
      <c r="E4131" s="2" t="n">
        <v>1972</v>
      </c>
      <c r="F4131" s="2" t="inlineStr">
        <is>
          <t>телефильм</t>
        </is>
      </c>
      <c r="G4131" s="2" t="n"/>
      <c r="H4131" s="2" t="n">
        <v>106</v>
      </c>
      <c r="I4131" s="2" t="inlineStr"/>
      <c r="J4131" s="2" t="inlineStr"/>
      <c r="K4131" s="3" t="inlineStr">
        <is>
          <t>Телесериал. Легенда о знаменитом разбойнике, литовском Робин Гуде, убитом в 1877 году царскими жандармами.</t>
        </is>
      </c>
      <c r="L4131" s="2" t="inlineStr">
        <is>
          <t>Кино_СССР сводный каталог.xlsx: список телефильмов</t>
        </is>
      </c>
      <c r="M4131" s="2">
        <f>HYPERLINK("https://ru.wikipedia.org/w/index.php?search=%D0%A2%D0%B0%D0%B4%D0%B0%D1%81%20%D0%91%D0%BB%D0%B8%D0%BD%D0%B4%D0%B0%201972%20%D1%84%D0%B8%D0%BB%D1%8C%D0%BC","искать")</f>
        <v/>
      </c>
      <c r="N4131" s="3" t="n"/>
      <c r="O4131" s="2" t="n"/>
      <c r="P4131" s="2" t="n"/>
    </row>
    <row r="4132">
      <c r="A4132" s="2" t="n">
        <v>4131</v>
      </c>
      <c r="B4132" s="2" t="inlineStr">
        <is>
          <t>короткая</t>
        </is>
      </c>
      <c r="C4132" s="2" t="n">
        <v>9062</v>
      </c>
      <c r="D4132" s="3" t="inlineStr">
        <is>
          <t>Спасибо за ключ</t>
        </is>
      </c>
      <c r="E4132" s="2" t="n">
        <v>1969</v>
      </c>
      <c r="F4132" s="2" t="inlineStr">
        <is>
          <t>кинофильм</t>
        </is>
      </c>
      <c r="G4132" s="2" t="n"/>
      <c r="H4132" s="2" t="n">
        <v>106</v>
      </c>
      <c r="I4132" s="2" t="inlineStr"/>
      <c r="J4132" s="2" t="inlineStr"/>
      <c r="K4132" s="3" t="inlineStr">
        <is>
          <t>Хозяйка квартиры, уходя из дома, прячет ключ под ковриком. Беспечностью девушки пользуется квартирный вор.</t>
        </is>
      </c>
      <c r="L4132" s="2" t="inlineStr">
        <is>
          <t>Кино_СССР сводный каталог.xlsx: список фильмов (доп.)</t>
        </is>
      </c>
      <c r="M4132" s="2">
        <f>HYPERLINK("https://ru.wikipedia.org/w/index.php?search=%D0%A1%D0%BF%D0%B0%D1%81%D0%B8%D0%B1%D0%BE%20%D0%B7%D0%B0%20%D0%BA%D0%BB%D1%8E%D1%87%201969%20%D1%84%D0%B8%D0%BB%D1%8C%D0%BC","искать")</f>
        <v/>
      </c>
      <c r="N4132" s="3" t="n"/>
      <c r="O4132" s="2" t="n"/>
      <c r="P4132" s="2" t="n"/>
    </row>
    <row r="4133">
      <c r="A4133" s="2" t="n">
        <v>4132</v>
      </c>
      <c r="B4133" s="2" t="inlineStr">
        <is>
          <t>короткая</t>
        </is>
      </c>
      <c r="C4133" s="2" t="n">
        <v>9925</v>
      </c>
      <c r="D4133" s="3" t="inlineStr">
        <is>
          <t>Когда матерей нет дома</t>
        </is>
      </c>
      <c r="E4133" s="2" t="n">
        <v>1977</v>
      </c>
      <c r="F4133" s="2" t="inlineStr">
        <is>
          <t>телефильм</t>
        </is>
      </c>
      <c r="G4133" s="2" t="inlineStr">
        <is>
          <t>Грузия-фильм</t>
        </is>
      </c>
      <c r="H4133" s="2" t="n">
        <v>106</v>
      </c>
      <c r="I4133" s="2" t="inlineStr"/>
      <c r="J4133" s="2" t="inlineStr"/>
      <c r="K4133" s="3" t="inlineStr">
        <is>
          <t>Телефильм о том, что может произойти с папами и сыновьями, когда мамы уезжают сдавать экзамены в институт.</t>
        </is>
      </c>
      <c r="L4133" s="2" t="inlineStr">
        <is>
          <t>https://www.kino-teatr.ru/short/movie/sov/84592/annot/</t>
        </is>
      </c>
      <c r="M4133" s="2">
        <f>HYPERLINK("https://ru.wikipedia.org/w/index.php?search=%D0%9A%D0%BE%D0%B3%D0%B4%D0%B0%20%D0%BC%D0%B0%D1%82%D0%B5%D1%80%D0%B5%D0%B9%20%D0%BD%D0%B5%D1%82%20%D0%B4%D0%BE%D0%BC%D0%B0%201977%20%D1%84%D0%B8%D0%BB%D1%8C%D0%BC","искать")</f>
        <v/>
      </c>
      <c r="N4133" s="3" t="n"/>
      <c r="O4133" s="2" t="n"/>
      <c r="P4133" s="2" t="n"/>
    </row>
    <row r="4134">
      <c r="A4134" s="2" t="n">
        <v>4133</v>
      </c>
      <c r="B4134" s="2" t="inlineStr">
        <is>
          <t>короткая</t>
        </is>
      </c>
      <c r="C4134" s="2" t="n">
        <v>11620</v>
      </c>
      <c r="D4134" s="3" t="inlineStr">
        <is>
          <t>Веселая карусель. Выпуск №4</t>
        </is>
      </c>
      <c r="E4134" s="2" t="n">
        <v>1972</v>
      </c>
      <c r="F4134" s="2" t="inlineStr">
        <is>
          <t>мультфильм</t>
        </is>
      </c>
      <c r="G4134" s="2" t="inlineStr">
        <is>
          <t>Союзмультфильм</t>
        </is>
      </c>
      <c r="H4134" s="2" t="n">
        <v>106</v>
      </c>
      <c r="I4134" s="2" t="inlineStr"/>
      <c r="J4134" s="2" t="inlineStr"/>
      <c r="K4134" s="3" t="inlineStr">
        <is>
          <t>4-ая серия альманаха «ВЕСЕЛАЯ КАРУСЕЛЬ»
сюжеты: «ВЕСЕЛЫЙ СТАРИЧОК», «ПРО ЧУДАКА-ЛЯГУШЕНКА», «ХОМЯК-МОЛЧУН»</t>
        </is>
      </c>
      <c r="L4134" s="2" t="inlineStr">
        <is>
          <t>https://animator.ru/db/?p=show_film&amp;fid=2533</t>
        </is>
      </c>
      <c r="M4134" s="2">
        <f>HYPERLINK("https://ru.wikipedia.org/w/index.php?search=%D0%92%D0%B5%D1%81%D0%B5%D0%BB%D0%B0%D1%8F%20%D0%BA%D0%B0%D1%80%D1%83%D1%81%D0%B5%D0%BB%D1%8C.%20%D0%92%D1%8B%D0%BF%D1%83%D1%81%D0%BA%20%E2%84%964%201972%20%D1%84%D0%B8%D0%BB%D1%8C%D0%BC","искать")</f>
        <v/>
      </c>
      <c r="N4134" s="3" t="n"/>
      <c r="O4134" s="2" t="n"/>
      <c r="P4134" s="2" t="n"/>
    </row>
    <row r="4135">
      <c r="A4135" s="2" t="n">
        <v>4134</v>
      </c>
      <c r="B4135" s="2" t="inlineStr">
        <is>
          <t>короткая</t>
        </is>
      </c>
      <c r="C4135" s="2" t="n">
        <v>11918</v>
      </c>
      <c r="D4135" s="3" t="inlineStr">
        <is>
          <t>Переменка 2</t>
        </is>
      </c>
      <c r="E4135" s="2" t="n">
        <v>1979</v>
      </c>
      <c r="F4135" s="2" t="inlineStr">
        <is>
          <t>мультфильм</t>
        </is>
      </c>
      <c r="G4135" s="2" t="inlineStr">
        <is>
          <t>Союзмультфильм</t>
        </is>
      </c>
      <c r="H4135" s="2" t="n">
        <v>106</v>
      </c>
      <c r="I4135" s="2" t="inlineStr"/>
      <c r="J4135" s="2" t="inlineStr"/>
      <c r="K4135" s="3" t="inlineStr">
        <is>
          <t>О том, как закадычные друзья ели мороженое, добывали подпись в дневнике, выпускали и запускали стенгазету.</t>
        </is>
      </c>
      <c r="L4135" s="2" t="inlineStr">
        <is>
          <t>https://animator.ru/db/?p=show_film&amp;fid=2833</t>
        </is>
      </c>
      <c r="M4135" s="2">
        <f>HYPERLINK("https://ru.wikipedia.org/w/index.php?search=%D0%9F%D0%B5%D1%80%D0%B5%D0%BC%D0%B5%D0%BD%D0%BA%D0%B0%202%201979%20%D1%84%D0%B8%D0%BB%D1%8C%D0%BC","искать")</f>
        <v/>
      </c>
      <c r="N4135" s="3" t="n"/>
      <c r="O4135" s="2" t="n"/>
      <c r="P4135" s="2" t="n"/>
    </row>
    <row r="4136">
      <c r="A4136" s="2" t="n">
        <v>4135</v>
      </c>
      <c r="B4136" s="2" t="inlineStr">
        <is>
          <t>короткая</t>
        </is>
      </c>
      <c r="C4136" s="2" t="n">
        <v>12006</v>
      </c>
      <c r="D4136" s="3" t="inlineStr">
        <is>
          <t>Живая игрушка</t>
        </is>
      </c>
      <c r="E4136" s="2" t="n">
        <v>1982</v>
      </c>
      <c r="F4136" s="2" t="inlineStr">
        <is>
          <t>мультфильм</t>
        </is>
      </c>
      <c r="G4136" s="2" t="inlineStr">
        <is>
          <t>Союзмультфильм</t>
        </is>
      </c>
      <c r="H4136" s="2" t="n">
        <v>106</v>
      </c>
      <c r="I4136" s="2" t="inlineStr"/>
      <c r="J4136" s="2" t="inlineStr"/>
      <c r="K4136" s="3" t="inlineStr">
        <is>
          <t>Девочка мечтает об игрушке и отлавливает зайчонка...Об осторожном обращении с животными, ведь они - живые.</t>
        </is>
      </c>
      <c r="L4136" s="2" t="inlineStr">
        <is>
          <t>2026-10_мультфильмы_список_владельца.xlsx; https://animator.ru/db/?p=show_film&amp;fid=3120</t>
        </is>
      </c>
      <c r="M4136" s="2">
        <f>HYPERLINK("https://ru.wikipedia.org/w/index.php?search=%D0%96%D0%B8%D0%B2%D0%B0%D1%8F%20%D0%B8%D0%B3%D1%80%D1%83%D1%88%D0%BA%D0%B0%201982%20%D1%84%D0%B8%D0%BB%D1%8C%D0%BC","искать")</f>
        <v/>
      </c>
      <c r="N4136" s="3" t="n"/>
      <c r="O4136" s="2" t="n"/>
      <c r="P4136" s="2" t="n"/>
    </row>
    <row r="4137">
      <c r="A4137" s="2" t="n">
        <v>4136</v>
      </c>
      <c r="B4137" s="2" t="inlineStr">
        <is>
          <t>короткая</t>
        </is>
      </c>
      <c r="C4137" s="2" t="n">
        <v>8116</v>
      </c>
      <c r="D4137" s="3" t="inlineStr">
        <is>
          <t>Племянник</t>
        </is>
      </c>
      <c r="E4137" s="2" t="n">
        <v>1983</v>
      </c>
      <c r="F4137" s="2" t="inlineStr">
        <is>
          <t>телефильм</t>
        </is>
      </c>
      <c r="G4137" s="2" t="n"/>
      <c r="H4137" s="2" t="n">
        <v>107</v>
      </c>
      <c r="I4137" s="2" t="inlineStr"/>
      <c r="J4137" s="2" t="inlineStr"/>
      <c r="K4137" s="3" t="inlineStr">
        <is>
          <t>Телефильм. Одинокая женщина неожиданно видит по телевизору своего племянника, потерявшегося во время войны.</t>
        </is>
      </c>
      <c r="L4137" s="2" t="inlineStr">
        <is>
          <t>Кино_СССР сводный каталог.xlsx: список телефильмов</t>
        </is>
      </c>
      <c r="M4137" s="2">
        <f>HYPERLINK("https://ru.wikipedia.org/w/index.php?search=%D0%9F%D0%BB%D0%B5%D0%BC%D1%8F%D0%BD%D0%BD%D0%B8%D0%BA%201983%20%D1%84%D0%B8%D0%BB%D1%8C%D0%BC","искать")</f>
        <v/>
      </c>
      <c r="N4137" s="3" t="n"/>
      <c r="O4137" s="2" t="n"/>
      <c r="P4137" s="2" t="n"/>
    </row>
    <row r="4138">
      <c r="A4138" s="2" t="n">
        <v>4137</v>
      </c>
      <c r="B4138" s="2" t="inlineStr">
        <is>
          <t>короткая</t>
        </is>
      </c>
      <c r="C4138" s="2" t="n">
        <v>9103</v>
      </c>
      <c r="D4138" s="3" t="inlineStr">
        <is>
          <t>Тихий Джон</t>
        </is>
      </c>
      <c r="E4138" s="2" t="n">
        <v>1991</v>
      </c>
      <c r="F4138" s="2" t="inlineStr">
        <is>
          <t>кинофильм</t>
        </is>
      </c>
      <c r="G4138" s="2" t="n"/>
      <c r="H4138" s="2" t="n">
        <v>107</v>
      </c>
      <c r="I4138" s="2" t="inlineStr"/>
      <c r="J4138" s="2" t="inlineStr"/>
      <c r="K4138" s="3" t="inlineStr">
        <is>
          <t>О приключениях бывшего заключенного Тихого Джона, который помогает другу и завязывает с преступным прошлым.</t>
        </is>
      </c>
      <c r="L4138" s="2" t="inlineStr">
        <is>
          <t>Кино_СССР сводный каталог.xlsx: список фильмов (доп.)</t>
        </is>
      </c>
      <c r="M4138" s="2">
        <f>HYPERLINK("https://ru.wikipedia.org/w/index.php?search=%D0%A2%D0%B8%D1%85%D0%B8%D0%B9%20%D0%94%D0%B6%D0%BE%D0%BD%201991%20%D1%84%D0%B8%D0%BB%D1%8C%D0%BC","искать")</f>
        <v/>
      </c>
      <c r="N4138" s="3" t="n"/>
      <c r="O4138" s="2" t="n"/>
      <c r="P4138" s="2" t="n"/>
    </row>
    <row r="4139">
      <c r="A4139" s="2" t="n">
        <v>4138</v>
      </c>
      <c r="B4139" s="2" t="inlineStr">
        <is>
          <t>короткая</t>
        </is>
      </c>
      <c r="C4139" s="2" t="n">
        <v>9907</v>
      </c>
      <c r="D4139" s="3" t="inlineStr">
        <is>
          <t>Лягушка и эдельвейс</t>
        </is>
      </c>
      <c r="E4139" s="2" t="n">
        <v>1973</v>
      </c>
      <c r="F4139" s="2" t="inlineStr">
        <is>
          <t>телефильм</t>
        </is>
      </c>
      <c r="G4139" s="2" t="inlineStr">
        <is>
          <t>Казахтелефильм</t>
        </is>
      </c>
      <c r="H4139" s="2" t="n">
        <v>107</v>
      </c>
      <c r="I4139" s="2" t="inlineStr"/>
      <c r="J4139" s="2" t="inlineStr"/>
      <c r="K4139" s="3" t="inlineStr">
        <is>
          <t>О том, как семиклассник Марат, приехавший в аул из города, постепенно завоевывает уважение новых товарищей.</t>
        </is>
      </c>
      <c r="L4139" s="2" t="inlineStr">
        <is>
          <t>https://www.kino-teatr.ru/short/movie/sov/92669/annot/</t>
        </is>
      </c>
      <c r="M4139" s="2">
        <f>HYPERLINK("https://ru.wikipedia.org/w/index.php?search=%D0%9B%D1%8F%D0%B3%D1%83%D1%88%D0%BA%D0%B0%20%D0%B8%20%D1%8D%D0%B4%D0%B5%D0%BB%D1%8C%D0%B2%D0%B5%D0%B9%D1%81%201973%20%D1%84%D0%B8%D0%BB%D1%8C%D0%BC","искать")</f>
        <v/>
      </c>
      <c r="N4139" s="3" t="n"/>
      <c r="O4139" s="2" t="n"/>
      <c r="P4139" s="2" t="n"/>
    </row>
    <row r="4140">
      <c r="A4140" s="2" t="n">
        <v>4139</v>
      </c>
      <c r="B4140" s="2" t="inlineStr">
        <is>
          <t>короткая</t>
        </is>
      </c>
      <c r="C4140" s="2" t="n">
        <v>11867</v>
      </c>
      <c r="D4140" s="3" t="inlineStr">
        <is>
          <t>Дед Мороз и серый волк (1978)</t>
        </is>
      </c>
      <c r="E4140" s="2" t="n">
        <v>1978</v>
      </c>
      <c r="F4140" s="2" t="inlineStr">
        <is>
          <t>мультфильм</t>
        </is>
      </c>
      <c r="G4140" s="2" t="inlineStr">
        <is>
          <t>Союзмультфильм</t>
        </is>
      </c>
      <c r="H4140" s="2" t="n">
        <v>107</v>
      </c>
      <c r="I4140" s="2" t="inlineStr"/>
      <c r="J4140" s="2" t="inlineStr"/>
      <c r="K4140" s="3" t="inlineStr">
        <is>
          <t>Новогодние приключения Деда Мороза, Снегурочки и их веселой свиты
Текст песни - Генрих Сапгир, поет Э.Барон</t>
        </is>
      </c>
      <c r="L4140" s="2" t="inlineStr">
        <is>
          <t>https://animator.ru/db/?p=show_film&amp;fid=2782</t>
        </is>
      </c>
      <c r="M4140" s="2">
        <f>HYPERLINK("https://ru.wikipedia.org/w/index.php?search=%D0%94%D0%B5%D0%B4%20%D0%9C%D0%BE%D1%80%D0%BE%D0%B7%20%D0%B8%20%D1%81%D0%B5%D1%80%D1%8B%D0%B9%20%D0%B2%D0%BE%D0%BB%D0%BA%20%281978%29%201978%20%D1%84%D0%B8%D0%BB%D1%8C%D0%BC","искать")</f>
        <v/>
      </c>
      <c r="N4140" s="3" t="n"/>
      <c r="O4140" s="2" t="n"/>
      <c r="P4140" s="2" t="n"/>
    </row>
    <row r="4141">
      <c r="A4141" s="2" t="n">
        <v>4140</v>
      </c>
      <c r="B4141" s="2" t="inlineStr">
        <is>
          <t>короткая</t>
        </is>
      </c>
      <c r="C4141" s="2" t="n">
        <v>12473</v>
      </c>
      <c r="D4141" s="3" t="inlineStr">
        <is>
          <t>Ненаписанное письмо</t>
        </is>
      </c>
      <c r="E4141" s="2" t="n">
        <v>1985</v>
      </c>
      <c r="F4141" s="2" t="inlineStr">
        <is>
          <t>мультфильм</t>
        </is>
      </c>
      <c r="G4141" s="2" t="inlineStr">
        <is>
          <t>КИЕВНАУЧФИЛЬМ</t>
        </is>
      </c>
      <c r="H4141" s="2" t="n">
        <v>107</v>
      </c>
      <c r="I4141" s="2" t="inlineStr"/>
      <c r="J4141" s="2" t="inlineStr"/>
      <c r="K4141" s="3" t="inlineStr">
        <is>
          <t>Фильмдля взрослыхо судьбах двух любящих людей, о том как связало их письмо, которое так и не было написано.</t>
        </is>
      </c>
      <c r="L4141" s="2" t="inlineStr">
        <is>
          <t>2026-10_мультфильмы_список_владельца.xlsx; https://animator.ru/db/?p=show_film&amp;fid=3646</t>
        </is>
      </c>
      <c r="M4141" s="2">
        <f>HYPERLINK("https://ru.wikipedia.org/w/index.php?search=%D0%9D%D0%B5%D0%BD%D0%B0%D0%BF%D0%B8%D1%81%D0%B0%D0%BD%D0%BD%D0%BE%D0%B5%20%D0%BF%D0%B8%D1%81%D1%8C%D0%BC%D0%BE%201985%20%D1%84%D0%B8%D0%BB%D1%8C%D0%BC","искать")</f>
        <v/>
      </c>
      <c r="N4141" s="3" t="n"/>
      <c r="O4141" s="2" t="n"/>
      <c r="P4141" s="2" t="n"/>
    </row>
    <row r="4142">
      <c r="A4142" s="2" t="n">
        <v>4141</v>
      </c>
      <c r="B4142" s="2" t="inlineStr">
        <is>
          <t>короткая</t>
        </is>
      </c>
      <c r="C4142" s="2" t="n">
        <v>13702</v>
      </c>
      <c r="D4142" s="3" t="inlineStr">
        <is>
          <t>Земляничный дождик</t>
        </is>
      </c>
      <c r="E4142" s="2" t="n">
        <v>1990</v>
      </c>
      <c r="F4142" s="2" t="inlineStr">
        <is>
          <t>мультфильм</t>
        </is>
      </c>
      <c r="G4142" s="2" t="inlineStr">
        <is>
          <t>ЭКРАН</t>
        </is>
      </c>
      <c r="H4142" s="2" t="n">
        <v>107</v>
      </c>
      <c r="I4142" s="2" t="inlineStr"/>
      <c r="J4142" s="2" t="inlineStr"/>
      <c r="K4142" s="3" t="inlineStr">
        <is>
          <t>Как ветерок принес зверюшкам тучки с земляничным, сырным и морковным дождем - каждому по вкусу. Для малышей</t>
        </is>
      </c>
      <c r="L4142" s="2" t="inlineStr">
        <is>
          <t>https://animator.ru/db/?p=show_film&amp;fid=5095</t>
        </is>
      </c>
      <c r="M4142" s="2">
        <f>HYPERLINK("https://ru.wikipedia.org/w/index.php?search=%D0%97%D0%B5%D0%BC%D0%BB%D1%8F%D0%BD%D0%B8%D1%87%D0%BD%D1%8B%D0%B9%20%D0%B4%D0%BE%D0%B6%D0%B4%D0%B8%D0%BA%201990%20%D1%84%D0%B8%D0%BB%D1%8C%D0%BC","искать")</f>
        <v/>
      </c>
      <c r="N4142" s="3" t="n"/>
      <c r="O4142" s="2" t="n"/>
      <c r="P4142" s="2" t="n"/>
    </row>
    <row r="4143">
      <c r="A4143" s="2" t="n">
        <v>4142</v>
      </c>
      <c r="B4143" s="2" t="inlineStr">
        <is>
          <t>короткая</t>
        </is>
      </c>
      <c r="C4143" s="2" t="n">
        <v>14391</v>
      </c>
      <c r="D4143" s="3" t="inlineStr">
        <is>
          <t>Домовой</t>
        </is>
      </c>
      <c r="E4143" s="2" t="n">
        <v>1991</v>
      </c>
      <c r="F4143" s="2" t="inlineStr">
        <is>
          <t>мультфильм</t>
        </is>
      </c>
      <c r="G4143" s="2" t="inlineStr">
        <is>
          <t>ТАЛЛИННФИЛЬМ</t>
        </is>
      </c>
      <c r="H4143" s="2" t="n">
        <v>108</v>
      </c>
      <c r="I4143" s="2" t="inlineStr"/>
      <c r="J4143" s="2" t="inlineStr"/>
      <c r="K4143" s="3" t="inlineStr">
        <is>
          <t>Рождественская история о маленьком домовом (гномике), который устроил праздник детям на Рождество. Для детей</t>
        </is>
      </c>
      <c r="L4143" s="2" t="inlineStr">
        <is>
          <t>https://animator.ru/db/?p=show_film&amp;fid=6451</t>
        </is>
      </c>
      <c r="M4143" s="2">
        <f>HYPERLINK("https://ru.wikipedia.org/w/index.php?search=%D0%94%D0%BE%D0%BC%D0%BE%D0%B2%D0%BE%D0%B9%201991%20%D1%84%D0%B8%D0%BB%D1%8C%D0%BC","искать")</f>
        <v/>
      </c>
      <c r="N4143" s="3" t="n"/>
      <c r="O4143" s="2" t="n"/>
      <c r="P4143" s="2" t="n"/>
    </row>
    <row r="4144">
      <c r="A4144" s="2" t="n">
        <v>4143</v>
      </c>
      <c r="B4144" s="2" t="inlineStr">
        <is>
          <t>короткая</t>
        </is>
      </c>
      <c r="C4144" s="2" t="n">
        <v>11621</v>
      </c>
      <c r="D4144" s="3" t="inlineStr">
        <is>
          <t>Веселая карусель. Выпуск №8</t>
        </is>
      </c>
      <c r="E4144" s="2" t="n">
        <v>1976</v>
      </c>
      <c r="F4144" s="2" t="inlineStr">
        <is>
          <t>мультфильм</t>
        </is>
      </c>
      <c r="G4144" s="2" t="inlineStr">
        <is>
          <t>Союзмультфильм</t>
        </is>
      </c>
      <c r="H4144" s="2" t="n">
        <v>109</v>
      </c>
      <c r="I4144" s="2" t="inlineStr"/>
      <c r="J4144" s="2" t="inlineStr"/>
      <c r="K4144" s="3" t="inlineStr">
        <is>
          <t>8-ая серия альманаха «ВЕСЕЛАЯ КАРУСЕЛЬ»
сюжеты: «КОНСЕРВНАЯ БАНКА», «АПЕЛЬСИН», «ПОЧЕМУ У ЛЬВА БОЛЬШАЯ ГРИВА»</t>
        </is>
      </c>
      <c r="L4144" s="2" t="inlineStr">
        <is>
          <t>https://animator.ru/db/?p=show_film&amp;fid=2534</t>
        </is>
      </c>
      <c r="M4144" s="2">
        <f>HYPERLINK("https://ru.wikipedia.org/w/index.php?search=%D0%92%D0%B5%D1%81%D0%B5%D0%BB%D0%B0%D1%8F%20%D0%BA%D0%B0%D1%80%D1%83%D1%81%D0%B5%D0%BB%D1%8C.%20%D0%92%D1%8B%D0%BF%D1%83%D1%81%D0%BA%20%E2%84%968%201976%20%D1%84%D0%B8%D0%BB%D1%8C%D0%BC","искать")</f>
        <v/>
      </c>
      <c r="N4144" s="3" t="n"/>
      <c r="O4144" s="2" t="n"/>
      <c r="P4144" s="2" t="n"/>
    </row>
    <row r="4145">
      <c r="A4145" s="2" t="n">
        <v>4144</v>
      </c>
      <c r="B4145" s="2" t="inlineStr">
        <is>
          <t>короткая</t>
        </is>
      </c>
      <c r="C4145" s="2" t="n">
        <v>12198</v>
      </c>
      <c r="D4145" s="3" t="inlineStr">
        <is>
          <t>Я жду тебя, кит!</t>
        </is>
      </c>
      <c r="E4145" s="2" t="n">
        <v>1986</v>
      </c>
      <c r="F4145" s="2" t="inlineStr">
        <is>
          <t>мультфильм</t>
        </is>
      </c>
      <c r="G4145" s="2" t="inlineStr">
        <is>
          <t>Союзмультфильм</t>
        </is>
      </c>
      <c r="H4145" s="2" t="n">
        <v>109</v>
      </c>
      <c r="I4145" s="2" t="inlineStr"/>
      <c r="J4145" s="2" t="inlineStr"/>
      <c r="K4145" s="3" t="inlineStr">
        <is>
          <t>По мотивам рассказа японской писательницы Риэко Накагавы о мальчике Сигеру, который любит и защищает природу.</t>
        </is>
      </c>
      <c r="L4145" s="2" t="inlineStr">
        <is>
          <t>2026-10_мультфильмы_список_владельца.xlsx; https://animator.ru/db/?p=show_film&amp;fid=3315</t>
        </is>
      </c>
      <c r="M4145" s="2">
        <f>HYPERLINK("https://ru.wikipedia.org/w/index.php?search=%D0%AF%20%D0%B6%D0%B4%D1%83%20%D1%82%D0%B5%D0%B1%D1%8F%2C%20%D0%BA%D0%B8%D1%82%21%201986%20%D1%84%D0%B8%D0%BB%D1%8C%D0%BC","искать")</f>
        <v/>
      </c>
      <c r="N4145" s="3" t="n"/>
      <c r="O4145" s="2" t="n"/>
      <c r="P4145" s="2" t="n"/>
    </row>
    <row r="4146">
      <c r="A4146" s="2" t="n">
        <v>4145</v>
      </c>
      <c r="B4146" s="2" t="inlineStr">
        <is>
          <t>короткая</t>
        </is>
      </c>
      <c r="C4146" s="2" t="n">
        <v>12405</v>
      </c>
      <c r="D4146" s="3" t="inlineStr">
        <is>
          <t>Как казаки на свадьбе гуляли</t>
        </is>
      </c>
      <c r="E4146" s="2" t="n">
        <v>1984</v>
      </c>
      <c r="F4146" s="2" t="inlineStr">
        <is>
          <t>мультфильм</t>
        </is>
      </c>
      <c r="G4146" s="2" t="inlineStr">
        <is>
          <t>КИЕВНАУЧФИЛЬМ</t>
        </is>
      </c>
      <c r="H4146" s="2" t="n">
        <v>109</v>
      </c>
      <c r="I4146" s="2" t="inlineStr"/>
      <c r="J4146" s="2" t="inlineStr"/>
      <c r="K4146" s="3" t="inlineStr">
        <is>
          <t>Мульт из серии про Запорожских казаков.В поисках красных сапожек для невесты казаки расправляются с нечистью.</t>
        </is>
      </c>
      <c r="L4146" s="2" t="inlineStr">
        <is>
          <t>2026-10_мультфильмы_список_владельца.xlsx; https://animator.ru/db/?p=show_film&amp;fid=3576</t>
        </is>
      </c>
      <c r="M4146" s="2">
        <f>HYPERLINK("https://ru.wikipedia.org/w/index.php?search=%D0%9A%D0%B0%D0%BA%20%D0%BA%D0%B0%D0%B7%D0%B0%D0%BA%D0%B8%20%D0%BD%D0%B0%20%D1%81%D0%B2%D0%B0%D0%B4%D1%8C%D0%B1%D0%B5%20%D0%B3%D1%83%D0%BB%D1%8F%D0%BB%D0%B8%201984%20%D1%84%D0%B8%D0%BB%D1%8C%D0%BC","искать")</f>
        <v/>
      </c>
      <c r="N4146" s="3" t="n"/>
      <c r="O4146" s="2" t="n"/>
      <c r="P4146" s="2" t="n"/>
    </row>
    <row r="4147">
      <c r="A4147" s="2" t="n">
        <v>4146</v>
      </c>
      <c r="B4147" s="2" t="inlineStr">
        <is>
          <t>короткая</t>
        </is>
      </c>
      <c r="C4147" s="2" t="n">
        <v>14098</v>
      </c>
      <c r="D4147" s="3" t="inlineStr">
        <is>
          <t>Волшебный фонарь</t>
        </is>
      </c>
      <c r="E4147" s="2" t="n">
        <v>1987</v>
      </c>
      <c r="F4147" s="2" t="inlineStr">
        <is>
          <t>мультфильм</t>
        </is>
      </c>
      <c r="G4147" s="2" t="inlineStr">
        <is>
          <t>АЗЕРБАЙДЖАНТЕЛЕФИЛЬМ</t>
        </is>
      </c>
      <c r="H4147" s="2" t="n">
        <v>109</v>
      </c>
      <c r="I4147" s="2" t="inlineStr"/>
      <c r="J4147" s="2" t="inlineStr"/>
      <c r="K4147" s="3" t="inlineStr">
        <is>
          <t>О фантазере и выдумщике Назиме. В фильме снимались ученики четвертого класса бакинской школы N 134. Для детей</t>
        </is>
      </c>
      <c r="L4147" s="2" t="inlineStr">
        <is>
          <t>https://animator.ru/db/?p=show_film&amp;fid=5496</t>
        </is>
      </c>
      <c r="M4147" s="2">
        <f>HYPERLINK("https://ru.wikipedia.org/w/index.php?search=%D0%92%D0%BE%D0%BB%D1%88%D0%B5%D0%B1%D0%BD%D1%8B%D0%B9%20%D1%84%D0%BE%D0%BD%D0%B0%D1%80%D1%8C%201987%20%D1%84%D0%B8%D0%BB%D1%8C%D0%BC","искать")</f>
        <v/>
      </c>
      <c r="N4147" s="3" t="n"/>
      <c r="O4147" s="2" t="n"/>
      <c r="P4147" s="2" t="n"/>
    </row>
    <row r="4148">
      <c r="A4148" s="2" t="n">
        <v>4147</v>
      </c>
      <c r="B4148" s="2" t="inlineStr">
        <is>
          <t>короткая</t>
        </is>
      </c>
      <c r="C4148" s="2" t="n">
        <v>7945</v>
      </c>
      <c r="D4148" s="3" t="inlineStr">
        <is>
          <t>Найти любимую</t>
        </is>
      </c>
      <c r="E4148" s="2" t="n">
        <v>1978</v>
      </c>
      <c r="F4148" s="2" t="inlineStr">
        <is>
          <t>телефильм</t>
        </is>
      </c>
      <c r="G4148" s="2" t="n"/>
      <c r="H4148" s="2" t="n">
        <v>110</v>
      </c>
      <c r="I4148" s="2" t="inlineStr"/>
      <c r="J4148" s="2" t="inlineStr"/>
      <c r="K4148" s="3" t="inlineStr">
        <is>
          <t>О юноше, работающем в железнодорожном депо и под влиянием своих наставников решившим стать учеником машиниста.</t>
        </is>
      </c>
      <c r="L4148" s="2" t="inlineStr">
        <is>
          <t>Кино_СССР сводный каталог.xlsx: список телефильмов</t>
        </is>
      </c>
      <c r="M4148" s="2">
        <f>HYPERLINK("https://ru.wikipedia.org/w/index.php?search=%D0%9D%D0%B0%D0%B9%D1%82%D0%B8%20%D0%BB%D1%8E%D0%B1%D0%B8%D0%BC%D1%83%D1%8E%201978%20%D1%84%D0%B8%D0%BB%D1%8C%D0%BC","искать")</f>
        <v/>
      </c>
      <c r="N4148" s="3" t="n"/>
      <c r="O4148" s="2" t="n"/>
      <c r="P4148" s="2" t="n"/>
    </row>
    <row r="4149">
      <c r="A4149" s="2" t="n">
        <v>4148</v>
      </c>
      <c r="B4149" s="2" t="inlineStr">
        <is>
          <t>короткая</t>
        </is>
      </c>
      <c r="C4149" s="2" t="n">
        <v>8692</v>
      </c>
      <c r="D4149" s="3" t="inlineStr">
        <is>
          <t>Дальше полёта стрелы</t>
        </is>
      </c>
      <c r="E4149" s="2" t="n">
        <v>1990</v>
      </c>
      <c r="F4149" s="2" t="inlineStr">
        <is>
          <t>кинофильм</t>
        </is>
      </c>
      <c r="G4149" s="2" t="n"/>
      <c r="H4149" s="2" t="n">
        <v>110</v>
      </c>
      <c r="I4149" s="2" t="inlineStr"/>
      <c r="J4149" s="2" t="inlineStr"/>
      <c r="K4149" s="3" t="inlineStr">
        <is>
          <t>Трагическая история молодого журналиста, который довольно часто в своей жизни идет против собственной совести.</t>
        </is>
      </c>
      <c r="L4149" s="2" t="inlineStr">
        <is>
          <t>Кино_СССР сводный каталог.xlsx: список фильмов (доп.)</t>
        </is>
      </c>
      <c r="M4149" s="2">
        <f>HYPERLINK("https://ru.wikipedia.org/w/index.php?search=%D0%94%D0%B0%D0%BB%D1%8C%D1%88%D0%B5%20%D0%BF%D0%BE%D0%BB%D1%91%D1%82%D0%B0%20%D1%81%D1%82%D1%80%D0%B5%D0%BB%D1%8B%201990%20%D1%84%D0%B8%D0%BB%D1%8C%D0%BC","искать")</f>
        <v/>
      </c>
      <c r="N4149" s="3" t="n"/>
      <c r="O4149" s="2" t="n"/>
      <c r="P4149" s="2" t="n"/>
    </row>
    <row r="4150">
      <c r="A4150" s="2" t="n">
        <v>4149</v>
      </c>
      <c r="B4150" s="2" t="inlineStr">
        <is>
          <t>короткая</t>
        </is>
      </c>
      <c r="C4150" s="2" t="n">
        <v>9096</v>
      </c>
      <c r="D4150" s="3" t="inlineStr">
        <is>
          <t>Твой выбор</t>
        </is>
      </c>
      <c r="E4150" s="2" t="n">
        <v>1985</v>
      </c>
      <c r="F4150" s="2" t="inlineStr">
        <is>
          <t>кинофильм</t>
        </is>
      </c>
      <c r="G4150" s="2" t="n"/>
      <c r="H4150" s="2" t="n">
        <v>110</v>
      </c>
      <c r="I4150" s="2" t="inlineStr"/>
      <c r="J4150" s="2" t="inlineStr"/>
      <c r="K4150" s="3" t="inlineStr">
        <is>
          <t>Телевизионная группа приехала в сберкассу для съёмки репортажа о преимуществах работы в сберегательных кассах.</t>
        </is>
      </c>
      <c r="L4150" s="2" t="inlineStr">
        <is>
          <t>Кино_СССР сводный каталог.xlsx: список фильмов (доп.)</t>
        </is>
      </c>
      <c r="M4150" s="2">
        <f>HYPERLINK("https://ru.wikipedia.org/w/index.php?search=%D0%A2%D0%B2%D0%BE%D0%B9%20%D0%B2%D1%8B%D0%B1%D0%BE%D1%80%201985%20%D1%84%D0%B8%D0%BB%D1%8C%D0%BC","искать")</f>
        <v/>
      </c>
      <c r="N4150" s="3" t="n"/>
      <c r="O4150" s="2" t="n"/>
      <c r="P4150" s="2" t="n"/>
    </row>
    <row r="4151">
      <c r="A4151" s="2" t="n">
        <v>4150</v>
      </c>
      <c r="B4151" s="2" t="inlineStr">
        <is>
          <t>короткая</t>
        </is>
      </c>
      <c r="C4151" s="2" t="n">
        <v>9119</v>
      </c>
      <c r="D4151" s="3" t="inlineStr">
        <is>
          <t>Убийца поневоле</t>
        </is>
      </c>
      <c r="E4151" s="2" t="n">
        <v>1990</v>
      </c>
      <c r="F4151" s="2" t="inlineStr">
        <is>
          <t>кинофильм</t>
        </is>
      </c>
      <c r="G4151" s="2" t="n"/>
      <c r="H4151" s="2" t="n">
        <v>110</v>
      </c>
      <c r="I4151" s="2" t="inlineStr"/>
      <c r="J4151" s="2" t="inlineStr"/>
      <c r="K4151" s="3" t="inlineStr">
        <is>
          <t>Боксёр оказывается вовлечён в преступные дела местной мафии, что приводит к трагическим переменам в его жизни.</t>
        </is>
      </c>
      <c r="L4151" s="2" t="inlineStr">
        <is>
          <t>Кино_СССР сводный каталог.xlsx: список фильмов (доп.)</t>
        </is>
      </c>
      <c r="M4151" s="2">
        <f>HYPERLINK("https://ru.wikipedia.org/w/index.php?search=%D0%A3%D0%B1%D0%B8%D0%B9%D1%86%D0%B0%20%D0%BF%D0%BE%D0%BD%D0%B5%D0%B2%D0%BE%D0%BB%D0%B5%201990%20%D1%84%D0%B8%D0%BB%D1%8C%D0%BC","искать")</f>
        <v/>
      </c>
      <c r="N4151" s="3" t="n"/>
      <c r="O4151" s="2" t="n"/>
      <c r="P4151" s="2" t="inlineStr">
        <is>
          <t>ГФФ: «УБИЙЦА ПОНЕВОЛЕ» 1990 — по сверке другой фильм, не предложено</t>
        </is>
      </c>
    </row>
    <row r="4152">
      <c r="A4152" s="2" t="n">
        <v>4151</v>
      </c>
      <c r="B4152" s="2" t="inlineStr">
        <is>
          <t>короткая</t>
        </is>
      </c>
      <c r="C4152" s="2" t="n">
        <v>10116</v>
      </c>
      <c r="D4152" s="3" t="inlineStr">
        <is>
          <t>А разве кто-нибудь стрелял?</t>
        </is>
      </c>
      <c r="E4152" s="2" t="n">
        <v>1964</v>
      </c>
      <c r="F4152" s="2" t="inlineStr">
        <is>
          <t>фильм-спектакль</t>
        </is>
      </c>
      <c r="G4152" s="2" t="inlineStr">
        <is>
          <t>Центральное телевидение</t>
        </is>
      </c>
      <c r="H4152" s="2" t="n">
        <v>110</v>
      </c>
      <c r="I4152" s="2" t="inlineStr"/>
      <c r="J4152" s="2" t="inlineStr"/>
      <c r="K4152" s="3" t="inlineStr">
        <is>
          <t>По мотивам повести итальянского писателя Леонардо Шоша.
О противостоянии капитана Беллоди и сицилийской мафии.</t>
        </is>
      </c>
      <c r="L4152" s="2" t="inlineStr">
        <is>
          <t>https://www.kino-teatr.ru/teatr/movie/136284/annot/</t>
        </is>
      </c>
      <c r="M4152" s="2">
        <f>HYPERLINK("https://ru.wikipedia.org/w/index.php?search=%D0%90%20%D1%80%D0%B0%D0%B7%D0%B2%D0%B5%20%D0%BA%D1%82%D0%BE-%D0%BD%D0%B8%D0%B1%D1%83%D0%B4%D1%8C%20%D1%81%D1%82%D1%80%D0%B5%D0%BB%D1%8F%D0%BB%3F%201964%20%D1%84%D0%B8%D0%BB%D1%8C%D0%BC","искать")</f>
        <v/>
      </c>
      <c r="N4152" s="3" t="n"/>
      <c r="O4152" s="2" t="n"/>
      <c r="P4152" s="2" t="n"/>
    </row>
    <row r="4153">
      <c r="A4153" s="2" t="n">
        <v>4152</v>
      </c>
      <c r="B4153" s="2" t="inlineStr">
        <is>
          <t>короткая</t>
        </is>
      </c>
      <c r="C4153" s="2" t="n">
        <v>12663</v>
      </c>
      <c r="D4153" s="3" t="inlineStr">
        <is>
          <t>Сказки-небылицы деда Егора</t>
        </is>
      </c>
      <c r="E4153" s="2" t="n">
        <v>1986</v>
      </c>
      <c r="F4153" s="2" t="inlineStr">
        <is>
          <t>мультфильм</t>
        </is>
      </c>
      <c r="G4153" s="2" t="inlineStr">
        <is>
          <t>БЕЛАРУСЬФИЛЬМ НАЦИОНАЛЬНАЯ КИНОСТУДИЯ - ГП</t>
        </is>
      </c>
      <c r="H4153" s="2" t="n">
        <v>110</v>
      </c>
      <c r="I4153" s="2" t="inlineStr"/>
      <c r="J4153" s="2" t="inlineStr"/>
      <c r="K4153" s="3" t="inlineStr">
        <is>
          <t>О том, как дед Егор, рассказывая сказки, увлекает детей, заигравшихся на улице, и вовремя приводит их в школу.</t>
        </is>
      </c>
      <c r="L4153" s="2" t="inlineStr">
        <is>
          <t>https://animator.ru/db/?p=show_film&amp;fid=3856</t>
        </is>
      </c>
      <c r="M4153" s="2">
        <f>HYPERLINK("https://ru.wikipedia.org/w/index.php?search=%D0%A1%D0%BA%D0%B0%D0%B7%D0%BA%D0%B8-%D0%BD%D0%B5%D0%B1%D1%8B%D0%BB%D0%B8%D1%86%D1%8B%20%D0%B4%D0%B5%D0%B4%D0%B0%20%D0%95%D0%B3%D0%BE%D1%80%D0%B0%201986%20%D1%84%D0%B8%D0%BB%D1%8C%D0%BC","искать")</f>
        <v/>
      </c>
      <c r="N4153" s="3" t="n"/>
      <c r="O4153" s="2" t="n"/>
      <c r="P4153" s="2" t="n"/>
    </row>
    <row r="4154">
      <c r="A4154" s="2" t="n">
        <v>4153</v>
      </c>
      <c r="B4154" s="2" t="inlineStr">
        <is>
          <t>короткая</t>
        </is>
      </c>
      <c r="C4154" s="2" t="n">
        <v>9720</v>
      </c>
      <c r="D4154" s="3" t="inlineStr">
        <is>
          <t>Фантастическая история</t>
        </is>
      </c>
      <c r="E4154" s="2" t="n">
        <v>1988</v>
      </c>
      <c r="F4154" s="2" t="inlineStr">
        <is>
          <t>кинофильм</t>
        </is>
      </c>
      <c r="G4154" s="2" t="n"/>
      <c r="H4154" s="2" t="n">
        <v>111</v>
      </c>
      <c r="I4154" s="2" t="inlineStr"/>
      <c r="J4154" s="2" t="inlineStr"/>
      <c r="K4154" s="3" t="inlineStr">
        <is>
          <t>Широкоформатный фильм. Старый кукольный мастер рассказывает своему маленькому другу историю своей первой любви.</t>
        </is>
      </c>
      <c r="L4154" s="2" t="inlineStr">
        <is>
          <t>Кино_СССР сводный каталог.xlsx: список фильмов (доп.)</t>
        </is>
      </c>
      <c r="M4154" s="2">
        <f>HYPERLINK("https://ru.wikipedia.org/w/index.php?search=%D0%A4%D0%B0%D0%BD%D1%82%D0%B0%D1%81%D1%82%D0%B8%D1%87%D0%B5%D1%81%D0%BA%D0%B0%D1%8F%20%D0%B8%D1%81%D1%82%D0%BE%D1%80%D0%B8%D1%8F%201988%20%D1%84%D0%B8%D0%BB%D1%8C%D0%BC","искать")</f>
        <v/>
      </c>
      <c r="N4154" s="3" t="n"/>
      <c r="O4154" s="2" t="n"/>
      <c r="P4154" s="2" t="n"/>
    </row>
    <row r="4155">
      <c r="A4155" s="2" t="n">
        <v>4154</v>
      </c>
      <c r="B4155" s="2" t="inlineStr">
        <is>
          <t>короткая</t>
        </is>
      </c>
      <c r="C4155" s="2" t="n">
        <v>10512</v>
      </c>
      <c r="D4155" s="3" t="inlineStr">
        <is>
          <t>Представление начинается</t>
        </is>
      </c>
      <c r="E4155" s="2" t="n">
        <v>1973</v>
      </c>
      <c r="F4155" s="2" t="inlineStr">
        <is>
          <t>фильм-спектакль</t>
        </is>
      </c>
      <c r="G4155" s="2" t="inlineStr">
        <is>
          <t>Главная редакция программ для детей и юношества ЦТ</t>
        </is>
      </c>
      <c r="H4155" s="2" t="n">
        <v>111</v>
      </c>
      <c r="I4155" s="2" t="inlineStr"/>
      <c r="J4155" s="2" t="inlineStr"/>
      <c r="K4155" s="3" t="inlineStr">
        <is>
          <t>Музыкальный телеспектакль о ребятах одного двора, решивших поставить спектакль "Золушка" в новой интерпретации.</t>
        </is>
      </c>
      <c r="L4155" s="2" t="inlineStr">
        <is>
          <t>https://www.kino-teatr.ru/teatr/movie/79288/annot/</t>
        </is>
      </c>
      <c r="M4155" s="2">
        <f>HYPERLINK("https://ru.wikipedia.org/w/index.php?search=%D0%9F%D1%80%D0%B5%D0%B4%D1%81%D1%82%D0%B0%D0%B2%D0%BB%D0%B5%D0%BD%D0%B8%D0%B5%20%D0%BD%D0%B0%D1%87%D0%B8%D0%BD%D0%B0%D0%B5%D1%82%D1%81%D1%8F%201973%20%D1%84%D0%B8%D0%BB%D1%8C%D0%BC","искать")</f>
        <v/>
      </c>
      <c r="N4155" s="3" t="n"/>
      <c r="O4155" s="2" t="n"/>
      <c r="P4155" s="2" t="n"/>
    </row>
    <row r="4156">
      <c r="A4156" s="2" t="n">
        <v>4155</v>
      </c>
      <c r="B4156" s="2" t="inlineStr">
        <is>
          <t>короткая</t>
        </is>
      </c>
      <c r="C4156" s="2" t="n">
        <v>11766</v>
      </c>
      <c r="D4156" s="3" t="inlineStr">
        <is>
          <t>Веселая карусель n 7. Бегемотик</t>
        </is>
      </c>
      <c r="E4156" s="2" t="n">
        <v>1975</v>
      </c>
      <c r="F4156" s="2" t="inlineStr">
        <is>
          <t>мультфильм</t>
        </is>
      </c>
      <c r="G4156" s="2" t="inlineStr">
        <is>
          <t>Союзмультфильм</t>
        </is>
      </c>
      <c r="H4156" s="2" t="n">
        <v>111</v>
      </c>
      <c r="I4156" s="2" t="inlineStr"/>
      <c r="J4156" s="2" t="inlineStr"/>
      <c r="K4156" s="3" t="inlineStr">
        <is>
          <t>Сюжет из альманаха «ВЕСЕЛАЯ КАРУСЕЛЬ N 7»
По сказке Эммы Машковской об одиноком Бегемотике, который нашел друга</t>
        </is>
      </c>
      <c r="L4156" s="2" t="inlineStr">
        <is>
          <t>https://animator.ru/db/?p=show_film&amp;fid=2680</t>
        </is>
      </c>
      <c r="M4156" s="2">
        <f>HYPERLINK("https://ru.wikipedia.org/w/index.php?search=%D0%92%D0%B5%D1%81%D0%B5%D0%BB%D0%B0%D1%8F%20%D0%BA%D0%B0%D1%80%D1%83%D1%81%D0%B5%D0%BB%D1%8C%20n%207.%20%D0%91%D0%B5%D0%B3%D0%B5%D0%BC%D0%BE%D1%82%D0%B8%D0%BA%201975%20%D1%84%D0%B8%D0%BB%D1%8C%D0%BC","искать")</f>
        <v/>
      </c>
      <c r="N4156" s="3" t="n"/>
      <c r="O4156" s="2" t="n"/>
      <c r="P4156" s="2" t="n"/>
    </row>
    <row r="4157">
      <c r="A4157" s="2" t="n">
        <v>4156</v>
      </c>
      <c r="B4157" s="2" t="inlineStr">
        <is>
          <t>короткая</t>
        </is>
      </c>
      <c r="C4157" s="2" t="n">
        <v>11778</v>
      </c>
      <c r="D4157" s="3" t="inlineStr">
        <is>
          <t>Наследство волшебника Бахрама</t>
        </is>
      </c>
      <c r="E4157" s="2" t="n">
        <v>1975</v>
      </c>
      <c r="F4157" s="2" t="inlineStr">
        <is>
          <t>мультфильм</t>
        </is>
      </c>
      <c r="G4157" s="2" t="inlineStr">
        <is>
          <t>Союзмультфильм</t>
        </is>
      </c>
      <c r="H4157" s="2" t="n">
        <v>111</v>
      </c>
      <c r="I4157" s="2" t="inlineStr"/>
      <c r="J4157" s="2" t="inlineStr"/>
      <c r="K4157" s="3" t="inlineStr">
        <is>
          <t>Девочка, попавшая в царство волшебника Бахрама, вернулась обратно не польстившись на драгоценности и богатство.</t>
        </is>
      </c>
      <c r="L4157" s="2" t="inlineStr">
        <is>
          <t>https://animator.ru/db/?p=show_film&amp;fid=2692</t>
        </is>
      </c>
      <c r="M4157" s="2">
        <f>HYPERLINK("https://ru.wikipedia.org/w/index.php?search=%D0%9D%D0%B0%D1%81%D0%BB%D0%B5%D0%B4%D1%81%D1%82%D0%B2%D0%BE%20%D0%B2%D0%BE%D0%BB%D1%88%D0%B5%D0%B1%D0%BD%D0%B8%D0%BA%D0%B0%20%D0%91%D0%B0%D1%85%D1%80%D0%B0%D0%BC%D0%B0%201975%20%D1%84%D0%B8%D0%BB%D1%8C%D0%BC","искать")</f>
        <v/>
      </c>
      <c r="N4157" s="3" t="n"/>
      <c r="O4157" s="2" t="n"/>
      <c r="P4157" s="2" t="n"/>
    </row>
    <row r="4158">
      <c r="A4158" s="2" t="n">
        <v>4157</v>
      </c>
      <c r="B4158" s="2" t="inlineStr">
        <is>
          <t>короткая</t>
        </is>
      </c>
      <c r="C4158" s="2" t="n">
        <v>11825</v>
      </c>
      <c r="D4158" s="3" t="inlineStr">
        <is>
          <t>Веселая карусель n 9. За щелчок</t>
        </is>
      </c>
      <c r="E4158" s="2" t="n">
        <v>1977</v>
      </c>
      <c r="F4158" s="2" t="inlineStr">
        <is>
          <t>мультфильм</t>
        </is>
      </c>
      <c r="G4158" s="2" t="inlineStr">
        <is>
          <t>Союзмультфильм</t>
        </is>
      </c>
      <c r="H4158" s="2" t="n">
        <v>111</v>
      </c>
      <c r="I4158" s="2" t="inlineStr"/>
      <c r="J4158" s="2" t="inlineStr"/>
      <c r="K4158" s="3" t="inlineStr">
        <is>
          <t>Сюжет из альманаха «ВЕСЕЛАЯ КАРУСЕЛЬ N 9»
О том, как зайчишка щелкал всех по лбу, пока не встретился с бараном.</t>
        </is>
      </c>
      <c r="L4158" s="2" t="inlineStr">
        <is>
          <t>https://animator.ru/db/?p=show_film&amp;fid=2740</t>
        </is>
      </c>
      <c r="M4158" s="2">
        <f>HYPERLINK("https://ru.wikipedia.org/w/index.php?search=%D0%92%D0%B5%D1%81%D0%B5%D0%BB%D0%B0%D1%8F%20%D0%BA%D0%B0%D1%80%D1%83%D1%81%D0%B5%D0%BB%D1%8C%20n%209.%20%D0%97%D0%B0%20%D1%89%D0%B5%D0%BB%D1%87%D0%BE%D0%BA%201977%20%D1%84%D0%B8%D0%BB%D1%8C%D0%BC","искать")</f>
        <v/>
      </c>
      <c r="N4158" s="3" t="n"/>
      <c r="O4158" s="2" t="n"/>
      <c r="P4158" s="2" t="n"/>
    </row>
    <row r="4159">
      <c r="A4159" s="2" t="n">
        <v>4158</v>
      </c>
      <c r="B4159" s="2" t="inlineStr">
        <is>
          <t>короткая</t>
        </is>
      </c>
      <c r="C4159" s="2" t="n">
        <v>12209</v>
      </c>
      <c r="D4159" s="3" t="inlineStr">
        <is>
          <t>Контакты... конфликты</t>
        </is>
      </c>
      <c r="E4159" s="2" t="n">
        <v>1987</v>
      </c>
      <c r="F4159" s="2" t="inlineStr">
        <is>
          <t>мультфильм</t>
        </is>
      </c>
      <c r="G4159" s="2" t="inlineStr">
        <is>
          <t>Союзмультфильм</t>
        </is>
      </c>
      <c r="H4159" s="2" t="n">
        <v>111</v>
      </c>
      <c r="I4159" s="2" t="inlineStr"/>
      <c r="J4159" s="2" t="inlineStr"/>
      <c r="K4159" s="3" t="inlineStr">
        <is>
          <t>По рассказам М.Жванецкого. Комические сюжетыдля взрослыхо проблемах семейной жизни и проблемах общения.4 серии.</t>
        </is>
      </c>
      <c r="L4159" s="2" t="inlineStr">
        <is>
          <t>2026-10_мультфильмы_список_владельца.xlsx; https://animator.ru/db/?p=show_film&amp;fid=3326</t>
        </is>
      </c>
      <c r="M4159" s="2">
        <f>HYPERLINK("https://ru.wikipedia.org/w/index.php?search=%D0%9A%D0%BE%D0%BD%D1%82%D0%B0%D0%BA%D1%82%D1%8B...%20%D0%BA%D0%BE%D0%BD%D1%84%D0%BB%D0%B8%D0%BA%D1%82%D1%8B%201987%20%D1%84%D0%B8%D0%BB%D1%8C%D0%BC","искать")</f>
        <v/>
      </c>
      <c r="N4159" s="3" t="n"/>
      <c r="O4159" s="2" t="n"/>
      <c r="P4159" s="2" t="n"/>
    </row>
    <row r="4160">
      <c r="A4160" s="2" t="n">
        <v>4159</v>
      </c>
      <c r="B4160" s="2" t="inlineStr">
        <is>
          <t>короткая</t>
        </is>
      </c>
      <c r="C4160" s="2" t="n">
        <v>12233</v>
      </c>
      <c r="D4160" s="3" t="inlineStr">
        <is>
          <t>Веселая карусель n 19. Вредный совет</t>
        </is>
      </c>
      <c r="E4160" s="2" t="n">
        <v>1986</v>
      </c>
      <c r="F4160" s="2" t="inlineStr">
        <is>
          <t>мультфильм</t>
        </is>
      </c>
      <c r="G4160" s="2" t="inlineStr">
        <is>
          <t>Союзмультфильм</t>
        </is>
      </c>
      <c r="H4160" s="2" t="n">
        <v>111</v>
      </c>
      <c r="I4160" s="2" t="inlineStr"/>
      <c r="J4160" s="2" t="inlineStr"/>
      <c r="K4160" s="3" t="inlineStr">
        <is>
          <t>Сюжет из альманаха «ВЕСЕЛАЯ КАРУСЕЛЬ N 19»
Чижик-Пыжик дает очередной совет, как получить желаемое от родителей</t>
        </is>
      </c>
      <c r="L4160" s="2" t="inlineStr">
        <is>
          <t>https://animator.ru/db/?p=show_film&amp;fid=3350</t>
        </is>
      </c>
      <c r="M4160" s="2">
        <f>HYPERLINK("https://ru.wikipedia.org/w/index.php?search=%D0%92%D0%B5%D1%81%D0%B5%D0%BB%D0%B0%D1%8F%20%D0%BA%D0%B0%D1%80%D1%83%D1%81%D0%B5%D0%BB%D1%8C%20n%2019.%20%D0%92%D1%80%D0%B5%D0%B4%D0%BD%D1%8B%D0%B9%20%D1%81%D0%BE%D0%B2%D0%B5%D1%82%201986%20%D1%84%D0%B8%D0%BB%D1%8C%D0%BC","искать")</f>
        <v/>
      </c>
      <c r="N4160" s="3" t="n"/>
      <c r="O4160" s="2" t="n"/>
      <c r="P4160" s="2" t="n"/>
    </row>
    <row r="4161">
      <c r="A4161" s="2" t="n">
        <v>4160</v>
      </c>
      <c r="B4161" s="2" t="inlineStr">
        <is>
          <t>короткая</t>
        </is>
      </c>
      <c r="C4161" s="2" t="n">
        <v>13659</v>
      </c>
      <c r="D4161" s="3" t="inlineStr">
        <is>
          <t>Волк и семеро козлят на новый лад</t>
        </is>
      </c>
      <c r="E4161" s="2" t="n">
        <v>1975</v>
      </c>
      <c r="F4161" s="2" t="inlineStr">
        <is>
          <t>мультфильм</t>
        </is>
      </c>
      <c r="G4161" s="2" t="inlineStr">
        <is>
          <t>ЭКРАН</t>
        </is>
      </c>
      <c r="H4161" s="2" t="n">
        <v>111</v>
      </c>
      <c r="I4161" s="2" t="inlineStr"/>
      <c r="J4161" s="2" t="inlineStr"/>
      <c r="K4161" s="3" t="inlineStr">
        <is>
          <t>Как любовь к музыке сделала друзьями волка и козлят. Песни в исполнении квартета "Улыбка". Кукольный мультфильм</t>
        </is>
      </c>
      <c r="L4161" s="2" t="inlineStr">
        <is>
          <t>2026-10_мультфильмы_список_владельца.xlsx; https://animator.ru/db/?p=show_film&amp;fid=5051</t>
        </is>
      </c>
      <c r="M4161" s="2">
        <f>HYPERLINK("https://ru.wikipedia.org/w/index.php?search=%D0%92%D0%BE%D0%BB%D0%BA%20%D0%B8%20%D1%81%D0%B5%D0%BC%D0%B5%D1%80%D0%BE%20%D0%BA%D0%BE%D0%B7%D0%BB%D1%8F%D1%82%20%D0%BD%D0%B0%20%D0%BD%D0%BE%D0%B2%D1%8B%D0%B9%20%D0%BB%D0%B0%D0%B4%201975%20%D1%84%D0%B8%D0%BB%D1%8C%D0%BC","искать")</f>
        <v/>
      </c>
      <c r="N4161" s="3" t="n"/>
      <c r="O4161" s="2" t="n"/>
      <c r="P4161" s="2" t="n"/>
    </row>
    <row r="4162">
      <c r="A4162" s="2" t="n">
        <v>4161</v>
      </c>
      <c r="B4162" s="2" t="inlineStr">
        <is>
          <t>короткая</t>
        </is>
      </c>
      <c r="C4162" s="2" t="n">
        <v>8367</v>
      </c>
      <c r="D4162" s="3" t="inlineStr">
        <is>
          <t>Снег в июле</t>
        </is>
      </c>
      <c r="E4162" s="2" t="n">
        <v>1984</v>
      </c>
      <c r="F4162" s="2" t="inlineStr">
        <is>
          <t>телефильм</t>
        </is>
      </c>
      <c r="G4162" s="2" t="n"/>
      <c r="H4162" s="2" t="n">
        <v>112</v>
      </c>
      <c r="I4162" s="2" t="inlineStr"/>
      <c r="J4162" s="2" t="inlineStr"/>
      <c r="K4162" s="3" t="inlineStr">
        <is>
          <t>Телефильм. По мотивам романа Л.Лондона. В основе сюжета - конфликтная ситуация, возникшая при сдаче новостройки.</t>
        </is>
      </c>
      <c r="L4162" s="2" t="inlineStr">
        <is>
          <t>Кино_СССР сводный каталог.xlsx: список телефильмов</t>
        </is>
      </c>
      <c r="M4162" s="2">
        <f>HYPERLINK("https://ru.wikipedia.org/w/index.php?search=%D0%A1%D0%BD%D0%B5%D0%B3%20%D0%B2%20%D0%B8%D1%8E%D0%BB%D0%B5%201984%20%D1%84%D0%B8%D0%BB%D1%8C%D0%BC","искать")</f>
        <v/>
      </c>
      <c r="N4162" s="3" t="n"/>
      <c r="O4162" s="2" t="n"/>
      <c r="P4162" s="2" t="n"/>
    </row>
    <row r="4163">
      <c r="A4163" s="2" t="n">
        <v>4162</v>
      </c>
      <c r="B4163" s="2" t="inlineStr">
        <is>
          <t>короткая</t>
        </is>
      </c>
      <c r="C4163" s="2" t="n">
        <v>12406</v>
      </c>
      <c r="D4163" s="3" t="inlineStr">
        <is>
          <t>Как казаки мушкетерам помогали</t>
        </is>
      </c>
      <c r="E4163" s="2" t="n">
        <v>1979</v>
      </c>
      <c r="F4163" s="2" t="inlineStr">
        <is>
          <t>мультфильм</t>
        </is>
      </c>
      <c r="G4163" s="2" t="inlineStr">
        <is>
          <t>КИЕВНАУЧФИЛЬМ</t>
        </is>
      </c>
      <c r="H4163" s="2" t="n">
        <v>112</v>
      </c>
      <c r="I4163" s="2" t="inlineStr"/>
      <c r="J4163" s="2" t="inlineStr"/>
      <c r="K4163" s="3" t="inlineStr">
        <is>
          <t>Мульт из серии про Запорожских казаков.О том, как казаки помогли мушкетерам доставить восточную княжну к принцу.</t>
        </is>
      </c>
      <c r="L4163" s="2" t="inlineStr">
        <is>
          <t>2026-10_мультфильмы_список_владельца.xlsx; https://animator.ru/db/?p=show_film&amp;fid=3577</t>
        </is>
      </c>
      <c r="M4163" s="2">
        <f>HYPERLINK("https://ru.wikipedia.org/w/index.php?search=%D0%9A%D0%B0%D0%BA%20%D0%BA%D0%B0%D0%B7%D0%B0%D0%BA%D0%B8%20%D0%BC%D1%83%D1%88%D0%BA%D0%B5%D1%82%D0%B5%D1%80%D0%B0%D0%BC%20%D0%BF%D0%BE%D0%BC%D0%BE%D0%B3%D0%B0%D0%BB%D0%B8%201979%20%D1%84%D0%B8%D0%BB%D1%8C%D0%BC","искать")</f>
        <v/>
      </c>
      <c r="N4163" s="3" t="n"/>
      <c r="O4163" s="2" t="n"/>
      <c r="P4163" s="2" t="n"/>
    </row>
    <row r="4164">
      <c r="A4164" s="2" t="n">
        <v>4163</v>
      </c>
      <c r="B4164" s="2" t="inlineStr">
        <is>
          <t>короткая</t>
        </is>
      </c>
      <c r="C4164" s="2" t="n">
        <v>12479</v>
      </c>
      <c r="D4164" s="3" t="inlineStr">
        <is>
          <t>Ой, куда же ты едешь?</t>
        </is>
      </c>
      <c r="E4164" s="2" t="n">
        <v>1988</v>
      </c>
      <c r="F4164" s="2" t="inlineStr">
        <is>
          <t>мультфильм</t>
        </is>
      </c>
      <c r="G4164" s="2" t="inlineStr">
        <is>
          <t>КИЕВНАУЧФИЛЬМ</t>
        </is>
      </c>
      <c r="H4164" s="2" t="n">
        <v>112</v>
      </c>
      <c r="I4164" s="2" t="inlineStr"/>
      <c r="J4164" s="2" t="inlineStr"/>
      <c r="K4164" s="3" t="inlineStr">
        <is>
          <t>По шуточной народной песне о крестьянине, едущем на базар продавать груши и о девушке, встретившейся ему в пути.</t>
        </is>
      </c>
      <c r="L4164" s="2" t="inlineStr">
        <is>
          <t>2026-10_мультфильмы_список_владельца.xlsx; https://animator.ru/db/?p=show_film&amp;fid=3654</t>
        </is>
      </c>
      <c r="M4164" s="2">
        <f>HYPERLINK("https://ru.wikipedia.org/w/index.php?search=%D0%9E%D0%B9%2C%20%D0%BA%D1%83%D0%B4%D0%B0%20%D0%B6%D0%B5%20%D1%82%D1%8B%20%D0%B5%D0%B4%D0%B5%D1%88%D1%8C%3F%201988%20%D1%84%D0%B8%D0%BB%D1%8C%D0%BC","искать")</f>
        <v/>
      </c>
      <c r="N4164" s="3" t="n"/>
      <c r="O4164" s="2" t="n"/>
      <c r="P4164" s="2" t="n"/>
    </row>
    <row r="4165">
      <c r="A4165" s="2" t="n">
        <v>4164</v>
      </c>
      <c r="B4165" s="2" t="inlineStr">
        <is>
          <t>короткая</t>
        </is>
      </c>
      <c r="C4165" s="2" t="n">
        <v>13455</v>
      </c>
      <c r="D4165" s="3" t="inlineStr">
        <is>
          <t>По дороге с облаками</t>
        </is>
      </c>
      <c r="E4165" s="2" t="n">
        <v>1984</v>
      </c>
      <c r="F4165" s="2" t="inlineStr">
        <is>
          <t>мультфильм</t>
        </is>
      </c>
      <c r="G4165" s="2" t="inlineStr">
        <is>
          <t>ЭКРАН</t>
        </is>
      </c>
      <c r="H4165" s="2" t="n">
        <v>112</v>
      </c>
      <c r="I4165" s="2" t="inlineStr"/>
      <c r="J4165" s="2" t="inlineStr"/>
      <c r="K4165" s="3" t="inlineStr">
        <is>
          <t>Как Тигренок и Обезьянка отправились гулять в пасмурный день.Музыка из мультфильма:По дороге с облаками(2.97 Мб)</t>
        </is>
      </c>
      <c r="L4165" s="2" t="inlineStr">
        <is>
          <t>2026-10_мультфильмы_список_владельца.xlsx; https://animator.ru/db/?p=show_film&amp;fid=4736</t>
        </is>
      </c>
      <c r="M4165" s="2">
        <f>HYPERLINK("https://ru.wikipedia.org/w/index.php?search=%D0%9F%D0%BE%20%D0%B4%D0%BE%D1%80%D0%BE%D0%B3%D0%B5%20%D1%81%20%D0%BE%D0%B1%D0%BB%D0%B0%D0%BA%D0%B0%D0%BC%D0%B8%201984%20%D1%84%D0%B8%D0%BB%D1%8C%D0%BC","искать")</f>
        <v/>
      </c>
      <c r="N4165" s="3" t="n"/>
      <c r="O4165" s="2" t="n"/>
      <c r="P4165" s="2" t="n"/>
    </row>
    <row r="4166">
      <c r="A4166" s="2" t="n">
        <v>4165</v>
      </c>
      <c r="B4166" s="2" t="inlineStr">
        <is>
          <t>короткая</t>
        </is>
      </c>
      <c r="C4166" s="2" t="n">
        <v>13901</v>
      </c>
      <c r="D4166" s="3" t="inlineStr">
        <is>
          <t>Слон и Пеночка</t>
        </is>
      </c>
      <c r="E4166" s="2" t="n">
        <v>1986</v>
      </c>
      <c r="F4166" s="2" t="inlineStr">
        <is>
          <t>мультфильм</t>
        </is>
      </c>
      <c r="G4166" s="2" t="inlineStr">
        <is>
          <t>ЭКРАН</t>
        </is>
      </c>
      <c r="H4166" s="2" t="n">
        <v>112</v>
      </c>
      <c r="I4166" s="2" t="inlineStr"/>
      <c r="J4166" s="2" t="inlineStr"/>
      <c r="K4166" s="3" t="inlineStr">
        <is>
          <t>Пеночка каждый год прилетает в теплые края, где ее ждет Слон, который верит, что она прилетает только ради него.</t>
        </is>
      </c>
      <c r="L4166" s="2" t="inlineStr">
        <is>
          <t>2026-10_мультфильмы_список_владельца.xlsx; https://animator.ru/db/?p=show_film&amp;fid=5295</t>
        </is>
      </c>
      <c r="M4166" s="2">
        <f>HYPERLINK("https://ru.wikipedia.org/w/index.php?search=%D0%A1%D0%BB%D0%BE%D0%BD%20%D0%B8%20%D0%9F%D0%B5%D0%BD%D0%BE%D1%87%D0%BA%D0%B0%201986%20%D1%84%D0%B8%D0%BB%D1%8C%D0%BC","искать")</f>
        <v/>
      </c>
      <c r="N4166" s="3" t="n"/>
      <c r="O4166" s="2" t="n"/>
      <c r="P4166" s="2" t="n"/>
    </row>
    <row r="4167">
      <c r="A4167" s="2" t="n">
        <v>4166</v>
      </c>
      <c r="B4167" s="2" t="inlineStr">
        <is>
          <t>короткая</t>
        </is>
      </c>
      <c r="C4167" s="2" t="n">
        <v>14090</v>
      </c>
      <c r="D4167" s="3" t="inlineStr">
        <is>
          <t>Вдоль да по речке...</t>
        </is>
      </c>
      <c r="E4167" s="2" t="n">
        <v>1975</v>
      </c>
      <c r="F4167" s="2" t="inlineStr">
        <is>
          <t>мультфильм</t>
        </is>
      </c>
      <c r="G4167" s="2" t="inlineStr">
        <is>
          <t>САРАТОВТЕЛЕФИЛЬМ</t>
        </is>
      </c>
      <c r="H4167" s="2" t="n">
        <v>112</v>
      </c>
      <c r="I4167" s="2" t="inlineStr"/>
      <c r="J4167" s="2" t="inlineStr"/>
      <c r="K4167" s="3" t="inlineStr">
        <is>
          <t>Фильм-концерт с участием ансамблей "Озорные голоса" и "Саратовские гармоники" Дворца культуры профтехобразования</t>
        </is>
      </c>
      <c r="L4167" s="2" t="inlineStr">
        <is>
          <t>https://animator.ru/db/?p=show_film&amp;fid=5488</t>
        </is>
      </c>
      <c r="M4167" s="2">
        <f>HYPERLINK("https://ru.wikipedia.org/w/index.php?search=%D0%92%D0%B4%D0%BE%D0%BB%D1%8C%20%D0%B4%D0%B0%20%D0%BF%D0%BE%20%D1%80%D0%B5%D1%87%D0%BA%D0%B5...%201975%20%D1%84%D0%B8%D0%BB%D1%8C%D0%BC","искать")</f>
        <v/>
      </c>
      <c r="N4167" s="3" t="n"/>
      <c r="O4167" s="2" t="n"/>
      <c r="P4167" s="2" t="n"/>
    </row>
    <row r="4168">
      <c r="A4168" s="2" t="n">
        <v>4167</v>
      </c>
      <c r="B4168" s="2" t="inlineStr">
        <is>
          <t>короткая</t>
        </is>
      </c>
      <c r="C4168" s="2" t="n">
        <v>9975</v>
      </c>
      <c r="D4168" s="3" t="inlineStr">
        <is>
          <t>Скромный человек</t>
        </is>
      </c>
      <c r="E4168" s="2" t="n">
        <v>1981</v>
      </c>
      <c r="F4168" s="2" t="inlineStr">
        <is>
          <t>телефильм</t>
        </is>
      </c>
      <c r="G4168" s="2" t="inlineStr">
        <is>
          <t>студия т/ф “Ереван”</t>
        </is>
      </c>
      <c r="H4168" s="2" t="n">
        <v>113</v>
      </c>
      <c r="I4168" s="2" t="inlineStr"/>
      <c r="J4168" s="2" t="inlineStr"/>
      <c r="K4168" s="3" t="inlineStr">
        <is>
          <t>История о скромном чиновнике, которому чувство страха перед начальником не дает покоя даже на отдыхе в санатории.</t>
        </is>
      </c>
      <c r="L4168" s="2" t="inlineStr">
        <is>
          <t>https://www.kino-teatr.ru/short/movie/sov/84876/annot/</t>
        </is>
      </c>
      <c r="M4168" s="2">
        <f>HYPERLINK("https://ru.wikipedia.org/w/index.php?search=%D0%A1%D0%BA%D1%80%D0%BE%D0%BC%D0%BD%D1%8B%D0%B9%20%D1%87%D0%B5%D0%BB%D0%BE%D0%B2%D0%B5%D0%BA%201981%20%D1%84%D0%B8%D0%BB%D1%8C%D0%BC","искать")</f>
        <v/>
      </c>
      <c r="N4168" s="3" t="n"/>
      <c r="O4168" s="2" t="n"/>
      <c r="P4168" s="2" t="n"/>
    </row>
    <row r="4169">
      <c r="A4169" s="2" t="n">
        <v>4168</v>
      </c>
      <c r="B4169" s="2" t="inlineStr">
        <is>
          <t>короткая</t>
        </is>
      </c>
      <c r="C4169" s="2" t="n">
        <v>13715</v>
      </c>
      <c r="D4169" s="3" t="inlineStr">
        <is>
          <t>Картина. Ехал Ваня</t>
        </is>
      </c>
      <c r="E4169" s="2" t="n">
        <v>1975</v>
      </c>
      <c r="F4169" s="2" t="inlineStr">
        <is>
          <t>мультфильм</t>
        </is>
      </c>
      <c r="G4169" s="2" t="inlineStr">
        <is>
          <t>ЭКРАН</t>
        </is>
      </c>
      <c r="H4169" s="2" t="n">
        <v>113</v>
      </c>
      <c r="I4169" s="2" t="inlineStr"/>
      <c r="J4169" s="2" t="inlineStr"/>
      <c r="K4169" s="3" t="inlineStr">
        <is>
          <t>"Картина" - о художнике, который рисовал пейзаж: описанный ему по телефону. "Ехал Ваня" - о двух потешных клоунах</t>
        </is>
      </c>
      <c r="L4169" s="2" t="inlineStr">
        <is>
          <t>https://animator.ru/db/?p=show_film&amp;fid=5108</t>
        </is>
      </c>
      <c r="M4169" s="2">
        <f>HYPERLINK("https://ru.wikipedia.org/w/index.php?search=%D0%9A%D0%B0%D1%80%D1%82%D0%B8%D0%BD%D0%B0.%20%D0%95%D1%85%D0%B0%D0%BB%20%D0%92%D0%B0%D0%BD%D1%8F%201975%20%D1%84%D0%B8%D0%BB%D1%8C%D0%BC","искать")</f>
        <v/>
      </c>
      <c r="N4169" s="3" t="n"/>
      <c r="O4169" s="2" t="n"/>
      <c r="P4169" s="2" t="n"/>
    </row>
    <row r="4170">
      <c r="A4170" s="2" t="n">
        <v>4169</v>
      </c>
      <c r="B4170" s="2" t="inlineStr">
        <is>
          <t>короткая</t>
        </is>
      </c>
      <c r="C4170" s="2" t="n">
        <v>7546</v>
      </c>
      <c r="D4170" s="3" t="inlineStr">
        <is>
          <t>Дон Кихот моего детства</t>
        </is>
      </c>
      <c r="E4170" s="2" t="n">
        <v>1977</v>
      </c>
      <c r="F4170" s="2" t="inlineStr">
        <is>
          <t>телефильм</t>
        </is>
      </c>
      <c r="G4170" s="2" t="n"/>
      <c r="H4170" s="2" t="n">
        <v>114</v>
      </c>
      <c r="I4170" s="2" t="inlineStr"/>
      <c r="J4170" s="2" t="inlineStr"/>
      <c r="K4170" s="3" t="inlineStr">
        <is>
          <t>Телефильм-притча о молодом человеке, который живет в своем воображаемом мире и попадает в разные смешные ситуации.</t>
        </is>
      </c>
      <c r="L4170" s="2" t="inlineStr">
        <is>
          <t>Кино_СССР сводный каталог.xlsx: список телефильмов</t>
        </is>
      </c>
      <c r="M4170" s="2">
        <f>HYPERLINK("https://ru.wikipedia.org/w/index.php?search=%D0%94%D0%BE%D0%BD%20%D0%9A%D0%B8%D1%85%D0%BE%D1%82%20%D0%BC%D0%BE%D0%B5%D0%B3%D0%BE%20%D0%B4%D0%B5%D1%82%D1%81%D1%82%D0%B2%D0%B0%201977%20%D1%84%D0%B8%D0%BB%D1%8C%D0%BC","искать")</f>
        <v/>
      </c>
      <c r="N4170" s="3" t="n"/>
      <c r="O4170" s="2" t="n"/>
      <c r="P4170" s="2" t="n"/>
    </row>
    <row r="4171">
      <c r="A4171" s="2" t="n">
        <v>4170</v>
      </c>
      <c r="B4171" s="2" t="inlineStr">
        <is>
          <t>короткая</t>
        </is>
      </c>
      <c r="C4171" s="2" t="n">
        <v>7941</v>
      </c>
      <c r="D4171" s="3" t="inlineStr">
        <is>
          <t>Назначение</t>
        </is>
      </c>
      <c r="E4171" s="2" t="n">
        <v>1973</v>
      </c>
      <c r="F4171" s="2" t="inlineStr">
        <is>
          <t>телефильм</t>
        </is>
      </c>
      <c r="G4171" s="2" t="n"/>
      <c r="H4171" s="2" t="n">
        <v>114</v>
      </c>
      <c r="I4171" s="2" t="inlineStr"/>
      <c r="J4171" s="2" t="inlineStr"/>
      <c r="K4171" s="3" t="inlineStr">
        <is>
          <t>Герой сериала - инженер-строитель, творческая личность - борется за пересмотр проекта домостроительного комбината.</t>
        </is>
      </c>
      <c r="L4171" s="2" t="inlineStr">
        <is>
          <t>Кино_СССР сводный каталог.xlsx: список телефильмов</t>
        </is>
      </c>
      <c r="M4171" s="2">
        <f>HYPERLINK("https://ru.wikipedia.org/w/index.php?search=%D0%9D%D0%B0%D0%B7%D0%BD%D0%B0%D1%87%D0%B5%D0%BD%D0%B8%D0%B5%201973%20%D1%84%D0%B8%D0%BB%D1%8C%D0%BC","искать")</f>
        <v/>
      </c>
      <c r="N4171" s="3" t="n"/>
      <c r="O4171" s="2" t="n"/>
      <c r="P4171" s="2" t="n"/>
    </row>
    <row r="4172">
      <c r="A4172" s="2" t="n">
        <v>4171</v>
      </c>
      <c r="B4172" s="2" t="inlineStr">
        <is>
          <t>короткая</t>
        </is>
      </c>
      <c r="C4172" s="2" t="n">
        <v>12032</v>
      </c>
      <c r="D4172" s="3" t="inlineStr">
        <is>
          <t>Веселая карусель n 13. Мышонок и кошка</t>
        </is>
      </c>
      <c r="E4172" s="2" t="n">
        <v>1983</v>
      </c>
      <c r="F4172" s="2" t="inlineStr">
        <is>
          <t>мультфильм</t>
        </is>
      </c>
      <c r="G4172" s="2" t="inlineStr">
        <is>
          <t>Союзмультфильм</t>
        </is>
      </c>
      <c r="H4172" s="2" t="n">
        <v>114</v>
      </c>
      <c r="I4172" s="2" t="inlineStr"/>
      <c r="J4172" s="2" t="inlineStr"/>
      <c r="K4172" s="3" t="inlineStr">
        <is>
          <t>Сюжет из альманаха «ВЕСЕЛАЯ КАРУСЕЛЬ N 13»
Мышонок не знал, как выглядит кошка. И дедушка решил внуку показать ее.</t>
        </is>
      </c>
      <c r="L4172" s="2" t="inlineStr">
        <is>
          <t>https://animator.ru/db/?p=show_film&amp;fid=3147</t>
        </is>
      </c>
      <c r="M4172" s="2">
        <f>HYPERLINK("https://ru.wikipedia.org/w/index.php?search=%D0%92%D0%B5%D1%81%D0%B5%D0%BB%D0%B0%D1%8F%20%D0%BA%D0%B0%D1%80%D1%83%D1%81%D0%B5%D0%BB%D1%8C%20n%2013.%20%D0%9C%D1%8B%D1%88%D0%BE%D0%BD%D0%BE%D0%BA%20%D0%B8%20%D0%BA%D0%BE%D1%88%D0%BA%D0%B0%201983%20%D1%84%D0%B8%D0%BB%D1%8C%D0%BC","искать")</f>
        <v/>
      </c>
      <c r="N4172" s="3" t="n"/>
      <c r="O4172" s="2" t="n"/>
      <c r="P4172" s="2" t="n"/>
    </row>
    <row r="4173">
      <c r="A4173" s="2" t="n">
        <v>4172</v>
      </c>
      <c r="B4173" s="2" t="inlineStr">
        <is>
          <t>короткая</t>
        </is>
      </c>
      <c r="C4173" s="2" t="n">
        <v>13240</v>
      </c>
      <c r="D4173" s="3" t="inlineStr">
        <is>
          <t>Март и его хлеб</t>
        </is>
      </c>
      <c r="E4173" s="2" t="n">
        <v>1971</v>
      </c>
      <c r="F4173" s="2" t="inlineStr">
        <is>
          <t>мультфильм</t>
        </is>
      </c>
      <c r="G4173" s="2" t="inlineStr">
        <is>
          <t>ТАЛЛИННФИЛЬМ</t>
        </is>
      </c>
      <c r="H4173" s="2" t="n">
        <v>114</v>
      </c>
      <c r="I4173" s="2" t="inlineStr"/>
      <c r="J4173" s="2" t="inlineStr"/>
      <c r="K4173" s="3" t="inlineStr">
        <is>
          <t>Помощник аптекаря во все лекарства кладет сладкое и неожиданно у него получился прекрасный марципан - Мартов хлеб.</t>
        </is>
      </c>
      <c r="L4173" s="2" t="inlineStr">
        <is>
          <t>2026-10_мультфильмы_список_владельца.xlsx; https://animator.ru/db/?p=show_film&amp;fid=4484</t>
        </is>
      </c>
      <c r="M4173" s="2">
        <f>HYPERLINK("https://ru.wikipedia.org/w/index.php?search=%D0%9C%D0%B0%D1%80%D1%82%20%D0%B8%20%D0%B5%D0%B3%D0%BE%20%D1%85%D0%BB%D0%B5%D0%B1%201971%20%D1%84%D0%B8%D0%BB%D1%8C%D0%BC","искать")</f>
        <v/>
      </c>
      <c r="N4173" s="3" t="n"/>
      <c r="O4173" s="2" t="n"/>
      <c r="P4173" s="2" t="n"/>
    </row>
    <row r="4174">
      <c r="A4174" s="2" t="n">
        <v>4173</v>
      </c>
      <c r="B4174" s="2" t="inlineStr">
        <is>
          <t>короткая</t>
        </is>
      </c>
      <c r="C4174" s="2" t="n">
        <v>13493</v>
      </c>
      <c r="D4174" s="3" t="inlineStr">
        <is>
          <t>Честное слово</t>
        </is>
      </c>
      <c r="E4174" s="2" t="n">
        <v>1978</v>
      </c>
      <c r="F4174" s="2" t="inlineStr">
        <is>
          <t>мультфильм</t>
        </is>
      </c>
      <c r="G4174" s="2" t="inlineStr">
        <is>
          <t>ЭКРАН</t>
        </is>
      </c>
      <c r="H4174" s="2" t="n">
        <v>114</v>
      </c>
      <c r="I4174" s="2" t="inlineStr"/>
      <c r="J4174" s="2" t="inlineStr"/>
      <c r="K4174" s="3" t="inlineStr">
        <is>
          <t>По мотивам рассказа Л.Пантелеева о мальчике, который не мог уйти с поста до смены, потому что дал слово. Для детей</t>
        </is>
      </c>
      <c r="L4174" s="2" t="inlineStr">
        <is>
          <t>https://animator.ru/db/?p=show_film&amp;fid=4783</t>
        </is>
      </c>
      <c r="M4174" s="2">
        <f>HYPERLINK("https://ru.wikipedia.org/w/index.php?search=%D0%A7%D0%B5%D1%81%D1%82%D0%BD%D0%BE%D0%B5%20%D1%81%D0%BB%D0%BE%D0%B2%D0%BE%201978%20%D1%84%D0%B8%D0%BB%D1%8C%D0%BC","искать")</f>
        <v/>
      </c>
      <c r="N4174" s="3" t="n"/>
      <c r="O4174" s="2" t="n"/>
      <c r="P4174" s="2" t="n"/>
    </row>
    <row r="4175">
      <c r="A4175" s="2" t="n">
        <v>4174</v>
      </c>
      <c r="B4175" s="2" t="inlineStr">
        <is>
          <t>короткая</t>
        </is>
      </c>
      <c r="C4175" s="2" t="n">
        <v>7365</v>
      </c>
      <c r="D4175" s="3" t="inlineStr">
        <is>
          <t>Волшебная книга Мурада</t>
        </is>
      </c>
      <c r="E4175" s="2" t="n">
        <v>1976</v>
      </c>
      <c r="F4175" s="2" t="inlineStr">
        <is>
          <t>телефильм</t>
        </is>
      </c>
      <c r="G4175" s="2" t="n"/>
      <c r="H4175" s="2" t="n">
        <v>115</v>
      </c>
      <c r="I4175" s="2" t="inlineStr"/>
      <c r="J4175" s="2" t="inlineStr"/>
      <c r="K4175" s="3" t="inlineStr">
        <is>
          <t>Телефильм о том, как герой туркменских сказок Яртыгулак помог маленькому хвастунишке Мураду стать честным и смелым.</t>
        </is>
      </c>
      <c r="L4175" s="2" t="inlineStr">
        <is>
          <t>Кино_СССР сводный каталог.xlsx: список телефильмов</t>
        </is>
      </c>
      <c r="M4175" s="2">
        <f>HYPERLINK("https://ru.wikipedia.org/w/index.php?search=%D0%92%D0%BE%D0%BB%D1%88%D0%B5%D0%B1%D0%BD%D0%B0%D1%8F%20%D0%BA%D0%BD%D0%B8%D0%B3%D0%B0%20%D0%9C%D1%83%D1%80%D0%B0%D0%B4%D0%B0%201976%20%D1%84%D0%B8%D0%BB%D1%8C%D0%BC","искать")</f>
        <v/>
      </c>
      <c r="N4175" s="3" t="n"/>
      <c r="O4175" s="2" t="n"/>
      <c r="P4175" s="2" t="n"/>
    </row>
    <row r="4176">
      <c r="A4176" s="2" t="n">
        <v>4175</v>
      </c>
      <c r="B4176" s="2" t="inlineStr">
        <is>
          <t>короткая</t>
        </is>
      </c>
      <c r="C4176" s="2" t="n">
        <v>11589</v>
      </c>
      <c r="D4176" s="3" t="inlineStr">
        <is>
          <t>Два веселых гуся</t>
        </is>
      </c>
      <c r="E4176" s="2" t="n">
        <v>1970</v>
      </c>
      <c r="F4176" s="2" t="inlineStr">
        <is>
          <t>мультфильм</t>
        </is>
      </c>
      <c r="G4176" s="2" t="inlineStr">
        <is>
          <t>Союзмультфильм</t>
        </is>
      </c>
      <c r="H4176" s="2" t="n">
        <v>115</v>
      </c>
      <c r="I4176" s="2" t="inlineStr"/>
      <c r="J4176" s="2" t="inlineStr"/>
      <c r="K4176" s="3" t="inlineStr">
        <is>
          <t>Сюжет из альманаха "Веселая карусель N 2". По русской шутливой песенке о бабусе и ее озорных гусях - сером и белом.</t>
        </is>
      </c>
      <c r="L4176" s="2" t="inlineStr">
        <is>
          <t>https://animator.ru/db/?p=show_film&amp;fid=2502</t>
        </is>
      </c>
      <c r="M4176" s="2">
        <f>HYPERLINK("https://ru.wikipedia.org/w/index.php?search=%D0%94%D0%B2%D0%B0%20%D0%B2%D0%B5%D1%81%D0%B5%D0%BB%D1%8B%D1%85%20%D0%B3%D1%83%D1%81%D1%8F%201970%20%D1%84%D0%B8%D0%BB%D1%8C%D0%BC","искать")</f>
        <v/>
      </c>
      <c r="N4176" s="3" t="n"/>
      <c r="O4176" s="2" t="n"/>
      <c r="P4176" s="2" t="n"/>
    </row>
    <row r="4177">
      <c r="A4177" s="2" t="n">
        <v>4176</v>
      </c>
      <c r="B4177" s="2" t="inlineStr">
        <is>
          <t>короткая</t>
        </is>
      </c>
      <c r="C4177" s="2" t="n">
        <v>11739</v>
      </c>
      <c r="D4177" s="3" t="inlineStr">
        <is>
          <t>Карусельный лев</t>
        </is>
      </c>
      <c r="E4177" s="2" t="n">
        <v>1974</v>
      </c>
      <c r="F4177" s="2" t="inlineStr">
        <is>
          <t>мультфильм</t>
        </is>
      </c>
      <c r="G4177" s="2" t="inlineStr">
        <is>
          <t>Союзмультфильм</t>
        </is>
      </c>
      <c r="H4177" s="2" t="n">
        <v>115</v>
      </c>
      <c r="I4177" s="2" t="inlineStr"/>
      <c r="J4177" s="2" t="inlineStr"/>
      <c r="K4177" s="3" t="inlineStr">
        <is>
          <t>В парке жил добрый лев, который летом катал детей на каруселе, а когда наступила зима, дети помогли льву согреться.</t>
        </is>
      </c>
      <c r="L4177" s="2" t="inlineStr">
        <is>
          <t>https://animator.ru/db/?p=show_film&amp;fid=2653</t>
        </is>
      </c>
      <c r="M4177" s="2">
        <f>HYPERLINK("https://ru.wikipedia.org/w/index.php?search=%D0%9A%D0%B0%D1%80%D1%83%D1%81%D0%B5%D0%BB%D1%8C%D0%BD%D1%8B%D0%B9%20%D0%BB%D0%B5%D0%B2%201974%20%D1%84%D0%B8%D0%BB%D1%8C%D0%BC","искать")</f>
        <v/>
      </c>
      <c r="N4177" s="3" t="n"/>
      <c r="O4177" s="2" t="n"/>
      <c r="P4177" s="2" t="n"/>
    </row>
    <row r="4178">
      <c r="A4178" s="2" t="n">
        <v>4177</v>
      </c>
      <c r="B4178" s="2" t="inlineStr">
        <is>
          <t>короткая</t>
        </is>
      </c>
      <c r="C4178" s="2" t="n">
        <v>11781</v>
      </c>
      <c r="D4178" s="3" t="inlineStr">
        <is>
          <t>Новогодний ветер</t>
        </is>
      </c>
      <c r="E4178" s="2" t="n">
        <v>1975</v>
      </c>
      <c r="F4178" s="2" t="inlineStr">
        <is>
          <t>мультфильм</t>
        </is>
      </c>
      <c r="G4178" s="2" t="inlineStr">
        <is>
          <t>Союзмультфильм</t>
        </is>
      </c>
      <c r="H4178" s="2" t="n">
        <v>115</v>
      </c>
      <c r="I4178" s="2" t="inlineStr"/>
      <c r="J4178" s="2" t="inlineStr"/>
      <c r="K4178" s="3" t="inlineStr">
        <is>
          <t>Медвежонок и маленький Морозец выпускают на волю добрый новогодний ветер, разносящий по всему свету елочные игрушки</t>
        </is>
      </c>
      <c r="L4178" s="2" t="inlineStr">
        <is>
          <t>2026-10_мультфильмы_список_владельца.xlsx; https://animator.ru/db/?p=show_film&amp;fid=2695</t>
        </is>
      </c>
      <c r="M4178" s="2">
        <f>HYPERLINK("https://ru.wikipedia.org/w/index.php?search=%D0%9D%D0%BE%D0%B2%D0%BE%D0%B3%D0%BE%D0%B4%D0%BD%D0%B8%D0%B9%20%D0%B2%D0%B5%D1%82%D0%B5%D1%80%201975%20%D1%84%D0%B8%D0%BB%D1%8C%D0%BC","искать")</f>
        <v/>
      </c>
      <c r="N4178" s="3" t="n"/>
      <c r="O4178" s="2" t="n"/>
      <c r="P4178" s="2" t="n"/>
    </row>
    <row r="4179">
      <c r="A4179" s="2" t="n">
        <v>4178</v>
      </c>
      <c r="B4179" s="2" t="inlineStr">
        <is>
          <t>короткая</t>
        </is>
      </c>
      <c r="C4179" s="2" t="n">
        <v>13392</v>
      </c>
      <c r="D4179" s="3" t="inlineStr">
        <is>
          <t>Вовка-тренер</t>
        </is>
      </c>
      <c r="E4179" s="2" t="n">
        <v>1979</v>
      </c>
      <c r="F4179" s="2" t="inlineStr">
        <is>
          <t>мультфильм</t>
        </is>
      </c>
      <c r="G4179" s="2" t="inlineStr">
        <is>
          <t>ЭКРАН</t>
        </is>
      </c>
      <c r="H4179" s="2" t="n">
        <v>115</v>
      </c>
      <c r="I4179" s="2" t="inlineStr"/>
      <c r="J4179" s="2" t="inlineStr"/>
      <c r="K4179" s="3" t="inlineStr">
        <is>
          <t>О том, как волшебные человечки Чуни-Муни и маленький Вовка наказали грубых ребят, мешавших малышам играть в хоккей.</t>
        </is>
      </c>
      <c r="L4179" s="2" t="inlineStr">
        <is>
          <t>https://animator.ru/db/?p=show_film&amp;fid=4672</t>
        </is>
      </c>
      <c r="M4179" s="2">
        <f>HYPERLINK("https://ru.wikipedia.org/w/index.php?search=%D0%92%D0%BE%D0%B2%D0%BA%D0%B0-%D1%82%D1%80%D0%B5%D0%BD%D0%B5%D1%80%201979%20%D1%84%D0%B8%D0%BB%D1%8C%D0%BC","искать")</f>
        <v/>
      </c>
      <c r="N4179" s="3" t="n"/>
      <c r="O4179" s="2" t="n"/>
      <c r="P4179" s="2" t="n"/>
    </row>
    <row r="4180">
      <c r="A4180" s="2" t="n">
        <v>4179</v>
      </c>
      <c r="B4180" s="2" t="inlineStr">
        <is>
          <t>короткая</t>
        </is>
      </c>
      <c r="C4180" s="2" t="n">
        <v>13429</v>
      </c>
      <c r="D4180" s="3" t="inlineStr">
        <is>
          <t>Огромное небо</t>
        </is>
      </c>
      <c r="E4180" s="2" t="n">
        <v>1982</v>
      </c>
      <c r="F4180" s="2" t="inlineStr">
        <is>
          <t>мультфильм</t>
        </is>
      </c>
      <c r="G4180" s="2" t="inlineStr">
        <is>
          <t>ЭКРАН</t>
        </is>
      </c>
      <c r="H4180" s="2" t="n">
        <v>115</v>
      </c>
      <c r="I4180" s="2" t="inlineStr"/>
      <c r="J4180" s="2" t="inlineStr"/>
      <c r="K4180" s="3" t="inlineStr">
        <is>
          <t>По мотивам одноименной песни на слова Роберта Рождественского о подвиге летчиков, которые ценой жизни спасли город.</t>
        </is>
      </c>
      <c r="L4180" s="2" t="inlineStr">
        <is>
          <t>2026-10_мультфильмы_список_владельца.xlsx; https://animator.ru/db/?p=show_film&amp;fid=4710</t>
        </is>
      </c>
      <c r="M4180" s="2">
        <f>HYPERLINK("https://ru.wikipedia.org/w/index.php?search=%D0%9E%D0%B3%D1%80%D0%BE%D0%BC%D0%BD%D0%BE%D0%B5%20%D0%BD%D0%B5%D0%B1%D0%BE%201982%20%D1%84%D0%B8%D0%BB%D1%8C%D0%BC","искать")</f>
        <v/>
      </c>
      <c r="N4180" s="3" t="n"/>
      <c r="O4180" s="2" t="n"/>
      <c r="P4180" s="2" t="n"/>
    </row>
    <row r="4181">
      <c r="A4181" s="2" t="n">
        <v>4180</v>
      </c>
      <c r="B4181" s="2" t="inlineStr">
        <is>
          <t>короткая</t>
        </is>
      </c>
      <c r="C4181" s="2" t="n">
        <v>7311</v>
      </c>
      <c r="D4181" s="3" t="inlineStr">
        <is>
          <t>Василий Шукшин. По страницам прозы</t>
        </is>
      </c>
      <c r="E4181" s="2" t="n">
        <v>1978</v>
      </c>
      <c r="F4181" s="2" t="inlineStr">
        <is>
          <t>телефильм</t>
        </is>
      </c>
      <c r="G4181" s="2" t="n"/>
      <c r="H4181" s="2" t="n">
        <v>116</v>
      </c>
      <c r="I4181" s="2" t="inlineStr"/>
      <c r="J4181" s="2" t="inlineStr"/>
      <c r="K4181" s="3" t="inlineStr">
        <is>
          <t>Художественно-публицистический фильм о жизни и творчестве Василия Макаровича Шукшина с инсценировками его рассказов.</t>
        </is>
      </c>
      <c r="L4181" s="2" t="inlineStr">
        <is>
          <t>Кино_СССР сводный каталог.xlsx: список телефильмов</t>
        </is>
      </c>
      <c r="M4181" s="2">
        <f>HYPERLINK("https://ru.wikipedia.org/w/index.php?search=%D0%92%D0%B0%D1%81%D0%B8%D0%BB%D0%B8%D0%B9%20%D0%A8%D1%83%D0%BA%D1%88%D0%B8%D0%BD.%20%D0%9F%D0%BE%20%D1%81%D1%82%D1%80%D0%B0%D0%BD%D0%B8%D1%86%D0%B0%D0%BC%20%D0%BF%D1%80%D0%BE%D0%B7%D1%8B%201978%20%D1%84%D0%B8%D0%BB%D1%8C%D0%BC","искать")</f>
        <v/>
      </c>
      <c r="N4181" s="3" t="n"/>
      <c r="O4181" s="2" t="n"/>
      <c r="P4181" s="2" t="n"/>
    </row>
    <row r="4182">
      <c r="A4182" s="2" t="n">
        <v>4181</v>
      </c>
      <c r="B4182" s="2" t="inlineStr">
        <is>
          <t>короткая</t>
        </is>
      </c>
      <c r="C4182" s="2" t="n">
        <v>12131</v>
      </c>
      <c r="D4182" s="3" t="inlineStr">
        <is>
          <t>Секретная океанская помойка</t>
        </is>
      </c>
      <c r="E4182" s="2" t="n">
        <v>1989</v>
      </c>
      <c r="F4182" s="2" t="inlineStr">
        <is>
          <t>мультфильм</t>
        </is>
      </c>
      <c r="G4182" s="2" t="inlineStr">
        <is>
          <t>Союзмультфильм</t>
        </is>
      </c>
      <c r="H4182" s="2" t="n">
        <v>116</v>
      </c>
      <c r="I4182" s="2" t="inlineStr"/>
      <c r="J4182" s="2" t="inlineStr"/>
      <c r="K4182" s="3" t="inlineStr">
        <is>
          <t>Очередной фильм из серии о дельфинах. В этом фильме Тристан, Павлова и Генри выступают защитниками окружающей среды.</t>
        </is>
      </c>
      <c r="L4182" s="2" t="inlineStr">
        <is>
          <t>https://animator.ru/db/?p=show_film&amp;fid=3247</t>
        </is>
      </c>
      <c r="M4182" s="2">
        <f>HYPERLINK("https://ru.wikipedia.org/w/index.php?search=%D0%A1%D0%B5%D0%BA%D1%80%D0%B5%D1%82%D0%BD%D0%B0%D1%8F%20%D0%BE%D0%BA%D0%B5%D0%B0%D0%BD%D1%81%D0%BA%D0%B0%D1%8F%20%D0%BF%D0%BE%D0%BC%D0%BE%D0%B9%D0%BA%D0%B0%201989%20%D1%84%D0%B8%D0%BB%D1%8C%D0%BC","искать")</f>
        <v/>
      </c>
      <c r="N4182" s="3" t="n"/>
      <c r="O4182" s="2" t="n"/>
      <c r="P4182" s="2" t="n"/>
    </row>
    <row r="4183">
      <c r="A4183" s="2" t="n">
        <v>4182</v>
      </c>
      <c r="B4183" s="2" t="inlineStr">
        <is>
          <t>короткая</t>
        </is>
      </c>
      <c r="C4183" s="2" t="n">
        <v>12563</v>
      </c>
      <c r="D4183" s="3" t="inlineStr">
        <is>
          <t>Соломенный бычок</t>
        </is>
      </c>
      <c r="E4183" s="2" t="n">
        <v>1971</v>
      </c>
      <c r="F4183" s="2" t="inlineStr">
        <is>
          <t>мультфильм</t>
        </is>
      </c>
      <c r="G4183" s="2" t="inlineStr">
        <is>
          <t>КИЕВНАУЧФИЛЬМ</t>
        </is>
      </c>
      <c r="H4183" s="2" t="n">
        <v>116</v>
      </c>
      <c r="I4183" s="2" t="inlineStr"/>
      <c r="J4183" s="2" t="inlineStr"/>
      <c r="K4183" s="3" t="inlineStr">
        <is>
          <t>По мотивам русской народной сказки. О храбром соломенном бычке, который не испугался медведя и сберег дедушкин улей.</t>
        </is>
      </c>
      <c r="L4183" s="2" t="inlineStr">
        <is>
          <t>https://animator.ru/db/?p=show_film&amp;fid=3742</t>
        </is>
      </c>
      <c r="M4183" s="2">
        <f>HYPERLINK("https://ru.wikipedia.org/w/index.php?search=%D0%A1%D0%BE%D0%BB%D0%BE%D0%BC%D0%B5%D0%BD%D0%BD%D1%8B%D0%B9%20%D0%B1%D1%8B%D1%87%D0%BE%D0%BA%201971%20%D1%84%D0%B8%D0%BB%D1%8C%D0%BC","искать")</f>
        <v/>
      </c>
      <c r="N4183" s="3" t="n"/>
      <c r="O4183" s="2" t="n"/>
      <c r="P4183" s="2" t="n"/>
    </row>
    <row r="4184">
      <c r="A4184" s="2" t="n">
        <v>4183</v>
      </c>
      <c r="B4184" s="2" t="inlineStr">
        <is>
          <t>короткая</t>
        </is>
      </c>
      <c r="C4184" s="2" t="n">
        <v>14290</v>
      </c>
      <c r="D4184" s="3" t="inlineStr">
        <is>
          <t>Авиаторы</t>
        </is>
      </c>
      <c r="E4184" s="2" t="n">
        <v>1990</v>
      </c>
      <c r="F4184" s="2" t="inlineStr">
        <is>
          <t>мультфильм</t>
        </is>
      </c>
      <c r="G4184" s="2" t="inlineStr">
        <is>
          <t>Пилот, ВИДЕОФИЛЬМ - дистрибюторская компания</t>
        </is>
      </c>
      <c r="H4184" s="2" t="n">
        <v>116</v>
      </c>
      <c r="I4184" s="2" t="inlineStr"/>
      <c r="J4184" s="2" t="inlineStr"/>
      <c r="K4184" s="3" t="inlineStr">
        <is>
          <t>Приключения Кубика и Рубика в небе, которые могли бы обернуться трагическим падением...он оказываются съемкой фильма</t>
        </is>
      </c>
      <c r="L4184" s="2" t="inlineStr">
        <is>
          <t>https://gosfilmofond.ru/films/256062/</t>
        </is>
      </c>
      <c r="M4184" s="2">
        <f>HYPERLINK("https://ru.wikipedia.org/w/index.php?search=%D0%90%D0%B2%D0%B8%D0%B0%D1%82%D0%BE%D1%80%D1%8B%201990%20%D1%84%D0%B8%D0%BB%D1%8C%D0%BC","искать")</f>
        <v/>
      </c>
      <c r="N4184" s="3" t="n"/>
      <c r="O4184" s="2" t="n"/>
      <c r="P4184" s="2" t="n"/>
    </row>
    <row r="4185">
      <c r="A4185" s="2" t="n">
        <v>4184</v>
      </c>
      <c r="B4185" s="2" t="inlineStr">
        <is>
          <t>короткая</t>
        </is>
      </c>
      <c r="C4185" s="2" t="n">
        <v>7833</v>
      </c>
      <c r="D4185" s="3" t="inlineStr">
        <is>
          <t>Люди и манекены</t>
        </is>
      </c>
      <c r="E4185" s="2" t="n">
        <v>1974</v>
      </c>
      <c r="F4185" s="2" t="inlineStr">
        <is>
          <t>телефильм</t>
        </is>
      </c>
      <c r="G4185" s="2" t="n"/>
      <c r="H4185" s="2" t="n">
        <v>117</v>
      </c>
      <c r="I4185" s="2" t="inlineStr"/>
      <c r="J4185" s="2" t="inlineStr"/>
      <c r="K4185" s="3" t="inlineStr">
        <is>
          <t>Телевизионный мини-сериал. Миниатюры, интермедии и монологи в исполнении Аркадия Райкина и актеров труппы его театра.</t>
        </is>
      </c>
      <c r="L4185" s="2" t="inlineStr">
        <is>
          <t>Кино_СССР сводный каталог.xlsx: список телефильмов</t>
        </is>
      </c>
      <c r="M4185" s="2">
        <f>HYPERLINK("https://ru.wikipedia.org/w/index.php?search=%D0%9B%D1%8E%D0%B4%D0%B8%20%D0%B8%20%D0%BC%D0%B0%D0%BD%D0%B5%D0%BA%D0%B5%D0%BD%D1%8B%201974%20%D1%84%D0%B8%D0%BB%D1%8C%D0%BC","искать")</f>
        <v/>
      </c>
      <c r="N4185" s="3" t="n"/>
      <c r="O4185" s="2" t="n"/>
      <c r="P4185" s="2" t="n"/>
    </row>
    <row r="4186">
      <c r="A4186" s="2" t="n">
        <v>4185</v>
      </c>
      <c r="B4186" s="2" t="inlineStr">
        <is>
          <t>короткая</t>
        </is>
      </c>
      <c r="C4186" s="2" t="n">
        <v>9556</v>
      </c>
      <c r="D4186" s="3" t="inlineStr">
        <is>
          <t>Побег на край света</t>
        </is>
      </c>
      <c r="E4186" s="2" t="n">
        <v>1991</v>
      </c>
      <c r="F4186" s="2" t="inlineStr">
        <is>
          <t>кинофильм</t>
        </is>
      </c>
      <c r="G4186" s="2" t="n"/>
      <c r="H4186" s="2" t="n">
        <v>117</v>
      </c>
      <c r="I4186" s="2" t="inlineStr"/>
      <c r="J4186" s="2" t="inlineStr"/>
      <c r="K4186" s="3" t="inlineStr">
        <is>
          <t>В поисках смысла жизни герои попадают в разные эпохи и страны, где переживают всевозможные романтические приключения.</t>
        </is>
      </c>
      <c r="L4186" s="2" t="inlineStr">
        <is>
          <t>Кино_СССР сводный каталог.xlsx: список фильмов (доп.)</t>
        </is>
      </c>
      <c r="M4186" s="2">
        <f>HYPERLINK("https://ru.wikipedia.org/w/index.php?search=%D0%9F%D0%BE%D0%B1%D0%B5%D0%B3%20%D0%BD%D0%B0%20%D0%BA%D1%80%D0%B0%D0%B9%20%D1%81%D0%B2%D0%B5%D1%82%D0%B0%201991%20%D1%84%D0%B8%D0%BB%D1%8C%D0%BC","искать")</f>
        <v/>
      </c>
      <c r="N4186" s="3" t="n"/>
      <c r="O4186" s="2" t="n"/>
      <c r="P4186" s="2" t="inlineStr">
        <is>
          <t>ГФФ: «ПОБЕГ НА КРАЙ СВЕТА» 1991 — по сверке другой фильм, не предложено</t>
        </is>
      </c>
    </row>
    <row r="4187">
      <c r="A4187" s="2" t="n">
        <v>4186</v>
      </c>
      <c r="B4187" s="2" t="inlineStr">
        <is>
          <t>короткая</t>
        </is>
      </c>
      <c r="C4187" s="2" t="n">
        <v>9867</v>
      </c>
      <c r="D4187" s="3" t="inlineStr">
        <is>
          <t>Фронт за околицей</t>
        </is>
      </c>
      <c r="E4187" s="2" t="n">
        <v>1969</v>
      </c>
      <c r="F4187" s="2" t="inlineStr">
        <is>
          <t>телефильм</t>
        </is>
      </c>
      <c r="G4187" s="2" t="inlineStr">
        <is>
          <t>Мосфильм</t>
        </is>
      </c>
      <c r="H4187" s="2" t="n">
        <v>117</v>
      </c>
      <c r="I4187" s="2" t="inlineStr"/>
      <c r="J4187" s="2" t="inlineStr"/>
      <c r="K4187" s="3" t="inlineStr">
        <is>
          <t>Телефильм. Психологическая новелла; о любви Якима и Анны, на пути которых к счастью роковым препятствием стала война.</t>
        </is>
      </c>
      <c r="L4187" s="2" t="inlineStr">
        <is>
          <t>https://www.kino-teatr.ru/short/movie/sov/14666/annot/</t>
        </is>
      </c>
      <c r="M4187" s="2">
        <f>HYPERLINK("https://ru.wikipedia.org/w/index.php?search=%D0%A4%D1%80%D0%BE%D0%BD%D1%82%20%D0%B7%D0%B0%20%D0%BE%D0%BA%D0%BE%D0%BB%D0%B8%D1%86%D0%B5%D0%B9%201969%20%D1%84%D0%B8%D0%BB%D1%8C%D0%BC","искать")</f>
        <v/>
      </c>
      <c r="N4187" s="3" t="n"/>
      <c r="O4187" s="2" t="n"/>
      <c r="P4187" s="2" t="n"/>
    </row>
    <row r="4188">
      <c r="A4188" s="2" t="n">
        <v>4187</v>
      </c>
      <c r="B4188" s="2" t="inlineStr">
        <is>
          <t>короткая</t>
        </is>
      </c>
      <c r="C4188" s="2" t="n">
        <v>11410</v>
      </c>
      <c r="D4188" s="3" t="inlineStr">
        <is>
          <t>Ку-ка-ре-ку!</t>
        </is>
      </c>
      <c r="E4188" s="2" t="n">
        <v>1963</v>
      </c>
      <c r="F4188" s="2" t="inlineStr">
        <is>
          <t>мультфильм</t>
        </is>
      </c>
      <c r="G4188" s="2" t="inlineStr">
        <is>
          <t>Союзмультфильм</t>
        </is>
      </c>
      <c r="H4188" s="2" t="n">
        <v>117</v>
      </c>
      <c r="I4188" s="2" t="inlineStr"/>
      <c r="J4188" s="2" t="inlineStr"/>
      <c r="K4188" s="3" t="inlineStr">
        <is>
          <t>По одноименной сказке Г.Ландау о том, как Пес спас Петушка от жадных Кота и Лисы. Спектакль Московского театра кукол.</t>
        </is>
      </c>
      <c r="L4188" s="2" t="inlineStr">
        <is>
          <t>2026-10_мультфильмы_список_владельца.xlsx; https://animator.ru/db/?p=show_film&amp;fid=2121</t>
        </is>
      </c>
      <c r="M4188" s="2">
        <f>HYPERLINK("https://ru.wikipedia.org/w/index.php?search=%D0%9A%D1%83-%D0%BA%D0%B0-%D1%80%D0%B5-%D0%BA%D1%83%21%201963%20%D1%84%D0%B8%D0%BB%D1%8C%D0%BC","искать")</f>
        <v/>
      </c>
      <c r="N4188" s="3" t="n"/>
      <c r="O4188" s="2" t="n"/>
      <c r="P4188" s="2" t="n"/>
    </row>
    <row r="4189">
      <c r="A4189" s="2" t="n">
        <v>4188</v>
      </c>
      <c r="B4189" s="2" t="inlineStr">
        <is>
          <t>короткая</t>
        </is>
      </c>
      <c r="C4189" s="2" t="n">
        <v>12098</v>
      </c>
      <c r="D4189" s="3" t="inlineStr">
        <is>
          <t>Слоненок пошел учиться</t>
        </is>
      </c>
      <c r="E4189" s="2" t="n">
        <v>1984</v>
      </c>
      <c r="F4189" s="2" t="inlineStr">
        <is>
          <t>мультфильм</t>
        </is>
      </c>
      <c r="G4189" s="2" t="inlineStr">
        <is>
          <t>Союзмультфильм</t>
        </is>
      </c>
      <c r="H4189" s="2" t="n">
        <v>117</v>
      </c>
      <c r="I4189" s="2" t="inlineStr"/>
      <c r="J4189" s="2" t="inlineStr"/>
      <c r="K4189" s="3" t="inlineStr">
        <is>
          <t>Герой фильма - маленький Слоненок, который мечтал учиться и которого мама-слониха отдала в школу, где учились мышата.</t>
        </is>
      </c>
      <c r="L4189" s="2" t="inlineStr">
        <is>
          <t>2026-10_мультфильмы_список_владельца.xlsx; https://animator.ru/db/?p=show_film&amp;fid=3214</t>
        </is>
      </c>
      <c r="M4189" s="2">
        <f>HYPERLINK("https://ru.wikipedia.org/w/index.php?search=%D0%A1%D0%BB%D0%BE%D0%BD%D0%B5%D0%BD%D0%BE%D0%BA%20%D0%BF%D0%BE%D1%88%D0%B5%D0%BB%20%D1%83%D1%87%D0%B8%D1%82%D1%8C%D1%81%D1%8F%201984%20%D1%84%D0%B8%D0%BB%D1%8C%D0%BC","искать")</f>
        <v/>
      </c>
      <c r="N4189" s="3" t="n"/>
      <c r="O4189" s="2" t="n"/>
      <c r="P4189" s="2" t="n"/>
    </row>
    <row r="4190">
      <c r="A4190" s="2" t="n">
        <v>4189</v>
      </c>
      <c r="B4190" s="2" t="inlineStr">
        <is>
          <t>короткая</t>
        </is>
      </c>
      <c r="C4190" s="2" t="n">
        <v>12129</v>
      </c>
      <c r="D4190" s="3" t="inlineStr">
        <is>
          <t>Мико -- сын павловой</t>
        </is>
      </c>
      <c r="E4190" s="2" t="n">
        <v>1989</v>
      </c>
      <c r="F4190" s="2" t="inlineStr">
        <is>
          <t>мультфильм</t>
        </is>
      </c>
      <c r="G4190" s="2" t="inlineStr">
        <is>
          <t>Союзмультфильм</t>
        </is>
      </c>
      <c r="H4190" s="2" t="n">
        <v>117</v>
      </c>
      <c r="I4190" s="2" t="inlineStr"/>
      <c r="J4190" s="2" t="inlineStr"/>
      <c r="K4190" s="3" t="inlineStr">
        <is>
          <t>Очередной фильм из серии о дельфинах. Тристан и Павлова усыновляют мальчика Микко, оставшегося после кораблекрушения.</t>
        </is>
      </c>
      <c r="L4190" s="2" t="inlineStr">
        <is>
          <t>https://animator.ru/db/?p=show_film&amp;fid=3245</t>
        </is>
      </c>
      <c r="M4190" s="2">
        <f>HYPERLINK("https://ru.wikipedia.org/w/index.php?search=%D0%9C%D0%B8%D0%BA%D0%BE%20--%20%D1%81%D1%8B%D0%BD%20%D0%BF%D0%B0%D0%B2%D0%BB%D0%BE%D0%B2%D0%BE%D0%B9%201989%20%D1%84%D0%B8%D0%BB%D1%8C%D0%BC","искать")</f>
        <v/>
      </c>
      <c r="N4190" s="3" t="n"/>
      <c r="O4190" s="2" t="n"/>
      <c r="P4190" s="2" t="n"/>
    </row>
    <row r="4191">
      <c r="A4191" s="2" t="n">
        <v>4190</v>
      </c>
      <c r="B4191" s="2" t="inlineStr">
        <is>
          <t>короткая</t>
        </is>
      </c>
      <c r="C4191" s="2" t="n">
        <v>12161</v>
      </c>
      <c r="D4191" s="3" t="inlineStr">
        <is>
          <t>Танцы кукол</t>
        </is>
      </c>
      <c r="E4191" s="2" t="n">
        <v>1985</v>
      </c>
      <c r="F4191" s="2" t="inlineStr">
        <is>
          <t>мультфильм</t>
        </is>
      </c>
      <c r="G4191" s="2" t="inlineStr">
        <is>
          <t>Союзмультфильм</t>
        </is>
      </c>
      <c r="H4191" s="2" t="n">
        <v>117</v>
      </c>
      <c r="I4191" s="2" t="inlineStr"/>
      <c r="J4191" s="2" t="inlineStr"/>
      <c r="K4191" s="3" t="inlineStr">
        <is>
          <t>О больной девочке, развлечь которую пришли игрушки. На музыку Д.Д.Шостаковича "Танцы кукол" из одноименного сборника.</t>
        </is>
      </c>
      <c r="L4191" s="2" t="inlineStr">
        <is>
          <t>2026-10_мультфильмы_список_владельца.xlsx; https://animator.ru/db/?p=show_film&amp;fid=3277</t>
        </is>
      </c>
      <c r="M4191" s="2">
        <f>HYPERLINK("https://ru.wikipedia.org/w/index.php?search=%D0%A2%D0%B0%D0%BD%D1%86%D1%8B%20%D0%BA%D1%83%D0%BA%D0%BE%D0%BB%201985%20%D1%84%D0%B8%D0%BB%D1%8C%D0%BC","искать")</f>
        <v/>
      </c>
      <c r="N4191" s="3" t="n"/>
      <c r="O4191" s="2" t="n"/>
      <c r="P4191" s="2" t="n"/>
    </row>
    <row r="4192">
      <c r="A4192" s="2" t="n">
        <v>4191</v>
      </c>
      <c r="B4192" s="2" t="inlineStr">
        <is>
          <t>короткая</t>
        </is>
      </c>
      <c r="C4192" s="2" t="n">
        <v>12236</v>
      </c>
      <c r="D4192" s="3" t="inlineStr">
        <is>
          <t>Влюбчивая ворона</t>
        </is>
      </c>
      <c r="E4192" s="2" t="n">
        <v>1988</v>
      </c>
      <c r="F4192" s="2" t="inlineStr">
        <is>
          <t>мультфильм</t>
        </is>
      </c>
      <c r="G4192" s="2" t="inlineStr">
        <is>
          <t>Союзмультфильм</t>
        </is>
      </c>
      <c r="H4192" s="2" t="n">
        <v>117</v>
      </c>
      <c r="I4192" s="2" t="inlineStr"/>
      <c r="J4192" s="2" t="inlineStr"/>
      <c r="K4192" s="3" t="inlineStr">
        <is>
          <t>О непостоянной вороне, которая меняла объекты своих увлечений, не задумываясь об их чувствах.Для взрослых. Кукольный.</t>
        </is>
      </c>
      <c r="L4192" s="2" t="inlineStr">
        <is>
          <t>2026-10_мультфильмы_список_владельца.xlsx; https://animator.ru/db/?p=show_film&amp;fid=3353</t>
        </is>
      </c>
      <c r="M4192" s="2">
        <f>HYPERLINK("https://ru.wikipedia.org/w/index.php?search=%D0%92%D0%BB%D1%8E%D0%B1%D1%87%D0%B8%D0%B2%D0%B0%D1%8F%20%D0%B2%D0%BE%D1%80%D0%BE%D0%BD%D0%B0%201988%20%D1%84%D0%B8%D0%BB%D1%8C%D0%BC","искать")</f>
        <v/>
      </c>
      <c r="N4192" s="3" t="n"/>
      <c r="O4192" s="2" t="n"/>
      <c r="P4192" s="2" t="n"/>
    </row>
    <row r="4193">
      <c r="A4193" s="2" t="n">
        <v>4192</v>
      </c>
      <c r="B4193" s="2" t="inlineStr">
        <is>
          <t>короткая</t>
        </is>
      </c>
      <c r="C4193" s="2" t="n">
        <v>12276</v>
      </c>
      <c r="D4193" s="3" t="inlineStr">
        <is>
          <t>Кважды ква</t>
        </is>
      </c>
      <c r="E4193" s="2" t="n">
        <v>1990</v>
      </c>
      <c r="F4193" s="2" t="inlineStr">
        <is>
          <t>мультфильм</t>
        </is>
      </c>
      <c r="G4193" s="2" t="inlineStr">
        <is>
          <t>Союзмультфильм</t>
        </is>
      </c>
      <c r="H4193" s="2" t="n">
        <v>117</v>
      </c>
      <c r="I4193" s="2" t="inlineStr"/>
      <c r="J4193" s="2" t="inlineStr"/>
      <c r="K4193" s="3" t="inlineStr">
        <is>
          <t>О переживаниях головастика, который "взрослея" превращается в лягушонка и сталкивается с миром взрослых. Для взрослых</t>
        </is>
      </c>
      <c r="L4193" s="2" t="inlineStr">
        <is>
          <t>https://animator.ru/db/?p=show_film&amp;fid=3393</t>
        </is>
      </c>
      <c r="M4193" s="2">
        <f>HYPERLINK("https://ru.wikipedia.org/w/index.php?search=%D0%9A%D0%B2%D0%B0%D0%B6%D0%B4%D1%8B%20%D0%BA%D0%B2%D0%B0%201990%20%D1%84%D0%B8%D0%BB%D1%8C%D0%BC","искать")</f>
        <v/>
      </c>
      <c r="N4193" s="3" t="n"/>
      <c r="O4193" s="2" t="n"/>
      <c r="P4193" s="2" t="n"/>
    </row>
    <row r="4194">
      <c r="A4194" s="2" t="n">
        <v>4193</v>
      </c>
      <c r="B4194" s="2" t="inlineStr">
        <is>
          <t>короткая</t>
        </is>
      </c>
      <c r="C4194" s="2" t="n">
        <v>7936</v>
      </c>
      <c r="D4194" s="3" t="inlineStr">
        <is>
          <t>На таёжных ветрах</t>
        </is>
      </c>
      <c r="E4194" s="2" t="n">
        <v>1979</v>
      </c>
      <c r="F4194" s="2" t="inlineStr">
        <is>
          <t>телефильм</t>
        </is>
      </c>
      <c r="G4194" s="2" t="n"/>
      <c r="H4194" s="2" t="n">
        <v>118</v>
      </c>
      <c r="I4194" s="2" t="inlineStr"/>
      <c r="J4194" s="2" t="inlineStr"/>
      <c r="K4194" s="3" t="inlineStr">
        <is>
          <t>По мотивам романа К.Лагунова "Одержимые" Фильм посвящен геологам-нефтеразведчикам, осваивающим северные районы страны.</t>
        </is>
      </c>
      <c r="L4194" s="2" t="inlineStr">
        <is>
          <t>Кино_СССР сводный каталог.xlsx: список телефильмов</t>
        </is>
      </c>
      <c r="M4194" s="2">
        <f>HYPERLINK("https://ru.wikipedia.org/w/index.php?search=%D0%9D%D0%B0%20%D1%82%D0%B0%D1%91%D0%B6%D0%BD%D1%8B%D1%85%20%D0%B2%D0%B5%D1%82%D1%80%D0%B0%D1%85%201979%20%D1%84%D0%B8%D0%BB%D1%8C%D0%BC","искать")</f>
        <v/>
      </c>
      <c r="N4194" s="3" t="n"/>
      <c r="O4194" s="2" t="n"/>
      <c r="P4194" s="2" t="n"/>
    </row>
    <row r="4195">
      <c r="A4195" s="2" t="n">
        <v>4194</v>
      </c>
      <c r="B4195" s="2" t="inlineStr">
        <is>
          <t>короткая</t>
        </is>
      </c>
      <c r="C4195" s="2" t="n">
        <v>8200</v>
      </c>
      <c r="D4195" s="3" t="inlineStr">
        <is>
          <t>Приключения Алдара Косе</t>
        </is>
      </c>
      <c r="E4195" s="2" t="n">
        <v>1970</v>
      </c>
      <c r="F4195" s="2" t="inlineStr">
        <is>
          <t>телефильм</t>
        </is>
      </c>
      <c r="G4195" s="2" t="n"/>
      <c r="H4195" s="2" t="n">
        <v>118</v>
      </c>
      <c r="I4195" s="2" t="inlineStr"/>
      <c r="J4195" s="2" t="inlineStr"/>
      <c r="K4195" s="3" t="inlineStr">
        <is>
          <t>Музыкальный фильм о приключениях легендарного Алдара Косе, что в переводе с туркменского означает Безбородый обманщик.</t>
        </is>
      </c>
      <c r="L4195" s="2" t="inlineStr">
        <is>
          <t>Кино_СССР сводный каталог.xlsx: список телефильмов</t>
        </is>
      </c>
      <c r="M4195" s="2">
        <f>HYPERLINK("https://ru.wikipedia.org/w/index.php?search=%D0%9F%D1%80%D0%B8%D0%BA%D0%BB%D1%8E%D1%87%D0%B5%D0%BD%D0%B8%D1%8F%20%D0%90%D0%BB%D0%B4%D0%B0%D1%80%D0%B0%20%D0%9A%D0%BE%D1%81%D0%B5%201970%20%D1%84%D0%B8%D0%BB%D1%8C%D0%BC","искать")</f>
        <v/>
      </c>
      <c r="N4195" s="3" t="n"/>
      <c r="O4195" s="2" t="n"/>
      <c r="P4195" s="2" t="n"/>
    </row>
    <row r="4196">
      <c r="A4196" s="2" t="n">
        <v>4195</v>
      </c>
      <c r="B4196" s="2" t="inlineStr">
        <is>
          <t>короткая</t>
        </is>
      </c>
      <c r="C4196" s="2" t="n">
        <v>8413</v>
      </c>
      <c r="D4196" s="3" t="inlineStr">
        <is>
          <t>Страх</t>
        </is>
      </c>
      <c r="E4196" s="2" t="n">
        <v>1980</v>
      </c>
      <c r="F4196" s="2" t="inlineStr">
        <is>
          <t>телефильм</t>
        </is>
      </c>
      <c r="G4196" s="2" t="n"/>
      <c r="H4196" s="2" t="n">
        <v>118</v>
      </c>
      <c r="I4196" s="2" t="inlineStr"/>
      <c r="J4196" s="2" t="inlineStr"/>
      <c r="K4196" s="3" t="inlineStr">
        <is>
          <t>По мотивам книги И. Головченко «Милицейские были». Сотрудники уголовного розыска расследуют убийство директора завода.</t>
        </is>
      </c>
      <c r="L4196" s="2" t="inlineStr">
        <is>
          <t>Кино_СССР сводный каталог.xlsx: список телефильмов</t>
        </is>
      </c>
      <c r="M4196" s="2">
        <f>HYPERLINK("https://ru.wikipedia.org/w/index.php?search=%D0%A1%D1%82%D1%80%D0%B0%D1%85%201980%20%D1%84%D0%B8%D0%BB%D1%8C%D0%BC","искать")</f>
        <v/>
      </c>
      <c r="N4196" s="3" t="n"/>
      <c r="O4196" s="2" t="n"/>
      <c r="P4196" s="2" t="n"/>
    </row>
    <row r="4197">
      <c r="A4197" s="2" t="n">
        <v>4196</v>
      </c>
      <c r="B4197" s="2" t="inlineStr">
        <is>
          <t>короткая</t>
        </is>
      </c>
      <c r="C4197" s="2" t="n">
        <v>9377</v>
      </c>
      <c r="D4197" s="3" t="inlineStr">
        <is>
          <t>Звездоносцы</t>
        </is>
      </c>
      <c r="E4197" s="2" t="n">
        <v>1931</v>
      </c>
      <c r="F4197" s="2" t="inlineStr">
        <is>
          <t>кинофильм</t>
        </is>
      </c>
      <c r="G4197" s="2" t="n"/>
      <c r="H4197" s="2" t="n">
        <v>118</v>
      </c>
      <c r="I4197" s="2" t="inlineStr"/>
      <c r="J4197" s="2" t="inlineStr"/>
      <c r="K4197" s="3" t="inlineStr">
        <is>
          <t>Агитпропфильм. Об участии бойцов и командиров Красной Армии в колхозном строительстве. В ГФФ копия фильма не хранится.</t>
        </is>
      </c>
      <c r="L4197" s="2" t="inlineStr">
        <is>
          <t>Кино_СССР сводный каталог.xlsx: список фильмов (доп.)</t>
        </is>
      </c>
      <c r="M4197" s="2">
        <f>HYPERLINK("https://ru.wikipedia.org/w/index.php?search=%D0%97%D0%B2%D0%B5%D0%B7%D0%B4%D0%BE%D0%BD%D0%BE%D1%81%D1%86%D1%8B%201931%20%D1%84%D0%B8%D0%BB%D1%8C%D0%BC","искать")</f>
        <v/>
      </c>
      <c r="N4197" s="3" t="n"/>
      <c r="O4197" s="2" t="n"/>
      <c r="P4197" s="2" t="n"/>
    </row>
    <row r="4198">
      <c r="A4198" s="2" t="n">
        <v>4197</v>
      </c>
      <c r="B4198" s="2" t="inlineStr">
        <is>
          <t>короткая</t>
        </is>
      </c>
      <c r="C4198" s="2" t="n">
        <v>12140</v>
      </c>
      <c r="D4198" s="3" t="inlineStr">
        <is>
          <t>Дереза</t>
        </is>
      </c>
      <c r="E4198" s="2" t="n">
        <v>1985</v>
      </c>
      <c r="F4198" s="2" t="inlineStr">
        <is>
          <t>мультфильм</t>
        </is>
      </c>
      <c r="G4198" s="2" t="inlineStr">
        <is>
          <t>Союзмультфильм</t>
        </is>
      </c>
      <c r="H4198" s="2" t="n">
        <v>118</v>
      </c>
      <c r="I4198" s="2" t="inlineStr"/>
      <c r="J4198" s="2" t="inlineStr"/>
      <c r="K4198" s="3" t="inlineStr">
        <is>
          <t>По мотивам русской народной сказки-шутки. Как коза решила выжить из дома других зверей, лишь бы только ее одну любили.</t>
        </is>
      </c>
      <c r="L4198" s="2" t="inlineStr">
        <is>
          <t>2026-10_мультфильмы_список_владельца.xlsx; https://animator.ru/db/?p=show_film&amp;fid=3256</t>
        </is>
      </c>
      <c r="M4198" s="2">
        <f>HYPERLINK("https://ru.wikipedia.org/w/index.php?search=%D0%94%D0%B5%D1%80%D0%B5%D0%B7%D0%B0%201985%20%D1%84%D0%B8%D0%BB%D1%8C%D0%BC","искать")</f>
        <v/>
      </c>
      <c r="N4198" s="3" t="n"/>
      <c r="O4198" s="2" t="n"/>
      <c r="P4198" s="2" t="n"/>
    </row>
    <row r="4199">
      <c r="A4199" s="2" t="n">
        <v>4198</v>
      </c>
      <c r="B4199" s="2" t="inlineStr">
        <is>
          <t>короткая</t>
        </is>
      </c>
      <c r="C4199" s="2" t="n">
        <v>13451</v>
      </c>
      <c r="D4199" s="3" t="inlineStr">
        <is>
          <t>Это совсем не про это</t>
        </is>
      </c>
      <c r="E4199" s="2" t="n">
        <v>1984</v>
      </c>
      <c r="F4199" s="2" t="inlineStr">
        <is>
          <t>мультфильм</t>
        </is>
      </c>
      <c r="G4199" s="2" t="inlineStr">
        <is>
          <t>ЭКРАН</t>
        </is>
      </c>
      <c r="H4199" s="2" t="n">
        <v>118</v>
      </c>
      <c r="I4199" s="2" t="inlineStr"/>
      <c r="J4199" s="2" t="inlineStr"/>
      <c r="K4199" s="3" t="inlineStr">
        <is>
          <t>Про корову, которая из-за отравления воздуха и воды вместо молока, стала давать бензин. На музыку Ж.Рамо. Для взрослых</t>
        </is>
      </c>
      <c r="L4199" s="2" t="inlineStr">
        <is>
          <t>https://animator.ru/db/?p=show_film&amp;fid=4732</t>
        </is>
      </c>
      <c r="M4199" s="2">
        <f>HYPERLINK("https://ru.wikipedia.org/w/index.php?search=%D0%AD%D1%82%D0%BE%20%D1%81%D0%BE%D0%B2%D1%81%D0%B5%D0%BC%20%D0%BD%D0%B5%20%D0%BF%D1%80%D0%BE%20%D1%8D%D1%82%D0%BE%201984%20%D1%84%D0%B8%D0%BB%D1%8C%D0%BC","искать")</f>
        <v/>
      </c>
      <c r="N4199" s="3" t="n"/>
      <c r="O4199" s="2" t="n"/>
      <c r="P4199" s="2" t="n"/>
    </row>
    <row r="4200">
      <c r="A4200" s="2" t="n">
        <v>4199</v>
      </c>
      <c r="B4200" s="2" t="inlineStr">
        <is>
          <t>короткая</t>
        </is>
      </c>
      <c r="C4200" s="2" t="n">
        <v>14448</v>
      </c>
      <c r="D4200" s="3" t="inlineStr">
        <is>
          <t>Фантадром-3. Пожар</t>
        </is>
      </c>
      <c r="E4200" s="2" t="n">
        <v>1986</v>
      </c>
      <c r="F4200" s="2" t="inlineStr">
        <is>
          <t>мультфильм</t>
        </is>
      </c>
      <c r="G4200" s="2" t="n"/>
      <c r="H4200" s="2" t="n">
        <v>118</v>
      </c>
      <c r="I4200" s="2" t="inlineStr"/>
      <c r="J4200" s="2" t="inlineStr"/>
      <c r="K4200" s="3" t="inlineStr">
        <is>
          <t>О приключениях робота Индрикиса Х|||, который вместе со своими друзьями участвует в тушении пожара на далекой планете.</t>
        </is>
      </c>
      <c r="L4200" s="2" t="inlineStr">
        <is>
          <t>https://animator.ru/db/?p=show_film&amp;fid=6698</t>
        </is>
      </c>
      <c r="M4200" s="2">
        <f>HYPERLINK("https://ru.wikipedia.org/w/index.php?search=%D0%A4%D0%B0%D0%BD%D1%82%D0%B0%D0%B4%D1%80%D0%BE%D0%BC-3.%20%D0%9F%D0%BE%D0%B6%D0%B0%D1%80%201986%20%D1%84%D0%B8%D0%BB%D1%8C%D0%BC","искать")</f>
        <v/>
      </c>
      <c r="N4200" s="3" t="n"/>
      <c r="O4200" s="2" t="n"/>
      <c r="P4200" s="2" t="n"/>
    </row>
    <row r="4201">
      <c r="A4201" s="2" t="n">
        <v>4200</v>
      </c>
      <c r="B4201" s="2" t="inlineStr">
        <is>
          <t>короткая</t>
        </is>
      </c>
      <c r="C4201" s="2" t="n">
        <v>14451</v>
      </c>
      <c r="D4201" s="3" t="inlineStr">
        <is>
          <t>Фэт-фрумос и солнце</t>
        </is>
      </c>
      <c r="E4201" s="2" t="n">
        <v>1986</v>
      </c>
      <c r="F4201" s="2" t="inlineStr">
        <is>
          <t>мультфильм</t>
        </is>
      </c>
      <c r="G4201" s="2" t="n"/>
      <c r="H4201" s="2" t="n">
        <v>118</v>
      </c>
      <c r="I4201" s="2" t="inlineStr"/>
      <c r="J4201" s="2" t="inlineStr"/>
      <c r="K4201" s="3" t="inlineStr">
        <is>
          <t>По мотивам молдавского фольклора. О том, как юноша Ионел Фэт-Фрумос сразился с трехглавым драконом и освободил солнце.</t>
        </is>
      </c>
      <c r="L4201" s="2" t="inlineStr">
        <is>
          <t>https://animator.ru/db/?p=show_film&amp;fid=6701</t>
        </is>
      </c>
      <c r="M4201" s="2">
        <f>HYPERLINK("https://ru.wikipedia.org/w/index.php?search=%D0%A4%D1%8D%D1%82-%D1%84%D1%80%D1%83%D0%BC%D0%BE%D1%81%20%D0%B8%20%D1%81%D0%BE%D0%BB%D0%BD%D1%86%D0%B5%201986%20%D1%84%D0%B8%D0%BB%D1%8C%D0%BC","искать")</f>
        <v/>
      </c>
      <c r="N4201" s="3" t="n"/>
      <c r="O4201" s="2" t="n"/>
      <c r="P4201" s="2" t="n"/>
    </row>
    <row r="4202">
      <c r="A4202" s="2" t="n">
        <v>4201</v>
      </c>
      <c r="B4202" s="2" t="inlineStr">
        <is>
          <t>короткая</t>
        </is>
      </c>
      <c r="C4202" s="2" t="n">
        <v>9933</v>
      </c>
      <c r="D4202" s="3" t="inlineStr">
        <is>
          <t>Дебют</t>
        </is>
      </c>
      <c r="E4202" s="2" t="n">
        <v>1978</v>
      </c>
      <c r="F4202" s="2" t="inlineStr">
        <is>
          <t>кинофильм</t>
        </is>
      </c>
      <c r="G4202" s="2" t="inlineStr">
        <is>
          <t>Беларусьфильм</t>
        </is>
      </c>
      <c r="H4202" s="2" t="n">
        <v>119</v>
      </c>
      <c r="I4202" s="2" t="inlineStr"/>
      <c r="J4202" s="2" t="inlineStr"/>
      <c r="K4202" s="3" t="inlineStr">
        <is>
          <t>Обыкновенный деревенский парень переживает волнующее событие: он приглашен на съемки фильма сыграть эпизодическую роль.</t>
        </is>
      </c>
      <c r="L4202" s="2" t="inlineStr">
        <is>
          <t>https://www.kino-teatr.ru/short/movie/sov/1682/annot/</t>
        </is>
      </c>
      <c r="M4202" s="2">
        <f>HYPERLINK("https://ru.wikipedia.org/w/index.php?search=%D0%94%D0%B5%D0%B1%D1%8E%D1%82%201978%20%D1%84%D0%B8%D0%BB%D1%8C%D0%BC","искать")</f>
        <v/>
      </c>
      <c r="N4202" s="3" t="n"/>
      <c r="O4202" s="2" t="n"/>
      <c r="P4202" s="2" t="n"/>
    </row>
    <row r="4203">
      <c r="A4203" s="2" t="n">
        <v>4202</v>
      </c>
      <c r="B4203" s="2" t="inlineStr">
        <is>
          <t>короткая</t>
        </is>
      </c>
      <c r="C4203" s="2" t="n">
        <v>10050</v>
      </c>
      <c r="D4203" s="3" t="inlineStr">
        <is>
          <t>Счастье</t>
        </is>
      </c>
      <c r="E4203" s="2" t="n">
        <v>1990</v>
      </c>
      <c r="F4203" s="2" t="inlineStr">
        <is>
          <t>кинофильм</t>
        </is>
      </c>
      <c r="G4203" s="2" t="inlineStr">
        <is>
          <t>Арменфильм (по заказу Госавтоинспекции Арм.ССР)</t>
        </is>
      </c>
      <c r="H4203" s="2" t="n">
        <v>119</v>
      </c>
      <c r="I4203" s="2" t="inlineStr"/>
      <c r="J4203" s="2" t="inlineStr"/>
      <c r="K4203" s="3" t="inlineStr">
        <is>
          <t>Мадам Араксия считает счастьем только личное обогащение, владение автомашинами, ради чего готова оклеветать окружающих.</t>
        </is>
      </c>
      <c r="L4203" s="2" t="inlineStr">
        <is>
          <t>https://www.kino-teatr.ru/short/movie/sov/85502/annot/</t>
        </is>
      </c>
      <c r="M4203" s="2">
        <f>HYPERLINK("https://ru.wikipedia.org/w/index.php?search=%D0%A1%D1%87%D0%B0%D1%81%D1%82%D1%8C%D0%B5%201990%20%D1%84%D0%B8%D0%BB%D1%8C%D0%BC","искать")</f>
        <v/>
      </c>
      <c r="N4203" s="3" t="n"/>
      <c r="O4203" s="2" t="n"/>
      <c r="P4203" s="2" t="n"/>
    </row>
    <row r="4204">
      <c r="A4204" s="2" t="n">
        <v>4203</v>
      </c>
      <c r="B4204" s="2" t="inlineStr">
        <is>
          <t>короткая</t>
        </is>
      </c>
      <c r="C4204" s="2" t="n">
        <v>10095</v>
      </c>
      <c r="D4204" s="3" t="inlineStr">
        <is>
          <t>Интервью у весны</t>
        </is>
      </c>
      <c r="E4204" s="2" t="n">
        <v>1962</v>
      </c>
      <c r="F4204" s="2" t="inlineStr">
        <is>
          <t>фильм-спектакль</t>
        </is>
      </c>
      <c r="G4204" s="2" t="inlineStr">
        <is>
          <t>Центральное телевидение</t>
        </is>
      </c>
      <c r="H4204" s="2" t="n">
        <v>119</v>
      </c>
      <c r="I4204" s="2" t="inlineStr"/>
      <c r="J4204" s="2" t="inlineStr"/>
      <c r="K4204" s="3" t="inlineStr">
        <is>
          <t>Театральная афиша Московских театров.
Диктор Аза Лихитченко берет интервью у героев премьерных спектаклей этого сезона.</t>
        </is>
      </c>
      <c r="L4204" s="2" t="inlineStr">
        <is>
          <t>https://www.kino-teatr.ru/teatr/movie/102145/annot/</t>
        </is>
      </c>
      <c r="M4204" s="2">
        <f>HYPERLINK("https://ru.wikipedia.org/w/index.php?search=%D0%98%D0%BD%D1%82%D0%B5%D1%80%D0%B2%D1%8C%D1%8E%20%D1%83%20%D0%B2%D0%B5%D1%81%D0%BD%D1%8B%201962%20%D1%84%D0%B8%D0%BB%D1%8C%D0%BC","искать")</f>
        <v/>
      </c>
      <c r="N4204" s="3" t="n"/>
      <c r="O4204" s="2" t="n"/>
      <c r="P4204" s="2" t="n"/>
    </row>
    <row r="4205">
      <c r="A4205" s="2" t="n">
        <v>4204</v>
      </c>
      <c r="B4205" s="2" t="inlineStr">
        <is>
          <t>короткая</t>
        </is>
      </c>
      <c r="C4205" s="2" t="n">
        <v>13086</v>
      </c>
      <c r="D4205" s="3" t="inlineStr">
        <is>
          <t>Путь</t>
        </is>
      </c>
      <c r="E4205" s="2" t="n">
        <v>1988</v>
      </c>
      <c r="F4205" s="2" t="inlineStr">
        <is>
          <t>мультфильм</t>
        </is>
      </c>
      <c r="G4205" s="2" t="inlineStr">
        <is>
          <t>РИЖСКАЯ КИНОСТУДИЯ</t>
        </is>
      </c>
      <c r="H4205" s="2" t="n">
        <v>119</v>
      </c>
      <c r="I4205" s="2" t="inlineStr"/>
      <c r="J4205" s="2" t="inlineStr"/>
      <c r="K4205" s="3" t="inlineStr">
        <is>
          <t>Мальчик и девочка пытаются возродить жизнь на мертвой земле после атомной войны. Использована музыка Баха. Для взрослых</t>
        </is>
      </c>
      <c r="L4205" s="2" t="inlineStr">
        <is>
          <t>https://animator.ru/db/?p=show_film&amp;fid=4318</t>
        </is>
      </c>
      <c r="M4205" s="2">
        <f>HYPERLINK("https://ru.wikipedia.org/w/index.php?search=%D0%9F%D1%83%D1%82%D1%8C%201988%20%D1%84%D0%B8%D0%BB%D1%8C%D0%BC","искать")</f>
        <v/>
      </c>
      <c r="N4205" s="3" t="n"/>
      <c r="O4205" s="2" t="n"/>
      <c r="P4205" s="2" t="n"/>
    </row>
    <row r="4206">
      <c r="A4206" s="2" t="n">
        <v>4205</v>
      </c>
      <c r="B4206" s="2" t="inlineStr">
        <is>
          <t>короткая</t>
        </is>
      </c>
      <c r="C4206" s="2" t="n">
        <v>7186</v>
      </c>
      <c r="D4206" s="3" t="inlineStr">
        <is>
          <t>А человек играет на трубе</t>
        </is>
      </c>
      <c r="E4206" s="2" t="n">
        <v>1970</v>
      </c>
      <c r="F4206" s="2" t="inlineStr">
        <is>
          <t>телефильм</t>
        </is>
      </c>
      <c r="G4206" s="2" t="inlineStr">
        <is>
          <t>Одесская к/с</t>
        </is>
      </c>
      <c r="H4206" s="2" t="n">
        <v>120</v>
      </c>
      <c r="I4206" s="2" t="inlineStr"/>
      <c r="J4206" s="2" t="inlineStr"/>
      <c r="K4206" s="3" t="inlineStr">
        <is>
          <t>Зима... Карпаты... Хорошо воспитанный юный трубач любит девушку и мечтает о взаимности... (По заказу Гостелерадио СССР).</t>
        </is>
      </c>
      <c r="L4206" s="2" t="inlineStr">
        <is>
          <t>Кино_СССР сводный каталог.xlsx: список телефильмов</t>
        </is>
      </c>
      <c r="M4206" s="2">
        <f>HYPERLINK("https://ru.wikipedia.org/w/index.php?search=%D0%90%20%D1%87%D0%B5%D0%BB%D0%BE%D0%B2%D0%B5%D0%BA%20%D0%B8%D0%B3%D1%80%D0%B0%D0%B5%D1%82%20%D0%BD%D0%B0%20%D1%82%D1%80%D1%83%D0%B1%D0%B5%201970%20%D1%84%D0%B8%D0%BB%D1%8C%D0%BC","искать")</f>
        <v/>
      </c>
      <c r="N4206" s="3" t="n"/>
      <c r="O4206" s="2" t="n"/>
      <c r="P4206" s="2" t="n"/>
    </row>
    <row r="4207">
      <c r="A4207" s="2" t="n">
        <v>4206</v>
      </c>
      <c r="B4207" s="2" t="inlineStr">
        <is>
          <t>короткая</t>
        </is>
      </c>
      <c r="C4207" s="2" t="n">
        <v>9355</v>
      </c>
      <c r="D4207" s="3" t="inlineStr">
        <is>
          <t>Железный мужчина</t>
        </is>
      </c>
      <c r="E4207" s="2" t="n">
        <v>1991</v>
      </c>
      <c r="F4207" s="2" t="inlineStr">
        <is>
          <t>кинофильм</t>
        </is>
      </c>
      <c r="G4207" s="2" t="n"/>
      <c r="H4207" s="2" t="n">
        <v>120</v>
      </c>
      <c r="I4207" s="2" t="inlineStr"/>
      <c r="J4207" s="2" t="inlineStr"/>
      <c r="K4207" s="3" t="inlineStr">
        <is>
          <t>История о том, как несколько женщин, собравшись в сауне, решили пожалеть одинокую подругу, одолжив ей мужа одной из них.</t>
        </is>
      </c>
      <c r="L4207" s="2" t="inlineStr">
        <is>
          <t>Кино_СССР сводный каталог.xlsx: список фильмов (доп.)</t>
        </is>
      </c>
      <c r="M4207" s="2">
        <f>HYPERLINK("https://ru.wikipedia.org/w/index.php?search=%D0%96%D0%B5%D0%BB%D0%B5%D0%B7%D0%BD%D1%8B%D0%B9%20%D0%BC%D1%83%D0%B6%D1%87%D0%B8%D0%BD%D0%B0%201991%20%D1%84%D0%B8%D0%BB%D1%8C%D0%BC","искать")</f>
        <v/>
      </c>
      <c r="N4207" s="3" t="n"/>
      <c r="O4207" s="2" t="n"/>
      <c r="P4207" s="2" t="n"/>
    </row>
    <row r="4208">
      <c r="A4208" s="2" t="n">
        <v>4207</v>
      </c>
      <c r="B4208" s="2" t="inlineStr">
        <is>
          <t>короткая</t>
        </is>
      </c>
      <c r="C4208" s="2" t="n">
        <v>9927</v>
      </c>
      <c r="D4208" s="3" t="inlineStr">
        <is>
          <t>Лакумы по-чегемски</t>
        </is>
      </c>
      <c r="E4208" s="2" t="n">
        <v>1977</v>
      </c>
      <c r="F4208" s="2" t="inlineStr">
        <is>
          <t>телефильм</t>
        </is>
      </c>
      <c r="G4208" s="2" t="inlineStr">
        <is>
          <t>Северо-Осетинская и Кабардино-Балкарская студии телевидения</t>
        </is>
      </c>
      <c r="H4208" s="2" t="n">
        <v>120</v>
      </c>
      <c r="I4208" s="2" t="inlineStr"/>
      <c r="J4208" s="2" t="inlineStr"/>
      <c r="K4208" s="3" t="inlineStr">
        <is>
          <t>Современный вариант рассказа О.Генри "Пимиентские блинчики".
События фильма происходят в наше время на Северном Кавказе.</t>
        </is>
      </c>
      <c r="L4208" s="2" t="inlineStr">
        <is>
          <t>https://www.kino-teatr.ru/short/movie/sov/81011/annot/</t>
        </is>
      </c>
      <c r="M4208" s="2">
        <f>HYPERLINK("https://ru.wikipedia.org/w/index.php?search=%D0%9B%D0%B0%D0%BA%D1%83%D0%BC%D1%8B%20%D0%BF%D0%BE-%D1%87%D0%B5%D0%B3%D0%B5%D0%BC%D1%81%D0%BA%D0%B8%201977%20%D1%84%D0%B8%D0%BB%D1%8C%D0%BC","искать")</f>
        <v/>
      </c>
      <c r="N4208" s="3" t="n"/>
      <c r="O4208" s="2" t="n"/>
      <c r="P4208" s="2" t="n"/>
    </row>
    <row r="4209">
      <c r="A4209" s="2" t="n">
        <v>4208</v>
      </c>
      <c r="B4209" s="2" t="inlineStr">
        <is>
          <t>короткая</t>
        </is>
      </c>
      <c r="C4209" s="2" t="n">
        <v>9943</v>
      </c>
      <c r="D4209" s="3" t="inlineStr">
        <is>
          <t>Мишка-телепат</t>
        </is>
      </c>
      <c r="E4209" s="2" t="n">
        <v>1979</v>
      </c>
      <c r="F4209" s="2" t="inlineStr">
        <is>
          <t>телефильм</t>
        </is>
      </c>
      <c r="G4209" s="2" t="inlineStr">
        <is>
          <t>Узбектелефильм</t>
        </is>
      </c>
      <c r="H4209" s="2" t="n">
        <v>120</v>
      </c>
      <c r="I4209" s="2" t="inlineStr"/>
      <c r="J4209" s="2" t="inlineStr"/>
      <c r="K4209" s="3" t="inlineStr">
        <is>
          <t>По одноименному рассказу В.Барабаша.
О забавных приключениях Мишки, Шавката и Улубека из 6 "А" класса Ташкентской школы.</t>
        </is>
      </c>
      <c r="L4209" s="2" t="inlineStr">
        <is>
          <t>https://www.kino-teatr.ru/short/movie/sov/92667/annot/</t>
        </is>
      </c>
      <c r="M4209" s="2">
        <f>HYPERLINK("https://ru.wikipedia.org/w/index.php?search=%D0%9C%D0%B8%D1%88%D0%BA%D0%B0-%D1%82%D0%B5%D0%BB%D0%B5%D0%BF%D0%B0%D1%82%201979%20%D1%84%D0%B8%D0%BB%D1%8C%D0%BC","искать")</f>
        <v/>
      </c>
      <c r="N4209" s="3" t="n"/>
      <c r="O4209" s="2" t="n"/>
      <c r="P4209" s="2" t="n"/>
    </row>
    <row r="4210">
      <c r="A4210" s="2" t="n">
        <v>4209</v>
      </c>
      <c r="B4210" s="2" t="inlineStr">
        <is>
          <t>короткая</t>
        </is>
      </c>
      <c r="C4210" s="2" t="n">
        <v>11409</v>
      </c>
      <c r="D4210" s="3" t="inlineStr">
        <is>
          <t>Бабушкин козлик. Сказка для взрослых</t>
        </is>
      </c>
      <c r="E4210" s="2" t="n">
        <v>1963</v>
      </c>
      <c r="F4210" s="2" t="inlineStr">
        <is>
          <t>мультфильм</t>
        </is>
      </c>
      <c r="G4210" s="2" t="inlineStr">
        <is>
          <t>Союзмультфильм</t>
        </is>
      </c>
      <c r="H4210" s="2" t="n">
        <v>120</v>
      </c>
      <c r="I4210" s="2" t="inlineStr"/>
      <c r="J4210" s="2" t="inlineStr"/>
      <c r="K4210" s="3" t="inlineStr">
        <is>
          <t>Для взрослых. Сюжет песенки о непослушном сереньком козлике
напомнает взрослым о том, как опасно во всем потакать детям.</t>
        </is>
      </c>
      <c r="L4210" s="2" t="inlineStr">
        <is>
          <t>https://animator.ru/db/?p=show_film&amp;fid=2116</t>
        </is>
      </c>
      <c r="M4210" s="2">
        <f>HYPERLINK("https://ru.wikipedia.org/w/index.php?search=%D0%91%D0%B0%D0%B1%D1%83%D1%88%D0%BA%D0%B8%D0%BD%20%D0%BA%D0%BE%D0%B7%D0%BB%D0%B8%D0%BA.%20%D0%A1%D0%BA%D0%B0%D0%B7%D0%BA%D0%B0%20%D0%B4%D0%BB%D1%8F%20%D0%B2%D0%B7%D1%80%D0%BE%D1%81%D0%BB%D1%8B%D1%85%201963%20%D1%84%D0%B8%D0%BB%D1%8C%D0%BC","искать")</f>
        <v/>
      </c>
      <c r="N4210" s="3" t="n"/>
      <c r="O4210" s="2" t="n"/>
      <c r="P4210" s="2" t="n"/>
    </row>
    <row r="4211">
      <c r="A4211" s="2" t="n">
        <v>4210</v>
      </c>
      <c r="B4211" s="2" t="inlineStr">
        <is>
          <t>короткая</t>
        </is>
      </c>
      <c r="C4211" s="2" t="n">
        <v>8246</v>
      </c>
      <c r="D4211" s="3" t="inlineStr">
        <is>
          <t>Пусть цветёт иван-чай</t>
        </is>
      </c>
      <c r="E4211" s="2" t="n">
        <v>1984</v>
      </c>
      <c r="F4211" s="2" t="inlineStr">
        <is>
          <t>телефильм</t>
        </is>
      </c>
      <c r="G4211" s="2" t="n"/>
      <c r="H4211" s="2" t="n">
        <v>121</v>
      </c>
      <c r="I4211" s="2" t="inlineStr"/>
      <c r="J4211" s="2" t="inlineStr"/>
      <c r="K4211" s="3" t="inlineStr">
        <is>
          <t>Трогательная история о дружбе ребят, которые помогают встретиться после почти полувековой разлуки двум одиноким старикам.</t>
        </is>
      </c>
      <c r="L4211" s="2" t="inlineStr">
        <is>
          <t>Кино_СССР сводный каталог.xlsx: список телефильмов</t>
        </is>
      </c>
      <c r="M4211" s="2">
        <f>HYPERLINK("https://ru.wikipedia.org/w/index.php?search=%D0%9F%D1%83%D1%81%D1%82%D1%8C%20%D1%86%D0%B2%D0%B5%D1%82%D1%91%D1%82%20%D0%B8%D0%B2%D0%B0%D0%BD-%D1%87%D0%B0%D0%B9%201984%20%D1%84%D0%B8%D0%BB%D1%8C%D0%BC","искать")</f>
        <v/>
      </c>
      <c r="N4211" s="3" t="n"/>
      <c r="O4211" s="2" t="n"/>
      <c r="P4211" s="2" t="n"/>
    </row>
    <row r="4212">
      <c r="A4212" s="2" t="n">
        <v>4211</v>
      </c>
      <c r="B4212" s="2" t="inlineStr">
        <is>
          <t>короткая</t>
        </is>
      </c>
      <c r="C4212" s="2" t="n">
        <v>9974</v>
      </c>
      <c r="D4212" s="3" t="inlineStr">
        <is>
          <t>Разговор</t>
        </is>
      </c>
      <c r="E4212" s="2" t="n">
        <v>1981</v>
      </c>
      <c r="F4212" s="2" t="inlineStr">
        <is>
          <t>телефильм</t>
        </is>
      </c>
      <c r="G4212" s="2" t="n"/>
      <c r="H4212" s="2" t="n">
        <v>121</v>
      </c>
      <c r="I4212" s="2" t="inlineStr"/>
      <c r="J4212" s="2" t="inlineStr"/>
      <c r="K4212" s="3" t="inlineStr">
        <is>
          <t>Девушка пришла поделиться с любимым важной новостью, но по телевизору идёт трансляция очень интересного хоккейного матча.</t>
        </is>
      </c>
      <c r="L4212" s="2" t="inlineStr">
        <is>
          <t>https://www.kino-teatr.ru/short/movie/sov/190626/annot/</t>
        </is>
      </c>
      <c r="M4212" s="2">
        <f>HYPERLINK("https://ru.wikipedia.org/w/index.php?search=%D0%A0%D0%B0%D0%B7%D0%B3%D0%BE%D0%B2%D0%BE%D1%80%201981%20%D1%84%D0%B8%D0%BB%D1%8C%D0%BC","искать")</f>
        <v/>
      </c>
      <c r="N4212" s="3" t="n"/>
      <c r="O4212" s="2" t="n"/>
      <c r="P4212" s="2" t="n"/>
    </row>
    <row r="4213">
      <c r="A4213" s="2" t="n">
        <v>4212</v>
      </c>
      <c r="B4213" s="2" t="inlineStr">
        <is>
          <t>короткая</t>
        </is>
      </c>
      <c r="C4213" s="2" t="n">
        <v>13256</v>
      </c>
      <c r="D4213" s="3" t="inlineStr">
        <is>
          <t>Простаки</t>
        </is>
      </c>
      <c r="E4213" s="2" t="n">
        <v>1974</v>
      </c>
      <c r="F4213" s="2" t="inlineStr">
        <is>
          <t>мультфильм</t>
        </is>
      </c>
      <c r="G4213" s="2" t="inlineStr">
        <is>
          <t>ТАЛЛИННФИЛЬМ</t>
        </is>
      </c>
      <c r="H4213" s="2" t="n">
        <v>121</v>
      </c>
      <c r="I4213" s="2" t="inlineStr"/>
      <c r="J4213" s="2" t="inlineStr"/>
      <c r="K4213" s="3" t="inlineStr">
        <is>
          <t>Мультфильм по сказке эстонского писателя Фридриха Крейцвальда о глупых селянах, постоянно попадающих в смешное положение.</t>
        </is>
      </c>
      <c r="L4213" s="2" t="inlineStr">
        <is>
          <t>2026-10_мультфильмы_список_владельца.xlsx; https://animator.ru/db/?p=show_film&amp;fid=4506</t>
        </is>
      </c>
      <c r="M4213" s="2">
        <f>HYPERLINK("https://ru.wikipedia.org/w/index.php?search=%D0%9F%D1%80%D0%BE%D1%81%D1%82%D0%B0%D0%BA%D0%B8%201974%20%D1%84%D0%B8%D0%BB%D1%8C%D0%BC","искать")</f>
        <v/>
      </c>
      <c r="N4213" s="3" t="n"/>
      <c r="O4213" s="2" t="n"/>
      <c r="P4213" s="2" t="n"/>
    </row>
    <row r="4214">
      <c r="A4214" s="2" t="n">
        <v>4213</v>
      </c>
      <c r="B4214" s="2" t="inlineStr">
        <is>
          <t>короткая</t>
        </is>
      </c>
      <c r="C4214" s="2" t="n">
        <v>13531</v>
      </c>
      <c r="D4214" s="3" t="inlineStr">
        <is>
          <t>Упущенная галактика</t>
        </is>
      </c>
      <c r="E4214" s="2" t="n">
        <v>1989</v>
      </c>
      <c r="F4214" s="2" t="inlineStr">
        <is>
          <t>мультфильм</t>
        </is>
      </c>
      <c r="G4214" s="2" t="inlineStr">
        <is>
          <t>ЭКРАН</t>
        </is>
      </c>
      <c r="H4214" s="2" t="n">
        <v>121</v>
      </c>
      <c r="I4214" s="2" t="inlineStr"/>
      <c r="J4214" s="2" t="inlineStr"/>
      <c r="K4214" s="3" t="inlineStr">
        <is>
          <t>По одноименному рассказу Е.Шатько об инопланетянине, напрасно пытающемся установить контакт с учеными Земли. Для взрослых</t>
        </is>
      </c>
      <c r="L4214" s="2" t="inlineStr">
        <is>
          <t>https://animator.ru/db/?p=show_film&amp;fid=4850</t>
        </is>
      </c>
      <c r="M4214" s="2">
        <f>HYPERLINK("https://ru.wikipedia.org/w/index.php?search=%D0%A3%D0%BF%D1%83%D1%89%D0%B5%D0%BD%D0%BD%D0%B0%D1%8F%20%D0%B3%D0%B0%D0%BB%D0%B0%D0%BA%D1%82%D0%B8%D0%BA%D0%B0%201989%20%D1%84%D0%B8%D0%BB%D1%8C%D0%BC","искать")</f>
        <v/>
      </c>
      <c r="N4214" s="3" t="n"/>
      <c r="O4214" s="2" t="n"/>
      <c r="P4214" s="2" t="n"/>
    </row>
    <row r="4215">
      <c r="A4215" s="2" t="n">
        <v>4214</v>
      </c>
      <c r="B4215" s="2" t="inlineStr">
        <is>
          <t>короткая</t>
        </is>
      </c>
      <c r="C4215" s="2" t="n">
        <v>14055</v>
      </c>
      <c r="D4215" s="3" t="inlineStr">
        <is>
          <t>Про Джыртдана "великана" (ч. 2)</t>
        </is>
      </c>
      <c r="E4215" s="2" t="n">
        <v>1983</v>
      </c>
      <c r="F4215" s="2" t="inlineStr">
        <is>
          <t>мультфильм</t>
        </is>
      </c>
      <c r="G4215" s="2" t="inlineStr">
        <is>
          <t>АЗЕРБАЙДЖАНФИЛЬМ</t>
        </is>
      </c>
      <c r="H4215" s="2" t="n">
        <v>121</v>
      </c>
      <c r="I4215" s="2" t="inlineStr"/>
      <c r="J4215" s="2" t="inlineStr"/>
      <c r="K4215" s="3" t="inlineStr">
        <is>
          <t>О веселых проделках героя азербайджанских народных сказок находчивого маленького мальчика по прозвищу Джыртдан "великан".</t>
        </is>
      </c>
      <c r="L4215" s="2" t="inlineStr">
        <is>
          <t>2026-10_мультфильмы_список_владельца.xlsx; https://animator.ru/db/?p=show_film&amp;fid=5451</t>
        </is>
      </c>
      <c r="M4215" s="2">
        <f>HYPERLINK("https://ru.wikipedia.org/w/index.php?search=%D0%9F%D1%80%D0%BE%20%D0%94%D0%B6%D1%8B%D1%80%D1%82%D0%B4%D0%B0%D0%BD%D0%B0%20%22%D0%B2%D0%B5%D0%BB%D0%B8%D0%BA%D0%B0%D0%BD%D0%B0%22%20%28%D1%87.%202%29%201983%20%D1%84%D0%B8%D0%BB%D1%8C%D0%BC","искать")</f>
        <v/>
      </c>
      <c r="N4215" s="3" t="n"/>
      <c r="O4215" s="2" t="n"/>
      <c r="P4215" s="2" t="n"/>
    </row>
    <row r="4216">
      <c r="A4216" s="2" t="n">
        <v>4215</v>
      </c>
      <c r="B4216" s="2" t="inlineStr">
        <is>
          <t>короткая</t>
        </is>
      </c>
      <c r="C4216" s="2" t="n">
        <v>7575</v>
      </c>
      <c r="D4216" s="3" t="inlineStr">
        <is>
          <t>Если любишь...</t>
        </is>
      </c>
      <c r="E4216" s="2" t="n">
        <v>1982</v>
      </c>
      <c r="F4216" s="2" t="inlineStr">
        <is>
          <t>телефильм</t>
        </is>
      </c>
      <c r="G4216" s="2" t="n"/>
      <c r="H4216" s="2" t="n">
        <v>122</v>
      </c>
      <c r="I4216" s="2" t="inlineStr"/>
      <c r="J4216" s="2" t="inlineStr"/>
      <c r="K4216" s="3" t="inlineStr">
        <is>
          <t>Телефильм. Судьба главного героя фильма складывалась вполне благополучно, но случайная встреча круто меняет всю его жизнь.</t>
        </is>
      </c>
      <c r="L4216" s="2" t="inlineStr">
        <is>
          <t>Кино_СССР сводный каталог.xlsx: список телефильмов</t>
        </is>
      </c>
      <c r="M4216" s="2">
        <f>HYPERLINK("https://ru.wikipedia.org/w/index.php?search=%D0%95%D1%81%D0%BB%D0%B8%20%D0%BB%D1%8E%D0%B1%D0%B8%D1%88%D1%8C...%201982%20%D1%84%D0%B8%D0%BB%D1%8C%D0%BC","искать")</f>
        <v/>
      </c>
      <c r="N4216" s="3" t="n"/>
      <c r="O4216" s="2" t="n"/>
      <c r="P4216" s="2" t="n"/>
    </row>
    <row r="4217">
      <c r="A4217" s="2" t="n">
        <v>4216</v>
      </c>
      <c r="B4217" s="2" t="inlineStr">
        <is>
          <t>короткая</t>
        </is>
      </c>
      <c r="C4217" s="2" t="n">
        <v>8852</v>
      </c>
      <c r="D4217" s="3" t="inlineStr">
        <is>
          <t>Мумия в наколках</t>
        </is>
      </c>
      <c r="E4217" s="2" t="n">
        <v>1991</v>
      </c>
      <c r="F4217" s="2" t="inlineStr">
        <is>
          <t>кинофильм</t>
        </is>
      </c>
      <c r="G4217" s="2" t="n"/>
      <c r="H4217" s="2" t="n">
        <v>122</v>
      </c>
      <c r="I4217" s="2" t="inlineStr"/>
      <c r="J4217" s="2" t="inlineStr"/>
      <c r="K4217" s="3" t="inlineStr">
        <is>
          <t>У «погоревшего» кооператива ритуальных услуг был оставлен невостребованный труп, оживший в результате опытов экстрасенсов.</t>
        </is>
      </c>
      <c r="L4217" s="2" t="inlineStr">
        <is>
          <t>Кино_СССР сводный каталог.xlsx: список фильмов (доп.)</t>
        </is>
      </c>
      <c r="M4217" s="2">
        <f>HYPERLINK("https://ru.wikipedia.org/w/index.php?search=%D0%9C%D1%83%D0%BC%D0%B8%D1%8F%20%D0%B2%20%D0%BD%D0%B0%D0%BA%D0%BE%D0%BB%D0%BA%D0%B0%D1%85%201991%20%D1%84%D0%B8%D0%BB%D1%8C%D0%BC","искать")</f>
        <v/>
      </c>
      <c r="N4217" s="3" t="n"/>
      <c r="O4217" s="2" t="n"/>
      <c r="P4217" s="2" t="n"/>
    </row>
    <row r="4218">
      <c r="A4218" s="2" t="n">
        <v>4217</v>
      </c>
      <c r="B4218" s="2" t="inlineStr">
        <is>
          <t>короткая</t>
        </is>
      </c>
      <c r="C4218" s="2" t="n">
        <v>9914</v>
      </c>
      <c r="D4218" s="3" t="inlineStr">
        <is>
          <t>Пассажир</t>
        </is>
      </c>
      <c r="E4218" s="2" t="n">
        <v>1975</v>
      </c>
      <c r="F4218" s="2" t="inlineStr">
        <is>
          <t>телефильм</t>
        </is>
      </c>
      <c r="G4218" s="2" t="inlineStr">
        <is>
          <t>Новосибирская студия телевидения</t>
        </is>
      </c>
      <c r="H4218" s="2" t="n">
        <v>122</v>
      </c>
      <c r="I4218" s="2" t="inlineStr"/>
      <c r="J4218" s="2" t="inlineStr"/>
      <c r="K4218" s="3" t="inlineStr">
        <is>
          <t>По мотивам рассказа И.Назарова "Быль великой реки".
Юноша Игорь во время аварии на барже не растерялся и проявил мужество.</t>
        </is>
      </c>
      <c r="L4218" s="2" t="inlineStr">
        <is>
          <t>https://www.kino-teatr.ru/short/movie/sov/92658/annot/</t>
        </is>
      </c>
      <c r="M4218" s="2">
        <f>HYPERLINK("https://ru.wikipedia.org/w/index.php?search=%D0%9F%D0%B0%D1%81%D1%81%D0%B0%D0%B6%D0%B8%D1%80%201975%20%D1%84%D0%B8%D0%BB%D1%8C%D0%BC","искать")</f>
        <v/>
      </c>
      <c r="N4218" s="3" t="n"/>
      <c r="O4218" s="2" t="n"/>
      <c r="P4218" s="2" t="n"/>
    </row>
    <row r="4219">
      <c r="A4219" s="2" t="n">
        <v>4218</v>
      </c>
      <c r="B4219" s="2" t="inlineStr">
        <is>
          <t>короткая</t>
        </is>
      </c>
      <c r="C4219" s="2" t="n">
        <v>8558</v>
      </c>
      <c r="D4219" s="3" t="inlineStr">
        <is>
          <t>Четверка по пению</t>
        </is>
      </c>
      <c r="E4219" s="2" t="n">
        <v>1973</v>
      </c>
      <c r="F4219" s="2" t="inlineStr">
        <is>
          <t>телефильм</t>
        </is>
      </c>
      <c r="G4219" s="2" t="n"/>
      <c r="H4219" s="2" t="n">
        <v>123</v>
      </c>
      <c r="I4219" s="2" t="inlineStr"/>
      <c r="J4219" s="2" t="inlineStr"/>
      <c r="K4219" s="3" t="inlineStr">
        <is>
          <t>Телефильм об увлекательном путешествии по родному краю школьника Ермека, поехавшего во время летних каникул в гости к дяде.</t>
        </is>
      </c>
      <c r="L4219" s="2" t="inlineStr">
        <is>
          <t>Кино_СССР сводный каталог.xlsx: список телефильмов</t>
        </is>
      </c>
      <c r="M4219" s="2">
        <f>HYPERLINK("https://ru.wikipedia.org/w/index.php?search=%D0%A7%D0%B5%D1%82%D0%B2%D0%B5%D1%80%D0%BA%D0%B0%20%D0%BF%D0%BE%20%D0%BF%D0%B5%D0%BD%D0%B8%D1%8E%201973%20%D1%84%D0%B8%D0%BB%D1%8C%D0%BC","искать")</f>
        <v/>
      </c>
      <c r="N4219" s="3" t="n"/>
      <c r="O4219" s="2" t="n"/>
      <c r="P4219" s="2" t="n"/>
    </row>
    <row r="4220">
      <c r="A4220" s="2" t="n">
        <v>4219</v>
      </c>
      <c r="B4220" s="2" t="inlineStr">
        <is>
          <t>короткая</t>
        </is>
      </c>
      <c r="C4220" s="2" t="n">
        <v>9865</v>
      </c>
      <c r="D4220" s="3" t="inlineStr">
        <is>
          <t>Фанос-неудачник</t>
        </is>
      </c>
      <c r="E4220" s="2" t="n">
        <v>1969</v>
      </c>
      <c r="F4220" s="2" t="inlineStr">
        <is>
          <t>кинофильм</t>
        </is>
      </c>
      <c r="G4220" s="2" t="inlineStr">
        <is>
          <t>кинообъединение “Ереван” Ер.СТ</t>
        </is>
      </c>
      <c r="H4220" s="2" t="n">
        <v>123</v>
      </c>
      <c r="I4220" s="2" t="inlineStr"/>
      <c r="J4220" s="2" t="inlineStr"/>
      <c r="K4220" s="3" t="inlineStr">
        <is>
          <t>Ձախորդ Փանոսը
По одноименной сказке Ованеса Туманяна.
Все, что бы ни предпринял неудачник Панос, оборачивается против него.</t>
        </is>
      </c>
      <c r="L4220" s="2" t="inlineStr">
        <is>
          <t>https://www.kino-teatr.ru/short/movie/sov/85497/annot/</t>
        </is>
      </c>
      <c r="M4220" s="2">
        <f>HYPERLINK("https://ru.wikipedia.org/w/index.php?search=%D0%A4%D0%B0%D0%BD%D0%BE%D1%81-%D0%BD%D0%B5%D1%83%D0%B4%D0%B0%D1%87%D0%BD%D0%B8%D0%BA%201969%20%D1%84%D0%B8%D0%BB%D1%8C%D0%BC","искать")</f>
        <v/>
      </c>
      <c r="N4220" s="3" t="n"/>
      <c r="O4220" s="2" t="n"/>
      <c r="P4220" s="2" t="n"/>
    </row>
    <row r="4221">
      <c r="A4221" s="2" t="n">
        <v>4220</v>
      </c>
      <c r="B4221" s="2" t="inlineStr">
        <is>
          <t>короткая</t>
        </is>
      </c>
      <c r="C4221" s="2" t="n">
        <v>12881</v>
      </c>
      <c r="D4221" s="3" t="inlineStr">
        <is>
          <t>Человечки</t>
        </is>
      </c>
      <c r="E4221" s="2" t="n">
        <v>1978</v>
      </c>
      <c r="F4221" s="2" t="inlineStr">
        <is>
          <t>мультфильм</t>
        </is>
      </c>
      <c r="G4221" s="2" t="inlineStr">
        <is>
          <t>ГРУЗИЯ-ФИЛЬМ - АО</t>
        </is>
      </c>
      <c r="H4221" s="2" t="n">
        <v>123</v>
      </c>
      <c r="I4221" s="2" t="inlineStr"/>
      <c r="J4221" s="2" t="inlineStr"/>
      <c r="K4221" s="3" t="inlineStr">
        <is>
          <t>Два юмористических сюжета: о человеке, коорый рубит сук, на котором сидит и о том, что мир всегда лучше ссоры. Для взрослых</t>
        </is>
      </c>
      <c r="L4221" s="2" t="inlineStr">
        <is>
          <t>https://animator.ru/db/?p=show_film&amp;fid=4111</t>
        </is>
      </c>
      <c r="M4221" s="2">
        <f>HYPERLINK("https://ru.wikipedia.org/w/index.php?search=%D0%A7%D0%B5%D0%BB%D0%BE%D0%B2%D0%B5%D1%87%D0%BA%D0%B8%201978%20%D1%84%D0%B8%D0%BB%D1%8C%D0%BC","искать")</f>
        <v/>
      </c>
      <c r="N4221" s="3" t="n"/>
      <c r="O4221" s="2" t="n"/>
      <c r="P4221" s="2" t="n"/>
    </row>
    <row r="4222">
      <c r="A4222" s="2" t="n">
        <v>4221</v>
      </c>
      <c r="B4222" s="2" t="inlineStr">
        <is>
          <t>короткая</t>
        </is>
      </c>
      <c r="C4222" s="2" t="n">
        <v>13407</v>
      </c>
      <c r="D4222" s="3" t="inlineStr">
        <is>
          <t>Дядюшка Ау</t>
        </is>
      </c>
      <c r="E4222" s="2" t="n">
        <v>1979</v>
      </c>
      <c r="F4222" s="2" t="inlineStr">
        <is>
          <t>мультфильм</t>
        </is>
      </c>
      <c r="G4222" s="2" t="inlineStr">
        <is>
          <t>СОЮЗТЕЛЕФИЛЬМ</t>
        </is>
      </c>
      <c r="H4222" s="2" t="n">
        <v>123</v>
      </c>
      <c r="I4222" s="2" t="inlineStr"/>
      <c r="J4222" s="2" t="inlineStr"/>
      <c r="K4222" s="3" t="inlineStr">
        <is>
          <t>Первый фильм из серии о волшебном лесном человечке Ау и его приключениях среди людей . По сказке финского писателя Х.Мякеля</t>
        </is>
      </c>
      <c r="L4222" s="2" t="inlineStr">
        <is>
          <t>2026-10_мультфильмы_список_владельца.xlsx; https://animator.ru/db/?p=show_film&amp;fid=4687</t>
        </is>
      </c>
      <c r="M4222" s="2">
        <f>HYPERLINK("https://ru.wikipedia.org/w/index.php?search=%D0%94%D1%8F%D0%B4%D1%8E%D1%88%D0%BA%D0%B0%20%D0%90%D1%83%201979%20%D1%84%D0%B8%D0%BB%D1%8C%D0%BC","искать")</f>
        <v/>
      </c>
      <c r="N4222" s="3" t="n"/>
      <c r="O4222" s="2" t="n"/>
      <c r="P4222" s="2" t="n"/>
    </row>
    <row r="4223">
      <c r="A4223" s="2" t="n">
        <v>4222</v>
      </c>
      <c r="B4223" s="2" t="inlineStr">
        <is>
          <t>короткая</t>
        </is>
      </c>
      <c r="C4223" s="2" t="n">
        <v>13982</v>
      </c>
      <c r="D4223" s="3" t="inlineStr">
        <is>
          <t>Приключения поросенка Фунтика. 2. Фунтик и сыщики</t>
        </is>
      </c>
      <c r="E4223" s="2" t="n">
        <v>1986</v>
      </c>
      <c r="F4223" s="2" t="inlineStr">
        <is>
          <t>мультфильм</t>
        </is>
      </c>
      <c r="G4223" s="2" t="inlineStr">
        <is>
          <t>ЭКРАН</t>
        </is>
      </c>
      <c r="H4223" s="2" t="n">
        <v>123</v>
      </c>
      <c r="I4223" s="2" t="inlineStr"/>
      <c r="J4223" s="2" t="inlineStr"/>
      <c r="K4223" s="3" t="inlineStr">
        <is>
          <t>Беладонна нанимает сыщиков для поимки сбежавшего поросенка— Нюхни, нюхни, у тебя денежки есть?— Нет...— Вынюхни, вынюхни!!!</t>
        </is>
      </c>
      <c r="L4223" s="2" t="inlineStr">
        <is>
          <t>2026-10_мультфильмы_список_владельца.xlsx; https://animator.ru/db/?p=show_film&amp;fid=5376</t>
        </is>
      </c>
      <c r="M4223" s="2">
        <f>HYPERLINK("https://ru.wikipedia.org/w/index.php?search=%D0%9F%D1%80%D0%B8%D0%BA%D0%BB%D1%8E%D1%87%D0%B5%D0%BD%D0%B8%D1%8F%20%D0%BF%D0%BE%D1%80%D0%BE%D1%81%D0%B5%D0%BD%D0%BA%D0%B0%20%D0%A4%D1%83%D0%BD%D1%82%D0%B8%D0%BA%D0%B0.%202.%20%D0%A4%D1%83%D0%BD%D1%82%D0%B8%D0%BA%20%D0%B8%20%D1%81%D1%8B%D1%89%D0%B8%D0%BA%D0%B8%201986%20%D1%84%D0%B8%D0%BB%D1%8C%D0%BC","искать")</f>
        <v/>
      </c>
      <c r="N4223" s="3" t="n"/>
      <c r="O4223" s="2" t="n"/>
      <c r="P4223" s="2" t="n"/>
    </row>
    <row r="4224">
      <c r="A4224" s="2" t="n">
        <v>4223</v>
      </c>
      <c r="B4224" s="2" t="inlineStr">
        <is>
          <t>короткая</t>
        </is>
      </c>
      <c r="C4224" s="2" t="n">
        <v>7446</v>
      </c>
      <c r="D4224" s="3" t="inlineStr">
        <is>
          <t>Голубой лев</t>
        </is>
      </c>
      <c r="E4224" s="2" t="n">
        <v>1979</v>
      </c>
      <c r="F4224" s="2" t="inlineStr">
        <is>
          <t>телефильм</t>
        </is>
      </c>
      <c r="G4224" s="2" t="inlineStr">
        <is>
          <t>Арменфильм</t>
        </is>
      </c>
      <c r="H4224" s="2" t="n">
        <v>124</v>
      </c>
      <c r="I4224" s="2" t="inlineStr"/>
      <c r="J4224" s="2" t="inlineStr"/>
      <c r="K4224" s="3" t="inlineStr">
        <is>
          <t>Двое преступников решили украсть редчайшую почтовую марку. Но в квартире оказался человек, который становится их заложником.</t>
        </is>
      </c>
      <c r="L4224" s="2" t="inlineStr">
        <is>
          <t>Кино_СССР сводный каталог.xlsx: список телефильмов</t>
        </is>
      </c>
      <c r="M4224" s="2">
        <f>HYPERLINK("https://ru.wikipedia.org/w/index.php?search=%D0%93%D0%BE%D0%BB%D1%83%D0%B1%D0%BE%D0%B9%20%D0%BB%D0%B5%D0%B2%201979%20%D1%84%D0%B8%D0%BB%D1%8C%D0%BC","искать")</f>
        <v/>
      </c>
      <c r="N4224" s="3" t="n"/>
      <c r="O4224" s="2" t="n"/>
      <c r="P4224" s="2" t="n"/>
    </row>
    <row r="4225">
      <c r="A4225" s="2" t="n">
        <v>4224</v>
      </c>
      <c r="B4225" s="2" t="inlineStr">
        <is>
          <t>короткая</t>
        </is>
      </c>
      <c r="C4225" s="2" t="n">
        <v>9915</v>
      </c>
      <c r="D4225" s="3" t="inlineStr">
        <is>
          <t>Птичье молоко</t>
        </is>
      </c>
      <c r="E4225" s="2" t="n">
        <v>1975</v>
      </c>
      <c r="F4225" s="2" t="inlineStr">
        <is>
          <t>телефильм</t>
        </is>
      </c>
      <c r="G4225" s="2" t="inlineStr">
        <is>
          <t>Грузия-фильм по заказу государственного комитета Совета Министров СССР по телевидению и радиовещанию</t>
        </is>
      </c>
      <c r="H4225" s="2" t="n">
        <v>124</v>
      </c>
      <c r="I4225" s="2" t="inlineStr"/>
      <c r="J4225" s="2" t="inlineStr"/>
      <c r="K4225" s="3" t="inlineStr">
        <is>
          <t>Телефильм по мотивам грузинских народных сказок. Герой фильма - добрый и храбрый мальчик, помогающий людям бороться со злом.</t>
        </is>
      </c>
      <c r="L4225" s="2" t="inlineStr">
        <is>
          <t>https://www.kino-teatr.ru/short/movie/sov/37669/annot/</t>
        </is>
      </c>
      <c r="M4225" s="2">
        <f>HYPERLINK("https://ru.wikipedia.org/w/index.php?search=%D0%9F%D1%82%D0%B8%D1%87%D1%8C%D0%B5%20%D0%BC%D0%BE%D0%BB%D0%BE%D0%BA%D0%BE%201975%20%D1%84%D0%B8%D0%BB%D1%8C%D0%BC","искать")</f>
        <v/>
      </c>
      <c r="N4225" s="3" t="n"/>
      <c r="O4225" s="2" t="n"/>
      <c r="P4225" s="2" t="n"/>
    </row>
    <row r="4226">
      <c r="A4226" s="2" t="n">
        <v>4225</v>
      </c>
      <c r="B4226" s="2" t="inlineStr">
        <is>
          <t>короткая</t>
        </is>
      </c>
      <c r="C4226" s="2" t="n">
        <v>10093</v>
      </c>
      <c r="D4226" s="3" t="inlineStr">
        <is>
          <t>Дама с камелиями</t>
        </is>
      </c>
      <c r="E4226" s="2" t="n">
        <v>1962</v>
      </c>
      <c r="F4226" s="2" t="inlineStr">
        <is>
          <t>фильм-спектакль</t>
        </is>
      </c>
      <c r="G4226" s="2" t="inlineStr">
        <is>
          <t>Radiotelevisão Portuguesa (RTP)</t>
        </is>
      </c>
      <c r="H4226" s="2" t="n">
        <v>124</v>
      </c>
      <c r="I4226" s="2" t="inlineStr"/>
      <c r="J4226" s="2" t="inlineStr"/>
      <c r="K4226" s="3" t="inlineStr">
        <is>
          <t>На основе произведения Александра Дюма-сына.
История трагической любви парижской куртизанки Маргариты Готье и Армана Дюваля.</t>
        </is>
      </c>
      <c r="L4226" s="2" t="inlineStr">
        <is>
          <t>https://www.kino-teatr.ru/teatr/movie/130591/annot/</t>
        </is>
      </c>
      <c r="M4226" s="2">
        <f>HYPERLINK("https://ru.wikipedia.org/w/index.php?search=%D0%94%D0%B0%D0%BC%D0%B0%20%D1%81%20%D0%BA%D0%B0%D0%BC%D0%B5%D0%BB%D0%B8%D1%8F%D0%BC%D0%B8%201962%20%D1%84%D0%B8%D0%BB%D1%8C%D0%BC","искать")</f>
        <v/>
      </c>
      <c r="N4226" s="3" t="n"/>
      <c r="O4226" s="2" t="n"/>
      <c r="P4226" s="2" t="n"/>
    </row>
    <row r="4227">
      <c r="A4227" s="2" t="n">
        <v>4226</v>
      </c>
      <c r="B4227" s="2" t="inlineStr">
        <is>
          <t>короткая</t>
        </is>
      </c>
      <c r="C4227" s="2" t="n">
        <v>14447</v>
      </c>
      <c r="D4227" s="3" t="inlineStr">
        <is>
          <t>Факел и балерина</t>
        </is>
      </c>
      <c r="E4227" s="2" t="n">
        <v>1990</v>
      </c>
      <c r="F4227" s="2" t="inlineStr">
        <is>
          <t>мультфильм</t>
        </is>
      </c>
      <c r="G4227" s="2" t="inlineStr">
        <is>
          <t>ПЕРМЬТЕЛЕФИЛЬМ</t>
        </is>
      </c>
      <c r="H4227" s="2" t="n">
        <v>124</v>
      </c>
      <c r="I4227" s="2" t="inlineStr"/>
      <c r="J4227" s="2" t="inlineStr"/>
      <c r="K4227" s="3" t="inlineStr">
        <is>
          <t>По одноименной сказке С.Воронина. О безответной любви Юноши-светильника к Балерине-часам, живущим на одном письменном столе.</t>
        </is>
      </c>
      <c r="L4227" s="2" t="inlineStr">
        <is>
          <t>https://animator.ru/db/?p=show_film&amp;fid=6697</t>
        </is>
      </c>
      <c r="M4227" s="2">
        <f>HYPERLINK("https://ru.wikipedia.org/w/index.php?search=%D0%A4%D0%B0%D0%BA%D0%B5%D0%BB%20%D0%B8%20%D0%B1%D0%B0%D0%BB%D0%B5%D1%80%D0%B8%D0%BD%D0%B0%201990%20%D1%84%D0%B8%D0%BB%D1%8C%D0%BC","искать")</f>
        <v/>
      </c>
      <c r="N4227" s="3" t="n"/>
      <c r="O4227" s="2" t="n"/>
      <c r="P4227" s="2" t="n"/>
    </row>
    <row r="4228">
      <c r="A4228" s="2" t="n">
        <v>4227</v>
      </c>
      <c r="B4228" s="2" t="inlineStr">
        <is>
          <t>короткая</t>
        </is>
      </c>
      <c r="C4228" s="2" t="n">
        <v>9939</v>
      </c>
      <c r="D4228" s="3" t="inlineStr">
        <is>
          <t>Откуда вода течет</t>
        </is>
      </c>
      <c r="E4228" s="2" t="n">
        <v>1978</v>
      </c>
      <c r="F4228" s="2" t="inlineStr">
        <is>
          <t>телефильм</t>
        </is>
      </c>
      <c r="G4228" s="2" t="inlineStr">
        <is>
          <t>Таджиктелефильм</t>
        </is>
      </c>
      <c r="H4228" s="2" t="n">
        <v>125</v>
      </c>
      <c r="I4228" s="2" t="inlineStr"/>
      <c r="J4228" s="2" t="inlineStr"/>
      <c r="K4228" s="3" t="inlineStr">
        <is>
          <t>По одноименной повести А.Шукухи.
О приключениях пятилетних Асада и Пети, когда они решили найти, откуда приходит вода в арык.</t>
        </is>
      </c>
      <c r="L4228" s="2" t="inlineStr">
        <is>
          <t>https://www.kino-teatr.ru/short/movie/sov/92657/annot/</t>
        </is>
      </c>
      <c r="M4228" s="2">
        <f>HYPERLINK("https://ru.wikipedia.org/w/index.php?search=%D0%9E%D1%82%D0%BA%D1%83%D0%B4%D0%B0%20%D0%B2%D0%BE%D0%B4%D0%B0%20%D1%82%D0%B5%D1%87%D0%B5%D1%82%201978%20%D1%84%D0%B8%D0%BB%D1%8C%D0%BC","искать")</f>
        <v/>
      </c>
      <c r="N4228" s="3" t="n"/>
      <c r="O4228" s="2" t="n"/>
      <c r="P4228" s="2" t="n"/>
    </row>
    <row r="4229">
      <c r="A4229" s="2" t="n">
        <v>4228</v>
      </c>
      <c r="B4229" s="2" t="inlineStr">
        <is>
          <t>короткая</t>
        </is>
      </c>
      <c r="C4229" s="2" t="n">
        <v>12238</v>
      </c>
      <c r="D4229" s="3" t="inlineStr">
        <is>
          <t>Доверчивый дракон</t>
        </is>
      </c>
      <c r="E4229" s="2" t="n">
        <v>1988</v>
      </c>
      <c r="F4229" s="2" t="inlineStr">
        <is>
          <t>мультфильм</t>
        </is>
      </c>
      <c r="G4229" s="2" t="inlineStr">
        <is>
          <t>Союзмультфильм</t>
        </is>
      </c>
      <c r="H4229" s="2" t="n">
        <v>125</v>
      </c>
      <c r="I4229" s="2" t="inlineStr"/>
      <c r="J4229" s="2" t="inlineStr"/>
      <c r="K4229" s="3" t="inlineStr">
        <is>
          <t>Современная сказка о том, как появившийся на свет Дракон, встретив к себе хорошее отношение стал милым добродушным существом.</t>
        </is>
      </c>
      <c r="L4229" s="2" t="inlineStr">
        <is>
          <t>https://animator.ru/db/?p=show_film&amp;fid=3355</t>
        </is>
      </c>
      <c r="M4229" s="2">
        <f>HYPERLINK("https://ru.wikipedia.org/w/index.php?search=%D0%94%D0%BE%D0%B2%D0%B5%D1%80%D1%87%D0%B8%D0%B2%D1%8B%D0%B9%20%D0%B4%D1%80%D0%B0%D0%BA%D0%BE%D0%BD%201988%20%D1%84%D0%B8%D0%BB%D1%8C%D0%BC","искать")</f>
        <v/>
      </c>
      <c r="N4229" s="3" t="n"/>
      <c r="O4229" s="2" t="n"/>
      <c r="P4229" s="2" t="n"/>
    </row>
    <row r="4230">
      <c r="A4230" s="2" t="n">
        <v>4229</v>
      </c>
      <c r="B4230" s="2" t="inlineStr">
        <is>
          <t>короткая</t>
        </is>
      </c>
      <c r="C4230" s="2" t="n">
        <v>8146</v>
      </c>
      <c r="D4230" s="3" t="inlineStr">
        <is>
          <t>Поехал поезд в Бульзибар</t>
        </is>
      </c>
      <c r="E4230" s="2" t="n">
        <v>1986</v>
      </c>
      <c r="F4230" s="2" t="inlineStr">
        <is>
          <t>телефильм</t>
        </is>
      </c>
      <c r="G4230" s="2" t="n"/>
      <c r="H4230" s="2" t="n">
        <v>126</v>
      </c>
      <c r="I4230" s="2" t="inlineStr"/>
      <c r="J4230" s="2" t="inlineStr"/>
      <c r="K4230" s="3" t="inlineStr">
        <is>
          <t>Телефильм. Мюзикл о веселом фантастическом путешествии учеников со своим учителем в сказку с приключениями, песнями и танцами.</t>
        </is>
      </c>
      <c r="L4230" s="2" t="inlineStr">
        <is>
          <t>Кино_СССР сводный каталог.xlsx: список телефильмов</t>
        </is>
      </c>
      <c r="M4230" s="2">
        <f>HYPERLINK("https://ru.wikipedia.org/w/index.php?search=%D0%9F%D0%BE%D0%B5%D1%85%D0%B0%D0%BB%20%D0%BF%D0%BE%D0%B5%D0%B7%D0%B4%20%D0%B2%20%D0%91%D1%83%D0%BB%D1%8C%D0%B7%D0%B8%D0%B1%D0%B0%D1%80%201986%20%D1%84%D0%B8%D0%BB%D1%8C%D0%BC","искать")</f>
        <v/>
      </c>
      <c r="N4230" s="3" t="n"/>
      <c r="O4230" s="2" t="n"/>
      <c r="P4230" s="2" t="n"/>
    </row>
    <row r="4231">
      <c r="A4231" s="2" t="n">
        <v>4230</v>
      </c>
      <c r="B4231" s="2" t="inlineStr">
        <is>
          <t>короткая</t>
        </is>
      </c>
      <c r="C4231" s="2" t="n">
        <v>8689</v>
      </c>
      <c r="D4231" s="3" t="inlineStr">
        <is>
          <t>Гюль и Толмаз</t>
        </is>
      </c>
      <c r="E4231" s="2" t="n">
        <v>1929</v>
      </c>
      <c r="F4231" s="2" t="inlineStr">
        <is>
          <t>кинофильм</t>
        </is>
      </c>
      <c r="G4231" s="2" t="n"/>
      <c r="H4231" s="2" t="n">
        <v>126</v>
      </c>
      <c r="I4231" s="2" t="inlineStr"/>
      <c r="J4231" s="2" t="inlineStr"/>
      <c r="K4231" s="3" t="inlineStr">
        <is>
          <t>Драма по мотивам народной легенды. О любви дочери бая к простому пастуху. Картина не была закончена, материалы не сохранились.</t>
        </is>
      </c>
      <c r="L4231" s="2" t="inlineStr">
        <is>
          <t>Кино_СССР сводный каталог.xlsx: список фильмов (доп.)</t>
        </is>
      </c>
      <c r="M4231" s="2">
        <f>HYPERLINK("https://ru.wikipedia.org/w/index.php?search=%D0%93%D1%8E%D0%BB%D1%8C%20%D0%B8%20%D0%A2%D0%BE%D0%BB%D0%BC%D0%B0%D0%B7%201929%20%D1%84%D0%B8%D0%BB%D1%8C%D0%BC","искать")</f>
        <v/>
      </c>
      <c r="N4231" s="3" t="n"/>
      <c r="O4231" s="2" t="n"/>
      <c r="P4231" s="2" t="n"/>
    </row>
    <row r="4232">
      <c r="A4232" s="2" t="n">
        <v>4231</v>
      </c>
      <c r="B4232" s="2" t="inlineStr">
        <is>
          <t>короткая</t>
        </is>
      </c>
      <c r="C4232" s="2" t="n">
        <v>10547</v>
      </c>
      <c r="D4232" s="3" t="inlineStr">
        <is>
          <t>В восемнадцать мальчишеских лет</t>
        </is>
      </c>
      <c r="E4232" s="2" t="n">
        <v>1974</v>
      </c>
      <c r="F4232" s="2" t="inlineStr">
        <is>
          <t>фильм-спектакль</t>
        </is>
      </c>
      <c r="G4232" s="2" t="n"/>
      <c r="H4232" s="2" t="n">
        <v>126</v>
      </c>
      <c r="I4232" s="2" t="inlineStr"/>
      <c r="J4232" s="2" t="inlineStr"/>
      <c r="K4232" s="3" t="inlineStr">
        <is>
          <t>О жизни летчика-истребителя Тимура Фрунзе, героически погибшего в неравном бою с немецко-фашистскими захватчиками под Москвой.</t>
        </is>
      </c>
      <c r="L4232" s="2" t="inlineStr">
        <is>
          <t>https://www.kino-teatr.ru/teatr/movie/81261/annot/</t>
        </is>
      </c>
      <c r="M4232" s="2">
        <f>HYPERLINK("https://ru.wikipedia.org/w/index.php?search=%D0%92%20%D0%B2%D0%BE%D1%81%D0%B5%D0%BC%D0%BD%D0%B0%D0%B4%D1%86%D0%B0%D1%82%D1%8C%20%D0%BC%D0%B0%D0%BB%D1%8C%D1%87%D0%B8%D1%88%D0%B5%D1%81%D0%BA%D0%B8%D1%85%20%D0%BB%D0%B5%D1%82%201974%20%D1%84%D0%B8%D0%BB%D1%8C%D0%BC","искать")</f>
        <v/>
      </c>
      <c r="N4232" s="3" t="n"/>
      <c r="O4232" s="2" t="n"/>
      <c r="P4232" s="2" t="n"/>
    </row>
    <row r="4233">
      <c r="A4233" s="2" t="n">
        <v>4232</v>
      </c>
      <c r="B4233" s="2" t="inlineStr">
        <is>
          <t>короткая</t>
        </is>
      </c>
      <c r="C4233" s="2" t="n">
        <v>11848</v>
      </c>
      <c r="D4233" s="3" t="inlineStr">
        <is>
          <t>Полигон</t>
        </is>
      </c>
      <c r="E4233" s="2" t="n">
        <v>1977</v>
      </c>
      <c r="F4233" s="2" t="inlineStr">
        <is>
          <t>мультфильм</t>
        </is>
      </c>
      <c r="G4233" s="2" t="inlineStr">
        <is>
          <t>Союзмультфильм</t>
        </is>
      </c>
      <c r="H4233" s="2" t="n">
        <v>126</v>
      </c>
      <c r="I4233" s="2" t="inlineStr"/>
      <c r="J4233" s="2" t="inlineStr"/>
      <c r="K4233" s="3" t="inlineStr">
        <is>
          <t>По фантастическому рассказу Севера Гансовского на антивоенную тему. Танк реагировал на страх и однажды восстал против хозяина.</t>
        </is>
      </c>
      <c r="L4233" s="2" t="inlineStr">
        <is>
          <t>2026-10_мультфильмы_список_владельца.xlsx; https://animator.ru/db/?p=show_film&amp;fid=2763</t>
        </is>
      </c>
      <c r="M4233" s="2">
        <f>HYPERLINK("https://ru.wikipedia.org/w/index.php?search=%D0%9F%D0%BE%D0%BB%D0%B8%D0%B3%D0%BE%D0%BD%201977%20%D1%84%D0%B8%D0%BB%D1%8C%D0%BC","искать")</f>
        <v/>
      </c>
      <c r="N4233" s="3" t="n"/>
      <c r="O4233" s="2" t="n"/>
      <c r="P4233" s="2" t="n"/>
    </row>
    <row r="4234">
      <c r="A4234" s="2" t="n">
        <v>4233</v>
      </c>
      <c r="B4234" s="2" t="inlineStr">
        <is>
          <t>короткая</t>
        </is>
      </c>
      <c r="C4234" s="2" t="n">
        <v>12073</v>
      </c>
      <c r="D4234" s="3" t="inlineStr">
        <is>
          <t>Заячий хвостик</t>
        </is>
      </c>
      <c r="E4234" s="2" t="n">
        <v>1984</v>
      </c>
      <c r="F4234" s="2" t="inlineStr">
        <is>
          <t>мультфильм</t>
        </is>
      </c>
      <c r="G4234" s="2" t="inlineStr">
        <is>
          <t>Союзмультфильм</t>
        </is>
      </c>
      <c r="H4234" s="2" t="n">
        <v>126</v>
      </c>
      <c r="I4234" s="2" t="inlineStr"/>
      <c r="J4234" s="2" t="inlineStr"/>
      <c r="K4234" s="3" t="inlineStr">
        <is>
          <t>О маленьких непослушных зайчатах, которые долго не могли найти себе занятие по душе и, наконец, поступили в музыкальную школу.</t>
        </is>
      </c>
      <c r="L4234" s="2" t="inlineStr">
        <is>
          <t>https://animator.ru/db/?p=show_film&amp;fid=3188</t>
        </is>
      </c>
      <c r="M4234" s="2">
        <f>HYPERLINK("https://ru.wikipedia.org/w/index.php?search=%D0%97%D0%B0%D1%8F%D1%87%D0%B8%D0%B9%20%D1%85%D0%B2%D0%BE%D1%81%D1%82%D0%B8%D0%BA%201984%20%D1%84%D0%B8%D0%BB%D1%8C%D0%BC","искать")</f>
        <v/>
      </c>
      <c r="N4234" s="3" t="n"/>
      <c r="O4234" s="2" t="n"/>
      <c r="P4234" s="2" t="n"/>
    </row>
    <row r="4235">
      <c r="A4235" s="2" t="n">
        <v>4234</v>
      </c>
      <c r="B4235" s="2" t="inlineStr">
        <is>
          <t>короткая</t>
        </is>
      </c>
      <c r="C4235" s="2" t="n">
        <v>12153</v>
      </c>
      <c r="D4235" s="3" t="inlineStr">
        <is>
          <t>Переменка 4</t>
        </is>
      </c>
      <c r="E4235" s="2" t="n">
        <v>1985</v>
      </c>
      <c r="F4235" s="2" t="inlineStr">
        <is>
          <t>мультфильм</t>
        </is>
      </c>
      <c r="G4235" s="2" t="inlineStr">
        <is>
          <t>Союзмультфильм</t>
        </is>
      </c>
      <c r="H4235" s="2" t="n">
        <v>126</v>
      </c>
      <c r="I4235" s="2" t="inlineStr"/>
      <c r="J4235" s="2" t="inlineStr"/>
      <c r="K4235" s="3" t="inlineStr">
        <is>
          <t>Несколько минимультиков: "Врун" по Д.Хармсу, "Ключик" по О.Григорьеву и "Мяч" - про мальчика, который мечтал стать футболистом</t>
        </is>
      </c>
      <c r="L4235" s="2" t="inlineStr">
        <is>
          <t>2026-10_мультфильмы_список_владельца.xlsx; https://animator.ru/db/?p=show_film&amp;fid=3269</t>
        </is>
      </c>
      <c r="M4235" s="2">
        <f>HYPERLINK("https://ru.wikipedia.org/w/index.php?search=%D0%9F%D0%B5%D1%80%D0%B5%D0%BC%D0%B5%D0%BD%D0%BA%D0%B0%204%201985%20%D1%84%D0%B8%D0%BB%D1%8C%D0%BC","искать")</f>
        <v/>
      </c>
      <c r="N4235" s="3" t="n"/>
      <c r="O4235" s="2" t="n"/>
      <c r="P4235" s="2" t="n"/>
    </row>
    <row r="4236">
      <c r="A4236" s="2" t="n">
        <v>4235</v>
      </c>
      <c r="B4236" s="2" t="inlineStr">
        <is>
          <t>короткая</t>
        </is>
      </c>
      <c r="C4236" s="2" t="n">
        <v>12503</v>
      </c>
      <c r="D4236" s="3" t="inlineStr">
        <is>
          <t>Песенка в лесу</t>
        </is>
      </c>
      <c r="E4236" s="2" t="n">
        <v>1967</v>
      </c>
      <c r="F4236" s="2" t="inlineStr">
        <is>
          <t>мультфильм</t>
        </is>
      </c>
      <c r="G4236" s="2" t="inlineStr">
        <is>
          <t>КИЕВНАУЧФИЛЬМ</t>
        </is>
      </c>
      <c r="H4236" s="2" t="n">
        <v>126</v>
      </c>
      <c r="I4236" s="2" t="inlineStr"/>
      <c r="J4236" s="2" t="inlineStr"/>
      <c r="K4236" s="3" t="inlineStr">
        <is>
          <t>Маленькая девочка гуляла в лесу и пела песенку. Песенка понравилась всем лесным жителям, и каждый по-своему запел эту песенку.</t>
        </is>
      </c>
      <c r="L4236" s="2" t="inlineStr">
        <is>
          <t>2026-10_мультфильмы_список_владельца.xlsx; https://animator.ru/db/?p=show_film&amp;fid=3678</t>
        </is>
      </c>
      <c r="M4236" s="2">
        <f>HYPERLINK("https://ru.wikipedia.org/w/index.php?search=%D0%9F%D0%B5%D1%81%D0%B5%D0%BD%D0%BA%D0%B0%20%D0%B2%20%D0%BB%D0%B5%D1%81%D1%83%201967%20%D1%84%D0%B8%D0%BB%D1%8C%D0%BC","искать")</f>
        <v/>
      </c>
      <c r="N4236" s="3" t="n"/>
      <c r="O4236" s="2" t="n"/>
      <c r="P4236" s="2" t="n"/>
    </row>
    <row r="4237">
      <c r="A4237" s="2" t="n">
        <v>4236</v>
      </c>
      <c r="B4237" s="2" t="inlineStr">
        <is>
          <t>короткая</t>
        </is>
      </c>
      <c r="C4237" s="2" t="n">
        <v>13714</v>
      </c>
      <c r="D4237" s="3" t="inlineStr">
        <is>
          <t>Капля</t>
        </is>
      </c>
      <c r="E4237" s="2" t="n">
        <v>1984</v>
      </c>
      <c r="F4237" s="2" t="inlineStr">
        <is>
          <t>мультфильм</t>
        </is>
      </c>
      <c r="G4237" s="2" t="inlineStr">
        <is>
          <t>ЭКРАН</t>
        </is>
      </c>
      <c r="H4237" s="2" t="n">
        <v>126</v>
      </c>
      <c r="I4237" s="2" t="inlineStr"/>
      <c r="J4237" s="2" t="inlineStr"/>
      <c r="K4237" s="3" t="inlineStr">
        <is>
          <t>Встречаясь с рекой, морем, океаном, капля познает свойства водоемов и воды, которая может быть и благом и разрушительной силой</t>
        </is>
      </c>
      <c r="L4237" s="2" t="inlineStr">
        <is>
          <t>https://animator.ru/db/?p=show_film&amp;fid=5107</t>
        </is>
      </c>
      <c r="M4237" s="2">
        <f>HYPERLINK("https://ru.wikipedia.org/w/index.php?search=%D0%9A%D0%B0%D0%BF%D0%BB%D1%8F%201984%20%D1%84%D0%B8%D0%BB%D1%8C%D0%BC","искать")</f>
        <v/>
      </c>
      <c r="N4237" s="3" t="n"/>
      <c r="O4237" s="2" t="n"/>
      <c r="P4237" s="2" t="n"/>
    </row>
    <row r="4238">
      <c r="A4238" s="2" t="n">
        <v>4237</v>
      </c>
      <c r="B4238" s="2" t="inlineStr">
        <is>
          <t>короткая</t>
        </is>
      </c>
      <c r="C4238" s="2" t="n">
        <v>8245</v>
      </c>
      <c r="D4238" s="3" t="inlineStr">
        <is>
          <t>Пусть прилетают чайки</t>
        </is>
      </c>
      <c r="E4238" s="2" t="n">
        <v>1978</v>
      </c>
      <c r="F4238" s="2" t="inlineStr">
        <is>
          <t>телефильм</t>
        </is>
      </c>
      <c r="G4238" s="2" t="n"/>
      <c r="H4238" s="2" t="n">
        <v>127</v>
      </c>
      <c r="I4238" s="2" t="inlineStr"/>
      <c r="J4238" s="2" t="inlineStr"/>
      <c r="K4238" s="3" t="inlineStr">
        <is>
          <t>По мотивам повести У.Умарбекова «У кого нет забот». О поисках геологами места для строительства плотины вблизи горного кишлака.</t>
        </is>
      </c>
      <c r="L4238" s="2" t="inlineStr">
        <is>
          <t>Кино_СССР сводный каталог.xlsx: список телефильмов</t>
        </is>
      </c>
      <c r="M4238" s="2">
        <f>HYPERLINK("https://ru.wikipedia.org/w/index.php?search=%D0%9F%D1%83%D1%81%D1%82%D1%8C%20%D0%BF%D1%80%D0%B8%D0%BB%D0%B5%D1%82%D0%B0%D1%8E%D1%82%20%D1%87%D0%B0%D0%B9%D0%BA%D0%B8%201978%20%D1%84%D0%B8%D0%BB%D1%8C%D0%BC","искать")</f>
        <v/>
      </c>
      <c r="N4238" s="3" t="n"/>
      <c r="O4238" s="2" t="n"/>
      <c r="P4238" s="2" t="n"/>
    </row>
    <row r="4239">
      <c r="A4239" s="2" t="n">
        <v>4238</v>
      </c>
      <c r="B4239" s="2" t="inlineStr">
        <is>
          <t>короткая</t>
        </is>
      </c>
      <c r="C4239" s="2" t="n">
        <v>9864</v>
      </c>
      <c r="D4239" s="3" t="inlineStr">
        <is>
          <t>У Лукоморья</t>
        </is>
      </c>
      <c r="E4239" s="2" t="n">
        <v>1969</v>
      </c>
      <c r="F4239" s="2" t="inlineStr">
        <is>
          <t>телефильм</t>
        </is>
      </c>
      <c r="G4239" s="2" t="inlineStr">
        <is>
          <t>ТО Экран</t>
        </is>
      </c>
      <c r="H4239" s="2" t="n">
        <v>127</v>
      </c>
      <c r="I4239" s="2" t="inlineStr"/>
      <c r="J4239" s="2" t="inlineStr"/>
      <c r="K4239" s="3" t="inlineStr">
        <is>
          <t>Детский фильм по мотивам рассказа Р.Кутуя "С закрытыми глазами".
Рассказ о дружбе десятилетнего Ильки со своей старшей сестрой.</t>
        </is>
      </c>
      <c r="L4239" s="2" t="inlineStr">
        <is>
          <t>https://www.kino-teatr.ru/short/movie/sov/9577/annot/</t>
        </is>
      </c>
      <c r="M4239" s="2">
        <f>HYPERLINK("https://ru.wikipedia.org/w/index.php?search=%D0%A3%20%D0%9B%D1%83%D0%BA%D0%BE%D0%BC%D0%BE%D1%80%D1%8C%D1%8F%201969%20%D1%84%D0%B8%D0%BB%D1%8C%D0%BC","искать")</f>
        <v/>
      </c>
      <c r="N4239" s="3" t="n"/>
      <c r="O4239" s="2" t="n"/>
      <c r="P4239" s="2" t="n"/>
    </row>
    <row r="4240">
      <c r="A4240" s="2" t="n">
        <v>4239</v>
      </c>
      <c r="B4240" s="2" t="inlineStr">
        <is>
          <t>короткая</t>
        </is>
      </c>
      <c r="C4240" s="2" t="n">
        <v>11865</v>
      </c>
      <c r="D4240" s="3" t="inlineStr">
        <is>
          <t>Веселая карусель n 10. Бабочка и тигр</t>
        </is>
      </c>
      <c r="E4240" s="2" t="n">
        <v>1978</v>
      </c>
      <c r="F4240" s="2" t="inlineStr">
        <is>
          <t>мультфильм</t>
        </is>
      </c>
      <c r="G4240" s="2" t="inlineStr">
        <is>
          <t>Союзмультфильм</t>
        </is>
      </c>
      <c r="H4240" s="2" t="n">
        <v>127</v>
      </c>
      <c r="I4240" s="2" t="inlineStr"/>
      <c r="J4240" s="2" t="inlineStr"/>
      <c r="K4240" s="3" t="inlineStr">
        <is>
          <t>Сюжет из альманаха «ВЕСЕЛАЯ КАРУСЕЛЬ N 10»
Как полосатое полотенце вообразило себя тигром и отправилось на охоту... за бабочкой</t>
        </is>
      </c>
      <c r="L4240" s="2" t="inlineStr">
        <is>
          <t>https://animator.ru/db/?p=show_film&amp;fid=2780</t>
        </is>
      </c>
      <c r="M4240" s="2">
        <f>HYPERLINK("https://ru.wikipedia.org/w/index.php?search=%D0%92%D0%B5%D1%81%D0%B5%D0%BB%D0%B0%D1%8F%20%D0%BA%D0%B0%D1%80%D1%83%D1%81%D0%B5%D0%BB%D1%8C%20n%2010.%20%D0%91%D0%B0%D0%B1%D0%BE%D1%87%D0%BA%D0%B0%20%D0%B8%20%D1%82%D0%B8%D0%B3%D1%80%201978%20%D1%84%D0%B8%D0%BB%D1%8C%D0%BC","искать")</f>
        <v/>
      </c>
      <c r="N4240" s="3" t="n"/>
      <c r="O4240" s="2" t="n"/>
      <c r="P4240" s="2" t="n"/>
    </row>
    <row r="4241">
      <c r="A4241" s="2" t="n">
        <v>4240</v>
      </c>
      <c r="B4241" s="2" t="inlineStr">
        <is>
          <t>короткая</t>
        </is>
      </c>
      <c r="C4241" s="2" t="n">
        <v>11876</v>
      </c>
      <c r="D4241" s="3" t="inlineStr">
        <is>
          <t>Маша больше не лентяйка</t>
        </is>
      </c>
      <c r="E4241" s="2" t="n">
        <v>1978</v>
      </c>
      <c r="F4241" s="2" t="inlineStr">
        <is>
          <t>мультфильм</t>
        </is>
      </c>
      <c r="G4241" s="2" t="inlineStr">
        <is>
          <t>Союзмультфильм</t>
        </is>
      </c>
      <c r="H4241" s="2" t="n">
        <v>127</v>
      </c>
      <c r="I4241" s="2" t="inlineStr"/>
      <c r="J4241" s="2" t="inlineStr"/>
      <c r="K4241" s="3" t="inlineStr">
        <is>
          <t>Маша не хочет помогать бабушке, и за это ее руки и ноги начинают вытворять чудеса, пока Маша не дает слово никогда не лениться.</t>
        </is>
      </c>
      <c r="L4241" s="2" t="inlineStr">
        <is>
          <t>2026-10_мультфильмы_список_владельца.xlsx; https://animator.ru/db/?p=show_film&amp;fid=2791</t>
        </is>
      </c>
      <c r="M4241" s="2">
        <f>HYPERLINK("https://ru.wikipedia.org/w/index.php?search=%D0%9C%D0%B0%D1%88%D0%B0%20%D0%B1%D0%BE%D0%BB%D1%8C%D1%88%D0%B5%20%D0%BD%D0%B5%20%D0%BB%D0%B5%D0%BD%D1%82%D1%8F%D0%B9%D0%BA%D0%B0%201978%20%D1%84%D0%B8%D0%BB%D1%8C%D0%BC","искать")</f>
        <v/>
      </c>
      <c r="N4241" s="3" t="n"/>
      <c r="O4241" s="2" t="n"/>
      <c r="P4241" s="2" t="n"/>
    </row>
    <row r="4242">
      <c r="A4242" s="2" t="n">
        <v>4241</v>
      </c>
      <c r="B4242" s="2" t="inlineStr">
        <is>
          <t>короткая</t>
        </is>
      </c>
      <c r="C4242" s="2" t="n">
        <v>12018</v>
      </c>
      <c r="D4242" s="3" t="inlineStr">
        <is>
          <t>Превращение</t>
        </is>
      </c>
      <c r="E4242" s="2" t="n">
        <v>1982</v>
      </c>
      <c r="F4242" s="2" t="inlineStr">
        <is>
          <t>мультфильм</t>
        </is>
      </c>
      <c r="G4242" s="2" t="inlineStr">
        <is>
          <t>Союзмультфильм</t>
        </is>
      </c>
      <c r="H4242" s="2" t="n">
        <v>127</v>
      </c>
      <c r="I4242" s="2" t="inlineStr"/>
      <c r="J4242" s="2" t="inlineStr"/>
      <c r="K4242" s="3" t="inlineStr">
        <is>
          <t>О старом железнодорожнике, который решает уйти жить к кошкам, так как в своей семье чувствует себя одиноким и никому не нужным.</t>
        </is>
      </c>
      <c r="L4242" s="2" t="inlineStr">
        <is>
          <t>https://animator.ru/db/?p=show_film&amp;fid=3132</t>
        </is>
      </c>
      <c r="M4242" s="2">
        <f>HYPERLINK("https://ru.wikipedia.org/w/index.php?search=%D0%9F%D1%80%D0%B5%D0%B2%D1%80%D0%B0%D1%89%D0%B5%D0%BD%D0%B8%D0%B5%201982%20%D1%84%D0%B8%D0%BB%D1%8C%D0%BC","искать")</f>
        <v/>
      </c>
      <c r="N4242" s="3" t="n"/>
      <c r="O4242" s="2" t="n"/>
      <c r="P4242" s="2" t="n"/>
    </row>
    <row r="4243">
      <c r="A4243" s="2" t="n">
        <v>4242</v>
      </c>
      <c r="B4243" s="2" t="inlineStr">
        <is>
          <t>короткая</t>
        </is>
      </c>
      <c r="C4243" s="2" t="n">
        <v>8408</v>
      </c>
      <c r="D4243" s="3" t="inlineStr">
        <is>
          <t>Страницы первой любви</t>
        </is>
      </c>
      <c r="E4243" s="2" t="n">
        <v>1964</v>
      </c>
      <c r="F4243" s="2" t="inlineStr">
        <is>
          <t>телефильм</t>
        </is>
      </c>
      <c r="G4243" s="2" t="n"/>
      <c r="H4243" s="2" t="n">
        <v>128</v>
      </c>
      <c r="I4243" s="2" t="inlineStr"/>
      <c r="J4243" s="2" t="inlineStr"/>
      <c r="K4243" s="3" t="inlineStr">
        <is>
          <t>По повести В. Рослякова «Обыкновенная история». О судьбе девушки, уехавшей из родного Орла в Сибирь и нашедшей там свое счастье.</t>
        </is>
      </c>
      <c r="L4243" s="2" t="inlineStr">
        <is>
          <t>Кино_СССР сводный каталог.xlsx: список телефильмов</t>
        </is>
      </c>
      <c r="M4243" s="2">
        <f>HYPERLINK("https://ru.wikipedia.org/w/index.php?search=%D0%A1%D1%82%D1%80%D0%B0%D0%BD%D0%B8%D1%86%D1%8B%20%D0%BF%D0%B5%D1%80%D0%B2%D0%BE%D0%B9%20%D0%BB%D1%8E%D0%B1%D0%B2%D0%B8%201964%20%D1%84%D0%B8%D0%BB%D1%8C%D0%BC","искать")</f>
        <v/>
      </c>
      <c r="N4243" s="3" t="n"/>
      <c r="O4243" s="2" t="n"/>
      <c r="P4243" s="2" t="n"/>
    </row>
    <row r="4244">
      <c r="A4244" s="2" t="n">
        <v>4243</v>
      </c>
      <c r="B4244" s="2" t="inlineStr">
        <is>
          <t>короткая</t>
        </is>
      </c>
      <c r="C4244" s="2" t="n">
        <v>8753</v>
      </c>
      <c r="D4244" s="3" t="inlineStr">
        <is>
          <t>Кайрат</t>
        </is>
      </c>
      <c r="E4244" s="2" t="n">
        <v>1991</v>
      </c>
      <c r="F4244" s="2" t="inlineStr">
        <is>
          <t>кинофильм</t>
        </is>
      </c>
      <c r="G4244" s="2" t="n"/>
      <c r="H4244" s="2" t="n">
        <v>128</v>
      </c>
      <c r="I4244" s="2" t="inlineStr"/>
      <c r="J4244" s="2" t="inlineStr"/>
      <c r="K4244" s="3" t="inlineStr">
        <is>
          <t>Молодой человек, оказавшись в большом городе, пытается прорваться сквозь стену одиночества и понять мотивы поведения окружающих.</t>
        </is>
      </c>
      <c r="L4244" s="2" t="inlineStr">
        <is>
          <t>Кино_СССР сводный каталог.xlsx: список фильмов (доп.)</t>
        </is>
      </c>
      <c r="M4244" s="2">
        <f>HYPERLINK("https://ru.wikipedia.org/w/index.php?search=%D0%9A%D0%B0%D0%B9%D1%80%D0%B0%D1%82%201991%20%D1%84%D0%B8%D0%BB%D1%8C%D0%BC","искать")</f>
        <v/>
      </c>
      <c r="N4244" s="3" t="n"/>
      <c r="O4244" s="2" t="n"/>
      <c r="P4244" s="2" t="n"/>
    </row>
    <row r="4245">
      <c r="A4245" s="2" t="n">
        <v>4244</v>
      </c>
      <c r="B4245" s="2" t="inlineStr">
        <is>
          <t>короткая</t>
        </is>
      </c>
      <c r="C4245" s="2" t="n">
        <v>9046</v>
      </c>
      <c r="D4245" s="3" t="inlineStr">
        <is>
          <t>Слёзы и меч</t>
        </is>
      </c>
      <c r="E4245" s="2" t="n">
        <v>1991</v>
      </c>
      <c r="F4245" s="2" t="inlineStr">
        <is>
          <t>кинофильм</t>
        </is>
      </c>
      <c r="G4245" s="2" t="n"/>
      <c r="H4245" s="2" t="n">
        <v>128</v>
      </c>
      <c r="I4245" s="2" t="inlineStr"/>
      <c r="J4245" s="2" t="inlineStr"/>
      <c r="K4245" s="3" t="inlineStr">
        <is>
          <t>По роману Сатыма Улуг-заде «Восе». О предводителе крестьянского восстания в Таджикистане, горце Восе. Время действия — 1885 год.</t>
        </is>
      </c>
      <c r="L4245" s="2" t="inlineStr">
        <is>
          <t>Кино_СССР сводный каталог.xlsx: список фильмов (доп.)</t>
        </is>
      </c>
      <c r="M4245" s="2">
        <f>HYPERLINK("https://ru.wikipedia.org/w/index.php?search=%D0%A1%D0%BB%D1%91%D0%B7%D1%8B%20%D0%B8%20%D0%BC%D0%B5%D1%87%201991%20%D1%84%D0%B8%D0%BB%D1%8C%D0%BC","искать")</f>
        <v/>
      </c>
      <c r="N4245" s="3" t="n"/>
      <c r="O4245" s="2" t="n"/>
      <c r="P4245" s="2" t="n"/>
    </row>
    <row r="4246">
      <c r="A4246" s="2" t="n">
        <v>4245</v>
      </c>
      <c r="B4246" s="2" t="inlineStr">
        <is>
          <t>короткая</t>
        </is>
      </c>
      <c r="C4246" s="2" t="n">
        <v>9952</v>
      </c>
      <c r="D4246" s="3" t="inlineStr">
        <is>
          <t>До встречи, друг...</t>
        </is>
      </c>
      <c r="E4246" s="2" t="n">
        <v>1980</v>
      </c>
      <c r="F4246" s="2" t="inlineStr">
        <is>
          <t>кинофильм</t>
        </is>
      </c>
      <c r="G4246" s="2" t="inlineStr">
        <is>
          <t>Грузия-фильм, Подборки фильмов, фильмы про собак</t>
        </is>
      </c>
      <c r="H4246" s="2" t="n">
        <v>128</v>
      </c>
      <c r="I4246" s="2" t="inlineStr"/>
      <c r="J4246" s="2" t="inlineStr"/>
      <c r="K4246" s="3" t="inlineStr">
        <is>
          <t>Лирическая киноновелла. Смешной и трогательный рассказ о преданной собачке, которая помогла двум молодым людям найти друг друга.</t>
        </is>
      </c>
      <c r="L4246" s="2" t="inlineStr">
        <is>
          <t>https://www.kino-teatr.ru/short/movie/sov/14568/annot/</t>
        </is>
      </c>
      <c r="M4246" s="2">
        <f>HYPERLINK("https://ru.wikipedia.org/w/index.php?search=%D0%94%D0%BE%20%D0%B2%D1%81%D1%82%D1%80%D0%B5%D1%87%D0%B8%2C%20%D0%B4%D1%80%D1%83%D0%B3...%201980%20%D1%84%D0%B8%D0%BB%D1%8C%D0%BC","искать")</f>
        <v/>
      </c>
      <c r="N4246" s="3" t="n"/>
      <c r="O4246" s="2" t="n"/>
      <c r="P4246" s="2" t="n"/>
    </row>
    <row r="4247">
      <c r="A4247" s="2" t="n">
        <v>4246</v>
      </c>
      <c r="B4247" s="2" t="inlineStr">
        <is>
          <t>короткая</t>
        </is>
      </c>
      <c r="C4247" s="2" t="n">
        <v>10400</v>
      </c>
      <c r="D4247" s="3" t="inlineStr">
        <is>
          <t>Коммунары</t>
        </is>
      </c>
      <c r="E4247" s="2" t="n">
        <v>1971</v>
      </c>
      <c r="F4247" s="2" t="inlineStr">
        <is>
          <t>фильм-спектакль</t>
        </is>
      </c>
      <c r="G4247" s="2" t="inlineStr">
        <is>
          <t>Главная редакция литературно-драматических программ ЦТ</t>
        </is>
      </c>
      <c r="H4247" s="2" t="n">
        <v>128</v>
      </c>
      <c r="I4247" s="2" t="inlineStr"/>
      <c r="J4247" s="2" t="inlineStr"/>
      <c r="K4247" s="3" t="inlineStr">
        <is>
          <t>По мотивам романа Г.Маркова "Отец и сын". Действие происходит в 1921 году. О первых днях коммуны, созданной в сибирской деревне.</t>
        </is>
      </c>
      <c r="L4247" s="2" t="inlineStr">
        <is>
          <t>https://www.kino-teatr.ru/teatr/movie/15385/annot/</t>
        </is>
      </c>
      <c r="M4247" s="2">
        <f>HYPERLINK("https://ru.wikipedia.org/w/index.php?search=%D0%9A%D0%BE%D0%BC%D0%BC%D1%83%D0%BD%D0%B0%D1%80%D1%8B%201971%20%D1%84%D0%B8%D0%BB%D1%8C%D0%BC","искать")</f>
        <v/>
      </c>
      <c r="N4247" s="3" t="n"/>
      <c r="O4247" s="2" t="n"/>
      <c r="P4247" s="2" t="n"/>
    </row>
    <row r="4248">
      <c r="A4248" s="2" t="n">
        <v>4247</v>
      </c>
      <c r="B4248" s="2" t="inlineStr">
        <is>
          <t>короткая</t>
        </is>
      </c>
      <c r="C4248" s="2" t="n">
        <v>12579</v>
      </c>
      <c r="D4248" s="3" t="inlineStr">
        <is>
          <t>Так держать!</t>
        </is>
      </c>
      <c r="E4248" s="2" t="n">
        <v>1975</v>
      </c>
      <c r="F4248" s="2" t="inlineStr">
        <is>
          <t>мультфильм</t>
        </is>
      </c>
      <c r="G4248" s="2" t="inlineStr">
        <is>
          <t>КИЕВНАУЧФИЛЬМ</t>
        </is>
      </c>
      <c r="H4248" s="2" t="n">
        <v>128</v>
      </c>
      <c r="I4248" s="2" t="inlineStr"/>
      <c r="J4248" s="2" t="inlineStr"/>
      <c r="K4248" s="3" t="inlineStr">
        <is>
          <t>О маленьком мальчике, который мечтал о подвигах и благородных поступках, и о том, как однажды он спас детей от злых разбойников.</t>
        </is>
      </c>
      <c r="L4248" s="2" t="inlineStr">
        <is>
          <t>2026-10_мультфильмы_список_владельца.xlsx; https://animator.ru/db/?p=show_film&amp;fid=3759</t>
        </is>
      </c>
      <c r="M4248" s="2">
        <f>HYPERLINK("https://ru.wikipedia.org/w/index.php?search=%D0%A2%D0%B0%D0%BA%20%D0%B4%D0%B5%D1%80%D0%B6%D0%B0%D1%82%D1%8C%21%201975%20%D1%84%D0%B8%D0%BB%D1%8C%D0%BC","искать")</f>
        <v/>
      </c>
      <c r="N4248" s="3" t="n"/>
      <c r="O4248" s="2" t="n"/>
      <c r="P4248" s="2" t="n"/>
    </row>
    <row r="4249">
      <c r="A4249" s="2" t="n">
        <v>4248</v>
      </c>
      <c r="B4249" s="2" t="inlineStr">
        <is>
          <t>короткая</t>
        </is>
      </c>
      <c r="C4249" s="2" t="n">
        <v>14399</v>
      </c>
      <c r="D4249" s="3" t="inlineStr">
        <is>
          <t>Лихой капитан</t>
        </is>
      </c>
      <c r="E4249" s="2" t="n">
        <v>1982</v>
      </c>
      <c r="F4249" s="2" t="inlineStr">
        <is>
          <t>мультфильм</t>
        </is>
      </c>
      <c r="G4249" s="2" t="n"/>
      <c r="H4249" s="2" t="n">
        <v>128</v>
      </c>
      <c r="I4249" s="2" t="inlineStr"/>
      <c r="J4249" s="2" t="inlineStr"/>
      <c r="K4249" s="3" t="inlineStr">
        <is>
          <t>Инструктивный фильм о правилах техники безопасности при проведении судовых работ. По заказу Министерства рыбного хозяйства СССР.</t>
        </is>
      </c>
      <c r="L4249" s="2" t="inlineStr">
        <is>
          <t>https://animator.ru/db/?p=show_film&amp;fid=6503</t>
        </is>
      </c>
      <c r="M4249" s="2">
        <f>HYPERLINK("https://ru.wikipedia.org/w/index.php?search=%D0%9B%D0%B8%D1%85%D0%BE%D0%B9%20%D0%BA%D0%B0%D0%BF%D0%B8%D1%82%D0%B0%D0%BD%201982%20%D1%84%D0%B8%D0%BB%D1%8C%D0%BC","искать")</f>
        <v/>
      </c>
      <c r="N4249" s="3" t="n"/>
      <c r="O4249" s="2" t="n"/>
      <c r="P4249" s="2" t="n"/>
    </row>
    <row r="4250">
      <c r="A4250" s="2" t="n">
        <v>4249</v>
      </c>
      <c r="B4250" s="2" t="inlineStr">
        <is>
          <t>короткая</t>
        </is>
      </c>
      <c r="C4250" s="2" t="n">
        <v>7960</v>
      </c>
      <c r="D4250" s="3" t="inlineStr">
        <is>
          <t>Не ждали, не гадали!</t>
        </is>
      </c>
      <c r="E4250" s="2" t="n">
        <v>1982</v>
      </c>
      <c r="F4250" s="2" t="inlineStr">
        <is>
          <t>телефильм</t>
        </is>
      </c>
      <c r="G4250" s="2" t="n"/>
      <c r="H4250" s="2" t="n">
        <v>129</v>
      </c>
      <c r="I4250" s="2" t="inlineStr"/>
      <c r="J4250" s="2" t="inlineStr"/>
      <c r="K4250" s="3" t="inlineStr">
        <is>
          <t>Телефильм. Эта история началась с того, что в квартиру научного сотрудника Долгорукова неожиданно вторгся заблудившийся... ослик.</t>
        </is>
      </c>
      <c r="L4250" s="2" t="inlineStr">
        <is>
          <t>Кино_СССР сводный каталог.xlsx: список телефильмов</t>
        </is>
      </c>
      <c r="M4250" s="2">
        <f>HYPERLINK("https://ru.wikipedia.org/w/index.php?search=%D0%9D%D0%B5%20%D0%B6%D0%B4%D0%B0%D0%BB%D0%B8%2C%20%D0%BD%D0%B5%20%D0%B3%D0%B0%D0%B4%D0%B0%D0%BB%D0%B8%21%201982%20%D1%84%D0%B8%D0%BB%D1%8C%D0%BC","искать")</f>
        <v/>
      </c>
      <c r="N4250" s="3" t="n"/>
      <c r="O4250" s="2" t="n"/>
      <c r="P4250" s="2" t="n"/>
    </row>
    <row r="4251">
      <c r="A4251" s="2" t="n">
        <v>4250</v>
      </c>
      <c r="B4251" s="2" t="inlineStr">
        <is>
          <t>короткая</t>
        </is>
      </c>
      <c r="C4251" s="2" t="n">
        <v>8951</v>
      </c>
      <c r="D4251" s="3" t="inlineStr">
        <is>
          <t>Полёт стрелы</t>
        </is>
      </c>
      <c r="E4251" s="2" t="n">
        <v>1991</v>
      </c>
      <c r="F4251" s="2" t="inlineStr">
        <is>
          <t>кинофильм</t>
        </is>
      </c>
      <c r="G4251" s="2" t="n"/>
      <c r="H4251" s="2" t="n">
        <v>129</v>
      </c>
      <c r="I4251" s="2" t="inlineStr"/>
      <c r="J4251" s="2" t="inlineStr"/>
      <c r="K4251" s="3" t="inlineStr">
        <is>
          <t>Современная молодая женщина, бывшая спортсменка, — в поисках любви и возможного счастья переживает очередную душевную катастрофу.</t>
        </is>
      </c>
      <c r="L4251" s="2" t="inlineStr">
        <is>
          <t>Кино_СССР сводный каталог.xlsx: список фильмов (доп.)</t>
        </is>
      </c>
      <c r="M4251" s="2">
        <f>HYPERLINK("https://ru.wikipedia.org/w/index.php?search=%D0%9F%D0%BE%D0%BB%D1%91%D1%82%20%D1%81%D1%82%D1%80%D0%B5%D0%BB%D1%8B%201991%20%D1%84%D0%B8%D0%BB%D1%8C%D0%BC","искать")</f>
        <v/>
      </c>
      <c r="N4251" s="3" t="n"/>
      <c r="O4251" s="2" t="n"/>
      <c r="P4251" s="2" t="n"/>
    </row>
    <row r="4252">
      <c r="A4252" s="2" t="n">
        <v>4251</v>
      </c>
      <c r="B4252" s="2" t="inlineStr">
        <is>
          <t>короткая</t>
        </is>
      </c>
      <c r="C4252" s="2" t="n">
        <v>9990</v>
      </c>
      <c r="D4252" s="3" t="inlineStr">
        <is>
          <t>Воскресенье с 11 до 17</t>
        </is>
      </c>
      <c r="E4252" s="2" t="n">
        <v>1983</v>
      </c>
      <c r="F4252" s="2" t="inlineStr">
        <is>
          <t>телефильм</t>
        </is>
      </c>
      <c r="G4252" s="2" t="inlineStr">
        <is>
          <t>Минсктелефильм</t>
        </is>
      </c>
      <c r="H4252" s="2" t="n">
        <v>129</v>
      </c>
      <c r="I4252" s="2" t="inlineStr"/>
      <c r="J4252" s="2" t="inlineStr"/>
      <c r="K4252" s="3" t="inlineStr">
        <is>
          <t>Девочка видится с отцом только по воскресеньям, с 11 до 17. После свиданий она плачет и хочет, чтобы родители всегда были вместе.</t>
        </is>
      </c>
      <c r="L4252" s="2" t="inlineStr">
        <is>
          <t>https://www.kino-teatr.ru/short/movie/sov/88795/annot/</t>
        </is>
      </c>
      <c r="M4252" s="2">
        <f>HYPERLINK("https://ru.wikipedia.org/w/index.php?search=%D0%92%D0%BE%D1%81%D0%BA%D1%80%D0%B5%D1%81%D0%B5%D0%BD%D1%8C%D0%B5%20%D1%81%2011%20%D0%B4%D0%BE%2017%201983%20%D1%84%D0%B8%D0%BB%D1%8C%D0%BC","искать")</f>
        <v/>
      </c>
      <c r="N4252" s="3" t="n"/>
      <c r="O4252" s="2" t="n"/>
      <c r="P4252" s="2" t="n"/>
    </row>
    <row r="4253">
      <c r="A4253" s="2" t="n">
        <v>4252</v>
      </c>
      <c r="B4253" s="2" t="inlineStr">
        <is>
          <t>короткая</t>
        </is>
      </c>
      <c r="C4253" s="2" t="n">
        <v>9862</v>
      </c>
      <c r="D4253" s="3" t="inlineStr">
        <is>
          <t>Лицо в полоску</t>
        </is>
      </c>
      <c r="E4253" s="2" t="n">
        <v>1969</v>
      </c>
      <c r="F4253" s="2" t="inlineStr">
        <is>
          <t>телефильм</t>
        </is>
      </c>
      <c r="G4253" s="2" t="inlineStr">
        <is>
          <t>Беларусьфильм</t>
        </is>
      </c>
      <c r="H4253" s="2" t="n">
        <v>130</v>
      </c>
      <c r="I4253" s="2" t="inlineStr"/>
      <c r="J4253" s="2" t="inlineStr"/>
      <c r="K4253" s="3" t="inlineStr">
        <is>
          <t>Телефильм по рассказу В.Горбука.
О том, как Дима и Таня увлеченно рисовали на асфальте все, что они видели вокруг и о чем мечтали.</t>
        </is>
      </c>
      <c r="L4253" s="2" t="inlineStr">
        <is>
          <t>https://www.kino-teatr.ru/short/movie/sov/82035/annot/</t>
        </is>
      </c>
      <c r="M4253" s="2">
        <f>HYPERLINK("https://ru.wikipedia.org/w/index.php?search=%D0%9B%D0%B8%D1%86%D0%BE%20%D0%B2%20%D0%BF%D0%BE%D0%BB%D0%BE%D1%81%D0%BA%D1%83%201969%20%D1%84%D0%B8%D0%BB%D1%8C%D0%BC","искать")</f>
        <v/>
      </c>
      <c r="N4253" s="3" t="n"/>
      <c r="O4253" s="2" t="n"/>
      <c r="P4253" s="2" t="n"/>
    </row>
    <row r="4254">
      <c r="A4254" s="2" t="n">
        <v>4253</v>
      </c>
      <c r="B4254" s="2" t="inlineStr">
        <is>
          <t>короткая</t>
        </is>
      </c>
      <c r="C4254" s="2" t="n">
        <v>11801</v>
      </c>
      <c r="D4254" s="3" t="inlineStr">
        <is>
          <t>Котенок по имени Гав ч.1</t>
        </is>
      </c>
      <c r="E4254" s="2" t="n">
        <v>1976</v>
      </c>
      <c r="F4254" s="2" t="inlineStr">
        <is>
          <t>мультфильм</t>
        </is>
      </c>
      <c r="G4254" s="2" t="inlineStr">
        <is>
          <t>Союзмультфильм</t>
        </is>
      </c>
      <c r="H4254" s="2" t="n">
        <v>130</v>
      </c>
      <c r="I4254" s="2" t="inlineStr"/>
      <c r="J4254" s="2" t="inlineStr"/>
      <c r="K4254" s="3" t="inlineStr">
        <is>
          <t>Приключения забавного котенка Гава и его друга - щенка Шарика, которые открывают для себя сложности и радости окружающего их мира.</t>
        </is>
      </c>
      <c r="L4254" s="2" t="inlineStr">
        <is>
          <t>2026-10_мультфильмы_список_владельца.xlsx; https://animator.ru/db/?p=show_film&amp;fid=2715</t>
        </is>
      </c>
      <c r="M4254" s="2">
        <f>HYPERLINK("https://ru.wikipedia.org/w/index.php?search=%D0%9A%D0%BE%D1%82%D0%B5%D0%BD%D0%BE%D0%BA%20%D0%BF%D0%BE%20%D0%B8%D0%BC%D0%B5%D0%BD%D0%B8%20%D0%93%D0%B0%D0%B2%20%D1%87.1%201976%20%D1%84%D0%B8%D0%BB%D1%8C%D0%BC","искать")</f>
        <v/>
      </c>
      <c r="N4254" s="3" t="n"/>
      <c r="O4254" s="2" t="n"/>
      <c r="P4254" s="2" t="n"/>
    </row>
    <row r="4255">
      <c r="A4255" s="2" t="n">
        <v>4254</v>
      </c>
      <c r="B4255" s="2" t="inlineStr">
        <is>
          <t>короткая</t>
        </is>
      </c>
      <c r="C4255" s="2" t="n">
        <v>12414</v>
      </c>
      <c r="D4255" s="3" t="inlineStr">
        <is>
          <t>Как Петя Пяточкин слоников считал</t>
        </is>
      </c>
      <c r="E4255" s="2" t="n">
        <v>1984</v>
      </c>
      <c r="F4255" s="2" t="inlineStr">
        <is>
          <t>мультфильм</t>
        </is>
      </c>
      <c r="G4255" s="2" t="inlineStr">
        <is>
          <t>КИЕВНАУЧФИЛЬМ</t>
        </is>
      </c>
      <c r="H4255" s="2" t="n">
        <v>130</v>
      </c>
      <c r="I4255" s="2" t="inlineStr"/>
      <c r="J4255" s="2" t="inlineStr"/>
      <c r="K4255" s="3" t="inlineStr">
        <is>
          <t>Про то, как один непослушный мальчишка оценил свое поведение со стороны.В мультфильме две звуковые дорожки - украинская и русская.</t>
        </is>
      </c>
      <c r="L4255" s="2" t="inlineStr">
        <is>
          <t>2026-10_мультфильмы_список_владельца.xlsx; https://animator.ru/db/?p=show_film&amp;fid=3585</t>
        </is>
      </c>
      <c r="M4255" s="2">
        <f>HYPERLINK("https://ru.wikipedia.org/w/index.php?search=%D0%9A%D0%B0%D0%BA%20%D0%9F%D0%B5%D1%82%D1%8F%20%D0%9F%D1%8F%D1%82%D0%BE%D1%87%D0%BA%D0%B8%D0%BD%20%D1%81%D0%BB%D0%BE%D0%BD%D0%B8%D0%BA%D0%BE%D0%B2%20%D1%81%D1%87%D0%B8%D1%82%D0%B0%D0%BB%201984%20%D1%84%D0%B8%D0%BB%D1%8C%D0%BC","искать")</f>
        <v/>
      </c>
      <c r="N4255" s="3" t="n"/>
      <c r="O4255" s="2" t="n"/>
      <c r="P4255" s="2" t="n"/>
    </row>
    <row r="4256">
      <c r="A4256" s="2" t="n">
        <v>4255</v>
      </c>
      <c r="B4256" s="2" t="inlineStr">
        <is>
          <t>короткая</t>
        </is>
      </c>
      <c r="C4256" s="2" t="n">
        <v>14341</v>
      </c>
      <c r="D4256" s="3" t="inlineStr">
        <is>
          <t>Ловцы жемчуга</t>
        </is>
      </c>
      <c r="E4256" s="2" t="n">
        <v>1990</v>
      </c>
      <c r="F4256" s="2" t="inlineStr">
        <is>
          <t>мультфильм</t>
        </is>
      </c>
      <c r="G4256" s="2" t="inlineStr">
        <is>
          <t>Пилот, ВИДЕОФИЛЬМ - дистрибюторская компания</t>
        </is>
      </c>
      <c r="H4256" s="2" t="n">
        <v>130</v>
      </c>
      <c r="I4256" s="2" t="inlineStr"/>
      <c r="J4256" s="2" t="inlineStr"/>
      <c r="K4256" s="3" t="inlineStr">
        <is>
          <t>Приключения Кубика и Рубика, которые отправились за жемчугом на дно моря, повстречали много опасностей и, в итоге, уплыли ни с чем</t>
        </is>
      </c>
      <c r="L4256" s="2" t="inlineStr">
        <is>
          <t>https://gosfilmofond.ru/films/256063/</t>
        </is>
      </c>
      <c r="M4256" s="2">
        <f>HYPERLINK("https://ru.wikipedia.org/w/index.php?search=%D0%9B%D0%BE%D0%B2%D1%86%D1%8B%20%D0%B6%D0%B5%D0%BC%D1%87%D1%83%D0%B3%D0%B0%201990%20%D1%84%D0%B8%D0%BB%D1%8C%D0%BC","искать")</f>
        <v/>
      </c>
      <c r="N4256" s="3" t="n"/>
      <c r="O4256" s="2" t="n"/>
      <c r="P4256" s="2" t="n"/>
    </row>
    <row r="4257">
      <c r="A4257" s="2" t="n">
        <v>4256</v>
      </c>
      <c r="B4257" s="2" t="inlineStr">
        <is>
          <t>короткая</t>
        </is>
      </c>
      <c r="C4257" s="2" t="n">
        <v>14410</v>
      </c>
      <c r="D4257" s="3" t="inlineStr">
        <is>
          <t>Всё в ажуре</t>
        </is>
      </c>
      <c r="E4257" s="2" t="n">
        <v>1991</v>
      </c>
      <c r="F4257" s="2" t="inlineStr">
        <is>
          <t>мультфильм</t>
        </is>
      </c>
      <c r="G4257" s="2" t="n"/>
      <c r="H4257" s="2" t="n">
        <v>130</v>
      </c>
      <c r="I4257" s="2" t="inlineStr"/>
      <c r="J4257" s="2" t="inlineStr"/>
      <c r="K4257" s="3" t="inlineStr">
        <is>
          <t>Микромультфильм рассказывает о том, как опасно и непредсказуемо своими последствиями любое вмешательство человека в жизнь природы.</t>
        </is>
      </c>
      <c r="L4257" s="2" t="inlineStr">
        <is>
          <t>https://animator.ru/db/?p=show_film&amp;fid=6646</t>
        </is>
      </c>
      <c r="M4257" s="2">
        <f>HYPERLINK("https://ru.wikipedia.org/w/index.php?search=%D0%92%D1%81%D1%91%20%D0%B2%20%D0%B0%D0%B6%D1%83%D1%80%D0%B5%201991%20%D1%84%D0%B8%D0%BB%D1%8C%D0%BC","искать")</f>
        <v/>
      </c>
      <c r="N4257" s="3" t="n"/>
      <c r="O4257" s="2" t="n"/>
      <c r="P4257" s="2" t="n"/>
    </row>
    <row r="4258">
      <c r="A4258" s="2" t="n">
        <v>4257</v>
      </c>
      <c r="B4258" s="2" t="inlineStr">
        <is>
          <t>короткая</t>
        </is>
      </c>
      <c r="C4258" s="2" t="n">
        <v>14437</v>
      </c>
      <c r="D4258" s="3" t="inlineStr">
        <is>
          <t>Заячье такси</t>
        </is>
      </c>
      <c r="E4258" s="2" t="n">
        <v>1979</v>
      </c>
      <c r="F4258" s="2" t="inlineStr">
        <is>
          <t>мультфильм</t>
        </is>
      </c>
      <c r="G4258" s="2" t="inlineStr">
        <is>
          <t>ТАЛЛИННФИЛЬМ</t>
        </is>
      </c>
      <c r="H4258" s="2" t="n">
        <v>130</v>
      </c>
      <c r="I4258" s="2" t="inlineStr"/>
      <c r="J4258" s="2" t="inlineStr"/>
      <c r="K4258" s="3" t="inlineStr">
        <is>
          <t>О веселых приключениях куклы-невидимки по имени Засыпайка. О том, как Засыпайка катал своего друга мальчика Мати на заячьем такси.</t>
        </is>
      </c>
      <c r="L4258" s="2" t="inlineStr">
        <is>
          <t>https://animator.ru/db/?p=show_film&amp;fid=6685</t>
        </is>
      </c>
      <c r="M4258" s="2">
        <f>HYPERLINK("https://ru.wikipedia.org/w/index.php?search=%D0%97%D0%B0%D1%8F%D1%87%D1%8C%D0%B5%20%D1%82%D0%B0%D0%BA%D1%81%D0%B8%201979%20%D1%84%D0%B8%D0%BB%D1%8C%D0%BC","искать")</f>
        <v/>
      </c>
      <c r="N4258" s="3" t="n"/>
      <c r="O4258" s="2" t="n"/>
      <c r="P4258" s="2" t="n"/>
    </row>
    <row r="4259">
      <c r="A4259" s="2" t="n">
        <v>4258</v>
      </c>
      <c r="B4259" s="2" t="inlineStr">
        <is>
          <t>короткая</t>
        </is>
      </c>
      <c r="C4259" s="2" t="n">
        <v>9672</v>
      </c>
      <c r="D4259" s="3" t="inlineStr">
        <is>
          <t>Степной цвет</t>
        </is>
      </c>
      <c r="E4259" s="2" t="n">
        <v>1931</v>
      </c>
      <c r="F4259" s="2" t="inlineStr">
        <is>
          <t>кинофильм</t>
        </is>
      </c>
      <c r="G4259" s="2" t="n"/>
      <c r="H4259" s="2" t="n">
        <v>131</v>
      </c>
      <c r="I4259" s="2" t="inlineStr"/>
      <c r="J4259" s="2" t="inlineStr"/>
      <c r="K4259" s="3" t="inlineStr">
        <is>
          <t>Главный герой — крестьянин, который, поддавшись кулацкой агитации, уходит в город, но возвращается оттуда сознательным пролетарием.</t>
        </is>
      </c>
      <c r="L4259" s="2" t="inlineStr">
        <is>
          <t>Кино_СССР сводный каталог.xlsx: список фильмов (доп.)</t>
        </is>
      </c>
      <c r="M4259" s="2">
        <f>HYPERLINK("https://ru.wikipedia.org/w/index.php?search=%D0%A1%D1%82%D0%B5%D0%BF%D0%BD%D0%BE%D0%B9%20%D1%86%D0%B2%D0%B5%D1%82%201931%20%D1%84%D0%B8%D0%BB%D1%8C%D0%BC","искать")</f>
        <v/>
      </c>
      <c r="N4259" s="3" t="n"/>
      <c r="O4259" s="2" t="n"/>
      <c r="P4259" s="2" t="n"/>
    </row>
    <row r="4260">
      <c r="A4260" s="2" t="n">
        <v>4259</v>
      </c>
      <c r="B4260" s="2" t="inlineStr">
        <is>
          <t>короткая</t>
        </is>
      </c>
      <c r="C4260" s="2" t="n">
        <v>11777</v>
      </c>
      <c r="D4260" s="3" t="inlineStr">
        <is>
          <t>На лесной тропе</t>
        </is>
      </c>
      <c r="E4260" s="2" t="n">
        <v>1975</v>
      </c>
      <c r="F4260" s="2" t="inlineStr">
        <is>
          <t>мультфильм</t>
        </is>
      </c>
      <c r="G4260" s="2" t="inlineStr">
        <is>
          <t>Союзмультфильм</t>
        </is>
      </c>
      <c r="H4260" s="2" t="n">
        <v>131</v>
      </c>
      <c r="I4260" s="2" t="inlineStr"/>
      <c r="J4260" s="2" t="inlineStr"/>
      <c r="K4260" s="3" t="inlineStr">
        <is>
          <t>Фильм по охране природы. Лис стал нарушать лесной покой вырубкой деревьев, разведением костров и т.д. Зверюшки его за это наказали.</t>
        </is>
      </c>
      <c r="L4260" s="2" t="inlineStr">
        <is>
          <t>https://animator.ru/db/?p=show_film&amp;fid=2691</t>
        </is>
      </c>
      <c r="M4260" s="2">
        <f>HYPERLINK("https://ru.wikipedia.org/w/index.php?search=%D0%9D%D0%B0%20%D0%BB%D0%B5%D1%81%D0%BD%D0%BE%D0%B9%20%D1%82%D1%80%D0%BE%D0%BF%D0%B5%201975%20%D1%84%D0%B8%D0%BB%D1%8C%D0%BC","искать")</f>
        <v/>
      </c>
      <c r="N4260" s="3" t="n"/>
      <c r="O4260" s="2" t="n"/>
      <c r="P4260" s="2" t="n"/>
    </row>
    <row r="4261">
      <c r="A4261" s="2" t="n">
        <v>4260</v>
      </c>
      <c r="B4261" s="2" t="inlineStr">
        <is>
          <t>короткая</t>
        </is>
      </c>
      <c r="C4261" s="2" t="n">
        <v>13002</v>
      </c>
      <c r="D4261" s="3" t="inlineStr">
        <is>
          <t>Золотая овечка</t>
        </is>
      </c>
      <c r="E4261" s="2" t="n">
        <v>1985</v>
      </c>
      <c r="F4261" s="2" t="inlineStr">
        <is>
          <t>мультфильм</t>
        </is>
      </c>
      <c r="G4261" s="2" t="inlineStr">
        <is>
          <t>КАЗАХФИЛЬМ</t>
        </is>
      </c>
      <c r="H4261" s="2" t="n">
        <v>131</v>
      </c>
      <c r="I4261" s="2" t="inlineStr"/>
      <c r="J4261" s="2" t="inlineStr"/>
      <c r="K4261" s="3" t="inlineStr">
        <is>
          <t>Современная сказка по мотивам казахских преданий о том, как девочка помогла Хозяйке неба разыскать ее овечек - облаяка. Для малышей</t>
        </is>
      </c>
      <c r="L4261" s="2" t="inlineStr">
        <is>
          <t>https://animator.ru/db/?p=show_film&amp;fid=4234</t>
        </is>
      </c>
      <c r="M4261" s="2">
        <f>HYPERLINK("https://ru.wikipedia.org/w/index.php?search=%D0%97%D0%BE%D0%BB%D0%BE%D1%82%D0%B0%D1%8F%20%D0%BE%D0%B2%D0%B5%D1%87%D0%BA%D0%B0%201985%20%D1%84%D0%B8%D0%BB%D1%8C%D0%BC","искать")</f>
        <v/>
      </c>
      <c r="N4261" s="3" t="n"/>
      <c r="O4261" s="2" t="n"/>
      <c r="P4261" s="2" t="n"/>
    </row>
    <row r="4262">
      <c r="A4262" s="2" t="n">
        <v>4261</v>
      </c>
      <c r="B4262" s="2" t="inlineStr">
        <is>
          <t>короткая</t>
        </is>
      </c>
      <c r="C4262" s="2" t="n">
        <v>14438</v>
      </c>
      <c r="D4262" s="3" t="inlineStr">
        <is>
          <t>Сказки-засыпайки. Серия 5 "Приключение в пустыне"</t>
        </is>
      </c>
      <c r="E4262" s="2" t="n">
        <v>1980</v>
      </c>
      <c r="F4262" s="2" t="inlineStr">
        <is>
          <t>мультфильм</t>
        </is>
      </c>
      <c r="G4262" s="2" t="n"/>
      <c r="H4262" s="2" t="n">
        <v>131</v>
      </c>
      <c r="I4262" s="2" t="inlineStr"/>
      <c r="J4262" s="2" t="inlineStr"/>
      <c r="K4262" s="3" t="inlineStr">
        <is>
          <t>О веселых приключениях куклы-невидимки по имени Засыпайка. О том, как Засыпайка вылечил своего друга Мати, побывав с ним в пустыне.</t>
        </is>
      </c>
      <c r="L4262" s="2" t="inlineStr">
        <is>
          <t>https://animator.ru/db/?p=show_film&amp;fid=6686</t>
        </is>
      </c>
      <c r="M4262" s="2">
        <f>HYPERLINK("https://ru.wikipedia.org/w/index.php?search=%D0%A1%D0%BA%D0%B0%D0%B7%D0%BA%D0%B8-%D0%B7%D0%B0%D1%81%D1%8B%D0%BF%D0%B0%D0%B9%D0%BA%D0%B8.%20%D0%A1%D0%B5%D1%80%D0%B8%D1%8F%205%20%22%D0%9F%D1%80%D0%B8%D0%BA%D0%BB%D1%8E%D1%87%D0%B5%D0%BD%D0%B8%D0%B5%20%D0%B2%20%D0%BF%D1%83%D1%81%D1%82%D1%8B%D0%BD%D0%B5%22%201980%20%D1%84%D0%B8%D0%BB%D1%8C%D0%BC","искать")</f>
        <v/>
      </c>
      <c r="N4262" s="3" t="n"/>
      <c r="O4262" s="2" t="n"/>
      <c r="P4262" s="2" t="n"/>
    </row>
    <row r="4263">
      <c r="A4263" s="2" t="n">
        <v>4262</v>
      </c>
      <c r="B4263" s="2" t="inlineStr">
        <is>
          <t>короткая</t>
        </is>
      </c>
      <c r="C4263" s="2" t="n">
        <v>8532</v>
      </c>
      <c r="D4263" s="3" t="inlineStr">
        <is>
          <t>Цемент</t>
        </is>
      </c>
      <c r="E4263" s="2" t="n">
        <v>1973</v>
      </c>
      <c r="F4263" s="2" t="inlineStr">
        <is>
          <t>телефильм</t>
        </is>
      </c>
      <c r="G4263" s="2" t="n"/>
      <c r="H4263" s="2" t="n">
        <v>132</v>
      </c>
      <c r="I4263" s="2" t="inlineStr"/>
      <c r="J4263" s="2" t="inlineStr"/>
      <c r="K4263" s="3" t="inlineStr">
        <is>
          <t>Телефильм по мотивам одноименного романа Федора Гладкова. О восстановлении цементного завода, разрушенного в годы Гражданской войны.</t>
        </is>
      </c>
      <c r="L4263" s="2" t="inlineStr">
        <is>
          <t>Кино_СССР сводный каталог.xlsx: список телефильмов</t>
        </is>
      </c>
      <c r="M4263" s="2">
        <f>HYPERLINK("https://ru.wikipedia.org/w/index.php?search=%D0%A6%D0%B5%D0%BC%D0%B5%D0%BD%D1%82%201973%20%D1%84%D0%B8%D0%BB%D1%8C%D0%BC","искать")</f>
        <v/>
      </c>
      <c r="N4263" s="3" t="n"/>
      <c r="O4263" s="2" t="n"/>
      <c r="P4263" s="2" t="n"/>
    </row>
    <row r="4264">
      <c r="A4264" s="2" t="n">
        <v>4263</v>
      </c>
      <c r="B4264" s="2" t="inlineStr">
        <is>
          <t>короткая</t>
        </is>
      </c>
      <c r="C4264" s="2" t="n">
        <v>8261</v>
      </c>
      <c r="D4264" s="3" t="inlineStr">
        <is>
          <t>Рассказ барабанщика</t>
        </is>
      </c>
      <c r="E4264" s="2" t="n">
        <v>1985</v>
      </c>
      <c r="F4264" s="2" t="inlineStr">
        <is>
          <t>телефильм</t>
        </is>
      </c>
      <c r="G4264" s="2" t="n"/>
      <c r="H4264" s="2" t="n">
        <v>133</v>
      </c>
      <c r="I4264" s="2" t="inlineStr"/>
      <c r="J4264" s="2" t="inlineStr"/>
      <c r="K4264" s="3" t="inlineStr">
        <is>
          <t>Рассказ о подвиге необычного воинского подразделения - духового оркестра, который принимал участие в героической обороне Севастополя.</t>
        </is>
      </c>
      <c r="L4264" s="2" t="inlineStr">
        <is>
          <t>Кино_СССР сводный каталог.xlsx: список телефильмов</t>
        </is>
      </c>
      <c r="M4264" s="2">
        <f>HYPERLINK("https://ru.wikipedia.org/w/index.php?search=%D0%A0%D0%B0%D1%81%D1%81%D0%BA%D0%B0%D0%B7%20%D0%B1%D0%B0%D1%80%D0%B0%D0%B1%D0%B0%D0%BD%D1%89%D0%B8%D0%BA%D0%B0%201985%20%D1%84%D0%B8%D0%BB%D1%8C%D0%BC","искать")</f>
        <v/>
      </c>
      <c r="N4264" s="3" t="n"/>
      <c r="O4264" s="2" t="n"/>
      <c r="P4264" s="2" t="n"/>
    </row>
    <row r="4265">
      <c r="A4265" s="2" t="n">
        <v>4264</v>
      </c>
      <c r="B4265" s="2" t="inlineStr">
        <is>
          <t>короткая</t>
        </is>
      </c>
      <c r="C4265" s="2" t="n">
        <v>8837</v>
      </c>
      <c r="D4265" s="3" t="inlineStr">
        <is>
          <t>Мир в другом измерении</t>
        </is>
      </c>
      <c r="E4265" s="2" t="n">
        <v>1989</v>
      </c>
      <c r="F4265" s="2" t="inlineStr">
        <is>
          <t>кинофильм</t>
        </is>
      </c>
      <c r="G4265" s="2" t="n"/>
      <c r="H4265" s="2" t="n">
        <v>133</v>
      </c>
      <c r="I4265" s="2" t="inlineStr"/>
      <c r="J4265" s="2" t="inlineStr"/>
      <c r="K4265" s="3" t="inlineStr">
        <is>
          <t>Цикл фильмов "Мир в другом измерении" рассказывает о воспитанниках детского дома, живущих в атмосфере жестокости и полного бесправия.</t>
        </is>
      </c>
      <c r="L4265" s="2" t="inlineStr">
        <is>
          <t>Кино_СССР сводный каталог.xlsx: список фильмов (доп.)</t>
        </is>
      </c>
      <c r="M4265" s="2">
        <f>HYPERLINK("https://ru.wikipedia.org/w/index.php?search=%D0%9C%D0%B8%D1%80%20%D0%B2%20%D0%B4%D1%80%D1%83%D0%B3%D0%BE%D0%BC%20%D0%B8%D0%B7%D0%BC%D0%B5%D1%80%D0%B5%D0%BD%D0%B8%D0%B8%201989%20%D1%84%D0%B8%D0%BB%D1%8C%D0%BC","искать")</f>
        <v/>
      </c>
      <c r="N4265" s="3" t="n"/>
      <c r="O4265" s="2" t="n"/>
      <c r="P4265" s="2" t="n"/>
    </row>
    <row r="4266">
      <c r="A4266" s="2" t="n">
        <v>4265</v>
      </c>
      <c r="B4266" s="2" t="inlineStr">
        <is>
          <t>короткая</t>
        </is>
      </c>
      <c r="C4266" s="2" t="n">
        <v>9057</v>
      </c>
      <c r="D4266" s="3" t="inlineStr">
        <is>
          <t>Сокол</t>
        </is>
      </c>
      <c r="E4266" s="2" t="n">
        <v>1990</v>
      </c>
      <c r="F4266" s="2" t="inlineStr">
        <is>
          <t>кинофильм</t>
        </is>
      </c>
      <c r="G4266" s="2" t="n"/>
      <c r="H4266" s="2" t="n">
        <v>133</v>
      </c>
      <c r="I4266" s="2" t="inlineStr"/>
      <c r="J4266" s="2" t="inlineStr"/>
      <c r="K4266" s="3" t="inlineStr">
        <is>
          <t>По мотивам старинной русской сказки про Финиста Ясного Сокола. О девушке Анне и ее женихе Федоре. О том, как искали они свое счастье.</t>
        </is>
      </c>
      <c r="L4266" s="2" t="inlineStr">
        <is>
          <t>Кино_СССР сводный каталог.xlsx: список фильмов (доп.)</t>
        </is>
      </c>
      <c r="M4266" s="2">
        <f>HYPERLINK("https://ru.wikipedia.org/w/index.php?search=%D0%A1%D0%BE%D0%BA%D0%BE%D0%BB%201990%20%D1%84%D0%B8%D0%BB%D1%8C%D0%BC","искать")</f>
        <v/>
      </c>
      <c r="N4266" s="3" t="n"/>
      <c r="O4266" s="2" t="n"/>
      <c r="P4266" s="2" t="n"/>
    </row>
    <row r="4267">
      <c r="A4267" s="2" t="n">
        <v>4266</v>
      </c>
      <c r="B4267" s="2" t="inlineStr">
        <is>
          <t>короткая</t>
        </is>
      </c>
      <c r="C4267" s="2" t="n">
        <v>9242</v>
      </c>
      <c r="D4267" s="3" t="inlineStr">
        <is>
          <t>Битва трёх королей</t>
        </is>
      </c>
      <c r="E4267" s="2" t="n">
        <v>1990</v>
      </c>
      <c r="F4267" s="2" t="inlineStr">
        <is>
          <t>кинофильм</t>
        </is>
      </c>
      <c r="G4267" s="2" t="n"/>
      <c r="H4267" s="2" t="n">
        <v>133</v>
      </c>
      <c r="I4267" s="2" t="inlineStr"/>
      <c r="J4267" s="2" t="inlineStr"/>
      <c r="K4267" s="3" t="inlineStr">
        <is>
          <t>Марокко, XVI век. История борьбы за престол принца Абдель-Малека, объединившего кочевые племена Марокко после победы над Португалией.</t>
        </is>
      </c>
      <c r="L4267" s="2" t="inlineStr">
        <is>
          <t>Кино_СССР сводный каталог.xlsx: список фильмов (доп.)</t>
        </is>
      </c>
      <c r="M4267" s="2">
        <f>HYPERLINK("https://ru.wikipedia.org/w/index.php?search=%D0%91%D0%B8%D1%82%D0%B2%D0%B0%20%D1%82%D1%80%D1%91%D1%85%20%D0%BA%D0%BE%D1%80%D0%BE%D0%BB%D0%B5%D0%B9%201990%20%D1%84%D0%B8%D0%BB%D1%8C%D0%BC","искать")</f>
        <v/>
      </c>
      <c r="N4267" s="3" t="n"/>
      <c r="O4267" s="2" t="n"/>
      <c r="P4267" s="2" t="n"/>
    </row>
    <row r="4268">
      <c r="A4268" s="2" t="n">
        <v>4267</v>
      </c>
      <c r="B4268" s="2" t="inlineStr">
        <is>
          <t>короткая</t>
        </is>
      </c>
      <c r="C4268" s="2" t="n">
        <v>9290</v>
      </c>
      <c r="D4268" s="3" t="inlineStr">
        <is>
          <t>Второй армянский киноконцерт</t>
        </is>
      </c>
      <c r="E4268" s="2" t="n">
        <v>1946</v>
      </c>
      <c r="F4268" s="2" t="inlineStr">
        <is>
          <t>кинофильм</t>
        </is>
      </c>
      <c r="G4268" s="2" t="n"/>
      <c r="H4268" s="2" t="n">
        <v>134</v>
      </c>
      <c r="I4268" s="2" t="inlineStr"/>
      <c r="J4268" s="2" t="inlineStr"/>
      <c r="K4268" s="3" t="inlineStr">
        <is>
          <t>В фильм включены отрывки из оперы Л.Ходжа-Эйнатяна “Намус”, из балета “Хандут” на музыку А.Спендиарова и выступление чтеца С.Кочаряна.</t>
        </is>
      </c>
      <c r="L4268" s="2" t="inlineStr">
        <is>
          <t>Кино_СССР сводный каталог.xlsx: список фильмов (доп.)</t>
        </is>
      </c>
      <c r="M4268" s="2">
        <f>HYPERLINK("https://ru.wikipedia.org/w/index.php?search=%D0%92%D1%82%D0%BE%D1%80%D0%BE%D0%B9%20%D0%B0%D1%80%D0%BC%D1%8F%D0%BD%D1%81%D0%BA%D0%B8%D0%B9%20%D0%BA%D0%B8%D0%BD%D0%BE%D0%BA%D0%BE%D0%BD%D1%86%D0%B5%D1%80%D1%82%201946%20%D1%84%D0%B8%D0%BB%D1%8C%D0%BC","искать")</f>
        <v/>
      </c>
      <c r="N4268" s="3" t="n"/>
      <c r="O4268" s="2" t="n"/>
      <c r="P4268" s="2" t="n"/>
    </row>
    <row r="4269">
      <c r="A4269" s="2" t="n">
        <v>4268</v>
      </c>
      <c r="B4269" s="2" t="inlineStr">
        <is>
          <t>короткая</t>
        </is>
      </c>
      <c r="C4269" s="2" t="n">
        <v>12326</v>
      </c>
      <c r="D4269" s="3" t="inlineStr">
        <is>
          <t>Большое путешествие</t>
        </is>
      </c>
      <c r="E4269" s="2" t="n">
        <v>1987</v>
      </c>
      <c r="F4269" s="2" t="inlineStr">
        <is>
          <t>мультфильм</t>
        </is>
      </c>
      <c r="G4269" s="2" t="inlineStr">
        <is>
          <t>КИЕВНАУЧФИЛЬМ</t>
        </is>
      </c>
      <c r="H4269" s="2" t="n">
        <v>134</v>
      </c>
      <c r="I4269" s="2" t="inlineStr"/>
      <c r="J4269" s="2" t="inlineStr"/>
      <c r="K4269" s="3" t="inlineStr">
        <is>
          <t>О том, как бегемотик Топ и котенок Тутти, совершив путешествие на далекую гору, испытали радость открытия большого и прекрасного мира.</t>
        </is>
      </c>
      <c r="L4269" s="2" t="inlineStr">
        <is>
          <t>2026-10_мультфильмы_список_владельца.xlsx; https://animator.ru/db/?p=show_film&amp;fid=3490</t>
        </is>
      </c>
      <c r="M4269" s="2">
        <f>HYPERLINK("https://ru.wikipedia.org/w/index.php?search=%D0%91%D0%BE%D0%BB%D1%8C%D1%88%D0%BE%D0%B5%20%D0%BF%D1%83%D1%82%D0%B5%D1%88%D0%B5%D1%81%D1%82%D0%B2%D0%B8%D0%B5%201987%20%D1%84%D0%B8%D0%BB%D1%8C%D0%BC","искать")</f>
        <v/>
      </c>
      <c r="N4269" s="3" t="n"/>
      <c r="O4269" s="2" t="n"/>
      <c r="P4269" s="2" t="n"/>
    </row>
    <row r="4270">
      <c r="A4270" s="2" t="n">
        <v>4269</v>
      </c>
      <c r="B4270" s="2" t="inlineStr">
        <is>
          <t>короткая</t>
        </is>
      </c>
      <c r="C4270" s="2" t="n">
        <v>12554</v>
      </c>
      <c r="D4270" s="3" t="inlineStr">
        <is>
          <t>Сказка про лунный свет</t>
        </is>
      </c>
      <c r="E4270" s="2" t="n">
        <v>1968</v>
      </c>
      <c r="F4270" s="2" t="inlineStr">
        <is>
          <t>мультфильм</t>
        </is>
      </c>
      <c r="G4270" s="2" t="inlineStr">
        <is>
          <t>КИЕВНАУЧФИЛЬМ</t>
        </is>
      </c>
      <c r="H4270" s="2" t="n">
        <v>134</v>
      </c>
      <c r="I4270" s="2" t="inlineStr"/>
      <c r="J4270" s="2" t="inlineStr"/>
      <c r="K4270" s="3" t="inlineStr">
        <is>
          <t>По мотивам одноименной сказки Н.Гернет.
Расшалившись котенок разбил лампу и пришлось ему собрать лунную пыль, чтобы посветить хозяину.</t>
        </is>
      </c>
      <c r="L4270" s="2" t="inlineStr">
        <is>
          <t>https://gosfilmofond.ru/films/246864/</t>
        </is>
      </c>
      <c r="M4270" s="2">
        <f>HYPERLINK("https://ru.wikipedia.org/w/index.php?search=%D0%A1%D0%BA%D0%B0%D0%B7%D0%BA%D0%B0%20%D0%BF%D1%80%D0%BE%20%D0%BB%D1%83%D0%BD%D0%BD%D1%8B%D0%B9%20%D1%81%D0%B2%D0%B5%D1%82%201968%20%D1%84%D0%B8%D0%BB%D1%8C%D0%BC","искать")</f>
        <v/>
      </c>
      <c r="N4270" s="3" t="n"/>
      <c r="O4270" s="2" t="n"/>
      <c r="P4270" s="2" t="n"/>
    </row>
    <row r="4271">
      <c r="A4271" s="2" t="n">
        <v>4270</v>
      </c>
      <c r="B4271" s="2" t="inlineStr">
        <is>
          <t>короткая</t>
        </is>
      </c>
      <c r="C4271" s="2" t="n">
        <v>13150</v>
      </c>
      <c r="D4271" s="3" t="inlineStr">
        <is>
          <t>Покатигорошек</t>
        </is>
      </c>
      <c r="E4271" s="2" t="n">
        <v>1991</v>
      </c>
      <c r="F4271" s="2" t="inlineStr">
        <is>
          <t>мультфильм</t>
        </is>
      </c>
      <c r="G4271" s="2" t="inlineStr">
        <is>
          <t>БЕЛАРУСЬФИЛЬМ НАЦИОНАЛЬНАЯ КИНОСТУДИЯ - ГП</t>
        </is>
      </c>
      <c r="H4271" s="2" t="n">
        <v>134</v>
      </c>
      <c r="I4271" s="2" t="inlineStr"/>
      <c r="J4271" s="2" t="inlineStr"/>
      <c r="K4271" s="3" t="inlineStr">
        <is>
          <t>По мотивам белорусской народной сказки о борьбе богатыря Покатигорошка, родившегося от проглоченной горошины, с разного рода нечистью.</t>
        </is>
      </c>
      <c r="L4271" s="2" t="inlineStr">
        <is>
          <t>2026-10_мультфильмы_список_владельца.xlsx; https://animator.ru/db/?p=show_film&amp;fid=4382</t>
        </is>
      </c>
      <c r="M4271" s="2">
        <f>HYPERLINK("https://ru.wikipedia.org/w/index.php?search=%D0%9F%D0%BE%D0%BA%D0%B0%D1%82%D0%B8%D0%B3%D0%BE%D1%80%D0%BE%D1%88%D0%B5%D0%BA%201991%20%D1%84%D0%B8%D0%BB%D1%8C%D0%BC","искать")</f>
        <v/>
      </c>
      <c r="N4271" s="3" t="n"/>
      <c r="O4271" s="2" t="n"/>
      <c r="P4271" s="2" t="n"/>
    </row>
    <row r="4272">
      <c r="A4272" s="2" t="n">
        <v>4271</v>
      </c>
      <c r="B4272" s="2" t="inlineStr">
        <is>
          <t>короткая</t>
        </is>
      </c>
      <c r="C4272" s="2" t="n">
        <v>13712</v>
      </c>
      <c r="D4272" s="3" t="inlineStr">
        <is>
          <t>Как старик корову продавал</t>
        </is>
      </c>
      <c r="E4272" s="2" t="n">
        <v>1980</v>
      </c>
      <c r="F4272" s="2" t="inlineStr">
        <is>
          <t>мультфильм</t>
        </is>
      </c>
      <c r="G4272" s="2" t="inlineStr">
        <is>
          <t>ЭКРАН</t>
        </is>
      </c>
      <c r="H4272" s="2" t="n">
        <v>134</v>
      </c>
      <c r="I4272" s="2" t="inlineStr"/>
      <c r="J4272" s="2" t="inlineStr"/>
      <c r="K4272" s="3" t="inlineStr">
        <is>
          <t>Как незадачливый старичок продавая корову, хулил ее покупателям, потому что слишком уж честный был. По мотивам шуточных русских сказок</t>
        </is>
      </c>
      <c r="L4272" s="2" t="inlineStr">
        <is>
          <t>https://animator.ru/db/?p=show_film&amp;fid=5105</t>
        </is>
      </c>
      <c r="M4272" s="2">
        <f>HYPERLINK("https://ru.wikipedia.org/w/index.php?search=%D0%9A%D0%B0%D0%BA%20%D1%81%D1%82%D0%B0%D1%80%D0%B8%D0%BA%20%D0%BA%D0%BE%D1%80%D0%BE%D0%B2%D1%83%20%D0%BF%D1%80%D0%BE%D0%B4%D0%B0%D0%B2%D0%B0%D0%BB%201980%20%D1%84%D0%B8%D0%BB%D1%8C%D0%BC","искать")</f>
        <v/>
      </c>
      <c r="N4272" s="3" t="n"/>
      <c r="O4272" s="2" t="n"/>
      <c r="P4272" s="2" t="n"/>
    </row>
    <row r="4273">
      <c r="A4273" s="2" t="n">
        <v>4272</v>
      </c>
      <c r="B4273" s="2" t="inlineStr">
        <is>
          <t>короткая</t>
        </is>
      </c>
      <c r="C4273" s="2" t="n">
        <v>7304</v>
      </c>
      <c r="D4273" s="3" t="inlineStr">
        <is>
          <t>Валькины паруса</t>
        </is>
      </c>
      <c r="E4273" s="2" t="n">
        <v>1974</v>
      </c>
      <c r="F4273" s="2" t="inlineStr">
        <is>
          <t>телефильм</t>
        </is>
      </c>
      <c r="G4273" s="2" t="n"/>
      <c r="H4273" s="2" t="n">
        <v>135</v>
      </c>
      <c r="I4273" s="2" t="inlineStr"/>
      <c r="J4273" s="2" t="inlineStr"/>
      <c r="K4273" s="3" t="inlineStr">
        <is>
          <t>Телефильм о мальчике, который мечтал о море и воплощал свои мечты в рисунках. По книге Владислава Крапивина "Валькины друзья и паруса".</t>
        </is>
      </c>
      <c r="L4273" s="2" t="inlineStr">
        <is>
          <t>Кино_СССР сводный каталог.xlsx: список телефильмов</t>
        </is>
      </c>
      <c r="M4273" s="2">
        <f>HYPERLINK("https://ru.wikipedia.org/w/index.php?search=%D0%92%D0%B0%D0%BB%D1%8C%D0%BA%D0%B8%D0%BD%D1%8B%20%D0%BF%D0%B0%D1%80%D1%83%D1%81%D0%B0%201974%20%D1%84%D0%B8%D0%BB%D1%8C%D0%BC","искать")</f>
        <v/>
      </c>
      <c r="N4273" s="3" t="n"/>
      <c r="O4273" s="2" t="n"/>
      <c r="P4273" s="2" t="n"/>
    </row>
    <row r="4274">
      <c r="A4274" s="2" t="n">
        <v>4273</v>
      </c>
      <c r="B4274" s="2" t="inlineStr">
        <is>
          <t>короткая</t>
        </is>
      </c>
      <c r="C4274" s="2" t="n">
        <v>9749</v>
      </c>
      <c r="D4274" s="3" t="inlineStr">
        <is>
          <t>Чёрная долина</t>
        </is>
      </c>
      <c r="E4274" s="2" t="n">
        <v>1990</v>
      </c>
      <c r="F4274" s="2" t="inlineStr">
        <is>
          <t>кинофильм</t>
        </is>
      </c>
      <c r="G4274" s="2" t="n"/>
      <c r="H4274" s="2" t="n">
        <v>135</v>
      </c>
      <c r="I4274" s="2" t="inlineStr"/>
      <c r="J4274" s="2" t="inlineStr"/>
      <c r="K4274" s="3" t="inlineStr">
        <is>
          <t>Действие картины происходит в XVII веке, когда поднепровские казаки под предводительством Ивана Сирко оборонялись от татарских набегов.</t>
        </is>
      </c>
      <c r="L4274" s="2" t="inlineStr">
        <is>
          <t>Кино_СССР сводный каталог.xlsx: список фильмов (доп.)</t>
        </is>
      </c>
      <c r="M4274" s="2">
        <f>HYPERLINK("https://ru.wikipedia.org/w/index.php?search=%D0%A7%D1%91%D1%80%D0%BD%D0%B0%D1%8F%20%D0%B4%D0%BE%D0%BB%D0%B8%D0%BD%D0%B0%201990%20%D1%84%D0%B8%D0%BB%D1%8C%D0%BC","искать")</f>
        <v/>
      </c>
      <c r="N4274" s="3" t="n"/>
      <c r="O4274" s="2" t="n"/>
      <c r="P4274" s="2" t="n"/>
    </row>
    <row r="4275">
      <c r="A4275" s="2" t="n">
        <v>4274</v>
      </c>
      <c r="B4275" s="2" t="inlineStr">
        <is>
          <t>короткая</t>
        </is>
      </c>
      <c r="C4275" s="2" t="n">
        <v>11636</v>
      </c>
      <c r="D4275" s="3" t="inlineStr">
        <is>
          <t>Ну, Погоди! ч.3</t>
        </is>
      </c>
      <c r="E4275" s="2" t="n">
        <v>1971</v>
      </c>
      <c r="F4275" s="2" t="inlineStr">
        <is>
          <t>мультфильм</t>
        </is>
      </c>
      <c r="G4275" s="2" t="inlineStr">
        <is>
          <t>Союзмультфильм</t>
        </is>
      </c>
      <c r="H4275" s="2" t="n">
        <v>135</v>
      </c>
      <c r="I4275" s="2" t="inlineStr"/>
      <c r="J4275" s="2" t="inlineStr"/>
      <c r="K4275" s="3" t="inlineStr">
        <is>
          <t>В этой серии Волк пытается догнать Зайца и на мотоцикле, и на гоночном автомобиле, и на велосипеде, но ему все равно ничего не удается.</t>
        </is>
      </c>
      <c r="L4275" s="2" t="inlineStr">
        <is>
          <t>2026-10_мультфильмы_список_владельца.xlsx; https://animator.ru/db/?p=show_film&amp;fid=2550</t>
        </is>
      </c>
      <c r="M4275" s="2">
        <f>HYPERLINK("https://ru.wikipedia.org/w/index.php?search=%D0%9D%D1%83%2C%20%D0%9F%D0%BE%D0%B3%D0%BE%D0%B4%D0%B8%21%20%D1%87.3%201971%20%D1%84%D0%B8%D0%BB%D1%8C%D0%BC","искать")</f>
        <v/>
      </c>
      <c r="N4275" s="3" t="n"/>
      <c r="O4275" s="2" t="n"/>
      <c r="P4275" s="2" t="n"/>
    </row>
    <row r="4276">
      <c r="A4276" s="2" t="n">
        <v>4275</v>
      </c>
      <c r="B4276" s="2" t="inlineStr">
        <is>
          <t>короткая</t>
        </is>
      </c>
      <c r="C4276" s="2" t="n">
        <v>14409</v>
      </c>
      <c r="D4276" s="3" t="inlineStr">
        <is>
          <t>Венера</t>
        </is>
      </c>
      <c r="E4276" s="2" t="n">
        <v>1991</v>
      </c>
      <c r="F4276" s="2" t="inlineStr">
        <is>
          <t>мультфильм</t>
        </is>
      </c>
      <c r="G4276" s="2" t="inlineStr">
        <is>
          <t>СОЮЗТЕЛЕФИЛЬМ</t>
        </is>
      </c>
      <c r="H4276" s="2" t="n">
        <v>135</v>
      </c>
      <c r="I4276" s="2" t="inlineStr"/>
      <c r="J4276" s="2" t="inlineStr"/>
      <c r="K4276" s="3" t="inlineStr">
        <is>
          <t>Человек пытается восполнить, в силу своего разума и понятия о красоте, некоторые детали в статуе Венеры, упущенные великим скульптором.</t>
        </is>
      </c>
      <c r="L4276" s="2" t="inlineStr">
        <is>
          <t>https://animator.ru/db/?p=show_film&amp;fid=6640</t>
        </is>
      </c>
      <c r="M4276" s="2">
        <f>HYPERLINK("https://ru.wikipedia.org/w/index.php?search=%D0%92%D0%B5%D0%BD%D0%B5%D1%80%D0%B0%201991%20%D1%84%D0%B8%D0%BB%D1%8C%D0%BC","искать")</f>
        <v/>
      </c>
      <c r="N4276" s="3" t="n"/>
      <c r="O4276" s="2" t="n"/>
      <c r="P4276" s="2" t="n"/>
    </row>
    <row r="4277">
      <c r="A4277" s="2" t="n">
        <v>4276</v>
      </c>
      <c r="B4277" s="2" t="inlineStr">
        <is>
          <t>короткая</t>
        </is>
      </c>
      <c r="C4277" s="2" t="n">
        <v>8887</v>
      </c>
      <c r="D4277" s="3" t="inlineStr">
        <is>
          <t>Облава на одичавших собак</t>
        </is>
      </c>
      <c r="E4277" s="2" t="n">
        <v>1990</v>
      </c>
      <c r="F4277" s="2" t="inlineStr">
        <is>
          <t>кинофильм</t>
        </is>
      </c>
      <c r="G4277" s="2" t="n"/>
      <c r="H4277" s="2" t="n">
        <v>136</v>
      </c>
      <c r="I4277" s="2" t="inlineStr"/>
      <c r="J4277" s="2" t="inlineStr"/>
      <c r="K4277" s="3" t="inlineStr">
        <is>
          <t>В основе сюжета — история бывшего учителя, ставшего одним из лидеров партийного руководства Узбекистана, замешанного в «хлопковом деле».</t>
        </is>
      </c>
      <c r="L4277" s="2" t="inlineStr">
        <is>
          <t>Кино_СССР сводный каталог.xlsx: список фильмов (доп.)</t>
        </is>
      </c>
      <c r="M4277" s="2">
        <f>HYPERLINK("https://ru.wikipedia.org/w/index.php?search=%D0%9E%D0%B1%D0%BB%D0%B0%D0%B2%D0%B0%20%D0%BD%D0%B0%20%D0%BE%D0%B4%D0%B8%D1%87%D0%B0%D0%B2%D1%88%D0%B8%D1%85%20%D1%81%D0%BE%D0%B1%D0%B0%D0%BA%201990%20%D1%84%D0%B8%D0%BB%D1%8C%D0%BC","искать")</f>
        <v/>
      </c>
      <c r="N4277" s="3" t="n"/>
      <c r="O4277" s="2" t="n"/>
      <c r="P4277" s="2" t="n"/>
    </row>
    <row r="4278">
      <c r="A4278" s="2" t="n">
        <v>4277</v>
      </c>
      <c r="B4278" s="2" t="inlineStr">
        <is>
          <t>короткая</t>
        </is>
      </c>
      <c r="C4278" s="2" t="n">
        <v>8947</v>
      </c>
      <c r="D4278" s="3" t="inlineStr">
        <is>
          <t>Пожар, любовь и Помпиеро</t>
        </is>
      </c>
      <c r="E4278" s="2" t="n">
        <v>1976</v>
      </c>
      <c r="F4278" s="2" t="inlineStr">
        <is>
          <t>кинофильм</t>
        </is>
      </c>
      <c r="G4278" s="2" t="n"/>
      <c r="H4278" s="2" t="n">
        <v>136</v>
      </c>
      <c r="I4278" s="2" t="inlineStr"/>
      <c r="J4278" s="2" t="inlineStr"/>
      <c r="K4278" s="3" t="inlineStr">
        <is>
          <t>სიყვარული, ხანძარი და პომპიერო Девушка влюбляется в солдата, который находится на военной службе и работает в сельской пожарной команде.</t>
        </is>
      </c>
      <c r="L4278" s="2" t="inlineStr">
        <is>
          <t>Кино_СССР сводный каталог.xlsx: список фильмов (доп.)</t>
        </is>
      </c>
      <c r="M4278" s="2">
        <f>HYPERLINK("https://ru.wikipedia.org/w/index.php?search=%D0%9F%D0%BE%D0%B6%D0%B0%D1%80%2C%20%D0%BB%D1%8E%D0%B1%D0%BE%D0%B2%D1%8C%20%D0%B8%20%D0%9F%D0%BE%D0%BC%D0%BF%D0%B8%D0%B5%D1%80%D0%BE%201976%20%D1%84%D0%B8%D0%BB%D1%8C%D0%BC","искать")</f>
        <v/>
      </c>
      <c r="N4278" s="3" t="n"/>
      <c r="O4278" s="2" t="n"/>
      <c r="P4278" s="2" t="n"/>
    </row>
    <row r="4279">
      <c r="A4279" s="2" t="n">
        <v>4278</v>
      </c>
      <c r="B4279" s="2" t="inlineStr">
        <is>
          <t>короткая</t>
        </is>
      </c>
      <c r="C4279" s="2" t="n">
        <v>10976</v>
      </c>
      <c r="D4279" s="3" t="inlineStr">
        <is>
          <t>Алиса в стране чудес</t>
        </is>
      </c>
      <c r="E4279" s="2" t="n">
        <v>1983</v>
      </c>
      <c r="F4279" s="2" t="inlineStr">
        <is>
          <t>фильм-спектакль</t>
        </is>
      </c>
      <c r="G4279" s="2" t="inlineStr">
        <is>
          <t>Childrens Theatre Company and School of Minneapolis</t>
        </is>
      </c>
      <c r="H4279" s="2" t="n">
        <v>136</v>
      </c>
      <c r="I4279" s="2" t="inlineStr"/>
      <c r="J4279" s="2" t="inlineStr"/>
      <c r="K4279" s="3" t="inlineStr">
        <is>
          <t>Маленькая девочка по имени Алиса падает в кроличью нору и оказывается в Стране чудес, стране фантазий со странными персонажами и идеями.</t>
        </is>
      </c>
      <c r="L4279" s="2" t="inlineStr">
        <is>
          <t>https://www.kino-teatr.ru/teatr/movie/166457/annot/</t>
        </is>
      </c>
      <c r="M4279" s="2">
        <f>HYPERLINK("https://ru.wikipedia.org/w/index.php?search=%D0%90%D0%BB%D0%B8%D1%81%D0%B0%20%D0%B2%20%D1%81%D1%82%D1%80%D0%B0%D0%BD%D0%B5%20%D1%87%D1%83%D0%B4%D0%B5%D1%81%201983%20%D1%84%D0%B8%D0%BB%D1%8C%D0%BC","искать")</f>
        <v/>
      </c>
      <c r="N4279" s="3" t="n"/>
      <c r="O4279" s="2" t="n"/>
      <c r="P4279" s="2" t="n"/>
    </row>
    <row r="4280">
      <c r="A4280" s="2" t="n">
        <v>4279</v>
      </c>
      <c r="B4280" s="2" t="inlineStr">
        <is>
          <t>короткая</t>
        </is>
      </c>
      <c r="C4280" s="2" t="n">
        <v>11688</v>
      </c>
      <c r="D4280" s="3" t="inlineStr">
        <is>
          <t>Утенок, который не умел играть в футбол</t>
        </is>
      </c>
      <c r="E4280" s="2" t="n">
        <v>1972</v>
      </c>
      <c r="F4280" s="2" t="inlineStr">
        <is>
          <t>мультфильм</t>
        </is>
      </c>
      <c r="G4280" s="2" t="inlineStr">
        <is>
          <t>Союзмультфильм</t>
        </is>
      </c>
      <c r="H4280" s="2" t="n">
        <v>136</v>
      </c>
      <c r="I4280" s="2" t="inlineStr"/>
      <c r="J4280" s="2" t="inlineStr"/>
      <c r="K4280" s="3" t="inlineStr">
        <is>
          <t>Утенок не умел играть в футбол, зато хорошо играл на трубе. И в футбольном матче между утятами и гусятами это сыграло не последнюю роль.</t>
        </is>
      </c>
      <c r="L4280" s="2" t="inlineStr">
        <is>
          <t>https://animator.ru/db/?p=show_film&amp;fid=2602</t>
        </is>
      </c>
      <c r="M4280" s="2">
        <f>HYPERLINK("https://ru.wikipedia.org/w/index.php?search=%D0%A3%D1%82%D0%B5%D0%BD%D0%BE%D0%BA%2C%20%D0%BA%D0%BE%D1%82%D0%BE%D1%80%D1%8B%D0%B9%20%D0%BD%D0%B5%20%D1%83%D0%BC%D0%B5%D0%BB%20%D0%B8%D0%B3%D1%80%D0%B0%D1%82%D1%8C%20%D0%B2%20%D1%84%D1%83%D1%82%D0%B1%D0%BE%D0%BB%201972%20%D1%84%D0%B8%D0%BB%D1%8C%D0%BC","искать")</f>
        <v/>
      </c>
      <c r="N4280" s="3" t="n"/>
      <c r="O4280" s="2" t="n"/>
      <c r="P4280" s="2" t="n"/>
    </row>
    <row r="4281">
      <c r="A4281" s="2" t="n">
        <v>4280</v>
      </c>
      <c r="B4281" s="2" t="inlineStr">
        <is>
          <t>короткая</t>
        </is>
      </c>
      <c r="C4281" s="2" t="n">
        <v>12472</v>
      </c>
      <c r="D4281" s="3" t="inlineStr">
        <is>
          <t>Никчемучка</t>
        </is>
      </c>
      <c r="E4281" s="2" t="n">
        <v>1977</v>
      </c>
      <c r="F4281" s="2" t="inlineStr">
        <is>
          <t>мультфильм</t>
        </is>
      </c>
      <c r="G4281" s="2" t="inlineStr">
        <is>
          <t>КИЕВНАУЧФИЛЬМ</t>
        </is>
      </c>
      <c r="H4281" s="2" t="n">
        <v>136</v>
      </c>
      <c r="I4281" s="2" t="inlineStr"/>
      <c r="J4281" s="2" t="inlineStr"/>
      <c r="K4281" s="3" t="inlineStr">
        <is>
          <t>Среди лета вдруг наступила зима. Зверюшки оказались в беде, но соломенный мальчик отдал все свои соломинки солнышку, и снова стало тепло</t>
        </is>
      </c>
      <c r="L4281" s="2" t="inlineStr">
        <is>
          <t>2026-10_мультфильмы_список_владельца.xlsx; https://animator.ru/db/?p=show_film&amp;fid=3645</t>
        </is>
      </c>
      <c r="M4281" s="2">
        <f>HYPERLINK("https://ru.wikipedia.org/w/index.php?search=%D0%9D%D0%B8%D0%BA%D1%87%D0%B5%D0%BC%D1%83%D1%87%D0%BA%D0%B0%201977%20%D1%84%D0%B8%D0%BB%D1%8C%D0%BC","искать")</f>
        <v/>
      </c>
      <c r="N4281" s="3" t="n"/>
      <c r="O4281" s="2" t="n"/>
      <c r="P4281" s="2" t="n"/>
    </row>
    <row r="4282">
      <c r="A4282" s="2" t="n">
        <v>4281</v>
      </c>
      <c r="B4282" s="2" t="inlineStr">
        <is>
          <t>короткая</t>
        </is>
      </c>
      <c r="C4282" s="2" t="n">
        <v>12567</v>
      </c>
      <c r="D4282" s="3" t="inlineStr">
        <is>
          <t>Ссора</t>
        </is>
      </c>
      <c r="E4282" s="2" t="n">
        <v>1978</v>
      </c>
      <c r="F4282" s="2" t="inlineStr">
        <is>
          <t>мультфильм</t>
        </is>
      </c>
      <c r="G4282" s="2" t="inlineStr">
        <is>
          <t>КИЕВНАУЧФИЛЬМ</t>
        </is>
      </c>
      <c r="H4282" s="2" t="n">
        <v>136</v>
      </c>
      <c r="I4282" s="2" t="inlineStr"/>
      <c r="J4282" s="2" t="inlineStr"/>
      <c r="K4282" s="3" t="inlineStr">
        <is>
          <t>О трогательной дружбе большого бегемота Топа и маленького барса Тутти, которые поссорились, но нашли в себе мужество простить друг друга</t>
        </is>
      </c>
      <c r="L4282" s="2" t="inlineStr">
        <is>
          <t>2026-10_мультфильмы_список_владельца.xlsx; https://animator.ru/db/?p=show_film&amp;fid=3747</t>
        </is>
      </c>
      <c r="M4282" s="2">
        <f>HYPERLINK("https://ru.wikipedia.org/w/index.php?search=%D0%A1%D1%81%D0%BE%D1%80%D0%B0%201978%20%D1%84%D0%B8%D0%BB%D1%8C%D0%BC","искать")</f>
        <v/>
      </c>
      <c r="N4282" s="3" t="n"/>
      <c r="O4282" s="2" t="n"/>
      <c r="P4282" s="2" t="n"/>
    </row>
    <row r="4283">
      <c r="A4283" s="2" t="n">
        <v>4282</v>
      </c>
      <c r="B4283" s="2" t="inlineStr">
        <is>
          <t>короткая</t>
        </is>
      </c>
      <c r="C4283" s="2" t="n">
        <v>13432</v>
      </c>
      <c r="D4283" s="3" t="inlineStr">
        <is>
          <t>Бюро находок. ч.1</t>
        </is>
      </c>
      <c r="E4283" s="2" t="n">
        <v>1982</v>
      </c>
      <c r="F4283" s="2" t="inlineStr">
        <is>
          <t>мультфильм</t>
        </is>
      </c>
      <c r="G4283" s="2" t="inlineStr">
        <is>
          <t>ЭКРАН</t>
        </is>
      </c>
      <c r="H4283" s="2" t="n">
        <v>136</v>
      </c>
      <c r="I4283" s="2" t="inlineStr"/>
      <c r="J4283" s="2" t="inlineStr"/>
      <c r="K4283" s="3" t="inlineStr">
        <is>
          <t>Вы что-то потеряли? Обращайтесь сюда! Мульт первый.
О приключениях бездомного пса Тишки, который в Бюро находок стал опытным детективом</t>
        </is>
      </c>
      <c r="L4283" s="2" t="inlineStr">
        <is>
          <t>2026-10_мультфильмы_список_владельца.xlsx; https://animator.ru/db/?p=show_film&amp;fid=4713</t>
        </is>
      </c>
      <c r="M4283" s="2">
        <f>HYPERLINK("https://ru.wikipedia.org/w/index.php?search=%D0%91%D1%8E%D1%80%D0%BE%20%D0%BD%D0%B0%D1%85%D0%BE%D0%B4%D0%BE%D0%BA.%20%D1%87.1%201982%20%D1%84%D0%B8%D0%BB%D1%8C%D0%BC","искать")</f>
        <v/>
      </c>
      <c r="N4283" s="3" t="n"/>
      <c r="O4283" s="2" t="n"/>
      <c r="P4283" s="2" t="n"/>
    </row>
    <row r="4284">
      <c r="A4284" s="2" t="n">
        <v>4283</v>
      </c>
      <c r="B4284" s="2" t="inlineStr">
        <is>
          <t>короткая</t>
        </is>
      </c>
      <c r="C4284" s="2" t="n">
        <v>8131</v>
      </c>
      <c r="D4284" s="3" t="inlineStr">
        <is>
          <t>Под знаком Красного креста</t>
        </is>
      </c>
      <c r="E4284" s="2" t="n">
        <v>1987</v>
      </c>
      <c r="F4284" s="2" t="inlineStr">
        <is>
          <t>телефильм</t>
        </is>
      </c>
      <c r="G4284" s="2" t="n"/>
      <c r="H4284" s="2" t="n">
        <v>137</v>
      </c>
      <c r="I4284" s="2" t="inlineStr"/>
      <c r="J4284" s="2" t="inlineStr"/>
      <c r="K4284" s="3" t="inlineStr">
        <is>
          <t>О помощи сотрудников Международного Красного Креста людям в поисках своих родственников, пропавших по время Великой Отечественногй войны.</t>
        </is>
      </c>
      <c r="L4284" s="2" t="inlineStr">
        <is>
          <t>Кино_СССР сводный каталог.xlsx: список телефильмов</t>
        </is>
      </c>
      <c r="M4284" s="2">
        <f>HYPERLINK("https://ru.wikipedia.org/w/index.php?search=%D0%9F%D0%BE%D0%B4%20%D0%B7%D0%BD%D0%B0%D0%BA%D0%BE%D0%BC%20%D0%9A%D1%80%D0%B0%D1%81%D0%BD%D0%BE%D0%B3%D0%BE%20%D0%BA%D1%80%D0%B5%D1%81%D1%82%D0%B0%201987%20%D1%84%D0%B8%D0%BB%D1%8C%D0%BC","искать")</f>
        <v/>
      </c>
      <c r="N4284" s="3" t="n"/>
      <c r="O4284" s="2" t="n"/>
      <c r="P4284" s="2" t="n"/>
    </row>
    <row r="4285">
      <c r="A4285" s="2" t="n">
        <v>4284</v>
      </c>
      <c r="B4285" s="2" t="inlineStr">
        <is>
          <t>короткая</t>
        </is>
      </c>
      <c r="C4285" s="2" t="n">
        <v>8934</v>
      </c>
      <c r="D4285" s="3" t="inlineStr">
        <is>
          <t>По горячим следам</t>
        </is>
      </c>
      <c r="E4285" s="2" t="n">
        <v>1973</v>
      </c>
      <c r="F4285" s="2" t="inlineStr">
        <is>
          <t>не игровое</t>
        </is>
      </c>
      <c r="G4285" s="2" t="n"/>
      <c r="H4285" s="2" t="n">
        <v>137</v>
      </c>
      <c r="I4285" s="2" t="inlineStr"/>
      <c r="J4285" s="2" t="inlineStr"/>
      <c r="K4285" s="3" t="inlineStr">
        <is>
          <t>Учебный фильм, описывающий методику раскрытия преступления "по горячим следам", на примере уголовного дела по факту убийства инкассатора.</t>
        </is>
      </c>
      <c r="L4285" s="2" t="inlineStr">
        <is>
          <t>Кино_СССР сводный каталог.xlsx: список фильмов (доп.)</t>
        </is>
      </c>
      <c r="M4285" s="2">
        <f>HYPERLINK("https://ru.wikipedia.org/w/index.php?search=%D0%9F%D0%BE%20%D0%B3%D0%BE%D1%80%D1%8F%D1%87%D0%B8%D0%BC%20%D1%81%D0%BB%D0%B5%D0%B4%D0%B0%D0%BC%201973%20%D1%84%D0%B8%D0%BB%D1%8C%D0%BC","искать")</f>
        <v/>
      </c>
      <c r="N4285" s="3" t="n"/>
      <c r="O4285" s="2" t="n"/>
      <c r="P4285" s="2" t="n"/>
    </row>
    <row r="4286">
      <c r="A4286" s="2" t="n">
        <v>4285</v>
      </c>
      <c r="B4286" s="2" t="inlineStr">
        <is>
          <t>короткая</t>
        </is>
      </c>
      <c r="C4286" s="2" t="n">
        <v>12574</v>
      </c>
      <c r="D4286" s="3" t="inlineStr">
        <is>
          <t>Страшный, серый, лохматый</t>
        </is>
      </c>
      <c r="E4286" s="2" t="n">
        <v>1971</v>
      </c>
      <c r="F4286" s="2" t="inlineStr">
        <is>
          <t>мультфильм</t>
        </is>
      </c>
      <c r="G4286" s="2" t="inlineStr">
        <is>
          <t>КИЕВНАУЧФИЛЬМ</t>
        </is>
      </c>
      <c r="H4286" s="2" t="n">
        <v>137</v>
      </c>
      <c r="I4286" s="2" t="inlineStr"/>
      <c r="J4286" s="2" t="inlineStr"/>
      <c r="K4286" s="3" t="inlineStr">
        <is>
          <t>Щенок, увидев на реке кого-то большого и лохматого, перепугал всех своих друзей. И только мышонок обьяснил, что это просто напросто туман</t>
        </is>
      </c>
      <c r="L4286" s="2" t="inlineStr">
        <is>
          <t>https://gosfilmofond.ru/films/249787/</t>
        </is>
      </c>
      <c r="M4286" s="2">
        <f>HYPERLINK("https://ru.wikipedia.org/w/index.php?search=%D0%A1%D1%82%D1%80%D0%B0%D1%88%D0%BD%D1%8B%D0%B9%2C%20%D1%81%D0%B5%D1%80%D1%8B%D0%B9%2C%20%D0%BB%D0%BE%D1%85%D0%BC%D0%B0%D1%82%D1%8B%D0%B9%201971%20%D1%84%D0%B8%D0%BB%D1%8C%D0%BC","искать")</f>
        <v/>
      </c>
      <c r="N4286" s="3" t="n"/>
      <c r="O4286" s="2" t="n"/>
      <c r="P4286" s="2" t="n"/>
    </row>
    <row r="4287">
      <c r="A4287" s="2" t="n">
        <v>4286</v>
      </c>
      <c r="B4287" s="2" t="inlineStr">
        <is>
          <t>короткая</t>
        </is>
      </c>
      <c r="C4287" s="2" t="n">
        <v>11884</v>
      </c>
      <c r="D4287" s="3" t="inlineStr">
        <is>
          <t>Подарок для самого слабого</t>
        </is>
      </c>
      <c r="E4287" s="2" t="n">
        <v>1978</v>
      </c>
      <c r="F4287" s="2" t="inlineStr">
        <is>
          <t>мультфильм</t>
        </is>
      </c>
      <c r="G4287" s="2" t="inlineStr">
        <is>
          <t>Союзмультфильм</t>
        </is>
      </c>
      <c r="H4287" s="2" t="n">
        <v>138</v>
      </c>
      <c r="I4287" s="2" t="inlineStr"/>
      <c r="J4287" s="2" t="inlineStr"/>
      <c r="K4287" s="3" t="inlineStr">
        <is>
          <t>Комедийная сказка о необходимости чуткого и внимательного отношения друг к другу, в которой Лев решает заступиться за маленького Зайчишку.</t>
        </is>
      </c>
      <c r="L4287" s="2" t="inlineStr">
        <is>
          <t>2026-10_мультфильмы_список_владельца.xlsx; https://animator.ru/db/?p=show_film&amp;fid=2799</t>
        </is>
      </c>
      <c r="M4287" s="2">
        <f>HYPERLINK("https://ru.wikipedia.org/w/index.php?search=%D0%9F%D0%BE%D0%B4%D0%B0%D1%80%D0%BE%D0%BA%20%D0%B4%D0%BB%D1%8F%20%D1%81%D0%B0%D0%BC%D0%BE%D0%B3%D0%BE%20%D1%81%D0%BB%D0%B0%D0%B1%D0%BE%D0%B3%D0%BE%201978%20%D1%84%D0%B8%D0%BB%D1%8C%D0%BC","искать")</f>
        <v/>
      </c>
      <c r="N4287" s="3" t="n"/>
      <c r="O4287" s="2" t="n"/>
      <c r="P4287" s="2" t="n"/>
    </row>
    <row r="4288">
      <c r="A4288" s="2" t="n">
        <v>4287</v>
      </c>
      <c r="B4288" s="2" t="inlineStr">
        <is>
          <t>короткая</t>
        </is>
      </c>
      <c r="C4288" s="2" t="n">
        <v>12186</v>
      </c>
      <c r="D4288" s="3" t="inlineStr">
        <is>
          <t>Одинокий рояль</t>
        </is>
      </c>
      <c r="E4288" s="2" t="n">
        <v>1986</v>
      </c>
      <c r="F4288" s="2" t="inlineStr">
        <is>
          <t>мультфильм</t>
        </is>
      </c>
      <c r="G4288" s="2" t="inlineStr">
        <is>
          <t>Союзмультфильм</t>
        </is>
      </c>
      <c r="H4288" s="2" t="n">
        <v>138</v>
      </c>
      <c r="I4288" s="2" t="inlineStr"/>
      <c r="J4288" s="2" t="inlineStr"/>
      <c r="K4288" s="3" t="inlineStr">
        <is>
          <t>Мальчик страдает из-за ссоры родителей и покидает их вместе с одиноким роялем и одиноким щенком. теперь они трое не оодиноки. Для взрослых</t>
        </is>
      </c>
      <c r="L4288" s="2" t="inlineStr">
        <is>
          <t>https://animator.ru/db/?p=show_film&amp;fid=3303</t>
        </is>
      </c>
      <c r="M4288" s="2">
        <f>HYPERLINK("https://ru.wikipedia.org/w/index.php?search=%D0%9E%D0%B4%D0%B8%D0%BD%D0%BE%D0%BA%D0%B8%D0%B9%20%D1%80%D0%BE%D1%8F%D0%BB%D1%8C%201986%20%D1%84%D0%B8%D0%BB%D1%8C%D0%BC","искать")</f>
        <v/>
      </c>
      <c r="N4288" s="3" t="n"/>
      <c r="O4288" s="2" t="n"/>
      <c r="P4288" s="2" t="n"/>
    </row>
    <row r="4289">
      <c r="A4289" s="2" t="n">
        <v>4288</v>
      </c>
      <c r="B4289" s="2" t="inlineStr">
        <is>
          <t>короткая</t>
        </is>
      </c>
      <c r="C4289" s="2" t="n">
        <v>14207</v>
      </c>
      <c r="D4289" s="3" t="inlineStr">
        <is>
          <t>Веселая карусель n 3. Рыжий, рыжий, конопатый</t>
        </is>
      </c>
      <c r="E4289" s="2" t="n">
        <v>1971</v>
      </c>
      <c r="F4289" s="2" t="inlineStr">
        <is>
          <t>мультфильм</t>
        </is>
      </c>
      <c r="G4289" s="2" t="inlineStr">
        <is>
          <t>Союзмультфильм</t>
        </is>
      </c>
      <c r="H4289" s="2" t="n">
        <v>138</v>
      </c>
      <c r="I4289" s="2" t="inlineStr"/>
      <c r="J4289" s="2" t="inlineStr"/>
      <c r="K4289" s="3" t="inlineStr">
        <is>
          <t>Сюжет из альманаха «ВЕСЕЛАЯ КАРУСЕЛЬ N 3»
Про рыжего мальчика, над которым все смеялись, пока солнце всех не позолотило и все стали рыжими</t>
        </is>
      </c>
      <c r="L4289" s="2" t="inlineStr">
        <is>
          <t>https://animator.ru/db/?p=show_film&amp;fid=5605</t>
        </is>
      </c>
      <c r="M4289" s="2">
        <f>HYPERLINK("https://ru.wikipedia.org/w/index.php?search=%D0%92%D0%B5%D1%81%D0%B5%D0%BB%D0%B0%D1%8F%20%D0%BA%D0%B0%D1%80%D1%83%D1%81%D0%B5%D0%BB%D1%8C%20n%203.%20%D0%A0%D1%8B%D0%B6%D0%B8%D0%B9%2C%20%D1%80%D1%8B%D0%B6%D0%B8%D0%B9%2C%20%D0%BA%D0%BE%D0%BD%D0%BE%D0%BF%D0%B0%D1%82%D1%8B%D0%B9%201971%20%D1%84%D0%B8%D0%BB%D1%8C%D0%BC","искать")</f>
        <v/>
      </c>
      <c r="N4289" s="3" t="n"/>
      <c r="O4289" s="2" t="n"/>
      <c r="P4289" s="2" t="n"/>
    </row>
    <row r="4290">
      <c r="A4290" s="2" t="n">
        <v>4289</v>
      </c>
      <c r="B4290" s="2" t="inlineStr">
        <is>
          <t>короткая</t>
        </is>
      </c>
      <c r="C4290" s="2" t="n">
        <v>7454</v>
      </c>
      <c r="D4290" s="3" t="inlineStr">
        <is>
          <t>Горская новелла</t>
        </is>
      </c>
      <c r="E4290" s="2" t="n">
        <v>1979</v>
      </c>
      <c r="F4290" s="2" t="inlineStr">
        <is>
          <t>телефильм</t>
        </is>
      </c>
      <c r="G4290" s="2" t="n"/>
      <c r="H4290" s="2" t="n">
        <v>139</v>
      </c>
      <c r="I4290" s="2" t="inlineStr"/>
      <c r="J4290" s="2" t="inlineStr"/>
      <c r="K4290" s="3" t="inlineStr">
        <is>
          <t>О жизни высокогорного аула в Чечено-Ингушетии. Героиня фильма - молодая учительница Светлана Смирнова, приехавшая работать в местную школу.</t>
        </is>
      </c>
      <c r="L4290" s="2" t="inlineStr">
        <is>
          <t>Кино_СССР сводный каталог.xlsx: список телефильмов</t>
        </is>
      </c>
      <c r="M4290" s="2">
        <f>HYPERLINK("https://ru.wikipedia.org/w/index.php?search=%D0%93%D0%BE%D1%80%D1%81%D0%BA%D0%B0%D1%8F%20%D0%BD%D0%BE%D0%B2%D0%B5%D0%BB%D0%BB%D0%B0%201979%20%D1%84%D0%B8%D0%BB%D1%8C%D0%BC","искать")</f>
        <v/>
      </c>
      <c r="N4290" s="3" t="n"/>
      <c r="O4290" s="2" t="n"/>
      <c r="P4290" s="2" t="n"/>
    </row>
    <row r="4291">
      <c r="A4291" s="2" t="n">
        <v>4290</v>
      </c>
      <c r="B4291" s="2" t="inlineStr">
        <is>
          <t>короткая</t>
        </is>
      </c>
      <c r="C4291" s="2" t="n">
        <v>9173</v>
      </c>
      <c r="D4291" s="3" t="inlineStr">
        <is>
          <t>Шерлок Холмс в ХХ веке / Двадцатый век начинается</t>
        </is>
      </c>
      <c r="E4291" s="2" t="n">
        <v>1987</v>
      </c>
      <c r="F4291" s="2" t="inlineStr">
        <is>
          <t>кинофильм</t>
        </is>
      </c>
      <c r="G4291" s="2" t="n"/>
      <c r="H4291" s="2" t="n">
        <v>139</v>
      </c>
      <c r="I4291" s="2" t="inlineStr"/>
      <c r="J4291" s="2" t="inlineStr"/>
      <c r="K4291" s="3" t="inlineStr">
        <is>
          <t>На Бейкер-стрит приходит молодой инженер-гидравлик с перевязанной рукой. Он просит Холмса разобраться в загадочных событиях прошедшей ночи.</t>
        </is>
      </c>
      <c r="L4291" s="2" t="inlineStr">
        <is>
          <t>Кино_СССР сводный каталог.xlsx: список фильмов (доп.)</t>
        </is>
      </c>
      <c r="M4291" s="2">
        <f>HYPERLINK("https://ru.wikipedia.org/w/index.php?search=%D0%A8%D0%B5%D1%80%D0%BB%D0%BE%D0%BA%20%D0%A5%D0%BE%D0%BB%D0%BC%D1%81%20%D0%B2%20%D0%A5%D0%A5%20%D0%B2%D0%B5%D0%BA%D0%B5%20/%20%D0%94%D0%B2%D0%B0%D0%B4%D1%86%D0%B0%D1%82%D1%8B%D0%B9%20%D0%B2%D0%B5%D0%BA%20%D0%BD%D0%B0%D1%87%D0%B8%D0%BD%D0%B0%D0%B5%D1%82%D1%81%D1%8F%201987%20%D1%84%D0%B8%D0%BB%D1%8C%D0%BC","искать")</f>
        <v/>
      </c>
      <c r="N4291" s="3" t="n"/>
      <c r="O4291" s="2" t="n"/>
      <c r="P4291" s="2" t="n"/>
    </row>
    <row r="4292">
      <c r="A4292" s="2" t="n">
        <v>4291</v>
      </c>
      <c r="B4292" s="2" t="inlineStr">
        <is>
          <t>короткая</t>
        </is>
      </c>
      <c r="C4292" s="2" t="n">
        <v>9559</v>
      </c>
      <c r="D4292" s="3" t="inlineStr">
        <is>
          <t>Пограничный пост №17</t>
        </is>
      </c>
      <c r="E4292" s="2" t="n">
        <v>1926</v>
      </c>
      <c r="F4292" s="2" t="inlineStr">
        <is>
          <t>кинофильм</t>
        </is>
      </c>
      <c r="G4292" s="2" t="n"/>
      <c r="H4292" s="2" t="n">
        <v>139</v>
      </c>
      <c r="I4292" s="2" t="inlineStr"/>
      <c r="J4292" s="2" t="inlineStr"/>
      <c r="K4292" s="3" t="inlineStr">
        <is>
          <t>О борьбе дальневосточных пограничников с контрабандистами в постановке театрального режиссера И.Калабухова. В ГФФ копия фильма не хранится.</t>
        </is>
      </c>
      <c r="L4292" s="2" t="inlineStr">
        <is>
          <t>Кино_СССР сводный каталог.xlsx: список фильмов (доп.)</t>
        </is>
      </c>
      <c r="M4292" s="2">
        <f>HYPERLINK("https://ru.wikipedia.org/w/index.php?search=%D0%9F%D0%BE%D0%B3%D1%80%D0%B0%D0%BD%D0%B8%D1%87%D0%BD%D1%8B%D0%B9%20%D0%BF%D0%BE%D1%81%D1%82%20%E2%84%9617%201926%20%D1%84%D0%B8%D0%BB%D1%8C%D0%BC","искать")</f>
        <v/>
      </c>
      <c r="N4292" s="3" t="n"/>
      <c r="O4292" s="2" t="n"/>
      <c r="P4292" s="2" t="n"/>
    </row>
    <row r="4293">
      <c r="A4293" s="2" t="n">
        <v>4292</v>
      </c>
      <c r="B4293" s="2" t="inlineStr">
        <is>
          <t>короткая</t>
        </is>
      </c>
      <c r="C4293" s="2" t="n">
        <v>11618</v>
      </c>
      <c r="D4293" s="3" t="inlineStr">
        <is>
          <t>Алло! Вас слышу!</t>
        </is>
      </c>
      <c r="E4293" s="2" t="n">
        <v>1971</v>
      </c>
      <c r="F4293" s="2" t="inlineStr">
        <is>
          <t>мультфильм</t>
        </is>
      </c>
      <c r="G4293" s="2" t="inlineStr">
        <is>
          <t>Союзмультфильм</t>
        </is>
      </c>
      <c r="H4293" s="2" t="n">
        <v>139</v>
      </c>
      <c r="I4293" s="2" t="inlineStr"/>
      <c r="J4293" s="2" t="inlineStr"/>
      <c r="K4293" s="3" t="inlineStr">
        <is>
          <t>В веселой занимательной форме в фильме рассказывается история возникновения и развития различных видов связи - телеграфа, телефона и радио.</t>
        </is>
      </c>
      <c r="L4293" s="2" t="inlineStr">
        <is>
          <t>https://gosfilmofond.ru/films/247286/</t>
        </is>
      </c>
      <c r="M4293" s="2">
        <f>HYPERLINK("https://ru.wikipedia.org/w/index.php?search=%D0%90%D0%BB%D0%BB%D0%BE%21%20%D0%92%D0%B0%D1%81%20%D1%81%D0%BB%D1%8B%D1%88%D1%83%21%201971%20%D1%84%D0%B8%D0%BB%D1%8C%D0%BC","искать")</f>
        <v/>
      </c>
      <c r="N4293" s="3" t="n"/>
      <c r="O4293" s="2" t="n"/>
      <c r="P4293" s="2" t="n"/>
    </row>
    <row r="4294">
      <c r="A4294" s="2" t="n">
        <v>4293</v>
      </c>
      <c r="B4294" s="2" t="inlineStr">
        <is>
          <t>короткая</t>
        </is>
      </c>
      <c r="C4294" s="2" t="n">
        <v>11667</v>
      </c>
      <c r="D4294" s="3" t="inlineStr">
        <is>
          <t>Выше голову!</t>
        </is>
      </c>
      <c r="E4294" s="2" t="n">
        <v>1972</v>
      </c>
      <c r="F4294" s="2" t="inlineStr">
        <is>
          <t>мультфильм</t>
        </is>
      </c>
      <c r="G4294" s="2" t="inlineStr">
        <is>
          <t>Союзмультфильм</t>
        </is>
      </c>
      <c r="H4294" s="2" t="n">
        <v>139</v>
      </c>
      <c r="I4294" s="2" t="inlineStr"/>
      <c r="J4294" s="2" t="inlineStr"/>
      <c r="K4294" s="3" t="inlineStr">
        <is>
          <t>Состоит из двух сюжетов, объединенных одним героем. Герой этого фильма никогда не теряет самообладания и находит выход из любого положения.</t>
        </is>
      </c>
      <c r="L4294" s="2" t="inlineStr">
        <is>
          <t>2026-10_мультфильмы_список_владельца.xlsx; https://animator.ru/db/?p=show_film&amp;fid=2581</t>
        </is>
      </c>
      <c r="M4294" s="2">
        <f>HYPERLINK("https://ru.wikipedia.org/w/index.php?search=%D0%92%D1%8B%D1%88%D0%B5%20%D0%B3%D0%BE%D0%BB%D0%BE%D0%B2%D1%83%21%201972%20%D1%84%D0%B8%D0%BB%D1%8C%D0%BC","искать")</f>
        <v/>
      </c>
      <c r="N4294" s="3" t="n"/>
      <c r="O4294" s="2" t="n"/>
      <c r="P4294" s="2" t="n"/>
    </row>
    <row r="4295">
      <c r="A4295" s="2" t="n">
        <v>4294</v>
      </c>
      <c r="B4295" s="2" t="inlineStr">
        <is>
          <t>короткая</t>
        </is>
      </c>
      <c r="C4295" s="2" t="n">
        <v>7715</v>
      </c>
      <c r="D4295" s="3" t="inlineStr">
        <is>
          <t>Капля меда</t>
        </is>
      </c>
      <c r="E4295" s="2" t="n">
        <v>1982</v>
      </c>
      <c r="F4295" s="2" t="inlineStr">
        <is>
          <t>телефильм</t>
        </is>
      </c>
      <c r="G4295" s="2" t="n"/>
      <c r="H4295" s="2" t="n">
        <v>140</v>
      </c>
      <c r="I4295" s="2" t="inlineStr"/>
      <c r="J4295" s="2" t="inlineStr"/>
      <c r="K4295" s="3" t="inlineStr">
        <is>
          <t>Մի կաթիլ մեղրը Телефильм по сказкам О.Туманяна. Сказка-притча о том, как всего лишь из-за капли меда может разгореться кровопролитная война.</t>
        </is>
      </c>
      <c r="L4295" s="2" t="inlineStr">
        <is>
          <t>Кино_СССР сводный каталог.xlsx: список телефильмов</t>
        </is>
      </c>
      <c r="M4295" s="2">
        <f>HYPERLINK("https://ru.wikipedia.org/w/index.php?search=%D0%9A%D0%B0%D0%BF%D0%BB%D1%8F%20%D0%BC%D0%B5%D0%B4%D0%B0%201982%20%D1%84%D0%B8%D0%BB%D1%8C%D0%BC","искать")</f>
        <v/>
      </c>
      <c r="N4295" s="3" t="n"/>
      <c r="O4295" s="2" t="n"/>
      <c r="P4295" s="2" t="n"/>
    </row>
    <row r="4296">
      <c r="A4296" s="2" t="n">
        <v>4295</v>
      </c>
      <c r="B4296" s="2" t="inlineStr">
        <is>
          <t>короткая</t>
        </is>
      </c>
      <c r="C4296" s="2" t="n">
        <v>9869</v>
      </c>
      <c r="D4296" s="3" t="inlineStr">
        <is>
          <t>Валерка, Рэмка +</t>
        </is>
      </c>
      <c r="E4296" s="2" t="n">
        <v>1970</v>
      </c>
      <c r="F4296" s="2" t="inlineStr">
        <is>
          <t>кинофильм</t>
        </is>
      </c>
      <c r="G4296" s="2" t="inlineStr">
        <is>
          <t>Одесская киностудия</t>
        </is>
      </c>
      <c r="H4296" s="2" t="n">
        <v>140</v>
      </c>
      <c r="I4296" s="2" t="inlineStr"/>
      <c r="J4296" s="2" t="inlineStr"/>
      <c r="K4296" s="3" t="inlineStr">
        <is>
          <t>Комедия для детей по мотивам рассказа Радия Погодина. Фильм о первой любви двух мальчиков к соседской девочке. Действие происходит в Одессе.</t>
        </is>
      </c>
      <c r="L4296" s="2" t="inlineStr">
        <is>
          <t>https://www.kino-teatr.ru/short/movie/sov/798/annot/</t>
        </is>
      </c>
      <c r="M4296" s="2">
        <f>HYPERLINK("https://ru.wikipedia.org/w/index.php?search=%D0%92%D0%B0%D0%BB%D0%B5%D1%80%D0%BA%D0%B0%2C%20%D0%A0%D1%8D%D0%BC%D0%BA%D0%B0%20%2B%201970%20%D1%84%D0%B8%D0%BB%D1%8C%D0%BC","искать")</f>
        <v/>
      </c>
      <c r="N4296" s="3" t="n"/>
      <c r="O4296" s="2" t="n"/>
      <c r="P4296" s="2" t="n"/>
    </row>
    <row r="4297">
      <c r="A4297" s="2" t="n">
        <v>4296</v>
      </c>
      <c r="B4297" s="2" t="inlineStr">
        <is>
          <t>короткая</t>
        </is>
      </c>
      <c r="C4297" s="2" t="n">
        <v>12366</v>
      </c>
      <c r="D4297" s="3" t="inlineStr">
        <is>
          <t>Если падают звезды...</t>
        </is>
      </c>
      <c r="E4297" s="2" t="n">
        <v>1978</v>
      </c>
      <c r="F4297" s="2" t="inlineStr">
        <is>
          <t>мультфильм</t>
        </is>
      </c>
      <c r="G4297" s="2" t="inlineStr">
        <is>
          <t>КИЕВНАУЧФИЛЬМ</t>
        </is>
      </c>
      <c r="H4297" s="2" t="n">
        <v>140</v>
      </c>
      <c r="I4297" s="2" t="inlineStr"/>
      <c r="J4297" s="2" t="inlineStr"/>
      <c r="K4297" s="3" t="inlineStr">
        <is>
          <t>Как Ежик и Медвежонок протирали звезды от пыли."Если я не буду протирать звезды каждый вечер" - думал ежик - "они обязательно потускнеют..."</t>
        </is>
      </c>
      <c r="L4297" s="2" t="inlineStr">
        <is>
          <t>2026-10_мультфильмы_список_владельца.xlsx; https://animator.ru/db/?p=show_film&amp;fid=3533</t>
        </is>
      </c>
      <c r="M4297" s="2">
        <f>HYPERLINK("https://ru.wikipedia.org/w/index.php?search=%D0%95%D1%81%D0%BB%D0%B8%20%D0%BF%D0%B0%D0%B4%D0%B0%D1%8E%D1%82%20%D0%B7%D0%B2%D0%B5%D0%B7%D0%B4%D1%8B...%201978%20%D1%84%D0%B8%D0%BB%D1%8C%D0%BC","искать")</f>
        <v/>
      </c>
      <c r="N4297" s="3" t="n"/>
      <c r="O4297" s="2" t="n"/>
      <c r="P4297" s="2" t="n"/>
    </row>
    <row r="4298">
      <c r="A4298" s="2" t="n">
        <v>4297</v>
      </c>
      <c r="B4298" s="2" t="inlineStr">
        <is>
          <t>короткая</t>
        </is>
      </c>
      <c r="C4298" s="2" t="n">
        <v>13074</v>
      </c>
      <c r="D4298" s="3" t="inlineStr">
        <is>
          <t>Муравьишка Типа</t>
        </is>
      </c>
      <c r="E4298" s="2" t="n">
        <v>1976</v>
      </c>
      <c r="F4298" s="2" t="inlineStr">
        <is>
          <t>мультфильм</t>
        </is>
      </c>
      <c r="G4298" s="2" t="inlineStr">
        <is>
          <t>ГОСТЕЛЕРАДИО ЛАТВ. ССР ("ТЕЛЕФИЛЬМ-РИГА")</t>
        </is>
      </c>
      <c r="H4298" s="2" t="n">
        <v>140</v>
      </c>
      <c r="I4298" s="2" t="inlineStr"/>
      <c r="J4298" s="2" t="inlineStr"/>
      <c r="K4298" s="3" t="inlineStr">
        <is>
          <t>Как Муравьишка пытался узнать, что такое солнце. Для малышей. ВКФ ТВ фильмов , Ленинград 1976 - Приз жюри за лучший мультипликационный фильм</t>
        </is>
      </c>
      <c r="L4298" s="2" t="inlineStr">
        <is>
          <t>https://animator.ru/db/?p=show_film&amp;fid=4306</t>
        </is>
      </c>
      <c r="M4298" s="2">
        <f>HYPERLINK("https://ru.wikipedia.org/w/index.php?search=%D0%9C%D1%83%D1%80%D0%B0%D0%B2%D1%8C%D0%B8%D1%88%D0%BA%D0%B0%20%D0%A2%D0%B8%D0%BF%D0%B0%201976%20%D1%84%D0%B8%D0%BB%D1%8C%D0%BC","искать")</f>
        <v/>
      </c>
      <c r="N4298" s="3" t="n"/>
      <c r="O4298" s="2" t="n"/>
      <c r="P4298" s="2" t="n"/>
    </row>
    <row r="4299">
      <c r="A4299" s="2" t="n">
        <v>4298</v>
      </c>
      <c r="B4299" s="2" t="inlineStr">
        <is>
          <t>короткая</t>
        </is>
      </c>
      <c r="C4299" s="2" t="n">
        <v>10320</v>
      </c>
      <c r="D4299" s="3" t="inlineStr">
        <is>
          <t>Оперативная командировка</t>
        </is>
      </c>
      <c r="E4299" s="2" t="n">
        <v>1969</v>
      </c>
      <c r="F4299" s="2" t="inlineStr">
        <is>
          <t>фильм-спектакль</t>
        </is>
      </c>
      <c r="G4299" s="2" t="inlineStr">
        <is>
          <t>Центральное телевидение</t>
        </is>
      </c>
      <c r="H4299" s="2" t="n">
        <v>141</v>
      </c>
      <c r="I4299" s="2" t="inlineStr"/>
      <c r="J4299" s="2" t="inlineStr"/>
      <c r="K4299" s="3" t="inlineStr">
        <is>
          <t>По мотивам повести А. Гарри "Лесной разбойник".
О разгроме бригадой Г.И. Котовского контрреволюционного мятежа на Тамбовщине летом 1921 года.</t>
        </is>
      </c>
      <c r="L4299" s="2" t="inlineStr">
        <is>
          <t>https://www.kino-teatr.ru/teatr/movie/82785/annot/</t>
        </is>
      </c>
      <c r="M4299" s="2">
        <f>HYPERLINK("https://ru.wikipedia.org/w/index.php?search=%D0%9E%D0%BF%D0%B5%D1%80%D0%B0%D1%82%D0%B8%D0%B2%D0%BD%D0%B0%D1%8F%20%D0%BA%D0%BE%D0%BC%D0%B0%D0%BD%D0%B4%D0%B8%D1%80%D0%BE%D0%B2%D0%BA%D0%B0%201969%20%D1%84%D0%B8%D0%BB%D1%8C%D0%BC","искать")</f>
        <v/>
      </c>
      <c r="N4299" s="3" t="n"/>
      <c r="O4299" s="2" t="n"/>
      <c r="P4299" s="2" t="n"/>
    </row>
    <row r="4300">
      <c r="A4300" s="2" t="n">
        <v>4299</v>
      </c>
      <c r="B4300" s="2" t="inlineStr">
        <is>
          <t>короткая</t>
        </is>
      </c>
      <c r="C4300" s="2" t="n">
        <v>10477</v>
      </c>
      <c r="D4300" s="3" t="inlineStr">
        <is>
          <t>Час жизни</t>
        </is>
      </c>
      <c r="E4300" s="2" t="n">
        <v>1972</v>
      </c>
      <c r="F4300" s="2" t="inlineStr">
        <is>
          <t>фильм-спектакль</t>
        </is>
      </c>
      <c r="G4300" s="2" t="inlineStr">
        <is>
          <t>Главная редакция литературно-драматических программ ЦТ</t>
        </is>
      </c>
      <c r="H4300" s="2" t="n">
        <v>141</v>
      </c>
      <c r="I4300" s="2" t="inlineStr"/>
      <c r="J4300" s="2" t="inlineStr"/>
      <c r="K4300" s="3" t="inlineStr">
        <is>
          <t>По пьесе Льва Синельникова.
О жизни и революционной деятельности членов семьи Ульяновых в Киеве в период, предшествующий революции 1905 года.</t>
        </is>
      </c>
      <c r="L4300" s="2" t="inlineStr">
        <is>
          <t>https://www.kino-teatr.ru/teatr/movie/17144/annot/</t>
        </is>
      </c>
      <c r="M4300" s="2">
        <f>HYPERLINK("https://ru.wikipedia.org/w/index.php?search=%D0%A7%D0%B0%D1%81%20%D0%B6%D0%B8%D0%B7%D0%BD%D0%B8%201972%20%D1%84%D0%B8%D0%BB%D1%8C%D0%BC","искать")</f>
        <v/>
      </c>
      <c r="N4300" s="3" t="n"/>
      <c r="O4300" s="2" t="n"/>
      <c r="P4300" s="2" t="n"/>
    </row>
    <row r="4301">
      <c r="A4301" s="2" t="n">
        <v>4300</v>
      </c>
      <c r="B4301" s="2" t="inlineStr">
        <is>
          <t>короткая</t>
        </is>
      </c>
      <c r="C4301" s="2" t="n">
        <v>14344</v>
      </c>
      <c r="D4301" s="3" t="inlineStr">
        <is>
          <t>Автогонки</t>
        </is>
      </c>
      <c r="E4301" s="2" t="n">
        <v>1991</v>
      </c>
      <c r="F4301" s="2" t="inlineStr">
        <is>
          <t>мультфильм</t>
        </is>
      </c>
      <c r="G4301" s="2" t="inlineStr">
        <is>
          <t>Пилот, ВИДЕОФИЛЬМ - дистрибюторская компания</t>
        </is>
      </c>
      <c r="H4301" s="2" t="n">
        <v>141</v>
      </c>
      <c r="I4301" s="2" t="inlineStr"/>
      <c r="J4301" s="2" t="inlineStr"/>
      <c r="K4301" s="3" t="inlineStr">
        <is>
          <t>В гонках побеждает Рубик на своем рассыпающемся драндулете, который он дотолкал до финиша. Кубик проигрывает и убивает свой новый автомобиль.</t>
        </is>
      </c>
      <c r="L4301" s="2" t="inlineStr">
        <is>
          <t>https://animator.ru/db/?p=show_film&amp;fid=5923</t>
        </is>
      </c>
      <c r="M4301" s="2">
        <f>HYPERLINK("https://ru.wikipedia.org/w/index.php?search=%D0%90%D0%B2%D1%82%D0%BE%D0%B3%D0%BE%D0%BD%D0%BA%D0%B8%201991%20%D1%84%D0%B8%D0%BB%D1%8C%D0%BC","искать")</f>
        <v/>
      </c>
      <c r="N4301" s="3" t="n"/>
      <c r="O4301" s="2" t="n"/>
      <c r="P4301" s="2" t="n"/>
    </row>
    <row r="4302">
      <c r="A4302" s="2" t="n">
        <v>4301</v>
      </c>
      <c r="B4302" s="2" t="inlineStr">
        <is>
          <t>короткая</t>
        </is>
      </c>
      <c r="C4302" s="2" t="n">
        <v>8606</v>
      </c>
      <c r="D4302" s="3" t="inlineStr">
        <is>
          <t>Юркины рассветы</t>
        </is>
      </c>
      <c r="E4302" s="2" t="n">
        <v>1974</v>
      </c>
      <c r="F4302" s="2" t="inlineStr">
        <is>
          <t>телефильм</t>
        </is>
      </c>
      <c r="G4302" s="2" t="n"/>
      <c r="H4302" s="2" t="n">
        <v>142</v>
      </c>
      <c r="I4302" s="2" t="inlineStr"/>
      <c r="J4302" s="2" t="inlineStr"/>
      <c r="K4302" s="3" t="inlineStr">
        <is>
          <t>История о трудовых буднях и проблемах сельской молодёжи, и о любви секретаря комсомольской организации колхоза Юры Хмеля и односельчанки Жени.</t>
        </is>
      </c>
      <c r="L4302" s="2" t="inlineStr">
        <is>
          <t>Кино_СССР сводный каталог.xlsx: список телефильмов</t>
        </is>
      </c>
      <c r="M4302" s="2">
        <f>HYPERLINK("https://ru.wikipedia.org/w/index.php?search=%D0%AE%D1%80%D0%BA%D0%B8%D0%BD%D1%8B%20%D1%80%D0%B0%D1%81%D1%81%D0%B2%D0%B5%D1%82%D1%8B%201974%20%D1%84%D0%B8%D0%BB%D1%8C%D0%BC","искать")</f>
        <v/>
      </c>
      <c r="N4302" s="3" t="n"/>
      <c r="O4302" s="2" t="n"/>
      <c r="P4302" s="2" t="n"/>
    </row>
    <row r="4303">
      <c r="A4303" s="2" t="n">
        <v>4302</v>
      </c>
      <c r="B4303" s="2" t="inlineStr">
        <is>
          <t>короткая</t>
        </is>
      </c>
      <c r="C4303" s="2" t="n">
        <v>10671</v>
      </c>
      <c r="D4303" s="3" t="inlineStr">
        <is>
          <t>Сильва</t>
        </is>
      </c>
      <c r="E4303" s="2" t="n">
        <v>1976</v>
      </c>
      <c r="F4303" s="2" t="inlineStr">
        <is>
          <t>фильм-спектакль</t>
        </is>
      </c>
      <c r="G4303" s="2" t="n"/>
      <c r="H4303" s="2" t="n">
        <v>142</v>
      </c>
      <c r="I4303" s="2" t="inlineStr"/>
      <c r="J4303" s="2" t="inlineStr"/>
      <c r="K4303" s="3" t="inlineStr">
        <is>
          <t>Телеспектакль по мотивам оперетты Имре Кальмана. История о любви князя Эдвина и знаменитой, но, к сожалению, не имеющей титула, певицы Сильвы.</t>
        </is>
      </c>
      <c r="L4303" s="2" t="inlineStr">
        <is>
          <t>https://www.kino-teatr.ru/teatr/movie/86517/annot/</t>
        </is>
      </c>
      <c r="M4303" s="2">
        <f>HYPERLINK("https://ru.wikipedia.org/w/index.php?search=%D0%A1%D0%B8%D0%BB%D1%8C%D0%B2%D0%B0%201976%20%D1%84%D0%B8%D0%BB%D1%8C%D0%BC","искать")</f>
        <v/>
      </c>
      <c r="N4303" s="3" t="n"/>
      <c r="O4303" s="2" t="n"/>
      <c r="P4303" s="2" t="n"/>
    </row>
    <row r="4304">
      <c r="A4304" s="2" t="n">
        <v>4303</v>
      </c>
      <c r="B4304" s="2" t="inlineStr">
        <is>
          <t>короткая</t>
        </is>
      </c>
      <c r="C4304" s="2" t="n">
        <v>14088</v>
      </c>
      <c r="D4304" s="3" t="inlineStr">
        <is>
          <t>Буренка из Масленкино</t>
        </is>
      </c>
      <c r="E4304" s="2" t="n">
        <v>1973</v>
      </c>
      <c r="F4304" s="2" t="inlineStr">
        <is>
          <t>мультфильм</t>
        </is>
      </c>
      <c r="G4304" s="2" t="inlineStr">
        <is>
          <t>СВЕРДЛОВСКТЕЛЕФИЛЬМ</t>
        </is>
      </c>
      <c r="H4304" s="2" t="n">
        <v>142</v>
      </c>
      <c r="I4304" s="2" t="inlineStr"/>
      <c r="J4304" s="2" t="inlineStr"/>
      <c r="K4304" s="3" t="inlineStr">
        <is>
          <t>О рассеянной и мечтательной Буренке, заблудившейся в лесу."Как хотел бы я хоть раз, хоть сегодня, хоть сейчас, сделать что-нибудь прекрасное!"</t>
        </is>
      </c>
      <c r="L4304" s="2" t="inlineStr">
        <is>
          <t>2026-10_мультфильмы_список_владельца.xlsx; https://animator.ru/db/?p=show_film&amp;fid=5486</t>
        </is>
      </c>
      <c r="M4304" s="2">
        <f>HYPERLINK("https://ru.wikipedia.org/w/index.php?search=%D0%91%D1%83%D1%80%D0%B5%D0%BD%D0%BA%D0%B0%20%D0%B8%D0%B7%20%D0%9C%D0%B0%D1%81%D0%BB%D0%B5%D0%BD%D0%BA%D0%B8%D0%BD%D0%BE%201973%20%D1%84%D0%B8%D0%BB%D1%8C%D0%BC","искать")</f>
        <v/>
      </c>
      <c r="N4304" s="3" t="n"/>
      <c r="O4304" s="2" t="n"/>
      <c r="P4304" s="2" t="n"/>
    </row>
    <row r="4305">
      <c r="A4305" s="2" t="n">
        <v>4304</v>
      </c>
      <c r="B4305" s="2" t="inlineStr">
        <is>
          <t>короткая</t>
        </is>
      </c>
      <c r="C4305" s="2" t="n">
        <v>14434</v>
      </c>
      <c r="D4305" s="3" t="inlineStr">
        <is>
          <t>Сказки-засыпайки. Серия 1 "Следы на снегу"</t>
        </is>
      </c>
      <c r="E4305" s="2" t="n">
        <v>1978</v>
      </c>
      <c r="F4305" s="2" t="inlineStr">
        <is>
          <t>мультфильм</t>
        </is>
      </c>
      <c r="G4305" s="2" t="n"/>
      <c r="H4305" s="2" t="n">
        <v>142</v>
      </c>
      <c r="I4305" s="2" t="inlineStr"/>
      <c r="J4305" s="2" t="inlineStr"/>
      <c r="K4305" s="3" t="inlineStr">
        <is>
          <t>О веселых приключениях куклы-невидимки по имени Засыпайка. О том, как Засыпайка познакомился с мальчиком Мати и его маленькой собачкой Тупсом.</t>
        </is>
      </c>
      <c r="L4305" s="2" t="inlineStr">
        <is>
          <t>https://animator.ru/db/?p=show_film&amp;fid=6682</t>
        </is>
      </c>
      <c r="M4305" s="2">
        <f>HYPERLINK("https://ru.wikipedia.org/w/index.php?search=%D0%A1%D0%BA%D0%B0%D0%B7%D0%BA%D0%B8-%D0%B7%D0%B0%D1%81%D1%8B%D0%BF%D0%B0%D0%B9%D0%BA%D0%B8.%20%D0%A1%D0%B5%D1%80%D0%B8%D1%8F%201%20%22%D0%A1%D0%BB%D0%B5%D0%B4%D1%8B%20%D0%BD%D0%B0%20%D1%81%D0%BD%D0%B5%D0%B3%D1%83%22%201978%20%D1%84%D0%B8%D0%BB%D1%8C%D0%BC","искать")</f>
        <v/>
      </c>
      <c r="N4305" s="3" t="n"/>
      <c r="O4305" s="2" t="n"/>
      <c r="P4305" s="2" t="n"/>
    </row>
    <row r="4306">
      <c r="A4306" s="2" t="n">
        <v>4305</v>
      </c>
      <c r="B4306" s="2" t="inlineStr">
        <is>
          <t>короткая</t>
        </is>
      </c>
      <c r="C4306" s="2" t="n">
        <v>10836</v>
      </c>
      <c r="D4306" s="3" t="inlineStr">
        <is>
          <t>В поте лица своего</t>
        </is>
      </c>
      <c r="E4306" s="2" t="n">
        <v>1980</v>
      </c>
      <c r="F4306" s="2" t="inlineStr">
        <is>
          <t>фильм-спектакль</t>
        </is>
      </c>
      <c r="G4306" s="2" t="inlineStr">
        <is>
          <t>Ленинградское телевидение</t>
        </is>
      </c>
      <c r="H4306" s="2" t="n">
        <v>143</v>
      </c>
      <c r="I4306" s="2" t="inlineStr"/>
      <c r="J4306" s="2" t="inlineStr"/>
      <c r="K4306" s="3" t="inlineStr">
        <is>
          <t>Старый партийный работник Голота отправляется в командировку в город своей юности - крупнейший металлургический центр, где он когда-то работал.</t>
        </is>
      </c>
      <c r="L4306" s="2" t="inlineStr">
        <is>
          <t>https://www.kino-teatr.ru/teatr/movie/8993/annot/</t>
        </is>
      </c>
      <c r="M4306" s="2">
        <f>HYPERLINK("https://ru.wikipedia.org/w/index.php?search=%D0%92%20%D0%BF%D0%BE%D1%82%D0%B5%20%D0%BB%D0%B8%D1%86%D0%B0%20%D1%81%D0%B2%D0%BE%D0%B5%D0%B3%D0%BE%201980%20%D1%84%D0%B8%D0%BB%D1%8C%D0%BC","искать")</f>
        <v/>
      </c>
      <c r="N4306" s="3" t="n"/>
      <c r="O4306" s="2" t="n"/>
      <c r="P4306" s="2" t="n"/>
    </row>
    <row r="4307">
      <c r="A4307" s="2" t="n">
        <v>4306</v>
      </c>
      <c r="B4307" s="2" t="inlineStr">
        <is>
          <t>короткая</t>
        </is>
      </c>
      <c r="C4307" s="2" t="n">
        <v>11027</v>
      </c>
      <c r="D4307" s="3" t="inlineStr">
        <is>
          <t>Капкан для "Волка"</t>
        </is>
      </c>
      <c r="E4307" s="2" t="n">
        <v>1984</v>
      </c>
      <c r="F4307" s="2" t="inlineStr">
        <is>
          <t>фильм-спектакль</t>
        </is>
      </c>
      <c r="G4307" s="2" t="inlineStr">
        <is>
          <t>Ленинградское телевидение</t>
        </is>
      </c>
      <c r="H4307" s="2" t="n">
        <v>143</v>
      </c>
      <c r="I4307" s="2" t="inlineStr"/>
      <c r="J4307" s="2" t="inlineStr"/>
      <c r="K4307" s="3" t="inlineStr">
        <is>
          <t>Снят на основе документов из архива ленинградской милиции.
О раскрытии сотрудниками уголовного розыска преступления, произошедшего в 1947 году.</t>
        </is>
      </c>
      <c r="L4307" s="2" t="inlineStr">
        <is>
          <t>https://www.kino-teatr.ru/teatr/movie/121027/annot/</t>
        </is>
      </c>
      <c r="M4307" s="2">
        <f>HYPERLINK("https://ru.wikipedia.org/w/index.php?search=%D0%9A%D0%B0%D0%BF%D0%BA%D0%B0%D0%BD%20%D0%B4%D0%BB%D1%8F%20%22%D0%92%D0%BE%D0%BB%D0%BA%D0%B0%22%201984%20%D1%84%D0%B8%D0%BB%D1%8C%D0%BC","искать")</f>
        <v/>
      </c>
      <c r="N4307" s="3" t="n"/>
      <c r="O4307" s="2" t="n"/>
      <c r="P4307" s="2" t="n"/>
    </row>
    <row r="4308">
      <c r="A4308" s="2" t="n">
        <v>4307</v>
      </c>
      <c r="B4308" s="2" t="inlineStr">
        <is>
          <t>короткая</t>
        </is>
      </c>
      <c r="C4308" s="2" t="n">
        <v>11068</v>
      </c>
      <c r="D4308" s="3" t="inlineStr">
        <is>
          <t>Несмотря на преклонный возраст</t>
        </is>
      </c>
      <c r="E4308" s="2" t="n">
        <v>1985</v>
      </c>
      <c r="F4308" s="2" t="inlineStr">
        <is>
          <t>фильм-спектакль</t>
        </is>
      </c>
      <c r="G4308" s="2" t="inlineStr">
        <is>
          <t>Главная редакция литературно-драматических программ ЦТ</t>
        </is>
      </c>
      <c r="H4308" s="2" t="n">
        <v>143</v>
      </c>
      <c r="I4308" s="2" t="inlineStr"/>
      <c r="J4308" s="2" t="inlineStr"/>
      <c r="K4308" s="3" t="inlineStr">
        <is>
          <t>Фильм-спектакль о научных открытиях в годы Великой Отечественной войны известного во всем мире ученого-геолога Владимира Афанасьевича Обручева.</t>
        </is>
      </c>
      <c r="L4308" s="2" t="inlineStr">
        <is>
          <t>https://www.kino-teatr.ru/teatr/movie/30883/annot/</t>
        </is>
      </c>
      <c r="M4308" s="2">
        <f>HYPERLINK("https://ru.wikipedia.org/w/index.php?search=%D0%9D%D0%B5%D1%81%D0%BC%D0%BE%D1%82%D1%80%D1%8F%20%D0%BD%D0%B0%20%D0%BF%D1%80%D0%B5%D0%BA%D0%BB%D0%BE%D0%BD%D0%BD%D1%8B%D0%B9%20%D0%B2%D0%BE%D0%B7%D1%80%D0%B0%D1%81%D1%82%201985%20%D1%84%D0%B8%D0%BB%D1%8C%D0%BC","искать")</f>
        <v/>
      </c>
      <c r="N4308" s="3" t="n"/>
      <c r="O4308" s="2" t="n"/>
      <c r="P4308" s="2" t="n"/>
    </row>
    <row r="4309">
      <c r="A4309" s="2" t="n">
        <v>4308</v>
      </c>
      <c r="B4309" s="2" t="inlineStr">
        <is>
          <t>короткая</t>
        </is>
      </c>
      <c r="C4309" s="2" t="n">
        <v>14085</v>
      </c>
      <c r="D4309" s="3" t="inlineStr">
        <is>
          <t>Ай, милая сестрица!</t>
        </is>
      </c>
      <c r="E4309" s="2" t="n">
        <v>1984</v>
      </c>
      <c r="F4309" s="2" t="inlineStr">
        <is>
          <t>мультфильм</t>
        </is>
      </c>
      <c r="G4309" s="2" t="inlineStr">
        <is>
          <t>ГОСТЕЛЕРАДИО ЛАТВ. ССР ("ТЕЛЕФИЛЬМ-РИГА")</t>
        </is>
      </c>
      <c r="H4309" s="2" t="n">
        <v>143</v>
      </c>
      <c r="I4309" s="2" t="inlineStr"/>
      <c r="J4309" s="2" t="inlineStr"/>
      <c r="K4309" s="3" t="inlineStr">
        <is>
          <t>По мотивам латышских народных песен в исполнении фолклорного ансамбля "Ильги". ВКФ ТВ фильмов, Киеув 1985 - Приз жюри "За лучший детский фильм"</t>
        </is>
      </c>
      <c r="L4309" s="2" t="inlineStr">
        <is>
          <t>https://animator.ru/db/?p=show_film&amp;fid=5482</t>
        </is>
      </c>
      <c r="M4309" s="2">
        <f>HYPERLINK("https://ru.wikipedia.org/w/index.php?search=%D0%90%D0%B9%2C%20%D0%BC%D0%B8%D0%BB%D0%B0%D1%8F%20%D1%81%D0%B5%D1%81%D1%82%D1%80%D0%B8%D1%86%D0%B0%21%201984%20%D1%84%D0%B8%D0%BB%D1%8C%D0%BC","искать")</f>
        <v/>
      </c>
      <c r="N4309" s="3" t="n"/>
      <c r="O4309" s="2" t="n"/>
      <c r="P4309" s="2" t="n"/>
    </row>
    <row r="4310">
      <c r="A4310" s="2" t="n">
        <v>4309</v>
      </c>
      <c r="B4310" s="2" t="inlineStr">
        <is>
          <t>короткая</t>
        </is>
      </c>
      <c r="C4310" s="2" t="n">
        <v>8348</v>
      </c>
      <c r="D4310" s="3" t="inlineStr">
        <is>
          <t>Сказка как сказка</t>
        </is>
      </c>
      <c r="E4310" s="2" t="n">
        <v>1978</v>
      </c>
      <c r="F4310" s="2" t="inlineStr">
        <is>
          <t>телефильм</t>
        </is>
      </c>
      <c r="G4310" s="2" t="n"/>
      <c r="H4310" s="2" t="n">
        <v>144</v>
      </c>
      <c r="I4310" s="2" t="inlineStr"/>
      <c r="J4310" s="2" t="inlineStr"/>
      <c r="K4310" s="3" t="inlineStr">
        <is>
          <t>В некотором царстве жила была принцесса. Когда ей исполнилось 16 лет Добрая фея сделала ей особенный подарок. Но Злая фея решила этому помешать.</t>
        </is>
      </c>
      <c r="L4310" s="2" t="inlineStr">
        <is>
          <t>Кино_СССР сводный каталог.xlsx: список телефильмов</t>
        </is>
      </c>
      <c r="M4310" s="2">
        <f>HYPERLINK("https://ru.wikipedia.org/w/index.php?search=%D0%A1%D0%BA%D0%B0%D0%B7%D0%BA%D0%B0%20%D0%BA%D0%B0%D0%BA%20%D1%81%D0%BA%D0%B0%D0%B7%D0%BA%D0%B0%201978%20%D1%84%D0%B8%D0%BB%D1%8C%D0%BC","искать")</f>
        <v/>
      </c>
      <c r="N4310" s="3" t="n"/>
      <c r="O4310" s="2" t="n"/>
      <c r="P4310" s="2" t="n"/>
    </row>
    <row r="4311">
      <c r="A4311" s="2" t="n">
        <v>4310</v>
      </c>
      <c r="B4311" s="2" t="inlineStr">
        <is>
          <t>короткая</t>
        </is>
      </c>
      <c r="C4311" s="2" t="n">
        <v>9809</v>
      </c>
      <c r="D4311" s="3" t="inlineStr">
        <is>
          <t>Жилец</t>
        </is>
      </c>
      <c r="E4311" s="2" t="n">
        <v>1954</v>
      </c>
      <c r="F4311" s="2" t="inlineStr">
        <is>
          <t>телефильм</t>
        </is>
      </c>
      <c r="G4311" s="2" t="inlineStr">
        <is>
          <t>Центральная студия телевидения</t>
        </is>
      </c>
      <c r="H4311" s="2" t="n">
        <v>144</v>
      </c>
      <c r="I4311" s="2" t="inlineStr"/>
      <c r="J4311" s="2" t="inlineStr"/>
      <c r="K4311" s="3" t="inlineStr">
        <is>
          <t>Экранизация одноименного рассказа А.П.Чехова.
Молодой человек, когда-то занимавшийся адвокатурой, теперь живет без дела у своей богатой супруги.</t>
        </is>
      </c>
      <c r="L4311" s="2" t="inlineStr">
        <is>
          <t>https://www.kino-teatr.ru/short/movie/sov/16653/annot/</t>
        </is>
      </c>
      <c r="M4311" s="2">
        <f>HYPERLINK("https://ru.wikipedia.org/w/index.php?search=%D0%96%D0%B8%D0%BB%D0%B5%D1%86%201954%20%D1%84%D0%B8%D0%BB%D1%8C%D0%BC","искать")</f>
        <v/>
      </c>
      <c r="N4311" s="3" t="n"/>
      <c r="O4311" s="2" t="n"/>
      <c r="P4311" s="2" t="n"/>
    </row>
    <row r="4312">
      <c r="A4312" s="2" t="n">
        <v>4311</v>
      </c>
      <c r="B4312" s="2" t="inlineStr">
        <is>
          <t>короткая</t>
        </is>
      </c>
      <c r="C4312" s="2" t="n">
        <v>11978</v>
      </c>
      <c r="D4312" s="3" t="inlineStr">
        <is>
          <t>Ничуть не страшно</t>
        </is>
      </c>
      <c r="E4312" s="2" t="n">
        <v>1981</v>
      </c>
      <c r="F4312" s="2" t="inlineStr">
        <is>
          <t>мультфильм</t>
        </is>
      </c>
      <c r="G4312" s="2" t="inlineStr">
        <is>
          <t>Союзмультфильм</t>
        </is>
      </c>
      <c r="H4312" s="2" t="n">
        <v>144</v>
      </c>
      <c r="I4312" s="2" t="inlineStr"/>
      <c r="J4312" s="2" t="inlineStr"/>
      <c r="K4312" s="3" t="inlineStr">
        <is>
          <t>Герои фильма - два брата, отправляются в ночное путешествие за цветами в подарок для своей мамы и преодолев чувство страха достигают своей цели.</t>
        </is>
      </c>
      <c r="L4312" s="2" t="inlineStr">
        <is>
          <t>https://animator.ru/db/?p=show_film&amp;fid=3092</t>
        </is>
      </c>
      <c r="M4312" s="2">
        <f>HYPERLINK("https://ru.wikipedia.org/w/index.php?search=%D0%9D%D0%B8%D1%87%D1%83%D1%82%D1%8C%20%D0%BD%D0%B5%20%D1%81%D1%82%D1%80%D0%B0%D1%88%D0%BD%D0%BE%201981%20%D1%84%D0%B8%D0%BB%D1%8C%D0%BC","искать")</f>
        <v/>
      </c>
      <c r="N4312" s="3" t="n"/>
      <c r="O4312" s="2" t="n"/>
      <c r="P4312" s="2" t="n"/>
    </row>
    <row r="4313">
      <c r="A4313" s="2" t="n">
        <v>4312</v>
      </c>
      <c r="B4313" s="2" t="inlineStr">
        <is>
          <t>короткая</t>
        </is>
      </c>
      <c r="C4313" s="2" t="n">
        <v>12111</v>
      </c>
      <c r="D4313" s="3" t="inlineStr">
        <is>
          <t>Квартира из сыра</t>
        </is>
      </c>
      <c r="E4313" s="2" t="n">
        <v>1989</v>
      </c>
      <c r="F4313" s="2" t="inlineStr">
        <is>
          <t>мультфильм</t>
        </is>
      </c>
      <c r="G4313" s="2" t="inlineStr">
        <is>
          <t>Союзмультфильм</t>
        </is>
      </c>
      <c r="H4313" s="2" t="n">
        <v>144</v>
      </c>
      <c r="I4313" s="2" t="inlineStr"/>
      <c r="J4313" s="2" t="inlineStr"/>
      <c r="K4313" s="3" t="inlineStr">
        <is>
          <t>Тихий, скромный Мышонок, поселившись в квартире из сыра, наглеет, теряет чувство меры и оказывается один на один со своим злейшим врагом Кошкой.</t>
        </is>
      </c>
      <c r="L4313" s="2" t="inlineStr">
        <is>
          <t>https://animator.ru/db/?p=show_film&amp;fid=3227</t>
        </is>
      </c>
      <c r="M4313" s="2">
        <f>HYPERLINK("https://ru.wikipedia.org/w/index.php?search=%D0%9A%D0%B2%D0%B0%D1%80%D1%82%D0%B8%D1%80%D0%B0%20%D0%B8%D0%B7%20%D1%81%D1%8B%D1%80%D0%B0%201989%20%D1%84%D0%B8%D0%BB%D1%8C%D0%BC","искать")</f>
        <v/>
      </c>
      <c r="N4313" s="3" t="n"/>
      <c r="O4313" s="2" t="n"/>
      <c r="P4313" s="2" t="n"/>
    </row>
    <row r="4314">
      <c r="A4314" s="2" t="n">
        <v>4313</v>
      </c>
      <c r="B4314" s="2" t="inlineStr">
        <is>
          <t>короткая</t>
        </is>
      </c>
      <c r="C4314" s="2" t="n">
        <v>13497</v>
      </c>
      <c r="D4314" s="3" t="inlineStr">
        <is>
          <t>Молочный Нептун</t>
        </is>
      </c>
      <c r="E4314" s="2" t="n">
        <v>1987</v>
      </c>
      <c r="F4314" s="2" t="inlineStr">
        <is>
          <t>мультфильм</t>
        </is>
      </c>
      <c r="G4314" s="2" t="inlineStr">
        <is>
          <t>ЭКРАН</t>
        </is>
      </c>
      <c r="H4314" s="2" t="n">
        <v>144</v>
      </c>
      <c r="I4314" s="2" t="inlineStr"/>
      <c r="J4314" s="2" t="inlineStr"/>
      <c r="K4314" s="3" t="inlineStr">
        <is>
          <t>Познавательный фильм из цикла "Рассказы о профессиях" о производстве молока и о том, как оно полезно. Для малышей
С участием ансамбля "Сени Сон"</t>
        </is>
      </c>
      <c r="L4314" s="2" t="inlineStr">
        <is>
          <t>https://animator.ru/db/?p=show_film&amp;fid=4787</t>
        </is>
      </c>
      <c r="M4314" s="2">
        <f>HYPERLINK("https://ru.wikipedia.org/w/index.php?search=%D0%9C%D0%BE%D0%BB%D0%BE%D1%87%D0%BD%D1%8B%D0%B9%20%D0%9D%D0%B5%D0%BF%D1%82%D1%83%D0%BD%201987%20%D1%84%D0%B8%D0%BB%D1%8C%D0%BC","искать")</f>
        <v/>
      </c>
      <c r="N4314" s="3" t="n"/>
      <c r="O4314" s="2" t="n"/>
      <c r="P4314" s="2" t="n"/>
    </row>
    <row r="4315">
      <c r="A4315" s="2" t="n">
        <v>4314</v>
      </c>
      <c r="B4315" s="2" t="inlineStr">
        <is>
          <t>короткая</t>
        </is>
      </c>
      <c r="C4315" s="2" t="n">
        <v>7349</v>
      </c>
      <c r="D4315" s="3" t="inlineStr">
        <is>
          <t>Внимание: Ведьмы!</t>
        </is>
      </c>
      <c r="E4315" s="2" t="n">
        <v>1990</v>
      </c>
      <c r="F4315" s="2" t="inlineStr">
        <is>
          <t>телефильм</t>
        </is>
      </c>
      <c r="G4315" s="2" t="n"/>
      <c r="H4315" s="2" t="n">
        <v>145</v>
      </c>
      <c r="I4315" s="2" t="inlineStr"/>
      <c r="J4315" s="2" t="inlineStr"/>
      <c r="K4315" s="3" t="inlineStr">
        <is>
          <t>По мотивам повести М.Казовского "Пояс Титимити". Участковый инспектор Павел Храпунцов отслеживает в своем микрорайоне секту с мистическим уклоном</t>
        </is>
      </c>
      <c r="L4315" s="2" t="inlineStr">
        <is>
          <t>Кино_СССР сводный каталог.xlsx: список телефильмов</t>
        </is>
      </c>
      <c r="M4315" s="2">
        <f>HYPERLINK("https://ru.wikipedia.org/w/index.php?search=%D0%92%D0%BD%D0%B8%D0%BC%D0%B0%D0%BD%D0%B8%D0%B5%3A%20%D0%92%D0%B5%D0%B4%D1%8C%D0%BC%D1%8B%21%201990%20%D1%84%D0%B8%D0%BB%D1%8C%D0%BC","искать")</f>
        <v/>
      </c>
      <c r="N4315" s="3" t="n"/>
      <c r="O4315" s="2" t="n"/>
      <c r="P4315" s="2" t="n"/>
    </row>
    <row r="4316">
      <c r="A4316" s="2" t="n">
        <v>4315</v>
      </c>
      <c r="B4316" s="2" t="inlineStr">
        <is>
          <t>короткая</t>
        </is>
      </c>
      <c r="C4316" s="2" t="n">
        <v>7825</v>
      </c>
      <c r="D4316" s="3" t="inlineStr">
        <is>
          <t>Люби меня, как я тебя</t>
        </is>
      </c>
      <c r="E4316" s="2" t="n">
        <v>1986</v>
      </c>
      <c r="F4316" s="2" t="inlineStr">
        <is>
          <t>телефильм</t>
        </is>
      </c>
      <c r="G4316" s="2" t="n"/>
      <c r="H4316" s="2" t="n">
        <v>145</v>
      </c>
      <c r="I4316" s="2" t="inlineStr"/>
      <c r="J4316" s="2" t="inlineStr"/>
      <c r="K4316" s="3" t="inlineStr">
        <is>
          <t>Сентиментальный мюзикл о любви и преданности: полярник Федя встретил и полюбил Ксению. Доброта и чуткость Фёдора вызвали ответное чувство Ксении.</t>
        </is>
      </c>
      <c r="L4316" s="2" t="inlineStr">
        <is>
          <t>Кино_СССР сводный каталог.xlsx: список телефильмов</t>
        </is>
      </c>
      <c r="M4316" s="2">
        <f>HYPERLINK("https://ru.wikipedia.org/w/index.php?search=%D0%9B%D1%8E%D0%B1%D0%B8%20%D0%BC%D0%B5%D0%BD%D1%8F%2C%20%D0%BA%D0%B0%D0%BA%20%D1%8F%20%D1%82%D0%B5%D0%B1%D1%8F%201986%20%D1%84%D0%B8%D0%BB%D1%8C%D0%BC","искать")</f>
        <v/>
      </c>
      <c r="N4316" s="3" t="n"/>
      <c r="O4316" s="2" t="n"/>
      <c r="P4316" s="2" t="n"/>
    </row>
    <row r="4317">
      <c r="A4317" s="2" t="n">
        <v>4316</v>
      </c>
      <c r="B4317" s="2" t="inlineStr">
        <is>
          <t>короткая</t>
        </is>
      </c>
      <c r="C4317" s="2" t="n">
        <v>7883</v>
      </c>
      <c r="D4317" s="3" t="inlineStr">
        <is>
          <t>Мишка, Малыш и другие</t>
        </is>
      </c>
      <c r="E4317" s="2" t="n">
        <v>1981</v>
      </c>
      <c r="F4317" s="2" t="inlineStr">
        <is>
          <t>телефильм</t>
        </is>
      </c>
      <c r="G4317" s="2" t="n"/>
      <c r="H4317" s="2" t="n">
        <v>145</v>
      </c>
      <c r="I4317" s="2" t="inlineStr"/>
      <c r="J4317" s="2" t="inlineStr"/>
      <c r="K4317" s="3" t="inlineStr">
        <is>
          <t>Детский мини-телесериал. Две новеллы «Короткое свидание» и «Первая весна» рассказывают о маленьком медвежонке Пятнашке, познающем окружающий мир.</t>
        </is>
      </c>
      <c r="L4317" s="2" t="inlineStr">
        <is>
          <t>Кино_СССР сводный каталог.xlsx: список телефильмов</t>
        </is>
      </c>
      <c r="M4317" s="2">
        <f>HYPERLINK("https://ru.wikipedia.org/w/index.php?search=%D0%9C%D0%B8%D1%88%D0%BA%D0%B0%2C%20%D0%9C%D0%B0%D0%BB%D1%8B%D1%88%20%D0%B8%20%D0%B4%D1%80%D1%83%D0%B3%D0%B8%D0%B5%201981%20%D1%84%D0%B8%D0%BB%D1%8C%D0%BC","искать")</f>
        <v/>
      </c>
      <c r="N4317" s="3" t="n"/>
      <c r="O4317" s="2" t="n"/>
      <c r="P4317" s="2" t="n"/>
    </row>
    <row r="4318">
      <c r="A4318" s="2" t="n">
        <v>4317</v>
      </c>
      <c r="B4318" s="2" t="inlineStr">
        <is>
          <t>короткая</t>
        </is>
      </c>
      <c r="C4318" s="2" t="n">
        <v>7896</v>
      </c>
      <c r="D4318" s="3" t="inlineStr">
        <is>
          <t>Молодой человек из хорошей семьи</t>
        </is>
      </c>
      <c r="E4318" s="2" t="n">
        <v>1989</v>
      </c>
      <c r="F4318" s="2" t="inlineStr">
        <is>
          <t>телефильм</t>
        </is>
      </c>
      <c r="G4318" s="2" t="n"/>
      <c r="H4318" s="2" t="n">
        <v>145</v>
      </c>
      <c r="I4318" s="2" t="inlineStr"/>
      <c r="J4318" s="2" t="inlineStr"/>
      <c r="K4318" s="3" t="inlineStr">
        <is>
          <t>Валера Сапогин возвращается домой после службы в армии. Много жизненных уроков переживает молодой человек, прежде чем находит свое место в жизни.</t>
        </is>
      </c>
      <c r="L4318" s="2" t="inlineStr">
        <is>
          <t>Кино_СССР сводный каталог.xlsx: список телефильмов</t>
        </is>
      </c>
      <c r="M4318" s="2">
        <f>HYPERLINK("https://ru.wikipedia.org/w/index.php?search=%D0%9C%D0%BE%D0%BB%D0%BE%D0%B4%D0%BE%D0%B9%20%D1%87%D0%B5%D0%BB%D0%BE%D0%B2%D0%B5%D0%BA%20%D0%B8%D0%B7%20%D1%85%D0%BE%D1%80%D0%BE%D1%88%D0%B5%D0%B9%20%D1%81%D0%B5%D0%BC%D1%8C%D0%B8%201989%20%D1%84%D0%B8%D0%BB%D1%8C%D0%BC","искать")</f>
        <v/>
      </c>
      <c r="N4318" s="3" t="n"/>
      <c r="O4318" s="2" t="n"/>
      <c r="P4318" s="2" t="n"/>
    </row>
    <row r="4319">
      <c r="A4319" s="2" t="n">
        <v>4318</v>
      </c>
      <c r="B4319" s="2" t="inlineStr">
        <is>
          <t>короткая</t>
        </is>
      </c>
      <c r="C4319" s="2" t="n">
        <v>9871</v>
      </c>
      <c r="D4319" s="3" t="inlineStr">
        <is>
          <t>Встряска</t>
        </is>
      </c>
      <c r="E4319" s="2" t="n">
        <v>1970</v>
      </c>
      <c r="F4319" s="2" t="inlineStr">
        <is>
          <t>телефильм</t>
        </is>
      </c>
      <c r="G4319" s="2" t="inlineStr">
        <is>
          <t>Мосфильм, творческое объединение "Телефильм"</t>
        </is>
      </c>
      <c r="H4319" s="2" t="n">
        <v>145</v>
      </c>
      <c r="I4319" s="2" t="inlineStr"/>
      <c r="J4319" s="2" t="inlineStr"/>
      <c r="K4319" s="3" t="inlineStr">
        <is>
          <t>Телефильм по мотивам одноименного рассказа М.Горького.
О маленьком мальчике-подмастерье иконописной мастерской, мечтавшем стать цирковым клоуном.</t>
        </is>
      </c>
      <c r="L4319" s="2" t="inlineStr">
        <is>
          <t>https://www.kino-teatr.ru/short/movie/sov/1265/annot/</t>
        </is>
      </c>
      <c r="M4319" s="2">
        <f>HYPERLINK("https://ru.wikipedia.org/w/index.php?search=%D0%92%D1%81%D1%82%D1%80%D1%8F%D1%81%D0%BA%D0%B0%201970%20%D1%84%D0%B8%D0%BB%D1%8C%D0%BC","искать")</f>
        <v/>
      </c>
      <c r="N4319" s="3" t="n"/>
      <c r="O4319" s="2" t="n"/>
      <c r="P4319" s="2" t="n"/>
    </row>
    <row r="4320">
      <c r="A4320" s="2" t="n">
        <v>4319</v>
      </c>
      <c r="B4320" s="2" t="inlineStr">
        <is>
          <t>короткая</t>
        </is>
      </c>
      <c r="C4320" s="2" t="n">
        <v>10971</v>
      </c>
      <c r="D4320" s="3" t="inlineStr">
        <is>
          <t>Старинный детектив</t>
        </is>
      </c>
      <c r="E4320" s="2" t="n">
        <v>1982</v>
      </c>
      <c r="F4320" s="2" t="inlineStr">
        <is>
          <t>фильм-спектакль</t>
        </is>
      </c>
      <c r="G4320" s="2" t="inlineStr">
        <is>
          <t>Главная редакция литературно-драматических программ ЦТ</t>
        </is>
      </c>
      <c r="H4320" s="2" t="n">
        <v>145</v>
      </c>
      <c r="I4320" s="2" t="inlineStr"/>
      <c r="J4320" s="2" t="inlineStr"/>
      <c r="K4320" s="3" t="inlineStr">
        <is>
          <t>По мотивам рассказов Эдгара По и Чарльза Диккенса. Наблюдательность, умение логически мыслить, интуиция, помогли героям раскрыть запутанные дела.</t>
        </is>
      </c>
      <c r="L4320" s="2" t="inlineStr">
        <is>
          <t>https://www.kino-teatr.ru/teatr/movie/81943/annot/</t>
        </is>
      </c>
      <c r="M4320" s="2">
        <f>HYPERLINK("https://ru.wikipedia.org/w/index.php?search=%D0%A1%D1%82%D0%B0%D1%80%D0%B8%D0%BD%D0%BD%D1%8B%D0%B9%20%D0%B4%D0%B5%D1%82%D0%B5%D0%BA%D1%82%D0%B8%D0%B2%201982%20%D1%84%D0%B8%D0%BB%D1%8C%D0%BC","искать")</f>
        <v/>
      </c>
      <c r="N4320" s="3" t="n"/>
      <c r="O4320" s="2" t="n"/>
      <c r="P4320" s="2" t="n"/>
    </row>
    <row r="4321">
      <c r="A4321" s="2" t="n">
        <v>4320</v>
      </c>
      <c r="B4321" s="2" t="inlineStr">
        <is>
          <t>короткая</t>
        </is>
      </c>
      <c r="C4321" s="2" t="n">
        <v>7759</v>
      </c>
      <c r="D4321" s="3" t="inlineStr">
        <is>
          <t>Костры на башнях</t>
        </is>
      </c>
      <c r="E4321" s="2" t="n">
        <v>1968</v>
      </c>
      <c r="F4321" s="2" t="inlineStr">
        <is>
          <t>телефильм</t>
        </is>
      </c>
      <c r="G4321" s="2" t="n"/>
      <c r="H4321" s="2" t="n">
        <v>146</v>
      </c>
      <c r="I4321" s="2" t="inlineStr"/>
      <c r="J4321" s="2" t="inlineStr"/>
      <c r="K4321" s="3" t="inlineStr">
        <is>
          <t>Два бедняка, осетин и ингуш, воюют друг с другом за метр земли в горах. Начинается революция, и их младшие братья становятся друзьями-побратимами.</t>
        </is>
      </c>
      <c r="L4321" s="2" t="inlineStr">
        <is>
          <t>Кино_СССР сводный каталог.xlsx: список телефильмов</t>
        </is>
      </c>
      <c r="M4321" s="2">
        <f>HYPERLINK("https://ru.wikipedia.org/w/index.php?search=%D0%9A%D0%BE%D1%81%D1%82%D1%80%D1%8B%20%D0%BD%D0%B0%20%D0%B1%D0%B0%D1%88%D0%BD%D1%8F%D1%85%201968%20%D1%84%D0%B8%D0%BB%D1%8C%D0%BC","искать")</f>
        <v/>
      </c>
      <c r="N4321" s="3" t="n"/>
      <c r="O4321" s="2" t="n"/>
      <c r="P4321" s="2" t="n"/>
    </row>
    <row r="4322">
      <c r="A4322" s="2" t="n">
        <v>4321</v>
      </c>
      <c r="B4322" s="2" t="inlineStr">
        <is>
          <t>короткая</t>
        </is>
      </c>
      <c r="C4322" s="2" t="n">
        <v>8283</v>
      </c>
      <c r="D4322" s="3" t="inlineStr">
        <is>
          <t>Роса</t>
        </is>
      </c>
      <c r="E4322" s="2" t="n">
        <v>1975</v>
      </c>
      <c r="F4322" s="2" t="inlineStr">
        <is>
          <t>телефильм</t>
        </is>
      </c>
      <c r="G4322" s="2" t="inlineStr">
        <is>
          <t>ТО «Экран»</t>
        </is>
      </c>
      <c r="H4322" s="2" t="n">
        <v>146</v>
      </c>
      <c r="I4322" s="2" t="inlineStr"/>
      <c r="J4322" s="2" t="inlineStr"/>
      <c r="K4322" s="3" t="inlineStr">
        <is>
          <t>О деревенских школьниках-следопытах, занявшихся восстановлением памяти о героическом прошлом своих односельчан в годы Великой Отечественной войны.</t>
        </is>
      </c>
      <c r="L4322" s="2" t="inlineStr">
        <is>
          <t>Кино_СССР сводный каталог.xlsx: список телефильмов</t>
        </is>
      </c>
      <c r="M4322" s="2">
        <f>HYPERLINK("https://ru.wikipedia.org/w/index.php?search=%D0%A0%D0%BE%D1%81%D0%B0%201975%20%D1%84%D0%B8%D0%BB%D1%8C%D0%BC","искать")</f>
        <v/>
      </c>
      <c r="N4322" s="3" t="n"/>
      <c r="O4322" s="2" t="n"/>
      <c r="P4322" s="2" t="n"/>
    </row>
    <row r="4323">
      <c r="A4323" s="2" t="n">
        <v>4322</v>
      </c>
      <c r="B4323" s="2" t="inlineStr">
        <is>
          <t>короткая</t>
        </is>
      </c>
      <c r="C4323" s="2" t="n">
        <v>9076</v>
      </c>
      <c r="D4323" s="3" t="inlineStr">
        <is>
          <t>Супермент</t>
        </is>
      </c>
      <c r="E4323" s="2" t="n">
        <v>1990</v>
      </c>
      <c r="F4323" s="2" t="inlineStr">
        <is>
          <t>кинофильм</t>
        </is>
      </c>
      <c r="G4323" s="2" t="n"/>
      <c r="H4323" s="2" t="n">
        <v>146</v>
      </c>
      <c r="I4323" s="2" t="inlineStr"/>
      <c r="J4323" s="2" t="inlineStr"/>
      <c r="K4323" s="3" t="inlineStr">
        <is>
          <t>Авантюрная остросюжетная история о сотруднике милиции Ружине по прозвищу "Шериф", который, храбро сражается с организованной преступностью в Сочи.</t>
        </is>
      </c>
      <c r="L4323" s="2" t="inlineStr">
        <is>
          <t>Кино_СССР сводный каталог.xlsx: список фильмов (доп.)</t>
        </is>
      </c>
      <c r="M4323" s="2">
        <f>HYPERLINK("https://ru.wikipedia.org/w/index.php?search=%D0%A1%D1%83%D0%BF%D0%B5%D1%80%D0%BC%D0%B5%D0%BD%D1%82%201990%20%D1%84%D0%B8%D0%BB%D1%8C%D0%BC","искать")</f>
        <v/>
      </c>
      <c r="N4323" s="3" t="n"/>
      <c r="O4323" s="2" t="n"/>
      <c r="P4323" s="2" t="n"/>
    </row>
    <row r="4324">
      <c r="A4324" s="2" t="n">
        <v>4323</v>
      </c>
      <c r="B4324" s="2" t="inlineStr">
        <is>
          <t>короткая</t>
        </is>
      </c>
      <c r="C4324" s="2" t="n">
        <v>9539</v>
      </c>
      <c r="D4324" s="3" t="inlineStr">
        <is>
          <t>Очи черные</t>
        </is>
      </c>
      <c r="E4324" s="2" t="n">
        <v>1987</v>
      </c>
      <c r="F4324" s="2" t="inlineStr">
        <is>
          <t>кинофильм</t>
        </is>
      </c>
      <c r="G4324" s="2" t="n"/>
      <c r="H4324" s="2" t="n">
        <v>146</v>
      </c>
      <c r="I4324" s="2" t="inlineStr"/>
      <c r="J4324" s="2" t="inlineStr"/>
      <c r="K4324" s="3" t="inlineStr">
        <is>
          <t>Итальянец Романо встречает на курорте замужнюю русскую женщину Анну и влюбляется в неё. Когда Анна внезапно уезжает, он отправляется на её поиски.</t>
        </is>
      </c>
      <c r="L4324" s="2" t="inlineStr">
        <is>
          <t>Кино_СССР сводный каталог.xlsx: список фильмов (доп.)</t>
        </is>
      </c>
      <c r="M4324" s="2">
        <f>HYPERLINK("https://ru.wikipedia.org/w/index.php?search=%D0%9E%D1%87%D0%B8%20%D1%87%D0%B5%D1%80%D0%BD%D1%8B%D0%B5%201987%20%D1%84%D0%B8%D0%BB%D1%8C%D0%BC","искать")</f>
        <v/>
      </c>
      <c r="N4324" s="3" t="n"/>
      <c r="O4324" s="2" t="n"/>
      <c r="P4324" s="2" t="n"/>
    </row>
    <row r="4325">
      <c r="A4325" s="2" t="n">
        <v>4324</v>
      </c>
      <c r="B4325" s="2" t="inlineStr">
        <is>
          <t>короткая</t>
        </is>
      </c>
      <c r="C4325" s="2" t="n">
        <v>7634</v>
      </c>
      <c r="D4325" s="3" t="inlineStr">
        <is>
          <t>Звон уходящего лета</t>
        </is>
      </c>
      <c r="E4325" s="2" t="n">
        <v>1979</v>
      </c>
      <c r="F4325" s="2" t="inlineStr">
        <is>
          <t>телефильм</t>
        </is>
      </c>
      <c r="G4325" s="2" t="n"/>
      <c r="H4325" s="2" t="n">
        <v>147</v>
      </c>
      <c r="I4325" s="2" t="inlineStr"/>
      <c r="J4325" s="2" t="inlineStr"/>
      <c r="K4325" s="3" t="inlineStr">
        <is>
          <t>Действие фильма происходит в наши дни в одном из белорусских сел. В центре фильма - молодые влюбленные, нашедшие после ряда испытаний свое счастье.</t>
        </is>
      </c>
      <c r="L4325" s="2" t="inlineStr">
        <is>
          <t>Кино_СССР сводный каталог.xlsx: список телефильмов</t>
        </is>
      </c>
      <c r="M4325" s="2">
        <f>HYPERLINK("https://ru.wikipedia.org/w/index.php?search=%D0%97%D0%B2%D0%BE%D0%BD%20%D1%83%D1%85%D0%BE%D0%B4%D1%8F%D1%89%D0%B5%D0%B3%D0%BE%20%D0%BB%D0%B5%D1%82%D0%B0%201979%20%D1%84%D0%B8%D0%BB%D1%8C%D0%BC","искать")</f>
        <v/>
      </c>
      <c r="N4325" s="3" t="n"/>
      <c r="O4325" s="2" t="n"/>
      <c r="P4325" s="2" t="n"/>
    </row>
    <row r="4326">
      <c r="A4326" s="2" t="n">
        <v>4325</v>
      </c>
      <c r="B4326" s="2" t="inlineStr">
        <is>
          <t>короткая</t>
        </is>
      </c>
      <c r="C4326" s="2" t="n">
        <v>8234</v>
      </c>
      <c r="D4326" s="3" t="inlineStr">
        <is>
          <t>Простите нас</t>
        </is>
      </c>
      <c r="E4326" s="2" t="n">
        <v>1979</v>
      </c>
      <c r="F4326" s="2" t="inlineStr">
        <is>
          <t>телефильм</t>
        </is>
      </c>
      <c r="G4326" s="2" t="n"/>
      <c r="H4326" s="2" t="n">
        <v>147</v>
      </c>
      <c r="I4326" s="2" t="inlineStr"/>
      <c r="J4326" s="2" t="inlineStr"/>
      <c r="K4326" s="3" t="inlineStr">
        <is>
          <t>Телефильм по мотивам одноименного рассказа Юрия Бондарева. Герой фильма, известный ученый, после двадцатилетнего перерыва приезжает в родной город.</t>
        </is>
      </c>
      <c r="L4326" s="2" t="inlineStr">
        <is>
          <t>Кино_СССР сводный каталог.xlsx: список телефильмов</t>
        </is>
      </c>
      <c r="M4326" s="2">
        <f>HYPERLINK("https://ru.wikipedia.org/w/index.php?search=%D0%9F%D1%80%D0%BE%D1%81%D1%82%D0%B8%D1%82%D0%B5%20%D0%BD%D0%B0%D1%81%201979%20%D1%84%D0%B8%D0%BB%D1%8C%D0%BC","искать")</f>
        <v/>
      </c>
      <c r="N4326" s="3" t="n"/>
      <c r="O4326" s="2" t="n"/>
      <c r="P4326" s="2" t="n"/>
    </row>
    <row r="4327">
      <c r="A4327" s="2" t="n">
        <v>4326</v>
      </c>
      <c r="B4327" s="2" t="inlineStr">
        <is>
          <t>короткая</t>
        </is>
      </c>
      <c r="C4327" s="2" t="n">
        <v>8477</v>
      </c>
      <c r="D4327" s="3" t="inlineStr">
        <is>
          <t>Три дня и два года</t>
        </is>
      </c>
      <c r="E4327" s="2" t="n">
        <v>1981</v>
      </c>
      <c r="F4327" s="2" t="inlineStr">
        <is>
          <t>телефильм</t>
        </is>
      </c>
      <c r="G4327" s="2" t="n"/>
      <c r="H4327" s="2" t="n">
        <v>148</v>
      </c>
      <c r="I4327" s="2" t="inlineStr"/>
      <c r="J4327" s="2" t="inlineStr"/>
      <c r="K4327" s="3" t="inlineStr">
        <is>
          <t>Джансур через три дня уходит служить в десантные войска. Эти дни станут особенно насыщенными. Герои задумаются над серьезными жизненными проблемами.</t>
        </is>
      </c>
      <c r="L4327" s="2" t="inlineStr">
        <is>
          <t>Кино_СССР сводный каталог.xlsx: список телефильмов</t>
        </is>
      </c>
      <c r="M4327" s="2">
        <f>HYPERLINK("https://ru.wikipedia.org/w/index.php?search=%D0%A2%D1%80%D0%B8%20%D0%B4%D0%BD%D1%8F%20%D0%B8%20%D0%B4%D0%B2%D0%B0%20%D0%B3%D0%BE%D0%B4%D0%B0%201981%20%D1%84%D0%B8%D0%BB%D1%8C%D0%BC","искать")</f>
        <v/>
      </c>
      <c r="N4327" s="3" t="n"/>
      <c r="O4327" s="2" t="n"/>
      <c r="P4327" s="2" t="n"/>
    </row>
    <row r="4328">
      <c r="A4328" s="2" t="n">
        <v>4327</v>
      </c>
      <c r="B4328" s="2" t="inlineStr">
        <is>
          <t>короткая</t>
        </is>
      </c>
      <c r="C4328" s="2" t="n">
        <v>10860</v>
      </c>
      <c r="D4328" s="3" t="inlineStr">
        <is>
          <t>Поединок</t>
        </is>
      </c>
      <c r="E4328" s="2" t="n">
        <v>1980</v>
      </c>
      <c r="F4328" s="2" t="inlineStr">
        <is>
          <t>фильм-спектакль</t>
        </is>
      </c>
      <c r="G4328" s="2" t="inlineStr">
        <is>
          <t>Укртелефильм</t>
        </is>
      </c>
      <c r="H4328" s="2" t="n">
        <v>148</v>
      </c>
      <c r="I4328" s="2" t="inlineStr"/>
      <c r="J4328" s="2" t="inlineStr"/>
      <c r="K4328" s="3" t="inlineStr">
        <is>
          <t>По пьесе Л.Синельникова в постановке Киевского театра им. И.Франко.
О революционной деятельности семьи Ульяновых в Киеве перед революцией 1905 года.</t>
        </is>
      </c>
      <c r="L4328" s="2" t="inlineStr">
        <is>
          <t>https://www.kino-teatr.ru/teatr/movie/93021/annot/</t>
        </is>
      </c>
      <c r="M4328" s="2">
        <f>HYPERLINK("https://ru.wikipedia.org/w/index.php?search=%D0%9F%D0%BE%D0%B5%D0%B4%D0%B8%D0%BD%D0%BE%D0%BA%201980%20%D1%84%D0%B8%D0%BB%D1%8C%D0%BC","искать")</f>
        <v/>
      </c>
      <c r="N4328" s="3" t="n"/>
      <c r="O4328" s="2" t="n"/>
      <c r="P4328" s="2" t="n"/>
    </row>
    <row r="4329">
      <c r="A4329" s="2" t="n">
        <v>4328</v>
      </c>
      <c r="B4329" s="2" t="inlineStr">
        <is>
          <t>короткая</t>
        </is>
      </c>
      <c r="C4329" s="2" t="n">
        <v>11505</v>
      </c>
      <c r="D4329" s="3" t="inlineStr">
        <is>
          <t>Веселая карусель n 1. Мозаика</t>
        </is>
      </c>
      <c r="E4329" s="2" t="n">
        <v>1969</v>
      </c>
      <c r="F4329" s="2" t="inlineStr">
        <is>
          <t>мультфильм</t>
        </is>
      </c>
      <c r="G4329" s="2" t="inlineStr">
        <is>
          <t>Союзмультфильм</t>
        </is>
      </c>
      <c r="H4329" s="2" t="n">
        <v>148</v>
      </c>
      <c r="I4329" s="2" t="inlineStr"/>
      <c r="J4329" s="2" t="inlineStr"/>
      <c r="K4329" s="3" t="inlineStr">
        <is>
          <t>Сюжет из альманаха "Веселая карусель N 1". Мозаичный рисунок, в котором постоянные погони возникающих в мозаичных орнаментах животных друг за другом</t>
        </is>
      </c>
      <c r="L4329" s="2" t="inlineStr">
        <is>
          <t>https://animator.ru/db/?p=show_film&amp;fid=2276</t>
        </is>
      </c>
      <c r="M4329" s="2">
        <f>HYPERLINK("https://ru.wikipedia.org/w/index.php?search=%D0%92%D0%B5%D1%81%D0%B5%D0%BB%D0%B0%D1%8F%20%D0%BA%D0%B0%D1%80%D1%83%D1%81%D0%B5%D0%BB%D1%8C%20n%201.%20%D0%9C%D0%BE%D0%B7%D0%B0%D0%B8%D0%BA%D0%B0%201969%20%D1%84%D0%B8%D0%BB%D1%8C%D0%BC","искать")</f>
        <v/>
      </c>
      <c r="N4329" s="3" t="n"/>
      <c r="O4329" s="2" t="n"/>
      <c r="P4329" s="2" t="n"/>
    </row>
    <row r="4330">
      <c r="A4330" s="2" t="n">
        <v>4329</v>
      </c>
      <c r="B4330" s="2" t="inlineStr">
        <is>
          <t>короткая</t>
        </is>
      </c>
      <c r="C4330" s="2" t="n">
        <v>14420</v>
      </c>
      <c r="D4330" s="3" t="inlineStr">
        <is>
          <t>Кольчуга великого давида</t>
        </is>
      </c>
      <c r="E4330" s="2" t="n">
        <v>1989</v>
      </c>
      <c r="F4330" s="2" t="inlineStr">
        <is>
          <t>мультфильм</t>
        </is>
      </c>
      <c r="G4330" s="2" t="n"/>
      <c r="H4330" s="2" t="n">
        <v>148</v>
      </c>
      <c r="I4330" s="2" t="inlineStr"/>
      <c r="J4330" s="2" t="inlineStr"/>
      <c r="K4330" s="3" t="inlineStr">
        <is>
          <t>О юноше, который пройдя всевозможные испытания, победил чудовище и вернул людям кольчугу царя Давида IV - симовл единства и силы грузинского народа.</t>
        </is>
      </c>
      <c r="L4330" s="2" t="inlineStr">
        <is>
          <t>https://animator.ru/db/?p=show_film&amp;fid=6656</t>
        </is>
      </c>
      <c r="M4330" s="2">
        <f>HYPERLINK("https://ru.wikipedia.org/w/index.php?search=%D0%9A%D0%BE%D0%BB%D1%8C%D1%87%D1%83%D0%B3%D0%B0%20%D0%B2%D0%B5%D0%BB%D0%B8%D0%BA%D0%BE%D0%B3%D0%BE%20%D0%B4%D0%B0%D0%B2%D0%B8%D0%B4%D0%B0%201989%20%D1%84%D0%B8%D0%BB%D1%8C%D0%BC","искать")</f>
        <v/>
      </c>
      <c r="N4330" s="3" t="n"/>
      <c r="O4330" s="2" t="n"/>
      <c r="P4330" s="2" t="n"/>
    </row>
    <row r="4331">
      <c r="A4331" s="2" t="n">
        <v>4330</v>
      </c>
      <c r="B4331" s="2" t="inlineStr">
        <is>
          <t>короткая</t>
        </is>
      </c>
      <c r="C4331" s="2" t="n">
        <v>7874</v>
      </c>
      <c r="D4331" s="3" t="inlineStr">
        <is>
          <t>Микко из Тампере просит совета</t>
        </is>
      </c>
      <c r="E4331" s="2" t="n">
        <v>1986</v>
      </c>
      <c r="F4331" s="2" t="inlineStr">
        <is>
          <t>телефильм</t>
        </is>
      </c>
      <c r="G4331" s="2" t="n"/>
      <c r="H4331" s="2" t="n">
        <v>149</v>
      </c>
      <c r="I4331" s="2" t="inlineStr"/>
      <c r="J4331" s="2" t="inlineStr"/>
      <c r="K4331" s="3" t="inlineStr">
        <is>
          <t>О дружбе между гастролирующими по Финляндии советскими артистами и финскими детьми, участниками самодеятельного музыкального ансамбля города Тампере.</t>
        </is>
      </c>
      <c r="L4331" s="2" t="inlineStr">
        <is>
          <t>Кино_СССР сводный каталог.xlsx: список телефильмов</t>
        </is>
      </c>
      <c r="M4331" s="2">
        <f>HYPERLINK("https://ru.wikipedia.org/w/index.php?search=%D0%9C%D0%B8%D0%BA%D0%BA%D0%BE%20%D0%B8%D0%B7%20%D0%A2%D0%B0%D0%BC%D0%BF%D0%B5%D1%80%D0%B5%20%D0%BF%D1%80%D0%BE%D1%81%D0%B8%D1%82%20%D1%81%D0%BE%D0%B2%D0%B5%D1%82%D0%B0%201986%20%D1%84%D0%B8%D0%BB%D1%8C%D0%BC","искать")</f>
        <v/>
      </c>
      <c r="N4331" s="3" t="n"/>
      <c r="O4331" s="2" t="n"/>
      <c r="P4331" s="2" t="n"/>
    </row>
    <row r="4332">
      <c r="A4332" s="2" t="n">
        <v>4331</v>
      </c>
      <c r="B4332" s="2" t="inlineStr">
        <is>
          <t>короткая</t>
        </is>
      </c>
      <c r="C4332" s="2" t="n">
        <v>8242</v>
      </c>
      <c r="D4332" s="3" t="inlineStr">
        <is>
          <t>Прошлое всегда с нами</t>
        </is>
      </c>
      <c r="E4332" s="2" t="n">
        <v>1989</v>
      </c>
      <c r="F4332" s="2" t="inlineStr">
        <is>
          <t>телефильм</t>
        </is>
      </c>
      <c r="G4332" s="2" t="n"/>
      <c r="H4332" s="2" t="n">
        <v>149</v>
      </c>
      <c r="I4332" s="2" t="inlineStr"/>
      <c r="J4332" s="2" t="inlineStr"/>
      <c r="K4332" s="3" t="inlineStr">
        <is>
          <t>წარსული მუდამ ჩვენთანაა Послевоенная Москва... История грузинского абитуриента ВГИКа, вынужденного скрывать историю отца, репрессированного в 1937-м.</t>
        </is>
      </c>
      <c r="L4332" s="2" t="inlineStr">
        <is>
          <t>Кино_СССР сводный каталог.xlsx: список телефильмов</t>
        </is>
      </c>
      <c r="M4332" s="2">
        <f>HYPERLINK("https://ru.wikipedia.org/w/index.php?search=%D0%9F%D1%80%D0%BE%D1%88%D0%BB%D0%BE%D0%B5%20%D0%B2%D1%81%D0%B5%D0%B3%D0%B4%D0%B0%20%D1%81%20%D0%BD%D0%B0%D0%BC%D0%B8%201989%20%D1%84%D0%B8%D0%BB%D1%8C%D0%BC","искать")</f>
        <v/>
      </c>
      <c r="N4332" s="3" t="n"/>
      <c r="O4332" s="2" t="n"/>
      <c r="P4332" s="2" t="n"/>
    </row>
    <row r="4333">
      <c r="A4333" s="2" t="n">
        <v>4332</v>
      </c>
      <c r="B4333" s="2" t="inlineStr">
        <is>
          <t>короткая</t>
        </is>
      </c>
      <c r="C4333" s="2" t="n">
        <v>10269</v>
      </c>
      <c r="D4333" s="3" t="inlineStr">
        <is>
          <t>Поэма о топоре</t>
        </is>
      </c>
      <c r="E4333" s="2" t="n">
        <v>1968</v>
      </c>
      <c r="F4333" s="2" t="inlineStr">
        <is>
          <t>фильм-спектакль</t>
        </is>
      </c>
      <c r="G4333" s="2" t="inlineStr">
        <is>
          <t>Главная редакция литературно-драматических программ ЦТ</t>
        </is>
      </c>
      <c r="H4333" s="2" t="n">
        <v>149</v>
      </c>
      <c r="I4333" s="2" t="inlineStr"/>
      <c r="J4333" s="2" t="inlineStr"/>
      <c r="K4333" s="3" t="inlineStr">
        <is>
          <t>Телеспектакль по одноименной пьесе Н.Погодина о создании новой марки стали на крупном металлургическом заводе.
В постановке участвовали актеры МХАТа.</t>
        </is>
      </c>
      <c r="L4333" s="2" t="inlineStr">
        <is>
          <t>https://www.kino-teatr.ru/teatr/movie/17102/annot/</t>
        </is>
      </c>
      <c r="M4333" s="2">
        <f>HYPERLINK("https://ru.wikipedia.org/w/index.php?search=%D0%9F%D0%BE%D1%8D%D0%BC%D0%B0%20%D0%BE%20%D1%82%D0%BE%D0%BF%D0%BE%D1%80%D0%B5%201968%20%D1%84%D0%B8%D0%BB%D1%8C%D0%BC","искать")</f>
        <v/>
      </c>
      <c r="N4333" s="3" t="n"/>
      <c r="O4333" s="2" t="n"/>
      <c r="P4333" s="2" t="n"/>
    </row>
    <row r="4334">
      <c r="A4334" s="2" t="n">
        <v>4333</v>
      </c>
      <c r="B4334" s="2" t="inlineStr">
        <is>
          <t>короткая</t>
        </is>
      </c>
      <c r="C4334" s="2" t="n">
        <v>7495</v>
      </c>
      <c r="D4334" s="3" t="inlineStr">
        <is>
          <t>Дело за тобой</t>
        </is>
      </c>
      <c r="E4334" s="2" t="n">
        <v>1983</v>
      </c>
      <c r="F4334" s="2" t="inlineStr">
        <is>
          <t>телефильм</t>
        </is>
      </c>
      <c r="G4334" s="2" t="inlineStr">
        <is>
          <t>ТО «Экран»</t>
        </is>
      </c>
      <c r="H4334" s="2" t="n">
        <v>150</v>
      </c>
      <c r="I4334" s="2" t="inlineStr"/>
      <c r="J4334" s="2" t="inlineStr"/>
      <c r="K4334" s="3" t="inlineStr">
        <is>
          <t>Детская телевизионная киноповесть. Городская девочка приезжает на каникулы к брату. Ребята из поселка по ошибке принимают ее за чемпионку по плаванию.</t>
        </is>
      </c>
      <c r="L4334" s="2" t="inlineStr">
        <is>
          <t>Кино_СССР сводный каталог.xlsx: список телефильмов</t>
        </is>
      </c>
      <c r="M4334" s="2">
        <f>HYPERLINK("https://ru.wikipedia.org/w/index.php?search=%D0%94%D0%B5%D0%BB%D0%BE%20%D0%B7%D0%B0%20%D1%82%D0%BE%D0%B1%D0%BE%D0%B9%201983%20%D1%84%D0%B8%D0%BB%D1%8C%D0%BC","искать")</f>
        <v/>
      </c>
      <c r="N4334" s="3" t="n"/>
      <c r="O4334" s="2" t="n"/>
      <c r="P4334" s="2" t="n"/>
    </row>
    <row r="4335">
      <c r="A4335" s="2" t="n">
        <v>4334</v>
      </c>
      <c r="B4335" s="2" t="inlineStr">
        <is>
          <t>короткая</t>
        </is>
      </c>
      <c r="C4335" s="2" t="n">
        <v>7988</v>
      </c>
      <c r="D4335" s="3" t="inlineStr">
        <is>
          <t>Неоткрытые острова</t>
        </is>
      </c>
      <c r="E4335" s="2" t="n">
        <v>1974</v>
      </c>
      <c r="F4335" s="2" t="inlineStr">
        <is>
          <t>телефильм</t>
        </is>
      </c>
      <c r="G4335" s="2" t="n"/>
      <c r="H4335" s="2" t="n">
        <v>150</v>
      </c>
      <c r="I4335" s="2" t="inlineStr"/>
      <c r="J4335" s="2" t="inlineStr"/>
      <c r="K4335" s="3" t="inlineStr">
        <is>
          <t>О приключениях двух мальчиков, отправившихся на лодке по реке Припять фотографировать животных в заповеднике. По книге Янки Мавр "Полесские робинзоны"</t>
        </is>
      </c>
      <c r="L4335" s="2" t="inlineStr">
        <is>
          <t>Кино_СССР сводный каталог.xlsx: список телефильмов</t>
        </is>
      </c>
      <c r="M4335" s="2">
        <f>HYPERLINK("https://ru.wikipedia.org/w/index.php?search=%D0%9D%D0%B5%D0%BE%D1%82%D0%BA%D1%80%D1%8B%D1%82%D1%8B%D0%B5%20%D0%BE%D1%81%D1%82%D1%80%D0%BE%D0%B2%D0%B0%201974%20%D1%84%D0%B8%D0%BB%D1%8C%D0%BC","искать")</f>
        <v/>
      </c>
      <c r="N4335" s="3" t="n"/>
      <c r="O4335" s="2" t="n"/>
      <c r="P4335" s="2" t="n"/>
    </row>
    <row r="4336">
      <c r="A4336" s="2" t="n">
        <v>4335</v>
      </c>
      <c r="B4336" s="2" t="inlineStr">
        <is>
          <t>короткая</t>
        </is>
      </c>
      <c r="C4336" s="2" t="n">
        <v>11576</v>
      </c>
      <c r="D4336" s="3" t="inlineStr">
        <is>
          <t>СОВЕСТЬ ЗАЕЛА ("Фитиль" N 90)</t>
        </is>
      </c>
      <c r="E4336" s="2" t="n">
        <v>1969</v>
      </c>
      <c r="F4336" s="2" t="inlineStr">
        <is>
          <t>мультфильм</t>
        </is>
      </c>
      <c r="G4336" s="2" t="inlineStr">
        <is>
          <t>Союзмультфильм</t>
        </is>
      </c>
      <c r="H4336" s="2" t="n">
        <v>150</v>
      </c>
      <c r="I4336" s="2" t="inlineStr"/>
      <c r="J4336" s="2" t="inlineStr"/>
      <c r="K4336" s="3" t="inlineStr">
        <is>
          <t>Лиса, Волк, и Медведь съедают Зайца. Но потом им становится совестно, они решают сделать съеденному Зайчику что-нибудь хорошее и ставят ему памятник..</t>
        </is>
      </c>
      <c r="L4336" s="2" t="inlineStr">
        <is>
          <t>https://gosfilmofond.ru/films/251585/</t>
        </is>
      </c>
      <c r="M4336" s="2">
        <f>HYPERLINK("https://ru.wikipedia.org/w/index.php?search=%D0%A1%D0%9E%D0%92%D0%95%D0%A1%D0%A2%D0%AC%20%D0%97%D0%90%D0%95%D0%9B%D0%90%20%28%22%D0%A4%D0%B8%D1%82%D0%B8%D0%BB%D1%8C%22%20N%2090%29%201969%20%D1%84%D0%B8%D0%BB%D1%8C%D0%BC","искать")</f>
        <v/>
      </c>
      <c r="N4336" s="3" t="n"/>
      <c r="O4336" s="2" t="n"/>
      <c r="P4336" s="2" t="n"/>
    </row>
    <row r="4337">
      <c r="A4337" s="2" t="n">
        <v>4336</v>
      </c>
      <c r="B4337" s="2" t="inlineStr">
        <is>
          <t>короткая</t>
        </is>
      </c>
      <c r="C4337" s="2" t="n">
        <v>12307</v>
      </c>
      <c r="D4337" s="3" t="inlineStr">
        <is>
          <t>Веселая карусель n 23. Миссис инк из манилы</t>
        </is>
      </c>
      <c r="E4337" s="2" t="n">
        <v>1991</v>
      </c>
      <c r="F4337" s="2" t="inlineStr">
        <is>
          <t>мультфильм</t>
        </is>
      </c>
      <c r="G4337" s="2" t="inlineStr">
        <is>
          <t>Союзмультфильм</t>
        </is>
      </c>
      <c r="H4337" s="2" t="n">
        <v>150</v>
      </c>
      <c r="I4337" s="2" t="inlineStr"/>
      <c r="J4337" s="2" t="inlineStr"/>
      <c r="K4337" s="3" t="inlineStr">
        <is>
          <t>Сюжет из альманаха «ВЕСЕЛАЯ КАРУСЕЛЬ N 23»
3-й сюжет из Веселой карусели №23 по стихотворению Э. Лира знакомит с миссис Инк и ее необычным увлечением.</t>
        </is>
      </c>
      <c r="L4337" s="2" t="inlineStr">
        <is>
          <t>https://animator.ru/db/?p=show_film&amp;fid=3424</t>
        </is>
      </c>
      <c r="M4337" s="2">
        <f>HYPERLINK("https://ru.wikipedia.org/w/index.php?search=%D0%92%D0%B5%D1%81%D0%B5%D0%BB%D0%B0%D1%8F%20%D0%BA%D0%B0%D1%80%D1%83%D1%81%D0%B5%D0%BB%D1%8C%20n%2023.%20%D0%9C%D0%B8%D1%81%D1%81%D0%B8%D1%81%20%D0%B8%D0%BD%D0%BA%20%D0%B8%D0%B7%20%D0%BC%D0%B0%D0%BD%D0%B8%D0%BB%D1%8B%201991%20%D1%84%D0%B8%D0%BB%D1%8C%D0%BC","искать")</f>
        <v/>
      </c>
      <c r="N4337" s="3" t="n"/>
      <c r="O4337" s="2" t="n"/>
      <c r="P4337" s="2" t="n"/>
    </row>
    <row r="4338">
      <c r="A4338" s="2" t="n">
        <v>4337</v>
      </c>
      <c r="B4338" s="2" t="inlineStr">
        <is>
          <t>короткая</t>
        </is>
      </c>
      <c r="C4338" s="2" t="n">
        <v>14057</v>
      </c>
      <c r="D4338" s="3" t="inlineStr">
        <is>
          <t>Ромка, Фомка и Артос (ч.1)</t>
        </is>
      </c>
      <c r="E4338" s="2" t="n">
        <v>1987</v>
      </c>
      <c r="F4338" s="2" t="inlineStr">
        <is>
          <t>мультфильм</t>
        </is>
      </c>
      <c r="G4338" s="2" t="inlineStr">
        <is>
          <t>Свердловская киностудия</t>
        </is>
      </c>
      <c r="H4338" s="2" t="n">
        <v>150</v>
      </c>
      <c r="I4338" s="2" t="inlineStr"/>
      <c r="J4338" s="2" t="inlineStr"/>
      <c r="K4338" s="3" t="inlineStr">
        <is>
          <t>По мотивам сказки К.Лагунова "Ромка-Рамазан".О дружбе трех собак - Ромки, Фомки и Артоса, их путешестивии в поисках хозяина Ромки, уехавшего на Север.</t>
        </is>
      </c>
      <c r="L4338" s="2" t="inlineStr">
        <is>
          <t>2026-10_мультфильмы_список_владельца.xlsx; https://animator.ru/db/?p=show_film&amp;fid=5453</t>
        </is>
      </c>
      <c r="M4338" s="2">
        <f>HYPERLINK("https://ru.wikipedia.org/w/index.php?search=%D0%A0%D0%BE%D0%BC%D0%BA%D0%B0%2C%20%D0%A4%D0%BE%D0%BC%D0%BA%D0%B0%20%D0%B8%20%D0%90%D1%80%D1%82%D0%BE%D1%81%20%28%D1%87.1%29%201987%20%D1%84%D0%B8%D0%BB%D1%8C%D0%BC","искать")</f>
        <v/>
      </c>
      <c r="N4338" s="3" t="n"/>
      <c r="O4338" s="2" t="n"/>
      <c r="P4338" s="2" t="n"/>
    </row>
    <row r="4339">
      <c r="A4339" s="2" t="n">
        <v>4338</v>
      </c>
      <c r="B4339" s="2" t="inlineStr">
        <is>
          <t>короткая</t>
        </is>
      </c>
      <c r="C4339" s="2" t="n">
        <v>14058</v>
      </c>
      <c r="D4339" s="3" t="inlineStr">
        <is>
          <t>Ромка, Фомка и Артос (ч.2)</t>
        </is>
      </c>
      <c r="E4339" s="2" t="n">
        <v>1988</v>
      </c>
      <c r="F4339" s="2" t="inlineStr">
        <is>
          <t>мультфильм</t>
        </is>
      </c>
      <c r="G4339" s="2" t="inlineStr">
        <is>
          <t>Свердловская киностудия</t>
        </is>
      </c>
      <c r="H4339" s="2" t="n">
        <v>150</v>
      </c>
      <c r="I4339" s="2" t="inlineStr"/>
      <c r="J4339" s="2" t="inlineStr"/>
      <c r="K4339" s="3" t="inlineStr">
        <is>
          <t>По мотивам сказки К.Лагунова "Ромка-Рамазан".О дружбе трех собак - Ромки, Фомки и Артоса, их путешестивии в поисках хозяина Ромки, уехавшего на Север.</t>
        </is>
      </c>
      <c r="L4339" s="2" t="inlineStr">
        <is>
          <t>2026-10_мультфильмы_список_владельца.xlsx; https://animator.ru/db/?p=show_film&amp;fid=5454</t>
        </is>
      </c>
      <c r="M4339" s="2">
        <f>HYPERLINK("https://ru.wikipedia.org/w/index.php?search=%D0%A0%D0%BE%D0%BC%D0%BA%D0%B0%2C%20%D0%A4%D0%BE%D0%BC%D0%BA%D0%B0%20%D0%B8%20%D0%90%D1%80%D1%82%D0%BE%D1%81%20%28%D1%87.2%29%201988%20%D1%84%D0%B8%D0%BB%D1%8C%D0%BC","искать")</f>
        <v/>
      </c>
      <c r="N4339" s="3" t="n"/>
      <c r="O4339" s="2" t="n"/>
      <c r="P4339" s="2" t="n"/>
    </row>
    <row r="4340">
      <c r="A4340" s="2" t="n">
        <v>4339</v>
      </c>
      <c r="B4340" s="2" t="inlineStr">
        <is>
          <t>короткая</t>
        </is>
      </c>
      <c r="C4340" s="2" t="n">
        <v>8851</v>
      </c>
      <c r="D4340" s="3" t="inlineStr">
        <is>
          <t>Мужчина и две его женщины</t>
        </is>
      </c>
      <c r="E4340" s="2" t="n">
        <v>1990</v>
      </c>
      <c r="F4340" s="2" t="inlineStr">
        <is>
          <t>кинофильм</t>
        </is>
      </c>
      <c r="G4340" s="2" t="n"/>
      <c r="H4340" s="2" t="n">
        <v>151</v>
      </c>
      <c r="I4340" s="2" t="inlineStr"/>
      <c r="J4340" s="2" t="inlineStr"/>
      <c r="K4340" s="3" t="inlineStr">
        <is>
          <t>Послевоенный таджикский кишлак. На фоне обыденной сельской жизни  возникает любовный треугольник, исход которого - смерть влюбленной женщины при родах.</t>
        </is>
      </c>
      <c r="L4340" s="2" t="inlineStr">
        <is>
          <t>Кино_СССР сводный каталог.xlsx: список фильмов (доп.)</t>
        </is>
      </c>
      <c r="M4340" s="2">
        <f>HYPERLINK("https://ru.wikipedia.org/w/index.php?search=%D0%9C%D1%83%D0%B6%D1%87%D0%B8%D0%BD%D0%B0%20%D0%B8%20%D0%B4%D0%B2%D0%B5%20%D0%B5%D0%B3%D0%BE%20%D0%B6%D0%B5%D0%BD%D1%89%D0%B8%D0%BD%D1%8B%201990%20%D1%84%D0%B8%D0%BB%D1%8C%D0%BC","искать")</f>
        <v/>
      </c>
      <c r="N4340" s="3" t="n"/>
      <c r="O4340" s="2" t="n"/>
      <c r="P4340" s="2" t="n"/>
    </row>
    <row r="4341">
      <c r="A4341" s="2" t="n">
        <v>4340</v>
      </c>
      <c r="B4341" s="2" t="inlineStr">
        <is>
          <t>короткая</t>
        </is>
      </c>
      <c r="C4341" s="2" t="n">
        <v>8942</v>
      </c>
      <c r="D4341" s="3" t="inlineStr">
        <is>
          <t>Под северным сиянием</t>
        </is>
      </c>
      <c r="E4341" s="2" t="n">
        <v>1990</v>
      </c>
      <c r="F4341" s="2" t="inlineStr">
        <is>
          <t>кинофильм</t>
        </is>
      </c>
      <c r="G4341" s="2" t="n"/>
      <c r="H4341" s="2" t="n">
        <v>151</v>
      </c>
      <c r="I4341" s="2" t="inlineStr"/>
      <c r="J4341" s="2" t="inlineStr"/>
      <c r="K4341" s="3" t="inlineStr">
        <is>
          <t>По повести Тогава Юкио "Под Авророй. 1912 год". История дружбы японского охотника, заброшенного судьбой в Сибирь, и прирученного волка по кличке Буран.</t>
        </is>
      </c>
      <c r="L4341" s="2" t="inlineStr">
        <is>
          <t>Кино_СССР сводный каталог.xlsx: список фильмов (доп.)</t>
        </is>
      </c>
      <c r="M4341" s="2">
        <f>HYPERLINK("https://ru.wikipedia.org/w/index.php?search=%D0%9F%D0%BE%D0%B4%20%D1%81%D0%B5%D0%B2%D0%B5%D1%80%D0%BD%D1%8B%D0%BC%20%D1%81%D0%B8%D1%8F%D0%BD%D0%B8%D0%B5%D0%BC%201990%20%D1%84%D0%B8%D0%BB%D1%8C%D0%BC","искать")</f>
        <v/>
      </c>
      <c r="N4341" s="3" t="n"/>
      <c r="O4341" s="2" t="n"/>
      <c r="P4341" s="2" t="n"/>
    </row>
    <row r="4342">
      <c r="A4342" s="2" t="n">
        <v>4341</v>
      </c>
      <c r="B4342" s="2" t="inlineStr">
        <is>
          <t>короткая</t>
        </is>
      </c>
      <c r="C4342" s="2" t="n">
        <v>9719</v>
      </c>
      <c r="D4342" s="3" t="inlineStr">
        <is>
          <t>Фантазёр</t>
        </is>
      </c>
      <c r="E4342" s="2" t="n">
        <v>1988</v>
      </c>
      <c r="F4342" s="2" t="inlineStr">
        <is>
          <t>кинофильм</t>
        </is>
      </c>
      <c r="G4342" s="2" t="n"/>
      <c r="H4342" s="2" t="n">
        <v>151</v>
      </c>
      <c r="I4342" s="2" t="inlineStr"/>
      <c r="J4342" s="2" t="inlineStr"/>
      <c r="K4342" s="3" t="inlineStr">
        <is>
          <t>Мюзикл-балет «Фантазер» по мотивам оперы Дж. Гершвина «Порги и Бесс». Это драматическая история несчастной любви безногого Порги и юной красавицы Бесс.</t>
        </is>
      </c>
      <c r="L4342" s="2" t="inlineStr">
        <is>
          <t>Кино_СССР сводный каталог.xlsx: список фильмов (доп.)</t>
        </is>
      </c>
      <c r="M4342" s="2">
        <f>HYPERLINK("https://ru.wikipedia.org/w/index.php?search=%D0%A4%D0%B0%D0%BD%D1%82%D0%B0%D0%B7%D1%91%D1%80%201988%20%D1%84%D0%B8%D0%BB%D1%8C%D0%BC","искать")</f>
        <v/>
      </c>
      <c r="N4342" s="3" t="n"/>
      <c r="O4342" s="2" t="n"/>
      <c r="P4342" s="2" t="n"/>
    </row>
    <row r="4343">
      <c r="A4343" s="2" t="n">
        <v>4342</v>
      </c>
      <c r="B4343" s="2" t="inlineStr">
        <is>
          <t>короткая</t>
        </is>
      </c>
      <c r="C4343" s="2" t="n">
        <v>12780</v>
      </c>
      <c r="D4343" s="3" t="inlineStr">
        <is>
          <t>Легенда о девичьей башне</t>
        </is>
      </c>
      <c r="E4343" s="2" t="n">
        <v>1979</v>
      </c>
      <c r="F4343" s="2" t="inlineStr">
        <is>
          <t>мультфильм</t>
        </is>
      </c>
      <c r="G4343" s="2" t="inlineStr">
        <is>
          <t>АЗЕРБАЙДЖАНФИЛЬМ</t>
        </is>
      </c>
      <c r="H4343" s="2" t="n">
        <v>151</v>
      </c>
      <c r="I4343" s="2" t="inlineStr"/>
      <c r="J4343" s="2" t="inlineStr"/>
      <c r="K4343" s="3" t="inlineStr">
        <is>
          <t>Каждый день хрупкая девушка носила на вершину башни маленького теленка. Теленок рос, и однажды оказалось, что девушка носит по лестницам огромного быка</t>
        </is>
      </c>
      <c r="L4343" s="2" t="inlineStr">
        <is>
          <t>https://animator.ru/db/?p=show_film&amp;fid=3989</t>
        </is>
      </c>
      <c r="M4343" s="2">
        <f>HYPERLINK("https://ru.wikipedia.org/w/index.php?search=%D0%9B%D0%B5%D0%B3%D0%B5%D0%BD%D0%B4%D0%B0%20%D0%BE%20%D0%B4%D0%B5%D0%B2%D0%B8%D1%87%D1%8C%D0%B5%D0%B9%20%D0%B1%D0%B0%D1%88%D0%BD%D0%B5%201979%20%D1%84%D0%B8%D0%BB%D1%8C%D0%BC","искать")</f>
        <v/>
      </c>
      <c r="N4343" s="3" t="n"/>
      <c r="O4343" s="2" t="n"/>
      <c r="P4343" s="2" t="inlineStr">
        <is>
          <t>ГФФ: «ЛЕГЕНДА О ДЕВИЧЬЕЙ БАШНЕ» 1979 — по сверке другой фильм, не предложено</t>
        </is>
      </c>
    </row>
    <row r="4344">
      <c r="A4344" s="2" t="n">
        <v>4343</v>
      </c>
      <c r="B4344" s="2" t="inlineStr">
        <is>
          <t>короткая</t>
        </is>
      </c>
      <c r="C4344" s="2" t="n">
        <v>7246</v>
      </c>
      <c r="D4344" s="3" t="inlineStr">
        <is>
          <t>Белый олень тундры</t>
        </is>
      </c>
      <c r="E4344" s="2" t="n">
        <v>1987</v>
      </c>
      <c r="F4344" s="2" t="inlineStr">
        <is>
          <t>телефильм</t>
        </is>
      </c>
      <c r="G4344" s="2" t="n"/>
      <c r="H4344" s="2" t="n">
        <v>152</v>
      </c>
      <c r="I4344" s="2" t="inlineStr"/>
      <c r="J4344" s="2" t="inlineStr"/>
      <c r="K4344" s="3" t="inlineStr">
        <is>
          <t>Фильм о буднях оленеводов и суровой природе северной тундры, о нелегком быте и трудностях,с которыми приходится сталкиваться человеку в высоких широтах.</t>
        </is>
      </c>
      <c r="L4344" s="2" t="inlineStr">
        <is>
          <t>Кино_СССР сводный каталог.xlsx: список телефильмов</t>
        </is>
      </c>
      <c r="M4344" s="2">
        <f>HYPERLINK("https://ru.wikipedia.org/w/index.php?search=%D0%91%D0%B5%D0%BB%D1%8B%D0%B9%20%D0%BE%D0%BB%D0%B5%D0%BD%D1%8C%20%D1%82%D1%83%D0%BD%D0%B4%D1%80%D1%8B%201987%20%D1%84%D0%B8%D0%BB%D1%8C%D0%BC","искать")</f>
        <v/>
      </c>
      <c r="N4344" s="3" t="n"/>
      <c r="O4344" s="2" t="n"/>
      <c r="P4344" s="2" t="n"/>
    </row>
    <row r="4345">
      <c r="A4345" s="2" t="n">
        <v>4344</v>
      </c>
      <c r="B4345" s="2" t="inlineStr">
        <is>
          <t>короткая</t>
        </is>
      </c>
      <c r="C4345" s="2" t="n">
        <v>7848</v>
      </c>
      <c r="D4345" s="3" t="inlineStr">
        <is>
          <t>Малявкин и компания</t>
        </is>
      </c>
      <c r="E4345" s="2" t="n">
        <v>1986</v>
      </c>
      <c r="F4345" s="2" t="inlineStr">
        <is>
          <t>телефильм</t>
        </is>
      </c>
      <c r="G4345" s="2" t="n"/>
      <c r="H4345" s="2" t="n">
        <v>152</v>
      </c>
      <c r="I4345" s="2" t="inlineStr"/>
      <c r="J4345" s="2" t="inlineStr"/>
      <c r="K4345" s="3" t="inlineStr">
        <is>
          <t>Об ученике четвертого класса Малявкине, постоянно попадающем в несуразные истории из самых лучших побуждений и доставляющем много хлопот своим учителям.</t>
        </is>
      </c>
      <c r="L4345" s="2" t="inlineStr">
        <is>
          <t>Кино_СССР сводный каталог.xlsx: список телефильмов</t>
        </is>
      </c>
      <c r="M4345" s="2">
        <f>HYPERLINK("https://ru.wikipedia.org/w/index.php?search=%D0%9C%D0%B0%D0%BB%D1%8F%D0%B2%D0%BA%D0%B8%D0%BD%20%D0%B8%20%D0%BA%D0%BE%D0%BC%D0%BF%D0%B0%D0%BD%D0%B8%D1%8F%201986%20%D1%84%D0%B8%D0%BB%D1%8C%D0%BC","искать")</f>
        <v/>
      </c>
      <c r="N4345" s="3" t="n"/>
      <c r="O4345" s="2" t="n"/>
      <c r="P4345" s="2" t="n"/>
    </row>
    <row r="4346">
      <c r="A4346" s="2" t="n">
        <v>4345</v>
      </c>
      <c r="B4346" s="2" t="inlineStr">
        <is>
          <t>короткая</t>
        </is>
      </c>
      <c r="C4346" s="2" t="n">
        <v>9688</v>
      </c>
      <c r="D4346" s="3" t="inlineStr">
        <is>
          <t>Тело</t>
        </is>
      </c>
      <c r="E4346" s="2" t="n">
        <v>1990</v>
      </c>
      <c r="F4346" s="2" t="inlineStr">
        <is>
          <t>кинофильм</t>
        </is>
      </c>
      <c r="G4346" s="2" t="n"/>
      <c r="H4346" s="2" t="n">
        <v>152</v>
      </c>
      <c r="I4346" s="2" t="inlineStr"/>
      <c r="J4346" s="2" t="inlineStr"/>
      <c r="K4346" s="3" t="inlineStr">
        <is>
          <t>В фильме рассказывается история любви между парнем и девушкой, проживающих в подмосковном посёлке. Они разыгрывают свадьбу, которая обрывается сплетней.</t>
        </is>
      </c>
      <c r="L4346" s="2" t="inlineStr">
        <is>
          <t>https://ru.wikipedia.org/w/index.php?title=%D0%A2%D0%B5%D0%BB%D0%BE_%28%D1%84%D0%B8%D0%BB%D1%8C%D0%BC%2C_1990%29&amp;oldid=153634157</t>
        </is>
      </c>
      <c r="M4346" s="2">
        <f>HYPERLINK("https://ru.wikipedia.org/w/index.php?search=%D0%A2%D0%B5%D0%BB%D0%BE%201990%20%D1%84%D0%B8%D0%BB%D1%8C%D0%BC","искать")</f>
        <v/>
      </c>
      <c r="N4346" s="3" t="n"/>
      <c r="O4346" s="2" t="n"/>
      <c r="P4346" s="2" t="n"/>
    </row>
    <row r="4347">
      <c r="A4347" s="2" t="n">
        <v>4346</v>
      </c>
      <c r="B4347" s="2" t="inlineStr">
        <is>
          <t>короткая</t>
        </is>
      </c>
      <c r="C4347" s="2" t="n">
        <v>9902</v>
      </c>
      <c r="D4347" s="3" t="inlineStr">
        <is>
          <t>Дедушка и маленький барабанщик</t>
        </is>
      </c>
      <c r="E4347" s="2" t="n">
        <v>1973</v>
      </c>
      <c r="F4347" s="2" t="inlineStr">
        <is>
          <t>телефильм</t>
        </is>
      </c>
      <c r="G4347" s="2" t="inlineStr">
        <is>
          <t>Грузинская студия телевидения</t>
        </is>
      </c>
      <c r="H4347" s="2" t="n">
        <v>152</v>
      </c>
      <c r="I4347" s="2" t="inlineStr"/>
      <c r="J4347" s="2" t="inlineStr"/>
      <c r="K4347" s="3" t="inlineStr">
        <is>
          <t>Деревенский мальчик бил в барабан, мешая деду и его внучке играть на скрипке. Дедушка нашел выход - стал учить ребенка по-настоящему играть на барабане.</t>
        </is>
      </c>
      <c r="L4347" s="2" t="inlineStr">
        <is>
          <t>https://www.kino-teatr.ru/short/movie/sov/92632/annot/</t>
        </is>
      </c>
      <c r="M4347" s="2">
        <f>HYPERLINK("https://ru.wikipedia.org/w/index.php?search=%D0%94%D0%B5%D0%B4%D1%83%D1%88%D0%BA%D0%B0%20%D0%B8%20%D0%BC%D0%B0%D0%BB%D0%B5%D0%BD%D1%8C%D0%BA%D0%B8%D0%B9%20%D0%B1%D0%B0%D1%80%D0%B0%D0%B1%D0%B0%D0%BD%D1%89%D0%B8%D0%BA%201973%20%D1%84%D0%B8%D0%BB%D1%8C%D0%BC","искать")</f>
        <v/>
      </c>
      <c r="N4347" s="3" t="n"/>
      <c r="O4347" s="2" t="n"/>
      <c r="P4347" s="2" t="n"/>
    </row>
    <row r="4348">
      <c r="A4348" s="2" t="n">
        <v>4347</v>
      </c>
      <c r="B4348" s="2" t="inlineStr">
        <is>
          <t>короткая</t>
        </is>
      </c>
      <c r="C4348" s="2" t="n">
        <v>13141</v>
      </c>
      <c r="D4348" s="3" t="inlineStr">
        <is>
          <t>Не шуршать!</t>
        </is>
      </c>
      <c r="E4348" s="2" t="n">
        <v>1984</v>
      </c>
      <c r="F4348" s="2" t="inlineStr">
        <is>
          <t>мультфильм</t>
        </is>
      </c>
      <c r="G4348" s="2" t="inlineStr">
        <is>
          <t>БЕЛАРУСЬФИЛЬМ НАЦИОНАЛЬНАЯ КИНОСТУДИЯ - ГП</t>
        </is>
      </c>
      <c r="H4348" s="2" t="n">
        <v>152</v>
      </c>
      <c r="I4348" s="2" t="inlineStr"/>
      <c r="J4348" s="2" t="inlineStr"/>
      <c r="K4348" s="3" t="inlineStr">
        <is>
          <t>В парке отдыха по осени в потемневших листьях завелись очаровательные "шуршалки", осветившие, буквально скучную жизнь директора парка, дворника и других</t>
        </is>
      </c>
      <c r="L4348" s="2" t="inlineStr">
        <is>
          <t>https://gosfilmofond.ru/films/249850/</t>
        </is>
      </c>
      <c r="M4348" s="2">
        <f>HYPERLINK("https://ru.wikipedia.org/w/index.php?search=%D0%9D%D0%B5%20%D1%88%D1%83%D1%80%D1%88%D0%B0%D1%82%D1%8C%21%201984%20%D1%84%D0%B8%D0%BB%D1%8C%D0%BC","искать")</f>
        <v/>
      </c>
      <c r="N4348" s="3" t="n"/>
      <c r="O4348" s="2" t="n"/>
      <c r="P4348" s="2" t="n"/>
    </row>
    <row r="4349">
      <c r="A4349" s="2" t="n">
        <v>4348</v>
      </c>
      <c r="B4349" s="2" t="inlineStr">
        <is>
          <t>короткая</t>
        </is>
      </c>
      <c r="C4349" s="2" t="n">
        <v>13708</v>
      </c>
      <c r="D4349" s="3" t="inlineStr">
        <is>
          <t>Из пушки на Луну и далее без остановок</t>
        </is>
      </c>
      <c r="E4349" s="2" t="n">
        <v>1990</v>
      </c>
      <c r="F4349" s="2" t="inlineStr">
        <is>
          <t>мультфильм</t>
        </is>
      </c>
      <c r="G4349" s="2" t="inlineStr">
        <is>
          <t>ЭКРАН</t>
        </is>
      </c>
      <c r="H4349" s="2" t="n">
        <v>152</v>
      </c>
      <c r="I4349" s="2" t="inlineStr"/>
      <c r="J4349" s="2" t="inlineStr"/>
      <c r="K4349" s="3" t="inlineStr">
        <is>
          <t>Из цикла "Сто лет тому вперед". Герой, вернувшись из космического полета, не узнал родную землю, которую люди превратили в грязную пустыню. Для взрослых</t>
        </is>
      </c>
      <c r="L4349" s="2" t="inlineStr">
        <is>
          <t>https://animator.ru/db/?p=show_film&amp;fid=5101</t>
        </is>
      </c>
      <c r="M4349" s="2">
        <f>HYPERLINK("https://ru.wikipedia.org/w/index.php?search=%D0%98%D0%B7%20%D0%BF%D1%83%D1%88%D0%BA%D0%B8%20%D0%BD%D0%B0%20%D0%9B%D1%83%D0%BD%D1%83%20%D0%B8%20%D0%B4%D0%B0%D0%BB%D0%B5%D0%B5%20%D0%B1%D0%B5%D0%B7%20%D0%BE%D1%81%D1%82%D0%B0%D0%BD%D0%BE%D0%B2%D0%BE%D0%BA%201990%20%D1%84%D0%B8%D0%BB%D1%8C%D0%BC","искать")</f>
        <v/>
      </c>
      <c r="N4349" s="3" t="n"/>
      <c r="O4349" s="2" t="n"/>
      <c r="P4349" s="2" t="n"/>
    </row>
    <row r="4350">
      <c r="A4350" s="2" t="n">
        <v>4349</v>
      </c>
      <c r="B4350" s="2" t="inlineStr">
        <is>
          <t>короткая</t>
        </is>
      </c>
      <c r="C4350" s="2" t="n">
        <v>14252</v>
      </c>
      <c r="D4350" s="3" t="inlineStr">
        <is>
          <t>Веселая карусель n 13. Сто пуговиц</t>
        </is>
      </c>
      <c r="E4350" s="2" t="n">
        <v>1983</v>
      </c>
      <c r="F4350" s="2" t="inlineStr">
        <is>
          <t>мультфильм</t>
        </is>
      </c>
      <c r="G4350" s="2" t="inlineStr">
        <is>
          <t>Союзмультфильм</t>
        </is>
      </c>
      <c r="H4350" s="2" t="n">
        <v>152</v>
      </c>
      <c r="I4350" s="2" t="inlineStr"/>
      <c r="J4350" s="2" t="inlineStr"/>
      <c r="K4350" s="3" t="inlineStr">
        <is>
          <t>Сюжет из альманаха «ВЕСЕЛАЯ КАРУСЕЛЬ N 13»
Мальчик хочет научиться пришивать пуговицы и по совету мамы, пришивает сто пуговиц, приображая свою квартиру.</t>
        </is>
      </c>
      <c r="L4350" s="2" t="inlineStr">
        <is>
          <t>https://animator.ru/db/?p=show_film&amp;fid=5676</t>
        </is>
      </c>
      <c r="M4350" s="2">
        <f>HYPERLINK("https://ru.wikipedia.org/w/index.php?search=%D0%92%D0%B5%D1%81%D0%B5%D0%BB%D0%B0%D1%8F%20%D0%BA%D0%B0%D1%80%D1%83%D1%81%D0%B5%D0%BB%D1%8C%20n%2013.%20%D0%A1%D1%82%D0%BE%20%D0%BF%D1%83%D0%B3%D0%BE%D0%B2%D0%B8%D1%86%201983%20%D1%84%D0%B8%D0%BB%D1%8C%D0%BC","искать")</f>
        <v/>
      </c>
      <c r="N4350" s="3" t="n"/>
      <c r="O4350" s="2" t="n"/>
      <c r="P4350" s="2" t="n"/>
    </row>
    <row r="4351">
      <c r="A4351" s="2" t="n">
        <v>4350</v>
      </c>
      <c r="B4351" s="2" t="inlineStr">
        <is>
          <t>короткая</t>
        </is>
      </c>
      <c r="C4351" s="2" t="n">
        <v>7894</v>
      </c>
      <c r="D4351" s="3" t="inlineStr">
        <is>
          <t>Мой театр</t>
        </is>
      </c>
      <c r="E4351" s="2" t="n">
        <v>1989</v>
      </c>
      <c r="F4351" s="2" t="inlineStr">
        <is>
          <t>телефильм</t>
        </is>
      </c>
      <c r="G4351" s="2" t="n"/>
      <c r="H4351" s="2" t="n">
        <v>153</v>
      </c>
      <c r="I4351" s="2" t="inlineStr"/>
      <c r="J4351" s="2" t="inlineStr"/>
      <c r="K4351" s="3" t="inlineStr">
        <is>
          <t>Музыкальный фильм-концерт о театре певицы Елены Камбуровой. В фильме звучат песни композиторов: В. Дашкевича, Г.Гладкова, Ю. Саульского, С.Никитина и др.</t>
        </is>
      </c>
      <c r="L4351" s="2" t="inlineStr">
        <is>
          <t>Кино_СССР сводный каталог.xlsx: список телефильмов</t>
        </is>
      </c>
      <c r="M4351" s="2">
        <f>HYPERLINK("https://ru.wikipedia.org/w/index.php?search=%D0%9C%D0%BE%D0%B9%20%D1%82%D0%B5%D0%B0%D1%82%D1%80%201989%20%D1%84%D0%B8%D0%BB%D1%8C%D0%BC","искать")</f>
        <v/>
      </c>
      <c r="N4351" s="3" t="n"/>
      <c r="O4351" s="2" t="n"/>
      <c r="P4351" s="2" t="n"/>
    </row>
    <row r="4352">
      <c r="A4352" s="2" t="n">
        <v>4351</v>
      </c>
      <c r="B4352" s="2" t="inlineStr">
        <is>
          <t>короткая</t>
        </is>
      </c>
      <c r="C4352" s="2" t="n">
        <v>8206</v>
      </c>
      <c r="D4352" s="3" t="inlineStr">
        <is>
          <t>Приключения маленького Мука</t>
        </is>
      </c>
      <c r="E4352" s="2" t="n">
        <v>1983</v>
      </c>
      <c r="F4352" s="2" t="inlineStr">
        <is>
          <t>телефильм</t>
        </is>
      </c>
      <c r="G4352" s="2" t="n"/>
      <c r="H4352" s="2" t="n">
        <v>153</v>
      </c>
      <c r="I4352" s="2" t="inlineStr"/>
      <c r="J4352" s="2" t="inlineStr"/>
      <c r="K4352" s="3" t="inlineStr">
        <is>
          <t>Телефильм. Действие известной сказки Гауфа перенесено в Среднюю Азию. Герой телефильма - странствующий по свету мальчик, вынужденный оставить свою семью.</t>
        </is>
      </c>
      <c r="L4352" s="2" t="inlineStr">
        <is>
          <t>Кино_СССР сводный каталог.xlsx: список телефильмов</t>
        </is>
      </c>
      <c r="M4352" s="2">
        <f>HYPERLINK("https://ru.wikipedia.org/w/index.php?search=%D0%9F%D1%80%D0%B8%D0%BA%D0%BB%D1%8E%D1%87%D0%B5%D0%BD%D0%B8%D1%8F%20%D0%BC%D0%B0%D0%BB%D0%B5%D0%BD%D1%8C%D0%BA%D0%BE%D0%B3%D0%BE%20%D0%9C%D1%83%D0%BA%D0%B0%201983%20%D1%84%D0%B8%D0%BB%D1%8C%D0%BC","искать")</f>
        <v/>
      </c>
      <c r="N4352" s="3" t="n"/>
      <c r="O4352" s="2" t="n"/>
      <c r="P4352" s="2" t="n"/>
    </row>
    <row r="4353">
      <c r="A4353" s="2" t="n">
        <v>4352</v>
      </c>
      <c r="B4353" s="2" t="inlineStr">
        <is>
          <t>короткая</t>
        </is>
      </c>
      <c r="C4353" s="2" t="n">
        <v>10481</v>
      </c>
      <c r="D4353" s="3" t="inlineStr">
        <is>
          <t>Великие представления (1972-2009)</t>
        </is>
      </c>
      <c r="E4353" s="2" t="n">
        <v>1972</v>
      </c>
      <c r="F4353" s="2" t="inlineStr">
        <is>
          <t>фильм-спектакль</t>
        </is>
      </c>
      <c r="G4353" s="2" t="n"/>
      <c r="H4353" s="2" t="n">
        <v>153</v>
      </c>
      <c r="I4353" s="2" t="inlineStr"/>
      <c r="J4353" s="2" t="inlineStr"/>
      <c r="K4353" s="3" t="inlineStr">
        <is>
          <t>Телевизионная антология лучших американских исполнителей всех видов искусства, начиная с Бродвейских постановок и заканчивая современными рок-концертами.</t>
        </is>
      </c>
      <c r="L4353" s="2" t="inlineStr">
        <is>
          <t>https://www.kino-teatr.ru/teatr/movie/26259/annot/</t>
        </is>
      </c>
      <c r="M4353" s="2">
        <f>HYPERLINK("https://ru.wikipedia.org/w/index.php?search=%D0%92%D0%B5%D0%BB%D0%B8%D0%BA%D0%B8%D0%B5%20%D0%BF%D1%80%D0%B5%D0%B4%D1%81%D1%82%D0%B0%D0%B2%D0%BB%D0%B5%D0%BD%D0%B8%D1%8F%20%281972-2009%29%201972%20%D1%84%D0%B8%D0%BB%D1%8C%D0%BC","искать")</f>
        <v/>
      </c>
      <c r="N4353" s="3" t="n"/>
      <c r="O4353" s="2" t="n"/>
      <c r="P4353" s="2" t="n"/>
    </row>
    <row r="4354">
      <c r="A4354" s="2" t="n">
        <v>4353</v>
      </c>
      <c r="B4354" s="2" t="inlineStr">
        <is>
          <t>короткая</t>
        </is>
      </c>
      <c r="C4354" s="2" t="n">
        <v>11659</v>
      </c>
      <c r="D4354" s="3" t="inlineStr">
        <is>
          <t>В гостях у лета</t>
        </is>
      </c>
      <c r="E4354" s="2" t="n">
        <v>1972</v>
      </c>
      <c r="F4354" s="2" t="inlineStr">
        <is>
          <t>мультфильм</t>
        </is>
      </c>
      <c r="G4354" s="2" t="inlineStr">
        <is>
          <t>Союзмультфильм</t>
        </is>
      </c>
      <c r="H4354" s="2" t="n">
        <v>153</v>
      </c>
      <c r="I4354" s="2" t="inlineStr"/>
      <c r="J4354" s="2" t="inlineStr"/>
      <c r="K4354" s="3" t="inlineStr">
        <is>
          <t>Расположившиеся у реки туристы затевают ссору с деревенскими ребятами. Но все кончается примирением. Враждующие стороны устраивают спортивные состязания.</t>
        </is>
      </c>
      <c r="L4354" s="2" t="inlineStr">
        <is>
          <t>https://animator.ru/db/?p=show_film&amp;fid=2573</t>
        </is>
      </c>
      <c r="M4354" s="2">
        <f>HYPERLINK("https://ru.wikipedia.org/w/index.php?search=%D0%92%20%D0%B3%D0%BE%D1%81%D1%82%D1%8F%D1%85%20%D1%83%20%D0%BB%D0%B5%D1%82%D0%B0%201972%20%D1%84%D0%B8%D0%BB%D1%8C%D0%BC","искать")</f>
        <v/>
      </c>
      <c r="N4354" s="3" t="n"/>
      <c r="O4354" s="2" t="n"/>
      <c r="P4354" s="2" t="n"/>
    </row>
    <row r="4355">
      <c r="A4355" s="2" t="n">
        <v>4354</v>
      </c>
      <c r="B4355" s="2" t="inlineStr">
        <is>
          <t>короткая</t>
        </is>
      </c>
      <c r="C4355" s="2" t="n">
        <v>10021</v>
      </c>
      <c r="D4355" s="3" t="inlineStr">
        <is>
          <t>Несчастный случай</t>
        </is>
      </c>
      <c r="E4355" s="2" t="n">
        <v>1987</v>
      </c>
      <c r="F4355" s="2" t="inlineStr">
        <is>
          <t>кинофильм</t>
        </is>
      </c>
      <c r="G4355" s="2" t="inlineStr">
        <is>
          <t>Арменфильм (по заказу Госавтоинспекции Арм.ССР)</t>
        </is>
      </c>
      <c r="H4355" s="2" t="n">
        <v>154</v>
      </c>
      <c r="I4355" s="2" t="inlineStr"/>
      <c r="J4355" s="2" t="inlineStr"/>
      <c r="K4355" s="3" t="inlineStr">
        <is>
          <t>Молодой трудолюбивый Армен, единственный сын пожилой матери, становится жертвой хулиганского поступка своего ровесника – нарушителя общественного порядка.</t>
        </is>
      </c>
      <c r="L4355" s="2" t="inlineStr">
        <is>
          <t>https://www.kino-teatr.ru/short/movie/sov/85493/annot/</t>
        </is>
      </c>
      <c r="M4355" s="2">
        <f>HYPERLINK("https://ru.wikipedia.org/w/index.php?search=%D0%9D%D0%B5%D1%81%D1%87%D0%B0%D1%81%D1%82%D0%BD%D1%8B%D0%B9%20%D1%81%D0%BB%D1%83%D1%87%D0%B0%D0%B9%201987%20%D1%84%D0%B8%D0%BB%D1%8C%D0%BC","искать")</f>
        <v/>
      </c>
      <c r="N4355" s="3" t="n"/>
      <c r="O4355" s="2" t="n"/>
      <c r="P4355" s="2" t="n"/>
    </row>
    <row r="4356">
      <c r="A4356" s="2" t="n">
        <v>4355</v>
      </c>
      <c r="B4356" s="2" t="inlineStr">
        <is>
          <t>короткая</t>
        </is>
      </c>
      <c r="C4356" s="2" t="n">
        <v>11256</v>
      </c>
      <c r="D4356" s="3" t="inlineStr">
        <is>
          <t>Закон</t>
        </is>
      </c>
      <c r="E4356" s="2" t="n">
        <v>1989</v>
      </c>
      <c r="F4356" s="2" t="inlineStr">
        <is>
          <t>фильм-спектакль</t>
        </is>
      </c>
      <c r="G4356" s="2" t="inlineStr">
        <is>
          <t>Укртелефильм</t>
        </is>
      </c>
      <c r="H4356" s="2" t="n">
        <v>154</v>
      </c>
      <c r="I4356" s="2" t="inlineStr"/>
      <c r="J4356" s="2" t="inlineStr"/>
      <c r="K4356" s="3" t="inlineStr">
        <is>
          <t>По одноименной пьесе Владимира Винниченко.
Инна не может иметь детей. Но она придумывает, как с помощью своего любовника Панаса можно решить эту проблему.</t>
        </is>
      </c>
      <c r="L4356" s="2" t="inlineStr">
        <is>
          <t>https://www.kino-teatr.ru/teatr/movie/95505/annot/</t>
        </is>
      </c>
      <c r="M4356" s="2">
        <f>HYPERLINK("https://ru.wikipedia.org/w/index.php?search=%D0%97%D0%B0%D0%BA%D0%BE%D0%BD%201989%20%D1%84%D0%B8%D0%BB%D1%8C%D0%BC","искать")</f>
        <v/>
      </c>
      <c r="N4356" s="3" t="n"/>
      <c r="O4356" s="2" t="n"/>
      <c r="P4356" s="2" t="inlineStr">
        <is>
          <t>Википедия: «Закон (фильм, 1989)» — по сверке другой фильм, не предложено</t>
        </is>
      </c>
    </row>
    <row r="4357">
      <c r="A4357" s="2" t="n">
        <v>4356</v>
      </c>
      <c r="B4357" s="2" t="inlineStr">
        <is>
          <t>короткая</t>
        </is>
      </c>
      <c r="C4357" s="2" t="n">
        <v>11941</v>
      </c>
      <c r="D4357" s="3" t="inlineStr">
        <is>
          <t>Лебеди Непрядвы</t>
        </is>
      </c>
      <c r="E4357" s="2" t="n">
        <v>1980</v>
      </c>
      <c r="F4357" s="2" t="inlineStr">
        <is>
          <t>мультфильм</t>
        </is>
      </c>
      <c r="G4357" s="2" t="inlineStr">
        <is>
          <t>Союзмультфильм</t>
        </is>
      </c>
      <c r="H4357" s="2" t="n">
        <v>154</v>
      </c>
      <c r="I4357" s="2" t="inlineStr"/>
      <c r="J4357" s="2" t="inlineStr"/>
      <c r="K4357" s="3" t="inlineStr">
        <is>
          <t>Фильм посвящен 600-летию победы русского оружия на Куликовом поле. В героико-романтической форме фильм рассказывает о подготовке и ходе Куликовской битвы.</t>
        </is>
      </c>
      <c r="L4357" s="2" t="inlineStr">
        <is>
          <t>https://animator.ru/db/?p=show_film&amp;fid=2857</t>
        </is>
      </c>
      <c r="M4357" s="2">
        <f>HYPERLINK("https://ru.wikipedia.org/w/index.php?search=%D0%9B%D0%B5%D0%B1%D0%B5%D0%B4%D0%B8%20%D0%9D%D0%B5%D0%BF%D1%80%D1%8F%D0%B4%D0%B2%D1%8B%201980%20%D1%84%D0%B8%D0%BB%D1%8C%D0%BC","искать")</f>
        <v/>
      </c>
      <c r="N4357" s="3" t="n"/>
      <c r="O4357" s="2" t="n"/>
      <c r="P4357" s="2" t="n"/>
    </row>
    <row r="4358">
      <c r="A4358" s="2" t="n">
        <v>4357</v>
      </c>
      <c r="B4358" s="2" t="inlineStr">
        <is>
          <t>короткая</t>
        </is>
      </c>
      <c r="C4358" s="2" t="n">
        <v>11984</v>
      </c>
      <c r="D4358" s="3" t="inlineStr">
        <is>
          <t>Приключения Васи Куролесова</t>
        </is>
      </c>
      <c r="E4358" s="2" t="n">
        <v>1981</v>
      </c>
      <c r="F4358" s="2" t="inlineStr">
        <is>
          <t>мультфильм</t>
        </is>
      </c>
      <c r="G4358" s="2" t="inlineStr">
        <is>
          <t>Союзмультфильм</t>
        </is>
      </c>
      <c r="H4358" s="2" t="n">
        <v>154</v>
      </c>
      <c r="I4358" s="2" t="inlineStr"/>
      <c r="J4358" s="2" t="inlineStr"/>
      <c r="K4358" s="3" t="inlineStr">
        <is>
          <t>Комический детектив по мотивам повести Юрия Коваля о злоключениях наивного деревенского паренька Васи Куролесова, одураченного шайкой местных уголовников.</t>
        </is>
      </c>
      <c r="L4358" s="2" t="inlineStr">
        <is>
          <t>https://animator.ru/db/?p=show_film&amp;fid=3098</t>
        </is>
      </c>
      <c r="M4358" s="2">
        <f>HYPERLINK("https://ru.wikipedia.org/w/index.php?search=%D0%9F%D1%80%D0%B8%D0%BA%D0%BB%D1%8E%D1%87%D0%B5%D0%BD%D0%B8%D1%8F%20%D0%92%D0%B0%D1%81%D0%B8%20%D0%9A%D1%83%D1%80%D0%BE%D0%BB%D0%B5%D1%81%D0%BE%D0%B2%D0%B0%201981%20%D1%84%D0%B8%D0%BB%D1%8C%D0%BC","искать")</f>
        <v/>
      </c>
      <c r="N4358" s="3" t="n"/>
      <c r="O4358" s="2" t="n"/>
      <c r="P4358" s="2" t="n"/>
    </row>
    <row r="4359">
      <c r="A4359" s="2" t="n">
        <v>4358</v>
      </c>
      <c r="B4359" s="2" t="inlineStr">
        <is>
          <t>короткая</t>
        </is>
      </c>
      <c r="C4359" s="2" t="n">
        <v>12100</v>
      </c>
      <c r="D4359" s="3" t="inlineStr">
        <is>
          <t>Тяп-ляп маляры</t>
        </is>
      </c>
      <c r="E4359" s="2" t="n">
        <v>1984</v>
      </c>
      <c r="F4359" s="2" t="inlineStr">
        <is>
          <t>мультфильм</t>
        </is>
      </c>
      <c r="G4359" s="2" t="inlineStr">
        <is>
          <t>Союзмультфильм</t>
        </is>
      </c>
      <c r="H4359" s="2" t="n">
        <v>154</v>
      </c>
      <c r="I4359" s="2" t="inlineStr"/>
      <c r="J4359" s="2" t="inlineStr"/>
      <c r="K4359" s="3" t="inlineStr">
        <is>
          <t>Рассказывая о том, как пластилиновые герои Тяп и Ляп красят заводской забор, фильм высмеивает разгильдяев и бракоделов.
Диплом МКФ в Оденсе (Дания) 1985г.</t>
        </is>
      </c>
      <c r="L4359" s="2" t="inlineStr">
        <is>
          <t>https://animator.ru/db/?p=show_film&amp;fid=3216</t>
        </is>
      </c>
      <c r="M4359" s="2">
        <f>HYPERLINK("https://ru.wikipedia.org/w/index.php?search=%D0%A2%D1%8F%D0%BF-%D0%BB%D1%8F%D0%BF%20%D0%BC%D0%B0%D0%BB%D1%8F%D1%80%D1%8B%201984%20%D1%84%D0%B8%D0%BB%D1%8C%D0%BC","искать")</f>
        <v/>
      </c>
      <c r="N4359" s="3" t="n"/>
      <c r="O4359" s="2" t="n"/>
      <c r="P4359" s="2" t="n"/>
    </row>
    <row r="4360">
      <c r="A4360" s="2" t="n">
        <v>4359</v>
      </c>
      <c r="B4360" s="2" t="inlineStr">
        <is>
          <t>короткая</t>
        </is>
      </c>
      <c r="C4360" s="2" t="n">
        <v>7574</v>
      </c>
      <c r="D4360" s="3" t="inlineStr">
        <is>
          <t>Если верить Лопотухину</t>
        </is>
      </c>
      <c r="E4360" s="2" t="n">
        <v>1983</v>
      </c>
      <c r="F4360" s="2" t="inlineStr">
        <is>
          <t>телефильм</t>
        </is>
      </c>
      <c r="G4360" s="2" t="n"/>
      <c r="H4360" s="2" t="n">
        <v>155</v>
      </c>
      <c r="I4360" s="2" t="inlineStr"/>
      <c r="J4360" s="2" t="inlineStr"/>
      <c r="K4360" s="3" t="inlineStr">
        <is>
          <t>Фильм рассказывает о весьма неординарных событиях, которые произошли в школе после того, как Вася Лопотухин опоздал на урок из-за встречи с инопланетянами.</t>
        </is>
      </c>
      <c r="L4360" s="2" t="inlineStr">
        <is>
          <t>https://ru.wikipedia.org/w/index.php?title=%D0%95%D1%81%D0%BB%D0%B8_%D0%B2%D0%B5%D1%80%D0%B8%D1%82%D1%8C_%D0%9B%D0%BE%D0%BF%D0%BE%D1%82%D1%83%D1%85%D0%B8%D0%BD%D1%83%E2%80%A6&amp;oldid=151609898</t>
        </is>
      </c>
      <c r="M4360" s="2">
        <f>HYPERLINK("https://ru.wikipedia.org/w/index.php?search=%D0%95%D1%81%D0%BB%D0%B8%20%D0%B2%D0%B5%D1%80%D0%B8%D1%82%D1%8C%20%D0%9B%D0%BE%D0%BF%D0%BE%D1%82%D1%83%D1%85%D0%B8%D0%BD%D1%83%201983%20%D1%84%D0%B8%D0%BB%D1%8C%D0%BC","искать")</f>
        <v/>
      </c>
      <c r="N4360" s="3" t="n"/>
      <c r="O4360" s="2" t="n"/>
      <c r="P4360" s="2" t="n"/>
    </row>
    <row r="4361">
      <c r="A4361" s="2" t="n">
        <v>4360</v>
      </c>
      <c r="B4361" s="2" t="inlineStr">
        <is>
          <t>короткая</t>
        </is>
      </c>
      <c r="C4361" s="2" t="n">
        <v>7865</v>
      </c>
      <c r="D4361" s="3" t="inlineStr">
        <is>
          <t>Мельница на окраине города</t>
        </is>
      </c>
      <c r="E4361" s="2" t="n">
        <v>1981</v>
      </c>
      <c r="F4361" s="2" t="inlineStr">
        <is>
          <t>телефильм</t>
        </is>
      </c>
      <c r="G4361" s="2" t="n"/>
      <c r="H4361" s="2" t="n">
        <v>155</v>
      </c>
      <c r="I4361" s="2" t="inlineStr"/>
      <c r="J4361" s="2" t="inlineStr"/>
      <c r="K4361" s="3" t="inlineStr">
        <is>
          <t>წისქვილი ქალაქის გარეუბანში Телефильм. На окраине современного города стоит старая мельница. Каждое туда приходят горожане, чтобы смолоть кукурузное зерно.</t>
        </is>
      </c>
      <c r="L4361" s="2" t="inlineStr">
        <is>
          <t>Кино_СССР сводный каталог.xlsx: список телефильмов</t>
        </is>
      </c>
      <c r="M4361" s="2">
        <f>HYPERLINK("https://ru.wikipedia.org/w/index.php?search=%D0%9C%D0%B5%D0%BB%D1%8C%D0%BD%D0%B8%D1%86%D0%B0%20%D0%BD%D0%B0%20%D0%BE%D0%BA%D1%80%D0%B0%D0%B8%D0%BD%D0%B5%20%D0%B3%D0%BE%D1%80%D0%BE%D0%B4%D0%B0%201981%20%D1%84%D0%B8%D0%BB%D1%8C%D0%BC","искать")</f>
        <v/>
      </c>
      <c r="N4361" s="3" t="n"/>
      <c r="O4361" s="2" t="n"/>
      <c r="P4361" s="2" t="n"/>
    </row>
    <row r="4362">
      <c r="A4362" s="2" t="n">
        <v>4361</v>
      </c>
      <c r="B4362" s="2" t="inlineStr">
        <is>
          <t>короткая</t>
        </is>
      </c>
      <c r="C4362" s="2" t="n">
        <v>8963</v>
      </c>
      <c r="D4362" s="3" t="inlineStr">
        <is>
          <t>Последняя любовь</t>
        </is>
      </c>
      <c r="E4362" s="2" t="n">
        <v>1991</v>
      </c>
      <c r="F4362" s="2" t="inlineStr">
        <is>
          <t>кинофильм</t>
        </is>
      </c>
      <c r="G4362" s="2" t="n"/>
      <c r="H4362" s="2" t="n">
        <v>155</v>
      </c>
      <c r="I4362" s="2" t="inlineStr"/>
      <c r="J4362" s="2" t="inlineStr"/>
      <c r="K4362" s="3" t="inlineStr">
        <is>
          <t>Музыкальная комедия по мотивам одноименного произведения Р. Ахмедзаде. Фильм повествует о забавных и развлекательных, любовных приключениях главного героя.</t>
        </is>
      </c>
      <c r="L4362" s="2" t="inlineStr">
        <is>
          <t>Кино_СССР сводный каталог.xlsx: список фильмов (доп.)</t>
        </is>
      </c>
      <c r="M4362" s="2">
        <f>HYPERLINK("https://ru.wikipedia.org/w/index.php?search=%D0%9F%D0%BE%D1%81%D0%BB%D0%B5%D0%B4%D0%BD%D1%8F%D1%8F%20%D0%BB%D1%8E%D0%B1%D0%BE%D0%B2%D1%8C%201991%20%D1%84%D0%B8%D0%BB%D1%8C%D0%BC","искать")</f>
        <v/>
      </c>
      <c r="N4362" s="3" t="n"/>
      <c r="O4362" s="2" t="n"/>
      <c r="P4362" s="2" t="n"/>
    </row>
    <row r="4363">
      <c r="A4363" s="2" t="n">
        <v>4362</v>
      </c>
      <c r="B4363" s="2" t="inlineStr">
        <is>
          <t>короткая</t>
        </is>
      </c>
      <c r="C4363" s="2" t="n">
        <v>10642</v>
      </c>
      <c r="D4363" s="3" t="inlineStr">
        <is>
          <t>Волшебный фонарь</t>
        </is>
      </c>
      <c r="E4363" s="2" t="n">
        <v>1976</v>
      </c>
      <c r="F4363" s="2" t="inlineStr">
        <is>
          <t>фильм-спектакль</t>
        </is>
      </c>
      <c r="G4363" s="2" t="inlineStr">
        <is>
          <t>Центральное телевидение, программа "Бенефис"</t>
        </is>
      </c>
      <c r="H4363" s="2" t="n">
        <v>155</v>
      </c>
      <c r="I4363" s="2" t="inlineStr"/>
      <c r="J4363" s="2" t="inlineStr"/>
      <c r="K4363" s="3" t="inlineStr">
        <is>
          <t>Музыкальное ревю «по мотивам изобретения братьев Люмьер»: "Любовник", "Дочь" и "Про Фантомаса". Музыкальные аранжировки Георгия Гараняна и Бориса Фрумкина.</t>
        </is>
      </c>
      <c r="L4363" s="2" t="inlineStr">
        <is>
          <t>https://www.kino-teatr.ru/teatr/movie/1106/annot/</t>
        </is>
      </c>
      <c r="M4363" s="2">
        <f>HYPERLINK("https://ru.wikipedia.org/w/index.php?search=%D0%92%D0%BE%D0%BB%D1%88%D0%B5%D0%B1%D0%BD%D1%8B%D0%B9%20%D1%84%D0%BE%D0%BD%D0%B0%D1%80%D1%8C%201976%20%D1%84%D0%B8%D0%BB%D1%8C%D0%BC","искать")</f>
        <v/>
      </c>
      <c r="N4363" s="3" t="n"/>
      <c r="O4363" s="2" t="n"/>
      <c r="P4363" s="2" t="n"/>
    </row>
    <row r="4364">
      <c r="A4364" s="2" t="n">
        <v>4363</v>
      </c>
      <c r="B4364" s="2" t="inlineStr">
        <is>
          <t>короткая</t>
        </is>
      </c>
      <c r="C4364" s="2" t="n">
        <v>11135</v>
      </c>
      <c r="D4364" s="3" t="inlineStr">
        <is>
          <t>Суд над судьями</t>
        </is>
      </c>
      <c r="E4364" s="2" t="n">
        <v>1986</v>
      </c>
      <c r="F4364" s="2" t="inlineStr">
        <is>
          <t>фильм-спектакль</t>
        </is>
      </c>
      <c r="G4364" s="2" t="inlineStr">
        <is>
          <t>Гл. ред. лит-драм программ</t>
        </is>
      </c>
      <c r="H4364" s="2" t="n">
        <v>155</v>
      </c>
      <c r="I4364" s="2" t="inlineStr"/>
      <c r="J4364" s="2" t="inlineStr"/>
      <c r="K4364" s="3" t="inlineStr">
        <is>
          <t>По одноименной пьесе Э.Манна в постановке Государственного театра им. Моссовета. О судебном процессе над вершителями нацистского правосудия в г. Нюрнберге.</t>
        </is>
      </c>
      <c r="L4364" s="2" t="inlineStr">
        <is>
          <t>https://www.kino-teatr.ru/teatr/movie/10726/annot/</t>
        </is>
      </c>
      <c r="M4364" s="2">
        <f>HYPERLINK("https://ru.wikipedia.org/w/index.php?search=%D0%A1%D1%83%D0%B4%20%D0%BD%D0%B0%D0%B4%20%D1%81%D1%83%D0%B4%D1%8C%D1%8F%D0%BC%D0%B8%201986%20%D1%84%D0%B8%D0%BB%D1%8C%D0%BC","искать")</f>
        <v/>
      </c>
      <c r="N4364" s="3" t="n"/>
      <c r="O4364" s="2" t="n"/>
      <c r="P4364" s="2" t="n"/>
    </row>
    <row r="4365">
      <c r="A4365" s="2" t="n">
        <v>4364</v>
      </c>
      <c r="B4365" s="2" t="inlineStr">
        <is>
          <t>короткая</t>
        </is>
      </c>
      <c r="C4365" s="2" t="n">
        <v>7849</v>
      </c>
      <c r="D4365" s="3" t="inlineStr">
        <is>
          <t>Мама Ануш</t>
        </is>
      </c>
      <c r="E4365" s="2" t="n">
        <v>1983</v>
      </c>
      <c r="F4365" s="2" t="inlineStr">
        <is>
          <t>телефильм</t>
        </is>
      </c>
      <c r="G4365" s="2" t="inlineStr">
        <is>
          <t>Арменфильм</t>
        </is>
      </c>
      <c r="H4365" s="2" t="n">
        <v>156</v>
      </c>
      <c r="I4365" s="2" t="inlineStr"/>
      <c r="J4365" s="2" t="inlineStr"/>
      <c r="K4365" s="3" t="inlineStr">
        <is>
          <t>Телефильм. Героиня фильма — трогательная Ануш (Лия Ахеджакова) — едет в далекий город, чтобы быть рядом с сыном, пока не закончится срок его службы в армии.</t>
        </is>
      </c>
      <c r="L4365" s="2" t="inlineStr">
        <is>
          <t>Кино_СССР сводный каталог.xlsx: список телефильмов</t>
        </is>
      </c>
      <c r="M4365" s="2">
        <f>HYPERLINK("https://ru.wikipedia.org/w/index.php?search=%D0%9C%D0%B0%D0%BC%D0%B0%20%D0%90%D0%BD%D1%83%D1%88%201983%20%D1%84%D0%B8%D0%BB%D1%8C%D0%BC","искать")</f>
        <v/>
      </c>
      <c r="N4365" s="3" t="n"/>
      <c r="O4365" s="2" t="n"/>
      <c r="P4365" s="2" t="n"/>
    </row>
    <row r="4366">
      <c r="A4366" s="2" t="n">
        <v>4365</v>
      </c>
      <c r="B4366" s="2" t="inlineStr">
        <is>
          <t>короткая</t>
        </is>
      </c>
      <c r="C4366" s="2" t="n">
        <v>11740</v>
      </c>
      <c r="D4366" s="3" t="inlineStr">
        <is>
          <t>Мешок яблок</t>
        </is>
      </c>
      <c r="E4366" s="2" t="n">
        <v>1974</v>
      </c>
      <c r="F4366" s="2" t="inlineStr">
        <is>
          <t>мультфильм</t>
        </is>
      </c>
      <c r="G4366" s="2" t="inlineStr">
        <is>
          <t>Союзмультфильм</t>
        </is>
      </c>
      <c r="H4366" s="2" t="n">
        <v>156</v>
      </c>
      <c r="I4366" s="2" t="inlineStr"/>
      <c r="J4366" s="2" t="inlineStr"/>
      <c r="K4366" s="3" t="inlineStr">
        <is>
          <t>Набрал заяц мешок яблок для своей семьи. Да пока нес домой, все и раздал на угощения. Но лесные друзья его выручили."У меня четыре сыночка и лапочка дочка!"</t>
        </is>
      </c>
      <c r="L4366" s="2" t="inlineStr">
        <is>
          <t>2026-10_мультфильмы_список_владельца.xlsx; https://animator.ru/db/?p=show_film&amp;fid=2654</t>
        </is>
      </c>
      <c r="M4366" s="2">
        <f>HYPERLINK("https://ru.wikipedia.org/w/index.php?search=%D0%9C%D0%B5%D1%88%D0%BE%D0%BA%20%D1%8F%D0%B1%D0%BB%D0%BE%D0%BA%201974%20%D1%84%D0%B8%D0%BB%D1%8C%D0%BC","искать")</f>
        <v/>
      </c>
      <c r="N4366" s="3" t="n"/>
      <c r="O4366" s="2" t="n"/>
      <c r="P4366" s="2" t="n"/>
    </row>
    <row r="4367">
      <c r="A4367" s="2" t="n">
        <v>4366</v>
      </c>
      <c r="B4367" s="2" t="inlineStr">
        <is>
          <t>короткая</t>
        </is>
      </c>
      <c r="C4367" s="2" t="n">
        <v>12398</v>
      </c>
      <c r="D4367" s="3" t="inlineStr">
        <is>
          <t>Как ежик и медвежонок небо меняли</t>
        </is>
      </c>
      <c r="E4367" s="2" t="n">
        <v>1985</v>
      </c>
      <c r="F4367" s="2" t="inlineStr">
        <is>
          <t>мультфильм</t>
        </is>
      </c>
      <c r="G4367" s="2" t="inlineStr">
        <is>
          <t>КИЕВНАУЧФИЛЬМ</t>
        </is>
      </c>
      <c r="H4367" s="2" t="n">
        <v>156</v>
      </c>
      <c r="I4367" s="2" t="inlineStr"/>
      <c r="J4367" s="2" t="inlineStr"/>
      <c r="K4367" s="3" t="inlineStr">
        <is>
          <t>В пасмурный день решили друзья поменять небо то на жаркое южное, то на дождливое, то... Но оказалось, что ничего нет лучше лунной морозной ночи. Для малышей</t>
        </is>
      </c>
      <c r="L4367" s="2" t="inlineStr">
        <is>
          <t>https://animator.ru/db/?p=show_film&amp;fid=3569</t>
        </is>
      </c>
      <c r="M4367" s="2">
        <f>HYPERLINK("https://ru.wikipedia.org/w/index.php?search=%D0%9A%D0%B0%D0%BA%20%D0%B5%D0%B6%D0%B8%D0%BA%20%D0%B8%20%D0%BC%D0%B5%D0%B4%D0%B2%D0%B5%D0%B6%D0%BE%D0%BD%D0%BE%D0%BA%20%D0%BD%D0%B5%D0%B1%D0%BE%20%D0%BC%D0%B5%D0%BD%D1%8F%D0%BB%D0%B8%201985%20%D1%84%D0%B8%D0%BB%D1%8C%D0%BC","искать")</f>
        <v/>
      </c>
      <c r="N4367" s="3" t="n"/>
      <c r="O4367" s="2" t="n"/>
      <c r="P4367" s="2" t="n"/>
    </row>
    <row r="4368">
      <c r="A4368" s="2" t="n">
        <v>4367</v>
      </c>
      <c r="B4368" s="2" t="inlineStr">
        <is>
          <t>короткая</t>
        </is>
      </c>
      <c r="C4368" s="2" t="n">
        <v>13675</v>
      </c>
      <c r="D4368" s="3" t="inlineStr">
        <is>
          <t>Два клена</t>
        </is>
      </c>
      <c r="E4368" s="2" t="n">
        <v>1977</v>
      </c>
      <c r="F4368" s="2" t="inlineStr">
        <is>
          <t>мультфильм</t>
        </is>
      </c>
      <c r="G4368" s="2" t="inlineStr">
        <is>
          <t>ЭКРАН</t>
        </is>
      </c>
      <c r="H4368" s="2" t="n">
        <v>156</v>
      </c>
      <c r="I4368" s="2" t="inlineStr"/>
      <c r="J4368" s="2" t="inlineStr"/>
      <c r="K4368" s="3" t="inlineStr">
        <is>
          <t>По одноименной пьесе-сказке Евгения Шварца. О том, как Баба-Яга превратила детей Василисы-работницы в два клена и о материнской любви, победившей злые силы.</t>
        </is>
      </c>
      <c r="L4368" s="2" t="inlineStr">
        <is>
          <t>2026-10_мультфильмы_список_владельца.xlsx; https://animator.ru/db/?p=show_film&amp;fid=5067</t>
        </is>
      </c>
      <c r="M4368" s="2">
        <f>HYPERLINK("https://ru.wikipedia.org/w/index.php?search=%D0%94%D0%B2%D0%B0%20%D0%BA%D0%BB%D0%B5%D0%BD%D0%B0%201977%20%D1%84%D0%B8%D0%BB%D1%8C%D0%BC","искать")</f>
        <v/>
      </c>
      <c r="N4368" s="3" t="n"/>
      <c r="O4368" s="2" t="n"/>
      <c r="P4368" s="2" t="n"/>
    </row>
    <row r="4369">
      <c r="A4369" s="2" t="n">
        <v>4368</v>
      </c>
      <c r="B4369" s="2" t="inlineStr">
        <is>
          <t>короткая</t>
        </is>
      </c>
      <c r="C4369" s="2" t="n">
        <v>11417</v>
      </c>
      <c r="D4369" s="3" t="inlineStr">
        <is>
          <t>Главный звездный</t>
        </is>
      </c>
      <c r="E4369" s="2" t="n">
        <v>1966</v>
      </c>
      <c r="F4369" s="2" t="inlineStr">
        <is>
          <t>мультфильм</t>
        </is>
      </c>
      <c r="G4369" s="2" t="inlineStr">
        <is>
          <t>Союзмультфильм</t>
        </is>
      </c>
      <c r="H4369" s="2" t="n">
        <v>157</v>
      </c>
      <c r="I4369" s="2" t="inlineStr"/>
      <c r="J4369" s="2" t="inlineStr"/>
      <c r="K4369" s="3" t="inlineStr">
        <is>
          <t>О приключениях современных мальчиков в разных исторических эпохах, в будущем и прошлом. Ребята пытаются выяснить, кто внес главный вклад в покорение космоса.</t>
        </is>
      </c>
      <c r="L4369" s="2" t="inlineStr">
        <is>
          <t>https://animator.ru/db/?p=show_film&amp;fid=2187</t>
        </is>
      </c>
      <c r="M4369" s="2">
        <f>HYPERLINK("https://ru.wikipedia.org/w/index.php?search=%D0%93%D0%BB%D0%B0%D0%B2%D0%BD%D1%8B%D0%B9%20%D0%B7%D0%B2%D0%B5%D0%B7%D0%B4%D0%BD%D1%8B%D0%B9%201966%20%D1%84%D0%B8%D0%BB%D1%8C%D0%BC","искать")</f>
        <v/>
      </c>
      <c r="N4369" s="3" t="n"/>
      <c r="O4369" s="2" t="n"/>
      <c r="P4369" s="2" t="n"/>
    </row>
    <row r="4370">
      <c r="A4370" s="2" t="n">
        <v>4369</v>
      </c>
      <c r="B4370" s="2" t="inlineStr">
        <is>
          <t>короткая</t>
        </is>
      </c>
      <c r="C4370" s="2" t="n">
        <v>12184</v>
      </c>
      <c r="D4370" s="3" t="inlineStr">
        <is>
          <t>Веселая карусель n 18. Недоразумение</t>
        </is>
      </c>
      <c r="E4370" s="2" t="n">
        <v>1986</v>
      </c>
      <c r="F4370" s="2" t="inlineStr">
        <is>
          <t>мультфильм</t>
        </is>
      </c>
      <c r="G4370" s="2" t="inlineStr">
        <is>
          <t>Союзмультфильм</t>
        </is>
      </c>
      <c r="H4370" s="2" t="n">
        <v>157</v>
      </c>
      <c r="I4370" s="2" t="inlineStr"/>
      <c r="J4370" s="2" t="inlineStr"/>
      <c r="K4370" s="3" t="inlineStr">
        <is>
          <t>Сюжет из альманаха «ВЕСЕЛАЯ КАРУСЕЛЬ N 18»
По стихотворению О.Бандура. Сказка о том, как дождь увидев надпись "По газонам не ходить", перестал поливать траву</t>
        </is>
      </c>
      <c r="L4370" s="2" t="inlineStr">
        <is>
          <t>https://animator.ru/db/?p=show_film&amp;fid=3300</t>
        </is>
      </c>
      <c r="M4370" s="2">
        <f>HYPERLINK("https://ru.wikipedia.org/w/index.php?search=%D0%92%D0%B5%D1%81%D0%B5%D0%BB%D0%B0%D1%8F%20%D0%BA%D0%B0%D1%80%D1%83%D1%81%D0%B5%D0%BB%D1%8C%20n%2018.%20%D0%9D%D0%B5%D0%B4%D0%BE%D1%80%D0%B0%D0%B7%D1%83%D0%BC%D0%B5%D0%BD%D0%B8%D0%B5%201986%20%D1%84%D0%B8%D0%BB%D1%8C%D0%BC","искать")</f>
        <v/>
      </c>
      <c r="N4370" s="3" t="n"/>
      <c r="O4370" s="2" t="n"/>
      <c r="P4370" s="2" t="n"/>
    </row>
    <row r="4371">
      <c r="A4371" s="2" t="n">
        <v>4370</v>
      </c>
      <c r="B4371" s="2" t="inlineStr">
        <is>
          <t>короткая</t>
        </is>
      </c>
      <c r="C4371" s="2" t="n">
        <v>13730</v>
      </c>
      <c r="D4371" s="3" t="inlineStr">
        <is>
          <t>Корабль пустыни</t>
        </is>
      </c>
      <c r="E4371" s="2" t="n">
        <v>1986</v>
      </c>
      <c r="F4371" s="2" t="inlineStr">
        <is>
          <t>мультфильм</t>
        </is>
      </c>
      <c r="G4371" s="2" t="inlineStr">
        <is>
          <t>МУЛЬТТЕЛЕФИЛЬМ ("Экран")</t>
        </is>
      </c>
      <c r="H4371" s="2" t="n">
        <v>157</v>
      </c>
      <c r="I4371" s="2" t="inlineStr"/>
      <c r="J4371" s="2" t="inlineStr"/>
      <c r="K4371" s="3" t="inlineStr">
        <is>
          <t>Подружились Дикобраз, Тушканчик и Черепаха и вместе построили в пустыне деревянный корабль. Для малышей. Участвует ансамбль фольклорной музыки п/у В.Назарова</t>
        </is>
      </c>
      <c r="L4371" s="2" t="inlineStr">
        <is>
          <t>https://animator.ru/db/?p=show_film&amp;fid=5123</t>
        </is>
      </c>
      <c r="M4371" s="2">
        <f>HYPERLINK("https://ru.wikipedia.org/w/index.php?search=%D0%9A%D0%BE%D1%80%D0%B0%D0%B1%D0%BB%D1%8C%20%D0%BF%D1%83%D1%81%D1%82%D1%8B%D0%BD%D0%B8%201986%20%D1%84%D0%B8%D0%BB%D1%8C%D0%BC","искать")</f>
        <v/>
      </c>
      <c r="N4371" s="3" t="n"/>
      <c r="O4371" s="2" t="n"/>
      <c r="P4371" s="2" t="n"/>
    </row>
    <row r="4372">
      <c r="A4372" s="2" t="n">
        <v>4371</v>
      </c>
      <c r="B4372" s="2" t="inlineStr">
        <is>
          <t>короткая</t>
        </is>
      </c>
      <c r="C4372" s="2" t="n">
        <v>8030</v>
      </c>
      <c r="D4372" s="3" t="inlineStr">
        <is>
          <t>Овраги</t>
        </is>
      </c>
      <c r="E4372" s="2" t="n">
        <v>1990</v>
      </c>
      <c r="F4372" s="2" t="inlineStr">
        <is>
          <t>телефильм</t>
        </is>
      </c>
      <c r="G4372" s="2" t="n"/>
      <c r="H4372" s="2" t="n">
        <v>158</v>
      </c>
      <c r="I4372" s="2" t="inlineStr"/>
      <c r="J4372" s="2" t="inlineStr"/>
      <c r="K4372" s="3" t="inlineStr">
        <is>
          <t>В 1930 году коммунист Платонов участвует в коллективизации. Не отступая после смерти жены, он продолжает борьбу с сопротивлением крестьян и берётся за оружие.</t>
        </is>
      </c>
      <c r="L4372" s="2" t="inlineStr">
        <is>
          <t>Кино_СССР сводный каталог.xlsx: список телефильмов</t>
        </is>
      </c>
      <c r="M4372" s="2">
        <f>HYPERLINK("https://ru.wikipedia.org/w/index.php?search=%D0%9E%D0%B2%D1%80%D0%B0%D0%B3%D0%B8%201990%20%D1%84%D0%B8%D0%BB%D1%8C%D0%BC","искать")</f>
        <v/>
      </c>
      <c r="N4372" s="3" t="n"/>
      <c r="O4372" s="2" t="n"/>
      <c r="P4372" s="2" t="n"/>
    </row>
    <row r="4373">
      <c r="A4373" s="2" t="n">
        <v>4372</v>
      </c>
      <c r="B4373" s="2" t="inlineStr">
        <is>
          <t>короткая</t>
        </is>
      </c>
      <c r="C4373" s="2" t="n">
        <v>10042</v>
      </c>
      <c r="D4373" s="3" t="inlineStr">
        <is>
          <t>Фокусник</t>
        </is>
      </c>
      <c r="E4373" s="2" t="n">
        <v>1989</v>
      </c>
      <c r="F4373" s="2" t="inlineStr">
        <is>
          <t>кинофильм</t>
        </is>
      </c>
      <c r="G4373" s="2" t="inlineStr">
        <is>
          <t>Арменфильм</t>
        </is>
      </c>
      <c r="H4373" s="2" t="n">
        <v>158</v>
      </c>
      <c r="I4373" s="2" t="inlineStr"/>
      <c r="J4373" s="2" t="inlineStr"/>
      <c r="K4373" s="3" t="inlineStr">
        <is>
          <t>Աճպարար
По новелле Т.Манна “Марио и фокусник”.
Приезжий фокусник устраивает сеанс коллективного гипноза, который выявляет истинную сущность обывателей города.</t>
        </is>
      </c>
      <c r="L4373" s="2" t="inlineStr">
        <is>
          <t>https://www.kino-teatr.ru/short/movie/sov/11074/annot/</t>
        </is>
      </c>
      <c r="M4373" s="2">
        <f>HYPERLINK("https://ru.wikipedia.org/w/index.php?search=%D0%A4%D0%BE%D0%BA%D1%83%D1%81%D0%BD%D0%B8%D0%BA%201989%20%D1%84%D0%B8%D0%BB%D1%8C%D0%BC","искать")</f>
        <v/>
      </c>
      <c r="N4373" s="3" t="n"/>
      <c r="O4373" s="2" t="n"/>
      <c r="P4373" s="2" t="n"/>
    </row>
    <row r="4374">
      <c r="A4374" s="2" t="n">
        <v>4373</v>
      </c>
      <c r="B4374" s="2" t="inlineStr">
        <is>
          <t>короткая</t>
        </is>
      </c>
      <c r="C4374" s="2" t="n">
        <v>11344</v>
      </c>
      <c r="D4374" s="3" t="inlineStr">
        <is>
          <t>Рудольфио</t>
        </is>
      </c>
      <c r="E4374" s="2" t="n">
        <v>1991</v>
      </c>
      <c r="F4374" s="2" t="inlineStr">
        <is>
          <t>фильм-спектакль</t>
        </is>
      </c>
      <c r="G4374" s="2" t="inlineStr">
        <is>
          <t>Главная редакция литературно-художественных программ ЦТ</t>
        </is>
      </c>
      <c r="H4374" s="2" t="n">
        <v>158</v>
      </c>
      <c r="I4374" s="2" t="inlineStr"/>
      <c r="J4374" s="2" t="inlineStr"/>
      <c r="K4374" s="3" t="inlineStr">
        <is>
          <t>История любви девочки Ио к взрослому человеку - чуткому интеллигентному Рудольфу. Тяготясь чрезмерным вниманием девочки, старший друг старается ее не обидеть.</t>
        </is>
      </c>
      <c r="L4374" s="2" t="inlineStr">
        <is>
          <t>https://www.kino-teatr.ru/teatr/movie/15369/annot/</t>
        </is>
      </c>
      <c r="M4374" s="2">
        <f>HYPERLINK("https://ru.wikipedia.org/w/index.php?search=%D0%A0%D1%83%D0%B4%D0%BE%D0%BB%D1%8C%D1%84%D0%B8%D0%BE%201991%20%D1%84%D0%B8%D0%BB%D1%8C%D0%BC","искать")</f>
        <v/>
      </c>
      <c r="N4374" s="3" t="n"/>
      <c r="O4374" s="2" t="n"/>
      <c r="P4374" s="2" t="n"/>
    </row>
    <row r="4375">
      <c r="A4375" s="2" t="n">
        <v>4374</v>
      </c>
      <c r="B4375" s="2" t="inlineStr">
        <is>
          <t>короткая</t>
        </is>
      </c>
      <c r="C4375" s="2" t="n">
        <v>11983</v>
      </c>
      <c r="D4375" s="3" t="inlineStr">
        <is>
          <t>Поросенок в колючей шубке</t>
        </is>
      </c>
      <c r="E4375" s="2" t="n">
        <v>1981</v>
      </c>
      <c r="F4375" s="2" t="inlineStr">
        <is>
          <t>мультфильм</t>
        </is>
      </c>
      <c r="G4375" s="2" t="inlineStr">
        <is>
          <t>Союзмультфильм</t>
        </is>
      </c>
      <c r="H4375" s="2" t="n">
        <v>158</v>
      </c>
      <c r="I4375" s="2" t="inlineStr"/>
      <c r="J4375" s="2" t="inlineStr"/>
      <c r="K4375" s="3" t="inlineStr">
        <is>
          <t>Поэтическая сказка для малышей о душевной чуткости. Герой ее - Ежик, который тревожится за судьбу Поросенка, полагая, что тот может замерзнуть в снежном лесу.</t>
        </is>
      </c>
      <c r="L4375" s="2" t="inlineStr">
        <is>
          <t>https://animator.ru/db/?p=show_film&amp;fid=3097</t>
        </is>
      </c>
      <c r="M4375" s="2">
        <f>HYPERLINK("https://ru.wikipedia.org/w/index.php?search=%D0%9F%D0%BE%D1%80%D0%BE%D1%81%D0%B5%D0%BD%D0%BE%D0%BA%20%D0%B2%20%D0%BA%D0%BE%D0%BB%D1%8E%D1%87%D0%B5%D0%B9%20%D1%88%D1%83%D0%B1%D0%BA%D0%B5%201981%20%D1%84%D0%B8%D0%BB%D1%8C%D0%BC","искать")</f>
        <v/>
      </c>
      <c r="N4375" s="3" t="n"/>
      <c r="O4375" s="2" t="n"/>
      <c r="P4375" s="2" t="n"/>
    </row>
    <row r="4376">
      <c r="A4376" s="2" t="n">
        <v>4375</v>
      </c>
      <c r="B4376" s="2" t="inlineStr">
        <is>
          <t>короткая</t>
        </is>
      </c>
      <c r="C4376" s="2" t="n">
        <v>12311</v>
      </c>
      <c r="D4376" s="3" t="inlineStr">
        <is>
          <t>Трям! Здравствуйте!</t>
        </is>
      </c>
      <c r="E4376" s="2" t="n">
        <v>1980</v>
      </c>
      <c r="F4376" s="2" t="inlineStr">
        <is>
          <t>мультфильм</t>
        </is>
      </c>
      <c r="G4376" s="2" t="inlineStr">
        <is>
          <t>ЭКРАН</t>
        </is>
      </c>
      <c r="H4376" s="2" t="n">
        <v>158</v>
      </c>
      <c r="I4376" s="2" t="inlineStr"/>
      <c r="J4376" s="2" t="inlineStr"/>
      <c r="K4376" s="3" t="inlineStr">
        <is>
          <t>Песенка про "Облака - белогривые лошадки"Мультфильм о том, как Медвежонок подарил друзьям новую страну - Тилимилитрямдию.Музыка из мультфильма:Облака(1.20 Мб)</t>
        </is>
      </c>
      <c r="L4376" s="2" t="inlineStr">
        <is>
          <t>2026-10_мультфильмы_список_владельца.xlsx; https://animator.ru/db/?p=show_film&amp;fid=3428</t>
        </is>
      </c>
      <c r="M4376" s="2">
        <f>HYPERLINK("https://ru.wikipedia.org/w/index.php?search=%D0%A2%D1%80%D1%8F%D0%BC%21%20%D0%97%D0%B4%D1%80%D0%B0%D0%B2%D1%81%D1%82%D0%B2%D1%83%D0%B9%D1%82%D0%B5%21%201980%20%D1%84%D0%B8%D0%BB%D1%8C%D0%BC","искать")</f>
        <v/>
      </c>
      <c r="N4376" s="3" t="n"/>
      <c r="O4376" s="2" t="n"/>
      <c r="P4376" s="2" t="n"/>
    </row>
    <row r="4377">
      <c r="A4377" s="2" t="n">
        <v>4376</v>
      </c>
      <c r="B4377" s="2" t="inlineStr">
        <is>
          <t>короткая</t>
        </is>
      </c>
      <c r="C4377" s="2" t="n">
        <v>13827</v>
      </c>
      <c r="D4377" s="3" t="inlineStr">
        <is>
          <t>Плюх и Плих</t>
        </is>
      </c>
      <c r="E4377" s="2" t="n">
        <v>1984</v>
      </c>
      <c r="F4377" s="2" t="inlineStr">
        <is>
          <t>мультфильм</t>
        </is>
      </c>
      <c r="G4377" s="2" t="inlineStr">
        <is>
          <t>ЭКРАН</t>
        </is>
      </c>
      <c r="H4377" s="2" t="n">
        <v>158</v>
      </c>
      <c r="I4377" s="2" t="inlineStr"/>
      <c r="J4377" s="2" t="inlineStr"/>
      <c r="K4377" s="3" t="inlineStr">
        <is>
          <t>По мотивам книги Вальтера Буша в Переводе Даниила Хармса о двух мальчишках, которые спасли от смерти двух щенят и вырастили умных и верных четвероногих друзей</t>
        </is>
      </c>
      <c r="L4377" s="2" t="inlineStr">
        <is>
          <t>https://animator.ru/db/?p=show_film&amp;fid=5220</t>
        </is>
      </c>
      <c r="M4377" s="2">
        <f>HYPERLINK("https://ru.wikipedia.org/w/index.php?search=%D0%9F%D0%BB%D1%8E%D1%85%20%D0%B8%20%D0%9F%D0%BB%D0%B8%D1%85%201984%20%D1%84%D0%B8%D0%BB%D1%8C%D0%BC","искать")</f>
        <v/>
      </c>
      <c r="N4377" s="3" t="n"/>
      <c r="O4377" s="2" t="n"/>
      <c r="P4377" s="2" t="n"/>
    </row>
    <row r="4378">
      <c r="A4378" s="2" t="n">
        <v>4377</v>
      </c>
      <c r="B4378" s="2" t="inlineStr">
        <is>
          <t>короткая</t>
        </is>
      </c>
      <c r="C4378" s="2" t="n">
        <v>14367</v>
      </c>
      <c r="D4378" s="3" t="inlineStr">
        <is>
          <t>Корова</t>
        </is>
      </c>
      <c r="E4378" s="2" t="n">
        <v>1989</v>
      </c>
      <c r="F4378" s="2" t="inlineStr">
        <is>
          <t>мультфильм</t>
        </is>
      </c>
      <c r="G4378" s="2" t="inlineStr">
        <is>
          <t>Пилот, Свердловская киностудия</t>
        </is>
      </c>
      <c r="H4378" s="2" t="n">
        <v>158</v>
      </c>
      <c r="I4378" s="2" t="inlineStr"/>
      <c r="J4378" s="2" t="inlineStr"/>
      <c r="K4378" s="3" t="inlineStr">
        <is>
          <t>В основе лежит история о преданной дружбе деревенского мальчика и его коровы, история о том, как взрослеет душа ребенка, если она готова к любви и состраданию</t>
        </is>
      </c>
      <c r="L4378" s="2" t="inlineStr">
        <is>
          <t>https://gosfilmofond.ru/films/242273/</t>
        </is>
      </c>
      <c r="M4378" s="2">
        <f>HYPERLINK("https://ru.wikipedia.org/w/index.php?search=%D0%9A%D0%BE%D1%80%D0%BE%D0%B2%D0%B0%201989%20%D1%84%D0%B8%D0%BB%D1%8C%D0%BC","искать")</f>
        <v/>
      </c>
      <c r="N4378" s="3" t="n"/>
      <c r="O4378" s="2" t="n"/>
      <c r="P4378" s="2" t="n"/>
    </row>
    <row r="4379">
      <c r="A4379" s="2" t="n">
        <v>4378</v>
      </c>
      <c r="B4379" s="2" t="inlineStr">
        <is>
          <t>короткая</t>
        </is>
      </c>
      <c r="C4379" s="2" t="n">
        <v>7661</v>
      </c>
      <c r="D4379" s="3" t="inlineStr">
        <is>
          <t>И оглянулся путник</t>
        </is>
      </c>
      <c r="E4379" s="2" t="n">
        <v>1985</v>
      </c>
      <c r="F4379" s="2" t="inlineStr">
        <is>
          <t>телефильм</t>
        </is>
      </c>
      <c r="G4379" s="2" t="n"/>
      <c r="H4379" s="2" t="n">
        <v>159</v>
      </c>
      <c r="I4379" s="2" t="inlineStr"/>
      <c r="J4379" s="2" t="inlineStr"/>
      <c r="K4379" s="3" t="inlineStr">
        <is>
          <t>Заур известный и популярный драматург. Работая над своей новой пьесой,  которая дается ему мучительно,  он осознает,  что в его жизни настал переломный момент.</t>
        </is>
      </c>
      <c r="L4379" s="2" t="inlineStr">
        <is>
          <t>Кино_СССР сводный каталог.xlsx: список телефильмов</t>
        </is>
      </c>
      <c r="M4379" s="2">
        <f>HYPERLINK("https://ru.wikipedia.org/w/index.php?search=%D0%98%20%D0%BE%D0%B3%D0%BB%D1%8F%D0%BD%D1%83%D0%BB%D1%81%D1%8F%20%D0%BF%D1%83%D1%82%D0%BD%D0%B8%D0%BA%201985%20%D1%84%D0%B8%D0%BB%D1%8C%D0%BC","искать")</f>
        <v/>
      </c>
      <c r="N4379" s="3" t="n"/>
      <c r="O4379" s="2" t="n"/>
      <c r="P4379" s="2" t="n"/>
    </row>
    <row r="4380">
      <c r="A4380" s="2" t="n">
        <v>4379</v>
      </c>
      <c r="B4380" s="2" t="inlineStr">
        <is>
          <t>короткая</t>
        </is>
      </c>
      <c r="C4380" s="2" t="n">
        <v>11199</v>
      </c>
      <c r="D4380" s="3" t="inlineStr">
        <is>
          <t>Жарчкусы</t>
        </is>
      </c>
      <c r="E4380" s="2" t="n">
        <v>1988</v>
      </c>
      <c r="F4380" s="2" t="inlineStr">
        <is>
          <t>фильм-спектакль</t>
        </is>
      </c>
      <c r="G4380" s="2" t="inlineStr">
        <is>
          <t>Литовское телевидение</t>
        </is>
      </c>
      <c r="H4380" s="2" t="n">
        <v>159</v>
      </c>
      <c r="I4380" s="2" t="inlineStr"/>
      <c r="J4380" s="2" t="inlineStr"/>
      <c r="K4380" s="3" t="inlineStr">
        <is>
          <t>Спектакль поставлен по мотивам повести Антанаса Венуолиса "Приёмная дочь" и рассказывает историю семьи Жарчкусов и о трудной судьбе их приёмной дочери Настуте.</t>
        </is>
      </c>
      <c r="L4380" s="2" t="inlineStr">
        <is>
          <t>https://www.kino-teatr.ru/teatr/movie/110831/annot/</t>
        </is>
      </c>
      <c r="M4380" s="2">
        <f>HYPERLINK("https://ru.wikipedia.org/w/index.php?search=%D0%96%D0%B0%D1%80%D1%87%D0%BA%D1%83%D1%81%D1%8B%201988%20%D1%84%D0%B8%D0%BB%D1%8C%D0%BC","искать")</f>
        <v/>
      </c>
      <c r="N4380" s="3" t="n"/>
      <c r="O4380" s="2" t="n"/>
      <c r="P4380" s="2" t="n"/>
    </row>
    <row r="4381">
      <c r="A4381" s="2" t="n">
        <v>4380</v>
      </c>
      <c r="B4381" s="2" t="inlineStr">
        <is>
          <t>короткая</t>
        </is>
      </c>
      <c r="C4381" s="2" t="n">
        <v>12298</v>
      </c>
      <c r="D4381" s="3" t="inlineStr">
        <is>
          <t>На черный день</t>
        </is>
      </c>
      <c r="E4381" s="2" t="n">
        <v>1991</v>
      </c>
      <c r="F4381" s="2" t="inlineStr">
        <is>
          <t>мультфильм</t>
        </is>
      </c>
      <c r="G4381" s="2" t="inlineStr">
        <is>
          <t>Союзмультфильм</t>
        </is>
      </c>
      <c r="H4381" s="2" t="n">
        <v>159</v>
      </c>
      <c r="I4381" s="2" t="inlineStr"/>
      <c r="J4381" s="2" t="inlineStr"/>
      <c r="K4381" s="3" t="inlineStr">
        <is>
          <t>Продолжение фильма "Ежик должен быть колючим?"
На сей раз, благодаря кудрявому ежику, в лес возвращаются утраченные было красота, гармония и добрые отношения.</t>
        </is>
      </c>
      <c r="L4381" s="2" t="inlineStr">
        <is>
          <t>2026-10_мультфильмы_список_владельца.xlsx; https://animator.ru/db/?p=show_film&amp;fid=3415</t>
        </is>
      </c>
      <c r="M4381" s="2">
        <f>HYPERLINK("https://ru.wikipedia.org/w/index.php?search=%D0%9D%D0%B0%20%D1%87%D0%B5%D1%80%D0%BD%D1%8B%D0%B9%20%D0%B4%D0%B5%D0%BD%D1%8C%201991%20%D1%84%D0%B8%D0%BB%D1%8C%D0%BC","искать")</f>
        <v/>
      </c>
      <c r="N4381" s="3" t="n"/>
      <c r="O4381" s="2" t="n"/>
      <c r="P4381" s="2" t="n"/>
    </row>
    <row r="4382">
      <c r="A4382" s="2" t="n">
        <v>4381</v>
      </c>
      <c r="B4382" s="2" t="inlineStr">
        <is>
          <t>короткая</t>
        </is>
      </c>
      <c r="C4382" s="2" t="n">
        <v>7379</v>
      </c>
      <c r="D4382" s="3" t="inlineStr">
        <is>
          <t>Вот и мы!</t>
        </is>
      </c>
      <c r="E4382" s="2" t="n">
        <v>1978</v>
      </c>
      <c r="F4382" s="2" t="inlineStr">
        <is>
          <t>телефильм</t>
        </is>
      </c>
      <c r="G4382" s="2" t="n"/>
      <c r="H4382" s="2" t="n">
        <v>160</v>
      </c>
      <c r="I4382" s="2" t="inlineStr"/>
      <c r="J4382" s="2" t="inlineStr"/>
      <c r="K4382" s="3" t="inlineStr">
        <is>
          <t>В хороший летний день приезжает из Таллина на ферму на эстонский остров Мухумаа капризная семья, которая решили провести свой отпуск в красивой природной среде.</t>
        </is>
      </c>
      <c r="L4382" s="2" t="inlineStr">
        <is>
          <t>Кино_СССР сводный каталог.xlsx: список телефильмов</t>
        </is>
      </c>
      <c r="M4382" s="2">
        <f>HYPERLINK("https://ru.wikipedia.org/w/index.php?search=%D0%92%D0%BE%D1%82%20%D0%B8%20%D0%BC%D1%8B%21%201978%20%D1%84%D0%B8%D0%BB%D1%8C%D0%BC","искать")</f>
        <v/>
      </c>
      <c r="N4382" s="3" t="n"/>
      <c r="O4382" s="2" t="n"/>
      <c r="P4382" s="2" t="n"/>
    </row>
    <row r="4383">
      <c r="A4383" s="2" t="n">
        <v>4382</v>
      </c>
      <c r="B4383" s="2" t="inlineStr">
        <is>
          <t>короткая</t>
        </is>
      </c>
      <c r="C4383" s="2" t="n">
        <v>7708</v>
      </c>
      <c r="D4383" s="3" t="inlineStr">
        <is>
          <t>Каникулы Кроша</t>
        </is>
      </c>
      <c r="E4383" s="2" t="n">
        <v>1980</v>
      </c>
      <c r="F4383" s="2" t="inlineStr">
        <is>
          <t>телефильм</t>
        </is>
      </c>
      <c r="G4383" s="2" t="n"/>
      <c r="H4383" s="2" t="n">
        <v>160</v>
      </c>
      <c r="I4383" s="2" t="inlineStr"/>
      <c r="J4383" s="2" t="inlineStr"/>
      <c r="K4383" s="3" t="inlineStr">
        <is>
          <t>Телесериал. В основе фильма - столкновение десятиклассника Сергея Крашенинникова (Кроша) с коллекционером, охотящимся за японской миниатюрной скульптурой нэцке.</t>
        </is>
      </c>
      <c r="L4383" s="2" t="inlineStr">
        <is>
          <t>Кино_СССР сводный каталог.xlsx: список телефильмов</t>
        </is>
      </c>
      <c r="M4383" s="2">
        <f>HYPERLINK("https://ru.wikipedia.org/w/index.php?search=%D0%9A%D0%B0%D0%BD%D0%B8%D0%BA%D1%83%D0%BB%D1%8B%20%D0%9A%D1%80%D0%BE%D1%88%D0%B0%201980%20%D1%84%D0%B8%D0%BB%D1%8C%D0%BC","искать")</f>
        <v/>
      </c>
      <c r="N4383" s="3" t="n"/>
      <c r="O4383" s="2" t="n"/>
      <c r="P4383" s="2" t="n"/>
    </row>
    <row r="4384">
      <c r="A4384" s="2" t="n">
        <v>4383</v>
      </c>
      <c r="B4384" s="2" t="inlineStr">
        <is>
          <t>короткая</t>
        </is>
      </c>
      <c r="C4384" s="2" t="n">
        <v>9135</v>
      </c>
      <c r="D4384" s="3" t="inlineStr">
        <is>
          <t>Фальшивомонетничество - преступление государственное</t>
        </is>
      </c>
      <c r="E4384" s="2" t="n">
        <v>1965</v>
      </c>
      <c r="F4384" s="2" t="inlineStr">
        <is>
          <t>кинофильм</t>
        </is>
      </c>
      <c r="G4384" s="2" t="n"/>
      <c r="H4384" s="2" t="n">
        <v>160</v>
      </c>
      <c r="I4384" s="2" t="inlineStr"/>
      <c r="J4384" s="2" t="inlineStr"/>
      <c r="K4384" s="3" t="inlineStr">
        <is>
          <t>Игровой фильм рассказывает будущим сотрудникам ОБХСС, как правильно бороться с подделкой денежных знаков и монет. В фильме снялись настоящие сотрудники милиции.</t>
        </is>
      </c>
      <c r="L4384" s="2" t="inlineStr">
        <is>
          <t>Кино_СССР сводный каталог.xlsx: список фильмов (доп.)</t>
        </is>
      </c>
      <c r="M4384" s="2">
        <f>HYPERLINK("https://ru.wikipedia.org/w/index.php?search=%D0%A4%D0%B0%D0%BB%D1%8C%D1%88%D0%B8%D0%B2%D0%BE%D0%BC%D0%BE%D0%BD%D0%B5%D1%82%D0%BD%D0%B8%D1%87%D0%B5%D1%81%D1%82%D0%B2%D0%BE%20-%20%D0%BF%D1%80%D0%B5%D1%81%D1%82%D1%83%D0%BF%D0%BB%D0%B5%D0%BD%D0%B8%D0%B5%20%D0%B3%D0%BE%D1%81%D1%83%D0%B4%D0%B0%D1%80%D1%81%D1%82%D0%B2%D0%B5%D0%BD%D0%BD%D0%BE%D0%B5%201965%20%D1%84%D0%B8%D0%BB%D1%8C%D0%BC","искать")</f>
        <v/>
      </c>
      <c r="N4384" s="3" t="n"/>
      <c r="O4384" s="2" t="n"/>
      <c r="P4384" s="2" t="n"/>
    </row>
    <row r="4385">
      <c r="A4385" s="2" t="n">
        <v>4384</v>
      </c>
      <c r="B4385" s="2" t="inlineStr">
        <is>
          <t>короткая</t>
        </is>
      </c>
      <c r="C4385" s="2" t="n">
        <v>11205</v>
      </c>
      <c r="D4385" s="3" t="inlineStr">
        <is>
          <t>Игра в детектив. Выпуск 2</t>
        </is>
      </c>
      <c r="E4385" s="2" t="n">
        <v>1988</v>
      </c>
      <c r="F4385" s="2" t="inlineStr">
        <is>
          <t>фильм-спектакль</t>
        </is>
      </c>
      <c r="G4385" s="2" t="inlineStr">
        <is>
          <t>Главная редакция литературно-драматических программ ЦТ</t>
        </is>
      </c>
      <c r="H4385" s="2" t="n">
        <v>160</v>
      </c>
      <c r="I4385" s="2" t="inlineStr"/>
      <c r="J4385" s="2" t="inlineStr"/>
      <c r="K4385" s="3" t="inlineStr">
        <is>
          <t>Второй выпуск из цикла "Игра в детектив". Постоянные персонажи цикла - Автор, Инспектор и Сержант - предлагают телезрителям отгадать четыре детективные загадки.</t>
        </is>
      </c>
      <c r="L4385" s="2" t="inlineStr">
        <is>
          <t>https://www.kino-teatr.ru/teatr/movie/80158/annot/</t>
        </is>
      </c>
      <c r="M4385" s="2">
        <f>HYPERLINK("https://ru.wikipedia.org/w/index.php?search=%D0%98%D0%B3%D1%80%D0%B0%20%D0%B2%20%D0%B4%D0%B5%D1%82%D0%B5%D0%BA%D1%82%D0%B8%D0%B2.%20%D0%92%D1%8B%D0%BF%D1%83%D1%81%D0%BA%202%201988%20%D1%84%D0%B8%D0%BB%D1%8C%D0%BC","искать")</f>
        <v/>
      </c>
      <c r="N4385" s="3" t="n"/>
      <c r="O4385" s="2" t="n"/>
      <c r="P4385" s="2" t="n"/>
    </row>
    <row r="4386">
      <c r="A4386" s="2" t="n">
        <v>4385</v>
      </c>
      <c r="B4386" s="2" t="inlineStr">
        <is>
          <t>короткая</t>
        </is>
      </c>
      <c r="C4386" s="2" t="n">
        <v>11824</v>
      </c>
      <c r="D4386" s="3" t="inlineStr">
        <is>
          <t>Василиса Прекрасная</t>
        </is>
      </c>
      <c r="E4386" s="2" t="n">
        <v>1977</v>
      </c>
      <c r="F4386" s="2" t="inlineStr">
        <is>
          <t>мультфильм</t>
        </is>
      </c>
      <c r="G4386" s="2" t="inlineStr">
        <is>
          <t>Союзмультфильм</t>
        </is>
      </c>
      <c r="H4386" s="2" t="n">
        <v>160</v>
      </c>
      <c r="I4386" s="2" t="inlineStr"/>
      <c r="J4386" s="2" t="inlineStr"/>
      <c r="K4386" s="3" t="inlineStr">
        <is>
          <t>Фильм поставлен по одноименной русской народной сказке и рассказывает о добром царевиче, который прошел через все испытания, чтобы расколдовать царевну-лягушку.</t>
        </is>
      </c>
      <c r="L4386" s="2" t="inlineStr">
        <is>
          <t>2026-10_мультфильмы_список_владельца.xlsx; https://animator.ru/db/?p=show_film&amp;fid=2739</t>
        </is>
      </c>
      <c r="M4386" s="2">
        <f>HYPERLINK("https://ru.wikipedia.org/w/index.php?search=%D0%92%D0%B0%D1%81%D0%B8%D0%BB%D0%B8%D1%81%D0%B0%20%D0%9F%D1%80%D0%B5%D0%BA%D1%80%D0%B0%D1%81%D0%BD%D0%B0%D1%8F%201977%20%D1%84%D0%B8%D0%BB%D1%8C%D0%BC","искать")</f>
        <v/>
      </c>
      <c r="N4386" s="3" t="n"/>
      <c r="O4386" s="2" t="n"/>
      <c r="P4386" s="2" t="n"/>
    </row>
    <row r="4387">
      <c r="A4387" s="2" t="n">
        <v>4386</v>
      </c>
      <c r="B4387" s="2" t="inlineStr">
        <is>
          <t>короткая</t>
        </is>
      </c>
      <c r="C4387" s="2" t="n">
        <v>12312</v>
      </c>
      <c r="D4387" s="3" t="inlineStr">
        <is>
          <t>Мисс Новый год</t>
        </is>
      </c>
      <c r="E4387" s="2" t="n">
        <v>1991</v>
      </c>
      <c r="F4387" s="2" t="inlineStr">
        <is>
          <t>мультфильм</t>
        </is>
      </c>
      <c r="G4387" s="2" t="inlineStr">
        <is>
          <t>Союзмультфильм</t>
        </is>
      </c>
      <c r="H4387" s="2" t="n">
        <v>160</v>
      </c>
      <c r="I4387" s="2" t="inlineStr"/>
      <c r="J4387" s="2" t="inlineStr"/>
      <c r="K4387" s="3" t="inlineStr">
        <is>
          <t>Добрая маленька Ворона, которую хлопотами мамаши признали первой красавицей новогоднего бала, отдала свою корону красавице Лисичке и тем заслужила общую любовь.</t>
        </is>
      </c>
      <c r="L4387" s="2" t="inlineStr">
        <is>
          <t>https://animator.ru/db/?p=show_film&amp;fid=3429</t>
        </is>
      </c>
      <c r="M4387" s="2">
        <f>HYPERLINK("https://ru.wikipedia.org/w/index.php?search=%D0%9C%D0%B8%D1%81%D1%81%20%D0%9D%D0%BE%D0%B2%D1%8B%D0%B9%20%D0%B3%D0%BE%D0%B4%201991%20%D1%84%D0%B8%D0%BB%D1%8C%D0%BC","искать")</f>
        <v/>
      </c>
      <c r="N4387" s="3" t="n"/>
      <c r="O4387" s="2" t="n"/>
      <c r="P4387" s="2" t="inlineStr">
        <is>
          <t>ГФФ: «МИСС НОВЫЙ ГОД» 1991 — по сверке другой фильм, не предложено</t>
        </is>
      </c>
    </row>
    <row r="4388">
      <c r="A4388" s="2" t="n">
        <v>4387</v>
      </c>
      <c r="B4388" s="2" t="inlineStr">
        <is>
          <t>короткая</t>
        </is>
      </c>
      <c r="C4388" s="2" t="n">
        <v>14425</v>
      </c>
      <c r="D4388" s="3" t="inlineStr">
        <is>
          <t>Мудрость бедной девушки</t>
        </is>
      </c>
      <c r="E4388" s="2" t="n">
        <v>1990</v>
      </c>
      <c r="F4388" s="2" t="inlineStr">
        <is>
          <t>мультфильм</t>
        </is>
      </c>
      <c r="G4388" s="2" t="n"/>
      <c r="H4388" s="2" t="n">
        <v>160</v>
      </c>
      <c r="I4388" s="2" t="inlineStr"/>
      <c r="J4388" s="2" t="inlineStr"/>
      <c r="K4388" s="3" t="inlineStr">
        <is>
          <t>По мотивам дунганской народной сказки. Всемогущий император выучился ремеслу вышивания, чтобы понравиться бедной девушке. В минуту опасности ремесло спасло его.</t>
        </is>
      </c>
      <c r="L4388" s="2" t="inlineStr">
        <is>
          <t>https://animator.ru/db/?p=show_film&amp;fid=6664</t>
        </is>
      </c>
      <c r="M4388" s="2">
        <f>HYPERLINK("https://ru.wikipedia.org/w/index.php?search=%D0%9C%D1%83%D0%B4%D1%80%D0%BE%D1%81%D1%82%D1%8C%20%D0%B1%D0%B5%D0%B4%D0%BD%D0%BE%D0%B9%20%D0%B4%D0%B5%D0%B2%D1%83%D1%88%D0%BA%D0%B8%201990%20%D1%84%D0%B8%D0%BB%D1%8C%D0%BC","искать")</f>
        <v/>
      </c>
      <c r="N4388" s="3" t="n"/>
      <c r="O4388" s="2" t="n"/>
      <c r="P4388" s="2" t="n"/>
    </row>
    <row r="4389">
      <c r="A4389" s="2" t="n">
        <v>4388</v>
      </c>
      <c r="B4389" s="2" t="inlineStr">
        <is>
          <t>короткая</t>
        </is>
      </c>
      <c r="C4389" s="2" t="n">
        <v>7498</v>
      </c>
      <c r="D4389" s="3" t="inlineStr">
        <is>
          <t>Денискины рассказы</t>
        </is>
      </c>
      <c r="E4389" s="2" t="n">
        <v>1970</v>
      </c>
      <c r="F4389" s="2" t="inlineStr">
        <is>
          <t>телефильм</t>
        </is>
      </c>
      <c r="G4389" s="2" t="n"/>
      <c r="H4389" s="2" t="n">
        <v>161</v>
      </c>
      <c r="I4389" s="2" t="inlineStr"/>
      <c r="J4389" s="2" t="inlineStr"/>
      <c r="K4389" s="3" t="inlineStr">
        <is>
          <t>Лента "Денискины рассказы" включает в себя четыре новеллы: "Школьный праздник", "Здоровая мысль", "Шляпа Гроссмейстера", и, наконец, "Двадцать лет под кроватью".</t>
        </is>
      </c>
      <c r="L4389" s="2" t="inlineStr">
        <is>
          <t>Кино_СССР сводный каталог.xlsx: список телефильмов</t>
        </is>
      </c>
      <c r="M4389" s="2">
        <f>HYPERLINK("https://ru.wikipedia.org/w/index.php?search=%D0%94%D0%B5%D0%BD%D0%B8%D1%81%D0%BA%D0%B8%D0%BD%D1%8B%20%D1%80%D0%B0%D1%81%D1%81%D0%BA%D0%B0%D0%B7%D1%8B%201970%20%D1%84%D0%B8%D0%BB%D1%8C%D0%BC","искать")</f>
        <v/>
      </c>
      <c r="N4389" s="3" t="n"/>
      <c r="O4389" s="2" t="n"/>
      <c r="P4389" s="2" t="n"/>
    </row>
    <row r="4390">
      <c r="A4390" s="2" t="n">
        <v>4389</v>
      </c>
      <c r="B4390" s="2" t="inlineStr">
        <is>
          <t>короткая</t>
        </is>
      </c>
      <c r="C4390" s="2" t="n">
        <v>8400</v>
      </c>
      <c r="D4390" s="3" t="inlineStr">
        <is>
          <t>Старые зурначи</t>
        </is>
      </c>
      <c r="E4390" s="2" t="n">
        <v>1972</v>
      </c>
      <c r="F4390" s="2" t="inlineStr">
        <is>
          <t>телефильм</t>
        </is>
      </c>
      <c r="G4390" s="2" t="n"/>
      <c r="H4390" s="2" t="n">
        <v>161</v>
      </c>
      <c r="I4390" s="2" t="inlineStr"/>
      <c r="J4390" s="2" t="inlineStr"/>
      <c r="K4390" s="3" t="inlineStr">
        <is>
          <t>Телефильм. О трех стариках-зурначах, стремящихся дарить свое искусство людям. В фильме принимает участие ансамбль зурначей "Соинари" под руководством Г.Ксоврели.</t>
        </is>
      </c>
      <c r="L4390" s="2" t="inlineStr">
        <is>
          <t>Кино_СССР сводный каталог.xlsx: список телефильмов</t>
        </is>
      </c>
      <c r="M4390" s="2">
        <f>HYPERLINK("https://ru.wikipedia.org/w/index.php?search=%D0%A1%D1%82%D0%B0%D1%80%D1%8B%D0%B5%20%D0%B7%D1%83%D1%80%D0%BD%D0%B0%D1%87%D0%B8%201972%20%D1%84%D0%B8%D0%BB%D1%8C%D0%BC","искать")</f>
        <v/>
      </c>
      <c r="N4390" s="3" t="n"/>
      <c r="O4390" s="2" t="n"/>
      <c r="P4390" s="2" t="n"/>
    </row>
    <row r="4391">
      <c r="A4391" s="2" t="n">
        <v>4390</v>
      </c>
      <c r="B4391" s="2" t="inlineStr">
        <is>
          <t>короткая</t>
        </is>
      </c>
      <c r="C4391" s="2" t="n">
        <v>10552</v>
      </c>
      <c r="D4391" s="3" t="inlineStr">
        <is>
          <t>Всадники на станции Роса</t>
        </is>
      </c>
      <c r="E4391" s="2" t="n">
        <v>1974</v>
      </c>
      <c r="F4391" s="2" t="inlineStr">
        <is>
          <t>фильм-спектакль</t>
        </is>
      </c>
      <c r="G4391" s="2" t="inlineStr">
        <is>
          <t>Детская телестуди "Орлёнок" при Главной редакциии программ для детей и юношества ЦТ</t>
        </is>
      </c>
      <c r="H4391" s="2" t="n">
        <v>161</v>
      </c>
      <c r="I4391" s="2" t="inlineStr"/>
      <c r="J4391" s="2" t="inlineStr"/>
      <c r="K4391" s="3" t="inlineStr">
        <is>
          <t>По одноименной повести Владислава Крапивина.
Телевизионный спектакль о том, как Сергей Каховский встретил настоящих друзей, которые помогли ему в трудную минуту.</t>
        </is>
      </c>
      <c r="L4391" s="2" t="inlineStr">
        <is>
          <t>https://www.kino-teatr.ru/teatr/movie/79307/annot/</t>
        </is>
      </c>
      <c r="M4391" s="2">
        <f>HYPERLINK("https://ru.wikipedia.org/w/index.php?search=%D0%92%D1%81%D0%B0%D0%B4%D0%BD%D0%B8%D0%BA%D0%B8%20%D0%BD%D0%B0%20%D1%81%D1%82%D0%B0%D0%BD%D1%86%D0%B8%D0%B8%20%D0%A0%D0%BE%D1%81%D0%B0%201974%20%D1%84%D0%B8%D0%BB%D1%8C%D0%BC","искать")</f>
        <v/>
      </c>
      <c r="N4391" s="3" t="n"/>
      <c r="O4391" s="2" t="n"/>
      <c r="P4391" s="2" t="n"/>
    </row>
    <row r="4392">
      <c r="A4392" s="2" t="n">
        <v>4391</v>
      </c>
      <c r="B4392" s="2" t="inlineStr">
        <is>
          <t>короткая</t>
        </is>
      </c>
      <c r="C4392" s="2" t="n">
        <v>12124</v>
      </c>
      <c r="D4392" s="3" t="inlineStr">
        <is>
          <t>Счастливый старт 2</t>
        </is>
      </c>
      <c r="E4392" s="2" t="n">
        <v>1989</v>
      </c>
      <c r="F4392" s="2" t="inlineStr">
        <is>
          <t>мультфильм</t>
        </is>
      </c>
      <c r="G4392" s="2" t="inlineStr">
        <is>
          <t>Союзмультфильм</t>
        </is>
      </c>
      <c r="H4392" s="2" t="n">
        <v>161</v>
      </c>
      <c r="I4392" s="2" t="inlineStr"/>
      <c r="J4392" s="2" t="inlineStr"/>
      <c r="K4392" s="3" t="inlineStr">
        <is>
          <t>Вторая картина из цикла о дельфинах. Дельфин Тристан проходит обучение на военно-морской базе. Весь процесс этого специфического обучения остроумно спародирован.</t>
        </is>
      </c>
      <c r="L4392" s="2" t="inlineStr">
        <is>
          <t>https://animator.ru/db/?p=show_film&amp;fid=3240</t>
        </is>
      </c>
      <c r="M4392" s="2">
        <f>HYPERLINK("https://ru.wikipedia.org/w/index.php?search=%D0%A1%D1%87%D0%B0%D1%81%D1%82%D0%BB%D0%B8%D0%B2%D1%8B%D0%B9%20%D1%81%D1%82%D0%B0%D1%80%D1%82%202%201989%20%D1%84%D0%B8%D0%BB%D1%8C%D0%BC","искать")</f>
        <v/>
      </c>
      <c r="N4392" s="3" t="n"/>
      <c r="O4392" s="2" t="n"/>
      <c r="P4392" s="2" t="n"/>
    </row>
    <row r="4393">
      <c r="A4393" s="2" t="n">
        <v>4392</v>
      </c>
      <c r="B4393" s="2" t="inlineStr">
        <is>
          <t>короткая</t>
        </is>
      </c>
      <c r="C4393" s="2" t="n">
        <v>12336</v>
      </c>
      <c r="D4393" s="3" t="inlineStr">
        <is>
          <t>Веселый цыпленок</t>
        </is>
      </c>
      <c r="E4393" s="2" t="n">
        <v>1973</v>
      </c>
      <c r="F4393" s="2" t="inlineStr">
        <is>
          <t>мультфильм</t>
        </is>
      </c>
      <c r="G4393" s="2" t="inlineStr">
        <is>
          <t>КИЕВНАУЧФИЛЬМ</t>
        </is>
      </c>
      <c r="H4393" s="2" t="n">
        <v>161</v>
      </c>
      <c r="I4393" s="2" t="inlineStr"/>
      <c r="J4393" s="2" t="inlineStr"/>
      <c r="K4393" s="3" t="inlineStr">
        <is>
          <t>О том, как маленький цыпленок веселой песенкой подчинил себе больших зверей - лису, волка и медведя."Какое все зеленое, какое все красивое... Ко-...-ко-ро-ко-ко"</t>
        </is>
      </c>
      <c r="L4393" s="2" t="inlineStr">
        <is>
          <t>2026-10_мультфильмы_список_владельца.xlsx; https://animator.ru/db/?p=show_film&amp;fid=3500</t>
        </is>
      </c>
      <c r="M4393" s="2">
        <f>HYPERLINK("https://ru.wikipedia.org/w/index.php?search=%D0%92%D0%B5%D1%81%D0%B5%D0%BB%D1%8B%D0%B9%20%D1%86%D1%8B%D0%BF%D0%BB%D0%B5%D0%BD%D0%BE%D0%BA%201973%20%D1%84%D0%B8%D0%BB%D1%8C%D0%BC","искать")</f>
        <v/>
      </c>
      <c r="N4393" s="3" t="n"/>
      <c r="O4393" s="2" t="n"/>
      <c r="P4393" s="2" t="n"/>
    </row>
    <row r="4394">
      <c r="A4394" s="2" t="n">
        <v>4393</v>
      </c>
      <c r="B4394" s="2" t="inlineStr">
        <is>
          <t>короткая</t>
        </is>
      </c>
      <c r="C4394" s="2" t="n">
        <v>13810</v>
      </c>
      <c r="D4394" s="3" t="inlineStr">
        <is>
          <t>Осьминожки</t>
        </is>
      </c>
      <c r="E4394" s="2" t="n">
        <v>1976</v>
      </c>
      <c r="F4394" s="2" t="inlineStr">
        <is>
          <t>мультфильм</t>
        </is>
      </c>
      <c r="G4394" s="2" t="inlineStr">
        <is>
          <t>ЭКРАН</t>
        </is>
      </c>
      <c r="H4394" s="2" t="n">
        <v>161</v>
      </c>
      <c r="I4394" s="2" t="inlineStr"/>
      <c r="J4394" s="2" t="inlineStr"/>
      <c r="K4394" s="3" t="inlineStr">
        <is>
          <t>По стихотворению Э.Успенского, как папы-осьминоги перепутали своих детей."Палка, палка, огуречик, вот и вышел человечек!"Музыка из мультфильма:Осьминожки(974 Кб)</t>
        </is>
      </c>
      <c r="L4394" s="2" t="inlineStr">
        <is>
          <t>2026-10_мультфильмы_список_владельца.xlsx; https://animator.ru/db/?p=show_film&amp;fid=5203</t>
        </is>
      </c>
      <c r="M4394" s="2">
        <f>HYPERLINK("https://ru.wikipedia.org/w/index.php?search=%D0%9E%D1%81%D1%8C%D0%BC%D0%B8%D0%BD%D0%BE%D0%B6%D0%BA%D0%B8%201976%20%D1%84%D0%B8%D0%BB%D1%8C%D0%BC","искать")</f>
        <v/>
      </c>
      <c r="N4394" s="3" t="n"/>
      <c r="O4394" s="2" t="n"/>
      <c r="P4394" s="2" t="n"/>
    </row>
    <row r="4395">
      <c r="A4395" s="2" t="n">
        <v>4394</v>
      </c>
      <c r="B4395" s="2" t="inlineStr">
        <is>
          <t>короткая</t>
        </is>
      </c>
      <c r="C4395" s="2" t="n">
        <v>8191</v>
      </c>
      <c r="D4395" s="3" t="inlineStr">
        <is>
          <t>Преодолей себя</t>
        </is>
      </c>
      <c r="E4395" s="2" t="n">
        <v>1975</v>
      </c>
      <c r="F4395" s="2" t="inlineStr">
        <is>
          <t>телефильм</t>
        </is>
      </c>
      <c r="G4395" s="2" t="n"/>
      <c r="H4395" s="2" t="n">
        <v>162</v>
      </c>
      <c r="I4395" s="2" t="inlineStr"/>
      <c r="J4395" s="2" t="inlineStr"/>
      <c r="K4395" s="3" t="inlineStr">
        <is>
          <t>По мотивам романа Мирмухсина “Умид”. О молодом учёном-селекционере Умиде Рустамове, работающем над выведением сортов хлопчатника, невосприимчивого к заболеваниям.</t>
        </is>
      </c>
      <c r="L4395" s="2" t="inlineStr">
        <is>
          <t>Кино_СССР сводный каталог.xlsx: список телефильмов</t>
        </is>
      </c>
      <c r="M4395" s="2">
        <f>HYPERLINK("https://ru.wikipedia.org/w/index.php?search=%D0%9F%D1%80%D0%B5%D0%BE%D0%B4%D0%BE%D0%BB%D0%B5%D0%B9%20%D1%81%D0%B5%D0%B1%D1%8F%201975%20%D1%84%D0%B8%D0%BB%D1%8C%D0%BC","искать")</f>
        <v/>
      </c>
      <c r="N4395" s="3" t="n"/>
      <c r="O4395" s="2" t="n"/>
      <c r="P4395" s="2" t="n"/>
    </row>
    <row r="4396">
      <c r="A4396" s="2" t="n">
        <v>4395</v>
      </c>
      <c r="B4396" s="2" t="inlineStr">
        <is>
          <t>короткая</t>
        </is>
      </c>
      <c r="C4396" s="2" t="n">
        <v>9898</v>
      </c>
      <c r="D4396" s="3" t="inlineStr">
        <is>
          <t>У самого синего неба</t>
        </is>
      </c>
      <c r="E4396" s="2" t="n">
        <v>1972</v>
      </c>
      <c r="F4396" s="2" t="inlineStr">
        <is>
          <t>телефильм</t>
        </is>
      </c>
      <c r="G4396" s="2" t="inlineStr">
        <is>
          <t>Узбектелефильм</t>
        </is>
      </c>
      <c r="H4396" s="2" t="n">
        <v>162</v>
      </c>
      <c r="I4396" s="2" t="inlineStr"/>
      <c r="J4396" s="2" t="inlineStr"/>
      <c r="K4396" s="3" t="inlineStr">
        <is>
          <t>Мальчик Искандер первым узнает о гибели отца на фронте и скрывает это от матери, оберегя ее. Он черпает силу а дружбе с Рано и Игорем, у которого тоже погиб отец.</t>
        </is>
      </c>
      <c r="L4396" s="2" t="inlineStr">
        <is>
          <t>https://www.kino-teatr.ru/short/movie/sov/92733/annot/</t>
        </is>
      </c>
      <c r="M4396" s="2">
        <f>HYPERLINK("https://ru.wikipedia.org/w/index.php?search=%D0%A3%20%D1%81%D0%B0%D0%BC%D0%BE%D0%B3%D0%BE%20%D1%81%D0%B8%D0%BD%D0%B5%D0%B3%D0%BE%20%D0%BD%D0%B5%D0%B1%D0%B0%201972%20%D1%84%D0%B8%D0%BB%D1%8C%D0%BC","искать")</f>
        <v/>
      </c>
      <c r="N4396" s="3" t="n"/>
      <c r="O4396" s="2" t="n"/>
      <c r="P4396" s="2" t="n"/>
    </row>
    <row r="4397">
      <c r="A4397" s="2" t="n">
        <v>4396</v>
      </c>
      <c r="B4397" s="2" t="inlineStr">
        <is>
          <t>короткая</t>
        </is>
      </c>
      <c r="C4397" s="2" t="n">
        <v>12125</v>
      </c>
      <c r="D4397" s="3" t="inlineStr">
        <is>
          <t>Счастливый старт 3</t>
        </is>
      </c>
      <c r="E4397" s="2" t="n">
        <v>1989</v>
      </c>
      <c r="F4397" s="2" t="inlineStr">
        <is>
          <t>мультфильм</t>
        </is>
      </c>
      <c r="G4397" s="2" t="inlineStr">
        <is>
          <t>Союзмультфильм</t>
        </is>
      </c>
      <c r="H4397" s="2" t="n">
        <v>162</v>
      </c>
      <c r="I4397" s="2" t="inlineStr"/>
      <c r="J4397" s="2" t="inlineStr"/>
      <c r="K4397" s="3" t="inlineStr">
        <is>
          <t>Третий фильм из цикла о дельфинах. В основе сюжета - событие, ставшее решающим в судьбе героев. Тристан и Павлова встретились и прониклись друг к другу симпатией.</t>
        </is>
      </c>
      <c r="L4397" s="2" t="inlineStr">
        <is>
          <t>https://animator.ru/db/?p=show_film&amp;fid=3241</t>
        </is>
      </c>
      <c r="M4397" s="2">
        <f>HYPERLINK("https://ru.wikipedia.org/w/index.php?search=%D0%A1%D1%87%D0%B0%D1%81%D1%82%D0%BB%D0%B8%D0%B2%D1%8B%D0%B9%20%D1%81%D1%82%D0%B0%D1%80%D1%82%203%201989%20%D1%84%D0%B8%D0%BB%D1%8C%D0%BC","искать")</f>
        <v/>
      </c>
      <c r="N4397" s="3" t="n"/>
      <c r="O4397" s="2" t="n"/>
      <c r="P4397" s="2" t="n"/>
    </row>
    <row r="4398">
      <c r="A4398" s="2" t="n">
        <v>4397</v>
      </c>
      <c r="B4398" s="2" t="inlineStr">
        <is>
          <t>короткая</t>
        </is>
      </c>
      <c r="C4398" s="2" t="n">
        <v>8397</v>
      </c>
      <c r="D4398" s="3" t="inlineStr">
        <is>
          <t>Старики, старики...</t>
        </is>
      </c>
      <c r="E4398" s="2" t="n">
        <v>1982</v>
      </c>
      <c r="F4398" s="2" t="inlineStr">
        <is>
          <t>телефильм</t>
        </is>
      </c>
      <c r="G4398" s="2" t="n"/>
      <c r="H4398" s="2" t="n">
        <v>163</v>
      </c>
      <c r="I4398" s="2" t="inlineStr"/>
      <c r="J4398" s="2" t="inlineStr"/>
      <c r="K4398" s="3" t="inlineStr">
        <is>
          <t>Телефильм по мотивам повести А.Муганлы. Фильм повествует о старике, вышедшем на пенсию, не сумевшем приспособиться к городской жизни и о его возвращении в деревню.</t>
        </is>
      </c>
      <c r="L4398" s="2" t="inlineStr">
        <is>
          <t>Кино_СССР сводный каталог.xlsx: список телефильмов</t>
        </is>
      </c>
      <c r="M4398" s="2">
        <f>HYPERLINK("https://ru.wikipedia.org/w/index.php?search=%D0%A1%D1%82%D0%B0%D1%80%D0%B8%D0%BA%D0%B8%2C%20%D1%81%D1%82%D0%B0%D1%80%D0%B8%D0%BA%D0%B8...%201982%20%D1%84%D0%B8%D0%BB%D1%8C%D0%BC","искать")</f>
        <v/>
      </c>
      <c r="N4398" s="3" t="n"/>
      <c r="O4398" s="2" t="n"/>
      <c r="P4398" s="2" t="n"/>
    </row>
    <row r="4399">
      <c r="A4399" s="2" t="n">
        <v>4398</v>
      </c>
      <c r="B4399" s="2" t="inlineStr">
        <is>
          <t>короткая</t>
        </is>
      </c>
      <c r="C4399" s="2" t="n">
        <v>8798</v>
      </c>
      <c r="D4399" s="3" t="inlineStr">
        <is>
          <t>Лифт для промежуточного человека</t>
        </is>
      </c>
      <c r="E4399" s="2" t="n">
        <v>1990</v>
      </c>
      <c r="F4399" s="2" t="inlineStr">
        <is>
          <t>кинофильм</t>
        </is>
      </c>
      <c r="G4399" s="2" t="n"/>
      <c r="H4399" s="2" t="n">
        <v>163</v>
      </c>
      <c r="I4399" s="2" t="inlineStr"/>
      <c r="J4399" s="2" t="inlineStr"/>
      <c r="K4399" s="3" t="inlineStr">
        <is>
          <t>Кандидат экономических наук Геннадий Дубровин решает купить дом в деревне. На его пути встречается совхозный бригадир Федька, который и продает ему свою развалюху.</t>
        </is>
      </c>
      <c r="L4399" s="2" t="inlineStr">
        <is>
          <t>Кино_СССР сводный каталог.xlsx: список фильмов (доп.)</t>
        </is>
      </c>
      <c r="M4399" s="2">
        <f>HYPERLINK("https://ru.wikipedia.org/w/index.php?search=%D0%9B%D0%B8%D1%84%D1%82%20%D0%B4%D0%BB%D1%8F%20%D0%BF%D1%80%D0%BE%D0%BC%D0%B5%D0%B6%D1%83%D1%82%D0%BE%D1%87%D0%BD%D0%BE%D0%B3%D0%BE%20%D1%87%D0%B5%D0%BB%D0%BE%D0%B2%D0%B5%D0%BA%D0%B0%201990%20%D1%84%D0%B8%D0%BB%D1%8C%D0%BC","искать")</f>
        <v/>
      </c>
      <c r="N4399" s="3" t="n"/>
      <c r="O4399" s="2" t="n"/>
      <c r="P4399" s="2" t="n"/>
    </row>
    <row r="4400">
      <c r="A4400" s="2" t="n">
        <v>4399</v>
      </c>
      <c r="B4400" s="2" t="inlineStr">
        <is>
          <t>короткая</t>
        </is>
      </c>
      <c r="C4400" s="2" t="n">
        <v>12058</v>
      </c>
      <c r="D4400" s="3" t="inlineStr">
        <is>
          <t>Сказка об очень высоком человеке</t>
        </is>
      </c>
      <c r="E4400" s="2" t="n">
        <v>1983</v>
      </c>
      <c r="F4400" s="2" t="inlineStr">
        <is>
          <t>мультфильм</t>
        </is>
      </c>
      <c r="G4400" s="2" t="inlineStr">
        <is>
          <t>Союзмультфильм</t>
        </is>
      </c>
      <c r="H4400" s="2" t="n">
        <v>163</v>
      </c>
      <c r="I4400" s="2" t="inlineStr"/>
      <c r="J4400" s="2" t="inlineStr"/>
      <c r="K4400" s="3" t="inlineStr">
        <is>
          <t>По мотивам сказки О.Дриза о мечтателе, который был очень высокого роста и мешал всем. Но однажды его музыка пробудила в горожанах чувство прекрасного. Для взрослых</t>
        </is>
      </c>
      <c r="L4400" s="2" t="inlineStr">
        <is>
          <t>https://animator.ru/db/?p=show_film&amp;fid=3173</t>
        </is>
      </c>
      <c r="M4400" s="2">
        <f>HYPERLINK("https://ru.wikipedia.org/w/index.php?search=%D0%A1%D0%BA%D0%B0%D0%B7%D0%BA%D0%B0%20%D0%BE%D0%B1%20%D0%BE%D1%87%D0%B5%D0%BD%D1%8C%20%D0%B2%D1%8B%D1%81%D0%BE%D0%BA%D0%BE%D0%BC%20%D1%87%D0%B5%D0%BB%D0%BE%D0%B2%D0%B5%D0%BA%D0%B5%201983%20%D1%84%D0%B8%D0%BB%D1%8C%D0%BC","искать")</f>
        <v/>
      </c>
      <c r="N4400" s="3" t="n"/>
      <c r="O4400" s="2" t="n"/>
      <c r="P4400" s="2" t="n"/>
    </row>
    <row r="4401">
      <c r="A4401" s="2" t="n">
        <v>4400</v>
      </c>
      <c r="B4401" s="2" t="inlineStr">
        <is>
          <t>короткая</t>
        </is>
      </c>
      <c r="C4401" s="2" t="n">
        <v>8818</v>
      </c>
      <c r="D4401" s="3" t="inlineStr">
        <is>
          <t>Маманты-папанты. Лохматое шоу</t>
        </is>
      </c>
      <c r="E4401" s="2" t="n">
        <v>1991</v>
      </c>
      <c r="F4401" s="2" t="inlineStr">
        <is>
          <t>кинофильм</t>
        </is>
      </c>
      <c r="G4401" s="2" t="n"/>
      <c r="H4401" s="2" t="n">
        <v>164</v>
      </c>
      <c r="I4401" s="2" t="inlineStr"/>
      <c r="J4401" s="2" t="inlineStr"/>
      <c r="K4401" s="3" t="inlineStr">
        <is>
          <t>"Маманты" и "папанты" - это родители маленьких шимпанзе, кенгуру, жирафов, питонов, медведей и всех тех симпатяг, с которыми работает в цирке мама трехлетней Алисы.</t>
        </is>
      </c>
      <c r="L4401" s="2" t="inlineStr">
        <is>
          <t>Кино_СССР сводный каталог.xlsx: список фильмов (доп.)</t>
        </is>
      </c>
      <c r="M4401" s="2">
        <f>HYPERLINK("https://ru.wikipedia.org/w/index.php?search=%D0%9C%D0%B0%D0%BC%D0%B0%D0%BD%D1%82%D1%8B-%D0%BF%D0%B0%D0%BF%D0%B0%D0%BD%D1%82%D1%8B.%20%D0%9B%D0%BE%D1%85%D0%BC%D0%B0%D1%82%D0%BE%D0%B5%20%D1%88%D0%BE%D1%83%201991%20%D1%84%D0%B8%D0%BB%D1%8C%D0%BC","искать")</f>
        <v/>
      </c>
      <c r="N4401" s="3" t="n"/>
      <c r="O4401" s="2" t="n"/>
      <c r="P4401" s="2" t="n"/>
    </row>
    <row r="4402">
      <c r="A4402" s="2" t="n">
        <v>4401</v>
      </c>
      <c r="B4402" s="2" t="inlineStr">
        <is>
          <t>короткая</t>
        </is>
      </c>
      <c r="C4402" s="2" t="n">
        <v>9821</v>
      </c>
      <c r="D4402" s="3" t="inlineStr">
        <is>
          <t>Лестница</t>
        </is>
      </c>
      <c r="E4402" s="2" t="n">
        <v>1962</v>
      </c>
      <c r="F4402" s="2" t="inlineStr">
        <is>
          <t>кинофильм</t>
        </is>
      </c>
      <c r="G4402" s="2" t="inlineStr">
        <is>
          <t>учебная студия ВГИК</t>
        </is>
      </c>
      <c r="H4402" s="2" t="n">
        <v>164</v>
      </c>
      <c r="I4402" s="2" t="inlineStr"/>
      <c r="J4402" s="2" t="inlineStr"/>
      <c r="K4402" s="3" t="inlineStr">
        <is>
          <t>Режиссерский дебют Эдмонда Кеосаяна.
Героиня ждет письмо и спускается к почтовому ящику по лестнице. В небольшом этюде показана картина целой жизни молодой девушки.</t>
        </is>
      </c>
      <c r="L4402" s="2" t="inlineStr">
        <is>
          <t>https://www.kino-teatr.ru/short/movie/sov/15889/annot/</t>
        </is>
      </c>
      <c r="M4402" s="2">
        <f>HYPERLINK("https://ru.wikipedia.org/w/index.php?search=%D0%9B%D0%B5%D1%81%D1%82%D0%BD%D0%B8%D1%86%D0%B0%201962%20%D1%84%D0%B8%D0%BB%D1%8C%D0%BC","искать")</f>
        <v/>
      </c>
      <c r="N4402" s="3" t="n"/>
      <c r="O4402" s="2" t="n"/>
      <c r="P4402" s="2" t="n"/>
    </row>
    <row r="4403">
      <c r="A4403" s="2" t="n">
        <v>4402</v>
      </c>
      <c r="B4403" s="2" t="inlineStr">
        <is>
          <t>короткая</t>
        </is>
      </c>
      <c r="C4403" s="2" t="n">
        <v>9950</v>
      </c>
      <c r="D4403" s="3" t="inlineStr">
        <is>
          <t>Глубокие родственники</t>
        </is>
      </c>
      <c r="E4403" s="2" t="n">
        <v>1980</v>
      </c>
      <c r="F4403" s="2" t="inlineStr">
        <is>
          <t>кинофильм</t>
        </is>
      </c>
      <c r="G4403" s="2" t="inlineStr">
        <is>
          <t>Одесская киностудия</t>
        </is>
      </c>
      <c r="H4403" s="2" t="n">
        <v>164</v>
      </c>
      <c r="I4403" s="2" t="inlineStr"/>
      <c r="J4403" s="2" t="inlineStr"/>
      <c r="K4403" s="3" t="inlineStr">
        <is>
          <t>В основе сюжета - комическая ситуация, сложившаяся между мужем и женой (оба мечтают о новой семье), которая находит свое благополучное разрешение в новогоднюю ночь.</t>
        </is>
      </c>
      <c r="L4403" s="2" t="inlineStr">
        <is>
          <t>https://www.kino-teatr.ru/short/movie/sov/1387/annot/</t>
        </is>
      </c>
      <c r="M4403" s="2">
        <f>HYPERLINK("https://ru.wikipedia.org/w/index.php?search=%D0%93%D0%BB%D1%83%D0%B1%D0%BE%D0%BA%D0%B8%D0%B5%20%D1%80%D0%BE%D0%B4%D1%81%D1%82%D0%B2%D0%B5%D0%BD%D0%BD%D0%B8%D0%BA%D0%B8%201980%20%D1%84%D0%B8%D0%BB%D1%8C%D0%BC","искать")</f>
        <v/>
      </c>
      <c r="N4403" s="3" t="n"/>
      <c r="O4403" s="2" t="n"/>
      <c r="P4403" s="2" t="n"/>
    </row>
    <row r="4404">
      <c r="A4404" s="2" t="n">
        <v>4403</v>
      </c>
      <c r="B4404" s="2" t="inlineStr">
        <is>
          <t>короткая</t>
        </is>
      </c>
      <c r="C4404" s="2" t="n">
        <v>10905</v>
      </c>
      <c r="D4404" s="3" t="inlineStr">
        <is>
          <t>Про Ивана-не-Великана</t>
        </is>
      </c>
      <c r="E4404" s="2" t="n">
        <v>1981</v>
      </c>
      <c r="F4404" s="2" t="inlineStr">
        <is>
          <t>фильм-спектакль</t>
        </is>
      </c>
      <c r="G4404" s="2" t="inlineStr">
        <is>
          <t>Центральное телевидение</t>
        </is>
      </c>
      <c r="H4404" s="2" t="n">
        <v>164</v>
      </c>
      <c r="I4404" s="2" t="inlineStr"/>
      <c r="J4404" s="2" t="inlineStr"/>
      <c r="K4404" s="3" t="inlineStr">
        <is>
          <t>По одноименной сказке Вадима Коростылева в постановке Государственного академического театра имени Евг. Вахтангова.
О том, как Иван-не-Великан победил злое Чудовище</t>
        </is>
      </c>
      <c r="L4404" s="2" t="inlineStr">
        <is>
          <t>https://www.kino-teatr.ru/teatr/movie/93023/annot/</t>
        </is>
      </c>
      <c r="M4404" s="2">
        <f>HYPERLINK("https://ru.wikipedia.org/w/index.php?search=%D0%9F%D1%80%D0%BE%20%D0%98%D0%B2%D0%B0%D0%BD%D0%B0-%D0%BD%D0%B5-%D0%92%D0%B5%D0%BB%D0%B8%D0%BA%D0%B0%D0%BD%D0%B0%201981%20%D1%84%D0%B8%D0%BB%D1%8C%D0%BC","искать")</f>
        <v/>
      </c>
      <c r="N4404" s="3" t="n"/>
      <c r="O4404" s="2" t="n"/>
      <c r="P4404" s="2" t="n"/>
    </row>
    <row r="4405">
      <c r="A4405" s="2" t="n">
        <v>4404</v>
      </c>
      <c r="B4405" s="2" t="inlineStr">
        <is>
          <t>короткая</t>
        </is>
      </c>
      <c r="C4405" s="2" t="n">
        <v>11562</v>
      </c>
      <c r="D4405" s="3" t="inlineStr">
        <is>
          <t>ЗАЙКИНЫ РОГА ("Фитиль" N 61)</t>
        </is>
      </c>
      <c r="E4405" s="2" t="n">
        <v>1967</v>
      </c>
      <c r="F4405" s="2" t="inlineStr">
        <is>
          <t>мультфильм</t>
        </is>
      </c>
      <c r="G4405" s="2" t="inlineStr">
        <is>
          <t>Союзмультфильм</t>
        </is>
      </c>
      <c r="H4405" s="2" t="n">
        <v>164</v>
      </c>
      <c r="I4405" s="2" t="inlineStr"/>
      <c r="J4405" s="2" t="inlineStr"/>
      <c r="K4405" s="3" t="inlineStr">
        <is>
          <t>За морковку заяц купил у козла рога,но так как они не снимаются,козел остался у зайца.В поисках новой морковки заяц попадает в лапы волку,но спасается,продав "рога"</t>
        </is>
      </c>
      <c r="L4405" s="2" t="inlineStr">
        <is>
          <t>https://gosfilmofond.ru/films/252521/</t>
        </is>
      </c>
      <c r="M4405" s="2">
        <f>HYPERLINK("https://ru.wikipedia.org/w/index.php?search=%D0%97%D0%90%D0%99%D0%9A%D0%98%D0%9D%D0%AB%20%D0%A0%D0%9E%D0%93%D0%90%20%28%22%D0%A4%D0%B8%D1%82%D0%B8%D0%BB%D1%8C%22%20N%2061%29%201967%20%D1%84%D0%B8%D0%BB%D1%8C%D0%BC","искать")</f>
        <v/>
      </c>
      <c r="N4405" s="3" t="n"/>
      <c r="O4405" s="2" t="n"/>
      <c r="P4405" s="2" t="n"/>
    </row>
    <row r="4406">
      <c r="A4406" s="2" t="n">
        <v>4405</v>
      </c>
      <c r="B4406" s="2" t="inlineStr">
        <is>
          <t>короткая</t>
        </is>
      </c>
      <c r="C4406" s="2" t="n">
        <v>12491</v>
      </c>
      <c r="D4406" s="3" t="inlineStr">
        <is>
          <t>Отчаянный кот Васька</t>
        </is>
      </c>
      <c r="E4406" s="2" t="n">
        <v>1985</v>
      </c>
      <c r="F4406" s="2" t="inlineStr">
        <is>
          <t>мультфильм</t>
        </is>
      </c>
      <c r="G4406" s="2" t="inlineStr">
        <is>
          <t>КИЕВНАУЧФИЛЬМ</t>
        </is>
      </c>
      <c r="H4406" s="2" t="n">
        <v>164</v>
      </c>
      <c r="I4406" s="2" t="inlineStr"/>
      <c r="J4406" s="2" t="inlineStr"/>
      <c r="K4406" s="3" t="inlineStr">
        <is>
          <t>Рыжий кот Васька мог сидеть на самом краю крыши высотного дома. Но как-то раз ход на крышу запер дядя, ремонтировавший антенны. Как Васька вышел из данной сиутации?</t>
        </is>
      </c>
      <c r="L4406" s="2" t="inlineStr">
        <is>
          <t>2026-10_мультфильмы_список_владельца.xlsx; https://animator.ru/db/?p=show_film&amp;fid=3666</t>
        </is>
      </c>
      <c r="M4406" s="2">
        <f>HYPERLINK("https://ru.wikipedia.org/w/index.php?search=%D0%9E%D1%82%D1%87%D0%B0%D1%8F%D0%BD%D0%BD%D1%8B%D0%B9%20%D0%BA%D0%BE%D1%82%20%D0%92%D0%B0%D1%81%D1%8C%D0%BA%D0%B0%201985%20%D1%84%D0%B8%D0%BB%D1%8C%D0%BC","искать")</f>
        <v/>
      </c>
      <c r="N4406" s="3" t="n"/>
      <c r="O4406" s="2" t="n"/>
      <c r="P4406" s="2" t="n"/>
    </row>
    <row r="4407">
      <c r="A4407" s="2" t="n">
        <v>4406</v>
      </c>
      <c r="B4407" s="2" t="inlineStr">
        <is>
          <t>короткая</t>
        </is>
      </c>
      <c r="C4407" s="2" t="n">
        <v>9168</v>
      </c>
      <c r="D4407" s="3" t="inlineStr">
        <is>
          <t>Шаги</t>
        </is>
      </c>
      <c r="E4407" s="2" t="n">
        <v>1962</v>
      </c>
      <c r="F4407" s="2" t="inlineStr">
        <is>
          <t>кинофильм</t>
        </is>
      </c>
      <c r="G4407" s="2" t="n"/>
      <c r="H4407" s="2" t="n">
        <v>165</v>
      </c>
      <c r="I4407" s="2" t="inlineStr"/>
      <c r="J4407" s="2" t="inlineStr"/>
      <c r="K4407" s="3" t="inlineStr">
        <is>
          <t>Драма по мотивам одноименной радиопьесы Арди Лийвеса. Главные герои – журналист и врач. Их встреча воскрешает воспоминания минувшей войны, где переплелись их судьбы.</t>
        </is>
      </c>
      <c r="L4407" s="2" t="inlineStr">
        <is>
          <t>Кино_СССР сводный каталог.xlsx: список фильмов (доп.)</t>
        </is>
      </c>
      <c r="M4407" s="2">
        <f>HYPERLINK("https://ru.wikipedia.org/w/index.php?search=%D0%A8%D0%B0%D0%B3%D0%B8%201962%20%D1%84%D0%B8%D0%BB%D1%8C%D0%BC","искать")</f>
        <v/>
      </c>
      <c r="N4407" s="3" t="n"/>
      <c r="O4407" s="2" t="n"/>
      <c r="P4407" s="2" t="n"/>
    </row>
    <row r="4408">
      <c r="A4408" s="2" t="n">
        <v>4407</v>
      </c>
      <c r="B4408" s="2" t="inlineStr">
        <is>
          <t>короткая</t>
        </is>
      </c>
      <c r="C4408" s="2" t="n">
        <v>9851</v>
      </c>
      <c r="D4408" s="3" t="inlineStr">
        <is>
          <t>Папина жена</t>
        </is>
      </c>
      <c r="E4408" s="2" t="n">
        <v>1968</v>
      </c>
      <c r="F4408" s="2" t="inlineStr">
        <is>
          <t>телефильм</t>
        </is>
      </c>
      <c r="G4408" s="2" t="inlineStr">
        <is>
          <t>Творческое объединение "Телефильм"</t>
        </is>
      </c>
      <c r="H4408" s="2" t="n">
        <v>165</v>
      </c>
      <c r="I4408" s="2" t="inlineStr"/>
      <c r="J4408" s="2" t="inlineStr"/>
      <c r="K4408" s="3" t="inlineStr">
        <is>
          <t>В жизни маленького мальчика Андрюши, живущего с тетей, появляется новая мама.
Какими будут их взаимоотношения и найдут ли общий язык папина жена и его маленький сын.</t>
        </is>
      </c>
      <c r="L4408" s="2" t="inlineStr">
        <is>
          <t>https://www.kino-teatr.ru/short/movie/sov/113673/annot/</t>
        </is>
      </c>
      <c r="M4408" s="2">
        <f>HYPERLINK("https://ru.wikipedia.org/w/index.php?search=%D0%9F%D0%B0%D0%BF%D0%B8%D0%BD%D0%B0%20%D0%B6%D0%B5%D0%BD%D0%B0%201968%20%D1%84%D0%B8%D0%BB%D1%8C%D0%BC","искать")</f>
        <v/>
      </c>
      <c r="N4408" s="3" t="n"/>
      <c r="O4408" s="2" t="n"/>
      <c r="P4408" s="2" t="n"/>
    </row>
    <row r="4409">
      <c r="A4409" s="2" t="n">
        <v>4408</v>
      </c>
      <c r="B4409" s="2" t="inlineStr">
        <is>
          <t>короткая</t>
        </is>
      </c>
      <c r="C4409" s="2" t="n">
        <v>12310</v>
      </c>
      <c r="D4409" s="3" t="inlineStr">
        <is>
          <t>Ловушка для Бамбра</t>
        </is>
      </c>
      <c r="E4409" s="2" t="n">
        <v>1991</v>
      </c>
      <c r="F4409" s="2" t="inlineStr">
        <is>
          <t>мультфильм</t>
        </is>
      </c>
      <c r="G4409" s="2" t="inlineStr">
        <is>
          <t>Союзмультфильм</t>
        </is>
      </c>
      <c r="H4409" s="2" t="n">
        <v>165</v>
      </c>
      <c r="I4409" s="2" t="inlineStr"/>
      <c r="J4409" s="2" t="inlineStr"/>
      <c r="K4409" s="3" t="inlineStr">
        <is>
          <t>Детский фильм, в котором действуют знакомые зрителям персонаж - Бамбр и его друзья. Коварный Охотник похищает Кота, а Бамбр, Отшельник, Мышь и Птица его освобождают.</t>
        </is>
      </c>
      <c r="L4409" s="2" t="inlineStr">
        <is>
          <t>https://animator.ru/db/?p=show_film&amp;fid=3427</t>
        </is>
      </c>
      <c r="M4409" s="2">
        <f>HYPERLINK("https://ru.wikipedia.org/w/index.php?search=%D0%9B%D0%BE%D0%B2%D1%83%D1%88%D0%BA%D0%B0%20%D0%B4%D0%BB%D1%8F%20%D0%91%D0%B0%D0%BC%D0%B1%D1%80%D0%B0%201991%20%D1%84%D0%B8%D0%BB%D1%8C%D0%BC","искать")</f>
        <v/>
      </c>
      <c r="N4409" s="3" t="n"/>
      <c r="O4409" s="2" t="n"/>
      <c r="P4409" s="2" t="n"/>
    </row>
    <row r="4410">
      <c r="A4410" s="2" t="n">
        <v>4409</v>
      </c>
      <c r="B4410" s="2" t="inlineStr">
        <is>
          <t>короткая</t>
        </is>
      </c>
      <c r="C4410" s="2" t="n">
        <v>7293</v>
      </c>
      <c r="D4410" s="3" t="inlineStr">
        <is>
          <t>В знак протеста!</t>
        </is>
      </c>
      <c r="E4410" s="2" t="n">
        <v>1989</v>
      </c>
      <c r="F4410" s="2" t="inlineStr">
        <is>
          <t>телефильм</t>
        </is>
      </c>
      <c r="G4410" s="2" t="inlineStr">
        <is>
          <t>Одесская к/с</t>
        </is>
      </c>
      <c r="H4410" s="2" t="n">
        <v>166</v>
      </c>
      <c r="I4410" s="2" t="inlineStr"/>
      <c r="J4410" s="2" t="inlineStr"/>
      <c r="K4410" s="3" t="inlineStr">
        <is>
          <t>В центре повествования история взаимоотношений работников станции технического обслуживания и незадачливого клиента, который потерял надежду получить свой автомобиль.</t>
        </is>
      </c>
      <c r="L4410" s="2" t="inlineStr">
        <is>
          <t>Кино_СССР сводный каталог.xlsx: список телефильмов</t>
        </is>
      </c>
      <c r="M4410" s="2">
        <f>HYPERLINK("https://ru.wikipedia.org/w/index.php?search=%D0%92%20%D0%B7%D0%BD%D0%B0%D0%BA%20%D0%BF%D1%80%D0%BE%D1%82%D0%B5%D1%81%D1%82%D0%B0%21%201989%20%D1%84%D0%B8%D0%BB%D1%8C%D0%BC","искать")</f>
        <v/>
      </c>
      <c r="N4410" s="3" t="n"/>
      <c r="O4410" s="2" t="n"/>
      <c r="P4410" s="2" t="n"/>
    </row>
    <row r="4411">
      <c r="A4411" s="2" t="n">
        <v>4410</v>
      </c>
      <c r="B4411" s="2" t="inlineStr">
        <is>
          <t>короткая</t>
        </is>
      </c>
      <c r="C4411" s="2" t="n">
        <v>7932</v>
      </c>
      <c r="D4411" s="3" t="inlineStr">
        <is>
          <t>На крутизне</t>
        </is>
      </c>
      <c r="E4411" s="2" t="n">
        <v>1985</v>
      </c>
      <c r="F4411" s="2" t="inlineStr">
        <is>
          <t>телефильм</t>
        </is>
      </c>
      <c r="G4411" s="2" t="n"/>
      <c r="H4411" s="2" t="n">
        <v>166</v>
      </c>
      <c r="I4411" s="2" t="inlineStr"/>
      <c r="J4411" s="2" t="inlineStr"/>
      <c r="K4411" s="3" t="inlineStr">
        <is>
          <t>Телесериал по одноименному роману Константина Басенко. О становлении Советской власти на Украине, борьбе чекистов с бандами националистов. Время действия — 20-е годы.</t>
        </is>
      </c>
      <c r="L4411" s="2" t="inlineStr">
        <is>
          <t>Кино_СССР сводный каталог.xlsx: список телефильмов</t>
        </is>
      </c>
      <c r="M4411" s="2">
        <f>HYPERLINK("https://ru.wikipedia.org/w/index.php?search=%D0%9D%D0%B0%20%D0%BA%D1%80%D1%83%D1%82%D0%B8%D0%B7%D0%BD%D0%B5%201985%20%D1%84%D0%B8%D0%BB%D1%8C%D0%BC","искать")</f>
        <v/>
      </c>
      <c r="N4411" s="3" t="n"/>
      <c r="O4411" s="2" t="n"/>
      <c r="P4411" s="2" t="n"/>
    </row>
    <row r="4412">
      <c r="A4412" s="2" t="n">
        <v>4411</v>
      </c>
      <c r="B4412" s="2" t="inlineStr">
        <is>
          <t>короткая</t>
        </is>
      </c>
      <c r="C4412" s="2" t="n">
        <v>10037</v>
      </c>
      <c r="D4412" s="3" t="inlineStr">
        <is>
          <t>Воскресный день</t>
        </is>
      </c>
      <c r="E4412" s="2" t="n">
        <v>1989</v>
      </c>
      <c r="F4412" s="2" t="inlineStr">
        <is>
          <t>кинофильм</t>
        </is>
      </c>
      <c r="G4412" s="2" t="inlineStr">
        <is>
          <t>Грузия-фильм</t>
        </is>
      </c>
      <c r="H4412" s="2" t="n">
        <v>166</v>
      </c>
      <c r="I4412" s="2" t="inlineStr"/>
      <c r="J4412" s="2" t="inlineStr"/>
      <c r="K4412" s="3" t="inlineStr">
        <is>
          <t>კვირა დღე
Киноновелла об одном дне молодого человека. О его неожиданных встречах, общении с друзьями и обо всем том, что окружало юношу в то чудесное воскресное утро.</t>
        </is>
      </c>
      <c r="L4412" s="2" t="inlineStr">
        <is>
          <t>https://www.kino-teatr.ru/short/movie/sov/84589/annot/</t>
        </is>
      </c>
      <c r="M4412" s="2">
        <f>HYPERLINK("https://ru.wikipedia.org/w/index.php?search=%D0%92%D0%BE%D1%81%D0%BA%D1%80%D0%B5%D1%81%D0%BD%D1%8B%D0%B9%20%D0%B4%D0%B5%D0%BD%D1%8C%201989%20%D1%84%D0%B8%D0%BB%D1%8C%D0%BC","искать")</f>
        <v/>
      </c>
      <c r="N4412" s="3" t="n"/>
      <c r="O4412" s="2" t="n"/>
      <c r="P4412" s="2" t="n"/>
    </row>
    <row r="4413">
      <c r="A4413" s="2" t="n">
        <v>4412</v>
      </c>
      <c r="B4413" s="2" t="inlineStr">
        <is>
          <t>короткая</t>
        </is>
      </c>
      <c r="C4413" s="2" t="n">
        <v>7852</v>
      </c>
      <c r="D4413" s="3" t="inlineStr">
        <is>
          <t>Маршал революции</t>
        </is>
      </c>
      <c r="E4413" s="2" t="n">
        <v>1978</v>
      </c>
      <c r="F4413" s="2" t="inlineStr">
        <is>
          <t>телефильм</t>
        </is>
      </c>
      <c r="G4413" s="2" t="n"/>
      <c r="H4413" s="2" t="n">
        <v>167</v>
      </c>
      <c r="I4413" s="2" t="inlineStr"/>
      <c r="J4413" s="2" t="inlineStr"/>
      <c r="K4413" s="3" t="inlineStr">
        <is>
          <t>О военачальнике Красной армии, революционере М.В.Фрунзе. Фильм охватывает период с октября по декабрь 1920 года, взятие Перекопа и окончательный разгром армии Врангеля</t>
        </is>
      </c>
      <c r="L4413" s="2" t="inlineStr">
        <is>
          <t>Кино_СССР сводный каталог.xlsx: список телефильмов</t>
        </is>
      </c>
      <c r="M4413" s="2">
        <f>HYPERLINK("https://ru.wikipedia.org/w/index.php?search=%D0%9C%D0%B0%D1%80%D1%88%D0%B0%D0%BB%20%D1%80%D0%B5%D0%B2%D0%BE%D0%BB%D1%8E%D1%86%D0%B8%D0%B8%201978%20%D1%84%D0%B8%D0%BB%D1%8C%D0%BC","искать")</f>
        <v/>
      </c>
      <c r="N4413" s="3" t="n"/>
      <c r="O4413" s="2" t="n"/>
      <c r="P4413" s="2" t="n"/>
    </row>
    <row r="4414">
      <c r="A4414" s="2" t="n">
        <v>4413</v>
      </c>
      <c r="B4414" s="2" t="inlineStr">
        <is>
          <t>короткая</t>
        </is>
      </c>
      <c r="C4414" s="2" t="n">
        <v>12062</v>
      </c>
      <c r="D4414" s="3" t="inlineStr">
        <is>
          <t>Увеличительное стекло</t>
        </is>
      </c>
      <c r="E4414" s="2" t="n">
        <v>1983</v>
      </c>
      <c r="F4414" s="2" t="inlineStr">
        <is>
          <t>мультфильм</t>
        </is>
      </c>
      <c r="G4414" s="2" t="inlineStr">
        <is>
          <t>Союзмультфильм</t>
        </is>
      </c>
      <c r="H4414" s="2" t="n">
        <v>167</v>
      </c>
      <c r="I4414" s="2" t="inlineStr"/>
      <c r="J4414" s="2" t="inlineStr"/>
      <c r="K4414" s="3" t="inlineStr">
        <is>
          <t>Фильм о бережном и внимательном отношении к окружающему миру. История ёжика, нашедшего в лесу увеличительное стекло, поможет зрителю научиться видеть и любить природу.</t>
        </is>
      </c>
      <c r="L4414" s="2" t="inlineStr">
        <is>
          <t>https://animator.ru/db/?p=show_film&amp;fid=3177</t>
        </is>
      </c>
      <c r="M4414" s="2">
        <f>HYPERLINK("https://ru.wikipedia.org/w/index.php?search=%D0%A3%D0%B2%D0%B5%D0%BB%D0%B8%D1%87%D0%B8%D1%82%D0%B5%D0%BB%D1%8C%D0%BD%D0%BE%D0%B5%20%D1%81%D1%82%D0%B5%D0%BA%D0%BB%D0%BE%201983%20%D1%84%D0%B8%D0%BB%D1%8C%D0%BC","искать")</f>
        <v/>
      </c>
      <c r="N4414" s="3" t="n"/>
      <c r="O4414" s="2" t="n"/>
      <c r="P4414" s="2" t="n"/>
    </row>
    <row r="4415">
      <c r="A4415" s="2" t="n">
        <v>4414</v>
      </c>
      <c r="B4415" s="2" t="inlineStr">
        <is>
          <t>короткая</t>
        </is>
      </c>
      <c r="C4415" s="2" t="n">
        <v>9964</v>
      </c>
      <c r="D4415" s="3" t="inlineStr">
        <is>
          <t>Детективная история</t>
        </is>
      </c>
      <c r="E4415" s="2" t="n">
        <v>1981</v>
      </c>
      <c r="F4415" s="2" t="inlineStr">
        <is>
          <t>кинофильм</t>
        </is>
      </c>
      <c r="G4415" s="2" t="inlineStr">
        <is>
          <t>Ленфильм</t>
        </is>
      </c>
      <c r="H4415" s="2" t="n">
        <v>168</v>
      </c>
      <c r="I4415" s="2" t="inlineStr"/>
      <c r="J4415" s="2" t="inlineStr"/>
      <c r="K4415" s="3" t="inlineStr">
        <is>
          <t>По заказу Правления Гострудсберкасс СССР.
Съёмочная группа гонится за счастливым обладателем облигаций Государственного займа, чтобы пригласить его сниматься в рекламе.</t>
        </is>
      </c>
      <c r="L4415" s="2" t="inlineStr">
        <is>
          <t>https://www.kino-teatr.ru/short/movie/sov/48774/annot/</t>
        </is>
      </c>
      <c r="M4415" s="2">
        <f>HYPERLINK("https://ru.wikipedia.org/w/index.php?search=%D0%94%D0%B5%D1%82%D0%B5%D0%BA%D1%82%D0%B8%D0%B2%D0%BD%D0%B0%D1%8F%20%D0%B8%D1%81%D1%82%D0%BE%D1%80%D0%B8%D1%8F%201981%20%D1%84%D0%B8%D0%BB%D1%8C%D0%BC","искать")</f>
        <v/>
      </c>
      <c r="N4415" s="3" t="n"/>
      <c r="O4415" s="2" t="n"/>
      <c r="P4415" s="2" t="n"/>
    </row>
    <row r="4416">
      <c r="A4416" s="2" t="n">
        <v>4415</v>
      </c>
      <c r="B4416" s="2" t="inlineStr">
        <is>
          <t>короткая</t>
        </is>
      </c>
      <c r="C4416" s="2" t="n">
        <v>10553</v>
      </c>
      <c r="D4416" s="3" t="inlineStr">
        <is>
          <t>Гомер. Одиссея</t>
        </is>
      </c>
      <c r="E4416" s="2" t="n">
        <v>1974</v>
      </c>
      <c r="F4416" s="2" t="inlineStr">
        <is>
          <t>фильм-спектакль</t>
        </is>
      </c>
      <c r="G4416" s="2" t="inlineStr">
        <is>
          <t>Центральное телевидение СССР</t>
        </is>
      </c>
      <c r="H4416" s="2" t="n">
        <v>168</v>
      </c>
      <c r="I4416" s="2" t="inlineStr"/>
      <c r="J4416" s="2" t="inlineStr"/>
      <c r="K4416" s="3" t="inlineStr">
        <is>
          <t>Литературная композиция.
Одиссея" Гомера - греческая эпическая поэма.
Тема "Одиссеи" — странствия хитроумного Одиссея, царя Итаки, возвращавшегося из троянского похода.</t>
        </is>
      </c>
      <c r="L4416" s="2" t="inlineStr">
        <is>
          <t>https://www.kino-teatr.ru/teatr/movie/104656/annot/</t>
        </is>
      </c>
      <c r="M4416" s="2">
        <f>HYPERLINK("https://ru.wikipedia.org/w/index.php?search=%D0%93%D0%BE%D0%BC%D0%B5%D1%80.%20%D0%9E%D0%B4%D0%B8%D1%81%D1%81%D0%B5%D1%8F%201974%20%D1%84%D0%B8%D0%BB%D1%8C%D0%BC","искать")</f>
        <v/>
      </c>
      <c r="N4416" s="3" t="n"/>
      <c r="O4416" s="2" t="n"/>
      <c r="P4416" s="2" t="n"/>
    </row>
    <row r="4417">
      <c r="A4417" s="2" t="n">
        <v>4416</v>
      </c>
      <c r="B4417" s="2" t="inlineStr">
        <is>
          <t>короткая</t>
        </is>
      </c>
      <c r="C4417" s="2" t="n">
        <v>11873</v>
      </c>
      <c r="D4417" s="3" t="inlineStr">
        <is>
          <t>Как утенок-музыкант стал футболистом</t>
        </is>
      </c>
      <c r="E4417" s="2" t="n">
        <v>1978</v>
      </c>
      <c r="F4417" s="2" t="inlineStr">
        <is>
          <t>мультфильм</t>
        </is>
      </c>
      <c r="G4417" s="2" t="inlineStr">
        <is>
          <t>Союзмультфильм</t>
        </is>
      </c>
      <c r="H4417" s="2" t="n">
        <v>168</v>
      </c>
      <c r="I4417" s="2" t="inlineStr"/>
      <c r="J4417" s="2" t="inlineStr"/>
      <c r="K4417" s="3" t="inlineStr">
        <is>
          <t>История о том, как утенок хотел доказать девочке, которая ему понравилась, что он может не только замечательно играть на трубе, но и ради нее научиться играть в футбол.</t>
        </is>
      </c>
      <c r="L4417" s="2" t="inlineStr">
        <is>
          <t>2026-10_мультфильмы_список_владельца.xlsx; https://animator.ru/db/?p=show_film&amp;fid=2788</t>
        </is>
      </c>
      <c r="M4417" s="2">
        <f>HYPERLINK("https://ru.wikipedia.org/w/index.php?search=%D0%9A%D0%B0%D0%BA%20%D1%83%D1%82%D0%B5%D0%BD%D0%BE%D0%BA-%D0%BC%D1%83%D0%B7%D1%8B%D0%BA%D0%B0%D0%BD%D1%82%20%D1%81%D1%82%D0%B0%D0%BB%20%D1%84%D1%83%D1%82%D0%B1%D0%BE%D0%BB%D0%B8%D1%81%D1%82%D0%BE%D0%BC%201978%20%D1%84%D0%B8%D0%BB%D1%8C%D0%BC","искать")</f>
        <v/>
      </c>
      <c r="N4417" s="3" t="n"/>
      <c r="O4417" s="2" t="n"/>
      <c r="P4417" s="2" t="n"/>
    </row>
    <row r="4418">
      <c r="A4418" s="2" t="n">
        <v>4417</v>
      </c>
      <c r="B4418" s="2" t="inlineStr">
        <is>
          <t>короткая</t>
        </is>
      </c>
      <c r="C4418" s="2" t="n">
        <v>7511</v>
      </c>
      <c r="D4418" s="3" t="inlineStr">
        <is>
          <t>Джамайка</t>
        </is>
      </c>
      <c r="E4418" s="2" t="n">
        <v>1987</v>
      </c>
      <c r="F4418" s="2" t="inlineStr">
        <is>
          <t>телефильм</t>
        </is>
      </c>
      <c r="G4418" s="2" t="n"/>
      <c r="H4418" s="2" t="n">
        <v>169</v>
      </c>
      <c r="I4418" s="2" t="inlineStr"/>
      <c r="J4418" s="2" t="inlineStr"/>
      <c r="K4418" s="3" t="inlineStr">
        <is>
          <t>По повести М. Каминского "Маршруты водителя Беспалова". Бывший таксист Анатолий Беспалов, а теперь - алкоголик по кличке "Джамайка", решает вернуться к нормальной жизни.</t>
        </is>
      </c>
      <c r="L4418" s="2" t="inlineStr">
        <is>
          <t>Кино_СССР сводный каталог.xlsx: список телефильмов</t>
        </is>
      </c>
      <c r="M4418" s="2">
        <f>HYPERLINK("https://ru.wikipedia.org/w/index.php?search=%D0%94%D0%B6%D0%B0%D0%BC%D0%B0%D0%B9%D0%BA%D0%B0%201987%20%D1%84%D0%B8%D0%BB%D1%8C%D0%BC","искать")</f>
        <v/>
      </c>
      <c r="N4418" s="3" t="n"/>
      <c r="O4418" s="2" t="n"/>
      <c r="P4418" s="2" t="n"/>
    </row>
    <row r="4419">
      <c r="A4419" s="2" t="n">
        <v>4418</v>
      </c>
      <c r="B4419" s="2" t="inlineStr">
        <is>
          <t>короткая</t>
        </is>
      </c>
      <c r="C4419" s="2" t="n">
        <v>8009</v>
      </c>
      <c r="D4419" s="3" t="inlineStr">
        <is>
          <t>Ночной визит</t>
        </is>
      </c>
      <c r="E4419" s="2" t="n">
        <v>1974</v>
      </c>
      <c r="F4419" s="2" t="inlineStr">
        <is>
          <t>телефильм</t>
        </is>
      </c>
      <c r="G4419" s="2" t="n"/>
      <c r="H4419" s="2" t="n">
        <v>169</v>
      </c>
      <c r="I4419" s="2" t="inlineStr"/>
      <c r="J4419" s="2" t="inlineStr"/>
      <c r="K4419" s="3" t="inlineStr">
        <is>
          <t>ღამის ვიზიტი Телефильм по роману братьев Вайнеров «Визит к Минотавру». Сотрудники милиции расследуют дело о похищении уникальной скрипки итальянского мастера Страдивари.</t>
        </is>
      </c>
      <c r="L4419" s="2" t="inlineStr">
        <is>
          <t>Кино_СССР сводный каталог.xlsx: список телефильмов</t>
        </is>
      </c>
      <c r="M4419" s="2">
        <f>HYPERLINK("https://ru.wikipedia.org/w/index.php?search=%D0%9D%D0%BE%D1%87%D0%BD%D0%BE%D0%B9%20%D0%B2%D0%B8%D0%B7%D0%B8%D1%82%201974%20%D1%84%D0%B8%D0%BB%D1%8C%D0%BC","искать")</f>
        <v/>
      </c>
      <c r="N4419" s="3" t="n"/>
      <c r="O4419" s="2" t="n"/>
      <c r="P4419" s="2" t="n"/>
    </row>
    <row r="4420">
      <c r="A4420" s="2" t="n">
        <v>4419</v>
      </c>
      <c r="B4420" s="2" t="inlineStr">
        <is>
          <t>короткая</t>
        </is>
      </c>
      <c r="C4420" s="2" t="n">
        <v>8662</v>
      </c>
      <c r="D4420" s="3" t="inlineStr">
        <is>
          <t>Воин</t>
        </is>
      </c>
      <c r="E4420" s="2" t="n">
        <v>1991</v>
      </c>
      <c r="F4420" s="2" t="inlineStr">
        <is>
          <t>кинофильм</t>
        </is>
      </c>
      <c r="G4420" s="2" t="n"/>
      <c r="H4420" s="2" t="n">
        <v>169</v>
      </c>
      <c r="I4420" s="2" t="inlineStr"/>
      <c r="J4420" s="2" t="inlineStr"/>
      <c r="K4420" s="3" t="inlineStr">
        <is>
          <t>Благородный Кайсар и его верные друзья — музыкант и пастух — вступают в борьбу с темными монахами, которые похитили красавицу Гаухар, и ценой своей жизни спасают девушку</t>
        </is>
      </c>
      <c r="L4420" s="2" t="inlineStr">
        <is>
          <t>Кино_СССР сводный каталог.xlsx: список фильмов (доп.)</t>
        </is>
      </c>
      <c r="M4420" s="2">
        <f>HYPERLINK("https://ru.wikipedia.org/w/index.php?search=%D0%92%D0%BE%D0%B8%D0%BD%201991%20%D1%84%D0%B8%D0%BB%D1%8C%D0%BC","искать")</f>
        <v/>
      </c>
      <c r="N4420" s="3" t="n"/>
      <c r="O4420" s="2" t="n"/>
      <c r="P4420" s="2" t="n"/>
    </row>
    <row r="4421">
      <c r="A4421" s="2" t="n">
        <v>4420</v>
      </c>
      <c r="B4421" s="2" t="inlineStr">
        <is>
          <t>короткая</t>
        </is>
      </c>
      <c r="C4421" s="2" t="n">
        <v>9687</v>
      </c>
      <c r="D4421" s="3" t="inlineStr">
        <is>
          <t>Танк "Клим Ворошилов-2"</t>
        </is>
      </c>
      <c r="E4421" s="2" t="n">
        <v>1990</v>
      </c>
      <c r="F4421" s="2" t="inlineStr">
        <is>
          <t>кинофильм</t>
        </is>
      </c>
      <c r="G4421" s="2" t="n"/>
      <c r="H4421" s="2" t="n">
        <v>169</v>
      </c>
      <c r="I4421" s="2" t="inlineStr"/>
      <c r="J4421" s="2" t="inlineStr"/>
      <c r="K4421" s="3" t="inlineStr">
        <is>
          <t>Первые дни войны. Курсант обнаруживает брошенный танк "КВ-2". и набирает экипаж. Приведя танк в полную боевую готовность, команда вступает в свой первый и последний бой.</t>
        </is>
      </c>
      <c r="L4421" s="2" t="inlineStr">
        <is>
          <t>Кино_СССР сводный каталог.xlsx: список фильмов (доп.)</t>
        </is>
      </c>
      <c r="M4421" s="2">
        <f>HYPERLINK("https://ru.wikipedia.org/w/index.php?search=%D0%A2%D0%B0%D0%BD%D0%BA%20%22%D0%9A%D0%BB%D0%B8%D0%BC%20%D0%92%D0%BE%D1%80%D0%BE%D1%88%D0%B8%D0%BB%D0%BE%D0%B2-2%22%201990%20%D1%84%D0%B8%D0%BB%D1%8C%D0%BC","искать")</f>
        <v/>
      </c>
      <c r="N4421" s="3" t="n"/>
      <c r="O4421" s="2" t="n"/>
      <c r="P4421" s="2" t="n"/>
    </row>
    <row r="4422">
      <c r="A4422" s="2" t="n">
        <v>4421</v>
      </c>
      <c r="B4422" s="2" t="inlineStr">
        <is>
          <t>короткая</t>
        </is>
      </c>
      <c r="C4422" s="2" t="n">
        <v>10710</v>
      </c>
      <c r="D4422" s="3" t="inlineStr">
        <is>
          <t>Петрушка - иностранец</t>
        </is>
      </c>
      <c r="E4422" s="2" t="n">
        <v>1977</v>
      </c>
      <c r="F4422" s="2" t="inlineStr">
        <is>
          <t>фильм-спектакль</t>
        </is>
      </c>
      <c r="G4422" s="2" t="inlineStr">
        <is>
          <t>ТО "Экран", Государственный академический Центральный театр кукол</t>
        </is>
      </c>
      <c r="H4422" s="2" t="n">
        <v>169</v>
      </c>
      <c r="I4422" s="2" t="inlineStr"/>
      <c r="J4422" s="2" t="inlineStr"/>
      <c r="K4422" s="3" t="inlineStr">
        <is>
          <t>Телеспектакль по произведению С. Маршака - "Петрушка иностранец". О веселых проказах Петрушки. Самуил Яковлевич создал это произведение специально для кукольного театра.</t>
        </is>
      </c>
      <c r="L4422" s="2" t="inlineStr">
        <is>
          <t>https://www.kino-teatr.ru/teatr/movie/103551/annot/</t>
        </is>
      </c>
      <c r="M4422" s="2">
        <f>HYPERLINK("https://ru.wikipedia.org/w/index.php?search=%D0%9F%D0%B5%D1%82%D1%80%D1%83%D1%88%D0%BA%D0%B0%20-%20%D0%B8%D0%BD%D0%BE%D1%81%D1%82%D1%80%D0%B0%D0%BD%D0%B5%D1%86%201977%20%D1%84%D0%B8%D0%BB%D1%8C%D0%BC","искать")</f>
        <v/>
      </c>
      <c r="N4422" s="3" t="n"/>
      <c r="O4422" s="2" t="n"/>
      <c r="P4422" s="2" t="n"/>
    </row>
    <row r="4423">
      <c r="A4423" s="2" t="n">
        <v>4422</v>
      </c>
      <c r="B4423" s="2" t="inlineStr">
        <is>
          <t>короткая</t>
        </is>
      </c>
      <c r="C4423" s="2" t="n">
        <v>13352</v>
      </c>
      <c r="D4423" s="3" t="inlineStr">
        <is>
          <t>Аистенок в клеточку</t>
        </is>
      </c>
      <c r="E4423" s="2" t="n">
        <v>1979</v>
      </c>
      <c r="F4423" s="2" t="inlineStr">
        <is>
          <t>мультфильм</t>
        </is>
      </c>
      <c r="G4423" s="2" t="inlineStr">
        <is>
          <t>МОЛДОВА-ФИЛЬМ</t>
        </is>
      </c>
      <c r="H4423" s="2" t="n">
        <v>169</v>
      </c>
      <c r="I4423" s="2" t="inlineStr"/>
      <c r="J4423" s="2" t="inlineStr"/>
      <c r="K4423" s="3" t="inlineStr">
        <is>
          <t>Когда сильная буря разрушила гнездо аиста, ребята смастерили из тетрадного листа аистенка и положили его в гнездо. Птенец в клеточку ожил и вместе со всеми улетел на юг.</t>
        </is>
      </c>
      <c r="L4423" s="2" t="inlineStr">
        <is>
          <t>https://gosfilmofond.ru/films/236792/</t>
        </is>
      </c>
      <c r="M4423" s="2">
        <f>HYPERLINK("https://ru.wikipedia.org/w/index.php?search=%D0%90%D0%B8%D1%81%D1%82%D0%B5%D0%BD%D0%BE%D0%BA%20%D0%B2%20%D0%BA%D0%BB%D0%B5%D1%82%D0%BE%D1%87%D0%BA%D1%83%201979%20%D1%84%D0%B8%D0%BB%D1%8C%D0%BC","искать")</f>
        <v/>
      </c>
      <c r="N4423" s="3" t="n"/>
      <c r="O4423" s="2" t="n"/>
      <c r="P4423" s="2" t="n"/>
    </row>
    <row r="4424">
      <c r="A4424" s="2" t="n">
        <v>4423</v>
      </c>
      <c r="B4424" s="2" t="inlineStr">
        <is>
          <t>короткая</t>
        </is>
      </c>
      <c r="C4424" s="2" t="n">
        <v>14413</v>
      </c>
      <c r="D4424" s="3" t="inlineStr">
        <is>
          <t>Дверь в стене</t>
        </is>
      </c>
      <c r="E4424" s="2" t="n">
        <v>1990</v>
      </c>
      <c r="F4424" s="2" t="inlineStr">
        <is>
          <t>мультфильм</t>
        </is>
      </c>
      <c r="G4424" s="2" t="inlineStr">
        <is>
          <t>СОЮЗТЕЛЕФИЛЬМ</t>
        </is>
      </c>
      <c r="H4424" s="2" t="n">
        <v>169</v>
      </c>
      <c r="I4424" s="2" t="inlineStr"/>
      <c r="J4424" s="2" t="inlineStr"/>
      <c r="K4424" s="3" t="inlineStr">
        <is>
          <t>По мотивам одноименного рассказа Г.Уэллса. Герой фильма Уоллес пытается примирить мечту о мире красивых душ и человеческих отношений с реальностью преуспевающего буржуа.</t>
        </is>
      </c>
      <c r="L4424" s="2" t="inlineStr">
        <is>
          <t>https://animator.ru/db/?p=show_film&amp;fid=6649</t>
        </is>
      </c>
      <c r="M4424" s="2">
        <f>HYPERLINK("https://ru.wikipedia.org/w/index.php?search=%D0%94%D0%B2%D0%B5%D1%80%D1%8C%20%D0%B2%20%D1%81%D1%82%D0%B5%D0%BD%D0%B5%201990%20%D1%84%D0%B8%D0%BB%D1%8C%D0%BC","искать")</f>
        <v/>
      </c>
      <c r="N4424" s="3" t="n"/>
      <c r="O4424" s="2" t="n"/>
      <c r="P4424" s="2" t="n"/>
    </row>
    <row r="4425">
      <c r="A4425" s="2" t="n">
        <v>4424</v>
      </c>
      <c r="B4425" s="2" t="inlineStr">
        <is>
          <t>короткая</t>
        </is>
      </c>
      <c r="C4425" s="2" t="n">
        <v>8346</v>
      </c>
      <c r="D4425" s="3" t="inlineStr">
        <is>
          <t>Сказание о храбром витязе Фэт-Фрумосе</t>
        </is>
      </c>
      <c r="E4425" s="2" t="n">
        <v>1977</v>
      </c>
      <c r="F4425" s="2" t="inlineStr">
        <is>
          <t>телефильм</t>
        </is>
      </c>
      <c r="G4425" s="2" t="n"/>
      <c r="H4425" s="2" t="n">
        <v>170</v>
      </c>
      <c r="I4425" s="2" t="inlineStr"/>
      <c r="J4425" s="2" t="inlineStr"/>
      <c r="K4425" s="3" t="inlineStr">
        <is>
          <t>Телефильм. По мотивам молдавских народных сказок о приключениях защитника бедных и угнетённых, сына охотника, богатыря Фэт-Фрумоса в царстве змея-дракона Лауэра-Балауэра.</t>
        </is>
      </c>
      <c r="L4425" s="2" t="inlineStr">
        <is>
          <t>Кино_СССР сводный каталог.xlsx: список телефильмов</t>
        </is>
      </c>
      <c r="M4425" s="2">
        <f>HYPERLINK("https://ru.wikipedia.org/w/index.php?search=%D0%A1%D0%BA%D0%B0%D0%B7%D0%B0%D0%BD%D0%B8%D0%B5%20%D0%BE%20%D1%85%D1%80%D0%B0%D0%B1%D1%80%D0%BE%D0%BC%20%D0%B2%D0%B8%D1%82%D1%8F%D0%B7%D0%B5%20%D0%A4%D1%8D%D1%82-%D0%A4%D1%80%D1%83%D0%BC%D0%BE%D1%81%D0%B5%201977%20%D1%84%D0%B8%D0%BB%D1%8C%D0%BC","искать")</f>
        <v/>
      </c>
      <c r="N4425" s="3" t="n"/>
      <c r="O4425" s="2" t="n"/>
      <c r="P4425" s="2" t="n"/>
    </row>
    <row r="4426">
      <c r="A4426" s="2" t="n">
        <v>4425</v>
      </c>
      <c r="B4426" s="2" t="inlineStr">
        <is>
          <t>короткая</t>
        </is>
      </c>
      <c r="C4426" s="2" t="n">
        <v>11441</v>
      </c>
      <c r="D4426" s="3" t="inlineStr">
        <is>
          <t>Бабушка, научи!</t>
        </is>
      </c>
      <c r="E4426" s="2" t="n">
        <v>1983</v>
      </c>
      <c r="F4426" s="2" t="inlineStr">
        <is>
          <t>мультфильм</t>
        </is>
      </c>
      <c r="G4426" s="2" t="inlineStr">
        <is>
          <t>САРАТОВТЕЛЕФИЛЬМ</t>
        </is>
      </c>
      <c r="H4426" s="2" t="n">
        <v>170</v>
      </c>
      <c r="I4426" s="2" t="inlineStr"/>
      <c r="J4426" s="2" t="inlineStr"/>
      <c r="K4426" s="3" t="inlineStr">
        <is>
          <t>По мотивам русских народных сказок. О веселых приключениях бабушки Лисы и ее внучки Алисы, о том, как они выручили из беды незадачливого пастуха и обманули глупого волка.</t>
        </is>
      </c>
      <c r="L4426" s="2" t="inlineStr">
        <is>
          <t>2026-10_мультфильмы_список_владельца.xlsx; https://animator.ru/db/?p=show_film&amp;fid=2212</t>
        </is>
      </c>
      <c r="M4426" s="2">
        <f>HYPERLINK("https://ru.wikipedia.org/w/index.php?search=%D0%91%D0%B0%D0%B1%D1%83%D1%88%D0%BA%D0%B0%2C%20%D0%BD%D0%B0%D1%83%D1%87%D0%B8%21%201983%20%D1%84%D0%B8%D0%BB%D1%8C%D0%BC","искать")</f>
        <v/>
      </c>
      <c r="N4426" s="3" t="n"/>
      <c r="O4426" s="2" t="n"/>
      <c r="P4426" s="2" t="n"/>
    </row>
    <row r="4427">
      <c r="A4427" s="2" t="n">
        <v>4426</v>
      </c>
      <c r="B4427" s="2" t="inlineStr">
        <is>
          <t>короткая</t>
        </is>
      </c>
      <c r="C4427" s="2" t="n">
        <v>12714</v>
      </c>
      <c r="D4427" s="3" t="inlineStr">
        <is>
          <t>Фитнэ</t>
        </is>
      </c>
      <c r="E4427" s="2" t="n">
        <v>1971</v>
      </c>
      <c r="F4427" s="2" t="inlineStr">
        <is>
          <t>мультфильм</t>
        </is>
      </c>
      <c r="G4427" s="2" t="inlineStr">
        <is>
          <t>АЗЕРБАЙДЖАНФИЛЬМ</t>
        </is>
      </c>
      <c r="H4427" s="2" t="n">
        <v>170</v>
      </c>
      <c r="I4427" s="2" t="inlineStr"/>
      <c r="J4427" s="2" t="inlineStr"/>
      <c r="K4427" s="3" t="inlineStr">
        <is>
          <t>Фильм по мотивал сказочной новеллы великого азербайджанского поэта XII века Низами о красавице Фитнэ, простой девушке из народа, сумевшей завоевать любовь и уважение шаха</t>
        </is>
      </c>
      <c r="L4427" s="2" t="inlineStr">
        <is>
          <t>https://gosfilmofond.ru/films/247889/</t>
        </is>
      </c>
      <c r="M4427" s="2">
        <f>HYPERLINK("https://ru.wikipedia.org/w/index.php?search=%D0%A4%D0%B8%D1%82%D0%BD%D1%8D%201971%20%D1%84%D0%B8%D0%BB%D1%8C%D0%BC","искать")</f>
        <v/>
      </c>
      <c r="N4427" s="3" t="n"/>
      <c r="O4427" s="2" t="n"/>
      <c r="P4427" s="2" t="n"/>
    </row>
    <row r="4428">
      <c r="A4428" s="2" t="n">
        <v>4427</v>
      </c>
      <c r="B4428" s="2" t="inlineStr">
        <is>
          <t>короткая</t>
        </is>
      </c>
      <c r="C4428" s="2" t="n">
        <v>7583</v>
      </c>
      <c r="D4428" s="3" t="inlineStr">
        <is>
          <t>Желающие могут записаться</t>
        </is>
      </c>
      <c r="E4428" s="2" t="n">
        <v>1973</v>
      </c>
      <c r="F4428" s="2" t="inlineStr">
        <is>
          <t>телефильм</t>
        </is>
      </c>
      <c r="G4428" s="2" t="n"/>
      <c r="H4428" s="2" t="n">
        <v>171</v>
      </c>
      <c r="I4428" s="2" t="inlineStr"/>
      <c r="J4428" s="2" t="inlineStr"/>
      <c r="K4428" s="3" t="inlineStr">
        <is>
          <t>მსურველებს შეუძლიათ ჩაეწერონ Фильм рассказывает об отношениях между тренером по боксу и его учениками. Тренер воспитывает детей как спортсменов и формирует из них граждан.</t>
        </is>
      </c>
      <c r="L4428" s="2" t="inlineStr">
        <is>
          <t>Кино_СССР сводный каталог.xlsx: список телефильмов</t>
        </is>
      </c>
      <c r="M4428" s="2">
        <f>HYPERLINK("https://ru.wikipedia.org/w/index.php?search=%D0%96%D0%B5%D0%BB%D0%B0%D1%8E%D1%89%D0%B8%D0%B5%20%D0%BC%D0%BE%D0%B3%D1%83%D1%82%20%D0%B7%D0%B0%D0%BF%D0%B8%D1%81%D0%B0%D1%82%D1%8C%D1%81%D1%8F%201973%20%D1%84%D0%B8%D0%BB%D1%8C%D0%BC","искать")</f>
        <v/>
      </c>
      <c r="N4428" s="3" t="n"/>
      <c r="O4428" s="2" t="n"/>
      <c r="P4428" s="2" t="n"/>
    </row>
    <row r="4429">
      <c r="A4429" s="2" t="n">
        <v>4428</v>
      </c>
      <c r="B4429" s="2" t="inlineStr">
        <is>
          <t>короткая</t>
        </is>
      </c>
      <c r="C4429" s="2" t="n">
        <v>9934</v>
      </c>
      <c r="D4429" s="3" t="inlineStr">
        <is>
          <t>До Италии не так далеко</t>
        </is>
      </c>
      <c r="E4429" s="2" t="n">
        <v>1978</v>
      </c>
      <c r="F4429" s="2" t="inlineStr">
        <is>
          <t>кинофильм</t>
        </is>
      </c>
      <c r="G4429" s="2" t="inlineStr">
        <is>
          <t>Грузия-фильм</t>
        </is>
      </c>
      <c r="H4429" s="2" t="n">
        <v>171</v>
      </c>
      <c r="I4429" s="2" t="inlineStr"/>
      <c r="J4429" s="2" t="inlineStr"/>
      <c r="K4429" s="3" t="inlineStr">
        <is>
          <t>О том, как простого грузинского крестьянина, оказавшегося героем Итальянского сопротивления времен Второй мировой войны, пригласили в Италию для получения высокой награды.</t>
        </is>
      </c>
      <c r="L4429" s="2" t="inlineStr">
        <is>
          <t>https://www.kino-teatr.ru/short/movie/sov/83892/annot/</t>
        </is>
      </c>
      <c r="M4429" s="2">
        <f>HYPERLINK("https://ru.wikipedia.org/w/index.php?search=%D0%94%D0%BE%20%D0%98%D1%82%D0%B0%D0%BB%D0%B8%D0%B8%20%D0%BD%D0%B5%20%D1%82%D0%B0%D0%BA%20%D0%B4%D0%B0%D0%BB%D0%B5%D0%BA%D0%BE%201978%20%D1%84%D0%B8%D0%BB%D1%8C%D0%BC","искать")</f>
        <v/>
      </c>
      <c r="N4429" s="3" t="n"/>
      <c r="O4429" s="2" t="n"/>
      <c r="P4429" s="2" t="n"/>
    </row>
    <row r="4430">
      <c r="A4430" s="2" t="n">
        <v>4429</v>
      </c>
      <c r="B4430" s="2" t="inlineStr">
        <is>
          <t>короткая</t>
        </is>
      </c>
      <c r="C4430" s="2" t="n">
        <v>14137</v>
      </c>
      <c r="D4430" s="3" t="inlineStr">
        <is>
          <t>На порог мой села сказка</t>
        </is>
      </c>
      <c r="E4430" s="2" t="n">
        <v>1987</v>
      </c>
      <c r="F4430" s="2" t="inlineStr">
        <is>
          <t>мультфильм</t>
        </is>
      </c>
      <c r="G4430" s="2" t="inlineStr">
        <is>
          <t>ГОСТЕЛЕРАДИО ЛАТВ. ССР ("ТЕЛЕФИЛЬМ-РИГА")</t>
        </is>
      </c>
      <c r="H4430" s="2" t="n">
        <v>171</v>
      </c>
      <c r="I4430" s="2" t="inlineStr"/>
      <c r="J4430" s="2" t="inlineStr"/>
      <c r="K4430" s="3" t="inlineStr">
        <is>
          <t>По мотивам стихотворений латышской поэтессы Аспазии (Эльзы Розенберг) о приключениях гномиков в стране сказок. Приз "Большой Кристап" 1988 - за выразительность изображения</t>
        </is>
      </c>
      <c r="L4430" s="2" t="inlineStr">
        <is>
          <t>https://animator.ru/db/?p=show_film&amp;fid=5535</t>
        </is>
      </c>
      <c r="M4430" s="2">
        <f>HYPERLINK("https://ru.wikipedia.org/w/index.php?search=%D0%9D%D0%B0%20%D0%BF%D0%BE%D1%80%D0%BE%D0%B3%20%D0%BC%D0%BE%D0%B9%20%D1%81%D0%B5%D0%BB%D0%B0%20%D1%81%D0%BA%D0%B0%D0%B7%D0%BA%D0%B0%201987%20%D1%84%D0%B8%D0%BB%D1%8C%D0%BC","искать")</f>
        <v/>
      </c>
      <c r="N4430" s="3" t="n"/>
      <c r="O4430" s="2" t="n"/>
      <c r="P4430" s="2" t="n"/>
    </row>
    <row r="4431">
      <c r="A4431" s="2" t="n">
        <v>4430</v>
      </c>
      <c r="B4431" s="2" t="inlineStr">
        <is>
          <t>короткая</t>
        </is>
      </c>
      <c r="C4431" s="2" t="n">
        <v>7719</v>
      </c>
      <c r="D4431" s="3" t="inlineStr">
        <is>
          <t>Карнавал</t>
        </is>
      </c>
      <c r="E4431" s="2" t="n">
        <v>1971</v>
      </c>
      <c r="F4431" s="2" t="inlineStr">
        <is>
          <t>телефильм</t>
        </is>
      </c>
      <c r="G4431" s="2" t="n"/>
      <c r="H4431" s="2" t="n">
        <v>172</v>
      </c>
      <c r="I4431" s="2" t="inlineStr"/>
      <c r="J4431" s="2" t="inlineStr"/>
      <c r="K4431" s="3" t="inlineStr">
        <is>
          <t>Международная тайная организация негодяев, называющая себя Скучнистами, хочет уничтожить в мире смех и веселье. Для этого они нанимают киллера, чтобы убить главного клоуна.</t>
        </is>
      </c>
      <c r="L4431" s="2" t="inlineStr">
        <is>
          <t>Кино_СССР сводный каталог.xlsx: список телефильмов</t>
        </is>
      </c>
      <c r="M4431" s="2">
        <f>HYPERLINK("https://ru.wikipedia.org/w/index.php?search=%D0%9A%D0%B0%D1%80%D0%BD%D0%B0%D0%B2%D0%B0%D0%BB%201971%20%D1%84%D0%B8%D0%BB%D1%8C%D0%BC","искать")</f>
        <v/>
      </c>
      <c r="N4431" s="3" t="n"/>
      <c r="O4431" s="2" t="n"/>
      <c r="P4431" s="2" t="n"/>
    </row>
    <row r="4432">
      <c r="A4432" s="2" t="n">
        <v>4431</v>
      </c>
      <c r="B4432" s="2" t="inlineStr">
        <is>
          <t>короткая</t>
        </is>
      </c>
      <c r="C4432" s="2" t="n">
        <v>7846</v>
      </c>
      <c r="D4432" s="3" t="inlineStr">
        <is>
          <t>Мальчишки</t>
        </is>
      </c>
      <c r="E4432" s="2" t="n">
        <v>1982</v>
      </c>
      <c r="F4432" s="2" t="inlineStr">
        <is>
          <t>телефильм</t>
        </is>
      </c>
      <c r="G4432" s="2" t="n"/>
      <c r="H4432" s="2" t="n">
        <v>172</v>
      </c>
      <c r="I4432" s="2" t="inlineStr"/>
      <c r="J4432" s="2" t="inlineStr"/>
      <c r="K4432" s="3" t="inlineStr">
        <is>
          <t>Фильм поставлен по мотивам произведений  А.Гайдара и рассказывает о приключениях детей во время Гражданской войны, о том, как они помогали раненому комиссару Красной армии.</t>
        </is>
      </c>
      <c r="L4432" s="2" t="inlineStr">
        <is>
          <t>Кино_СССР сводный каталог.xlsx: список телефильмов</t>
        </is>
      </c>
      <c r="M4432" s="2">
        <f>HYPERLINK("https://ru.wikipedia.org/w/index.php?search=%D0%9C%D0%B0%D0%BB%D1%8C%D1%87%D0%B8%D1%88%D0%BA%D0%B8%201982%20%D1%84%D0%B8%D0%BB%D1%8C%D0%BC","искать")</f>
        <v/>
      </c>
      <c r="N4432" s="3" t="n"/>
      <c r="O4432" s="2" t="n"/>
      <c r="P4432" s="2" t="n"/>
    </row>
    <row r="4433">
      <c r="A4433" s="2" t="n">
        <v>4432</v>
      </c>
      <c r="B4433" s="2" t="inlineStr">
        <is>
          <t>короткая</t>
        </is>
      </c>
      <c r="C4433" s="2" t="n">
        <v>8363</v>
      </c>
      <c r="D4433" s="3" t="inlineStr">
        <is>
          <t>Смеханические приключения Тарапуньки и Штепселя</t>
        </is>
      </c>
      <c r="E4433" s="2" t="n">
        <v>1970</v>
      </c>
      <c r="F4433" s="2" t="inlineStr">
        <is>
          <t>телефильм</t>
        </is>
      </c>
      <c r="G4433" s="2" t="inlineStr">
        <is>
          <t>к/с им. Довженко</t>
        </is>
      </c>
      <c r="H4433" s="2" t="n">
        <v>172</v>
      </c>
      <c r="I4433" s="2" t="inlineStr"/>
      <c r="J4433" s="2" t="inlineStr"/>
      <c r="K4433" s="3" t="inlineStr">
        <is>
          <t>Телефильм о веселых приключениях популярных артистов эстрады Штепселя и Тарапуньки и изобретенной ими "смеханической машины", с вкраплениями эстрадных номеров и интермедий.</t>
        </is>
      </c>
      <c r="L4433" s="2" t="inlineStr">
        <is>
          <t>Кино_СССР сводный каталог.xlsx: список телефильмов</t>
        </is>
      </c>
      <c r="M4433" s="2">
        <f>HYPERLINK("https://ru.wikipedia.org/w/index.php?search=%D0%A1%D0%BC%D0%B5%D1%85%D0%B0%D0%BD%D0%B8%D1%87%D0%B5%D1%81%D0%BA%D0%B8%D0%B5%20%D0%BF%D1%80%D0%B8%D0%BA%D0%BB%D1%8E%D1%87%D0%B5%D0%BD%D0%B8%D1%8F%20%D0%A2%D0%B0%D1%80%D0%B0%D0%BF%D1%83%D0%BD%D1%8C%D0%BA%D0%B8%20%D0%B8%20%D0%A8%D1%82%D0%B5%D0%BF%D1%81%D0%B5%D0%BB%D1%8F%201970%20%D1%84%D0%B8%D0%BB%D1%8C%D0%BC","искать")</f>
        <v/>
      </c>
      <c r="N4433" s="3" t="n"/>
      <c r="O4433" s="2" t="n"/>
      <c r="P4433" s="2" t="n"/>
    </row>
    <row r="4434">
      <c r="A4434" s="2" t="n">
        <v>4433</v>
      </c>
      <c r="B4434" s="2" t="inlineStr">
        <is>
          <t>короткая</t>
        </is>
      </c>
      <c r="C4434" s="2" t="n">
        <v>9127</v>
      </c>
      <c r="D4434" s="3" t="inlineStr">
        <is>
          <t>Улица погасших фонарей</t>
        </is>
      </c>
      <c r="E4434" s="2" t="n">
        <v>1991</v>
      </c>
      <c r="F4434" s="2" t="inlineStr">
        <is>
          <t>кинофильм</t>
        </is>
      </c>
      <c r="G4434" s="2" t="n"/>
      <c r="H4434" s="2" t="n">
        <v>172</v>
      </c>
      <c r="I4434" s="2" t="inlineStr"/>
      <c r="J4434" s="2" t="inlineStr"/>
      <c r="K4434" s="3" t="inlineStr">
        <is>
          <t>40-е годы. Парикмахер Санду, открытый, честный и непосредственный, попадает в жернова репрессивных органов. Пережить весь этот ужас герою помогают воспоминания о его любви.</t>
        </is>
      </c>
      <c r="L4434" s="2" t="inlineStr">
        <is>
          <t>Кино_СССР сводный каталог.xlsx: список фильмов (доп.)</t>
        </is>
      </c>
      <c r="M4434" s="2">
        <f>HYPERLINK("https://ru.wikipedia.org/w/index.php?search=%D0%A3%D0%BB%D0%B8%D1%86%D0%B0%20%D0%BF%D0%BE%D0%B3%D0%B0%D1%81%D1%88%D0%B8%D1%85%20%D1%84%D0%BE%D0%BD%D0%B0%D1%80%D0%B5%D0%B9%201991%20%D1%84%D0%B8%D0%BB%D1%8C%D0%BC","искать")</f>
        <v/>
      </c>
      <c r="N4434" s="3" t="n"/>
      <c r="O4434" s="2" t="n"/>
      <c r="P4434" s="2" t="n"/>
    </row>
    <row r="4435">
      <c r="A4435" s="2" t="n">
        <v>4434</v>
      </c>
      <c r="B4435" s="2" t="inlineStr">
        <is>
          <t>короткая</t>
        </is>
      </c>
      <c r="C4435" s="2" t="n">
        <v>11507</v>
      </c>
      <c r="D4435" s="3" t="inlineStr">
        <is>
          <t>Веселая карусель n 1. Ну, погоди!</t>
        </is>
      </c>
      <c r="E4435" s="2" t="n">
        <v>1969</v>
      </c>
      <c r="F4435" s="2" t="inlineStr">
        <is>
          <t>мультфильм</t>
        </is>
      </c>
      <c r="G4435" s="2" t="inlineStr">
        <is>
          <t>Союзмультфильм</t>
        </is>
      </c>
      <c r="H4435" s="2" t="n">
        <v>172</v>
      </c>
      <c r="I4435" s="2" t="inlineStr"/>
      <c r="J4435" s="2" t="inlineStr"/>
      <c r="K4435" s="3" t="inlineStr">
        <is>
          <t>Сюжет из альманаха "Веселая карусель N 1". Первый сюжет, из которого вырос знаменитый сериал. Здесь зайчик - малыш в коляске, а Волк только начинает свою знаменитую погоню.</t>
        </is>
      </c>
      <c r="L4435" s="2" t="inlineStr">
        <is>
          <t>https://animator.ru/db/?p=show_film&amp;fid=2278</t>
        </is>
      </c>
      <c r="M4435" s="2">
        <f>HYPERLINK("https://ru.wikipedia.org/w/index.php?search=%D0%92%D0%B5%D1%81%D0%B5%D0%BB%D0%B0%D1%8F%20%D0%BA%D0%B0%D1%80%D1%83%D1%81%D0%B5%D0%BB%D1%8C%20n%201.%20%D0%9D%D1%83%2C%20%D0%BF%D0%BE%D0%B3%D0%BE%D0%B4%D0%B8%21%201969%20%D1%84%D0%B8%D0%BB%D1%8C%D0%BC","искать")</f>
        <v/>
      </c>
      <c r="N4435" s="3" t="n"/>
      <c r="O4435" s="2" t="n"/>
      <c r="P4435" s="2" t="n"/>
    </row>
    <row r="4436">
      <c r="A4436" s="2" t="n">
        <v>4435</v>
      </c>
      <c r="B4436" s="2" t="inlineStr">
        <is>
          <t>короткая</t>
        </is>
      </c>
      <c r="C4436" s="2" t="n">
        <v>14439</v>
      </c>
      <c r="D4436" s="3" t="inlineStr">
        <is>
          <t>Сказки-засыпайки. Серия 6 "А где буратино?"</t>
        </is>
      </c>
      <c r="E4436" s="2" t="n">
        <v>1981</v>
      </c>
      <c r="F4436" s="2" t="inlineStr">
        <is>
          <t>мультфильм</t>
        </is>
      </c>
      <c r="G4436" s="2" t="n"/>
      <c r="H4436" s="2" t="n">
        <v>172</v>
      </c>
      <c r="I4436" s="2" t="inlineStr"/>
      <c r="J4436" s="2" t="inlineStr"/>
      <c r="K4436" s="3" t="inlineStr">
        <is>
          <t>О веселых приключениях куклы-невидимки по имени Засыпайка. О том, как Засыпайка помог Бабушке найти пропавшего Буратино, с которым она должна была выступать по телевидению.</t>
        </is>
      </c>
      <c r="L4436" s="2" t="inlineStr">
        <is>
          <t>https://animator.ru/db/?p=show_film&amp;fid=6687</t>
        </is>
      </c>
      <c r="M4436" s="2">
        <f>HYPERLINK("https://ru.wikipedia.org/w/index.php?search=%D0%A1%D0%BA%D0%B0%D0%B7%D0%BA%D0%B8-%D0%B7%D0%B0%D1%81%D1%8B%D0%BF%D0%B0%D0%B9%D0%BA%D0%B8.%20%D0%A1%D0%B5%D1%80%D0%B8%D1%8F%206%20%22%D0%90%20%D0%B3%D0%B4%D0%B5%20%D0%B1%D1%83%D1%80%D0%B0%D1%82%D0%B8%D0%BD%D0%BE%3F%22%201981%20%D1%84%D0%B8%D0%BB%D1%8C%D0%BC","искать")</f>
        <v/>
      </c>
      <c r="N4436" s="3" t="n"/>
      <c r="O4436" s="2" t="n"/>
      <c r="P4436" s="2" t="n"/>
    </row>
    <row r="4437">
      <c r="A4437" s="2" t="n">
        <v>4436</v>
      </c>
      <c r="B4437" s="2" t="inlineStr">
        <is>
          <t>короткая</t>
        </is>
      </c>
      <c r="C4437" s="2" t="n">
        <v>10325</v>
      </c>
      <c r="D4437" s="3" t="inlineStr">
        <is>
          <t>Правду! Ничего, кроме правды!</t>
        </is>
      </c>
      <c r="E4437" s="2" t="n">
        <v>1969</v>
      </c>
      <c r="F4437" s="2" t="inlineStr">
        <is>
          <t>фильм-спектакль</t>
        </is>
      </c>
      <c r="G4437" s="2" t="inlineStr">
        <is>
          <t>Экран</t>
        </is>
      </c>
      <c r="H4437" s="2" t="n">
        <v>173</v>
      </c>
      <c r="I4437" s="2" t="inlineStr"/>
      <c r="J4437" s="2" t="inlineStr"/>
      <c r="K4437" s="3" t="inlineStr">
        <is>
          <t>Фильм-спектакль по пьесе Д.Аля в постановке Ленинградского государственного академического БДТ.
О суде над Октябрьской революцией, который организовал в 1919 году сенат США.</t>
        </is>
      </c>
      <c r="L4437" s="2" t="inlineStr">
        <is>
          <t>https://www.kino-teatr.ru/teatr/movie/81610/annot/</t>
        </is>
      </c>
      <c r="M4437" s="2">
        <f>HYPERLINK("https://ru.wikipedia.org/w/index.php?search=%D0%9F%D1%80%D0%B0%D0%B2%D0%B4%D1%83%21%20%D0%9D%D0%B8%D1%87%D0%B5%D0%B3%D0%BE%2C%20%D0%BA%D1%80%D0%BE%D0%BC%D0%B5%20%D0%BF%D1%80%D0%B0%D0%B2%D0%B4%D1%8B%21%201969%20%D1%84%D0%B8%D0%BB%D1%8C%D0%BC","искать")</f>
        <v/>
      </c>
      <c r="N4437" s="3" t="n"/>
      <c r="O4437" s="2" t="n"/>
      <c r="P4437" s="2" t="n"/>
    </row>
    <row r="4438">
      <c r="A4438" s="2" t="n">
        <v>4437</v>
      </c>
      <c r="B4438" s="2" t="inlineStr">
        <is>
          <t>короткая</t>
        </is>
      </c>
      <c r="C4438" s="2" t="n">
        <v>11143</v>
      </c>
      <c r="D4438" s="3" t="inlineStr">
        <is>
          <t>Братишка, люби революцию!</t>
        </is>
      </c>
      <c r="E4438" s="2" t="n">
        <v>1987</v>
      </c>
      <c r="F4438" s="2" t="inlineStr">
        <is>
          <t>фильм-спектакль</t>
        </is>
      </c>
      <c r="G4438" s="2" t="inlineStr">
        <is>
          <t>Главная редакция литературно-драматических программ ЦТ</t>
        </is>
      </c>
      <c r="H4438" s="2" t="n">
        <v>173</v>
      </c>
      <c r="I4438" s="2" t="inlineStr"/>
      <c r="J4438" s="2" t="inlineStr"/>
      <c r="K4438" s="3" t="inlineStr">
        <is>
          <t>По повести Бориса Лавренева "Ветер", посвященной событиям гражданской войны. В центре телеспектакля - образ матроса Василия Гулявина, отдавшего свою жизнь за дело революции.</t>
        </is>
      </c>
      <c r="L4438" s="2" t="inlineStr">
        <is>
          <t>https://www.kino-teatr.ru/teatr/movie/16471/annot/</t>
        </is>
      </c>
      <c r="M4438" s="2">
        <f>HYPERLINK("https://ru.wikipedia.org/w/index.php?search=%D0%91%D1%80%D0%B0%D1%82%D0%B8%D1%88%D0%BA%D0%B0%2C%20%D0%BB%D1%8E%D0%B1%D0%B8%20%D1%80%D0%B5%D0%B2%D0%BE%D0%BB%D1%8E%D1%86%D0%B8%D1%8E%21%201987%20%D1%84%D0%B8%D0%BB%D1%8C%D0%BC","искать")</f>
        <v/>
      </c>
      <c r="N4438" s="3" t="n"/>
      <c r="O4438" s="2" t="n"/>
      <c r="P4438" s="2" t="n"/>
    </row>
    <row r="4439">
      <c r="A4439" s="2" t="n">
        <v>4438</v>
      </c>
      <c r="B4439" s="2" t="inlineStr">
        <is>
          <t>короткая</t>
        </is>
      </c>
      <c r="C4439" s="2" t="n">
        <v>11863</v>
      </c>
      <c r="D4439" s="3" t="inlineStr">
        <is>
          <t>Веселая карусель n 10. Посылка</t>
        </is>
      </c>
      <c r="E4439" s="2" t="n">
        <v>1978</v>
      </c>
      <c r="F4439" s="2" t="inlineStr">
        <is>
          <t>мультфильм</t>
        </is>
      </c>
      <c r="G4439" s="2" t="inlineStr">
        <is>
          <t>Союзмультфильм</t>
        </is>
      </c>
      <c r="H4439" s="2" t="n">
        <v>173</v>
      </c>
      <c r="I4439" s="2" t="inlineStr"/>
      <c r="J4439" s="2" t="inlineStr"/>
      <c r="K4439" s="3" t="inlineStr">
        <is>
          <t>Сюжет из альманаха «ВЕСЕЛАЯ КАРУСЕЛЬ N 10»
Сюжет Веселой карусели №10. Крыса Анфиса получает посылку с угощением и новыми ботинками, которые проглатывает вместе со съестным.</t>
        </is>
      </c>
      <c r="L4439" s="2" t="inlineStr">
        <is>
          <t>https://animator.ru/db/?p=show_film&amp;fid=2778</t>
        </is>
      </c>
      <c r="M4439" s="2">
        <f>HYPERLINK("https://ru.wikipedia.org/w/index.php?search=%D0%92%D0%B5%D1%81%D0%B5%D0%BB%D0%B0%D1%8F%20%D0%BA%D0%B0%D1%80%D1%83%D1%81%D0%B5%D0%BB%D1%8C%20n%2010.%20%D0%9F%D0%BE%D1%81%D1%8B%D0%BB%D0%BA%D0%B0%201978%20%D1%84%D0%B8%D0%BB%D1%8C%D0%BC","искать")</f>
        <v/>
      </c>
      <c r="N4439" s="3" t="n"/>
      <c r="O4439" s="2" t="n"/>
      <c r="P4439" s="2" t="n"/>
    </row>
    <row r="4440">
      <c r="A4440" s="2" t="n">
        <v>4439</v>
      </c>
      <c r="B4440" s="2" t="inlineStr">
        <is>
          <t>короткая</t>
        </is>
      </c>
      <c r="C4440" s="2" t="n">
        <v>7998</v>
      </c>
      <c r="D4440" s="3" t="inlineStr">
        <is>
          <t>Николай Вавилов</t>
        </is>
      </c>
      <c r="E4440" s="2" t="n">
        <v>1990</v>
      </c>
      <c r="F4440" s="2" t="inlineStr">
        <is>
          <t>телефильм</t>
        </is>
      </c>
      <c r="G4440" s="2" t="n"/>
      <c r="H4440" s="2" t="n">
        <v>174</v>
      </c>
      <c r="I4440" s="2" t="inlineStr"/>
      <c r="J4440" s="2" t="inlineStr"/>
      <c r="K4440" s="3" t="inlineStr">
        <is>
          <t>История жизни, вклада в науку и общественной деятельности академика Николая Вавилова.
Его научное и личное противостояние с Трофимом Лысенко, арест и смерть ученого в тюрьме.</t>
        </is>
      </c>
      <c r="L4440" s="2" t="inlineStr">
        <is>
          <t>https://ru.wikipedia.org/w/index.php?title=%D0%9D%D0%B8%D0%BA%D0%BE%D0%BB%D0%B0%D0%B9_%D0%92%D0%B0%D0%B2%D0%B8%D0%BB%D0%BE%D0%B2_%28%D1%84%D0%B8%D0%BB%D1%8C%D0%BC%29&amp;oldid=154700697</t>
        </is>
      </c>
      <c r="M4440" s="2">
        <f>HYPERLINK("https://ru.wikipedia.org/w/index.php?search=%D0%9D%D0%B8%D0%BA%D0%BE%D0%BB%D0%B0%D0%B9%20%D0%92%D0%B0%D0%B2%D0%B8%D0%BB%D0%BE%D0%B2%201990%20%D1%84%D0%B8%D0%BB%D1%8C%D0%BC","искать")</f>
        <v/>
      </c>
      <c r="N4440" s="3" t="n"/>
      <c r="O4440" s="2" t="n"/>
      <c r="P4440" s="2" t="n"/>
    </row>
    <row r="4441">
      <c r="A4441" s="2" t="n">
        <v>4440</v>
      </c>
      <c r="B4441" s="2" t="inlineStr">
        <is>
          <t>короткая</t>
        </is>
      </c>
      <c r="C4441" s="2" t="n">
        <v>8755</v>
      </c>
      <c r="D4441" s="3" t="inlineStr">
        <is>
          <t>Каменный идол</t>
        </is>
      </c>
      <c r="E4441" s="2" t="n">
        <v>1989</v>
      </c>
      <c r="F4441" s="2" t="inlineStr">
        <is>
          <t>кинофильм</t>
        </is>
      </c>
      <c r="G4441" s="2" t="n"/>
      <c r="H4441" s="2" t="n">
        <v>174</v>
      </c>
      <c r="I4441" s="2" t="inlineStr"/>
      <c r="J4441" s="2" t="inlineStr"/>
      <c r="K4441" s="3" t="inlineStr">
        <is>
          <t>О судьбе молодого пастуха, на долю которого страдания, унижения в годы массовых репрессий НКВД. Ведь если тебя проведут под конвоем средь бела дня по улицам - это уже позор..</t>
        </is>
      </c>
      <c r="L4441" s="2" t="inlineStr">
        <is>
          <t>Кино_СССР сводный каталог.xlsx: список фильмов (доп.)</t>
        </is>
      </c>
      <c r="M4441" s="2">
        <f>HYPERLINK("https://ru.wikipedia.org/w/index.php?search=%D0%9A%D0%B0%D0%BC%D0%B5%D0%BD%D0%BD%D1%8B%D0%B9%20%D0%B8%D0%B4%D0%BE%D0%BB%201989%20%D1%84%D0%B8%D0%BB%D1%8C%D0%BC","искать")</f>
        <v/>
      </c>
      <c r="N4441" s="3" t="n"/>
      <c r="O4441" s="2" t="n"/>
      <c r="P4441" s="2" t="n"/>
    </row>
    <row r="4442">
      <c r="A4442" s="2" t="n">
        <v>4441</v>
      </c>
      <c r="B4442" s="2" t="inlineStr">
        <is>
          <t>короткая</t>
        </is>
      </c>
      <c r="C4442" s="2" t="n">
        <v>8985</v>
      </c>
      <c r="D4442" s="3" t="inlineStr">
        <is>
          <t>Пройдут годы</t>
        </is>
      </c>
      <c r="E4442" s="2" t="n">
        <v>1981</v>
      </c>
      <c r="F4442" s="2" t="inlineStr">
        <is>
          <t>кинофильм</t>
        </is>
      </c>
      <c r="G4442" s="2" t="n"/>
      <c r="H4442" s="2" t="n">
        <v>174</v>
      </c>
      <c r="I4442" s="2" t="inlineStr"/>
      <c r="J4442" s="2" t="inlineStr"/>
      <c r="K4442" s="3" t="inlineStr">
        <is>
          <t>Реклама Госстраха. Спустя десять лет, по истечении срока страхования жизни, бабушка получила полную страховую сумму и на эти деньги купила для всей семьи путёвку в Ленинград.</t>
        </is>
      </c>
      <c r="L4442" s="2" t="inlineStr">
        <is>
          <t>Кино_СССР сводный каталог.xlsx: список фильмов (доп.)</t>
        </is>
      </c>
      <c r="M4442" s="2">
        <f>HYPERLINK("https://ru.wikipedia.org/w/index.php?search=%D0%9F%D1%80%D0%BE%D0%B9%D0%B4%D1%83%D1%82%20%D0%B3%D0%BE%D0%B4%D1%8B%201981%20%D1%84%D0%B8%D0%BB%D1%8C%D0%BC","искать")</f>
        <v/>
      </c>
      <c r="N4442" s="3" t="n"/>
      <c r="O4442" s="2" t="n"/>
      <c r="P4442" s="2" t="n"/>
    </row>
    <row r="4443">
      <c r="A4443" s="2" t="n">
        <v>4442</v>
      </c>
      <c r="B4443" s="2" t="inlineStr">
        <is>
          <t>короткая</t>
        </is>
      </c>
      <c r="C4443" s="2" t="n">
        <v>7871</v>
      </c>
      <c r="D4443" s="3" t="inlineStr">
        <is>
          <t>Месяц на размышление</t>
        </is>
      </c>
      <c r="E4443" s="2" t="n">
        <v>1980</v>
      </c>
      <c r="F4443" s="2" t="inlineStr">
        <is>
          <t>телефильм</t>
        </is>
      </c>
      <c r="G4443" s="2" t="n"/>
      <c r="H4443" s="2" t="n">
        <v>175</v>
      </c>
      <c r="I4443" s="2" t="inlineStr"/>
      <c r="J4443" s="2" t="inlineStr"/>
      <c r="K4443" s="3" t="inlineStr">
        <is>
          <t>Молодые люди полюбили друг друга и решили пожениться. Месяц, который им дали на размышление, помог героям по-новому посмотреть на себя и на окружающих, проверить свои чувства.</t>
        </is>
      </c>
      <c r="L4443" s="2" t="inlineStr">
        <is>
          <t>Кино_СССР сводный каталог.xlsx: список телефильмов</t>
        </is>
      </c>
      <c r="M4443" s="2">
        <f>HYPERLINK("https://ru.wikipedia.org/w/index.php?search=%D0%9C%D0%B5%D1%81%D1%8F%D1%86%20%D0%BD%D0%B0%20%D1%80%D0%B0%D0%B7%D0%BC%D1%8B%D1%88%D0%BB%D0%B5%D0%BD%D0%B8%D0%B5%201980%20%D1%84%D0%B8%D0%BB%D1%8C%D0%BC","искать")</f>
        <v/>
      </c>
      <c r="N4443" s="3" t="n"/>
      <c r="O4443" s="2" t="n"/>
      <c r="P4443" s="2" t="n"/>
    </row>
    <row r="4444">
      <c r="A4444" s="2" t="n">
        <v>4443</v>
      </c>
      <c r="B4444" s="2" t="inlineStr">
        <is>
          <t>короткая</t>
        </is>
      </c>
      <c r="C4444" s="2" t="n">
        <v>10538</v>
      </c>
      <c r="D4444" s="3" t="inlineStr">
        <is>
          <t>Алвеш и компания</t>
        </is>
      </c>
      <c r="E4444" s="2" t="n">
        <v>1974</v>
      </c>
      <c r="F4444" s="2" t="inlineStr">
        <is>
          <t>фильм-спектакль</t>
        </is>
      </c>
      <c r="G4444" s="2" t="n"/>
      <c r="H4444" s="2" t="n">
        <v>175</v>
      </c>
      <c r="I4444" s="2" t="inlineStr"/>
      <c r="J4444" s="2" t="inlineStr"/>
      <c r="K4444" s="3" t="inlineStr">
        <is>
          <t>По одноименной пьесе португальского драматурга Эса де Кейруша.
Все было хорошо в жизни Алвеш до дня, в который он пришел домой и увидел свою жену на диване с другим мужчиной..</t>
        </is>
      </c>
      <c r="L4444" s="2" t="inlineStr">
        <is>
          <t>https://www.kino-teatr.ru/teatr/movie/129350/annot/</t>
        </is>
      </c>
      <c r="M4444" s="2">
        <f>HYPERLINK("https://ru.wikipedia.org/w/index.php?search=%D0%90%D0%BB%D0%B2%D0%B5%D1%88%20%D0%B8%20%D0%BA%D0%BE%D0%BC%D0%BF%D0%B0%D0%BD%D0%B8%D1%8F%201974%20%D1%84%D0%B8%D0%BB%D1%8C%D0%BC","искать")</f>
        <v/>
      </c>
      <c r="N4444" s="3" t="n"/>
      <c r="O4444" s="2" t="n"/>
      <c r="P4444" s="2" t="n"/>
    </row>
    <row r="4445">
      <c r="A4445" s="2" t="n">
        <v>4444</v>
      </c>
      <c r="B4445" s="2" t="inlineStr">
        <is>
          <t>короткая</t>
        </is>
      </c>
      <c r="C4445" s="2" t="n">
        <v>11390</v>
      </c>
      <c r="D4445" s="3" t="inlineStr">
        <is>
          <t>Прозрение</t>
        </is>
      </c>
      <c r="E4445" s="2" t="n">
        <v>1987</v>
      </c>
      <c r="F4445" s="2" t="inlineStr">
        <is>
          <t>фильм-опера/балет</t>
        </is>
      </c>
      <c r="G4445" s="2" t="n"/>
      <c r="H4445" s="2" t="n">
        <v>175</v>
      </c>
      <c r="I4445" s="2" t="inlineStr"/>
      <c r="J4445" s="2" t="inlineStr"/>
      <c r="K4445" s="3" t="inlineStr">
        <is>
          <t>Фильм-балет. В постановке и по либретто Бориса Эйфмана балет-притча о любви царя и простолюдинки. Танцуют артисты Ленинградского Нового балета под руководством Бориса Эйфмана.</t>
        </is>
      </c>
      <c r="L4445" s="2" t="inlineStr">
        <is>
          <t>Кино_СССР телефильмы и пропуски включить в базу.xlsx</t>
        </is>
      </c>
      <c r="M4445" s="2">
        <f>HYPERLINK("https://ru.wikipedia.org/w/index.php?search=%D0%9F%D1%80%D0%BE%D0%B7%D1%80%D0%B5%D0%BD%D0%B8%D0%B5%201987%20%D1%84%D0%B8%D0%BB%D1%8C%D0%BC","искать")</f>
        <v/>
      </c>
      <c r="N4445" s="3" t="n"/>
      <c r="O4445" s="2" t="n"/>
      <c r="P4445" s="2" t="n"/>
    </row>
    <row r="4446">
      <c r="A4446" s="2" t="n">
        <v>4445</v>
      </c>
      <c r="B4446" s="2" t="inlineStr">
        <is>
          <t>короткая</t>
        </is>
      </c>
      <c r="C4446" s="2" t="n">
        <v>11431</v>
      </c>
      <c r="D4446" s="3" t="inlineStr">
        <is>
          <t>Сегодня день рождения</t>
        </is>
      </c>
      <c r="E4446" s="2" t="n">
        <v>1966</v>
      </c>
      <c r="F4446" s="2" t="inlineStr">
        <is>
          <t>мультфильм</t>
        </is>
      </c>
      <c r="G4446" s="2" t="inlineStr">
        <is>
          <t>Союзмультфильм</t>
        </is>
      </c>
      <c r="H4446" s="2" t="n">
        <v>175</v>
      </c>
      <c r="I4446" s="2" t="inlineStr"/>
      <c r="J4446" s="2" t="inlineStr"/>
      <c r="K4446" s="3" t="inlineStr">
        <is>
          <t>Купил Слон сосиски ко дню рождения своего друга Бобика. Но жадный и хитрый Кот выманил их у Слона. Бобик обиделся на Слона, но потом они помирились, а Кот был примерно наказан</t>
        </is>
      </c>
      <c r="L4446" s="2" t="inlineStr">
        <is>
          <t>https://gosfilmofond.ru/films/254249/</t>
        </is>
      </c>
      <c r="M4446" s="2">
        <f>HYPERLINK("https://ru.wikipedia.org/w/index.php?search=%D0%A1%D0%B5%D0%B3%D0%BE%D0%B4%D0%BD%D1%8F%20%D0%B4%D0%B5%D0%BD%D1%8C%20%D1%80%D0%BE%D0%B6%D0%B4%D0%B5%D0%BD%D0%B8%D1%8F%201966%20%D1%84%D0%B8%D0%BB%D1%8C%D0%BC","искать")</f>
        <v/>
      </c>
      <c r="N4446" s="3" t="n"/>
      <c r="O4446" s="2" t="n"/>
      <c r="P4446" s="2" t="n"/>
    </row>
    <row r="4447">
      <c r="A4447" s="2" t="n">
        <v>4446</v>
      </c>
      <c r="B4447" s="2" t="inlineStr">
        <is>
          <t>короткая</t>
        </is>
      </c>
      <c r="C4447" s="2" t="n">
        <v>13568</v>
      </c>
      <c r="D4447" s="3" t="inlineStr">
        <is>
          <t>Козел и баран</t>
        </is>
      </c>
      <c r="E4447" s="2" t="n">
        <v>1974</v>
      </c>
      <c r="F4447" s="2" t="inlineStr">
        <is>
          <t>мультфильм</t>
        </is>
      </c>
      <c r="G4447" s="2" t="inlineStr">
        <is>
          <t>Союзмультфильм</t>
        </is>
      </c>
      <c r="H4447" s="2" t="n">
        <v>175</v>
      </c>
      <c r="I4447" s="2" t="inlineStr"/>
      <c r="J4447" s="2" t="inlineStr"/>
      <c r="K4447" s="3" t="inlineStr">
        <is>
          <t>Козёл и Баран ушли в лес и нашли волчью голову. Встретившись с волками, они пугают их, доставая из мешка одну и ту же голову, но выдавая её за разные. Так им удалось спастись.</t>
        </is>
      </c>
      <c r="L4447" s="2" t="inlineStr">
        <is>
          <t>https://animator.ru/db/?p=show_film&amp;fid=4903</t>
        </is>
      </c>
      <c r="M4447" s="2">
        <f>HYPERLINK("https://ru.wikipedia.org/w/index.php?search=%D0%9A%D0%BE%D0%B7%D0%B5%D0%BB%20%D0%B8%20%D0%B1%D0%B0%D1%80%D0%B0%D0%BD%201974%20%D1%84%D0%B8%D0%BB%D1%8C%D0%BC","искать")</f>
        <v/>
      </c>
      <c r="N4447" s="3" t="n"/>
      <c r="O4447" s="2" t="n"/>
      <c r="P4447" s="2" t="n"/>
    </row>
    <row r="4448">
      <c r="A4448" s="2" t="n">
        <v>4447</v>
      </c>
      <c r="B4448" s="2" t="inlineStr">
        <is>
          <t>короткая</t>
        </is>
      </c>
      <c r="C4448" s="2" t="n">
        <v>9180</v>
      </c>
      <c r="D4448" s="3" t="inlineStr">
        <is>
          <t>Эльза</t>
        </is>
      </c>
      <c r="E4448" s="2" t="n">
        <v>1991</v>
      </c>
      <c r="F4448" s="2" t="inlineStr">
        <is>
          <t>кинофильм</t>
        </is>
      </c>
      <c r="G4448" s="2" t="n"/>
      <c r="H4448" s="2" t="n">
        <v>176</v>
      </c>
      <c r="I4448" s="2" t="inlineStr"/>
      <c r="J4448" s="2" t="inlineStr"/>
      <c r="K4448" s="3" t="inlineStr">
        <is>
          <t>Никак не ожидает грузинский режиссёр, приехавший в Германию, осуществить свою мечту и поставить спектакль ,что все его чувства будут наполнены любовью к женщине по имени Эльза.</t>
        </is>
      </c>
      <c r="L4448" s="2" t="inlineStr">
        <is>
          <t>Кино_СССР сводный каталог.xlsx: список фильмов (доп.)</t>
        </is>
      </c>
      <c r="M4448" s="2">
        <f>HYPERLINK("https://ru.wikipedia.org/w/index.php?search=%D0%AD%D0%BB%D1%8C%D0%B7%D0%B0%201991%20%D1%84%D0%B8%D0%BB%D1%8C%D0%BC","искать")</f>
        <v/>
      </c>
      <c r="N4448" s="3" t="n"/>
      <c r="O4448" s="2" t="n"/>
      <c r="P4448" s="2" t="n"/>
    </row>
    <row r="4449">
      <c r="A4449" s="2" t="n">
        <v>4448</v>
      </c>
      <c r="B4449" s="2" t="inlineStr">
        <is>
          <t>короткая</t>
        </is>
      </c>
      <c r="C4449" s="2" t="n">
        <v>10282</v>
      </c>
      <c r="D4449" s="3" t="inlineStr">
        <is>
          <t>А вы, товарищ?</t>
        </is>
      </c>
      <c r="E4449" s="2" t="n">
        <v>1969</v>
      </c>
      <c r="F4449" s="2" t="inlineStr">
        <is>
          <t>фильм-спектакль</t>
        </is>
      </c>
      <c r="G4449" s="2" t="inlineStr">
        <is>
          <t>Студия "Публицист" Центральное телевидение</t>
        </is>
      </c>
      <c r="H4449" s="2" t="n">
        <v>176</v>
      </c>
      <c r="I4449" s="2" t="inlineStr"/>
      <c r="J4449" s="2" t="inlineStr"/>
      <c r="K4449" s="3" t="inlineStr">
        <is>
          <t>Телеспектакль о проведении в Москве в 1920 году III съезда комсомола, о комсомольцах - делегатах съезда.
Первая часть - "Малая Дмитровка, 6", вторая часть - "Нам говорил Ленин"</t>
        </is>
      </c>
      <c r="L4449" s="2" t="inlineStr">
        <is>
          <t>https://www.kino-teatr.ru/teatr/movie/135421/annot/</t>
        </is>
      </c>
      <c r="M4449" s="2">
        <f>HYPERLINK("https://ru.wikipedia.org/w/index.php?search=%D0%90%20%D0%B2%D1%8B%2C%20%D1%82%D0%BE%D0%B2%D0%B0%D1%80%D0%B8%D1%89%3F%201969%20%D1%84%D0%B8%D0%BB%D1%8C%D0%BC","искать")</f>
        <v/>
      </c>
      <c r="N4449" s="3" t="n"/>
      <c r="O4449" s="2" t="n"/>
      <c r="P4449" s="2" t="n"/>
    </row>
    <row r="4450">
      <c r="A4450" s="2" t="n">
        <v>4449</v>
      </c>
      <c r="B4450" s="2" t="inlineStr">
        <is>
          <t>короткая</t>
        </is>
      </c>
      <c r="C4450" s="2" t="n">
        <v>11679</v>
      </c>
      <c r="D4450" s="3" t="inlineStr">
        <is>
          <t>Ну, Погоди! ч.5</t>
        </is>
      </c>
      <c r="E4450" s="2" t="n">
        <v>1972</v>
      </c>
      <c r="F4450" s="2" t="inlineStr">
        <is>
          <t>мультфильм</t>
        </is>
      </c>
      <c r="G4450" s="2" t="inlineStr">
        <is>
          <t>Союзмультфильм</t>
        </is>
      </c>
      <c r="H4450" s="2" t="n">
        <v>176</v>
      </c>
      <c r="I4450" s="2" t="inlineStr"/>
      <c r="J4450" s="2" t="inlineStr"/>
      <c r="K4450" s="3" t="inlineStr">
        <is>
          <t>Действие мультфильма вновь переносится на дороги города. Волк будет пытаться поймать Зайца в троллейбусе, метро, мусоровозе, магазине “Телевизоры”, и даже прикинувшись арбузом.</t>
        </is>
      </c>
      <c r="L4450" s="2" t="inlineStr">
        <is>
          <t>2026-10_мультфильмы_список_владельца.xlsx; https://animator.ru/db/?p=show_film&amp;fid=2593</t>
        </is>
      </c>
      <c r="M4450" s="2">
        <f>HYPERLINK("https://ru.wikipedia.org/w/index.php?search=%D0%9D%D1%83%2C%20%D0%9F%D0%BE%D0%B3%D0%BE%D0%B4%D0%B8%21%20%D1%87.5%201972%20%D1%84%D0%B8%D0%BB%D1%8C%D0%BC","искать")</f>
        <v/>
      </c>
      <c r="N4450" s="3" t="n"/>
      <c r="O4450" s="2" t="n"/>
      <c r="P4450" s="2" t="n"/>
    </row>
    <row r="4451">
      <c r="A4451" s="2" t="n">
        <v>4450</v>
      </c>
      <c r="B4451" s="2" t="inlineStr">
        <is>
          <t>короткая</t>
        </is>
      </c>
      <c r="C4451" s="2" t="n">
        <v>11979</v>
      </c>
      <c r="D4451" s="3" t="inlineStr">
        <is>
          <t>Однажды утром</t>
        </is>
      </c>
      <c r="E4451" s="2" t="n">
        <v>1981</v>
      </c>
      <c r="F4451" s="2" t="inlineStr">
        <is>
          <t>мультфильм</t>
        </is>
      </c>
      <c r="G4451" s="2" t="inlineStr">
        <is>
          <t>Союзмультфильм</t>
        </is>
      </c>
      <c r="H4451" s="2" t="n">
        <v>176</v>
      </c>
      <c r="I4451" s="2" t="inlineStr"/>
      <c r="J4451" s="2" t="inlineStr"/>
      <c r="K4451" s="3" t="inlineStr">
        <is>
          <t>Однажды утром утенок вышел на прогулку. Птенец был совсем еще крохотный и глупенький, поэтому дружил только со своей тенью, полный уверенности, что больше ему никто и не нужен.</t>
        </is>
      </c>
      <c r="L4451" s="2" t="inlineStr">
        <is>
          <t>https://animator.ru/db/?p=show_film&amp;fid=3093</t>
        </is>
      </c>
      <c r="M4451" s="2">
        <f>HYPERLINK("https://ru.wikipedia.org/w/index.php?search=%D0%9E%D0%B4%D0%BD%D0%B0%D0%B6%D0%B4%D1%8B%20%D1%83%D1%82%D1%80%D0%BE%D0%BC%201981%20%D1%84%D0%B8%D0%BB%D1%8C%D0%BC","искать")</f>
        <v/>
      </c>
      <c r="N4451" s="3" t="n"/>
      <c r="O4451" s="2" t="n"/>
      <c r="P4451" s="2" t="n"/>
    </row>
    <row r="4452">
      <c r="A4452" s="2" t="n">
        <v>4451</v>
      </c>
      <c r="B4452" s="2" t="inlineStr">
        <is>
          <t>короткая</t>
        </is>
      </c>
      <c r="C4452" s="2" t="n">
        <v>11358</v>
      </c>
      <c r="D4452" s="3" t="inlineStr">
        <is>
          <t>Вас приглашает оперетта</t>
        </is>
      </c>
      <c r="E4452" s="2" t="n">
        <v>1985</v>
      </c>
      <c r="F4452" s="2" t="inlineStr">
        <is>
          <t>не игровое</t>
        </is>
      </c>
      <c r="G4452" s="2" t="n"/>
      <c r="H4452" s="2" t="n">
        <v>177</v>
      </c>
      <c r="I4452" s="2" t="inlineStr"/>
      <c r="J4452" s="2" t="inlineStr"/>
      <c r="K4452" s="3" t="inlineStr">
        <is>
          <t>Фильм-концерт со  сценами из оперетт: "Королева чардаша", "Перекресток", "Товарищ Любовь", "Марица", "Принцесса цирка", "Пенелопа", "Господа артисты", "Баядера", "Летучая мышь".</t>
        </is>
      </c>
      <c r="L4452" s="2" t="inlineStr">
        <is>
          <t>Кино_СССР телефильмы и пропуски включить в базу.xlsx</t>
        </is>
      </c>
      <c r="M4452" s="2">
        <f>HYPERLINK("https://ru.wikipedia.org/w/index.php?search=%D0%92%D0%B0%D1%81%20%D0%BF%D1%80%D0%B8%D0%B3%D0%BB%D0%B0%D1%88%D0%B0%D0%B5%D1%82%20%D0%BE%D0%BF%D0%B5%D1%80%D0%B5%D1%82%D1%82%D0%B0%201985%20%D1%84%D0%B8%D0%BB%D1%8C%D0%BC","искать")</f>
        <v/>
      </c>
      <c r="N4452" s="3" t="n"/>
      <c r="O4452" s="2" t="n"/>
      <c r="P4452" s="2" t="n"/>
    </row>
    <row r="4453">
      <c r="A4453" s="2" t="n">
        <v>4452</v>
      </c>
      <c r="B4453" s="2" t="inlineStr">
        <is>
          <t>короткая</t>
        </is>
      </c>
      <c r="C4453" s="2" t="n">
        <v>9285</v>
      </c>
      <c r="D4453" s="3" t="inlineStr">
        <is>
          <t>Вот вернулся этот парень</t>
        </is>
      </c>
      <c r="E4453" s="2" t="n">
        <v>1981</v>
      </c>
      <c r="F4453" s="2" t="inlineStr">
        <is>
          <t>кинофильм</t>
        </is>
      </c>
      <c r="G4453" s="2" t="n"/>
      <c r="H4453" s="2" t="n">
        <v>178</v>
      </c>
      <c r="I4453" s="2" t="inlineStr"/>
      <c r="J4453" s="2" t="inlineStr"/>
      <c r="K4453" s="3" t="inlineStr">
        <is>
          <t>Молодой рабочий возвращается после армии на родной завод. Возглавив неблагополучную бригаду, он старается наладить отношения в коллективе и справиться с возникающими конфликтами.</t>
        </is>
      </c>
      <c r="L4453" s="2" t="inlineStr">
        <is>
          <t>Кино_СССР сводный каталог.xlsx: список фильмов (доп.)</t>
        </is>
      </c>
      <c r="M4453" s="2">
        <f>HYPERLINK("https://ru.wikipedia.org/w/index.php?search=%D0%92%D0%BE%D1%82%20%D0%B2%D0%B5%D1%80%D0%BD%D1%83%D0%BB%D1%81%D1%8F%20%D1%8D%D1%82%D0%BE%D1%82%20%D0%BF%D0%B0%D1%80%D0%B5%D0%BD%D1%8C%201981%20%D1%84%D0%B8%D0%BB%D1%8C%D0%BC","искать")</f>
        <v/>
      </c>
      <c r="N4453" s="3" t="n"/>
      <c r="O4453" s="2" t="n"/>
      <c r="P4453" s="2" t="n"/>
    </row>
    <row r="4454">
      <c r="A4454" s="2" t="n">
        <v>4453</v>
      </c>
      <c r="B4454" s="2" t="inlineStr">
        <is>
          <t>короткая</t>
        </is>
      </c>
      <c r="C4454" s="2" t="n">
        <v>9861</v>
      </c>
      <c r="D4454" s="3" t="inlineStr">
        <is>
          <t>Красный агитатор Трофим Глушков</t>
        </is>
      </c>
      <c r="E4454" s="2" t="n">
        <v>1969</v>
      </c>
      <c r="F4454" s="2" t="inlineStr">
        <is>
          <t>телефильм</t>
        </is>
      </c>
      <c r="G4454" s="2" t="inlineStr">
        <is>
          <t>Беларусьфильм</t>
        </is>
      </c>
      <c r="H4454" s="2" t="n">
        <v>178</v>
      </c>
      <c r="I4454" s="2" t="inlineStr"/>
      <c r="J4454" s="2" t="inlineStr"/>
      <c r="K4454" s="3" t="inlineStr">
        <is>
          <t>Телефильм по мотивам рассказов Всеволода Иванова.
О подвиге одного из первых советских агитаторов-киномехаников Трофима Глушкова, убитого белогвардейцами. Годы гражданской войны.</t>
        </is>
      </c>
      <c r="L4454" s="2" t="inlineStr">
        <is>
          <t>https://www.kino-teatr.ru/short/movie/sov/8371/annot/</t>
        </is>
      </c>
      <c r="M4454" s="2">
        <f>HYPERLINK("https://ru.wikipedia.org/w/index.php?search=%D0%9A%D1%80%D0%B0%D1%81%D0%BD%D1%8B%D0%B9%20%D0%B0%D0%B3%D0%B8%D1%82%D0%B0%D1%82%D0%BE%D1%80%20%D0%A2%D1%80%D0%BE%D1%84%D0%B8%D0%BC%20%D0%93%D0%BB%D1%83%D1%88%D0%BA%D0%BE%D0%B2%201969%20%D1%84%D0%B8%D0%BB%D1%8C%D0%BC","искать")</f>
        <v/>
      </c>
      <c r="N4454" s="3" t="n"/>
      <c r="O4454" s="2" t="n"/>
      <c r="P4454" s="2" t="n"/>
    </row>
    <row r="4455">
      <c r="A4455" s="2" t="n">
        <v>4454</v>
      </c>
      <c r="B4455" s="2" t="inlineStr">
        <is>
          <t>короткая</t>
        </is>
      </c>
      <c r="C4455" s="2" t="n">
        <v>10652</v>
      </c>
      <c r="D4455" s="3" t="inlineStr">
        <is>
          <t>Король Матиуш Первый</t>
        </is>
      </c>
      <c r="E4455" s="2" t="n">
        <v>1976</v>
      </c>
      <c r="F4455" s="2" t="inlineStr">
        <is>
          <t>фильм-спектакль</t>
        </is>
      </c>
      <c r="G4455" s="2" t="inlineStr">
        <is>
          <t>Творческое объединение "Экран"</t>
        </is>
      </c>
      <c r="H4455" s="2" t="n">
        <v>178</v>
      </c>
      <c r="I4455" s="2" t="inlineStr"/>
      <c r="J4455" s="2" t="inlineStr"/>
      <c r="K4455" s="3" t="inlineStr">
        <is>
          <t>По мотивам сказки Януша Корчака в постановке Государственного Центрального детского театра.
История мальчика-короля, мечтавшего сделать всех детей своего королевства счастливыми.</t>
        </is>
      </c>
      <c r="L4455" s="2" t="inlineStr">
        <is>
          <t>https://www.kino-teatr.ru/teatr/movie/104265/annot/</t>
        </is>
      </c>
      <c r="M4455" s="2">
        <f>HYPERLINK("https://ru.wikipedia.org/w/index.php?search=%D0%9A%D0%BE%D1%80%D0%BE%D0%BB%D1%8C%20%D0%9C%D0%B0%D1%82%D0%B8%D1%83%D1%88%20%D0%9F%D0%B5%D1%80%D0%B2%D1%8B%D0%B9%201976%20%D1%84%D0%B8%D0%BB%D1%8C%D0%BC","искать")</f>
        <v/>
      </c>
      <c r="N4455" s="3" t="n"/>
      <c r="O4455" s="2" t="n"/>
      <c r="P4455" s="2" t="n"/>
    </row>
    <row r="4456">
      <c r="A4456" s="2" t="n">
        <v>4455</v>
      </c>
      <c r="B4456" s="2" t="inlineStr">
        <is>
          <t>короткая</t>
        </is>
      </c>
      <c r="C4456" s="2" t="n">
        <v>11864</v>
      </c>
      <c r="D4456" s="3" t="inlineStr">
        <is>
          <t>Веселая карусель n 10. Светлячок</t>
        </is>
      </c>
      <c r="E4456" s="2" t="n">
        <v>1978</v>
      </c>
      <c r="F4456" s="2" t="inlineStr">
        <is>
          <t>мультфильм</t>
        </is>
      </c>
      <c r="G4456" s="2" t="inlineStr">
        <is>
          <t>Союзмультфильм</t>
        </is>
      </c>
      <c r="H4456" s="2" t="n">
        <v>178</v>
      </c>
      <c r="I4456" s="2" t="inlineStr"/>
      <c r="J4456" s="2" t="inlineStr"/>
      <c r="K4456" s="3" t="inlineStr">
        <is>
          <t>Сюжет из альманаха «ВЕСЕЛАЯ КАРУСЕЛЬ N 10»
Крохотный светлячок никак не мог найти себе места в морской пучине, пока не оказался среди таких же, как он светящихся частиц планктона</t>
        </is>
      </c>
      <c r="L4456" s="2" t="inlineStr">
        <is>
          <t>https://animator.ru/db/?p=show_film&amp;fid=2779</t>
        </is>
      </c>
      <c r="M4456" s="2">
        <f>HYPERLINK("https://ru.wikipedia.org/w/index.php?search=%D0%92%D0%B5%D1%81%D0%B5%D0%BB%D0%B0%D1%8F%20%D0%BA%D0%B0%D1%80%D1%83%D1%81%D0%B5%D0%BB%D1%8C%20n%2010.%20%D0%A1%D0%B2%D0%B5%D1%82%D0%BB%D1%8F%D1%87%D0%BE%D0%BA%201978%20%D1%84%D0%B8%D0%BB%D1%8C%D0%BC","искать")</f>
        <v/>
      </c>
      <c r="N4456" s="3" t="n"/>
      <c r="O4456" s="2" t="n"/>
      <c r="P4456" s="2" t="n"/>
    </row>
    <row r="4457">
      <c r="A4457" s="2" t="n">
        <v>4456</v>
      </c>
      <c r="B4457" s="2" t="inlineStr">
        <is>
          <t>короткая</t>
        </is>
      </c>
      <c r="C4457" s="2" t="n">
        <v>12665</v>
      </c>
      <c r="D4457" s="3" t="inlineStr">
        <is>
          <t>Как дед за дождем ходил</t>
        </is>
      </c>
      <c r="E4457" s="2" t="n">
        <v>1986</v>
      </c>
      <c r="F4457" s="2" t="inlineStr">
        <is>
          <t>мультфильм</t>
        </is>
      </c>
      <c r="G4457" s="2" t="inlineStr">
        <is>
          <t>БЕЛАРУСЬФИЛЬМ НАЦИОНАЛЬНАЯ КИНОСТУДИЯ - ГП</t>
        </is>
      </c>
      <c r="H4457" s="2" t="n">
        <v>178</v>
      </c>
      <c r="I4457" s="2" t="inlineStr"/>
      <c r="J4457" s="2" t="inlineStr"/>
      <c r="K4457" s="3" t="inlineStr">
        <is>
          <t>По эскизам Н.Байрачного.Сказка о похождениях смелого, находчивого мужика, о его встрече с молниями, грозой, бурей. Именно они помогают ему добыть дождь и спасти урожай от засухи.</t>
        </is>
      </c>
      <c r="L4457" s="2" t="inlineStr">
        <is>
          <t>2026-10_мультфильмы_список_владельца.xlsx; https://animator.ru/db/?p=show_film&amp;fid=3859</t>
        </is>
      </c>
      <c r="M4457" s="2">
        <f>HYPERLINK("https://ru.wikipedia.org/w/index.php?search=%D0%9A%D0%B0%D0%BA%20%D0%B4%D0%B5%D0%B4%20%D0%B7%D0%B0%20%D0%B4%D0%BE%D0%B6%D0%B4%D0%B5%D0%BC%20%D1%85%D0%BE%D0%B4%D0%B8%D0%BB%201986%20%D1%84%D0%B8%D0%BB%D1%8C%D0%BC","искать")</f>
        <v/>
      </c>
      <c r="N4457" s="3" t="n"/>
      <c r="O4457" s="2" t="n"/>
      <c r="P4457" s="2" t="n"/>
    </row>
    <row r="4458">
      <c r="A4458" s="2" t="n">
        <v>4457</v>
      </c>
      <c r="B4458" s="2" t="inlineStr">
        <is>
          <t>короткая</t>
        </is>
      </c>
      <c r="C4458" s="2" t="n">
        <v>8107</v>
      </c>
      <c r="D4458" s="3" t="inlineStr">
        <is>
          <t>Песня об Арсене</t>
        </is>
      </c>
      <c r="E4458" s="2" t="n">
        <v>1985</v>
      </c>
      <c r="F4458" s="2" t="inlineStr">
        <is>
          <t>телефильм</t>
        </is>
      </c>
      <c r="G4458" s="2" t="n"/>
      <c r="H4458" s="2" t="n">
        <v>179</v>
      </c>
      <c r="I4458" s="2" t="inlineStr"/>
      <c r="J4458" s="2" t="inlineStr"/>
      <c r="K4458" s="3" t="inlineStr">
        <is>
          <t>არსენას ლექსი В основу фильма легло грузинское народное сказание "Стих об Арсене". Молодой благородный разбойник Арсен грабит богатых и отдает всю свою добычу бедным и угнетенным.</t>
        </is>
      </c>
      <c r="L4458" s="2" t="inlineStr">
        <is>
          <t>Кино_СССР сводный каталог.xlsx: список телефильмов</t>
        </is>
      </c>
      <c r="M4458" s="2">
        <f>HYPERLINK("https://ru.wikipedia.org/w/index.php?search=%D0%9F%D0%B5%D1%81%D0%BD%D1%8F%20%D0%BE%D0%B1%20%D0%90%D1%80%D1%81%D0%B5%D0%BD%D0%B5%201985%20%D1%84%D0%B8%D0%BB%D1%8C%D0%BC","искать")</f>
        <v/>
      </c>
      <c r="N4458" s="3" t="n"/>
      <c r="O4458" s="2" t="n"/>
      <c r="P4458" s="2" t="n"/>
    </row>
    <row r="4459">
      <c r="A4459" s="2" t="n">
        <v>4458</v>
      </c>
      <c r="B4459" s="2" t="inlineStr">
        <is>
          <t>короткая</t>
        </is>
      </c>
      <c r="C4459" s="2" t="n">
        <v>8718</v>
      </c>
      <c r="D4459" s="3" t="inlineStr">
        <is>
          <t>Желаем выиграть</t>
        </is>
      </c>
      <c r="E4459" s="2" t="n">
        <v>1986</v>
      </c>
      <c r="F4459" s="2" t="inlineStr">
        <is>
          <t>кинофильм</t>
        </is>
      </c>
      <c r="G4459" s="2" t="n"/>
      <c r="H4459" s="2" t="n">
        <v>179</v>
      </c>
      <c r="I4459" s="2" t="inlineStr"/>
      <c r="J4459" s="2" t="inlineStr"/>
      <c r="K4459" s="3" t="inlineStr">
        <is>
          <t>Для приобретения шубы и фотоаппарата молодожёны решают продать облигации государственного займа. Но оказывается, что по ним можно выиграть серьёзную сумму денег и даже автомобиль.</t>
        </is>
      </c>
      <c r="L4459" s="2" t="inlineStr">
        <is>
          <t>Кино_СССР сводный каталог.xlsx: список фильмов (доп.)</t>
        </is>
      </c>
      <c r="M4459" s="2">
        <f>HYPERLINK("https://ru.wikipedia.org/w/index.php?search=%D0%96%D0%B5%D0%BB%D0%B0%D0%B5%D0%BC%20%D0%B2%D1%8B%D0%B8%D0%B3%D1%80%D0%B0%D1%82%D1%8C%201986%20%D1%84%D0%B8%D0%BB%D1%8C%D0%BC","искать")</f>
        <v/>
      </c>
      <c r="N4459" s="3" t="n"/>
      <c r="O4459" s="2" t="n"/>
      <c r="P4459" s="2" t="n"/>
    </row>
    <row r="4460">
      <c r="A4460" s="2" t="n">
        <v>4459</v>
      </c>
      <c r="B4460" s="2" t="inlineStr">
        <is>
          <t>короткая</t>
        </is>
      </c>
      <c r="C4460" s="2" t="n">
        <v>9045</v>
      </c>
      <c r="D4460" s="3" t="inlineStr">
        <is>
          <t>Следователь</t>
        </is>
      </c>
      <c r="E4460" s="2" t="n">
        <v>1973</v>
      </c>
      <c r="F4460" s="2" t="inlineStr">
        <is>
          <t>кинофильм</t>
        </is>
      </c>
      <c r="G4460" s="2" t="n"/>
      <c r="H4460" s="2" t="n">
        <v>179</v>
      </c>
      <c r="I4460" s="2" t="inlineStr"/>
      <c r="J4460" s="2" t="inlineStr"/>
      <c r="K4460" s="3" t="inlineStr">
        <is>
          <t>Игровой учебный фильм по заказу МВД СССР. Следователь по особо важным делам, подполковник милиции Андрей Андреевич Басов приезжает из Москвы расследовать дело по ограблению кассы.</t>
        </is>
      </c>
      <c r="L4460" s="2" t="inlineStr">
        <is>
          <t>Кино_СССР сводный каталог.xlsx: список фильмов (доп.)</t>
        </is>
      </c>
      <c r="M4460" s="2">
        <f>HYPERLINK("https://ru.wikipedia.org/w/index.php?search=%D0%A1%D0%BB%D0%B5%D0%B4%D0%BE%D0%B2%D0%B0%D1%82%D0%B5%D0%BB%D1%8C%201973%20%D1%84%D0%B8%D0%BB%D1%8C%D0%BC","искать")</f>
        <v/>
      </c>
      <c r="N4460" s="3" t="n"/>
      <c r="O4460" s="2" t="n"/>
      <c r="P4460" s="2" t="n"/>
    </row>
    <row r="4461">
      <c r="A4461" s="2" t="n">
        <v>4460</v>
      </c>
      <c r="B4461" s="2" t="inlineStr">
        <is>
          <t>короткая</t>
        </is>
      </c>
      <c r="C4461" s="2" t="n">
        <v>9937</v>
      </c>
      <c r="D4461" s="3" t="inlineStr">
        <is>
          <t>Незабываемый день</t>
        </is>
      </c>
      <c r="E4461" s="2" t="n">
        <v>1978</v>
      </c>
      <c r="F4461" s="2" t="inlineStr">
        <is>
          <t>телефильм</t>
        </is>
      </c>
      <c r="G4461" s="2" t="inlineStr">
        <is>
          <t>Грузия-фильм</t>
        </is>
      </c>
      <c r="H4461" s="2" t="n">
        <v>179</v>
      </c>
      <c r="I4461" s="2" t="inlineStr"/>
      <c r="J4461" s="2" t="inlineStr"/>
      <c r="K4461" s="3" t="inlineStr">
        <is>
          <t>Телефильм. В деревню из города приехала девочка. Она познакомилась с двумя мальчишками, родными братьями, которые слоняются по местным окрестностям и пугают женщин "волчьим воем".</t>
        </is>
      </c>
      <c r="L4461" s="2" t="inlineStr">
        <is>
          <t>https://www.kino-teatr.ru/short/movie/sov/82643/annot/</t>
        </is>
      </c>
      <c r="M4461" s="2">
        <f>HYPERLINK("https://ru.wikipedia.org/w/index.php?search=%D0%9D%D0%B5%D0%B7%D0%B0%D0%B1%D1%8B%D0%B2%D0%B0%D0%B5%D0%BC%D1%8B%D0%B9%20%D0%B4%D0%B5%D0%BD%D1%8C%201978%20%D1%84%D0%B8%D0%BB%D1%8C%D0%BC","искать")</f>
        <v/>
      </c>
      <c r="N4461" s="3" t="n"/>
      <c r="O4461" s="2" t="n"/>
      <c r="P4461" s="2" t="n"/>
    </row>
    <row r="4462">
      <c r="A4462" s="2" t="n">
        <v>4461</v>
      </c>
      <c r="B4462" s="2" t="inlineStr">
        <is>
          <t>короткая</t>
        </is>
      </c>
      <c r="C4462" s="2" t="n">
        <v>10564</v>
      </c>
      <c r="D4462" s="3" t="inlineStr">
        <is>
          <t>Кассандра</t>
        </is>
      </c>
      <c r="E4462" s="2" t="n">
        <v>1974</v>
      </c>
      <c r="F4462" s="2" t="inlineStr">
        <is>
          <t>фильм-спектакль</t>
        </is>
      </c>
      <c r="G4462" s="2" t="inlineStr">
        <is>
          <t>Укртелефильм</t>
        </is>
      </c>
      <c r="H4462" s="2" t="n">
        <v>179</v>
      </c>
      <c r="I4462" s="2" t="inlineStr"/>
      <c r="J4462" s="2" t="inlineStr"/>
      <c r="K4462" s="3" t="inlineStr">
        <is>
          <t>По одноименной пьесе Леси Украинки в постановке Киевского академического украинского драматического театра имени Ивана Франко.
В основе пьесы - древнегреческий миф о падении Трои.</t>
        </is>
      </c>
      <c r="L4462" s="2" t="inlineStr">
        <is>
          <t>https://www.kino-teatr.ru/teatr/movie/12955/annot/</t>
        </is>
      </c>
      <c r="M4462" s="2">
        <f>HYPERLINK("https://ru.wikipedia.org/w/index.php?search=%D0%9A%D0%B0%D1%81%D1%81%D0%B0%D0%BD%D0%B4%D1%80%D0%B0%201974%20%D1%84%D0%B8%D0%BB%D1%8C%D0%BC","искать")</f>
        <v/>
      </c>
      <c r="N4462" s="3" t="n"/>
      <c r="O4462" s="2" t="n"/>
      <c r="P4462" s="2" t="n"/>
    </row>
    <row r="4463">
      <c r="A4463" s="2" t="n">
        <v>4462</v>
      </c>
      <c r="B4463" s="2" t="inlineStr">
        <is>
          <t>короткая</t>
        </is>
      </c>
      <c r="C4463" s="2" t="n">
        <v>12196</v>
      </c>
      <c r="D4463" s="3" t="inlineStr">
        <is>
          <t>Улыбка Леонардо да Винчи</t>
        </is>
      </c>
      <c r="E4463" s="2" t="n">
        <v>1986</v>
      </c>
      <c r="F4463" s="2" t="inlineStr">
        <is>
          <t>мультфильм</t>
        </is>
      </c>
      <c r="G4463" s="2" t="inlineStr">
        <is>
          <t>Союзмультфильм</t>
        </is>
      </c>
      <c r="H4463" s="2" t="n">
        <v>179</v>
      </c>
      <c r="I4463" s="2" t="inlineStr"/>
      <c r="J4463" s="2" t="inlineStr"/>
      <c r="K4463" s="3" t="inlineStr">
        <is>
          <t>Три сюжета по мотивам познавательных сказок Леонардо: "Пламя", "Журавли" и "Муравей и пшеничное зерно", которые сюжетно объединены четвертой сказкой "Бумага и чернила".
Для детей.</t>
        </is>
      </c>
      <c r="L4463" s="2" t="inlineStr">
        <is>
          <t>https://animator.ru/db/?p=show_film&amp;fid=3313</t>
        </is>
      </c>
      <c r="M4463" s="2">
        <f>HYPERLINK("https://ru.wikipedia.org/w/index.php?search=%D0%A3%D0%BB%D1%8B%D0%B1%D0%BA%D0%B0%20%D0%9B%D0%B5%D0%BE%D0%BD%D0%B0%D1%80%D0%B4%D0%BE%20%D0%B4%D0%B0%20%D0%92%D0%B8%D0%BD%D1%87%D0%B8%201986%20%D1%84%D0%B8%D0%BB%D1%8C%D0%BC","искать")</f>
        <v/>
      </c>
      <c r="N4463" s="3" t="n"/>
      <c r="O4463" s="2" t="n"/>
      <c r="P4463" s="2" t="n"/>
    </row>
    <row r="4464">
      <c r="A4464" s="2" t="n">
        <v>4463</v>
      </c>
      <c r="B4464" s="2" t="inlineStr">
        <is>
          <t>короткая</t>
        </is>
      </c>
      <c r="C4464" s="2" t="n">
        <v>12703</v>
      </c>
      <c r="D4464" s="3" t="inlineStr">
        <is>
          <t>Косарь-богатырь</t>
        </is>
      </c>
      <c r="E4464" s="2" t="n">
        <v>1976</v>
      </c>
      <c r="F4464" s="2" t="inlineStr">
        <is>
          <t>мультфильм</t>
        </is>
      </c>
      <c r="G4464" s="2" t="inlineStr">
        <is>
          <t>БЕЛАРУСЬФИЛЬМ НАЦИОНАЛЬНАЯ КИНОСТУДИЯ - ГП</t>
        </is>
      </c>
      <c r="H4464" s="2" t="n">
        <v>179</v>
      </c>
      <c r="I4464" s="2" t="inlineStr"/>
      <c r="J4464" s="2" t="inlineStr"/>
      <c r="K4464" s="3" t="inlineStr">
        <is>
          <t>Фильм по мотивам белорусской народной сказки. Деревенский мужичок Федор Набилкин благодаря природной смекалке и хитрости побеждает несметное войско неприятеля, напавшего на город.</t>
        </is>
      </c>
      <c r="L4464" s="2" t="inlineStr">
        <is>
          <t>2026-10_мультфильмы_список_владельца.xlsx; https://animator.ru/db/?p=show_film&amp;fid=3898</t>
        </is>
      </c>
      <c r="M4464" s="2">
        <f>HYPERLINK("https://ru.wikipedia.org/w/index.php?search=%D0%9A%D0%BE%D1%81%D0%B0%D1%80%D1%8C-%D0%B1%D0%BE%D0%B3%D0%B0%D1%82%D1%8B%D1%80%D1%8C%201976%20%D1%84%D0%B8%D0%BB%D1%8C%D0%BC","искать")</f>
        <v/>
      </c>
      <c r="N4464" s="3" t="n"/>
      <c r="O4464" s="2" t="n"/>
      <c r="P4464" s="2" t="n"/>
    </row>
    <row r="4465">
      <c r="A4465" s="2" t="n">
        <v>4464</v>
      </c>
      <c r="B4465" s="2" t="inlineStr">
        <is>
          <t>короткая</t>
        </is>
      </c>
      <c r="C4465" s="2" t="n">
        <v>8572</v>
      </c>
      <c r="D4465" s="3" t="inlineStr">
        <is>
          <t>Чужой след</t>
        </is>
      </c>
      <c r="E4465" s="2" t="n">
        <v>1959</v>
      </c>
      <c r="F4465" s="2" t="inlineStr">
        <is>
          <t>телефильм</t>
        </is>
      </c>
      <c r="G4465" s="2" t="n"/>
      <c r="H4465" s="2" t="n">
        <v>180</v>
      </c>
      <c r="I4465" s="2" t="inlineStr"/>
      <c r="J4465" s="2" t="inlineStr"/>
      <c r="K4465" s="3" t="inlineStr">
        <is>
          <t>Телефильм. Детективная история о том, как сотрудники высокогорной гидрометеорологической станции вместе с пограничниками нейтрализуют коварные замыслы шпионов. Фильм не сохранился.</t>
        </is>
      </c>
      <c r="L4465" s="2" t="inlineStr">
        <is>
          <t>Кино_СССР сводный каталог.xlsx: список телефильмов</t>
        </is>
      </c>
      <c r="M4465" s="2">
        <f>HYPERLINK("https://ru.wikipedia.org/w/index.php?search=%D0%A7%D1%83%D0%B6%D0%BE%D0%B9%20%D1%81%D0%BB%D0%B5%D0%B4%201959%20%D1%84%D0%B8%D0%BB%D1%8C%D0%BC","искать")</f>
        <v/>
      </c>
      <c r="N4465" s="3" t="n"/>
      <c r="O4465" s="2" t="n"/>
      <c r="P4465" s="2" t="n"/>
    </row>
    <row r="4466">
      <c r="A4466" s="2" t="n">
        <v>4465</v>
      </c>
      <c r="B4466" s="2" t="inlineStr">
        <is>
          <t>короткая</t>
        </is>
      </c>
      <c r="C4466" s="2" t="n">
        <v>10832</v>
      </c>
      <c r="D4466" s="3" t="inlineStr">
        <is>
          <t>Банк Немо</t>
        </is>
      </c>
      <c r="E4466" s="2" t="n">
        <v>1980</v>
      </c>
      <c r="F4466" s="2" t="inlineStr">
        <is>
          <t>фильм-спектакль</t>
        </is>
      </c>
      <c r="G4466" s="2" t="inlineStr">
        <is>
          <t>Литовское телевидение</t>
        </is>
      </c>
      <c r="H4466" s="2" t="n">
        <v>180</v>
      </c>
      <c r="I4466" s="2" t="inlineStr"/>
      <c r="J4466" s="2" t="inlineStr"/>
      <c r="K4466" s="3" t="inlineStr">
        <is>
          <t>Это рассказ о молодом человеке, стремящемся сделать карьеру и деньги, о его хитрых интригах, когда он бросает под ноги честь, дружбу и чувства, используя доверчивых людей и женщин.</t>
        </is>
      </c>
      <c r="L4466" s="2" t="inlineStr">
        <is>
          <t>https://www.kino-teatr.ru/teatr/movie/106611/annot/</t>
        </is>
      </c>
      <c r="M4466" s="2">
        <f>HYPERLINK("https://ru.wikipedia.org/w/index.php?search=%D0%91%D0%B0%D0%BD%D0%BA%20%D0%9D%D0%B5%D0%BC%D0%BE%201980%20%D1%84%D0%B8%D0%BB%D1%8C%D0%BC","искать")</f>
        <v/>
      </c>
      <c r="N4466" s="3" t="n"/>
      <c r="O4466" s="2" t="n"/>
      <c r="P4466" s="2" t="n"/>
    </row>
    <row r="4467">
      <c r="A4467" s="2" t="n">
        <v>4466</v>
      </c>
      <c r="B4467" s="2" t="inlineStr">
        <is>
          <t>короткая</t>
        </is>
      </c>
      <c r="C4467" s="2" t="n">
        <v>11925</v>
      </c>
      <c r="D4467" s="3" t="inlineStr">
        <is>
          <t>С кого брать пример</t>
        </is>
      </c>
      <c r="E4467" s="2" t="n">
        <v>1979</v>
      </c>
      <c r="F4467" s="2" t="inlineStr">
        <is>
          <t>мультфильм</t>
        </is>
      </c>
      <c r="G4467" s="2" t="inlineStr">
        <is>
          <t>Союзмультфильм</t>
        </is>
      </c>
      <c r="H4467" s="2" t="n">
        <v>180</v>
      </c>
      <c r="I4467" s="2" t="inlineStr"/>
      <c r="J4467" s="2" t="inlineStr"/>
      <c r="K4467" s="3" t="inlineStr">
        <is>
          <t>Фильм-сказка, повествует о стремлении ребят увидеть дальние края, найти пример для подражания. Вместе с тем фильм проводит мысль о том, что примером может оказаться... родная мать.</t>
        </is>
      </c>
      <c r="L4467" s="2" t="inlineStr">
        <is>
          <t>2026-10_мультфильмы_список_владельца.xlsx; https://animator.ru/db/?p=show_film&amp;fid=2840</t>
        </is>
      </c>
      <c r="M4467" s="2">
        <f>HYPERLINK("https://ru.wikipedia.org/w/index.php?search=%D0%A1%20%D0%BA%D0%BE%D0%B3%D0%BE%20%D0%B1%D1%80%D0%B0%D1%82%D1%8C%20%D0%BF%D1%80%D0%B8%D0%BC%D0%B5%D1%80%201979%20%D1%84%D0%B8%D0%BB%D1%8C%D0%BC","искать")</f>
        <v/>
      </c>
      <c r="N4467" s="3" t="n"/>
      <c r="O4467" s="2" t="n"/>
      <c r="P4467" s="2" t="n"/>
    </row>
    <row r="4468">
      <c r="A4468" s="2" t="n">
        <v>4467</v>
      </c>
      <c r="B4468" s="2" t="inlineStr">
        <is>
          <t>короткая</t>
        </is>
      </c>
      <c r="C4468" s="2" t="n">
        <v>12011</v>
      </c>
      <c r="D4468" s="3" t="inlineStr">
        <is>
          <t>Котенок по имени Гав ч.2</t>
        </is>
      </c>
      <c r="E4468" s="2" t="n">
        <v>1982</v>
      </c>
      <c r="F4468" s="2" t="inlineStr">
        <is>
          <t>мультфильм</t>
        </is>
      </c>
      <c r="G4468" s="2" t="inlineStr">
        <is>
          <t>Союзмультфильм</t>
        </is>
      </c>
      <c r="H4468" s="2" t="n">
        <v>180</v>
      </c>
      <c r="I4468" s="2" t="inlineStr"/>
      <c r="J4468" s="2" t="inlineStr"/>
      <c r="K4468" s="3" t="inlineStr">
        <is>
          <t>Приключения забавного котенка Гава и его друга - щенка Шарика, которые открывают для себя сложности и радости окружающего их мира.©Союзмультфильм, 1976-1982 г.Режиссёр:Лев Атаманов</t>
        </is>
      </c>
      <c r="L4468" s="2" t="inlineStr">
        <is>
          <t>2026-10_мультфильмы_список_владельца.xlsx; https://animator.ru/db/?p=show_film&amp;fid=3125</t>
        </is>
      </c>
      <c r="M4468" s="2">
        <f>HYPERLINK("https://ru.wikipedia.org/w/index.php?search=%D0%9A%D0%BE%D1%82%D0%B5%D0%BD%D0%BE%D0%BA%20%D0%BF%D0%BE%20%D0%B8%D0%BC%D0%B5%D0%BD%D0%B8%20%D0%93%D0%B0%D0%B2%20%D1%87.2%201982%20%D1%84%D0%B8%D0%BB%D1%8C%D0%BC","искать")</f>
        <v/>
      </c>
      <c r="N4468" s="3" t="n"/>
      <c r="O4468" s="2" t="n"/>
      <c r="P4468" s="2" t="n"/>
    </row>
    <row r="4469">
      <c r="A4469" s="2" t="n">
        <v>4468</v>
      </c>
      <c r="B4469" s="2" t="inlineStr">
        <is>
          <t>короткая</t>
        </is>
      </c>
      <c r="C4469" s="2" t="n">
        <v>10690</v>
      </c>
      <c r="D4469" s="3" t="inlineStr">
        <is>
          <t>Кому нужны Дон-Кихоты?</t>
        </is>
      </c>
      <c r="E4469" s="2" t="n">
        <v>1977</v>
      </c>
      <c r="F4469" s="2" t="inlineStr">
        <is>
          <t>фильм-спектакль</t>
        </is>
      </c>
      <c r="G4469" s="2" t="inlineStr">
        <is>
          <t>Ленинградское телевидение</t>
        </is>
      </c>
      <c r="H4469" s="2" t="n">
        <v>181</v>
      </c>
      <c r="I4469" s="2" t="inlineStr"/>
      <c r="J4469" s="2" t="inlineStr"/>
      <c r="K4469" s="3" t="inlineStr">
        <is>
          <t>Телеспектакль-диспут по повести Майи Черкашиной "Девятый А".
В школе избили ученика. Народа вокруг было много, но вступился только один. 9-а и 9-б устроили после уроков "суд чести".</t>
        </is>
      </c>
      <c r="L4469" s="2" t="inlineStr">
        <is>
          <t>https://www.kino-teatr.ru/teatr/movie/119918/annot/</t>
        </is>
      </c>
      <c r="M4469" s="2">
        <f>HYPERLINK("https://ru.wikipedia.org/w/index.php?search=%D0%9A%D0%BE%D0%BC%D1%83%20%D0%BD%D1%83%D0%B6%D0%BD%D1%8B%20%D0%94%D0%BE%D0%BD-%D0%9A%D0%B8%D1%85%D0%BE%D1%82%D1%8B%3F%201977%20%D1%84%D0%B8%D0%BB%D1%8C%D0%BC","искать")</f>
        <v/>
      </c>
      <c r="N4469" s="3" t="n"/>
      <c r="O4469" s="2" t="n"/>
      <c r="P4469" s="2" t="n"/>
    </row>
    <row r="4470">
      <c r="A4470" s="2" t="n">
        <v>4469</v>
      </c>
      <c r="B4470" s="2" t="inlineStr">
        <is>
          <t>короткая</t>
        </is>
      </c>
      <c r="C4470" s="2" t="n">
        <v>8354</v>
      </c>
      <c r="D4470" s="3" t="inlineStr">
        <is>
          <t>Скачу за радугой</t>
        </is>
      </c>
      <c r="E4470" s="2" t="n">
        <v>1973</v>
      </c>
      <c r="F4470" s="2" t="inlineStr">
        <is>
          <t>телефильм</t>
        </is>
      </c>
      <c r="G4470" s="2" t="n"/>
      <c r="H4470" s="2" t="n">
        <v>182</v>
      </c>
      <c r="I4470" s="2" t="inlineStr"/>
      <c r="J4470" s="2" t="inlineStr"/>
      <c r="K4470" s="3" t="inlineStr">
        <is>
          <t>По повести Юзефа Принцева. О жизни школьников в пионерском лагере. Ребята с увлечением включились в военно-пионерскую игру, восстановили партизанскую землянку в лесу и создали музей.</t>
        </is>
      </c>
      <c r="L4470" s="2" t="inlineStr">
        <is>
          <t>Кино_СССР сводный каталог.xlsx: список телефильмов</t>
        </is>
      </c>
      <c r="M4470" s="2">
        <f>HYPERLINK("https://ru.wikipedia.org/w/index.php?search=%D0%A1%D0%BA%D0%B0%D1%87%D1%83%20%D0%B7%D0%B0%20%D1%80%D0%B0%D0%B4%D1%83%D0%B3%D0%BE%D0%B9%201973%20%D1%84%D0%B8%D0%BB%D1%8C%D0%BC","искать")</f>
        <v/>
      </c>
      <c r="N4470" s="3" t="n"/>
      <c r="O4470" s="2" t="n"/>
      <c r="P4470" s="2" t="n"/>
    </row>
    <row r="4471">
      <c r="A4471" s="2" t="n">
        <v>4470</v>
      </c>
      <c r="B4471" s="2" t="inlineStr">
        <is>
          <t>короткая</t>
        </is>
      </c>
      <c r="C4471" s="2" t="n">
        <v>8197</v>
      </c>
      <c r="D4471" s="3" t="inlineStr">
        <is>
          <t>Приехали на конкурс повара...</t>
        </is>
      </c>
      <c r="E4471" s="2" t="n">
        <v>1977</v>
      </c>
      <c r="F4471" s="2" t="inlineStr">
        <is>
          <t>телефильм</t>
        </is>
      </c>
      <c r="G4471" s="2" t="n"/>
      <c r="H4471" s="2" t="n">
        <v>183</v>
      </c>
      <c r="I4471" s="2" t="inlineStr"/>
      <c r="J4471" s="2" t="inlineStr"/>
      <c r="K4471" s="3" t="inlineStr">
        <is>
          <t>Забавные приключения трех поваров из Еревана, приехавших в Москву на конкурс мастеров кулинарного искусства. Но из-за целого ряда веселых недоразумений призовое место от них уплывает.</t>
        </is>
      </c>
      <c r="L4471" s="2" t="inlineStr">
        <is>
          <t>Кино_СССР сводный каталог.xlsx: список телефильмов</t>
        </is>
      </c>
      <c r="M4471" s="2">
        <f>HYPERLINK("https://ru.wikipedia.org/w/index.php?search=%D0%9F%D1%80%D0%B8%D0%B5%D1%85%D0%B0%D0%BB%D0%B8%20%D0%BD%D0%B0%20%D0%BA%D0%BE%D0%BD%D0%BA%D1%83%D1%80%D1%81%20%D0%BF%D0%BE%D0%B2%D0%B0%D1%80%D0%B0...%201977%20%D1%84%D0%B8%D0%BB%D1%8C%D0%BC","искать")</f>
        <v/>
      </c>
      <c r="N4471" s="3" t="n"/>
      <c r="O4471" s="2" t="n"/>
      <c r="P4471" s="2" t="n"/>
    </row>
    <row r="4472">
      <c r="A4472" s="2" t="n">
        <v>4471</v>
      </c>
      <c r="B4472" s="2" t="inlineStr">
        <is>
          <t>короткая</t>
        </is>
      </c>
      <c r="C4472" s="2" t="n">
        <v>9411</v>
      </c>
      <c r="D4472" s="3" t="inlineStr">
        <is>
          <t>Карьер</t>
        </is>
      </c>
      <c r="E4472" s="2" t="n">
        <v>1990</v>
      </c>
      <c r="F4472" s="2" t="inlineStr">
        <is>
          <t>кинофильм</t>
        </is>
      </c>
      <c r="G4472" s="2" t="n"/>
      <c r="H4472" s="2" t="n">
        <v>183</v>
      </c>
      <c r="I4472" s="2" t="inlineStr"/>
      <c r="J4472" s="2" t="inlineStr"/>
      <c r="K4472" s="3" t="inlineStr">
        <is>
          <t>В 1941 году в оккупированной Белоруссии раненый офицер Алексей Агеев скрывается у попадьи. Местный полицай, узнав о его появлении, заставляет его согласиться на тайное сотрудничество.</t>
        </is>
      </c>
      <c r="L4472" s="2" t="inlineStr">
        <is>
          <t>Кино_СССР сводный каталог.xlsx: список фильмов (доп.)</t>
        </is>
      </c>
      <c r="M4472" s="2">
        <f>HYPERLINK("https://ru.wikipedia.org/w/index.php?search=%D0%9A%D0%B0%D1%80%D1%8C%D0%B5%D1%80%201990%20%D1%84%D0%B8%D0%BB%D1%8C%D0%BC","искать")</f>
        <v/>
      </c>
      <c r="N4472" s="3" t="n"/>
      <c r="O4472" s="2" t="n"/>
      <c r="P4472" s="2" t="n"/>
    </row>
    <row r="4473">
      <c r="A4473" s="2" t="n">
        <v>4472</v>
      </c>
      <c r="B4473" s="2" t="inlineStr">
        <is>
          <t>короткая</t>
        </is>
      </c>
      <c r="C4473" s="2" t="n">
        <v>10254</v>
      </c>
      <c r="D4473" s="3" t="inlineStr">
        <is>
          <t>Мальчик из спичечной коробки</t>
        </is>
      </c>
      <c r="E4473" s="2" t="n">
        <v>1968</v>
      </c>
      <c r="F4473" s="2" t="inlineStr">
        <is>
          <t>фильм-спектакль</t>
        </is>
      </c>
      <c r="G4473" s="2" t="inlineStr">
        <is>
          <t>Ленинградское телевидение</t>
        </is>
      </c>
      <c r="H4473" s="2" t="n">
        <v>183</v>
      </c>
      <c r="I4473" s="2" t="inlineStr"/>
      <c r="J4473" s="2" t="inlineStr"/>
      <c r="K4473" s="3" t="inlineStr">
        <is>
          <t>Героя повести немецкого писателя Эриха Кёстнера зовут Макс Пихельштейнер. Он спит в спичечной коробке и росту в нем всего пять сантиметров. Жизнь Макса полна удивительных приключений.</t>
        </is>
      </c>
      <c r="L4473" s="2" t="inlineStr">
        <is>
          <t>https://www.kino-teatr.ru/teatr/movie/84828/annot/</t>
        </is>
      </c>
      <c r="M4473" s="2">
        <f>HYPERLINK("https://ru.wikipedia.org/w/index.php?search=%D0%9C%D0%B0%D0%BB%D1%8C%D1%87%D0%B8%D0%BA%20%D0%B8%D0%B7%20%D1%81%D0%BF%D0%B8%D1%87%D0%B5%D1%87%D0%BD%D0%BE%D0%B9%20%D0%BA%D0%BE%D1%80%D0%BE%D0%B1%D0%BA%D0%B8%201968%20%D1%84%D0%B8%D0%BB%D1%8C%D0%BC","искать")</f>
        <v/>
      </c>
      <c r="N4473" s="3" t="n"/>
      <c r="O4473" s="2" t="n"/>
      <c r="P4473" s="2" t="n"/>
    </row>
    <row r="4474">
      <c r="A4474" s="2" t="n">
        <v>4473</v>
      </c>
      <c r="B4474" s="2" t="inlineStr">
        <is>
          <t>короткая</t>
        </is>
      </c>
      <c r="C4474" s="2" t="n">
        <v>11309</v>
      </c>
      <c r="D4474" s="3" t="inlineStr">
        <is>
          <t>Мечта, не предай</t>
        </is>
      </c>
      <c r="E4474" s="2" t="n">
        <v>1990</v>
      </c>
      <c r="F4474" s="2" t="inlineStr">
        <is>
          <t>фильм-спектакль</t>
        </is>
      </c>
      <c r="G4474" s="2" t="n"/>
      <c r="H4474" s="2" t="n">
        <v>183</v>
      </c>
      <c r="I4474" s="2" t="inlineStr"/>
      <c r="J4474" s="2" t="inlineStr"/>
      <c r="K4474" s="3" t="inlineStr">
        <is>
          <t>Телефильм о жизни и творчестве украинской поэтессы Леси Украинки. Исполняются стихотворения, фрагменты драматических произведений "Лесная песня", "В катакомбах", "Каменный властелин".</t>
        </is>
      </c>
      <c r="L4474" s="2" t="inlineStr">
        <is>
          <t>https://www.kino-teatr.ru/teatr/movie/101772/annot/</t>
        </is>
      </c>
      <c r="M4474" s="2">
        <f>HYPERLINK("https://ru.wikipedia.org/w/index.php?search=%D0%9C%D0%B5%D1%87%D1%82%D0%B0%2C%20%D0%BD%D0%B5%20%D0%BF%D1%80%D0%B5%D0%B4%D0%B0%D0%B9%201990%20%D1%84%D0%B8%D0%BB%D1%8C%D0%BC","искать")</f>
        <v/>
      </c>
      <c r="N4474" s="3" t="n"/>
      <c r="O4474" s="2" t="n"/>
      <c r="P4474" s="2" t="n"/>
    </row>
    <row r="4475">
      <c r="A4475" s="2" t="n">
        <v>4474</v>
      </c>
      <c r="B4475" s="2" t="inlineStr">
        <is>
          <t>короткая</t>
        </is>
      </c>
      <c r="C4475" s="2" t="n">
        <v>12774</v>
      </c>
      <c r="D4475" s="3" t="inlineStr">
        <is>
          <t>Шах и слуга</t>
        </is>
      </c>
      <c r="E4475" s="2" t="n">
        <v>1979</v>
      </c>
      <c r="F4475" s="2" t="inlineStr">
        <is>
          <t>мультфильм</t>
        </is>
      </c>
      <c r="G4475" s="2" t="inlineStr">
        <is>
          <t>АЗЕРБАЙДЖАНФИЛЬМ</t>
        </is>
      </c>
      <c r="H4475" s="2" t="n">
        <v>183</v>
      </c>
      <c r="I4475" s="2" t="inlineStr"/>
      <c r="J4475" s="2" t="inlineStr"/>
      <c r="K4475" s="3" t="inlineStr">
        <is>
          <t>По мотивам поэмы Низами Гянджеви "Лейла и Меджнун". О преданном верном слуге и жестоком, неблагодарном шахе, который разгневавшись на юношу, повелел бросить его на съедение лютым псам</t>
        </is>
      </c>
      <c r="L4475" s="2" t="inlineStr">
        <is>
          <t>https://gosfilmofond.ru/films/236844/</t>
        </is>
      </c>
      <c r="M4475" s="2">
        <f>HYPERLINK("https://ru.wikipedia.org/w/index.php?search=%D0%A8%D0%B0%D1%85%20%D0%B8%20%D1%81%D0%BB%D1%83%D0%B3%D0%B0%201979%20%D1%84%D0%B8%D0%BB%D1%8C%D0%BC","искать")</f>
        <v/>
      </c>
      <c r="N4475" s="3" t="n"/>
      <c r="O4475" s="2" t="n"/>
      <c r="P4475" s="2" t="n"/>
    </row>
    <row r="4476">
      <c r="A4476" s="2" t="n">
        <v>4475</v>
      </c>
      <c r="B4476" s="2" t="inlineStr">
        <is>
          <t>короткая</t>
        </is>
      </c>
      <c r="C4476" s="2" t="n">
        <v>7280</v>
      </c>
      <c r="D4476" s="3" t="inlineStr">
        <is>
          <t>Буйный Терек</t>
        </is>
      </c>
      <c r="E4476" s="2" t="n">
        <v>1981</v>
      </c>
      <c r="F4476" s="2" t="inlineStr">
        <is>
          <t>телефильм</t>
        </is>
      </c>
      <c r="G4476" s="2" t="n"/>
      <c r="H4476" s="2" t="n">
        <v>184</v>
      </c>
      <c r="I4476" s="2" t="inlineStr"/>
      <c r="J4476" s="2" t="inlineStr"/>
      <c r="K4476" s="3" t="inlineStr">
        <is>
          <t>События фильма происходят после Февральской революции 1917 года. В центре фильма - судьба двух сыновей полковника Дзандара, один примкнул к большевикам, другой - к контрреволюционерам.</t>
        </is>
      </c>
      <c r="L4476" s="2" t="inlineStr">
        <is>
          <t>Кино_СССР сводный каталог.xlsx: список телефильмов</t>
        </is>
      </c>
      <c r="M4476" s="2">
        <f>HYPERLINK("https://ru.wikipedia.org/w/index.php?search=%D0%91%D1%83%D0%B9%D0%BD%D1%8B%D0%B9%20%D0%A2%D0%B5%D1%80%D0%B5%D0%BA%201981%20%D1%84%D0%B8%D0%BB%D1%8C%D0%BC","искать")</f>
        <v/>
      </c>
      <c r="N4476" s="3" t="n"/>
      <c r="O4476" s="2" t="n"/>
      <c r="P4476" s="2" t="n"/>
    </row>
    <row r="4477">
      <c r="A4477" s="2" t="n">
        <v>4476</v>
      </c>
      <c r="B4477" s="2" t="inlineStr">
        <is>
          <t>короткая</t>
        </is>
      </c>
      <c r="C4477" s="2" t="n">
        <v>9711</v>
      </c>
      <c r="D4477" s="3" t="inlineStr">
        <is>
          <t>Улыбка на камне</t>
        </is>
      </c>
      <c r="E4477" s="2" t="n">
        <v>1974</v>
      </c>
      <c r="F4477" s="2" t="inlineStr">
        <is>
          <t>кинофильм</t>
        </is>
      </c>
      <c r="G4477" s="2" t="n"/>
      <c r="H4477" s="2" t="n">
        <v>184</v>
      </c>
      <c r="I4477" s="2" t="inlineStr"/>
      <c r="J4477" s="2" t="inlineStr"/>
      <c r="K4477" s="3" t="inlineStr">
        <is>
          <t>Герой фильма - скульптор. К нему обратились жители его родного села с просьбой создать памятник погибшим на войне. Событие это стало поворотным в гражданской и творческой судьбе героя.</t>
        </is>
      </c>
      <c r="L4477" s="2" t="inlineStr">
        <is>
          <t>Кино_СССР сводный каталог.xlsx: список фильмов (доп.)</t>
        </is>
      </c>
      <c r="M4477" s="2">
        <f>HYPERLINK("https://ru.wikipedia.org/w/index.php?search=%D0%A3%D0%BB%D1%8B%D0%B1%D0%BA%D0%B0%20%D0%BD%D0%B0%20%D0%BA%D0%B0%D0%BC%D0%BD%D0%B5%201974%20%D1%84%D0%B8%D0%BB%D1%8C%D0%BC","искать")</f>
        <v/>
      </c>
      <c r="N4477" s="3" t="n"/>
      <c r="O4477" s="2" t="n"/>
      <c r="P4477" s="2" t="n"/>
    </row>
    <row r="4478">
      <c r="A4478" s="2" t="n">
        <v>4477</v>
      </c>
      <c r="B4478" s="2" t="inlineStr">
        <is>
          <t>короткая</t>
        </is>
      </c>
      <c r="C4478" s="2" t="n">
        <v>10225</v>
      </c>
      <c r="D4478" s="3" t="inlineStr">
        <is>
          <t>Шоу Кэрол Бернетт (1967-1978, 1991)</t>
        </is>
      </c>
      <c r="E4478" s="2" t="n">
        <v>1967</v>
      </c>
      <c r="F4478" s="2" t="inlineStr">
        <is>
          <t>фильм-спектакль</t>
        </is>
      </c>
      <c r="G4478" s="2" t="inlineStr">
        <is>
          <t>Burngood, Bob Banner Associates, Punkin Productions Inc.</t>
        </is>
      </c>
      <c r="H4478" s="2" t="n">
        <v>184</v>
      </c>
      <c r="I4478" s="2" t="inlineStr"/>
      <c r="J4478" s="2" t="inlineStr"/>
      <c r="K4478" s="3" t="inlineStr">
        <is>
          <t>Еженедельное телевизионное шоу Кэролл Барнетт и ее труппы пародистов, исполняющих искрометные пародии на множество известных фильмов. Сериал снимался с участием приглашенных кинозвезд.</t>
        </is>
      </c>
      <c r="L4478" s="2" t="inlineStr">
        <is>
          <t>https://www.kino-teatr.ru/teatr/movie/58973/annot/</t>
        </is>
      </c>
      <c r="M4478" s="2">
        <f>HYPERLINK("https://ru.wikipedia.org/w/index.php?search=%D0%A8%D0%BE%D1%83%20%D0%9A%D1%8D%D1%80%D0%BE%D0%BB%20%D0%91%D0%B5%D1%80%D0%BD%D0%B5%D1%82%D1%82%20%281967-1978%2C%201991%29%201967%20%D1%84%D0%B8%D0%BB%D1%8C%D0%BC","искать")</f>
        <v/>
      </c>
      <c r="N4478" s="3" t="n"/>
      <c r="O4478" s="2" t="n"/>
      <c r="P4478" s="2" t="n"/>
    </row>
    <row r="4479">
      <c r="A4479" s="2" t="n">
        <v>4478</v>
      </c>
      <c r="B4479" s="2" t="inlineStr">
        <is>
          <t>короткая</t>
        </is>
      </c>
      <c r="C4479" s="2" t="n">
        <v>10889</v>
      </c>
      <c r="D4479" s="3" t="inlineStr">
        <is>
          <t>Любовь октябрёнка Овечкина</t>
        </is>
      </c>
      <c r="E4479" s="2" t="n">
        <v>1981</v>
      </c>
      <c r="F4479" s="2" t="inlineStr">
        <is>
          <t>фильм-спектакль</t>
        </is>
      </c>
      <c r="G4479" s="2" t="inlineStr">
        <is>
          <t>Ленинградское телевидение</t>
        </is>
      </c>
      <c r="H4479" s="2" t="n">
        <v>184</v>
      </c>
      <c r="I4479" s="2" t="inlineStr"/>
      <c r="J4479" s="2" t="inlineStr"/>
      <c r="K4479" s="3" t="inlineStr">
        <is>
          <t>По рассказу Н. Соломко.
Первоклассник Валера Овечкин влюблен в девятиклассницу Оленьку.
Однажды Оля со своим одноклассником Мишей решили прогулять контрольную и взяли Овечкина с собой.</t>
        </is>
      </c>
      <c r="L4479" s="2" t="inlineStr">
        <is>
          <t>https://www.kino-teatr.ru/teatr/movie/104801/annot/</t>
        </is>
      </c>
      <c r="M4479" s="2">
        <f>HYPERLINK("https://ru.wikipedia.org/w/index.php?search=%D0%9B%D1%8E%D0%B1%D0%BE%D0%B2%D1%8C%20%D0%BE%D0%BA%D1%82%D1%8F%D0%B1%D1%80%D1%91%D0%BD%D0%BA%D0%B0%20%D0%9E%D0%B2%D0%B5%D1%87%D0%BA%D0%B8%D0%BD%D0%B0%201981%20%D1%84%D0%B8%D0%BB%D1%8C%D0%BC","искать")</f>
        <v/>
      </c>
      <c r="N4479" s="3" t="n"/>
      <c r="O4479" s="2" t="n"/>
      <c r="P4479" s="2" t="n"/>
    </row>
    <row r="4480">
      <c r="A4480" s="2" t="n">
        <v>4479</v>
      </c>
      <c r="B4480" s="2" t="inlineStr">
        <is>
          <t>короткая</t>
        </is>
      </c>
      <c r="C4480" s="2" t="n">
        <v>11316</v>
      </c>
      <c r="D4480" s="3" t="inlineStr">
        <is>
          <t>Приключения Пифа</t>
        </is>
      </c>
      <c r="E4480" s="2" t="n">
        <v>1990</v>
      </c>
      <c r="F4480" s="2" t="inlineStr">
        <is>
          <t>фильм-спектакль</t>
        </is>
      </c>
      <c r="G4480" s="2" t="inlineStr">
        <is>
          <t>ПАНОРАМА (С.-Пб.)</t>
        </is>
      </c>
      <c r="H4480" s="2" t="n">
        <v>184</v>
      </c>
      <c r="I4480" s="2" t="inlineStr"/>
      <c r="J4480" s="2" t="inlineStr"/>
      <c r="K4480" s="3" t="inlineStr">
        <is>
          <t>По одноименной пьесе В.Шуковского и М.Астрана в постановке Ленинградского Большого театра кукол. О забавных приключениях пса Пифа и его подружки мышки Розали. Постановка В.Сударушкина.</t>
        </is>
      </c>
      <c r="L4480" s="2" t="inlineStr">
        <is>
          <t>https://www.kino-teatr.ru/teatr/movie/9757/annot/</t>
        </is>
      </c>
      <c r="M4480" s="2">
        <f>HYPERLINK("https://ru.wikipedia.org/w/index.php?search=%D0%9F%D1%80%D0%B8%D0%BA%D0%BB%D1%8E%D1%87%D0%B5%D0%BD%D0%B8%D1%8F%20%D0%9F%D0%B8%D1%84%D0%B0%201990%20%D1%84%D0%B8%D0%BB%D1%8C%D0%BC","искать")</f>
        <v/>
      </c>
      <c r="N4480" s="3" t="n"/>
      <c r="O4480" s="2" t="n"/>
      <c r="P4480" s="2" t="n"/>
    </row>
    <row r="4481">
      <c r="A4481" s="2" t="n">
        <v>4480</v>
      </c>
      <c r="B4481" s="2" t="inlineStr">
        <is>
          <t>короткая</t>
        </is>
      </c>
      <c r="C4481" s="2" t="n">
        <v>13230</v>
      </c>
      <c r="D4481" s="3" t="inlineStr">
        <is>
          <t>ГРОМООТВОД ("Фитиль" N 60)</t>
        </is>
      </c>
      <c r="E4481" s="2" t="n">
        <v>1967</v>
      </c>
      <c r="F4481" s="2" t="inlineStr">
        <is>
          <t>мультфильм</t>
        </is>
      </c>
      <c r="G4481" s="2" t="inlineStr">
        <is>
          <t>ТАЛЛИННФИЛЬМ</t>
        </is>
      </c>
      <c r="H4481" s="2" t="n">
        <v>184</v>
      </c>
      <c r="I4481" s="2" t="inlineStr"/>
      <c r="J4481" s="2" t="inlineStr"/>
      <c r="K4481" s="3" t="inlineStr">
        <is>
          <t>Хулиган дебоширит на улице,и с каждым новым проступком тучи над ним сгущаются.Когда же гроза готова разразиться - добряк загораживает хулигана.Тот благодарит,а затем дает добряку пинка</t>
        </is>
      </c>
      <c r="L4481" s="2" t="inlineStr">
        <is>
          <t>https://gosfilmofond.ru/films/252517/</t>
        </is>
      </c>
      <c r="M4481" s="2">
        <f>HYPERLINK("https://ru.wikipedia.org/w/index.php?search=%D0%93%D0%A0%D0%9E%D0%9C%D0%9E%D0%9E%D0%A2%D0%92%D0%9E%D0%94%20%28%22%D0%A4%D0%B8%D1%82%D0%B8%D0%BB%D1%8C%22%20N%2060%29%201967%20%D1%84%D0%B8%D0%BB%D1%8C%D0%BC","искать")</f>
        <v/>
      </c>
      <c r="N4481" s="3" t="n"/>
      <c r="O4481" s="2" t="n"/>
      <c r="P4481" s="2" t="n"/>
    </row>
    <row r="4482">
      <c r="A4482" s="2" t="n">
        <v>4481</v>
      </c>
      <c r="B4482" s="2" t="inlineStr">
        <is>
          <t>короткая</t>
        </is>
      </c>
      <c r="C4482" s="2" t="n">
        <v>7666</v>
      </c>
      <c r="D4482" s="3" t="inlineStr">
        <is>
          <t>И тогда ты вернешься...</t>
        </is>
      </c>
      <c r="E4482" s="2" t="n">
        <v>1976</v>
      </c>
      <c r="F4482" s="2" t="inlineStr">
        <is>
          <t>телефильм</t>
        </is>
      </c>
      <c r="G4482" s="2" t="n"/>
      <c r="H4482" s="2" t="n">
        <v>185</v>
      </c>
      <c r="I4482" s="2" t="inlineStr"/>
      <c r="J4482" s="2" t="inlineStr"/>
      <c r="K4482" s="3" t="inlineStr">
        <is>
          <t>Героиня – сотрудница Института древних рукописей, проецирует события своей жизни на изучаемые ею истории из средневековых манускриптов и приходит к весьма поучительным для себя выводам.</t>
        </is>
      </c>
      <c r="L4482" s="2" t="inlineStr">
        <is>
          <t>Кино_СССР сводный каталог.xlsx: список телефильмов</t>
        </is>
      </c>
      <c r="M4482" s="2">
        <f>HYPERLINK("https://ru.wikipedia.org/w/index.php?search=%D0%98%20%D1%82%D0%BE%D0%B3%D0%B4%D0%B0%20%D1%82%D1%8B%20%D0%B2%D0%B5%D1%80%D0%BD%D0%B5%D1%88%D1%8C%D1%81%D1%8F...%201976%20%D1%84%D0%B8%D0%BB%D1%8C%D0%BC","искать")</f>
        <v/>
      </c>
      <c r="N4482" s="3" t="n"/>
      <c r="O4482" s="2" t="n"/>
      <c r="P4482" s="2" t="n"/>
    </row>
    <row r="4483">
      <c r="A4483" s="2" t="n">
        <v>4482</v>
      </c>
      <c r="B4483" s="2" t="inlineStr">
        <is>
          <t>короткая</t>
        </is>
      </c>
      <c r="C4483" s="2" t="n">
        <v>9988</v>
      </c>
      <c r="D4483" s="3" t="inlineStr">
        <is>
          <t>Суббота и воскресенье</t>
        </is>
      </c>
      <c r="E4483" s="2" t="n">
        <v>1982</v>
      </c>
      <c r="F4483" s="2" t="inlineStr">
        <is>
          <t>телефильм</t>
        </is>
      </c>
      <c r="G4483" s="2" t="inlineStr">
        <is>
          <t>ТО "Экран", Подборки фильмов, фильмы про собак</t>
        </is>
      </c>
      <c r="H4483" s="2" t="n">
        <v>185</v>
      </c>
      <c r="I4483" s="2" t="inlineStr"/>
      <c r="J4483" s="2" t="inlineStr"/>
      <c r="K4483" s="3" t="inlineStr">
        <is>
          <t>Рассказ о маленьком мальчике и его верном друге — дворовой собаке. Родители распланировали досуг сына, записав его во всевозможные кружки, а ребёнок хочет привести домой брошенного пса.</t>
        </is>
      </c>
      <c r="L4483" s="2" t="inlineStr">
        <is>
          <t>https://ru.wikipedia.org/w/index.php?title=%D0%A1%D1%83%D0%B1%D0%B1%D0%BE%D1%82%D0%B0_%D0%B8_%D0%B2%D0%BE%D1%81%D0%BA%D1%80%D0%B5%D1%81%D0%B5%D0%BD%D1%8C%D0%B5&amp;oldid=150189966</t>
        </is>
      </c>
      <c r="M4483" s="2">
        <f>HYPERLINK("https://ru.wikipedia.org/w/index.php?search=%D0%A1%D1%83%D0%B1%D0%B1%D0%BE%D1%82%D0%B0%20%D0%B8%20%D0%B2%D0%BE%D1%81%D0%BA%D1%80%D0%B5%D1%81%D0%B5%D0%BD%D1%8C%D0%B5%201982%20%D1%84%D0%B8%D0%BB%D1%8C%D0%BC","искать")</f>
        <v/>
      </c>
      <c r="N4483" s="3" t="n"/>
      <c r="O4483" s="2" t="n"/>
      <c r="P4483" s="2" t="n"/>
    </row>
    <row r="4484">
      <c r="A4484" s="2" t="n">
        <v>4483</v>
      </c>
      <c r="B4484" s="2" t="inlineStr">
        <is>
          <t>короткая</t>
        </is>
      </c>
      <c r="C4484" s="2" t="n">
        <v>10681</v>
      </c>
      <c r="D4484" s="3" t="inlineStr">
        <is>
          <t>Вызов</t>
        </is>
      </c>
      <c r="E4484" s="2" t="n">
        <v>1977</v>
      </c>
      <c r="F4484" s="2" t="inlineStr">
        <is>
          <t>фильм-спектакль</t>
        </is>
      </c>
      <c r="G4484" s="2" t="inlineStr">
        <is>
          <t>Центральное телевидение</t>
        </is>
      </c>
      <c r="H4484" s="2" t="n">
        <v>185</v>
      </c>
      <c r="I4484" s="2" t="inlineStr"/>
      <c r="J4484" s="2" t="inlineStr"/>
      <c r="K4484" s="3" t="inlineStr">
        <is>
          <t>Действие происходит в колхозе "Вызов".
На смену опытному председателю колхоза Бересту приходит молодой специалист, экономист Бочарова, которая стремится реорганизовать работу хозяйства.</t>
        </is>
      </c>
      <c r="L4484" s="2" t="inlineStr">
        <is>
          <t>https://www.kino-teatr.ru/teatr/movie/95557/annot/</t>
        </is>
      </c>
      <c r="M4484" s="2">
        <f>HYPERLINK("https://ru.wikipedia.org/w/index.php?search=%D0%92%D1%8B%D0%B7%D0%BE%D0%B2%201977%20%D1%84%D0%B8%D0%BB%D1%8C%D0%BC","искать")</f>
        <v/>
      </c>
      <c r="N4484" s="3" t="n"/>
      <c r="O4484" s="2" t="n"/>
      <c r="P4484" s="2" t="n"/>
    </row>
    <row r="4485">
      <c r="A4485" s="2" t="n">
        <v>4484</v>
      </c>
      <c r="B4485" s="2" t="inlineStr">
        <is>
          <t>короткая</t>
        </is>
      </c>
      <c r="C4485" s="2" t="n">
        <v>10822</v>
      </c>
      <c r="D4485" s="3" t="inlineStr">
        <is>
          <t>Хлопотун, или Дело мастера боится</t>
        </is>
      </c>
      <c r="E4485" s="2" t="n">
        <v>1979</v>
      </c>
      <c r="F4485" s="2" t="inlineStr">
        <is>
          <t>фильм-спектакль</t>
        </is>
      </c>
      <c r="G4485" s="2" t="n"/>
      <c r="H4485" s="2" t="n">
        <v>185</v>
      </c>
      <c r="I4485" s="2" t="inlineStr"/>
      <c r="J4485" s="2" t="inlineStr"/>
      <c r="K4485" s="3" t="inlineStr">
        <is>
          <t>По мотивам водевиля А.И.Писарева "Хлопотун, или Дело мастера боится" (1824).
Господин Репейкин - отзывчивый, но безалаберный человек, пытаясь всем помочь, зачастую сам попадает впросак.</t>
        </is>
      </c>
      <c r="L4485" s="2" t="inlineStr">
        <is>
          <t>https://www.kino-teatr.ru/teatr/movie/101424/annot/</t>
        </is>
      </c>
      <c r="M4485" s="2">
        <f>HYPERLINK("https://ru.wikipedia.org/w/index.php?search=%D0%A5%D0%BB%D0%BE%D0%BF%D0%BE%D1%82%D1%83%D0%BD%2C%20%D0%B8%D0%BB%D0%B8%20%D0%94%D0%B5%D0%BB%D0%BE%20%D0%BC%D0%B0%D1%81%D1%82%D0%B5%D1%80%D0%B0%20%D0%B1%D0%BE%D0%B8%D1%82%D1%81%D1%8F%201979%20%D1%84%D0%B8%D0%BB%D1%8C%D0%BC","искать")</f>
        <v/>
      </c>
      <c r="N4485" s="3" t="n"/>
      <c r="O4485" s="2" t="n"/>
      <c r="P4485" s="2" t="n"/>
    </row>
    <row r="4486">
      <c r="A4486" s="2" t="n">
        <v>4485</v>
      </c>
      <c r="B4486" s="2" t="inlineStr">
        <is>
          <t>короткая</t>
        </is>
      </c>
      <c r="C4486" s="2" t="n">
        <v>10973</v>
      </c>
      <c r="D4486" s="3" t="inlineStr">
        <is>
          <t>Усвятские шлемоносцы</t>
        </is>
      </c>
      <c r="E4486" s="2" t="n">
        <v>1982</v>
      </c>
      <c r="F4486" s="2" t="inlineStr">
        <is>
          <t>фильм-спектакль</t>
        </is>
      </c>
      <c r="G4486" s="2" t="inlineStr">
        <is>
          <t>Главная редакция литературно-драматических программ ЦТ</t>
        </is>
      </c>
      <c r="H4486" s="2" t="n">
        <v>185</v>
      </c>
      <c r="I4486" s="2" t="inlineStr"/>
      <c r="J4486" s="2" t="inlineStr"/>
      <c r="K4486" s="3" t="inlineStr">
        <is>
          <t>По мотивам повести Евгения Носова в постановке Куйбышевского академического театра драмы имени М. Горького.
О жителях русской деревушки, ушедших защищать свою Родину в первые дни войны.</t>
        </is>
      </c>
      <c r="L4486" s="2" t="inlineStr">
        <is>
          <t>https://www.kino-teatr.ru/teatr/movie/107636/annot/</t>
        </is>
      </c>
      <c r="M4486" s="2">
        <f>HYPERLINK("https://ru.wikipedia.org/w/index.php?search=%D0%A3%D1%81%D0%B2%D1%8F%D1%82%D1%81%D0%BA%D0%B8%D0%B5%20%D1%88%D0%BB%D0%B5%D0%BC%D0%BE%D0%BD%D0%BE%D1%81%D1%86%D1%8B%201982%20%D1%84%D0%B8%D0%BB%D1%8C%D0%BC","искать")</f>
        <v/>
      </c>
      <c r="N4486" s="3" t="n"/>
      <c r="O4486" s="2" t="n"/>
      <c r="P4486" s="2" t="n"/>
    </row>
    <row r="4487">
      <c r="A4487" s="2" t="n">
        <v>4486</v>
      </c>
      <c r="B4487" s="2" t="inlineStr">
        <is>
          <t>короткая</t>
        </is>
      </c>
      <c r="C4487" s="2" t="n">
        <v>11069</v>
      </c>
      <c r="D4487" s="3" t="inlineStr">
        <is>
          <t>Новоселье</t>
        </is>
      </c>
      <c r="E4487" s="2" t="n">
        <v>1985</v>
      </c>
      <c r="F4487" s="2" t="inlineStr">
        <is>
          <t>фильм-спектакль</t>
        </is>
      </c>
      <c r="G4487" s="2" t="inlineStr">
        <is>
          <t>Главная редакция литературно-драматических программ ЦТ</t>
        </is>
      </c>
      <c r="H4487" s="2" t="n">
        <v>185</v>
      </c>
      <c r="I4487" s="2" t="inlineStr"/>
      <c r="J4487" s="2" t="inlineStr"/>
      <c r="K4487" s="3" t="inlineStr">
        <is>
          <t>По одноименной пьесе Аркадия Ваксберга.
Действие происходит в одном из строительных управлений, куда направляется журналист столичной газеты, чтобы разобраться в истинном положении дел.</t>
        </is>
      </c>
      <c r="L4487" s="2" t="inlineStr">
        <is>
          <t>https://www.kino-teatr.ru/teatr/movie/106804/annot/</t>
        </is>
      </c>
      <c r="M4487" s="2">
        <f>HYPERLINK("https://ru.wikipedia.org/w/index.php?search=%D0%9D%D0%BE%D0%B2%D0%BE%D1%81%D0%B5%D0%BB%D1%8C%D0%B5%201985%20%D1%84%D0%B8%D0%BB%D1%8C%D0%BC","искать")</f>
        <v/>
      </c>
      <c r="N4487" s="3" t="n"/>
      <c r="O4487" s="2" t="n"/>
      <c r="P4487" s="2" t="n"/>
    </row>
    <row r="4488">
      <c r="A4488" s="2" t="n">
        <v>4487</v>
      </c>
      <c r="B4488" s="2" t="inlineStr">
        <is>
          <t>короткая</t>
        </is>
      </c>
      <c r="C4488" s="2" t="n">
        <v>13388</v>
      </c>
      <c r="D4488" s="3" t="inlineStr">
        <is>
          <t>Кто ж такие птички</t>
        </is>
      </c>
      <c r="E4488" s="2" t="n">
        <v>1978</v>
      </c>
      <c r="F4488" s="2" t="inlineStr">
        <is>
          <t>мультфильм</t>
        </is>
      </c>
      <c r="G4488" s="2" t="inlineStr">
        <is>
          <t>ЭКРАН</t>
        </is>
      </c>
      <c r="H4488" s="2" t="n">
        <v>185</v>
      </c>
      <c r="I4488" s="2" t="inlineStr"/>
      <c r="J4488" s="2" t="inlineStr"/>
      <c r="K4488" s="3" t="inlineStr">
        <is>
          <t>Маленький птенчик пытается выяснить, кто он такой и в процессе своего путешествия узнает много интересного о родичах - птичках. Очень забавная и запоминающаяся мелодия порадует малышей.</t>
        </is>
      </c>
      <c r="L4488" s="2" t="inlineStr">
        <is>
          <t>2026-10_мультфильмы_список_владельца.xlsx; https://animator.ru/db/?p=show_film&amp;fid=4668</t>
        </is>
      </c>
      <c r="M4488" s="2">
        <f>HYPERLINK("https://ru.wikipedia.org/w/index.php?search=%D0%9A%D1%82%D0%BE%20%D0%B6%20%D1%82%D0%B0%D0%BA%D0%B8%D0%B5%20%D0%BF%D1%82%D0%B8%D1%87%D0%BA%D0%B8%201978%20%D1%84%D0%B8%D0%BB%D1%8C%D0%BC","искать")</f>
        <v/>
      </c>
      <c r="N4488" s="3" t="n"/>
      <c r="O4488" s="2" t="n"/>
      <c r="P4488" s="2" t="n"/>
    </row>
    <row r="4489">
      <c r="A4489" s="2" t="n">
        <v>4488</v>
      </c>
      <c r="B4489" s="2" t="inlineStr">
        <is>
          <t>короткая</t>
        </is>
      </c>
      <c r="C4489" s="2" t="n">
        <v>9998</v>
      </c>
      <c r="D4489" s="3" t="inlineStr">
        <is>
          <t>Моя тетя Дуду</t>
        </is>
      </c>
      <c r="E4489" s="2" t="n">
        <v>1984</v>
      </c>
      <c r="F4489" s="2" t="inlineStr">
        <is>
          <t>кинофильм</t>
        </is>
      </c>
      <c r="G4489" s="2" t="inlineStr">
        <is>
          <t>Грузия-фильм</t>
        </is>
      </c>
      <c r="H4489" s="2" t="n">
        <v>186</v>
      </c>
      <c r="I4489" s="2" t="inlineStr"/>
      <c r="J4489" s="2" t="inlineStr"/>
      <c r="K4489" s="3" t="inlineStr">
        <is>
          <t>Комедийная новелла о пожилой женщине Дудухане. Человек мудрый и исключительно добрый, она сохранила молодость духа, но никто кроме племянника Никуша не смог оценить ее душевные качества.</t>
        </is>
      </c>
      <c r="L4489" s="2" t="inlineStr">
        <is>
          <t>https://www.kino-teatr.ru/short/movie/sov/84291/annot/</t>
        </is>
      </c>
      <c r="M4489" s="2">
        <f>HYPERLINK("https://ru.wikipedia.org/w/index.php?search=%D0%9C%D0%BE%D1%8F%20%D1%82%D0%B5%D1%82%D1%8F%20%D0%94%D1%83%D0%B4%D1%83%201984%20%D1%84%D0%B8%D0%BB%D1%8C%D0%BC","искать")</f>
        <v/>
      </c>
      <c r="N4489" s="3" t="n"/>
      <c r="O4489" s="2" t="n"/>
      <c r="P4489" s="2" t="n"/>
    </row>
    <row r="4490">
      <c r="A4490" s="2" t="n">
        <v>4489</v>
      </c>
      <c r="B4490" s="2" t="inlineStr">
        <is>
          <t>короткая</t>
        </is>
      </c>
      <c r="C4490" s="2" t="n">
        <v>10279</v>
      </c>
      <c r="D4490" s="3" t="inlineStr">
        <is>
          <t>Чернобурая лиса</t>
        </is>
      </c>
      <c r="E4490" s="2" t="n">
        <v>1968</v>
      </c>
      <c r="F4490" s="2" t="inlineStr">
        <is>
          <t>фильм-спектакль</t>
        </is>
      </c>
      <c r="G4490" s="2" t="inlineStr">
        <is>
          <t>Центральное телевидение</t>
        </is>
      </c>
      <c r="H4490" s="2" t="n">
        <v>186</v>
      </c>
      <c r="I4490" s="2" t="inlineStr"/>
      <c r="J4490" s="2" t="inlineStr"/>
      <c r="K4490" s="3" t="inlineStr">
        <is>
          <t>По повести Юза Алешковского.
В спектакле рассказывается о ребятах, их школьных делах, дружбе, отношениях со взрослыми. Но самое главное здесь — проблема доверия к подрастающему человеку.</t>
        </is>
      </c>
      <c r="L4490" s="2" t="inlineStr">
        <is>
          <t>https://www.kino-teatr.ru/teatr/movie/136948/annot/</t>
        </is>
      </c>
      <c r="M4490" s="2">
        <f>HYPERLINK("https://ru.wikipedia.org/w/index.php?search=%D0%A7%D0%B5%D1%80%D0%BD%D0%BE%D0%B1%D1%83%D1%80%D0%B0%D1%8F%20%D0%BB%D0%B8%D1%81%D0%B0%201968%20%D1%84%D0%B8%D0%BB%D1%8C%D0%BC","искать")</f>
        <v/>
      </c>
      <c r="N4490" s="3" t="n"/>
      <c r="O4490" s="2" t="n"/>
      <c r="P4490" s="2" t="n"/>
    </row>
    <row r="4491">
      <c r="A4491" s="2" t="n">
        <v>4490</v>
      </c>
      <c r="B4491" s="2" t="inlineStr">
        <is>
          <t>короткая</t>
        </is>
      </c>
      <c r="C4491" s="2" t="n">
        <v>13015</v>
      </c>
      <c r="D4491" s="3" t="inlineStr">
        <is>
          <t>Как мышонок пошел в школу</t>
        </is>
      </c>
      <c r="E4491" s="2" t="n">
        <v>1988</v>
      </c>
      <c r="F4491" s="2" t="inlineStr">
        <is>
          <t>мультфильм</t>
        </is>
      </c>
      <c r="G4491" s="2" t="inlineStr">
        <is>
          <t>КАЗАХФИЛЬМ</t>
        </is>
      </c>
      <c r="H4491" s="2" t="n">
        <v>186</v>
      </c>
      <c r="I4491" s="2" t="inlineStr"/>
      <c r="J4491" s="2" t="inlineStr"/>
      <c r="K4491" s="3" t="inlineStr">
        <is>
          <t>Познавательный мультфильм о том, как полезно знать свойства лесных растений. Ученый Ворон рассказывает про них мышонку-первокласснику и тот, заслушавшись, опаздывает на свой первый урок.</t>
        </is>
      </c>
      <c r="L4491" s="2" t="inlineStr">
        <is>
          <t>2026-10_мультфильмы_список_владельца.xlsx; https://animator.ru/db/?p=show_film&amp;fid=4247</t>
        </is>
      </c>
      <c r="M4491" s="2">
        <f>HYPERLINK("https://ru.wikipedia.org/w/index.php?search=%D0%9A%D0%B0%D0%BA%20%D0%BC%D1%8B%D1%88%D0%BE%D0%BD%D0%BE%D0%BA%20%D0%BF%D0%BE%D1%88%D0%B5%D0%BB%20%D0%B2%20%D1%88%D0%BA%D0%BE%D0%BB%D1%83%201988%20%D1%84%D0%B8%D0%BB%D1%8C%D0%BC","искать")</f>
        <v/>
      </c>
      <c r="N4491" s="3" t="n"/>
      <c r="O4491" s="2" t="n"/>
      <c r="P4491" s="2" t="n"/>
    </row>
    <row r="4492">
      <c r="A4492" s="2" t="n">
        <v>4491</v>
      </c>
      <c r="B4492" s="2" t="inlineStr">
        <is>
          <t>короткая</t>
        </is>
      </c>
      <c r="C4492" s="2" t="n">
        <v>14394</v>
      </c>
      <c r="D4492" s="3" t="inlineStr">
        <is>
          <t>Козел</t>
        </is>
      </c>
      <c r="E4492" s="2" t="n">
        <v>1991</v>
      </c>
      <c r="F4492" s="2" t="inlineStr">
        <is>
          <t>мультфильм</t>
        </is>
      </c>
      <c r="G4492" s="2" t="n"/>
      <c r="H4492" s="2" t="n">
        <v>186</v>
      </c>
      <c r="I4492" s="2" t="inlineStr"/>
      <c r="J4492" s="2" t="inlineStr"/>
      <c r="K4492" s="3" t="inlineStr">
        <is>
          <t>Глупый козел затеял драку со своим отражением в ручье. Отражение оживает и начинается забавная игра зеркальных бойцов под ритмическую музыку. Для любого возраста, но для молодых особенно</t>
        </is>
      </c>
      <c r="L4492" s="2" t="inlineStr">
        <is>
          <t>https://animator.ru/db/?p=show_film&amp;fid=6454</t>
        </is>
      </c>
      <c r="M4492" s="2">
        <f>HYPERLINK("https://ru.wikipedia.org/w/index.php?search=%D0%9A%D0%BE%D0%B7%D0%B5%D0%BB%201991%20%D1%84%D0%B8%D0%BB%D1%8C%D0%BC","искать")</f>
        <v/>
      </c>
      <c r="N4492" s="3" t="n"/>
      <c r="O4492" s="2" t="n"/>
      <c r="P4492" s="2" t="n"/>
    </row>
    <row r="4493">
      <c r="A4493" s="2" t="n">
        <v>4492</v>
      </c>
      <c r="B4493" s="2" t="inlineStr">
        <is>
          <t>короткая</t>
        </is>
      </c>
      <c r="C4493" s="2" t="n">
        <v>10924</v>
      </c>
      <c r="D4493" s="3" t="inlineStr">
        <is>
          <t>Царь Фёдор Иоаннович</t>
        </is>
      </c>
      <c r="E4493" s="2" t="n">
        <v>1981</v>
      </c>
      <c r="F4493" s="2" t="inlineStr">
        <is>
          <t>фильм-спектакль</t>
        </is>
      </c>
      <c r="G4493" s="2" t="inlineStr">
        <is>
          <t>Гл. ред. лит-драм программ</t>
        </is>
      </c>
      <c r="H4493" s="2" t="n">
        <v>187</v>
      </c>
      <c r="I4493" s="2" t="inlineStr"/>
      <c r="J4493" s="2" t="inlineStr"/>
      <c r="K4493" s="3" t="inlineStr">
        <is>
          <t>Вторая часть трилогии А.К.Толстого о русских царях.
Пытаясь прекратить братоубийственное кровопролитие, начатое его отцом - Иоанном Грозным, царь Федор отдал власть и привел Русь к смуте.</t>
        </is>
      </c>
      <c r="L4493" s="2" t="inlineStr">
        <is>
          <t>https://www.kino-teatr.ru/teatr/movie/12921/annot/</t>
        </is>
      </c>
      <c r="M4493" s="2">
        <f>HYPERLINK("https://ru.wikipedia.org/w/index.php?search=%D0%A6%D0%B0%D1%80%D1%8C%20%D0%A4%D1%91%D0%B4%D0%BE%D1%80%20%D0%98%D0%BE%D0%B0%D0%BD%D0%BD%D0%BE%D0%B2%D0%B8%D1%87%201981%20%D1%84%D0%B8%D0%BB%D1%8C%D0%BC","искать")</f>
        <v/>
      </c>
      <c r="N4493" s="3" t="n"/>
      <c r="O4493" s="2" t="n"/>
      <c r="P4493" s="2" t="n"/>
    </row>
    <row r="4494">
      <c r="A4494" s="2" t="n">
        <v>4493</v>
      </c>
      <c r="B4494" s="2" t="inlineStr">
        <is>
          <t>короткая</t>
        </is>
      </c>
      <c r="C4494" s="2" t="n">
        <v>11743</v>
      </c>
      <c r="D4494" s="3" t="inlineStr">
        <is>
          <t>Пони бегает по кругу</t>
        </is>
      </c>
      <c r="E4494" s="2" t="n">
        <v>1974</v>
      </c>
      <c r="F4494" s="2" t="inlineStr">
        <is>
          <t>мультфильм</t>
        </is>
      </c>
      <c r="G4494" s="2" t="inlineStr">
        <is>
          <t>Союзмультфильм</t>
        </is>
      </c>
      <c r="H4494" s="2" t="n">
        <v>187</v>
      </c>
      <c r="I4494" s="2" t="inlineStr"/>
      <c r="J4494" s="2" t="inlineStr"/>
      <c r="K4494" s="3" t="inlineStr">
        <is>
          <t>О маленьком пони, который катал детей в зоопарке и мечтал участвовать в военном параде. Для малышей
ВКФ, Кишинев 1975 -- Входил в программу "Союзмультфильма", признанную лучшей программой</t>
        </is>
      </c>
      <c r="L4494" s="2" t="inlineStr">
        <is>
          <t>https://animator.ru/db/?p=show_film&amp;fid=2657</t>
        </is>
      </c>
      <c r="M4494" s="2">
        <f>HYPERLINK("https://ru.wikipedia.org/w/index.php?search=%D0%9F%D0%BE%D0%BD%D0%B8%20%D0%B1%D0%B5%D0%B3%D0%B0%D0%B5%D1%82%20%D0%BF%D0%BE%20%D0%BA%D1%80%D1%83%D0%B3%D1%83%201974%20%D1%84%D0%B8%D0%BB%D1%8C%D0%BC","искать")</f>
        <v/>
      </c>
      <c r="N4494" s="3" t="n"/>
      <c r="O4494" s="2" t="n"/>
      <c r="P4494" s="2" t="n"/>
    </row>
    <row r="4495">
      <c r="A4495" s="2" t="n">
        <v>4494</v>
      </c>
      <c r="B4495" s="2" t="inlineStr">
        <is>
          <t>короткая</t>
        </is>
      </c>
      <c r="C4495" s="2" t="n">
        <v>12344</v>
      </c>
      <c r="D4495" s="3" t="inlineStr">
        <is>
          <t>Встреча</t>
        </is>
      </c>
      <c r="E4495" s="2" t="n">
        <v>1984</v>
      </c>
      <c r="F4495" s="2" t="inlineStr">
        <is>
          <t>мультфильм</t>
        </is>
      </c>
      <c r="G4495" s="2" t="inlineStr">
        <is>
          <t>КИЕВНАУЧФИЛЬМ</t>
        </is>
      </c>
      <c r="H4495" s="2" t="n">
        <v>187</v>
      </c>
      <c r="I4495" s="2" t="inlineStr"/>
      <c r="J4495" s="2" t="inlineStr"/>
      <c r="K4495" s="3" t="inlineStr">
        <is>
          <t>Три инопланетянина с разных планет, принявшие обличие землян, встречаются в брошенной избушке и, поговорив друг с другом, приходят к выводу, что люди не верят в возможность такой встречи.</t>
        </is>
      </c>
      <c r="L4495" s="2" t="inlineStr">
        <is>
          <t>https://animator.ru/db/?p=show_film&amp;fid=3511</t>
        </is>
      </c>
      <c r="M4495" s="2">
        <f>HYPERLINK("https://ru.wikipedia.org/w/index.php?search=%D0%92%D1%81%D1%82%D1%80%D0%B5%D1%87%D0%B0%201984%20%D1%84%D0%B8%D0%BB%D1%8C%D0%BC","искать")</f>
        <v/>
      </c>
      <c r="N4495" s="3" t="n"/>
      <c r="O4495" s="2" t="n"/>
      <c r="P4495" s="2" t="n"/>
    </row>
    <row r="4496">
      <c r="A4496" s="2" t="n">
        <v>4495</v>
      </c>
      <c r="B4496" s="2" t="inlineStr">
        <is>
          <t>короткая</t>
        </is>
      </c>
      <c r="C4496" s="2" t="n">
        <v>7943</v>
      </c>
      <c r="D4496" s="3" t="inlineStr">
        <is>
          <t>Назовите ураган "Марией"</t>
        </is>
      </c>
      <c r="E4496" s="2" t="n">
        <v>1970</v>
      </c>
      <c r="F4496" s="2" t="inlineStr">
        <is>
          <t>телефильм</t>
        </is>
      </c>
      <c r="G4496" s="2" t="n"/>
      <c r="H4496" s="2" t="n">
        <v>188</v>
      </c>
      <c r="I4496" s="2" t="inlineStr"/>
      <c r="J4496" s="2" t="inlineStr"/>
      <c r="K4496" s="3" t="inlineStr">
        <is>
          <t>Телефильм по мотивам одноименной повести Константина Кудиевского. Об организации доставки оружия рабочим отрядам Крыма для борьбы с Врангелем. Действие происходит в годы гражданской войны.</t>
        </is>
      </c>
      <c r="L4496" s="2" t="inlineStr">
        <is>
          <t>Кино_СССР сводный каталог.xlsx: список телефильмов</t>
        </is>
      </c>
      <c r="M4496" s="2">
        <f>HYPERLINK("https://ru.wikipedia.org/w/index.php?search=%D0%9D%D0%B0%D0%B7%D0%BE%D0%B2%D0%B8%D1%82%D0%B5%20%D1%83%D1%80%D0%B0%D0%B3%D0%B0%D0%BD%20%22%D0%9C%D0%B0%D1%80%D0%B8%D0%B5%D0%B9%22%201970%20%D1%84%D0%B8%D0%BB%D1%8C%D0%BC","искать")</f>
        <v/>
      </c>
      <c r="N4496" s="3" t="n"/>
      <c r="O4496" s="2" t="n"/>
      <c r="P4496" s="2" t="n"/>
    </row>
    <row r="4497">
      <c r="A4497" s="2" t="n">
        <v>4496</v>
      </c>
      <c r="B4497" s="2" t="inlineStr">
        <is>
          <t>короткая</t>
        </is>
      </c>
      <c r="C4497" s="2" t="n">
        <v>8461</v>
      </c>
      <c r="D4497" s="3" t="inlineStr">
        <is>
          <t>Только остров не возьмешь с собой</t>
        </is>
      </c>
      <c r="E4497" s="2" t="n">
        <v>1980</v>
      </c>
      <c r="F4497" s="2" t="inlineStr">
        <is>
          <t>телефильм</t>
        </is>
      </c>
      <c r="G4497" s="2" t="n"/>
      <c r="H4497" s="2" t="n">
        <v>188</v>
      </c>
      <c r="I4497" s="2" t="inlineStr"/>
      <c r="J4497" s="2" t="inlineStr"/>
      <c r="K4497" s="3" t="inlineStr">
        <is>
          <t>Маленькая девочка Наиля приезжает к своей бабушке всего лишь на несколько дней. Но за это короткое время она ищет детских приключений. Наиля однажды стала свидетельницей уничтожения птицы.</t>
        </is>
      </c>
      <c r="L4497" s="2" t="inlineStr">
        <is>
          <t>https://ru.wikipedia.org/w/index.php?title=%D0%A2%D0%BE%D0%BB%D1%8C%D0%BA%D0%BE_%D0%BE%D1%81%D1%82%D1%80%D0%BE%D0%B2_%D0%BD%D0%B5_%D0%B2%D0%BE%D0%B7%D1%8C%D0%BC%D1%91%D1%88%D1%8C_%D1%81_%D1%81%D0%BE%D0%B1%D0%BE%D0%B9&amp;oldid=150982440</t>
        </is>
      </c>
      <c r="M4497" s="2">
        <f>HYPERLINK("https://ru.wikipedia.org/w/index.php?search=%D0%A2%D0%BE%D0%BB%D1%8C%D0%BA%D0%BE%20%D0%BE%D1%81%D1%82%D1%80%D0%BE%D0%B2%20%D0%BD%D0%B5%20%D0%B2%D0%BE%D0%B7%D1%8C%D0%BC%D0%B5%D1%88%D1%8C%20%D1%81%20%D1%81%D0%BE%D0%B1%D0%BE%D0%B9%201980%20%D1%84%D0%B8%D0%BB%D1%8C%D0%BC","искать")</f>
        <v/>
      </c>
      <c r="N4497" s="3" t="n"/>
      <c r="O4497" s="2" t="n"/>
      <c r="P4497" s="2" t="n"/>
    </row>
    <row r="4498">
      <c r="A4498" s="2" t="n">
        <v>4497</v>
      </c>
      <c r="B4498" s="2" t="inlineStr">
        <is>
          <t>короткая</t>
        </is>
      </c>
      <c r="C4498" s="2" t="n">
        <v>10910</v>
      </c>
      <c r="D4498" s="3" t="inlineStr">
        <is>
          <t>Самоубийство</t>
        </is>
      </c>
      <c r="E4498" s="2" t="n">
        <v>1981</v>
      </c>
      <c r="F4498" s="2" t="inlineStr">
        <is>
          <t>фильм-спектакль</t>
        </is>
      </c>
      <c r="G4498" s="2" t="inlineStr">
        <is>
          <t>Ленинградское ТВ</t>
        </is>
      </c>
      <c r="H4498" s="2" t="n">
        <v>188</v>
      </c>
      <c r="I4498" s="2" t="inlineStr"/>
      <c r="J4498" s="2" t="inlineStr"/>
      <c r="K4498" s="3" t="inlineStr">
        <is>
          <t>По книге Виктора Пронина "Каждый день самоубийство".
История расследования смерти студентки Селивановой, оказавшейся замешанной в валютные операции, что в то время было большим криминалом.</t>
        </is>
      </c>
      <c r="L4498" s="2" t="inlineStr">
        <is>
          <t>https://www.kino-teatr.ru/teatr/movie/6189/annot/</t>
        </is>
      </c>
      <c r="M4498" s="2">
        <f>HYPERLINK("https://ru.wikipedia.org/w/index.php?search=%D0%A1%D0%B0%D0%BC%D0%BE%D1%83%D0%B1%D0%B8%D0%B9%D1%81%D1%82%D0%B2%D0%BE%201981%20%D1%84%D0%B8%D0%BB%D1%8C%D0%BC","искать")</f>
        <v/>
      </c>
      <c r="N4498" s="3" t="n"/>
      <c r="O4498" s="2" t="n"/>
      <c r="P4498" s="2" t="n"/>
    </row>
    <row r="4499">
      <c r="A4499" s="2" t="n">
        <v>4498</v>
      </c>
      <c r="B4499" s="2" t="inlineStr">
        <is>
          <t>короткая</t>
        </is>
      </c>
      <c r="C4499" s="2" t="n">
        <v>12667</v>
      </c>
      <c r="D4499" s="3" t="inlineStr">
        <is>
          <t>Куда пропала луна</t>
        </is>
      </c>
      <c r="E4499" s="2" t="n">
        <v>1982</v>
      </c>
      <c r="F4499" s="2" t="inlineStr">
        <is>
          <t>мультфильм</t>
        </is>
      </c>
      <c r="G4499" s="2" t="inlineStr">
        <is>
          <t>БЕЛАРУСЬФИЛЬМ НАЦИОНАЛЬНАЯ КИНОСТУДИЯ - ГП</t>
        </is>
      </c>
      <c r="H4499" s="2" t="n">
        <v>188</v>
      </c>
      <c r="I4499" s="2" t="inlineStr"/>
      <c r="J4499" s="2" t="inlineStr"/>
      <c r="K4499" s="3" t="inlineStr">
        <is>
          <t>Однажды маленький лисенок не увидел на небе луны, с которой он любил играть. Никто в лесу не мог объяснить ему что же произошло с луной, пока не родился молодой месяц и сказка снова ожила.</t>
        </is>
      </c>
      <c r="L4499" s="2" t="inlineStr">
        <is>
          <t>2026-10_мультфильмы_список_владельца.xlsx; https://animator.ru/db/?p=show_film&amp;fid=3861</t>
        </is>
      </c>
      <c r="M4499" s="2">
        <f>HYPERLINK("https://ru.wikipedia.org/w/index.php?search=%D0%9A%D1%83%D0%B4%D0%B0%20%D0%BF%D1%80%D0%BE%D0%BF%D0%B0%D0%BB%D0%B0%20%D0%BB%D1%83%D0%BD%D0%B0%201982%20%D1%84%D0%B8%D0%BB%D1%8C%D0%BC","искать")</f>
        <v/>
      </c>
      <c r="N4499" s="3" t="n"/>
      <c r="O4499" s="2" t="n"/>
      <c r="P4499" s="2" t="n"/>
    </row>
    <row r="4500">
      <c r="A4500" s="2" t="n">
        <v>4499</v>
      </c>
      <c r="B4500" s="2" t="inlineStr">
        <is>
          <t>короткая</t>
        </is>
      </c>
      <c r="C4500" s="2" t="n">
        <v>13478</v>
      </c>
      <c r="D4500" s="3" t="inlineStr">
        <is>
          <t>Добро пожаловать</t>
        </is>
      </c>
      <c r="E4500" s="2" t="n">
        <v>1986</v>
      </c>
      <c r="F4500" s="2" t="inlineStr">
        <is>
          <t>мультфильм</t>
        </is>
      </c>
      <c r="G4500" s="2" t="inlineStr">
        <is>
          <t>Свердловская киностудия</t>
        </is>
      </c>
      <c r="H4500" s="2" t="n">
        <v>188</v>
      </c>
      <c r="I4500" s="2" t="inlineStr"/>
      <c r="J4500" s="2" t="inlineStr"/>
      <c r="K4500" s="3" t="inlineStr">
        <is>
          <t>По мотивам сказки американского писателя Доктора Сьюза о добром лосе, который разрешил поселиться на своих рогах. Гран-При, Оттава, Канада; Лос-Анжелес, США
чуть ли не всем обитателям леса</t>
        </is>
      </c>
      <c r="L4500" s="2" t="inlineStr">
        <is>
          <t>https://animator.ru/db/?p=show_film&amp;fid=4768</t>
        </is>
      </c>
      <c r="M4500" s="2">
        <f>HYPERLINK("https://ru.wikipedia.org/w/index.php?search=%D0%94%D0%BE%D0%B1%D1%80%D0%BE%20%D0%BF%D0%BE%D0%B6%D0%B0%D0%BB%D0%BE%D0%B2%D0%B0%D1%82%D1%8C%201986%20%D1%84%D0%B8%D0%BB%D1%8C%D0%BC","искать")</f>
        <v/>
      </c>
      <c r="N4500" s="3" t="n"/>
      <c r="O4500" s="2" t="n"/>
      <c r="P4500" s="2" t="n"/>
    </row>
    <row r="4501">
      <c r="A4501" s="2" t="n">
        <v>4500</v>
      </c>
      <c r="B4501" s="2" t="inlineStr">
        <is>
          <t>короткая</t>
        </is>
      </c>
      <c r="C4501" s="2" t="n">
        <v>13855</v>
      </c>
      <c r="D4501" s="3" t="inlineStr">
        <is>
          <t>Приключения поросенка Фунтика. 1. Неуловимый Фунтик</t>
        </is>
      </c>
      <c r="E4501" s="2" t="n">
        <v>1986</v>
      </c>
      <c r="F4501" s="2" t="inlineStr">
        <is>
          <t>мультфильм</t>
        </is>
      </c>
      <c r="G4501" s="2" t="inlineStr">
        <is>
          <t>ЭКРАН</t>
        </is>
      </c>
      <c r="H4501" s="2" t="n">
        <v>188</v>
      </c>
      <c r="I4501" s="2" t="inlineStr"/>
      <c r="J4501" s="2" t="inlineStr"/>
      <c r="K4501" s="3" t="inlineStr">
        <is>
          <t>Поросенку Фунтику надоело обманывать детей и он покидает свою хозяйку Беладонну, встречает Дядюшку Фокуса-Мокуса— Хозяйка, пули свистели над головой...— А сапоги над головой не свистели?!!</t>
        </is>
      </c>
      <c r="L4501" s="2" t="inlineStr">
        <is>
          <t>2026-10_мультфильмы_список_владельца.xlsx; https://animator.ru/db/?p=show_film&amp;fid=5248</t>
        </is>
      </c>
      <c r="M4501" s="2">
        <f>HYPERLINK("https://ru.wikipedia.org/w/index.php?search=%D0%9F%D1%80%D0%B8%D0%BA%D0%BB%D1%8E%D1%87%D0%B5%D0%BD%D0%B8%D1%8F%20%D0%BF%D0%BE%D1%80%D0%BE%D1%81%D0%B5%D0%BD%D0%BA%D0%B0%20%D0%A4%D1%83%D0%BD%D1%82%D0%B8%D0%BA%D0%B0.%201.%20%D0%9D%D0%B5%D1%83%D0%BB%D0%BE%D0%B2%D0%B8%D0%BC%D1%8B%D0%B9%20%D0%A4%D1%83%D0%BD%D1%82%D0%B8%D0%BA%201986%20%D1%84%D0%B8%D0%BB%D1%8C%D0%BC","искать")</f>
        <v/>
      </c>
      <c r="N4501" s="3" t="n"/>
      <c r="O4501" s="2" t="n"/>
      <c r="P4501" s="2" t="n"/>
    </row>
    <row r="4502">
      <c r="A4502" s="2" t="n">
        <v>4501</v>
      </c>
      <c r="B4502" s="2" t="inlineStr">
        <is>
          <t>короткая</t>
        </is>
      </c>
      <c r="C4502" s="2" t="n">
        <v>14472</v>
      </c>
      <c r="D4502" s="3" t="inlineStr">
        <is>
          <t>Что страшнее</t>
        </is>
      </c>
      <c r="E4502" s="2" t="n">
        <v>1973</v>
      </c>
      <c r="F4502" s="2" t="inlineStr">
        <is>
          <t>мультфильм</t>
        </is>
      </c>
      <c r="G4502" s="2" t="inlineStr">
        <is>
          <t>Союзмультфильм</t>
        </is>
      </c>
      <c r="H4502" s="2" t="n">
        <v>188</v>
      </c>
      <c r="I4502" s="2" t="inlineStr"/>
      <c r="J4502" s="2" t="inlineStr"/>
      <c r="K4502" s="3" t="inlineStr">
        <is>
          <t>Действие фильма происходит в промтоварном магазине. В нем высмеивается директор магазина, который не заботился о противопожарной безопасности, в результате чего в магазине произошел пожар.</t>
        </is>
      </c>
      <c r="L4502" s="2" t="inlineStr">
        <is>
          <t>https://animator.ru/db/?p=show_film&amp;fid=6740</t>
        </is>
      </c>
      <c r="M4502" s="2">
        <f>HYPERLINK("https://ru.wikipedia.org/w/index.php?search=%D0%A7%D1%82%D0%BE%20%D1%81%D1%82%D1%80%D0%B0%D1%88%D0%BD%D0%B5%D0%B5%201973%20%D1%84%D0%B8%D0%BB%D1%8C%D0%BC","искать")</f>
        <v/>
      </c>
      <c r="N4502" s="3" t="n"/>
      <c r="O4502" s="2" t="n"/>
      <c r="P4502" s="2" t="n"/>
    </row>
    <row r="4503">
      <c r="A4503" s="2" t="n">
        <v>4502</v>
      </c>
      <c r="B4503" s="2" t="inlineStr">
        <is>
          <t>короткая</t>
        </is>
      </c>
      <c r="C4503" s="2" t="n">
        <v>7683</v>
      </c>
      <c r="D4503" s="3" t="inlineStr">
        <is>
          <t>Инженер Прончатов</t>
        </is>
      </c>
      <c r="E4503" s="2" t="n">
        <v>1972</v>
      </c>
      <c r="F4503" s="2" t="inlineStr">
        <is>
          <t>телефильм</t>
        </is>
      </c>
      <c r="G4503" s="2" t="n"/>
      <c r="H4503" s="2" t="n">
        <v>189</v>
      </c>
      <c r="I4503" s="2" t="inlineStr"/>
      <c r="J4503" s="2" t="inlineStr"/>
      <c r="K4503" s="3" t="inlineStr">
        <is>
          <t>Телесериал по мотивам произведений Виля Липатова. Молодой инженер лесосплавной конторы Олег Прончатов отстаивает идею создания на одной из северных рек большого лесопромышленного комплекса.</t>
        </is>
      </c>
      <c r="L4503" s="2" t="inlineStr">
        <is>
          <t>Кино_СССР сводный каталог.xlsx: список телефильмов</t>
        </is>
      </c>
      <c r="M4503" s="2">
        <f>HYPERLINK("https://ru.wikipedia.org/w/index.php?search=%D0%98%D0%BD%D0%B6%D0%B5%D0%BD%D0%B5%D1%80%20%D0%9F%D1%80%D0%BE%D0%BD%D1%87%D0%B0%D1%82%D0%BE%D0%B2%201972%20%D1%84%D0%B8%D0%BB%D1%8C%D0%BC","искать")</f>
        <v/>
      </c>
      <c r="N4503" s="3" t="n"/>
      <c r="O4503" s="2" t="n"/>
      <c r="P4503" s="2" t="n"/>
    </row>
    <row r="4504">
      <c r="A4504" s="2" t="n">
        <v>4503</v>
      </c>
      <c r="B4504" s="2" t="inlineStr">
        <is>
          <t>короткая</t>
        </is>
      </c>
      <c r="C4504" s="2" t="n">
        <v>7961</v>
      </c>
      <c r="D4504" s="3" t="inlineStr">
        <is>
          <t>Не забудь оглянуться</t>
        </is>
      </c>
      <c r="E4504" s="2" t="n">
        <v>1988</v>
      </c>
      <c r="F4504" s="2" t="inlineStr">
        <is>
          <t>телефильм</t>
        </is>
      </c>
      <c r="G4504" s="2" t="n"/>
      <c r="H4504" s="2" t="n">
        <v>189</v>
      </c>
      <c r="I4504" s="2" t="inlineStr"/>
      <c r="J4504" s="2" t="inlineStr"/>
      <c r="K4504" s="3" t="inlineStr">
        <is>
          <t>Павел Набатников, воевавший в Афганистане, возвращается в свою деревню, решив поставить на родительском пепелище новый дом с тем, чтобы сделать первый шаг к возрождению заброшенной деревни.</t>
        </is>
      </c>
      <c r="L4504" s="2" t="inlineStr">
        <is>
          <t>Кино_СССР сводный каталог.xlsx: список телефильмов</t>
        </is>
      </c>
      <c r="M4504" s="2">
        <f>HYPERLINK("https://ru.wikipedia.org/w/index.php?search=%D0%9D%D0%B5%20%D0%B7%D0%B0%D0%B1%D1%83%D0%B4%D1%8C%20%D0%BE%D0%B3%D0%BB%D1%8F%D0%BD%D1%83%D1%82%D1%8C%D1%81%D1%8F%201988%20%D1%84%D0%B8%D0%BB%D1%8C%D0%BC","искать")</f>
        <v/>
      </c>
      <c r="N4504" s="3" t="n"/>
      <c r="O4504" s="2" t="n"/>
      <c r="P4504" s="2" t="n"/>
    </row>
    <row r="4505">
      <c r="A4505" s="2" t="n">
        <v>4504</v>
      </c>
      <c r="B4505" s="2" t="inlineStr">
        <is>
          <t>короткая</t>
        </is>
      </c>
      <c r="C4505" s="2" t="n">
        <v>8180</v>
      </c>
      <c r="D4505" s="3" t="inlineStr">
        <is>
          <t>Почти два месяца</t>
        </is>
      </c>
      <c r="E4505" s="2" t="n">
        <v>1980</v>
      </c>
      <c r="F4505" s="2" t="inlineStr">
        <is>
          <t>телефильм</t>
        </is>
      </c>
      <c r="G4505" s="2" t="n"/>
      <c r="H4505" s="2" t="n">
        <v>189</v>
      </c>
      <c r="I4505" s="2" t="inlineStr"/>
      <c r="J4505" s="2" t="inlineStr"/>
      <c r="K4505" s="3" t="inlineStr">
        <is>
          <t>Телефильм о работе стройотряда грузинских студентов в Смоленской области. О становлении характеров молодых ребят, впервые покинувших родной дом, чтобы начать взрослую самостоятельную жизнь.</t>
        </is>
      </c>
      <c r="L4505" s="2" t="inlineStr">
        <is>
          <t>Кино_СССР сводный каталог.xlsx: список телефильмов</t>
        </is>
      </c>
      <c r="M4505" s="2">
        <f>HYPERLINK("https://ru.wikipedia.org/w/index.php?search=%D0%9F%D0%BE%D1%87%D1%82%D0%B8%20%D0%B4%D0%B2%D0%B0%20%D0%BC%D0%B5%D1%81%D1%8F%D1%86%D0%B0%201980%20%D1%84%D0%B8%D0%BB%D1%8C%D0%BC","искать")</f>
        <v/>
      </c>
      <c r="N4505" s="3" t="n"/>
      <c r="O4505" s="2" t="n"/>
      <c r="P4505" s="2" t="n"/>
    </row>
    <row r="4506">
      <c r="A4506" s="2" t="n">
        <v>4505</v>
      </c>
      <c r="B4506" s="2" t="inlineStr">
        <is>
          <t>короткая</t>
        </is>
      </c>
      <c r="C4506" s="2" t="n">
        <v>9812</v>
      </c>
      <c r="D4506" s="3" t="inlineStr">
        <is>
          <t>Весенний дождь</t>
        </is>
      </c>
      <c r="E4506" s="2" t="n">
        <v>1958</v>
      </c>
      <c r="F4506" s="2" t="inlineStr">
        <is>
          <t>кинофильм</t>
        </is>
      </c>
      <c r="G4506" s="2" t="inlineStr">
        <is>
          <t>Учебная киностудия ВГИК</t>
        </is>
      </c>
      <c r="H4506" s="2" t="n">
        <v>189</v>
      </c>
      <c r="I4506" s="2" t="inlineStr"/>
      <c r="J4506" s="2" t="inlineStr"/>
      <c r="K4506" s="3" t="inlineStr">
        <is>
          <t>Курсовая работа студентов мастерской С.А.Герасимова - Киры Муратовой и Александра Муратова. История встречи и отношений между Катей и Костей, молодыми людьми, вступающими во взрослую жизнь.</t>
        </is>
      </c>
      <c r="L4506" s="2" t="inlineStr">
        <is>
          <t>https://www.kino-teatr.ru/short/movie/sov/98469/annot/</t>
        </is>
      </c>
      <c r="M4506" s="2">
        <f>HYPERLINK("https://ru.wikipedia.org/w/index.php?search=%D0%92%D0%B5%D1%81%D0%B5%D0%BD%D0%BD%D0%B8%D0%B9%20%D0%B4%D0%BE%D0%B6%D0%B4%D1%8C%201958%20%D1%84%D0%B8%D0%BB%D1%8C%D0%BC","искать")</f>
        <v/>
      </c>
      <c r="N4506" s="3" t="n"/>
      <c r="O4506" s="2" t="n"/>
      <c r="P4506" s="2" t="n"/>
    </row>
    <row r="4507">
      <c r="A4507" s="2" t="n">
        <v>4506</v>
      </c>
      <c r="B4507" s="2" t="inlineStr">
        <is>
          <t>короткая</t>
        </is>
      </c>
      <c r="C4507" s="2" t="n">
        <v>10032</v>
      </c>
      <c r="D4507" s="3" t="inlineStr">
        <is>
          <t>Окно</t>
        </is>
      </c>
      <c r="E4507" s="2" t="n">
        <v>1988</v>
      </c>
      <c r="F4507" s="2" t="inlineStr">
        <is>
          <t>телефильм</t>
        </is>
      </c>
      <c r="G4507" s="2" t="inlineStr">
        <is>
          <t>ТО "Экран"</t>
        </is>
      </c>
      <c r="H4507" s="2" t="n">
        <v>189</v>
      </c>
      <c r="I4507" s="2" t="inlineStr"/>
      <c r="J4507" s="2" t="inlineStr"/>
      <c r="K4507" s="3" t="inlineStr">
        <is>
          <t>Георгий - скромный, интеллигентный человек - из-за своей нерешительности постоянно попадает впросак. Наблюдая за решительными людьми, герой меняет манеру своего поведения... Фильм без слов.</t>
        </is>
      </c>
      <c r="L4507" s="2" t="inlineStr">
        <is>
          <t>https://www.kino-teatr.ru/short/movie/sov/12038/annot/</t>
        </is>
      </c>
      <c r="M4507" s="2">
        <f>HYPERLINK("https://ru.wikipedia.org/w/index.php?search=%D0%9E%D0%BA%D0%BD%D0%BE%201988%20%D1%84%D0%B8%D0%BB%D1%8C%D0%BC","искать")</f>
        <v/>
      </c>
      <c r="N4507" s="3" t="n"/>
      <c r="O4507" s="2" t="n"/>
      <c r="P4507" s="2" t="inlineStr">
        <is>
          <t>ГФФ: «Окно» 1989 — год отличается, проверить — по сверке другой фильм, не предложено</t>
        </is>
      </c>
    </row>
    <row r="4508">
      <c r="A4508" s="2" t="n">
        <v>4507</v>
      </c>
      <c r="B4508" s="2" t="inlineStr">
        <is>
          <t>короткая</t>
        </is>
      </c>
      <c r="C4508" s="2" t="n">
        <v>10969</v>
      </c>
      <c r="D4508" s="3" t="inlineStr">
        <is>
          <t>Солдат и змея</t>
        </is>
      </c>
      <c r="E4508" s="2" t="n">
        <v>1982</v>
      </c>
      <c r="F4508" s="2" t="inlineStr">
        <is>
          <t>фильм-спектакль</t>
        </is>
      </c>
      <c r="G4508" s="2" t="inlineStr">
        <is>
          <t>Главная редакция программ для детей и юношества ЦТ</t>
        </is>
      </c>
      <c r="H4508" s="2" t="n">
        <v>189</v>
      </c>
      <c r="I4508" s="2" t="inlineStr"/>
      <c r="J4508" s="2" t="inlineStr"/>
      <c r="K4508" s="3" t="inlineStr">
        <is>
          <t>По мотивам одноименной сказки Тамары Габбе.
О том, как любовь солдата Жана и рыбачки Жаннетты, помогла им преодолеть все невзгоды, победить злую колдунью и наказать неблагодарную принцессу.</t>
        </is>
      </c>
      <c r="L4508" s="2" t="inlineStr">
        <is>
          <t>https://www.kino-teatr.ru/teatr/movie/102334/annot/</t>
        </is>
      </c>
      <c r="M4508" s="2">
        <f>HYPERLINK("https://ru.wikipedia.org/w/index.php?search=%D0%A1%D0%BE%D0%BB%D0%B4%D0%B0%D1%82%20%D0%B8%20%D0%B7%D0%BC%D0%B5%D1%8F%201982%20%D1%84%D0%B8%D0%BB%D1%8C%D0%BC","искать")</f>
        <v/>
      </c>
      <c r="N4508" s="3" t="n"/>
      <c r="O4508" s="2" t="n"/>
      <c r="P4508" s="2" t="n"/>
    </row>
    <row r="4509">
      <c r="A4509" s="2" t="n">
        <v>4508</v>
      </c>
      <c r="B4509" s="2" t="inlineStr">
        <is>
          <t>короткая</t>
        </is>
      </c>
      <c r="C4509" s="2" t="n">
        <v>12247</v>
      </c>
      <c r="D4509" s="3" t="inlineStr">
        <is>
          <t>Кот и клоун</t>
        </is>
      </c>
      <c r="E4509" s="2" t="n">
        <v>1988</v>
      </c>
      <c r="F4509" s="2" t="inlineStr">
        <is>
          <t>мультфильм</t>
        </is>
      </c>
      <c r="G4509" s="2" t="inlineStr">
        <is>
          <t>Союзмультфильм</t>
        </is>
      </c>
      <c r="H4509" s="2" t="n">
        <v>189</v>
      </c>
      <c r="I4509" s="2" t="inlineStr"/>
      <c r="J4509" s="2" t="inlineStr"/>
      <c r="K4509" s="3" t="inlineStr">
        <is>
          <t>История в жанре буффонады о коте, который обладал способностью превращения. Наряду со зрелищным цирковым сюжетом, раскрывает сложные психологические отношения зрелого и детского характеров.</t>
        </is>
      </c>
      <c r="L4509" s="2" t="inlineStr">
        <is>
          <t>https://animator.ru/db/?p=show_film&amp;fid=3364</t>
        </is>
      </c>
      <c r="M4509" s="2">
        <f>HYPERLINK("https://ru.wikipedia.org/w/index.php?search=%D0%9A%D0%BE%D1%82%20%D0%B8%20%D0%BA%D0%BB%D0%BE%D1%83%D0%BD%201988%20%D1%84%D0%B8%D0%BB%D1%8C%D0%BC","искать")</f>
        <v/>
      </c>
      <c r="N4509" s="3" t="n"/>
      <c r="O4509" s="2" t="n"/>
      <c r="P4509" s="2" t="n"/>
    </row>
    <row r="4510">
      <c r="A4510" s="2" t="n">
        <v>4509</v>
      </c>
      <c r="B4510" s="2" t="inlineStr">
        <is>
          <t>короткая</t>
        </is>
      </c>
      <c r="C4510" s="2" t="n">
        <v>10409</v>
      </c>
      <c r="D4510" s="3" t="inlineStr">
        <is>
          <t>Нет меня счастливее</t>
        </is>
      </c>
      <c r="E4510" s="2" t="n">
        <v>1971</v>
      </c>
      <c r="F4510" s="2" t="inlineStr">
        <is>
          <t>фильм-спектакль</t>
        </is>
      </c>
      <c r="G4510" s="2" t="inlineStr">
        <is>
          <t>ТО "Экран"</t>
        </is>
      </c>
      <c r="H4510" s="2" t="n">
        <v>190</v>
      </c>
      <c r="I4510" s="2" t="inlineStr"/>
      <c r="J4510" s="2" t="inlineStr"/>
      <c r="K4510" s="3" t="inlineStr">
        <is>
          <t>Музыкальный фильм с участием звезды московской оперетты Татьяны Шмыги. В фильме вы увидите фрагменты самых популярных оперетт и сам процесс достижения «легкости» на репетициях в танцклассах.</t>
        </is>
      </c>
      <c r="L4510" s="2" t="inlineStr">
        <is>
          <t>https://www.kino-teatr.ru/teatr/movie/138511/annot/</t>
        </is>
      </c>
      <c r="M4510" s="2">
        <f>HYPERLINK("https://ru.wikipedia.org/w/index.php?search=%D0%9D%D0%B5%D1%82%20%D0%BC%D0%B5%D0%BD%D1%8F%20%D1%81%D1%87%D0%B0%D1%81%D1%82%D0%BB%D0%B8%D0%B2%D0%B5%D0%B5%201971%20%D1%84%D0%B8%D0%BB%D1%8C%D0%BC","искать")</f>
        <v/>
      </c>
      <c r="N4510" s="3" t="n"/>
      <c r="O4510" s="2" t="n"/>
      <c r="P4510" s="2" t="n"/>
    </row>
    <row r="4511">
      <c r="A4511" s="2" t="n">
        <v>4510</v>
      </c>
      <c r="B4511" s="2" t="inlineStr">
        <is>
          <t>короткая</t>
        </is>
      </c>
      <c r="C4511" s="2" t="n">
        <v>12587</v>
      </c>
      <c r="D4511" s="3" t="inlineStr">
        <is>
          <t>Тяв и Гав</t>
        </is>
      </c>
      <c r="E4511" s="2" t="n">
        <v>1967</v>
      </c>
      <c r="F4511" s="2" t="inlineStr">
        <is>
          <t>мультфильм</t>
        </is>
      </c>
      <c r="G4511" s="2" t="inlineStr">
        <is>
          <t>КИЕВНАУЧФИЛЬМ</t>
        </is>
      </c>
      <c r="H4511" s="2" t="n">
        <v>190</v>
      </c>
      <c r="I4511" s="2" t="inlineStr"/>
      <c r="J4511" s="2" t="inlineStr"/>
      <c r="K4511" s="3" t="inlineStr">
        <is>
          <t>Веселые собачки Тяв и Гав охраняют улей. Этих сторожей боятся и петух, и поросенок. Но вот появился медведь и утвщил улей. Тяв и Гав преследуют его. Им удается обмануть медведя и спасти улей</t>
        </is>
      </c>
      <c r="L4511" s="2" t="inlineStr">
        <is>
          <t>https://gosfilmofond.ru/films/254296/</t>
        </is>
      </c>
      <c r="M4511" s="2">
        <f>HYPERLINK("https://ru.wikipedia.org/w/index.php?search=%D0%A2%D1%8F%D0%B2%20%D0%B8%20%D0%93%D0%B0%D0%B2%201967%20%D1%84%D0%B8%D0%BB%D1%8C%D0%BC","искать")</f>
        <v/>
      </c>
      <c r="N4511" s="3" t="n"/>
      <c r="O4511" s="2" t="n"/>
      <c r="P4511" s="2" t="n"/>
    </row>
    <row r="4512">
      <c r="A4512" s="2" t="n">
        <v>4511</v>
      </c>
      <c r="B4512" s="2" t="inlineStr">
        <is>
          <t>короткая</t>
        </is>
      </c>
      <c r="C4512" s="2" t="n">
        <v>8619</v>
      </c>
      <c r="D4512" s="3" t="inlineStr">
        <is>
          <t>86400 секунд работы дежурной части милиции</t>
        </is>
      </c>
      <c r="E4512" s="2" t="n">
        <v>1988</v>
      </c>
      <c r="F4512" s="2" t="inlineStr">
        <is>
          <t>кинофильм</t>
        </is>
      </c>
      <c r="G4512" s="2" t="n"/>
      <c r="H4512" s="2" t="n">
        <v>191</v>
      </c>
      <c r="I4512" s="2" t="inlineStr"/>
      <c r="J4512" s="2" t="inlineStr"/>
      <c r="K4512" s="3" t="inlineStr">
        <is>
          <t>Основан на реальных событиях 1974 года в Риге: ограбление инкассаторов и убийства водителя. В фильме принимал участие личный состав Горьковского, Одесского облисполкомов и УВД Латвийской ССР.</t>
        </is>
      </c>
      <c r="L4512" s="2" t="inlineStr">
        <is>
          <t>Кино_СССР сводный каталог.xlsx: список фильмов (доп.)</t>
        </is>
      </c>
      <c r="M4512" s="2">
        <f>HYPERLINK("https://ru.wikipedia.org/w/index.php?search=86400%20%D1%81%D0%B5%D0%BA%D1%83%D0%BD%D0%B4%20%D1%80%D0%B0%D0%B1%D0%BE%D1%82%D1%8B%20%D0%B4%D0%B5%D0%B6%D1%83%D1%80%D0%BD%D0%BE%D0%B9%20%D1%87%D0%B0%D1%81%D1%82%D0%B8%20%D0%BC%D0%B8%D0%BB%D0%B8%D1%86%D0%B8%D0%B8%201988%20%D1%84%D0%B8%D0%BB%D1%8C%D0%BC","искать")</f>
        <v/>
      </c>
      <c r="N4512" s="3" t="n"/>
      <c r="O4512" s="2" t="n"/>
      <c r="P4512" s="2" t="n"/>
    </row>
    <row r="4513">
      <c r="A4513" s="2" t="n">
        <v>4512</v>
      </c>
      <c r="B4513" s="2" t="inlineStr">
        <is>
          <t>короткая</t>
        </is>
      </c>
      <c r="C4513" s="2" t="n">
        <v>9999</v>
      </c>
      <c r="D4513" s="3" t="inlineStr">
        <is>
          <t>Полуночная бабочка</t>
        </is>
      </c>
      <c r="E4513" s="2" t="n">
        <v>1984</v>
      </c>
      <c r="F4513" s="2" t="inlineStr">
        <is>
          <t>кинофильм</t>
        </is>
      </c>
      <c r="G4513" s="2" t="inlineStr">
        <is>
          <t>Грузия-фильм</t>
        </is>
      </c>
      <c r="H4513" s="2" t="n">
        <v>191</v>
      </c>
      <c r="I4513" s="2" t="inlineStr"/>
      <c r="J4513" s="2" t="inlineStr"/>
      <c r="K4513" s="3" t="inlineStr">
        <is>
          <t>Музыкальная кинокомедия. Саксофонист Евгений гуляет по ночному городу. Его преследует мелодия, назойливый мотив, как порхающая бабочка он то возникает, то вновь растворяется в ночном сумраке.</t>
        </is>
      </c>
      <c r="L4513" s="2" t="inlineStr">
        <is>
          <t>https://www.kino-teatr.ru/short/movie/sov/84605/annot/</t>
        </is>
      </c>
      <c r="M4513" s="2">
        <f>HYPERLINK("https://ru.wikipedia.org/w/index.php?search=%D0%9F%D0%BE%D0%BB%D1%83%D0%BD%D0%BE%D1%87%D0%BD%D0%B0%D1%8F%20%D0%B1%D0%B0%D0%B1%D0%BE%D1%87%D0%BA%D0%B0%201984%20%D1%84%D0%B8%D0%BB%D1%8C%D0%BC","искать")</f>
        <v/>
      </c>
      <c r="N4513" s="3" t="n"/>
      <c r="O4513" s="2" t="n"/>
      <c r="P4513" s="2" t="n"/>
    </row>
    <row r="4514">
      <c r="A4514" s="2" t="n">
        <v>4513</v>
      </c>
      <c r="B4514" s="2" t="inlineStr">
        <is>
          <t>короткая</t>
        </is>
      </c>
      <c r="C4514" s="2" t="n">
        <v>10529</v>
      </c>
      <c r="D4514" s="3" t="inlineStr">
        <is>
          <t>Транзит на север</t>
        </is>
      </c>
      <c r="E4514" s="2" t="n">
        <v>1973</v>
      </c>
      <c r="F4514" s="2" t="inlineStr">
        <is>
          <t>фильм-спектакль</t>
        </is>
      </c>
      <c r="G4514" s="2" t="inlineStr">
        <is>
          <t>Центральное телевидение</t>
        </is>
      </c>
      <c r="H4514" s="2" t="n">
        <v>191</v>
      </c>
      <c r="I4514" s="2" t="inlineStr"/>
      <c r="J4514" s="2" t="inlineStr"/>
      <c r="K4514" s="3" t="inlineStr">
        <is>
          <t>Главный герой - снабженец Огурцов - подлинный энтузиаст своего дела. Задержавшись из-за непогоды с необычным грузом - цветами, он делает все, чтобы доставить цветы в далекий северный городок.</t>
        </is>
      </c>
      <c r="L4514" s="2" t="inlineStr">
        <is>
          <t>https://www.kino-teatr.ru/teatr/movie/93060/annot/</t>
        </is>
      </c>
      <c r="M4514" s="2">
        <f>HYPERLINK("https://ru.wikipedia.org/w/index.php?search=%D0%A2%D1%80%D0%B0%D0%BD%D0%B7%D0%B8%D1%82%20%D0%BD%D0%B0%20%D1%81%D0%B5%D0%B2%D0%B5%D1%80%201973%20%D1%84%D0%B8%D0%BB%D1%8C%D0%BC","искать")</f>
        <v/>
      </c>
      <c r="N4514" s="3" t="n"/>
      <c r="O4514" s="2" t="n"/>
      <c r="P4514" s="2" t="n"/>
    </row>
    <row r="4515">
      <c r="A4515" s="2" t="n">
        <v>4514</v>
      </c>
      <c r="B4515" s="2" t="inlineStr">
        <is>
          <t>короткая</t>
        </is>
      </c>
      <c r="C4515" s="2" t="n">
        <v>11640</v>
      </c>
      <c r="D4515" s="3" t="inlineStr">
        <is>
          <t>Необитаемый остров</t>
        </is>
      </c>
      <c r="E4515" s="2" t="n">
        <v>1971</v>
      </c>
      <c r="F4515" s="2" t="inlineStr">
        <is>
          <t>мультфильм</t>
        </is>
      </c>
      <c r="G4515" s="2" t="inlineStr">
        <is>
          <t>Союзмультфильм</t>
        </is>
      </c>
      <c r="H4515" s="2" t="n">
        <v>191</v>
      </c>
      <c r="I4515" s="2" t="inlineStr"/>
      <c r="J4515" s="2" t="inlineStr"/>
      <c r="K4515" s="3" t="inlineStr">
        <is>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is>
      </c>
      <c r="L4515" s="2" t="inlineStr">
        <is>
          <t>2026-10_мультфильмы_список_владельца.xlsx; https://animator.ru/db/?p=show_film&amp;fid=2554</t>
        </is>
      </c>
      <c r="M4515" s="2">
        <f>HYPERLINK("https://ru.wikipedia.org/w/index.php?search=%D0%9D%D0%B5%D0%BE%D0%B1%D0%B8%D1%82%D0%B0%D0%B5%D0%BC%D1%8B%D0%B9%20%D0%BE%D1%81%D1%82%D1%80%D0%BE%D0%B2%201971%20%D1%84%D0%B8%D0%BB%D1%8C%D0%BC","искать")</f>
        <v/>
      </c>
      <c r="N4515" s="3" t="n"/>
      <c r="O4515" s="2" t="n"/>
      <c r="P4515" s="2" t="n"/>
    </row>
    <row r="4516">
      <c r="A4516" s="2" t="n">
        <v>4515</v>
      </c>
      <c r="B4516" s="2" t="inlineStr">
        <is>
          <t>короткая</t>
        </is>
      </c>
      <c r="C4516" s="2" t="n">
        <v>12169</v>
      </c>
      <c r="D4516" s="3" t="inlineStr">
        <is>
          <t>Мышонок и красное солнышко</t>
        </is>
      </c>
      <c r="E4516" s="2" t="n">
        <v>1986</v>
      </c>
      <c r="F4516" s="2" t="inlineStr">
        <is>
          <t>мультфильм</t>
        </is>
      </c>
      <c r="G4516" s="2" t="inlineStr">
        <is>
          <t>Союзмультфильм</t>
        </is>
      </c>
      <c r="H4516" s="2" t="n">
        <v>192</v>
      </c>
      <c r="I4516" s="2" t="inlineStr"/>
      <c r="J4516" s="2" t="inlineStr"/>
      <c r="K4516" s="3" t="inlineStr">
        <is>
          <t>В фильме рассказывается о том, как два мышонка отправились зимой в далекое путешествие в поисках теплого солнышка. Имея различные характеры, мышата по разному ведут себя в трудном путешествии.</t>
        </is>
      </c>
      <c r="L4516" s="2" t="inlineStr">
        <is>
          <t>https://animator.ru/db/?p=show_film&amp;fid=3285</t>
        </is>
      </c>
      <c r="M4516" s="2">
        <f>HYPERLINK("https://ru.wikipedia.org/w/index.php?search=%D0%9C%D1%8B%D1%88%D0%BE%D0%BD%D0%BE%D0%BA%20%D0%B8%20%D0%BA%D1%80%D0%B0%D1%81%D0%BD%D0%BE%D0%B5%20%D1%81%D0%BE%D0%BB%D0%BD%D1%8B%D1%88%D0%BA%D0%BE%201986%20%D1%84%D0%B8%D0%BB%D1%8C%D0%BC","искать")</f>
        <v/>
      </c>
      <c r="N4516" s="3" t="n"/>
      <c r="O4516" s="2" t="n"/>
      <c r="P4516" s="2" t="n"/>
    </row>
    <row r="4517">
      <c r="A4517" s="2" t="n">
        <v>4516</v>
      </c>
      <c r="B4517" s="2" t="inlineStr">
        <is>
          <t>короткая</t>
        </is>
      </c>
      <c r="C4517" s="2" t="n">
        <v>12319</v>
      </c>
      <c r="D4517" s="3" t="inlineStr">
        <is>
          <t>Алиса в Зазеркалье</t>
        </is>
      </c>
      <c r="E4517" s="2" t="n">
        <v>1982</v>
      </c>
      <c r="F4517" s="2" t="inlineStr">
        <is>
          <t>мультфильм</t>
        </is>
      </c>
      <c r="G4517" s="2" t="inlineStr">
        <is>
          <t>КИЕВНАУЧФИЛЬМ</t>
        </is>
      </c>
      <c r="H4517" s="2" t="n">
        <v>192</v>
      </c>
      <c r="I4517" s="2" t="inlineStr"/>
      <c r="J4517" s="2" t="inlineStr"/>
      <c r="K4517" s="3" t="inlineStr">
        <is>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t>
        </is>
      </c>
      <c r="L4517" s="2" t="inlineStr">
        <is>
          <t>2026-10_мультфильмы_список_владельца.xlsx; https://animator.ru/db/?p=show_film&amp;fid=3482</t>
        </is>
      </c>
      <c r="M4517" s="2">
        <f>HYPERLINK("https://ru.wikipedia.org/w/index.php?search=%D0%90%D0%BB%D0%B8%D1%81%D0%B0%20%D0%B2%20%D0%97%D0%B0%D0%B7%D0%B5%D1%80%D0%BA%D0%B0%D0%BB%D1%8C%D0%B5%201982%20%D1%84%D0%B8%D0%BB%D1%8C%D0%BC","искать")</f>
        <v/>
      </c>
      <c r="N4517" s="3" t="n"/>
      <c r="O4517" s="2" t="n"/>
      <c r="P4517" s="2" t="n"/>
    </row>
    <row r="4518">
      <c r="A4518" s="2" t="n">
        <v>4517</v>
      </c>
      <c r="B4518" s="2" t="inlineStr">
        <is>
          <t>короткая</t>
        </is>
      </c>
      <c r="C4518" s="2" t="n">
        <v>14277</v>
      </c>
      <c r="D4518" s="3" t="inlineStr">
        <is>
          <t>Алиса в Стране Чудес</t>
        </is>
      </c>
      <c r="E4518" s="2" t="n">
        <v>1981</v>
      </c>
      <c r="F4518" s="2" t="inlineStr">
        <is>
          <t>мультфильм</t>
        </is>
      </c>
      <c r="G4518" s="2" t="inlineStr">
        <is>
          <t>КИЕВНАУЧФИЛЬМ</t>
        </is>
      </c>
      <c r="H4518" s="2" t="n">
        <v>192</v>
      </c>
      <c r="I4518" s="2" t="inlineStr"/>
      <c r="J4518" s="2" t="inlineStr"/>
      <c r="K4518" s="3" t="inlineStr">
        <is>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t>
        </is>
      </c>
      <c r="L4518" s="2" t="inlineStr">
        <is>
          <t>2026-10_мультфильмы_список_владельца.xlsx; https://animator.ru/db/?p=show_film&amp;fid=5750</t>
        </is>
      </c>
      <c r="M4518" s="2">
        <f>HYPERLINK("https://ru.wikipedia.org/w/index.php?search=%D0%90%D0%BB%D0%B8%D1%81%D0%B0%20%D0%B2%20%D0%A1%D1%82%D1%80%D0%B0%D0%BD%D0%B5%20%D0%A7%D1%83%D0%B4%D0%B5%D1%81%201981%20%D1%84%D0%B8%D0%BB%D1%8C%D0%BC","искать")</f>
        <v/>
      </c>
      <c r="N4518" s="3" t="n"/>
      <c r="O4518" s="2" t="n"/>
      <c r="P4518" s="2" t="n"/>
    </row>
    <row r="4519">
      <c r="A4519" s="2" t="n">
        <v>4518</v>
      </c>
      <c r="B4519" s="2" t="inlineStr">
        <is>
          <t>короткая</t>
        </is>
      </c>
      <c r="C4519" s="2" t="n">
        <v>7484</v>
      </c>
      <c r="D4519" s="3" t="inlineStr">
        <is>
          <t>Двое в песках</t>
        </is>
      </c>
      <c r="E4519" s="2" t="n">
        <v>1984</v>
      </c>
      <c r="F4519" s="2" t="inlineStr">
        <is>
          <t>телефильм</t>
        </is>
      </c>
      <c r="G4519" s="2" t="n"/>
      <c r="H4519" s="2" t="n">
        <v>193</v>
      </c>
      <c r="I4519" s="2" t="inlineStr"/>
      <c r="J4519" s="2" t="inlineStr"/>
      <c r="K4519" s="3" t="inlineStr">
        <is>
          <t>Телефильм по мотивам одноимённой повести Владимира Карпова. Двух молодых солдат во время учебного боя застигла песчаная буря. В этих экстремальных условиях раскрываются характеры героев фильма.</t>
        </is>
      </c>
      <c r="L4519" s="2" t="inlineStr">
        <is>
          <t>Кино_СССР сводный каталог.xlsx: список телефильмов</t>
        </is>
      </c>
      <c r="M4519" s="2">
        <f>HYPERLINK("https://ru.wikipedia.org/w/index.php?search=%D0%94%D0%B2%D0%BE%D0%B5%20%D0%B2%20%D0%BF%D0%B5%D1%81%D0%BA%D0%B0%D1%85%201984%20%D1%84%D0%B8%D0%BB%D1%8C%D0%BC","искать")</f>
        <v/>
      </c>
      <c r="N4519" s="3" t="n"/>
      <c r="O4519" s="2" t="n"/>
      <c r="P4519" s="2" t="n"/>
    </row>
    <row r="4520">
      <c r="A4520" s="2" t="n">
        <v>4519</v>
      </c>
      <c r="B4520" s="2" t="inlineStr">
        <is>
          <t>короткая</t>
        </is>
      </c>
      <c r="C4520" s="2" t="n">
        <v>9441</v>
      </c>
      <c r="D4520" s="3" t="inlineStr">
        <is>
          <t>Кровь</t>
        </is>
      </c>
      <c r="E4520" s="2" t="n">
        <v>1990</v>
      </c>
      <c r="F4520" s="2" t="inlineStr">
        <is>
          <t>кинофильм</t>
        </is>
      </c>
      <c r="G4520" s="2" t="n"/>
      <c r="H4520" s="2" t="n">
        <v>193</v>
      </c>
      <c r="I4520" s="2" t="inlineStr"/>
      <c r="J4520" s="2" t="inlineStr"/>
      <c r="K4520" s="3" t="inlineStr">
        <is>
          <t>По повести В.Григоряна «Закрытая комната». В центре фильма - образ молодого героя, которому по драматическому стечению обстоятельств представляется возможность как бы заново прожить свою жизнь.</t>
        </is>
      </c>
      <c r="L4520" s="2" t="inlineStr">
        <is>
          <t>Кино_СССР сводный каталог.xlsx: список фильмов (доп.)</t>
        </is>
      </c>
      <c r="M4520" s="2">
        <f>HYPERLINK("https://ru.wikipedia.org/w/index.php?search=%D0%9A%D1%80%D0%BE%D0%B2%D1%8C%201990%20%D1%84%D0%B8%D0%BB%D1%8C%D0%BC","искать")</f>
        <v/>
      </c>
      <c r="N4520" s="3" t="n"/>
      <c r="O4520" s="2" t="n"/>
      <c r="P4520" s="2" t="n"/>
    </row>
    <row r="4521">
      <c r="A4521" s="2" t="n">
        <v>4520</v>
      </c>
      <c r="B4521" s="2" t="inlineStr">
        <is>
          <t>короткая</t>
        </is>
      </c>
      <c r="C4521" s="2" t="n">
        <v>11629</v>
      </c>
      <c r="D4521" s="3" t="inlineStr">
        <is>
          <t>Шкаф</t>
        </is>
      </c>
      <c r="E4521" s="2" t="n">
        <v>1971</v>
      </c>
      <c r="F4521" s="2" t="inlineStr">
        <is>
          <t>мультфильм</t>
        </is>
      </c>
      <c r="G4521" s="2" t="inlineStr">
        <is>
          <t>Союзмультфильм</t>
        </is>
      </c>
      <c r="H4521" s="2" t="n">
        <v>193</v>
      </c>
      <c r="I4521" s="2" t="inlineStr"/>
      <c r="J4521" s="2" t="inlineStr"/>
      <c r="K4521" s="3" t="inlineStr">
        <is>
          <t>Для взрослых. Притча о человеке, который так боялся жизни, что добровольно заключил себя в огромный шкаф (вариация темы "премудрого пескаря"). Второй сюжет - "Дождик" (см). Общий метраж 1 часть</t>
        </is>
      </c>
      <c r="L4521" s="2" t="inlineStr">
        <is>
          <t>https://animator.ru/db/?p=show_film&amp;fid=2543</t>
        </is>
      </c>
      <c r="M4521" s="2">
        <f>HYPERLINK("https://ru.wikipedia.org/w/index.php?search=%D0%A8%D0%BA%D0%B0%D1%84%201971%20%D1%84%D0%B8%D0%BB%D1%8C%D0%BC","искать")</f>
        <v/>
      </c>
      <c r="N4521" s="3" t="n"/>
      <c r="O4521" s="2" t="n"/>
      <c r="P4521" s="2" t="n"/>
    </row>
    <row r="4522">
      <c r="A4522" s="2" t="n">
        <v>4521</v>
      </c>
      <c r="B4522" s="2" t="inlineStr">
        <is>
          <t>короткая</t>
        </is>
      </c>
      <c r="C4522" s="2" t="n">
        <v>12295</v>
      </c>
      <c r="D4522" s="3" t="inlineStr">
        <is>
          <t>Иванушко</t>
        </is>
      </c>
      <c r="E4522" s="2" t="n">
        <v>1991</v>
      </c>
      <c r="F4522" s="2" t="inlineStr">
        <is>
          <t>мультфильм</t>
        </is>
      </c>
      <c r="G4522" s="2" t="inlineStr">
        <is>
          <t>Союзмультфильм</t>
        </is>
      </c>
      <c r="H4522" s="2" t="n">
        <v>193</v>
      </c>
      <c r="I4522" s="2" t="inlineStr"/>
      <c r="J4522" s="2" t="inlineStr"/>
      <c r="K4522" s="3" t="inlineStr">
        <is>
          <t>Маленький Иванушко отправляется вместе с гусями-лебедями в заоблачные дали. У обитателей поднебесья его ждет радушный прием, но мальчик чувствует себя одиноким и хочет вернуться на родную землю</t>
        </is>
      </c>
      <c r="L4522" s="2" t="inlineStr">
        <is>
          <t>https://gosfilmofond.ru/films/249423/</t>
        </is>
      </c>
      <c r="M4522" s="2">
        <f>HYPERLINK("https://ru.wikipedia.org/w/index.php?search=%D0%98%D0%B2%D0%B0%D0%BD%D1%83%D1%88%D0%BA%D0%BE%201991%20%D1%84%D0%B8%D0%BB%D1%8C%D0%BC","искать")</f>
        <v/>
      </c>
      <c r="N4522" s="3" t="n"/>
      <c r="O4522" s="2" t="n"/>
      <c r="P4522" s="2" t="n"/>
    </row>
    <row r="4523">
      <c r="A4523" s="2" t="n">
        <v>4522</v>
      </c>
      <c r="B4523" s="2" t="inlineStr">
        <is>
          <t>короткая</t>
        </is>
      </c>
      <c r="C4523" s="2" t="n">
        <v>14366</v>
      </c>
      <c r="D4523" s="3" t="inlineStr">
        <is>
          <t>Почему куры денег не клюют</t>
        </is>
      </c>
      <c r="E4523" s="2" t="n">
        <v>1990</v>
      </c>
      <c r="F4523" s="2" t="inlineStr">
        <is>
          <t>мультфильм</t>
        </is>
      </c>
      <c r="G4523" s="2" t="inlineStr">
        <is>
          <t>СОЮЗТЕЛЕФИЛЬМ</t>
        </is>
      </c>
      <c r="H4523" s="2" t="n">
        <v>193</v>
      </c>
      <c r="I4523" s="2" t="inlineStr"/>
      <c r="J4523" s="2" t="inlineStr"/>
      <c r="K4523" s="3" t="inlineStr">
        <is>
          <t>Петух прихвастнул семейным достатком перед котом, гусем и псом, сказав, что у него куры денег не клюют. Приятели пожелали убедиться в этом, насыпав курам монеты. Но достать денег им не удалось.</t>
        </is>
      </c>
      <c r="L4523" s="2" t="inlineStr">
        <is>
          <t>2026-10_мультфильмы_список_владельца.xlsx; https://animator.ru/db/?p=show_film&amp;fid=6183</t>
        </is>
      </c>
      <c r="M4523" s="2">
        <f>HYPERLINK("https://ru.wikipedia.org/w/index.php?search=%D0%9F%D0%BE%D1%87%D0%B5%D0%BC%D1%83%20%D0%BA%D1%83%D1%80%D1%8B%20%D0%B4%D0%B5%D0%BD%D0%B5%D0%B3%20%D0%BD%D0%B5%20%D0%BA%D0%BB%D1%8E%D1%8E%D1%82%201990%20%D1%84%D0%B8%D0%BB%D1%8C%D0%BC","искать")</f>
        <v/>
      </c>
      <c r="N4523" s="3" t="n"/>
      <c r="O4523" s="2" t="n"/>
      <c r="P4523" s="2" t="n"/>
    </row>
    <row r="4524">
      <c r="A4524" s="2" t="n">
        <v>4523</v>
      </c>
      <c r="B4524" s="2" t="inlineStr">
        <is>
          <t>короткая</t>
        </is>
      </c>
      <c r="C4524" s="2" t="n">
        <v>7282</v>
      </c>
      <c r="D4524" s="3" t="inlineStr">
        <is>
          <t>Бушует "Маргарита"</t>
        </is>
      </c>
      <c r="E4524" s="2" t="n">
        <v>1970</v>
      </c>
      <c r="F4524" s="2" t="inlineStr">
        <is>
          <t>телефильм</t>
        </is>
      </c>
      <c r="G4524" s="2" t="inlineStr">
        <is>
          <t>ТО «Экран»</t>
        </is>
      </c>
      <c r="H4524" s="2" t="n">
        <v>194</v>
      </c>
      <c r="I4524" s="2" t="inlineStr"/>
      <c r="J4524" s="2" t="inlineStr"/>
      <c r="K4524" s="3" t="inlineStr">
        <is>
          <t>Бушует циклон "Маргарита" и пассажиры в аэропорту вынуждены в предновогодние часы ожидать изменений в погоде. Ожидания ярко раскрашены выступлениями популярных в 60-70-е годы эстрадных артистов.</t>
        </is>
      </c>
      <c r="L4524" s="2" t="inlineStr">
        <is>
          <t>Кино_СССР сводный каталог.xlsx: список телефильмов</t>
        </is>
      </c>
      <c r="M4524" s="2">
        <f>HYPERLINK("https://ru.wikipedia.org/w/index.php?search=%D0%91%D1%83%D1%88%D1%83%D0%B5%D1%82%20%22%D0%9C%D0%B0%D1%80%D0%B3%D0%B0%D1%80%D0%B8%D1%82%D0%B0%22%201970%20%D1%84%D0%B8%D0%BB%D1%8C%D0%BC","искать")</f>
        <v/>
      </c>
      <c r="N4524" s="3" t="n"/>
      <c r="O4524" s="2" t="n"/>
      <c r="P4524" s="2" t="n"/>
    </row>
    <row r="4525">
      <c r="A4525" s="2" t="n">
        <v>4524</v>
      </c>
      <c r="B4525" s="2" t="inlineStr">
        <is>
          <t>короткая</t>
        </is>
      </c>
      <c r="C4525" s="2" t="n">
        <v>7674</v>
      </c>
      <c r="D4525" s="3" t="inlineStr">
        <is>
          <t>Игра без козырей</t>
        </is>
      </c>
      <c r="E4525" s="2" t="n">
        <v>1981</v>
      </c>
      <c r="F4525" s="2" t="inlineStr">
        <is>
          <t>телефильм</t>
        </is>
      </c>
      <c r="G4525" s="2" t="n"/>
      <c r="H4525" s="2" t="n">
        <v>194</v>
      </c>
      <c r="I4525" s="2" t="inlineStr"/>
      <c r="J4525" s="2" t="inlineStr"/>
      <c r="K4525" s="3" t="inlineStr">
        <is>
          <t>Телефильм. Капитану милиции Григонису поручают расследование убийства сторожа научно-исследовательского института. Рискуя жизнью, он разоблачает и обезвреживает шайку особо опасных преступников.</t>
        </is>
      </c>
      <c r="L4525" s="2" t="inlineStr">
        <is>
          <t>Кино_СССР сводный каталог.xlsx: список телефильмов</t>
        </is>
      </c>
      <c r="M4525" s="2">
        <f>HYPERLINK("https://ru.wikipedia.org/w/index.php?search=%D0%98%D0%B3%D1%80%D0%B0%20%D0%B1%D0%B5%D0%B7%20%D0%BA%D0%BE%D0%B7%D1%8B%D1%80%D0%B5%D0%B9%201981%20%D1%84%D0%B8%D0%BB%D1%8C%D0%BC","искать")</f>
        <v/>
      </c>
      <c r="N4525" s="3" t="n"/>
      <c r="O4525" s="2" t="n"/>
      <c r="P4525" s="2" t="n"/>
    </row>
    <row r="4526">
      <c r="A4526" s="2" t="n">
        <v>4525</v>
      </c>
      <c r="B4526" s="2" t="inlineStr">
        <is>
          <t>короткая</t>
        </is>
      </c>
      <c r="C4526" s="2" t="n">
        <v>8337</v>
      </c>
      <c r="D4526" s="3" t="inlineStr">
        <is>
          <t>Серебристый фургон</t>
        </is>
      </c>
      <c r="E4526" s="2" t="n">
        <v>1982</v>
      </c>
      <c r="F4526" s="2" t="inlineStr">
        <is>
          <t>телефильм</t>
        </is>
      </c>
      <c r="G4526" s="2" t="n"/>
      <c r="H4526" s="2" t="n">
        <v>194</v>
      </c>
      <c r="I4526" s="2" t="inlineStr"/>
      <c r="J4526" s="2" t="inlineStr"/>
      <c r="K4526" s="3" t="inlineStr">
        <is>
          <t>Телефильм по мотивам одноименной повести  Эльчина. В деревню на серебристом, цирковом фургоне приезжает дружелюбный, молодой человек, который дарит свою чистую любовь молодой, невезучей женщине.</t>
        </is>
      </c>
      <c r="L4526" s="2" t="inlineStr">
        <is>
          <t>Кино_СССР сводный каталог.xlsx: список телефильмов</t>
        </is>
      </c>
      <c r="M4526" s="2">
        <f>HYPERLINK("https://ru.wikipedia.org/w/index.php?search=%D0%A1%D0%B5%D1%80%D0%B5%D0%B1%D1%80%D0%B8%D1%81%D1%82%D1%8B%D0%B9%20%D1%84%D1%83%D1%80%D0%B3%D0%BE%D0%BD%201982%20%D1%84%D0%B8%D0%BB%D1%8C%D0%BC","искать")</f>
        <v/>
      </c>
      <c r="N4526" s="3" t="n"/>
      <c r="O4526" s="2" t="n"/>
      <c r="P4526" s="2" t="n"/>
    </row>
    <row r="4527">
      <c r="A4527" s="2" t="n">
        <v>4526</v>
      </c>
      <c r="B4527" s="2" t="inlineStr">
        <is>
          <t>короткая</t>
        </is>
      </c>
      <c r="C4527" s="2" t="n">
        <v>8920</v>
      </c>
      <c r="D4527" s="3" t="inlineStr">
        <is>
          <t>Пауки</t>
        </is>
      </c>
      <c r="E4527" s="2" t="n">
        <v>1987</v>
      </c>
      <c r="F4527" s="2" t="inlineStr">
        <is>
          <t>кинофильм</t>
        </is>
      </c>
      <c r="G4527" s="2" t="n"/>
      <c r="H4527" s="2" t="n">
        <v>194</v>
      </c>
      <c r="I4527" s="2" t="inlineStr"/>
      <c r="J4527" s="2" t="inlineStr"/>
      <c r="K4527" s="3" t="inlineStr">
        <is>
          <t>Фильм для служебного пользования в игровой форме показывает этапы расследования агентурного дела "Пауки", направленного на раскрытие преступной группы, осуществляющей хищения на швейной фабрике.</t>
        </is>
      </c>
      <c r="L4527" s="2" t="inlineStr">
        <is>
          <t>Кино_СССР сводный каталог.xlsx: список фильмов (доп.)</t>
        </is>
      </c>
      <c r="M4527" s="2">
        <f>HYPERLINK("https://ru.wikipedia.org/w/index.php?search=%D0%9F%D0%B0%D1%83%D0%BA%D0%B8%201987%20%D1%84%D0%B8%D0%BB%D1%8C%D0%BC","искать")</f>
        <v/>
      </c>
      <c r="N4527" s="3" t="n"/>
      <c r="O4527" s="2" t="n"/>
      <c r="P4527" s="2" t="n"/>
    </row>
    <row r="4528">
      <c r="A4528" s="2" t="n">
        <v>4527</v>
      </c>
      <c r="B4528" s="2" t="inlineStr">
        <is>
          <t>короткая</t>
        </is>
      </c>
      <c r="C4528" s="2" t="n">
        <v>9482</v>
      </c>
      <c r="D4528" s="3" t="inlineStr">
        <is>
          <t>Музыкальная смена</t>
        </is>
      </c>
      <c r="E4528" s="2" t="n">
        <v>1987</v>
      </c>
      <c r="F4528" s="2" t="inlineStr">
        <is>
          <t>кинофильм</t>
        </is>
      </c>
      <c r="G4528" s="2" t="inlineStr">
        <is>
          <t>Киностудия им. М. Горького</t>
        </is>
      </c>
      <c r="H4528" s="2" t="n">
        <v>194</v>
      </c>
      <c r="I4528" s="2" t="inlineStr"/>
      <c r="J4528" s="2" t="inlineStr"/>
      <c r="K4528" s="3" t="inlineStr">
        <is>
          <t>Художественно-публицистический музыкальный фильм для детей. О том, что детей из разных стран, говорящих на разных языках, может объединять язык музыки, понятный всем людям на Земле без перевода.</t>
        </is>
      </c>
      <c r="L4528" s="2" t="inlineStr">
        <is>
          <t>Кино_СССР сводный каталог.xlsx: список фильмов (доп.)</t>
        </is>
      </c>
      <c r="M4528" s="2">
        <f>HYPERLINK("https://ru.wikipedia.org/w/index.php?search=%D0%9C%D1%83%D0%B7%D1%8B%D0%BA%D0%B0%D0%BB%D1%8C%D0%BD%D0%B0%D1%8F%20%D1%81%D0%BC%D0%B5%D0%BD%D0%B0%201987%20%D1%84%D0%B8%D0%BB%D1%8C%D0%BC","искать")</f>
        <v/>
      </c>
      <c r="N4528" s="3" t="n"/>
      <c r="O4528" s="2" t="n"/>
      <c r="P4528" s="2" t="n"/>
    </row>
    <row r="4529">
      <c r="A4529" s="2" t="n">
        <v>4528</v>
      </c>
      <c r="B4529" s="2" t="inlineStr">
        <is>
          <t>короткая</t>
        </is>
      </c>
      <c r="C4529" s="2" t="n">
        <v>10446</v>
      </c>
      <c r="D4529" s="3" t="inlineStr">
        <is>
          <t>Красные курсанты</t>
        </is>
      </c>
      <c r="E4529" s="2" t="n">
        <v>1972</v>
      </c>
      <c r="F4529" s="2" t="inlineStr">
        <is>
          <t>фильм-спектакль</t>
        </is>
      </c>
      <c r="G4529" s="2" t="inlineStr">
        <is>
          <t>Центральное телевидение СССР</t>
        </is>
      </c>
      <c r="H4529" s="2" t="n">
        <v>194</v>
      </c>
      <c r="I4529" s="2" t="inlineStr"/>
      <c r="J4529" s="2" t="inlineStr"/>
      <c r="K4529" s="3" t="inlineStr">
        <is>
          <t>Фильм-спектакль по мотивам произведений Аркадия Гайдара о героической борьбе курсантов девятых командных курсов Красной Армии с петлюровцами.
1 серия "Синий пакет".
2 серия "На старой мельнице".</t>
        </is>
      </c>
      <c r="L4529" s="2" t="inlineStr">
        <is>
          <t>https://www.kino-teatr.ru/teatr/movie/135103/annot/</t>
        </is>
      </c>
      <c r="M4529" s="2">
        <f>HYPERLINK("https://ru.wikipedia.org/w/index.php?search=%D0%9A%D1%80%D0%B0%D1%81%D0%BD%D1%8B%D0%B5%20%D0%BA%D1%83%D1%80%D1%81%D0%B0%D0%BD%D1%82%D1%8B%201972%20%D1%84%D0%B8%D0%BB%D1%8C%D0%BC","искать")</f>
        <v/>
      </c>
      <c r="N4529" s="3" t="n"/>
      <c r="O4529" s="2" t="n"/>
      <c r="P4529" s="2" t="n"/>
    </row>
    <row r="4530">
      <c r="A4530" s="2" t="n">
        <v>4529</v>
      </c>
      <c r="B4530" s="2" t="inlineStr">
        <is>
          <t>короткая</t>
        </is>
      </c>
      <c r="C4530" s="2" t="n">
        <v>11317</v>
      </c>
      <c r="D4530" s="3" t="inlineStr">
        <is>
          <t>Пришел мужчина к женщине</t>
        </is>
      </c>
      <c r="E4530" s="2" t="n">
        <v>1990</v>
      </c>
      <c r="F4530" s="2" t="inlineStr">
        <is>
          <t>фильм-спектакль</t>
        </is>
      </c>
      <c r="G4530" s="2" t="n"/>
      <c r="H4530" s="2" t="n">
        <v>194</v>
      </c>
      <c r="I4530" s="2" t="inlineStr"/>
      <c r="J4530" s="2" t="inlineStr"/>
      <c r="K4530" s="3" t="inlineStr">
        <is>
          <t>Спектакль театра "Школа современной пьесы".
В квартире нового жилого дома скучает одинокая телефонистка Дина Федоровна. Друзья решают познакомить ее с Виктором Петровичем - одиноким фармацевтом.</t>
        </is>
      </c>
      <c r="L4530" s="2" t="inlineStr">
        <is>
          <t>https://www.kino-teatr.ru/teatr/movie/81606/annot/</t>
        </is>
      </c>
      <c r="M4530" s="2">
        <f>HYPERLINK("https://ru.wikipedia.org/w/index.php?search=%D0%9F%D1%80%D0%B8%D1%88%D0%B5%D0%BB%20%D0%BC%D1%83%D0%B6%D1%87%D0%B8%D0%BD%D0%B0%20%D0%BA%20%D0%B6%D0%B5%D0%BD%D1%89%D0%B8%D0%BD%D0%B5%201990%20%D1%84%D0%B8%D0%BB%D1%8C%D0%BC","искать")</f>
        <v/>
      </c>
      <c r="N4530" s="3" t="n"/>
      <c r="O4530" s="2" t="n"/>
      <c r="P4530" s="2" t="n"/>
    </row>
    <row r="4531">
      <c r="A4531" s="2" t="n">
        <v>4530</v>
      </c>
      <c r="B4531" s="2" t="inlineStr">
        <is>
          <t>короткая</t>
        </is>
      </c>
      <c r="C4531" s="2" t="n">
        <v>11322</v>
      </c>
      <c r="D4531" s="3" t="inlineStr">
        <is>
          <t>Сказка о потерянном времени</t>
        </is>
      </c>
      <c r="E4531" s="2" t="n">
        <v>1990</v>
      </c>
      <c r="F4531" s="2" t="inlineStr">
        <is>
          <t>фильм-спектакль</t>
        </is>
      </c>
      <c r="G4531" s="2" t="inlineStr">
        <is>
          <t>Панорама (Петербург)</t>
        </is>
      </c>
      <c r="H4531" s="2" t="n">
        <v>194</v>
      </c>
      <c r="I4531" s="2" t="inlineStr"/>
      <c r="J4531" s="2" t="inlineStr"/>
      <c r="K4531" s="3" t="inlineStr">
        <is>
          <t>По одноименной пьесе Е.Шварца в постановке Ленинградского Большого театра кукол. О невероятных приключениях третьеклассника Пети Зубова, который напрасно терял время... Постановка В.Сударушкина.</t>
        </is>
      </c>
      <c r="L4531" s="2" t="inlineStr">
        <is>
          <t>https://www.kino-teatr.ru/teatr/movie/9758/annot/</t>
        </is>
      </c>
      <c r="M4531" s="2">
        <f>HYPERLINK("https://ru.wikipedia.org/w/index.php?search=%D0%A1%D0%BA%D0%B0%D0%B7%D0%BA%D0%B0%20%D0%BE%20%D0%BF%D0%BE%D1%82%D0%B5%D1%80%D1%8F%D0%BD%D0%BD%D0%BE%D0%BC%20%D0%B2%D1%80%D0%B5%D0%BC%D0%B5%D0%BD%D0%B8%201990%20%D1%84%D0%B8%D0%BB%D1%8C%D0%BC","искать")</f>
        <v/>
      </c>
      <c r="N4531" s="3" t="n"/>
      <c r="O4531" s="2" t="n"/>
      <c r="P4531" s="2" t="n"/>
    </row>
    <row r="4532">
      <c r="A4532" s="2" t="n">
        <v>4531</v>
      </c>
      <c r="B4532" s="2" t="inlineStr">
        <is>
          <t>короткая</t>
        </is>
      </c>
      <c r="C4532" s="2" t="n">
        <v>7718</v>
      </c>
      <c r="D4532" s="3" t="inlineStr">
        <is>
          <t>Кармелюк</t>
        </is>
      </c>
      <c r="E4532" s="2" t="n">
        <v>1985</v>
      </c>
      <c r="F4532" s="2" t="inlineStr">
        <is>
          <t>телефильм</t>
        </is>
      </c>
      <c r="G4532" s="2" t="inlineStr">
        <is>
          <t>к/с им. Довженко</t>
        </is>
      </c>
      <c r="H4532" s="2" t="n">
        <v>195</v>
      </c>
      <c r="I4532" s="2" t="inlineStr"/>
      <c r="J4532" s="2" t="inlineStr"/>
      <c r="K4532" s="3" t="inlineStr">
        <is>
          <t>Четырехсерийный телефильм про легендарного предводителя украинских борцов за свободу Устима Кармелюка, поднявшего крестьянское восстание против помещиков и польской шляхты в 30-е годы 19-го века.</t>
        </is>
      </c>
      <c r="L4532" s="2" t="inlineStr">
        <is>
          <t>Кино_СССР сводный каталог.xlsx: список телефильмов</t>
        </is>
      </c>
      <c r="M4532" s="2">
        <f>HYPERLINK("https://ru.wikipedia.org/w/index.php?search=%D0%9A%D0%B0%D1%80%D0%BC%D0%B5%D0%BB%D1%8E%D0%BA%201985%20%D1%84%D0%B8%D0%BB%D1%8C%D0%BC","искать")</f>
        <v/>
      </c>
      <c r="N4532" s="3" t="n"/>
      <c r="O4532" s="2" t="n"/>
      <c r="P4532" s="2" t="n"/>
    </row>
    <row r="4533">
      <c r="A4533" s="2" t="n">
        <v>4532</v>
      </c>
      <c r="B4533" s="2" t="inlineStr">
        <is>
          <t>короткая</t>
        </is>
      </c>
      <c r="C4533" s="2" t="n">
        <v>13932</v>
      </c>
      <c r="D4533" s="3" t="inlineStr">
        <is>
          <t>Тюк!</t>
        </is>
      </c>
      <c r="E4533" s="2" t="n">
        <v>1990</v>
      </c>
      <c r="F4533" s="2" t="inlineStr">
        <is>
          <t>мультфильм</t>
        </is>
      </c>
      <c r="G4533" s="2" t="inlineStr">
        <is>
          <t>ЭКРАН</t>
        </is>
      </c>
      <c r="H4533" s="2" t="n">
        <v>195</v>
      </c>
      <c r="I4533" s="2" t="inlineStr"/>
      <c r="J4533" s="2" t="inlineStr"/>
      <c r="K4533" s="3" t="inlineStr">
        <is>
          <t>По мотивам рассказов М.Зощенко "Галоша" и "Мороженое", Д.Хармса "Тюк!". О том, что видели во время прогулки Минька и Леля, пытавшиеся продать тряпичнику галоши, принадлежащие гостям их родителей.</t>
        </is>
      </c>
      <c r="L4533" s="2" t="inlineStr">
        <is>
          <t>https://animator.ru/db/?p=show_film&amp;fid=5326</t>
        </is>
      </c>
      <c r="M4533" s="2">
        <f>HYPERLINK("https://ru.wikipedia.org/w/index.php?search=%D0%A2%D1%8E%D0%BA%21%201990%20%D1%84%D0%B8%D0%BB%D1%8C%D0%BC","искать")</f>
        <v/>
      </c>
      <c r="N4533" s="3" t="n"/>
      <c r="O4533" s="2" t="n"/>
      <c r="P4533" s="2" t="n"/>
    </row>
    <row r="4534">
      <c r="A4534" s="2" t="n">
        <v>4533</v>
      </c>
      <c r="B4534" s="2" t="inlineStr">
        <is>
          <t>короткая</t>
        </is>
      </c>
      <c r="C4534" s="2" t="n">
        <v>8928</v>
      </c>
      <c r="D4534" s="3" t="inlineStr">
        <is>
          <t>Песня о Довбуше</t>
        </is>
      </c>
      <c r="E4534" s="2" t="n">
        <v>1941</v>
      </c>
      <c r="F4534" s="2" t="inlineStr">
        <is>
          <t>кинофильм</t>
        </is>
      </c>
      <c r="G4534" s="2" t="n"/>
      <c r="H4534" s="2" t="n">
        <v>196</v>
      </c>
      <c r="I4534" s="2" t="inlineStr"/>
      <c r="J4534" s="2" t="inlineStr"/>
      <c r="K4534" s="3" t="inlineStr">
        <is>
          <t>Об одном из самых известных украинских борцов за свободу - Олексе Довбуше. Он и его повстанцы долго наводили страх и сеяли панику среди помещиков на территории Карпат. Съемки фильма были прерваны.</t>
        </is>
      </c>
      <c r="L4534" s="2" t="inlineStr">
        <is>
          <t>Кино_СССР сводный каталог.xlsx: список фильмов (доп.)</t>
        </is>
      </c>
      <c r="M4534" s="2">
        <f>HYPERLINK("https://ru.wikipedia.org/w/index.php?search=%D0%9F%D0%B5%D1%81%D0%BD%D1%8F%20%D0%BE%20%D0%94%D0%BE%D0%B2%D0%B1%D1%83%D1%88%D0%B5%201941%20%D1%84%D0%B8%D0%BB%D1%8C%D0%BC","искать")</f>
        <v/>
      </c>
      <c r="N4534" s="3" t="n"/>
      <c r="O4534" s="2" t="n"/>
      <c r="P4534" s="2" t="n"/>
    </row>
    <row r="4535">
      <c r="A4535" s="2" t="n">
        <v>4534</v>
      </c>
      <c r="B4535" s="2" t="inlineStr">
        <is>
          <t>короткая</t>
        </is>
      </c>
      <c r="C4535" s="2" t="n">
        <v>9054</v>
      </c>
      <c r="D4535" s="3" t="inlineStr">
        <is>
          <t>Собачье счастье</t>
        </is>
      </c>
      <c r="E4535" s="2" t="n">
        <v>1991</v>
      </c>
      <c r="F4535" s="2" t="inlineStr">
        <is>
          <t>кинофильм</t>
        </is>
      </c>
      <c r="G4535" s="2" t="n"/>
      <c r="H4535" s="2" t="n">
        <v>196</v>
      </c>
      <c r="I4535" s="2" t="inlineStr"/>
      <c r="J4535" s="2" t="inlineStr"/>
      <c r="K4535" s="3" t="inlineStr">
        <is>
          <t>Пудель по кличке Малыш увязался за своим маленьким хозяином в школу, но там был выдворен на школьный двор и потерялся. Андрей и его родители искали Малыша по всему городу, но тот как в воду канул.</t>
        </is>
      </c>
      <c r="L4535" s="2" t="inlineStr">
        <is>
          <t>Кино_СССР сводный каталог.xlsx: список фильмов (доп.)</t>
        </is>
      </c>
      <c r="M4535" s="2">
        <f>HYPERLINK("https://ru.wikipedia.org/w/index.php?search=%D0%A1%D0%BE%D0%B1%D0%B0%D1%87%D1%8C%D0%B5%20%D1%81%D1%87%D0%B0%D1%81%D1%82%D1%8C%D0%B5%201991%20%D1%84%D0%B8%D0%BB%D1%8C%D0%BC","искать")</f>
        <v/>
      </c>
      <c r="N4535" s="3" t="n"/>
      <c r="O4535" s="2" t="n"/>
      <c r="P4535" s="2" t="n"/>
    </row>
    <row r="4536">
      <c r="A4536" s="2" t="n">
        <v>4535</v>
      </c>
      <c r="B4536" s="2" t="inlineStr">
        <is>
          <t>короткая</t>
        </is>
      </c>
      <c r="C4536" s="2" t="n">
        <v>9074</v>
      </c>
      <c r="D4536" s="3" t="inlineStr">
        <is>
          <t>Судный день</t>
        </is>
      </c>
      <c r="E4536" s="2" t="n">
        <v>1991</v>
      </c>
      <c r="F4536" s="2" t="inlineStr">
        <is>
          <t>кинофильм</t>
        </is>
      </c>
      <c r="G4536" s="2" t="n"/>
      <c r="H4536" s="2" t="n">
        <v>196</v>
      </c>
      <c r="I4536" s="2" t="inlineStr"/>
      <c r="J4536" s="2" t="inlineStr"/>
      <c r="K4536" s="3" t="inlineStr">
        <is>
          <t>Дружбу двух мужчин разрушает предательство: один отправляет другого в тюрьму по ложному обвинению и женится на его возлюбленной. Выйдя на свободу, пострадавший узнаёт правду и стремится отомстить.</t>
        </is>
      </c>
      <c r="L4536" s="2" t="inlineStr">
        <is>
          <t>Кино_СССР сводный каталог.xlsx: список фильмов (доп.)</t>
        </is>
      </c>
      <c r="M4536" s="2">
        <f>HYPERLINK("https://ru.wikipedia.org/w/index.php?search=%D0%A1%D1%83%D0%B4%D0%BD%D1%8B%D0%B9%20%D0%B4%D0%B5%D0%BD%D1%8C%201991%20%D1%84%D0%B8%D0%BB%D1%8C%D0%BC","искать")</f>
        <v/>
      </c>
      <c r="N4536" s="3" t="n"/>
      <c r="O4536" s="2" t="n"/>
      <c r="P4536" s="2" t="n"/>
    </row>
    <row r="4537">
      <c r="A4537" s="2" t="n">
        <v>4536</v>
      </c>
      <c r="B4537" s="2" t="inlineStr">
        <is>
          <t>короткая</t>
        </is>
      </c>
      <c r="C4537" s="2" t="n">
        <v>9884</v>
      </c>
      <c r="D4537" s="3" t="inlineStr">
        <is>
          <t>Цвет белого снега</t>
        </is>
      </c>
      <c r="E4537" s="2" t="n">
        <v>1970</v>
      </c>
      <c r="F4537" s="2" t="inlineStr">
        <is>
          <t>телефильм</t>
        </is>
      </c>
      <c r="G4537" s="2" t="inlineStr">
        <is>
          <t>Творческое объединение "Экран"</t>
        </is>
      </c>
      <c r="H4537" s="2" t="n">
        <v>196</v>
      </c>
      <c r="I4537" s="2" t="inlineStr"/>
      <c r="J4537" s="2" t="inlineStr"/>
      <c r="K4537" s="3" t="inlineStr">
        <is>
          <t>История любви двух горожан: девушки, контролера метрополитена, и студента художественного училища. Главная героиня работает контролёром ныне закрытой станции Петербургского метрополитена «Дачное».</t>
        </is>
      </c>
      <c r="L4537" s="2" t="inlineStr">
        <is>
          <t>https://www.kino-teatr.ru/short/movie/sov/7683/annot/</t>
        </is>
      </c>
      <c r="M4537" s="2">
        <f>HYPERLINK("https://ru.wikipedia.org/w/index.php?search=%D0%A6%D0%B2%D0%B5%D1%82%20%D0%B1%D0%B5%D0%BB%D0%BE%D0%B3%D0%BE%20%D1%81%D0%BD%D0%B5%D0%B3%D0%B0%201970%20%D1%84%D0%B8%D0%BB%D1%8C%D0%BC","искать")</f>
        <v/>
      </c>
      <c r="N4537" s="3" t="n"/>
      <c r="O4537" s="2" t="n"/>
      <c r="P4537" s="2" t="n"/>
    </row>
    <row r="4538">
      <c r="A4538" s="2" t="n">
        <v>4537</v>
      </c>
      <c r="B4538" s="2" t="inlineStr">
        <is>
          <t>короткая</t>
        </is>
      </c>
      <c r="C4538" s="2" t="n">
        <v>7291</v>
      </c>
      <c r="D4538" s="3" t="inlineStr">
        <is>
          <t>В город пришла беда</t>
        </is>
      </c>
      <c r="E4538" s="2" t="n">
        <v>1966</v>
      </c>
      <c r="F4538" s="2" t="inlineStr">
        <is>
          <t>телефильм</t>
        </is>
      </c>
      <c r="G4538" s="2" t="n"/>
      <c r="H4538" s="2" t="n">
        <v>197</v>
      </c>
      <c r="I4538" s="2" t="inlineStr"/>
      <c r="J4538" s="2" t="inlineStr"/>
      <c r="K4538" s="3" t="inlineStr">
        <is>
          <t>Телефильм по одноименной повести А.Мильчакова; о событиях в Москве, происходивших в 1960 году, когда врачи и люди других профессий активно боролись с пурпурной оспой, завезенной в страну с Востока.</t>
        </is>
      </c>
      <c r="L4538" s="2" t="inlineStr">
        <is>
          <t>Кино_СССР сводный каталог.xlsx: список телефильмов</t>
        </is>
      </c>
      <c r="M4538" s="2">
        <f>HYPERLINK("https://ru.wikipedia.org/w/index.php?search=%D0%92%20%D0%B3%D0%BE%D1%80%D0%BE%D0%B4%20%D0%BF%D1%80%D0%B8%D1%88%D0%BB%D0%B0%20%D0%B1%D0%B5%D0%B4%D0%B0%201966%20%D1%84%D0%B8%D0%BB%D1%8C%D0%BC","искать")</f>
        <v/>
      </c>
      <c r="N4538" s="3" t="n"/>
      <c r="O4538" s="2" t="n"/>
      <c r="P4538" s="2" t="n"/>
    </row>
    <row r="4539">
      <c r="A4539" s="2" t="n">
        <v>4538</v>
      </c>
      <c r="B4539" s="2" t="inlineStr">
        <is>
          <t>короткая</t>
        </is>
      </c>
      <c r="C4539" s="2" t="n">
        <v>8756</v>
      </c>
      <c r="D4539" s="3" t="inlineStr">
        <is>
          <t>Каменный плен</t>
        </is>
      </c>
      <c r="E4539" s="2" t="n">
        <v>1990</v>
      </c>
      <c r="F4539" s="2" t="inlineStr">
        <is>
          <t>кинофильм</t>
        </is>
      </c>
      <c r="G4539" s="2" t="n"/>
      <c r="H4539" s="2" t="n">
        <v>197</v>
      </c>
      <c r="I4539" s="2" t="inlineStr"/>
      <c r="J4539" s="2" t="inlineStr"/>
      <c r="K4539" s="3" t="inlineStr">
        <is>
          <t>О строительстве железной дороги через горные ущелья к озеру Иссык-Куль. К этим работам были привлечены немецкие военнопленные, репрессированные и местные жители. Многие из них погибли в этих краях.</t>
        </is>
      </c>
      <c r="L4539" s="2" t="inlineStr">
        <is>
          <t>Кино_СССР сводный каталог.xlsx: список фильмов (доп.)</t>
        </is>
      </c>
      <c r="M4539" s="2">
        <f>HYPERLINK("https://ru.wikipedia.org/w/index.php?search=%D0%9A%D0%B0%D0%BC%D0%B5%D0%BD%D0%BD%D1%8B%D0%B9%20%D0%BF%D0%BB%D0%B5%D0%BD%201990%20%D1%84%D0%B8%D0%BB%D1%8C%D0%BC","искать")</f>
        <v/>
      </c>
      <c r="N4539" s="3" t="n"/>
      <c r="O4539" s="2" t="n"/>
      <c r="P4539" s="2" t="n"/>
    </row>
    <row r="4540">
      <c r="A4540" s="2" t="n">
        <v>4539</v>
      </c>
      <c r="B4540" s="2" t="inlineStr">
        <is>
          <t>короткая</t>
        </is>
      </c>
      <c r="C4540" s="2" t="n">
        <v>12733</v>
      </c>
      <c r="D4540" s="3" t="inlineStr">
        <is>
          <t>Маленький пастух</t>
        </is>
      </c>
      <c r="E4540" s="2" t="n">
        <v>1986</v>
      </c>
      <c r="F4540" s="2" t="inlineStr">
        <is>
          <t>мультфильм</t>
        </is>
      </c>
      <c r="G4540" s="2" t="inlineStr">
        <is>
          <t>АЗЕРБАЙДЖАНФИЛЬМ</t>
        </is>
      </c>
      <c r="H4540" s="2" t="n">
        <v>197</v>
      </c>
      <c r="I4540" s="2" t="inlineStr"/>
      <c r="J4540" s="2" t="inlineStr"/>
      <c r="K4540" s="3" t="inlineStr">
        <is>
          <t>О болезненном хилом мальчике, которого на каникулы забрал к себе в горы дедушка. Там Ахмед научился ездить на лошади, строить из камней забор, пасти овец, закалился, стал сильным, здоровым, веселым</t>
        </is>
      </c>
      <c r="L4540" s="2" t="inlineStr">
        <is>
          <t>https://gosfilmofond.ru/films/250584/</t>
        </is>
      </c>
      <c r="M4540" s="2">
        <f>HYPERLINK("https://ru.wikipedia.org/w/index.php?search=%D0%9C%D0%B0%D0%BB%D0%B5%D0%BD%D1%8C%D0%BA%D0%B8%D0%B9%20%D0%BF%D0%B0%D1%81%D1%82%D1%83%D1%85%201986%20%D1%84%D0%B8%D0%BB%D1%8C%D0%BC","искать")</f>
        <v/>
      </c>
      <c r="N4540" s="3" t="n"/>
      <c r="O4540" s="2" t="n"/>
      <c r="P4540" s="2" t="n"/>
    </row>
    <row r="4541">
      <c r="A4541" s="2" t="n">
        <v>4540</v>
      </c>
      <c r="B4541" s="2" t="inlineStr">
        <is>
          <t>короткая</t>
        </is>
      </c>
      <c r="C4541" s="2" t="n">
        <v>8321</v>
      </c>
      <c r="D4541" s="3" t="inlineStr">
        <is>
          <t>Седьмой джинн</t>
        </is>
      </c>
      <c r="E4541" s="2" t="n">
        <v>1976</v>
      </c>
      <c r="F4541" s="2" t="inlineStr">
        <is>
          <t>телефильм</t>
        </is>
      </c>
      <c r="G4541" s="2" t="n"/>
      <c r="H4541" s="2" t="n">
        <v>198</v>
      </c>
      <c r="I4541" s="2" t="inlineStr"/>
      <c r="J4541" s="2" t="inlineStr"/>
      <c r="K4541" s="3" t="inlineStr">
        <is>
          <t>Телефильм. В некоем ханстве обитали семь джиннов. Шесть - злых, а один - добрый. Добрый Джинн, несмотря на козни злых, помог гончару Наби обмануть хана, чтобы дать воду для орошения земель бедняков.</t>
        </is>
      </c>
      <c r="L4541" s="2" t="inlineStr">
        <is>
          <t>Кино_СССР сводный каталог.xlsx: список телефильмов</t>
        </is>
      </c>
      <c r="M4541" s="2">
        <f>HYPERLINK("https://ru.wikipedia.org/w/index.php?search=%D0%A1%D0%B5%D0%B4%D1%8C%D0%BC%D0%BE%D0%B9%20%D0%B4%D0%B6%D0%B8%D0%BD%D0%BD%201976%20%D1%84%D0%B8%D0%BB%D1%8C%D0%BC","искать")</f>
        <v/>
      </c>
      <c r="N4541" s="3" t="n"/>
      <c r="O4541" s="2" t="n"/>
      <c r="P4541" s="2" t="n"/>
    </row>
    <row r="4542">
      <c r="A4542" s="2" t="n">
        <v>4541</v>
      </c>
      <c r="B4542" s="2" t="inlineStr">
        <is>
          <t>короткая</t>
        </is>
      </c>
      <c r="C4542" s="2" t="n">
        <v>8854</v>
      </c>
      <c r="D4542" s="3" t="inlineStr">
        <is>
          <t>Мутанты</t>
        </is>
      </c>
      <c r="E4542" s="2" t="n">
        <v>1988</v>
      </c>
      <c r="F4542" s="2" t="inlineStr">
        <is>
          <t>кинофильм</t>
        </is>
      </c>
      <c r="G4542" s="2" t="n"/>
      <c r="H4542" s="2" t="n">
        <v>198</v>
      </c>
      <c r="I4542" s="2" t="inlineStr"/>
      <c r="J4542" s="2" t="inlineStr"/>
      <c r="K4542" s="3" t="inlineStr">
        <is>
          <t>Фильм о жизни подростков в современном городе. Их объединяет любовь к рок-музыке. Чтобы приобрести дорогой синтезатор, они готовы на все: играть на похоронах, и даже украсть лобовое стекло с машины.</t>
        </is>
      </c>
      <c r="L4542" s="2" t="inlineStr">
        <is>
          <t>Кино_СССР сводный каталог.xlsx: список фильмов (доп.)</t>
        </is>
      </c>
      <c r="M4542" s="2">
        <f>HYPERLINK("https://ru.wikipedia.org/w/index.php?search=%D0%9C%D1%83%D1%82%D0%B0%D0%BD%D1%82%D1%8B%201988%20%D1%84%D0%B8%D0%BB%D1%8C%D0%BC","искать")</f>
        <v/>
      </c>
      <c r="N4542" s="3" t="n"/>
      <c r="O4542" s="2" t="n"/>
      <c r="P4542" s="2" t="n"/>
    </row>
    <row r="4543">
      <c r="A4543" s="2" t="n">
        <v>4542</v>
      </c>
      <c r="B4543" s="2" t="inlineStr">
        <is>
          <t>короткая</t>
        </is>
      </c>
      <c r="C4543" s="2" t="n">
        <v>8874</v>
      </c>
      <c r="D4543" s="3" t="inlineStr">
        <is>
          <t>Непридуманная история</t>
        </is>
      </c>
      <c r="E4543" s="2" t="n">
        <v>1986</v>
      </c>
      <c r="F4543" s="2" t="inlineStr">
        <is>
          <t>кинофильм</t>
        </is>
      </c>
      <c r="G4543" s="2" t="n"/>
      <c r="H4543" s="2" t="n">
        <v>198</v>
      </c>
      <c r="I4543" s="2" t="inlineStr"/>
      <c r="J4543" s="2" t="inlineStr"/>
      <c r="K4543" s="3" t="inlineStr">
        <is>
          <t>Писатель придумывает истории, каждая из которых заканчивается травмой героя. Жена писателя советует ему напомнить читателям, что договор страхования от несчастных случаев обеспечит помощь Госстраха.</t>
        </is>
      </c>
      <c r="L4543" s="2" t="inlineStr">
        <is>
          <t>Кино_СССР сводный каталог.xlsx: список фильмов (доп.)</t>
        </is>
      </c>
      <c r="M4543" s="2">
        <f>HYPERLINK("https://ru.wikipedia.org/w/index.php?search=%D0%9D%D0%B5%D0%BF%D1%80%D0%B8%D0%B4%D1%83%D0%BC%D0%B0%D0%BD%D0%BD%D0%B0%D1%8F%20%D0%B8%D1%81%D1%82%D0%BE%D1%80%D0%B8%D1%8F%201986%20%D1%84%D0%B8%D0%BB%D1%8C%D0%BC","искать")</f>
        <v/>
      </c>
      <c r="N4543" s="3" t="n"/>
      <c r="O4543" s="2" t="n"/>
      <c r="P4543" s="2" t="n"/>
    </row>
    <row r="4544">
      <c r="A4544" s="2" t="n">
        <v>4543</v>
      </c>
      <c r="B4544" s="2" t="inlineStr">
        <is>
          <t>короткая</t>
        </is>
      </c>
      <c r="C4544" s="2" t="n">
        <v>10856</v>
      </c>
      <c r="D4544" s="3" t="inlineStr">
        <is>
          <t>Осенних дней очарованье</t>
        </is>
      </c>
      <c r="E4544" s="2" t="n">
        <v>1980</v>
      </c>
      <c r="F4544" s="2" t="inlineStr">
        <is>
          <t>фильм-спектакль</t>
        </is>
      </c>
      <c r="G4544" s="2" t="inlineStr">
        <is>
          <t>Центральное телевидение</t>
        </is>
      </c>
      <c r="H4544" s="2" t="n">
        <v>198</v>
      </c>
      <c r="I4544" s="2" t="inlineStr"/>
      <c r="J4544" s="2" t="inlineStr"/>
      <c r="K4544" s="3" t="inlineStr">
        <is>
          <t>Из цикла "Наши соседи".
Ксения Николаевна, одинокая пожилая женщина, бессребреница, добрейшей души человек, собирает гостей, чтобы подарить кому-то из них редкую пластинку Федора Ивановича Шаляпина.</t>
        </is>
      </c>
      <c r="L4544" s="2" t="inlineStr">
        <is>
          <t>https://www.kino-teatr.ru/teatr/movie/87118/annot/</t>
        </is>
      </c>
      <c r="M4544" s="2">
        <f>HYPERLINK("https://ru.wikipedia.org/w/index.php?search=%D0%9E%D1%81%D0%B5%D0%BD%D0%BD%D0%B8%D1%85%20%D0%B4%D0%BD%D0%B5%D0%B9%20%D0%BE%D1%87%D0%B0%D1%80%D0%BE%D0%B2%D0%B0%D0%BD%D1%8C%D0%B5%201980%20%D1%84%D0%B8%D0%BB%D1%8C%D0%BC","искать")</f>
        <v/>
      </c>
      <c r="N4544" s="3" t="n"/>
      <c r="O4544" s="2" t="n"/>
      <c r="P4544" s="2" t="n"/>
    </row>
    <row r="4545">
      <c r="A4545" s="2" t="n">
        <v>4544</v>
      </c>
      <c r="B4545" s="2" t="inlineStr">
        <is>
          <t>короткая</t>
        </is>
      </c>
      <c r="C4545" s="2" t="n">
        <v>8564</v>
      </c>
      <c r="D4545" s="3" t="inlineStr">
        <is>
          <t>Что бы ты выбрал?</t>
        </is>
      </c>
      <c r="E4545" s="2" t="n">
        <v>1981</v>
      </c>
      <c r="F4545" s="2" t="inlineStr">
        <is>
          <t>телефильм</t>
        </is>
      </c>
      <c r="G4545" s="2" t="inlineStr">
        <is>
          <t>Ленфильм</t>
        </is>
      </c>
      <c r="H4545" s="2" t="n">
        <v>199</v>
      </c>
      <c r="I4545" s="2" t="inlineStr"/>
      <c r="J4545" s="2" t="inlineStr"/>
      <c r="K4545" s="3" t="inlineStr">
        <is>
          <t>Проблемный телефильм о детях и родителях. Четверо друзей-третьеклассников проживают в старом ленинградском доме, учатся в одном классе. И именно они, дети, пытаются понять своих родителей и учителей.</t>
        </is>
      </c>
      <c r="L4545" s="2" t="inlineStr">
        <is>
          <t>Кино_СССР сводный каталог.xlsx: список телефильмов</t>
        </is>
      </c>
      <c r="M4545" s="2">
        <f>HYPERLINK("https://ru.wikipedia.org/w/index.php?search=%D0%A7%D1%82%D0%BE%20%D0%B1%D1%8B%20%D1%82%D1%8B%20%D0%B2%D1%8B%D0%B1%D1%80%D0%B0%D0%BB%3F%201981%20%D1%84%D0%B8%D0%BB%D1%8C%D0%BC","искать")</f>
        <v/>
      </c>
      <c r="N4545" s="3" t="n"/>
      <c r="O4545" s="2" t="n"/>
      <c r="P4545" s="2" t="n"/>
    </row>
    <row r="4546">
      <c r="A4546" s="2" t="n">
        <v>4545</v>
      </c>
      <c r="B4546" s="2" t="inlineStr">
        <is>
          <t>короткая</t>
        </is>
      </c>
      <c r="C4546" s="2" t="n">
        <v>9742</v>
      </c>
      <c r="D4546" s="3" t="inlineStr">
        <is>
          <t>Цена быстрых секунд</t>
        </is>
      </c>
      <c r="E4546" s="2" t="n">
        <v>1971</v>
      </c>
      <c r="F4546" s="2" t="inlineStr">
        <is>
          <t>кинофильм</t>
        </is>
      </c>
      <c r="G4546" s="2" t="n"/>
      <c r="H4546" s="2" t="n">
        <v>199</v>
      </c>
      <c r="I4546" s="2" t="inlineStr"/>
      <c r="J4546" s="2" t="inlineStr"/>
      <c r="K4546" s="3" t="inlineStr">
        <is>
          <t>Герои широкоформатного фильма - конькобежцы. В сценах соревнований - чемпионы и призеры первенств СССР, мира, Европы и Олимпийских игр: Антс Антсон, Ирина Егорова, Виктор Косичкин, Валентина Стенина.</t>
        </is>
      </c>
      <c r="L4546" s="2" t="inlineStr">
        <is>
          <t>Кино_СССР сводный каталог.xlsx: список фильмов (доп.)</t>
        </is>
      </c>
      <c r="M4546" s="2">
        <f>HYPERLINK("https://ru.wikipedia.org/w/index.php?search=%D0%A6%D0%B5%D0%BD%D0%B0%20%D0%B1%D1%8B%D1%81%D1%82%D1%80%D1%8B%D1%85%20%D1%81%D0%B5%D0%BA%D1%83%D0%BD%D0%B4%201971%20%D1%84%D0%B8%D0%BB%D1%8C%D0%BC","искать")</f>
        <v/>
      </c>
      <c r="N4546" s="3" t="n"/>
      <c r="O4546" s="2" t="n"/>
      <c r="P4546" s="2" t="n"/>
    </row>
    <row r="4547">
      <c r="A4547" s="2" t="n">
        <v>4546</v>
      </c>
      <c r="B4547" s="2" t="inlineStr">
        <is>
          <t>короткая</t>
        </is>
      </c>
      <c r="C4547" s="2" t="n">
        <v>9910</v>
      </c>
      <c r="D4547" s="3" t="inlineStr">
        <is>
          <t>Вратарь</t>
        </is>
      </c>
      <c r="E4547" s="2" t="n">
        <v>1974</v>
      </c>
      <c r="F4547" s="2" t="inlineStr">
        <is>
          <t>телефильм</t>
        </is>
      </c>
      <c r="G4547" s="2" t="inlineStr">
        <is>
          <t>Пермская студия телевидения</t>
        </is>
      </c>
      <c r="H4547" s="2" t="n">
        <v>199</v>
      </c>
      <c r="I4547" s="2" t="inlineStr"/>
      <c r="J4547" s="2" t="inlineStr"/>
      <c r="K4547" s="3" t="inlineStr">
        <is>
          <t>Вратарь детской хоккейной команды Саня сломал ногу. Он очень хочет, чтобы его команда выиграла предстоящий матч. Он начинает тренировать своего друга Леню. И Леня с честью занял место Сани в воротах.</t>
        </is>
      </c>
      <c r="L4547" s="2" t="inlineStr">
        <is>
          <t>https://www.kino-teatr.ru/short/movie/sov/92598/annot/</t>
        </is>
      </c>
      <c r="M4547" s="2">
        <f>HYPERLINK("https://ru.wikipedia.org/w/index.php?search=%D0%92%D1%80%D0%B0%D1%82%D0%B0%D1%80%D1%8C%201974%20%D1%84%D0%B8%D0%BB%D1%8C%D0%BC","искать")</f>
        <v/>
      </c>
      <c r="N4547" s="3" t="n"/>
      <c r="O4547" s="2" t="n"/>
      <c r="P4547" s="2" t="n"/>
    </row>
    <row r="4548">
      <c r="A4548" s="2" t="n">
        <v>4547</v>
      </c>
      <c r="B4548" s="2" t="inlineStr">
        <is>
          <t>короткая</t>
        </is>
      </c>
      <c r="C4548" s="2" t="n">
        <v>7499</v>
      </c>
      <c r="D4548" s="3" t="inlineStr">
        <is>
          <t>День бумажного змея</t>
        </is>
      </c>
      <c r="E4548" s="2" t="n">
        <v>1986</v>
      </c>
      <c r="F4548" s="2" t="inlineStr">
        <is>
          <t>телефильм</t>
        </is>
      </c>
      <c r="G4548" s="2" t="n"/>
      <c r="H4548" s="2" t="n">
        <v>200</v>
      </c>
      <c r="I4548" s="2" t="inlineStr"/>
      <c r="J4548" s="2" t="inlineStr"/>
      <c r="K4548" s="3" t="inlineStr">
        <is>
          <t>Օդապարուկի օրը По мотивам рассказов Эльды Грин. Маленькая Ани живет с мамой. Папа ушел к другой женщине, после смерти бабушки дедушка тоже стал жить отдельно. Тяжело переживает девочка разлад в семье.</t>
        </is>
      </c>
      <c r="L4548" s="2" t="inlineStr">
        <is>
          <t>Кино_СССР сводный каталог.xlsx: список телефильмов</t>
        </is>
      </c>
      <c r="M4548" s="2">
        <f>HYPERLINK("https://ru.wikipedia.org/w/index.php?search=%D0%94%D0%B5%D0%BD%D1%8C%20%D0%B1%D1%83%D0%BC%D0%B0%D0%B6%D0%BD%D0%BE%D0%B3%D0%BE%20%D0%B7%D0%BC%D0%B5%D1%8F%201986%20%D1%84%D0%B8%D0%BB%D1%8C%D0%BC","искать")</f>
        <v/>
      </c>
      <c r="N4548" s="3" t="n"/>
      <c r="O4548" s="2" t="n"/>
      <c r="P4548" s="2" t="n"/>
    </row>
    <row r="4549">
      <c r="A4549" s="2" t="n">
        <v>4548</v>
      </c>
      <c r="B4549" s="2" t="inlineStr">
        <is>
          <t>короткая</t>
        </is>
      </c>
      <c r="C4549" s="2" t="n">
        <v>8185</v>
      </c>
      <c r="D4549" s="3" t="inlineStr">
        <is>
          <t>Предел возможного</t>
        </is>
      </c>
      <c r="E4549" s="2" t="n">
        <v>1984</v>
      </c>
      <c r="F4549" s="2" t="inlineStr">
        <is>
          <t>телефильм</t>
        </is>
      </c>
      <c r="G4549" s="2" t="n"/>
      <c r="H4549" s="2" t="n">
        <v>200</v>
      </c>
      <c r="I4549" s="2" t="inlineStr"/>
      <c r="J4549" s="2" t="inlineStr"/>
      <c r="K4549" s="3" t="inlineStr">
        <is>
          <t>По роману И.Герасимова. Герой фильма - Игнат Матвеевич Ремез - прошел путь от молодого специалиста в годы Великой Отечественной войны до руководителя крупного промышленного предприятия в мирное время.</t>
        </is>
      </c>
      <c r="L4549" s="2" t="inlineStr">
        <is>
          <t>Кино_СССР сводный каталог.xlsx: список телефильмов</t>
        </is>
      </c>
      <c r="M4549" s="2">
        <f>HYPERLINK("https://ru.wikipedia.org/w/index.php?search=%D0%9F%D1%80%D0%B5%D0%B4%D0%B5%D0%BB%20%D0%B2%D0%BE%D0%B7%D0%BC%D0%BE%D0%B6%D0%BD%D0%BE%D0%B3%D0%BE%201984%20%D1%84%D0%B8%D0%BB%D1%8C%D0%BC","искать")</f>
        <v/>
      </c>
      <c r="N4549" s="3" t="n"/>
      <c r="O4549" s="2" t="n"/>
      <c r="P4549" s="2" t="n"/>
    </row>
    <row r="4550">
      <c r="A4550" s="2" t="n">
        <v>4549</v>
      </c>
      <c r="B4550" s="2" t="inlineStr">
        <is>
          <t>короткая</t>
        </is>
      </c>
      <c r="C4550" s="2" t="n">
        <v>8344</v>
      </c>
      <c r="D4550" s="3" t="inlineStr">
        <is>
          <t>Сильная личность из 2 "А"</t>
        </is>
      </c>
      <c r="E4550" s="2" t="n">
        <v>1984</v>
      </c>
      <c r="F4550" s="2" t="inlineStr">
        <is>
          <t>телефильм</t>
        </is>
      </c>
      <c r="G4550" s="2" t="inlineStr">
        <is>
          <t>ТО «Экран»</t>
        </is>
      </c>
      <c r="H4550" s="2" t="n">
        <v>200</v>
      </c>
      <c r="I4550" s="2" t="inlineStr"/>
      <c r="J4550" s="2" t="inlineStr"/>
      <c r="K4550" s="3" t="inlineStr">
        <is>
          <t>Телефильм. Однажды второклассник Дима Кругликов узнал, что все великие люди достигли успехов благодаря жесткому режиму дня. И Дима решил не тратить время на всякие пустяки и жить строго по расписанию.</t>
        </is>
      </c>
      <c r="L4550" s="2" t="inlineStr">
        <is>
          <t>Кино_СССР сводный каталог.xlsx: список телефильмов</t>
        </is>
      </c>
      <c r="M4550" s="2">
        <f>HYPERLINK("https://ru.wikipedia.org/w/index.php?search=%D0%A1%D0%B8%D0%BB%D1%8C%D0%BD%D0%B0%D1%8F%20%D0%BB%D0%B8%D1%87%D0%BD%D0%BE%D1%81%D1%82%D1%8C%20%D0%B8%D0%B7%202%20%22%D0%90%22%201984%20%D1%84%D0%B8%D0%BB%D1%8C%D0%BC","искать")</f>
        <v/>
      </c>
      <c r="N4550" s="3" t="n"/>
      <c r="O4550" s="2" t="n"/>
      <c r="P4550" s="2" t="n"/>
    </row>
    <row r="4551">
      <c r="A4551" s="2" t="n">
        <v>4550</v>
      </c>
      <c r="B4551" s="2" t="inlineStr">
        <is>
          <t>короткая</t>
        </is>
      </c>
      <c r="C4551" s="2" t="n">
        <v>8916</v>
      </c>
      <c r="D4551" s="3" t="inlineStr">
        <is>
          <t>Память</t>
        </is>
      </c>
      <c r="E4551" s="2" t="n">
        <v>1989</v>
      </c>
      <c r="F4551" s="2" t="inlineStr">
        <is>
          <t>кинофильм</t>
        </is>
      </c>
      <c r="G4551" s="2" t="n"/>
      <c r="H4551" s="2" t="n">
        <v>200</v>
      </c>
      <c r="I4551" s="2" t="inlineStr"/>
      <c r="J4551" s="2" t="inlineStr"/>
      <c r="K4551" s="3" t="inlineStr">
        <is>
          <t>Молодой журналист возвращается в село, где провел свое детство. Село почти опустело, и кто остался, тоже собираются уезжать. Гиви начинает борьбу в селе за то, чтобы люди больше не покидали свои дома.</t>
        </is>
      </c>
      <c r="L4551" s="2" t="inlineStr">
        <is>
          <t>Кино_СССР сводный каталог.xlsx: список фильмов (доп.)</t>
        </is>
      </c>
      <c r="M4551" s="2">
        <f>HYPERLINK("https://ru.wikipedia.org/w/index.php?search=%D0%9F%D0%B0%D0%BC%D1%8F%D1%82%D1%8C%201989%20%D1%84%D0%B8%D0%BB%D1%8C%D0%BC","искать")</f>
        <v/>
      </c>
      <c r="N4551" s="3" t="n"/>
      <c r="O4551" s="2" t="n"/>
      <c r="P4551" s="2" t="n"/>
    </row>
    <row r="4552">
      <c r="A4552" s="2" t="n">
        <v>4551</v>
      </c>
      <c r="B4552" s="2" t="inlineStr">
        <is>
          <t>короткая</t>
        </is>
      </c>
      <c r="C4552" s="2" t="n">
        <v>8944</v>
      </c>
      <c r="D4552" s="3" t="inlineStr">
        <is>
          <t>Подъем</t>
        </is>
      </c>
      <c r="E4552" s="2" t="n">
        <v>1989</v>
      </c>
      <c r="F4552" s="2" t="inlineStr">
        <is>
          <t>кинофильм</t>
        </is>
      </c>
      <c r="G4552" s="2" t="n"/>
      <c r="H4552" s="2" t="n">
        <v>200</v>
      </c>
      <c r="I4552" s="2" t="inlineStr"/>
      <c r="J4552" s="2" t="inlineStr"/>
      <c r="K4552" s="3" t="inlineStr">
        <is>
          <t>Действие фильма, в котором исследуется социально-психологический механизм насилия, начинается с марта 1949 года, когда после очередной операции НКВД в Сибирь были депортированы десятки тысяч эстонцев.</t>
        </is>
      </c>
      <c r="L4552" s="2" t="inlineStr">
        <is>
          <t>Кино_СССР сводный каталог.xlsx: список фильмов (доп.)</t>
        </is>
      </c>
      <c r="M4552" s="2">
        <f>HYPERLINK("https://ru.wikipedia.org/w/index.php?search=%D0%9F%D0%BE%D0%B4%D1%8A%D0%B5%D0%BC%201989%20%D1%84%D0%B8%D0%BB%D1%8C%D0%BC","искать")</f>
        <v/>
      </c>
      <c r="N4552" s="3" t="n"/>
      <c r="O4552" s="2" t="n"/>
      <c r="P4552" s="2" t="n"/>
    </row>
    <row r="4553">
      <c r="A4553" s="2" t="n">
        <v>4552</v>
      </c>
      <c r="B4553" s="2" t="inlineStr">
        <is>
          <t>короткая</t>
        </is>
      </c>
      <c r="C4553" s="2" t="n">
        <v>10695</v>
      </c>
      <c r="D4553" s="3" t="inlineStr">
        <is>
          <t>Любовь Яровая</t>
        </is>
      </c>
      <c r="E4553" s="2" t="n">
        <v>1977</v>
      </c>
      <c r="F4553" s="2" t="inlineStr">
        <is>
          <t>фильм-спектакль</t>
        </is>
      </c>
      <c r="G4553" s="2" t="inlineStr">
        <is>
          <t>Центральное телевидение</t>
        </is>
      </c>
      <c r="H4553" s="2" t="n">
        <v>200</v>
      </c>
      <c r="I4553" s="2" t="inlineStr"/>
      <c r="J4553" s="2" t="inlineStr"/>
      <c r="K4553" s="3" t="inlineStr">
        <is>
          <t>Телеспектакль по одноименной пьесе К. Тренёва.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t>
        </is>
      </c>
      <c r="L4553" s="2" t="inlineStr">
        <is>
          <t>https://www.kino-teatr.ru/teatr/movie/3619/annot/</t>
        </is>
      </c>
      <c r="M4553" s="2">
        <f>HYPERLINK("https://ru.wikipedia.org/w/index.php?search=%D0%9B%D1%8E%D0%B1%D0%BE%D0%B2%D1%8C%20%D0%AF%D1%80%D0%BE%D0%B2%D0%B0%D1%8F%201977%20%D1%84%D0%B8%D0%BB%D1%8C%D0%BC","искать")</f>
        <v/>
      </c>
      <c r="N4553" s="3" t="n"/>
      <c r="O4553" s="2" t="n"/>
      <c r="P4553" s="2" t="n"/>
    </row>
    <row r="4554">
      <c r="A4554" s="2" t="n">
        <v>4553</v>
      </c>
      <c r="B4554" s="2" t="inlineStr">
        <is>
          <t>короткая</t>
        </is>
      </c>
      <c r="C4554" s="2" t="n">
        <v>7736</v>
      </c>
      <c r="D4554" s="3" t="inlineStr">
        <is>
          <t>Когда тебе двенадцать лет</t>
        </is>
      </c>
      <c r="E4554" s="2" t="n">
        <v>1979</v>
      </c>
      <c r="F4554" s="2" t="inlineStr">
        <is>
          <t>телефильм</t>
        </is>
      </c>
      <c r="G4554" s="2" t="inlineStr">
        <is>
          <t>Казахфильм</t>
        </is>
      </c>
      <c r="H4554" s="2" t="n">
        <v>201</v>
      </c>
      <c r="I4554" s="2" t="inlineStr"/>
      <c r="J4554" s="2" t="inlineStr"/>
      <c r="K4554" s="3" t="inlineStr">
        <is>
          <t>Телефильм снят по мотивам повести Марата Кабанбаева "Солнце в одуванчиках". О детской дружбе, и любви к родному краю, о том, как дети подражали героям книг Марка Твена - Тому Сойеру и Гекльберри Финну.</t>
        </is>
      </c>
      <c r="L4554" s="2" t="inlineStr">
        <is>
          <t>Кино_СССР сводный каталог.xlsx: список телефильмов</t>
        </is>
      </c>
      <c r="M4554" s="2">
        <f>HYPERLINK("https://ru.wikipedia.org/w/index.php?search=%D0%9A%D0%BE%D0%B3%D0%B4%D0%B0%20%D1%82%D0%B5%D0%B1%D0%B5%20%D0%B4%D0%B2%D0%B5%D0%BD%D0%B0%D0%B4%D1%86%D0%B0%D1%82%D1%8C%20%D0%BB%D0%B5%D1%82%201979%20%D1%84%D0%B8%D0%BB%D1%8C%D0%BC","искать")</f>
        <v/>
      </c>
      <c r="N4554" s="3" t="n"/>
      <c r="O4554" s="2" t="n"/>
      <c r="P4554" s="2" t="n"/>
    </row>
    <row r="4555">
      <c r="A4555" s="2" t="n">
        <v>4554</v>
      </c>
      <c r="B4555" s="2" t="inlineStr">
        <is>
          <t>короткая</t>
        </is>
      </c>
      <c r="C4555" s="2" t="n">
        <v>8007</v>
      </c>
      <c r="D4555" s="3" t="inlineStr">
        <is>
          <t>Новые приключения муравья и блохи</t>
        </is>
      </c>
      <c r="E4555" s="2" t="n">
        <v>1980</v>
      </c>
      <c r="F4555" s="2" t="inlineStr">
        <is>
          <t>телефильм</t>
        </is>
      </c>
      <c r="G4555" s="2" t="n"/>
      <c r="H4555" s="2" t="n">
        <v>201</v>
      </c>
      <c r="I4555" s="2" t="inlineStr"/>
      <c r="J4555" s="2" t="inlineStr"/>
      <c r="K4555" s="3" t="inlineStr">
        <is>
          <t>ზღაპარი Современный вариант грузинской народной сказки. О том как блоха выручила из беды муравья. В фильме снимался вокально-инструментальный ансамбль "Мзиури" Тбилисского дворца пионеров и школьников.</t>
        </is>
      </c>
      <c r="L4555" s="2" t="inlineStr">
        <is>
          <t>Кино_СССР сводный каталог.xlsx: список телефильмов</t>
        </is>
      </c>
      <c r="M4555" s="2">
        <f>HYPERLINK("https://ru.wikipedia.org/w/index.php?search=%D0%9D%D0%BE%D0%B2%D1%8B%D0%B5%20%D0%BF%D1%80%D0%B8%D0%BA%D0%BB%D1%8E%D1%87%D0%B5%D0%BD%D0%B8%D1%8F%20%D0%BC%D1%83%D1%80%D0%B0%D0%B2%D1%8C%D1%8F%20%D0%B8%20%D0%B1%D0%BB%D0%BE%D1%85%D0%B8%201980%20%D1%84%D0%B8%D0%BB%D1%8C%D0%BC","искать")</f>
        <v/>
      </c>
      <c r="N4555" s="3" t="n"/>
      <c r="O4555" s="2" t="n"/>
      <c r="P4555" s="2" t="n"/>
    </row>
    <row r="4556">
      <c r="A4556" s="2" t="n">
        <v>4555</v>
      </c>
      <c r="B4556" s="2" t="inlineStr">
        <is>
          <t>короткая</t>
        </is>
      </c>
      <c r="C4556" s="2" t="n">
        <v>8479</v>
      </c>
      <c r="D4556" s="3" t="inlineStr">
        <is>
          <t>Три ненастных дня</t>
        </is>
      </c>
      <c r="E4556" s="2" t="n">
        <v>1978</v>
      </c>
      <c r="F4556" s="2" t="inlineStr">
        <is>
          <t>телефильм</t>
        </is>
      </c>
      <c r="G4556" s="2" t="inlineStr">
        <is>
          <t>Лентелефильм</t>
        </is>
      </c>
      <c r="H4556" s="2" t="n">
        <v>201</v>
      </c>
      <c r="I4556" s="2" t="inlineStr"/>
      <c r="J4556" s="2" t="inlineStr"/>
      <c r="K4556" s="3" t="inlineStr">
        <is>
          <t>По одноименной повести Сергея Высоцкого. Совершено нападение на бухгалтера НИИ и похищена большая сумма денег. Полковник уголовного розыска не только раскрывает преступление, но и исследует его мотивы.</t>
        </is>
      </c>
      <c r="L4556" s="2" t="inlineStr">
        <is>
          <t>Кино_СССР сводный каталог.xlsx: список телефильмов</t>
        </is>
      </c>
      <c r="M4556" s="2">
        <f>HYPERLINK("https://ru.wikipedia.org/w/index.php?search=%D0%A2%D1%80%D0%B8%20%D0%BD%D0%B5%D0%BD%D0%B0%D1%81%D1%82%D0%BD%D1%8B%D1%85%20%D0%B4%D0%BD%D1%8F%201978%20%D1%84%D0%B8%D0%BB%D1%8C%D0%BC","искать")</f>
        <v/>
      </c>
      <c r="N4556" s="3" t="n"/>
      <c r="O4556" s="2" t="n"/>
      <c r="P4556" s="2" t="n"/>
    </row>
    <row r="4557">
      <c r="A4557" s="2" t="n">
        <v>4556</v>
      </c>
      <c r="B4557" s="2" t="inlineStr">
        <is>
          <t>короткая</t>
        </is>
      </c>
      <c r="C4557" s="2" t="n">
        <v>9157</v>
      </c>
      <c r="D4557" s="3" t="inlineStr">
        <is>
          <t>Через две весны</t>
        </is>
      </c>
      <c r="E4557" s="2" t="n">
        <v>1985</v>
      </c>
      <c r="F4557" s="2" t="inlineStr">
        <is>
          <t>кинофильм</t>
        </is>
      </c>
      <c r="G4557" s="2" t="n"/>
      <c r="H4557" s="2" t="n">
        <v>201</v>
      </c>
      <c r="I4557" s="2" t="inlineStr"/>
      <c r="J4557" s="2" t="inlineStr"/>
      <c r="K4557" s="3" t="inlineStr">
        <is>
          <t>Герой фильма - честный сельский парень Турсун - стремится к самостоятельной жизни. Всеми своими поступками герой доказывает свою принципиальность, достаточную зрелость, чтобы самому решать свою судьбу.</t>
        </is>
      </c>
      <c r="L4557" s="2" t="inlineStr">
        <is>
          <t>Кино_СССР сводный каталог.xlsx: список фильмов (доп.)</t>
        </is>
      </c>
      <c r="M4557" s="2">
        <f>HYPERLINK("https://ru.wikipedia.org/w/index.php?search=%D0%A7%D0%B5%D1%80%D0%B5%D0%B7%20%D0%B4%D0%B2%D0%B5%20%D0%B2%D0%B5%D1%81%D0%BD%D1%8B%201985%20%D1%84%D0%B8%D0%BB%D1%8C%D0%BC","искать")</f>
        <v/>
      </c>
      <c r="N4557" s="3" t="n"/>
      <c r="O4557" s="2" t="n"/>
      <c r="P4557" s="2" t="n"/>
    </row>
    <row r="4558">
      <c r="A4558" s="2" t="n">
        <v>4557</v>
      </c>
      <c r="B4558" s="2" t="inlineStr">
        <is>
          <t>короткая</t>
        </is>
      </c>
      <c r="C4558" s="2" t="n">
        <v>10029</v>
      </c>
      <c r="D4558" s="3" t="inlineStr">
        <is>
          <t>Искатель приключений</t>
        </is>
      </c>
      <c r="E4558" s="2" t="n">
        <v>1988</v>
      </c>
      <c r="F4558" s="2" t="inlineStr">
        <is>
          <t>кинофильм</t>
        </is>
      </c>
      <c r="G4558" s="2" t="inlineStr">
        <is>
          <t>Киностудия им.Горького</t>
        </is>
      </c>
      <c r="H4558" s="2" t="n">
        <v>201</v>
      </c>
      <c r="I4558" s="2" t="inlineStr"/>
      <c r="J4558" s="2" t="inlineStr"/>
      <c r="K4558" s="3" t="inlineStr">
        <is>
          <t>По мотивам повести А. Грина «Синий каскад Теллури».
Герой картины едет в смертельно зараженный город, чтобы заработать денег. Но там он понимает, что любовь выше и дороже всяких материальных ценностей.</t>
        </is>
      </c>
      <c r="L4558" s="2" t="inlineStr">
        <is>
          <t>https://www.kino-teatr.ru/short/movie/sov/37682/annot/</t>
        </is>
      </c>
      <c r="M4558" s="2">
        <f>HYPERLINK("https://ru.wikipedia.org/w/index.php?search=%D0%98%D1%81%D0%BA%D0%B0%D1%82%D0%B5%D0%BB%D1%8C%20%D0%BF%D1%80%D0%B8%D0%BA%D0%BB%D1%8E%D1%87%D0%B5%D0%BD%D0%B8%D0%B9%201988%20%D1%84%D0%B8%D0%BB%D1%8C%D0%BC","искать")</f>
        <v/>
      </c>
      <c r="N4558" s="3" t="n"/>
      <c r="O4558" s="2" t="n"/>
      <c r="P4558" s="2" t="n"/>
    </row>
    <row r="4559">
      <c r="A4559" s="2" t="n">
        <v>4558</v>
      </c>
      <c r="B4559" s="2" t="inlineStr">
        <is>
          <t>короткая</t>
        </is>
      </c>
      <c r="C4559" s="2" t="n">
        <v>11289</v>
      </c>
      <c r="D4559" s="3" t="inlineStr">
        <is>
          <t>Чудаки</t>
        </is>
      </c>
      <c r="E4559" s="2" t="n">
        <v>1989</v>
      </c>
      <c r="F4559" s="2" t="inlineStr">
        <is>
          <t>фильм-спектакль</t>
        </is>
      </c>
      <c r="G4559" s="2" t="n"/>
      <c r="H4559" s="2" t="n">
        <v>201</v>
      </c>
      <c r="I4559" s="2" t="inlineStr"/>
      <c r="J4559" s="2" t="inlineStr"/>
      <c r="K4559" s="3" t="inlineStr">
        <is>
          <t>Ранняя пьеса Горького поднимает темы метания русской интеллигенции, поиски смысла жизни. Герои много спорят, ссорятся, дразнят друг друга, пытаясь изменить если не свою жизнь, то хотя бы взгляд на нее.</t>
        </is>
      </c>
      <c r="L4559" s="2" t="inlineStr">
        <is>
          <t>https://www.kino-teatr.ru/teatr/movie/16012/annot/</t>
        </is>
      </c>
      <c r="M4559" s="2">
        <f>HYPERLINK("https://ru.wikipedia.org/w/index.php?search=%D0%A7%D1%83%D0%B4%D0%B0%D0%BA%D0%B8%201989%20%D1%84%D0%B8%D0%BB%D1%8C%D0%BC","искать")</f>
        <v/>
      </c>
      <c r="N4559" s="3" t="n"/>
      <c r="O4559" s="2" t="n"/>
      <c r="P4559" s="2" t="n"/>
    </row>
    <row r="4560">
      <c r="A4560" s="2" t="n">
        <v>4559</v>
      </c>
      <c r="B4560" s="2" t="inlineStr">
        <is>
          <t>короткая</t>
        </is>
      </c>
      <c r="C4560" s="2" t="n">
        <v>7221</v>
      </c>
      <c r="D4560" s="3" t="inlineStr">
        <is>
          <t>Артём</t>
        </is>
      </c>
      <c r="E4560" s="2" t="n">
        <v>1978</v>
      </c>
      <c r="F4560" s="2" t="inlineStr">
        <is>
          <t>телефильм</t>
        </is>
      </c>
      <c r="G4560" s="2" t="inlineStr">
        <is>
          <t>Одесская киностудия</t>
        </is>
      </c>
      <c r="H4560" s="2" t="n">
        <v>202</v>
      </c>
      <c r="I4560" s="2" t="inlineStr"/>
      <c r="J4560" s="2" t="inlineStr"/>
      <c r="K4560" s="3" t="inlineStr">
        <is>
          <t>Телефильм о жизни и деятельности профессионального революционера-большевика Ф.А.Сергеева (1883-1921), известного под псевдонимом Артем. Действие фильма происходит в период с 1905 по 1921 год в Харькове.</t>
        </is>
      </c>
      <c r="L4560" s="2" t="inlineStr">
        <is>
          <t>Кино_СССР сводный каталог.xlsx: список телефильмов</t>
        </is>
      </c>
      <c r="M4560" s="2">
        <f>HYPERLINK("https://ru.wikipedia.org/w/index.php?search=%D0%90%D1%80%D1%82%D1%91%D0%BC%201978%20%D1%84%D0%B8%D0%BB%D1%8C%D0%BC","искать")</f>
        <v/>
      </c>
      <c r="N4560" s="3" t="n"/>
      <c r="O4560" s="2" t="n"/>
      <c r="P4560" s="2" t="n"/>
    </row>
    <row r="4561">
      <c r="A4561" s="2" t="n">
        <v>4560</v>
      </c>
      <c r="B4561" s="2" t="inlineStr">
        <is>
          <t>короткая</t>
        </is>
      </c>
      <c r="C4561" s="2" t="n">
        <v>7613</v>
      </c>
      <c r="D4561" s="3" t="inlineStr">
        <is>
          <t>За ночью день идёт</t>
        </is>
      </c>
      <c r="E4561" s="2" t="n">
        <v>1984</v>
      </c>
      <c r="F4561" s="2" t="inlineStr">
        <is>
          <t>телефильм</t>
        </is>
      </c>
      <c r="G4561" s="2" t="n"/>
      <c r="H4561" s="2" t="n">
        <v>202</v>
      </c>
      <c r="I4561" s="2" t="inlineStr"/>
      <c r="J4561" s="2" t="inlineStr"/>
      <c r="K4561" s="3" t="inlineStr">
        <is>
          <t>Рассказ о действиях украинского подпольного движения во время Великой Отечественной войны. В центре сюжета - героическая борьба нежинских подпольщиков под руководством героя СССР незрячего Якова Батюка.</t>
        </is>
      </c>
      <c r="L4561" s="2" t="inlineStr">
        <is>
          <t>Кино_СССР сводный каталог.xlsx: список телефильмов</t>
        </is>
      </c>
      <c r="M4561" s="2">
        <f>HYPERLINK("https://ru.wikipedia.org/w/index.php?search=%D0%97%D0%B0%20%D0%BD%D0%BE%D1%87%D1%8C%D1%8E%20%D0%B4%D0%B5%D0%BD%D1%8C%20%D0%B8%D0%B4%D1%91%D1%82%201984%20%D1%84%D0%B8%D0%BB%D1%8C%D0%BC","искать")</f>
        <v/>
      </c>
      <c r="N4561" s="3" t="n"/>
      <c r="O4561" s="2" t="n"/>
      <c r="P4561" s="2" t="n"/>
    </row>
    <row r="4562">
      <c r="A4562" s="2" t="n">
        <v>4561</v>
      </c>
      <c r="B4562" s="2" t="inlineStr">
        <is>
          <t>короткая</t>
        </is>
      </c>
      <c r="C4562" s="2" t="n">
        <v>8607</v>
      </c>
      <c r="D4562" s="3" t="inlineStr">
        <is>
          <t>Я - 11-17</t>
        </is>
      </c>
      <c r="E4562" s="2" t="n">
        <v>1970</v>
      </c>
      <c r="F4562" s="2" t="inlineStr">
        <is>
          <t>телефильм</t>
        </is>
      </c>
      <c r="G4562" s="2" t="n"/>
      <c r="H4562" s="2" t="n">
        <v>202</v>
      </c>
      <c r="I4562" s="2" t="inlineStr"/>
      <c r="J4562" s="2" t="inlineStr"/>
      <c r="K4562" s="3" t="inlineStr">
        <is>
          <t>По одноименной повести Василия Ардаматского. Рассказ о сложной операции, проведенной советской разведкой на завершающем этапе Великой Отечественной войны. Действие происходит в Прибалтике в конце войны.</t>
        </is>
      </c>
      <c r="L4562" s="2" t="inlineStr">
        <is>
          <t>Кино_СССР сводный каталог.xlsx: список телефильмов</t>
        </is>
      </c>
      <c r="M4562" s="2">
        <f>HYPERLINK("https://ru.wikipedia.org/w/index.php?search=%D0%AF%20-%2011-17%201970%20%D1%84%D0%B8%D0%BB%D1%8C%D0%BC","искать")</f>
        <v/>
      </c>
      <c r="N4562" s="3" t="n"/>
      <c r="O4562" s="2" t="n"/>
      <c r="P4562" s="2" t="n"/>
    </row>
    <row r="4563">
      <c r="A4563" s="2" t="n">
        <v>4562</v>
      </c>
      <c r="B4563" s="2" t="inlineStr">
        <is>
          <t>короткая</t>
        </is>
      </c>
      <c r="C4563" s="2" t="n">
        <v>8908</v>
      </c>
      <c r="D4563" s="3" t="inlineStr">
        <is>
          <t>Отец, сын и ветерок</t>
        </is>
      </c>
      <c r="E4563" s="2" t="n">
        <v>1988</v>
      </c>
      <c r="F4563" s="2" t="inlineStr">
        <is>
          <t>кинофильм</t>
        </is>
      </c>
      <c r="G4563" s="2" t="n"/>
      <c r="H4563" s="2" t="n">
        <v>202</v>
      </c>
      <c r="I4563" s="2" t="inlineStr"/>
      <c r="J4563" s="2" t="inlineStr"/>
      <c r="K4563" s="3" t="inlineStr">
        <is>
          <t>მამა, შვილი და ნიავი Шалва, демобилизованный офицер, возвращается в горную деревушку, где его ждут больная мать, жена и сын. Бывший солдат начинает восстанавливать небогатое хозяйство, ему помогает сын.</t>
        </is>
      </c>
      <c r="L4563" s="2" t="inlineStr">
        <is>
          <t>Кино_СССР сводный каталог.xlsx: список фильмов (доп.)</t>
        </is>
      </c>
      <c r="M4563" s="2">
        <f>HYPERLINK("https://ru.wikipedia.org/w/index.php?search=%D0%9E%D1%82%D0%B5%D1%86%2C%20%D1%81%D1%8B%D0%BD%20%D0%B8%20%D0%B2%D0%B5%D1%82%D0%B5%D1%80%D0%BE%D0%BA%201988%20%D1%84%D0%B8%D0%BB%D1%8C%D0%BC","искать")</f>
        <v/>
      </c>
      <c r="N4563" s="3" t="n"/>
      <c r="O4563" s="2" t="n"/>
      <c r="P4563" s="2" t="n"/>
    </row>
    <row r="4564">
      <c r="A4564" s="2" t="n">
        <v>4563</v>
      </c>
      <c r="B4564" s="2" t="inlineStr">
        <is>
          <t>короткая</t>
        </is>
      </c>
      <c r="C4564" s="2" t="n">
        <v>9315</v>
      </c>
      <c r="D4564" s="3" t="inlineStr">
        <is>
          <t>Гость</t>
        </is>
      </c>
      <c r="E4564" s="2" t="n">
        <v>1939</v>
      </c>
      <c r="F4564" s="2" t="inlineStr">
        <is>
          <t>кинофильм</t>
        </is>
      </c>
      <c r="G4564" s="2" t="n"/>
      <c r="H4564" s="2" t="n">
        <v>202</v>
      </c>
      <c r="I4564" s="2" t="inlineStr"/>
      <c r="J4564" s="2" t="inlineStr"/>
      <c r="K4564" s="3" t="inlineStr">
        <is>
          <t>Молодой ненец-охотник разоблачает проникшего на территорию СССР диверсанта, который поначалу выдает себя за сбившегося с пути врача, а затем делает охотника своим заложником. Фильм на экраны не выпущен.</t>
        </is>
      </c>
      <c r="L4564" s="2" t="inlineStr">
        <is>
          <t>Кино_СССР сводный каталог.xlsx: список фильмов (доп.)</t>
        </is>
      </c>
      <c r="M4564" s="2">
        <f>HYPERLINK("https://ru.wikipedia.org/w/index.php?search=%D0%93%D0%BE%D1%81%D1%82%D1%8C%201939%20%D1%84%D0%B8%D0%BB%D1%8C%D0%BC","искать")</f>
        <v/>
      </c>
      <c r="N4564" s="3" t="n"/>
      <c r="O4564" s="2" t="n"/>
      <c r="P4564" s="2" t="n"/>
    </row>
    <row r="4565">
      <c r="A4565" s="2" t="n">
        <v>4564</v>
      </c>
      <c r="B4565" s="2" t="inlineStr">
        <is>
          <t>короткая</t>
        </is>
      </c>
      <c r="C4565" s="2" t="n">
        <v>9706</v>
      </c>
      <c r="D4565" s="3" t="inlineStr">
        <is>
          <t>Убить дракона</t>
        </is>
      </c>
      <c r="E4565" s="2" t="n">
        <v>1988</v>
      </c>
      <c r="F4565" s="2" t="inlineStr">
        <is>
          <t>кинофильм</t>
        </is>
      </c>
      <c r="G4565" s="2" t="n"/>
      <c r="H4565" s="2" t="n">
        <v>202</v>
      </c>
      <c r="I4565" s="2" t="inlineStr"/>
      <c r="J4565" s="2" t="inlineStr"/>
      <c r="K4565" s="3" t="inlineStr">
        <is>
          <t>Фильм создан на основе известной пьесы-сказки Евгения Шварца "Дракон". О странствующем рыцаре Ланцелоте, бросившем вызов Дракону, о противостоянии человеческого достоинства деспотизму, тирании, реакции.</t>
        </is>
      </c>
      <c r="L4565" s="2" t="inlineStr">
        <is>
          <t>Кино_СССР сводный каталог.xlsx: список фильмов (доп.)</t>
        </is>
      </c>
      <c r="M4565" s="2">
        <f>HYPERLINK("https://ru.wikipedia.org/w/index.php?search=%D0%A3%D0%B1%D0%B8%D1%82%D1%8C%20%D0%B4%D1%80%D0%B0%D0%BA%D0%BE%D0%BD%D0%B0%201988%20%D1%84%D0%B8%D0%BB%D1%8C%D0%BC","искать")</f>
        <v/>
      </c>
      <c r="N4565" s="3" t="n"/>
      <c r="O4565" s="2" t="n"/>
      <c r="P4565" s="2" t="n"/>
    </row>
    <row r="4566">
      <c r="A4566" s="2" t="n">
        <v>4565</v>
      </c>
      <c r="B4566" s="2" t="inlineStr">
        <is>
          <t>короткая</t>
        </is>
      </c>
      <c r="C4566" s="2" t="n">
        <v>9858</v>
      </c>
      <c r="D4566" s="3" t="inlineStr">
        <is>
          <t>В деревне "Загадкино"</t>
        </is>
      </c>
      <c r="E4566" s="2" t="n">
        <v>1969</v>
      </c>
      <c r="F4566" s="2" t="inlineStr">
        <is>
          <t>телефильм</t>
        </is>
      </c>
      <c r="G4566" s="2" t="inlineStr">
        <is>
          <t>ТО “Экран”</t>
        </is>
      </c>
      <c r="H4566" s="2" t="n">
        <v>202</v>
      </c>
      <c r="I4566" s="2" t="inlineStr"/>
      <c r="J4566" s="2" t="inlineStr"/>
      <c r="K4566" s="3" t="inlineStr">
        <is>
          <t>Телефильм.
Городской школьник Андрейка впервые попадает в деревню с таинственным названием "Загадкино". Все здесь для него ново и необычно. Многое увидев и узнав, Андрейка горячо полюбил родную природу.</t>
        </is>
      </c>
      <c r="L4566" s="2" t="inlineStr">
        <is>
          <t>https://www.kino-teatr.ru/short/movie/sov/722/annot/</t>
        </is>
      </c>
      <c r="M4566" s="2">
        <f>HYPERLINK("https://ru.wikipedia.org/w/index.php?search=%D0%92%20%D0%B4%D0%B5%D1%80%D0%B5%D0%B2%D0%BD%D0%B5%20%22%D0%97%D0%B0%D0%B3%D0%B0%D0%B4%D0%BA%D0%B8%D0%BD%D0%BE%22%201969%20%D1%84%D0%B8%D0%BB%D1%8C%D0%BC","искать")</f>
        <v/>
      </c>
      <c r="N4566" s="3" t="n"/>
      <c r="O4566" s="2" t="n"/>
      <c r="P4566" s="2" t="n"/>
    </row>
    <row r="4567">
      <c r="A4567" s="2" t="n">
        <v>4566</v>
      </c>
      <c r="B4567" s="2" t="inlineStr">
        <is>
          <t>короткая</t>
        </is>
      </c>
      <c r="C4567" s="2" t="n">
        <v>12107</v>
      </c>
      <c r="D4567" s="3" t="inlineStr">
        <is>
          <t>Второе Я</t>
        </is>
      </c>
      <c r="E4567" s="2" t="n">
        <v>1989</v>
      </c>
      <c r="F4567" s="2" t="inlineStr">
        <is>
          <t>мультфильм</t>
        </is>
      </c>
      <c r="G4567" s="2" t="inlineStr">
        <is>
          <t>Союзмультфильм</t>
        </is>
      </c>
      <c r="H4567" s="2" t="n">
        <v>202</v>
      </c>
      <c r="I4567" s="2" t="inlineStr"/>
      <c r="J4567" s="2" t="inlineStr"/>
      <c r="K4567" s="3" t="inlineStr">
        <is>
          <t>Героиня фильма, обремененная неустойчивым бытом, находит отдохновение, соприкасаясь с прекрасным миром произведений великого Рембранта. В фильме использованы репродукции картин этого великого художника.</t>
        </is>
      </c>
      <c r="L4567" s="2" t="inlineStr">
        <is>
          <t>2026-10_мультфильмы_список_владельца.xlsx; https://animator.ru/db/?p=show_film&amp;fid=3223</t>
        </is>
      </c>
      <c r="M4567" s="2">
        <f>HYPERLINK("https://ru.wikipedia.org/w/index.php?search=%D0%92%D1%82%D0%BE%D1%80%D0%BE%D0%B5%20%D0%AF%201989%20%D1%84%D0%B8%D0%BB%D1%8C%D0%BC","искать")</f>
        <v/>
      </c>
      <c r="N4567" s="3" t="n"/>
      <c r="O4567" s="2" t="n"/>
      <c r="P4567" s="2" t="n"/>
    </row>
    <row r="4568">
      <c r="A4568" s="2" t="n">
        <v>4567</v>
      </c>
      <c r="B4568" s="2" t="inlineStr">
        <is>
          <t>короткая</t>
        </is>
      </c>
      <c r="C4568" s="2" t="n">
        <v>10818</v>
      </c>
      <c r="D4568" s="3" t="inlineStr">
        <is>
          <t>Сказки Пушкина</t>
        </is>
      </c>
      <c r="E4568" s="2" t="n">
        <v>1979</v>
      </c>
      <c r="F4568" s="2" t="inlineStr">
        <is>
          <t>фильм-спектакль</t>
        </is>
      </c>
      <c r="G4568" s="2" t="inlineStr">
        <is>
          <t>Творческое объединение "Экран", Подборки фильмов, экранизации Пушкина</t>
        </is>
      </c>
      <c r="H4568" s="2" t="n">
        <v>203</v>
      </c>
      <c r="I4568" s="2" t="inlineStr"/>
      <c r="J4568" s="2" t="inlineStr"/>
      <c r="K4568" s="3" t="inlineStr">
        <is>
          <t>Народный артист СССР Олег Борисов читает сказки А.С.Пушкина: "Сказка о попе и о работнике его Балде", "Сказка о рыбаке и рыбке", "Сказка о мертвой царевне и о семи богатырях", "Сказка о золотом петушке".</t>
        </is>
      </c>
      <c r="L4568" s="2" t="inlineStr">
        <is>
          <t>https://www.kino-teatr.ru/teatr/movie/113787/annot/</t>
        </is>
      </c>
      <c r="M4568" s="2">
        <f>HYPERLINK("https://ru.wikipedia.org/w/index.php?search=%D0%A1%D0%BA%D0%B0%D0%B7%D0%BA%D0%B8%20%D0%9F%D1%83%D1%88%D0%BA%D0%B8%D0%BD%D0%B0%201979%20%D1%84%D0%B8%D0%BB%D1%8C%D0%BC","искать")</f>
        <v/>
      </c>
      <c r="N4568" s="3" t="n"/>
      <c r="O4568" s="2" t="n"/>
      <c r="P4568" s="2" t="n"/>
    </row>
    <row r="4569">
      <c r="A4569" s="2" t="n">
        <v>4568</v>
      </c>
      <c r="B4569" s="2" t="inlineStr">
        <is>
          <t>короткая</t>
        </is>
      </c>
      <c r="C4569" s="2" t="n">
        <v>8608</v>
      </c>
      <c r="D4569" s="3" t="inlineStr">
        <is>
          <t>Я - ваш родственник</t>
        </is>
      </c>
      <c r="E4569" s="2" t="n">
        <v>1982</v>
      </c>
      <c r="F4569" s="2" t="inlineStr">
        <is>
          <t>телефильм</t>
        </is>
      </c>
      <c r="G4569" s="2" t="n"/>
      <c r="H4569" s="2" t="n">
        <v>204</v>
      </c>
      <c r="I4569" s="2" t="inlineStr"/>
      <c r="J4569" s="2" t="inlineStr"/>
      <c r="K4569" s="3" t="inlineStr">
        <is>
          <t>Телефильм. Из аула к родственникам в город для учебы в математической школе приезжает шестиклассник Толеген. Перепутав адрес, он попадает в семью Рахметовых, принявших его за своего дальнего родственника.</t>
        </is>
      </c>
      <c r="L4569" s="2" t="inlineStr">
        <is>
          <t>Кино_СССР сводный каталог.xlsx: список телефильмов</t>
        </is>
      </c>
      <c r="M4569" s="2">
        <f>HYPERLINK("https://ru.wikipedia.org/w/index.php?search=%D0%AF%20-%20%D0%B2%D0%B0%D1%88%20%D1%80%D0%BE%D0%B4%D1%81%D1%82%D0%B2%D0%B5%D0%BD%D0%BD%D0%B8%D0%BA%201982%20%D1%84%D0%B8%D0%BB%D1%8C%D0%BC","искать")</f>
        <v/>
      </c>
      <c r="N4569" s="3" t="n"/>
      <c r="O4569" s="2" t="n"/>
      <c r="P4569" s="2" t="n"/>
    </row>
    <row r="4570">
      <c r="A4570" s="2" t="n">
        <v>4569</v>
      </c>
      <c r="B4570" s="2" t="inlineStr">
        <is>
          <t>короткая</t>
        </is>
      </c>
      <c r="C4570" s="2" t="n">
        <v>10126</v>
      </c>
      <c r="D4570" s="3" t="inlineStr">
        <is>
          <t>Повесть о молодых супругах</t>
        </is>
      </c>
      <c r="E4570" s="2" t="n">
        <v>1964</v>
      </c>
      <c r="F4570" s="2" t="inlineStr">
        <is>
          <t>фильм-спектакль</t>
        </is>
      </c>
      <c r="G4570" s="2" t="inlineStr">
        <is>
          <t>Главная редакция литературно-драматических программ ЦТ</t>
        </is>
      </c>
      <c r="H4570" s="2" t="n">
        <v>204</v>
      </c>
      <c r="I4570" s="2" t="inlineStr"/>
      <c r="J4570" s="2" t="inlineStr"/>
      <c r="K4570" s="3" t="inlineStr">
        <is>
          <t>По одноименной пьесе Евгения Шварца.
Рассказ о двух молодых людях, которые начинают строить совместную жизнь, и пройдя через многие трудности и разочарования, осознают, что по-настоящему нужны друг другу.</t>
        </is>
      </c>
      <c r="L4570" s="2" t="inlineStr">
        <is>
          <t>https://www.kino-teatr.ru/teatr/movie/82406/annot/</t>
        </is>
      </c>
      <c r="M4570" s="2">
        <f>HYPERLINK("https://ru.wikipedia.org/w/index.php?search=%D0%9F%D0%BE%D0%B2%D0%B5%D1%81%D1%82%D1%8C%20%D0%BE%20%D0%BC%D0%BE%D0%BB%D0%BE%D0%B4%D1%8B%D1%85%20%D1%81%D1%83%D0%BF%D1%80%D1%83%D0%B3%D0%B0%D1%85%201964%20%D1%84%D0%B8%D0%BB%D1%8C%D0%BC","искать")</f>
        <v/>
      </c>
      <c r="N4570" s="3" t="n"/>
      <c r="O4570" s="2" t="n"/>
      <c r="P4570" s="2" t="n"/>
    </row>
    <row r="4571">
      <c r="A4571" s="2" t="n">
        <v>4570</v>
      </c>
      <c r="B4571" s="2" t="inlineStr">
        <is>
          <t>короткая</t>
        </is>
      </c>
      <c r="C4571" s="2" t="n">
        <v>11664</v>
      </c>
      <c r="D4571" s="3" t="inlineStr">
        <is>
          <t>Винни-Пух и день забот</t>
        </is>
      </c>
      <c r="E4571" s="2" t="n">
        <v>1972</v>
      </c>
      <c r="F4571" s="2" t="inlineStr">
        <is>
          <t>мультфильм</t>
        </is>
      </c>
      <c r="G4571" s="2" t="inlineStr">
        <is>
          <t>Союзмультфильм</t>
        </is>
      </c>
      <c r="H4571" s="2" t="n">
        <v>204</v>
      </c>
      <c r="I4571" s="2" t="inlineStr"/>
      <c r="J4571" s="2" t="inlineStr"/>
      <c r="K4571" s="3" t="inlineStr">
        <is>
          <t>Третий фильм трилогии об игрушечном медвежонке по сказке А.Милна
День рождения ослика Иа-Иа.Музыка из мультфильма:Хто ходит в гости по утрам(1.48 Мб)Песенка Винни Пуха(1.09 Мб)И я того же мнения(1.39 Мб)</t>
        </is>
      </c>
      <c r="L4571" s="2" t="inlineStr">
        <is>
          <t>2026-10_мультфильмы_список_владельца.xlsx; https://animator.ru/db/?p=show_film&amp;fid=2578</t>
        </is>
      </c>
      <c r="M4571" s="2">
        <f>HYPERLINK("https://ru.wikipedia.org/w/index.php?search=%D0%92%D0%B8%D0%BD%D0%BD%D0%B8-%D0%9F%D1%83%D1%85%20%D0%B8%20%D0%B4%D0%B5%D0%BD%D1%8C%20%D0%B7%D0%B0%D0%B1%D0%BE%D1%82%201972%20%D1%84%D0%B8%D0%BB%D1%8C%D0%BC","искать")</f>
        <v/>
      </c>
      <c r="N4571" s="3" t="n"/>
      <c r="O4571" s="2" t="n"/>
      <c r="P4571" s="2" t="n"/>
    </row>
    <row r="4572">
      <c r="A4572" s="2" t="n">
        <v>4571</v>
      </c>
      <c r="B4572" s="2" t="inlineStr">
        <is>
          <t>короткая</t>
        </is>
      </c>
      <c r="C4572" s="2" t="n">
        <v>12762</v>
      </c>
      <c r="D4572" s="3" t="inlineStr">
        <is>
          <t>Находчивый крестьянин</t>
        </is>
      </c>
      <c r="E4572" s="2" t="n">
        <v>1986</v>
      </c>
      <c r="F4572" s="2" t="inlineStr">
        <is>
          <t>мультфильм</t>
        </is>
      </c>
      <c r="G4572" s="2" t="inlineStr">
        <is>
          <t>АРМЕНФИЛЬМ</t>
        </is>
      </c>
      <c r="H4572" s="2" t="n">
        <v>204</v>
      </c>
      <c r="I4572" s="2" t="inlineStr"/>
      <c r="J4572" s="2" t="inlineStr"/>
      <c r="K4572" s="3" t="inlineStr">
        <is>
          <t>Царь потерял аппетит - что ни ест, все ему невкусно. Находчивый крестьянин предложил царю самому приготовить "волшебное лекарство" - хлеб, добытый собственным трудом, ибо только такой хлеб наиболее вкусен</t>
        </is>
      </c>
      <c r="L4572" s="2" t="inlineStr">
        <is>
          <t>https://gosfilmofond.ru/films/255625/</t>
        </is>
      </c>
      <c r="M4572" s="2">
        <f>HYPERLINK("https://ru.wikipedia.org/w/index.php?search=%D0%9D%D0%B0%D1%85%D0%BE%D0%B4%D1%87%D0%B8%D0%B2%D1%8B%D0%B9%20%D0%BA%D1%80%D0%B5%D1%81%D1%82%D1%8C%D1%8F%D0%BD%D0%B8%D0%BD%201986%20%D1%84%D0%B8%D0%BB%D1%8C%D0%BC","искать")</f>
        <v/>
      </c>
      <c r="N4572" s="3" t="n"/>
      <c r="O4572" s="2" t="n"/>
      <c r="P4572" s="2" t="n"/>
    </row>
    <row r="4573">
      <c r="A4573" s="2" t="n">
        <v>4572</v>
      </c>
      <c r="B4573" s="2" t="inlineStr">
        <is>
          <t>короткая</t>
        </is>
      </c>
      <c r="C4573" s="2" t="n">
        <v>8395</v>
      </c>
      <c r="D4573" s="3" t="inlineStr">
        <is>
          <t>Старик и девочка</t>
        </is>
      </c>
      <c r="E4573" s="2" t="n">
        <v>1981</v>
      </c>
      <c r="F4573" s="2" t="inlineStr">
        <is>
          <t>телефильм</t>
        </is>
      </c>
      <c r="G4573" s="2" t="n"/>
      <c r="H4573" s="2" t="n">
        <v>205</v>
      </c>
      <c r="I4573" s="2" t="inlineStr"/>
      <c r="J4573" s="2" t="inlineStr"/>
      <c r="K4573" s="3" t="inlineStr">
        <is>
          <t>Телефильм по повести А.Хаидова "Мой дом-пустыня". Старый чабан переехал в город к сыну и невестке. Ему очень трудно привыкнуть к городской жизни. Обрести душевный покой ему помогает любовь и забота внучки.</t>
        </is>
      </c>
      <c r="L4573" s="2" t="inlineStr">
        <is>
          <t>Кино_СССР сводный каталог.xlsx: список телефильмов</t>
        </is>
      </c>
      <c r="M4573" s="2">
        <f>HYPERLINK("https://ru.wikipedia.org/w/index.php?search=%D0%A1%D1%82%D0%B0%D1%80%D0%B8%D0%BA%20%D0%B8%20%D0%B4%D0%B5%D0%B2%D0%BE%D1%87%D0%BA%D0%B0%201981%20%D1%84%D0%B8%D0%BB%D1%8C%D0%BC","искать")</f>
        <v/>
      </c>
      <c r="N4573" s="3" t="n"/>
      <c r="O4573" s="2" t="n"/>
      <c r="P4573" s="2" t="n"/>
    </row>
    <row r="4574">
      <c r="A4574" s="2" t="n">
        <v>4573</v>
      </c>
      <c r="B4574" s="2" t="inlineStr">
        <is>
          <t>короткая</t>
        </is>
      </c>
      <c r="C4574" s="2" t="n">
        <v>8454</v>
      </c>
      <c r="D4574" s="3" t="inlineStr">
        <is>
          <t>Тихие троечники</t>
        </is>
      </c>
      <c r="E4574" s="2" t="n">
        <v>1980</v>
      </c>
      <c r="F4574" s="2" t="inlineStr">
        <is>
          <t>телефильм</t>
        </is>
      </c>
      <c r="G4574" s="2" t="n"/>
      <c r="H4574" s="2" t="n">
        <v>205</v>
      </c>
      <c r="I4574" s="2" t="inlineStr"/>
      <c r="J4574" s="2" t="inlineStr"/>
      <c r="K4574" s="3" t="inlineStr">
        <is>
          <t>Телефильм рассказывает о веселых приключениях двух мальчишек-троечников, Вовки и Валерки, которые, увлекшись поисками подземной речки, пришли к выводу, что без знаний их усилия не могут увенчаться успехом.</t>
        </is>
      </c>
      <c r="L4574" s="2" t="inlineStr">
        <is>
          <t>Кино_СССР сводный каталог.xlsx: список телефильмов</t>
        </is>
      </c>
      <c r="M4574" s="2">
        <f>HYPERLINK("https://ru.wikipedia.org/w/index.php?search=%D0%A2%D0%B8%D1%85%D0%B8%D0%B5%20%D1%82%D1%80%D0%BE%D0%B5%D1%87%D0%BD%D0%B8%D0%BA%D0%B8%201980%20%D1%84%D0%B8%D0%BB%D1%8C%D0%BC","искать")</f>
        <v/>
      </c>
      <c r="N4574" s="3" t="n"/>
      <c r="O4574" s="2" t="n"/>
      <c r="P4574" s="2" t="n"/>
    </row>
    <row r="4575">
      <c r="A4575" s="2" t="n">
        <v>4574</v>
      </c>
      <c r="B4575" s="2" t="inlineStr">
        <is>
          <t>короткая</t>
        </is>
      </c>
      <c r="C4575" s="2" t="n">
        <v>9164</v>
      </c>
      <c r="D4575" s="3" t="inlineStr">
        <is>
          <t>Чудо в краю забвения</t>
        </is>
      </c>
      <c r="E4575" s="2" t="n">
        <v>1991</v>
      </c>
      <c r="F4575" s="2" t="inlineStr">
        <is>
          <t>кинофильм</t>
        </is>
      </c>
      <c r="G4575" s="2" t="n"/>
      <c r="H4575" s="2" t="n">
        <v>205</v>
      </c>
      <c r="I4575" s="2" t="inlineStr"/>
      <c r="J4575" s="2" t="inlineStr"/>
      <c r="K4575" s="3" t="inlineStr">
        <is>
          <t>По повести Валерия Шевчука "Петр беглый". История убийства двух братьев-близнецов, которых жители села считают одним человеком. От страха, что пришел Мессия и творит Страшный суд, люди совершают злодеяние.</t>
        </is>
      </c>
      <c r="L4575" s="2" t="inlineStr">
        <is>
          <t>Кино_СССР сводный каталог.xlsx: список фильмов (доп.)</t>
        </is>
      </c>
      <c r="M4575" s="2">
        <f>HYPERLINK("https://ru.wikipedia.org/w/index.php?search=%D0%A7%D1%83%D0%B4%D0%BE%20%D0%B2%20%D0%BA%D1%80%D0%B0%D1%8E%20%D0%B7%D0%B0%D0%B1%D0%B2%D0%B5%D0%BD%D0%B8%D1%8F%201991%20%D1%84%D0%B8%D0%BB%D1%8C%D0%BC","искать")</f>
        <v/>
      </c>
      <c r="N4575" s="3" t="n"/>
      <c r="O4575" s="2" t="n"/>
      <c r="P4575" s="2" t="n"/>
    </row>
    <row r="4576">
      <c r="A4576" s="2" t="n">
        <v>4575</v>
      </c>
      <c r="B4576" s="2" t="inlineStr">
        <is>
          <t>короткая</t>
        </is>
      </c>
      <c r="C4576" s="2" t="n">
        <v>9269</v>
      </c>
      <c r="D4576" s="3" t="inlineStr">
        <is>
          <t>Ветер забвения</t>
        </is>
      </c>
      <c r="E4576" s="2" t="n">
        <v>1989</v>
      </c>
      <c r="F4576" s="2" t="inlineStr">
        <is>
          <t>кинофильм</t>
        </is>
      </c>
      <c r="G4576" s="2" t="n"/>
      <c r="H4576" s="2" t="n">
        <v>205</v>
      </c>
      <c r="I4576" s="2" t="inlineStr"/>
      <c r="J4576" s="2" t="inlineStr"/>
      <c r="K4576" s="3" t="inlineStr">
        <is>
          <t>Герои фильма покидают Армению и отправляются в поездку по стране. Цель путешествия Рубена и Олега — найти друзей, которые когда-то покинули родину, и узнать, что заставило их искать счастье в чужих краях?.</t>
        </is>
      </c>
      <c r="L4576" s="2" t="inlineStr">
        <is>
          <t>Кино_СССР сводный каталог.xlsx: список фильмов (доп.)</t>
        </is>
      </c>
      <c r="M4576" s="2">
        <f>HYPERLINK("https://ru.wikipedia.org/w/index.php?search=%D0%92%D0%B5%D1%82%D0%B5%D1%80%20%D0%B7%D0%B0%D0%B1%D0%B2%D0%B5%D0%BD%D0%B8%D1%8F%201989%20%D1%84%D0%B8%D0%BB%D1%8C%D0%BC","искать")</f>
        <v/>
      </c>
      <c r="N4576" s="3" t="n"/>
      <c r="O4576" s="2" t="n"/>
      <c r="P4576" s="2" t="n"/>
    </row>
    <row r="4577">
      <c r="A4577" s="2" t="n">
        <v>4576</v>
      </c>
      <c r="B4577" s="2" t="inlineStr">
        <is>
          <t>короткая</t>
        </is>
      </c>
      <c r="C4577" s="2" t="n">
        <v>9947</v>
      </c>
      <c r="D4577" s="3" t="inlineStr">
        <is>
          <t>Ретивый поросенок</t>
        </is>
      </c>
      <c r="E4577" s="2" t="n">
        <v>1979</v>
      </c>
      <c r="F4577" s="2" t="inlineStr">
        <is>
          <t>телефильм</t>
        </is>
      </c>
      <c r="G4577" s="2" t="inlineStr">
        <is>
          <t>Грузия-фильм по заказу Гостелерадио СССР</t>
        </is>
      </c>
      <c r="H4577" s="2" t="n">
        <v>205</v>
      </c>
      <c r="I4577" s="2" t="inlineStr"/>
      <c r="J4577" s="2" t="inlineStr"/>
      <c r="K4577" s="3" t="inlineStr">
        <is>
          <t>Кинокомедия об озорном поросенке и его добрых, веселых хозяевах. Своими проделками поросенок прославился на всё село. Намаявшись с ним хозяева, Марта и её сын Кукури, повезли проказника в Тбилиси на базар.</t>
        </is>
      </c>
      <c r="L4577" s="2" t="inlineStr">
        <is>
          <t>https://www.kino-teatr.ru/short/movie/sov/83570/annot/</t>
        </is>
      </c>
      <c r="M4577" s="2">
        <f>HYPERLINK("https://ru.wikipedia.org/w/index.php?search=%D0%A0%D0%B5%D1%82%D0%B8%D0%B2%D1%8B%D0%B9%20%D0%BF%D0%BE%D1%80%D0%BE%D1%81%D0%B5%D0%BD%D0%BE%D0%BA%201979%20%D1%84%D0%B8%D0%BB%D1%8C%D0%BC","искать")</f>
        <v/>
      </c>
      <c r="N4577" s="3" t="n"/>
      <c r="O4577" s="2" t="n"/>
      <c r="P4577" s="2" t="n"/>
    </row>
    <row r="4578">
      <c r="A4578" s="2" t="n">
        <v>4577</v>
      </c>
      <c r="B4578" s="2" t="inlineStr">
        <is>
          <t>короткая</t>
        </is>
      </c>
      <c r="C4578" s="2" t="n">
        <v>9994</v>
      </c>
      <c r="D4578" s="3" t="inlineStr">
        <is>
          <t>Полустанок</t>
        </is>
      </c>
      <c r="E4578" s="2" t="n">
        <v>1983</v>
      </c>
      <c r="F4578" s="2" t="inlineStr">
        <is>
          <t>телефильм</t>
        </is>
      </c>
      <c r="G4578" s="2" t="inlineStr">
        <is>
          <t>студия т/ф “Ереван”</t>
        </is>
      </c>
      <c r="H4578" s="2" t="n">
        <v>205</v>
      </c>
      <c r="I4578" s="2" t="inlineStr"/>
      <c r="J4578" s="2" t="inlineStr"/>
      <c r="K4578" s="3" t="inlineStr">
        <is>
          <t>Одинокие родители в заброшенном селе справляют день рождение главы семьи и ждут сына, но сын не приезжает. Боль и обиду за сына смягчают его друзья, которые приезжают поздравить с днем рождения отца друга.</t>
        </is>
      </c>
      <c r="L4578" s="2" t="inlineStr">
        <is>
          <t>https://www.kino-teatr.ru/short/movie/sov/11070/annot/</t>
        </is>
      </c>
      <c r="M4578" s="2">
        <f>HYPERLINK("https://ru.wikipedia.org/w/index.php?search=%D0%9F%D0%BE%D0%BB%D1%83%D1%81%D1%82%D0%B0%D0%BD%D0%BE%D0%BA%201983%20%D1%84%D0%B8%D0%BB%D1%8C%D0%BC","искать")</f>
        <v/>
      </c>
      <c r="N4578" s="3" t="n"/>
      <c r="O4578" s="2" t="n"/>
      <c r="P4578" s="2" t="n"/>
    </row>
    <row r="4579">
      <c r="A4579" s="2" t="n">
        <v>4578</v>
      </c>
      <c r="B4579" s="2" t="inlineStr">
        <is>
          <t>короткая</t>
        </is>
      </c>
      <c r="C4579" s="2" t="n">
        <v>11827</v>
      </c>
      <c r="D4579" s="3" t="inlineStr">
        <is>
          <t>Веселая карусель n 9. Принцесса и людоед</t>
        </is>
      </c>
      <c r="E4579" s="2" t="n">
        <v>1977</v>
      </c>
      <c r="F4579" s="2" t="inlineStr">
        <is>
          <t>мультфильм</t>
        </is>
      </c>
      <c r="G4579" s="2" t="inlineStr">
        <is>
          <t>Союзмультфильм</t>
        </is>
      </c>
      <c r="H4579" s="2" t="n">
        <v>205</v>
      </c>
      <c r="I4579" s="2" t="inlineStr"/>
      <c r="J4579" s="2" t="inlineStr"/>
      <c r="K4579" s="3" t="inlineStr">
        <is>
          <t>Сюжет из альманаха «ВЕСЕЛАЯ КАРУСЕЛЬ N 9»
Музыкальный фильм о "прекрасной-ужасной" принцессе и "ужасном-прекрасном" людоеде (по стихотворению Г.Сапгира). Общая длина выпуска - 274 м, продолжительность - 10</t>
        </is>
      </c>
      <c r="L4579" s="2" t="inlineStr">
        <is>
          <t>https://animator.ru/db/?p=show_film&amp;fid=2742</t>
        </is>
      </c>
      <c r="M4579" s="2">
        <f>HYPERLINK("https://ru.wikipedia.org/w/index.php?search=%D0%92%D0%B5%D1%81%D0%B5%D0%BB%D0%B0%D1%8F%20%D0%BA%D0%B0%D1%80%D1%83%D1%81%D0%B5%D0%BB%D1%8C%20n%209.%20%D0%9F%D1%80%D0%B8%D0%BD%D1%86%D0%B5%D1%81%D1%81%D0%B0%20%D0%B8%20%D0%BB%D1%8E%D0%B4%D0%BE%D0%B5%D0%B4%201977%20%D1%84%D0%B8%D0%BB%D1%8C%D0%BC","искать")</f>
        <v/>
      </c>
      <c r="N4579" s="3" t="n"/>
      <c r="O4579" s="2" t="n"/>
      <c r="P4579" s="2" t="n"/>
    </row>
    <row r="4580">
      <c r="A4580" s="2" t="n">
        <v>4579</v>
      </c>
      <c r="B4580" s="2" t="inlineStr">
        <is>
          <t>короткая</t>
        </is>
      </c>
      <c r="C4580" s="2" t="n">
        <v>12047</v>
      </c>
      <c r="D4580" s="3" t="inlineStr">
        <is>
          <t>Наваждение родамуса кверка</t>
        </is>
      </c>
      <c r="E4580" s="2" t="n">
        <v>1983</v>
      </c>
      <c r="F4580" s="2" t="inlineStr">
        <is>
          <t>мультфильм</t>
        </is>
      </c>
      <c r="G4580" s="2" t="inlineStr">
        <is>
          <t>Союзмультфильм</t>
        </is>
      </c>
      <c r="H4580" s="2" t="n">
        <v>205</v>
      </c>
      <c r="I4580" s="2" t="inlineStr"/>
      <c r="J4580" s="2" t="inlineStr"/>
      <c r="K4580" s="3" t="inlineStr">
        <is>
          <t>Подмастерье кузнеца заключил договор с дьяволом - обменял свою душу на уважение со стороны самых именитых людей города. Однако вскоре убедился, что подлинное уважение можно завоевать только упорным трудом.</t>
        </is>
      </c>
      <c r="L4580" s="2" t="inlineStr">
        <is>
          <t>https://animator.ru/db/?p=show_film&amp;fid=3162</t>
        </is>
      </c>
      <c r="M4580" s="2">
        <f>HYPERLINK("https://ru.wikipedia.org/w/index.php?search=%D0%9D%D0%B0%D0%B2%D0%B0%D0%B6%D0%B4%D0%B5%D0%BD%D0%B8%D0%B5%20%D1%80%D0%BE%D0%B4%D0%B0%D0%BC%D1%83%D1%81%D0%B0%20%D0%BA%D0%B2%D0%B5%D1%80%D0%BA%D0%B0%201983%20%D1%84%D0%B8%D0%BB%D1%8C%D0%BC","искать")</f>
        <v/>
      </c>
      <c r="N4580" s="3" t="n"/>
      <c r="O4580" s="2" t="n"/>
      <c r="P4580" s="2" t="n"/>
    </row>
    <row r="4581">
      <c r="A4581" s="2" t="n">
        <v>4580</v>
      </c>
      <c r="B4581" s="2" t="inlineStr">
        <is>
          <t>короткая</t>
        </is>
      </c>
      <c r="C4581" s="2" t="n">
        <v>12109</v>
      </c>
      <c r="D4581" s="3" t="inlineStr">
        <is>
          <t>Какой звук издаёт комар?</t>
        </is>
      </c>
      <c r="E4581" s="2" t="n">
        <v>1989</v>
      </c>
      <c r="F4581" s="2" t="inlineStr">
        <is>
          <t>мультфильм</t>
        </is>
      </c>
      <c r="G4581" s="2" t="inlineStr">
        <is>
          <t>Союзмультфильм</t>
        </is>
      </c>
      <c r="H4581" s="2" t="n">
        <v>205</v>
      </c>
      <c r="I4581" s="2" t="inlineStr"/>
      <c r="J4581" s="2" t="inlineStr"/>
      <c r="K4581" s="3" t="inlineStr">
        <is>
          <t>Лев,считающий себя мудрым правителем, решил узнать, на каком языке разговаривает комар. Но в результате пришел к удобному для себя выводу, что комары в его лесу разговаривают на языке своего царя - львином</t>
        </is>
      </c>
      <c r="L4581" s="2" t="inlineStr">
        <is>
          <t>https://gosfilmofond.ru/films/249425/</t>
        </is>
      </c>
      <c r="M4581" s="2">
        <f>HYPERLINK("https://ru.wikipedia.org/w/index.php?search=%D0%9A%D0%B0%D0%BA%D0%BE%D0%B9%20%D0%B7%D0%B2%D1%83%D0%BA%20%D0%B8%D0%B7%D0%B4%D0%B0%D1%91%D1%82%20%D0%BA%D0%BE%D0%BC%D0%B0%D1%80%3F%201989%20%D1%84%D0%B8%D0%BB%D1%8C%D0%BC","искать")</f>
        <v/>
      </c>
      <c r="N4581" s="3" t="n"/>
      <c r="O4581" s="2" t="n"/>
      <c r="P4581" s="2" t="n"/>
    </row>
    <row r="4582">
      <c r="A4582" s="2" t="n">
        <v>4581</v>
      </c>
      <c r="B4582" s="2" t="inlineStr">
        <is>
          <t>короткая</t>
        </is>
      </c>
      <c r="C4582" s="2" t="n">
        <v>12130</v>
      </c>
      <c r="D4582" s="3" t="inlineStr">
        <is>
          <t>Надводная часть айсберга</t>
        </is>
      </c>
      <c r="E4582" s="2" t="n">
        <v>1989</v>
      </c>
      <c r="F4582" s="2" t="inlineStr">
        <is>
          <t>мультфильм</t>
        </is>
      </c>
      <c r="G4582" s="2" t="inlineStr">
        <is>
          <t>Союзмультфильм</t>
        </is>
      </c>
      <c r="H4582" s="2" t="n">
        <v>205</v>
      </c>
      <c r="I4582" s="2" t="inlineStr"/>
      <c r="J4582" s="2" t="inlineStr"/>
      <c r="K4582" s="3" t="inlineStr">
        <is>
          <t>Очередной фильм из пародийной серии о дельфинах. В этом фильме отважным дельфинам Тристану, Генри и Павловой удается победить летающее чудище, появившееся из подтаявшего айсберга, и тем самым помочь людям.</t>
        </is>
      </c>
      <c r="L4582" s="2" t="inlineStr">
        <is>
          <t>https://animator.ru/db/?p=show_film&amp;fid=3246</t>
        </is>
      </c>
      <c r="M4582" s="2">
        <f>HYPERLINK("https://ru.wikipedia.org/w/index.php?search=%D0%9D%D0%B0%D0%B4%D0%B2%D0%BE%D0%B4%D0%BD%D0%B0%D1%8F%20%D1%87%D0%B0%D1%81%D1%82%D1%8C%20%D0%B0%D0%B9%D1%81%D0%B1%D0%B5%D1%80%D0%B3%D0%B0%201989%20%D1%84%D0%B8%D0%BB%D1%8C%D0%BC","искать")</f>
        <v/>
      </c>
      <c r="N4582" s="3" t="n"/>
      <c r="O4582" s="2" t="n"/>
      <c r="P4582" s="2" t="n"/>
    </row>
    <row r="4583">
      <c r="A4583" s="2" t="n">
        <v>4582</v>
      </c>
      <c r="B4583" s="2" t="inlineStr">
        <is>
          <t>короткая</t>
        </is>
      </c>
      <c r="C4583" s="2" t="n">
        <v>7366</v>
      </c>
      <c r="D4583" s="3" t="inlineStr">
        <is>
          <t>Волшебная папаха</t>
        </is>
      </c>
      <c r="E4583" s="2" t="n">
        <v>1990</v>
      </c>
      <c r="F4583" s="2" t="inlineStr">
        <is>
          <t>телефильм</t>
        </is>
      </c>
      <c r="G4583" s="2" t="n"/>
      <c r="H4583" s="2" t="n">
        <v>206</v>
      </c>
      <c r="I4583" s="2" t="inlineStr"/>
      <c r="J4583" s="2" t="inlineStr"/>
      <c r="K4583" s="3" t="inlineStr">
        <is>
          <t>Фильм, снятый по мотивам осетинских народных сказок, в комедийной форме рассказывает о приключениях горца-бедняка Уари, осмелившегося выступить против трех разбойников-абреков, наводящих ужас на всю округу.</t>
        </is>
      </c>
      <c r="L4583" s="2" t="inlineStr">
        <is>
          <t>Кино_СССР сводный каталог.xlsx: список телефильмов</t>
        </is>
      </c>
      <c r="M4583" s="2">
        <f>HYPERLINK("https://ru.wikipedia.org/w/index.php?search=%D0%92%D0%BE%D0%BB%D1%88%D0%B5%D0%B1%D0%BD%D0%B0%D1%8F%20%D0%BF%D0%B0%D0%BF%D0%B0%D1%85%D0%B0%201990%20%D1%84%D0%B8%D0%BB%D1%8C%D0%BC","искать")</f>
        <v/>
      </c>
      <c r="N4583" s="3" t="n"/>
      <c r="O4583" s="2" t="n"/>
      <c r="P4583" s="2" t="n"/>
    </row>
    <row r="4584">
      <c r="A4584" s="2" t="n">
        <v>4583</v>
      </c>
      <c r="B4584" s="2" t="inlineStr">
        <is>
          <t>короткая</t>
        </is>
      </c>
      <c r="C4584" s="2" t="n">
        <v>7412</v>
      </c>
      <c r="D4584" s="3" t="inlineStr">
        <is>
          <t>Вся королевская рать</t>
        </is>
      </c>
      <c r="E4584" s="2" t="n">
        <v>1971</v>
      </c>
      <c r="F4584" s="2" t="inlineStr">
        <is>
          <t>телефильм</t>
        </is>
      </c>
      <c r="G4584" s="2" t="n"/>
      <c r="H4584" s="2" t="n">
        <v>206</v>
      </c>
      <c r="I4584" s="2" t="inlineStr"/>
      <c r="J4584" s="2" t="inlineStr"/>
      <c r="K4584" s="3" t="inlineStr">
        <is>
          <t>Телесериал по мотивам романа Роберта П. Уоррена. Он проиграл на выборах в губернаторы, но не смирился с поражением. Жажда власти стала его единственной страстью. Этому кумиру он готов принести любые жертвы.</t>
        </is>
      </c>
      <c r="L4584" s="2" t="inlineStr">
        <is>
          <t>Кино_СССР сводный каталог.xlsx: список телефильмов</t>
        </is>
      </c>
      <c r="M4584" s="2">
        <f>HYPERLINK("https://ru.wikipedia.org/w/index.php?search=%D0%92%D1%81%D1%8F%20%D0%BA%D0%BE%D1%80%D0%BE%D0%BB%D0%B5%D0%B2%D1%81%D0%BA%D0%B0%D1%8F%20%D1%80%D0%B0%D1%82%D1%8C%201971%20%D1%84%D0%B8%D0%BB%D1%8C%D0%BC","искать")</f>
        <v/>
      </c>
      <c r="N4584" s="3" t="n"/>
      <c r="O4584" s="2" t="n"/>
      <c r="P4584" s="2" t="n"/>
    </row>
    <row r="4585">
      <c r="A4585" s="2" t="n">
        <v>4584</v>
      </c>
      <c r="B4585" s="2" t="inlineStr">
        <is>
          <t>короткая</t>
        </is>
      </c>
      <c r="C4585" s="2" t="n">
        <v>7875</v>
      </c>
      <c r="D4585" s="3" t="inlineStr">
        <is>
          <t>Мина Мазайло</t>
        </is>
      </c>
      <c r="E4585" s="2" t="n">
        <v>1991</v>
      </c>
      <c r="F4585" s="2" t="inlineStr">
        <is>
          <t>фильм-спектакль</t>
        </is>
      </c>
      <c r="G4585" s="2" t="inlineStr">
        <is>
          <t>Укртелефильм</t>
        </is>
      </c>
      <c r="H4585" s="2" t="n">
        <v>206</v>
      </c>
      <c r="I4585" s="2" t="inlineStr"/>
      <c r="J4585" s="2" t="inlineStr"/>
      <c r="K4585" s="3" t="inlineStr">
        <is>
          <t>Фильм-спектакль по пьесе Николая Кулиша про украинца Мазайло, который решил поменять свою украинскую фамилию на русскую и что из этого вышло. Действие происходит во времена украинизации, в конце 20-х годов.</t>
        </is>
      </c>
      <c r="L4585" s="2" t="inlineStr">
        <is>
          <t>Кино_СССР сводный каталог.xlsx: список телефильмов</t>
        </is>
      </c>
      <c r="M4585" s="2">
        <f>HYPERLINK("https://ru.wikipedia.org/w/index.php?search=%D0%9C%D0%B8%D0%BD%D0%B0%20%D0%9C%D0%B0%D0%B7%D0%B0%D0%B9%D0%BB%D0%BE%201991%20%D1%84%D0%B8%D0%BB%D1%8C%D0%BC","искать")</f>
        <v/>
      </c>
      <c r="N4585" s="3" t="n"/>
      <c r="O4585" s="2" t="n"/>
      <c r="P4585" s="2" t="n"/>
    </row>
    <row r="4586">
      <c r="A4586" s="2" t="n">
        <v>4585</v>
      </c>
      <c r="B4586" s="2" t="inlineStr">
        <is>
          <t>короткая</t>
        </is>
      </c>
      <c r="C4586" s="2" t="n">
        <v>8031</v>
      </c>
      <c r="D4586" s="3" t="inlineStr">
        <is>
          <t>Оглянись, найдёшь друзей</t>
        </is>
      </c>
      <c r="E4586" s="2" t="n">
        <v>1975</v>
      </c>
      <c r="F4586" s="2" t="inlineStr">
        <is>
          <t>телефильм</t>
        </is>
      </c>
      <c r="G4586" s="2" t="n"/>
      <c r="H4586" s="2" t="n">
        <v>206</v>
      </c>
      <c r="I4586" s="2" t="inlineStr"/>
      <c r="J4586" s="2" t="inlineStr"/>
      <c r="K4586" s="3" t="inlineStr">
        <is>
          <t>Председатель колхоза  вынужден лечь на операцию – беспокоит засевший в теле осколок военных лет. Его замещает молодой ученый, преподаватель вуза Амран, желающий проверить в живом деле свои научные открытия.</t>
        </is>
      </c>
      <c r="L4586" s="2" t="inlineStr">
        <is>
          <t>Кино_СССР сводный каталог.xlsx: список телефильмов</t>
        </is>
      </c>
      <c r="M4586" s="2">
        <f>HYPERLINK("https://ru.wikipedia.org/w/index.php?search=%D0%9E%D0%B3%D0%BB%D1%8F%D0%BD%D0%B8%D1%81%D1%8C%2C%20%D0%BD%D0%B0%D0%B9%D0%B4%D1%91%D1%88%D1%8C%20%D0%B4%D1%80%D1%83%D0%B7%D0%B5%D0%B9%201975%20%D1%84%D0%B8%D0%BB%D1%8C%D0%BC","искать")</f>
        <v/>
      </c>
      <c r="N4586" s="3" t="n"/>
      <c r="O4586" s="2" t="n"/>
      <c r="P4586" s="2" t="n"/>
    </row>
    <row r="4587">
      <c r="A4587" s="2" t="n">
        <v>4586</v>
      </c>
      <c r="B4587" s="2" t="inlineStr">
        <is>
          <t>короткая</t>
        </is>
      </c>
      <c r="C4587" s="2" t="n">
        <v>10357</v>
      </c>
      <c r="D4587" s="3" t="inlineStr">
        <is>
          <t>Заноза</t>
        </is>
      </c>
      <c r="E4587" s="2" t="n">
        <v>1970</v>
      </c>
      <c r="F4587" s="2" t="inlineStr">
        <is>
          <t>фильм-спектакль</t>
        </is>
      </c>
      <c r="G4587" s="2" t="inlineStr">
        <is>
          <t>Гл. ред. лит.-драм. программ</t>
        </is>
      </c>
      <c r="H4587" s="2" t="n">
        <v>206</v>
      </c>
      <c r="I4587" s="2" t="inlineStr"/>
      <c r="J4587" s="2" t="inlineStr"/>
      <c r="K4587" s="3" t="inlineStr">
        <is>
          <t>По произведению Франсуазы Саган.
Актриса попадает в автомобильную катастрофу и вынуждена жить прикованной к постели в богатом пансионе. Она всеми покинута. Но любовь к сцене помогает ей преодолеть невзгоды.</t>
        </is>
      </c>
      <c r="L4587" s="2" t="inlineStr">
        <is>
          <t>https://www.kino-teatr.ru/teatr/movie/93055/annot/</t>
        </is>
      </c>
      <c r="M4587" s="2">
        <f>HYPERLINK("https://ru.wikipedia.org/w/index.php?search=%D0%97%D0%B0%D0%BD%D0%BE%D0%B7%D0%B0%201970%20%D1%84%D0%B8%D0%BB%D1%8C%D0%BC","искать")</f>
        <v/>
      </c>
      <c r="N4587" s="3" t="n"/>
      <c r="O4587" s="2" t="n"/>
      <c r="P4587" s="2" t="n"/>
    </row>
    <row r="4588">
      <c r="A4588" s="2" t="n">
        <v>4587</v>
      </c>
      <c r="B4588" s="2" t="inlineStr">
        <is>
          <t>короткая</t>
        </is>
      </c>
      <c r="C4588" s="2" t="n">
        <v>11648</v>
      </c>
      <c r="D4588" s="3" t="inlineStr">
        <is>
          <t>Старая фотография</t>
        </is>
      </c>
      <c r="E4588" s="2" t="n">
        <v>1971</v>
      </c>
      <c r="F4588" s="2" t="inlineStr">
        <is>
          <t>мультфильм</t>
        </is>
      </c>
      <c r="G4588" s="2" t="inlineStr">
        <is>
          <t>Союзмультфильм</t>
        </is>
      </c>
      <c r="H4588" s="2" t="n">
        <v>206</v>
      </c>
      <c r="I4588" s="2" t="inlineStr"/>
      <c r="J4588" s="2" t="inlineStr"/>
      <c r="K4588" s="3" t="inlineStr">
        <is>
          <t>В фильме проводится мысль о том, что счастливое детство наших ребят добыто ценой жизни советских воинов в годы Отечественной войны. Он рассказывает о большой дружбе детей, живущих в пионерском лагере Артек.</t>
        </is>
      </c>
      <c r="L4588" s="2" t="inlineStr">
        <is>
          <t>https://animator.ru/db/?p=show_film&amp;fid=2562</t>
        </is>
      </c>
      <c r="M4588" s="2">
        <f>HYPERLINK("https://ru.wikipedia.org/w/index.php?search=%D0%A1%D1%82%D0%B0%D1%80%D0%B0%D1%8F%20%D1%84%D0%BE%D1%82%D0%BE%D0%B3%D1%80%D0%B0%D1%84%D0%B8%D1%8F%201971%20%D1%84%D0%B8%D0%BB%D1%8C%D0%BC","искать")</f>
        <v/>
      </c>
      <c r="N4588" s="3" t="n"/>
      <c r="O4588" s="2" t="n"/>
      <c r="P4588" s="2" t="n"/>
    </row>
    <row r="4589">
      <c r="A4589" s="2" t="n">
        <v>4588</v>
      </c>
      <c r="B4589" s="2" t="inlineStr">
        <is>
          <t>короткая</t>
        </is>
      </c>
      <c r="C4589" s="2" t="n">
        <v>14372</v>
      </c>
      <c r="D4589" s="3" t="inlineStr">
        <is>
          <t>Капля</t>
        </is>
      </c>
      <c r="E4589" s="2" t="n">
        <v>1984</v>
      </c>
      <c r="F4589" s="2" t="inlineStr">
        <is>
          <t>мультфильм</t>
        </is>
      </c>
      <c r="G4589" s="2" t="n"/>
      <c r="H4589" s="2" t="n">
        <v>206</v>
      </c>
      <c r="I4589" s="2" t="inlineStr"/>
      <c r="J4589" s="2" t="inlineStr"/>
      <c r="K4589" s="3" t="inlineStr">
        <is>
          <t>Маленькая капля, встречаясь с рекой, морем, океаном, узнает об их страшной силе. Но оказывается, что сила вовсе не обязательно должна сочетаться со злом. Она может и должна быть использована для добрых дел.</t>
        </is>
      </c>
      <c r="L4589" s="2" t="inlineStr">
        <is>
          <t>https://animator.ru/db/?p=show_film&amp;fid=6304</t>
        </is>
      </c>
      <c r="M4589" s="2">
        <f>HYPERLINK("https://ru.wikipedia.org/w/index.php?search=%D0%9A%D0%B0%D0%BF%D0%BB%D1%8F%201984%20%D1%84%D0%B8%D0%BB%D1%8C%D0%BC","искать")</f>
        <v/>
      </c>
      <c r="N4589" s="3" t="n"/>
      <c r="O4589" s="2" t="n"/>
      <c r="P4589" s="2" t="n"/>
    </row>
    <row r="4590">
      <c r="A4590" s="2" t="n">
        <v>4589</v>
      </c>
      <c r="B4590" s="2" t="inlineStr">
        <is>
          <t>короткая</t>
        </is>
      </c>
      <c r="C4590" s="2" t="n">
        <v>7845</v>
      </c>
      <c r="D4590" s="3" t="inlineStr">
        <is>
          <t>Мальчишки</t>
        </is>
      </c>
      <c r="E4590" s="2" t="n">
        <v>1978</v>
      </c>
      <c r="F4590" s="2" t="inlineStr">
        <is>
          <t>телефильм</t>
        </is>
      </c>
      <c r="G4590" s="2" t="inlineStr">
        <is>
          <t>ТО «Экран»</t>
        </is>
      </c>
      <c r="H4590" s="2" t="n">
        <v>207</v>
      </c>
      <c r="I4590" s="2" t="inlineStr"/>
      <c r="J4590" s="2" t="inlineStr"/>
      <c r="K4590" s="3" t="inlineStr">
        <is>
          <t>По мотивам повести Льва Кассиля «Дорогие мои мальчишки». Герои телефильма — подростки, заменившие отцов и старших братьев, ушедших на войну, и разделившие со взрослыми все тяготы Великой Отечественной войны.</t>
        </is>
      </c>
      <c r="L4590" s="2" t="inlineStr">
        <is>
          <t>Кино_СССР сводный каталог.xlsx: список телефильмов</t>
        </is>
      </c>
      <c r="M4590" s="2">
        <f>HYPERLINK("https://ru.wikipedia.org/w/index.php?search=%D0%9C%D0%B0%D0%BB%D1%8C%D1%87%D0%B8%D1%88%D0%BA%D0%B8%201978%20%D1%84%D0%B8%D0%BB%D1%8C%D0%BC","искать")</f>
        <v/>
      </c>
      <c r="N4590" s="3" t="n"/>
      <c r="O4590" s="2" t="n"/>
      <c r="P4590" s="2" t="n"/>
    </row>
    <row r="4591">
      <c r="A4591" s="2" t="n">
        <v>4590</v>
      </c>
      <c r="B4591" s="2" t="inlineStr">
        <is>
          <t>короткая</t>
        </is>
      </c>
      <c r="C4591" s="2" t="n">
        <v>8809</v>
      </c>
      <c r="D4591" s="3" t="inlineStr">
        <is>
          <t>Люди нашего города (киноальманах)</t>
        </is>
      </c>
      <c r="E4591" s="2" t="n">
        <v>1966</v>
      </c>
      <c r="F4591" s="2" t="inlineStr">
        <is>
          <t>кинофильм</t>
        </is>
      </c>
      <c r="G4591" s="2" t="n"/>
      <c r="H4591" s="2" t="n">
        <v>207</v>
      </c>
      <c r="I4591" s="2" t="inlineStr"/>
      <c r="J4591" s="2" t="inlineStr"/>
      <c r="K4591" s="3" t="inlineStr">
        <is>
          <t>Фильм делится на 3 эпизода: "Автомобиль Авдо", "Гарни", "Марш" О первом автомобилисте и его войне с извозчиками в первые советские годы в старом Ереване. О сложных психологических отношениях влюбленной пары.</t>
        </is>
      </c>
      <c r="L4591" s="2" t="inlineStr">
        <is>
          <t>Кино_СССР сводный каталог.xlsx: список фильмов (доп.)</t>
        </is>
      </c>
      <c r="M4591" s="2">
        <f>HYPERLINK("https://ru.wikipedia.org/w/index.php?search=%D0%9B%D1%8E%D0%B4%D0%B8%20%D0%BD%D0%B0%D1%88%D0%B5%D0%B3%D0%BE%20%D0%B3%D0%BE%D1%80%D0%BE%D0%B4%D0%B0%20%28%D0%BA%D0%B8%D0%BD%D0%BE%D0%B0%D0%BB%D1%8C%D0%BC%D0%B0%D0%BD%D0%B0%D1%85%29%201966%20%D1%84%D0%B8%D0%BB%D1%8C%D0%BC","искать")</f>
        <v/>
      </c>
      <c r="N4591" s="3" t="n"/>
      <c r="O4591" s="2" t="n"/>
      <c r="P4591" s="2" t="n"/>
    </row>
    <row r="4592">
      <c r="A4592" s="2" t="n">
        <v>4591</v>
      </c>
      <c r="B4592" s="2" t="inlineStr">
        <is>
          <t>короткая</t>
        </is>
      </c>
      <c r="C4592" s="2" t="n">
        <v>9035</v>
      </c>
      <c r="D4592" s="3" t="inlineStr">
        <is>
          <t>Сегодня и навсегда</t>
        </is>
      </c>
      <c r="E4592" s="2" t="n">
        <v>1984</v>
      </c>
      <c r="F4592" s="2" t="inlineStr">
        <is>
          <t>кинофильм</t>
        </is>
      </c>
      <c r="G4592" s="2" t="n"/>
      <c r="H4592" s="2" t="n">
        <v>207</v>
      </c>
      <c r="I4592" s="2" t="inlineStr"/>
      <c r="J4592" s="2" t="inlineStr"/>
      <c r="K4592" s="3" t="inlineStr">
        <is>
          <t>В  музыкальном фильме показаны литовские обычаи, сельский труд в разные времена года. Звучат литовские песни, инструментальная музыка, стихи, раскрываются предпосылки формирования национального самосознания.</t>
        </is>
      </c>
      <c r="L4592" s="2" t="inlineStr">
        <is>
          <t>Кино_СССР сводный каталог.xlsx: список фильмов (доп.)</t>
        </is>
      </c>
      <c r="M4592" s="2">
        <f>HYPERLINK("https://ru.wikipedia.org/w/index.php?search=%D0%A1%D0%B5%D0%B3%D0%BE%D0%B4%D0%BD%D1%8F%20%D0%B8%20%D0%BD%D0%B0%D0%B2%D1%81%D0%B5%D0%B3%D0%B4%D0%B0%201984%20%D1%84%D0%B8%D0%BB%D1%8C%D0%BC","искать")</f>
        <v/>
      </c>
      <c r="N4592" s="3" t="n"/>
      <c r="O4592" s="2" t="n"/>
      <c r="P4592" s="2" t="n"/>
    </row>
    <row r="4593">
      <c r="A4593" s="2" t="n">
        <v>4592</v>
      </c>
      <c r="B4593" s="2" t="inlineStr">
        <is>
          <t>короткая</t>
        </is>
      </c>
      <c r="C4593" s="2" t="n">
        <v>10163</v>
      </c>
      <c r="D4593" s="3" t="inlineStr">
        <is>
          <t>Гравюра на дереве</t>
        </is>
      </c>
      <c r="E4593" s="2" t="n">
        <v>1966</v>
      </c>
      <c r="F4593" s="2" t="inlineStr">
        <is>
          <t>фильм-спектакль</t>
        </is>
      </c>
      <c r="G4593" s="2" t="inlineStr">
        <is>
          <t>Гл. ред. лит-драм программ</t>
        </is>
      </c>
      <c r="H4593" s="2" t="n">
        <v>207</v>
      </c>
      <c r="I4593" s="2" t="inlineStr"/>
      <c r="J4593" s="2" t="inlineStr"/>
      <c r="K4593" s="3" t="inlineStr">
        <is>
          <t>По мотивам одноименного рассказа Б.Лавренева. Бывший художник, а ныне директор треста "Стекло-фарфор", Федор Кудрин, увидел на выставке удивительную гравюру. Встреча с ее создателем перевернула жизнь Федора.</t>
        </is>
      </c>
      <c r="L4593" s="2" t="inlineStr">
        <is>
          <t>https://www.kino-teatr.ru/teatr/movie/80897/annot/</t>
        </is>
      </c>
      <c r="M4593" s="2">
        <f>HYPERLINK("https://ru.wikipedia.org/w/index.php?search=%D0%93%D1%80%D0%B0%D0%B2%D1%8E%D1%80%D0%B0%20%D0%BD%D0%B0%20%D0%B4%D0%B5%D1%80%D0%B5%D0%B2%D0%B5%201966%20%D1%84%D0%B8%D0%BB%D1%8C%D0%BC","искать")</f>
        <v/>
      </c>
      <c r="N4593" s="3" t="n"/>
      <c r="O4593" s="2" t="n"/>
      <c r="P4593" s="2" t="n"/>
    </row>
    <row r="4594">
      <c r="A4594" s="2" t="n">
        <v>4593</v>
      </c>
      <c r="B4594" s="2" t="inlineStr">
        <is>
          <t>короткая</t>
        </is>
      </c>
      <c r="C4594" s="2" t="n">
        <v>9834</v>
      </c>
      <c r="D4594" s="3" t="inlineStr">
        <is>
          <t>Первая любовь</t>
        </is>
      </c>
      <c r="E4594" s="2" t="n">
        <v>1966</v>
      </c>
      <c r="F4594" s="2" t="inlineStr">
        <is>
          <t>кинофильм</t>
        </is>
      </c>
      <c r="G4594" s="2" t="inlineStr">
        <is>
          <t>Мосфильм</t>
        </is>
      </c>
      <c r="H4594" s="2" t="n">
        <v>208</v>
      </c>
      <c r="I4594" s="2" t="inlineStr"/>
      <c r="J4594" s="2" t="inlineStr"/>
      <c r="K4594" s="3" t="inlineStr">
        <is>
          <t>По мотивам одноименного рассказа В.Богомолова.
Один из очередных вызовов во время ночного дежурства врача скорой помощи Сергея Алексеевича пробуждает в герое воспоминания о первой любви к фронтовой медсестре.</t>
        </is>
      </c>
      <c r="L4594" s="2" t="inlineStr">
        <is>
          <t>https://www.kino-teatr.ru/short/movie/sov/9731/annot/</t>
        </is>
      </c>
      <c r="M4594" s="2">
        <f>HYPERLINK("https://ru.wikipedia.org/w/index.php?search=%D0%9F%D0%B5%D1%80%D0%B2%D0%B0%D1%8F%20%D0%BB%D1%8E%D0%B1%D0%BE%D0%B2%D1%8C%201966%20%D1%84%D0%B8%D0%BB%D1%8C%D0%BC","искать")</f>
        <v/>
      </c>
      <c r="N4594" s="3" t="n"/>
      <c r="O4594" s="2" t="n"/>
      <c r="P4594" s="2" t="n"/>
    </row>
    <row r="4595">
      <c r="A4595" s="2" t="n">
        <v>4594</v>
      </c>
      <c r="B4595" s="2" t="inlineStr">
        <is>
          <t>короткая</t>
        </is>
      </c>
      <c r="C4595" s="2" t="n">
        <v>12226</v>
      </c>
      <c r="D4595" s="3" t="inlineStr">
        <is>
          <t>Прямое попадание</t>
        </is>
      </c>
      <c r="E4595" s="2" t="n">
        <v>1987</v>
      </c>
      <c r="F4595" s="2" t="inlineStr">
        <is>
          <t>мультфильм</t>
        </is>
      </c>
      <c r="G4595" s="2" t="inlineStr">
        <is>
          <t>Союзмультфильм</t>
        </is>
      </c>
      <c r="H4595" s="2" t="n">
        <v>208</v>
      </c>
      <c r="I4595" s="2" t="inlineStr"/>
      <c r="J4595" s="2" t="inlineStr"/>
      <c r="K4595" s="3" t="inlineStr">
        <is>
          <t>Мальчик увлечен автоматическими играми с воображаемым противником, и с трудом останавливается, когда его соперником в игре становится живой сверстник. Спорт и живая игра оказываются увлекательней виртуальных.</t>
        </is>
      </c>
      <c r="L4595" s="2" t="inlineStr">
        <is>
          <t>https://animator.ru/db/?p=show_film&amp;fid=3343</t>
        </is>
      </c>
      <c r="M4595" s="2">
        <f>HYPERLINK("https://ru.wikipedia.org/w/index.php?search=%D0%9F%D1%80%D1%8F%D0%BC%D0%BE%D0%B5%20%D0%BF%D0%BE%D0%BF%D0%B0%D0%B4%D0%B0%D0%BD%D0%B8%D0%B5%201987%20%D1%84%D0%B8%D0%BB%D1%8C%D0%BC","искать")</f>
        <v/>
      </c>
      <c r="N4595" s="3" t="n"/>
      <c r="O4595" s="2" t="n"/>
      <c r="P4595" s="2" t="n"/>
    </row>
    <row r="4596">
      <c r="A4596" s="2" t="n">
        <v>4595</v>
      </c>
      <c r="B4596" s="2" t="inlineStr">
        <is>
          <t>короткая</t>
        </is>
      </c>
      <c r="C4596" s="2" t="n">
        <v>8450</v>
      </c>
      <c r="D4596" s="3" t="inlineStr">
        <is>
          <t>Тепло родного дома</t>
        </is>
      </c>
      <c r="E4596" s="2" t="n">
        <v>1983</v>
      </c>
      <c r="F4596" s="2" t="inlineStr">
        <is>
          <t>телефильм</t>
        </is>
      </c>
      <c r="G4596" s="2" t="n"/>
      <c r="H4596" s="2" t="n">
        <v>209</v>
      </c>
      <c r="I4596" s="2" t="inlineStr"/>
      <c r="J4596" s="2" t="inlineStr"/>
      <c r="K4596" s="3" t="inlineStr">
        <is>
          <t>Ивана Кужеля выбирают председателем колхоза. Перед ним встает много производственных проблем. Сложно складывается и личная жизнь Ивана, которому приходится расстаться с любимой женщиной, чтобы сохранить семью.</t>
        </is>
      </c>
      <c r="L4596" s="2" t="inlineStr">
        <is>
          <t>Кино_СССР сводный каталог.xlsx: список телефильмов</t>
        </is>
      </c>
      <c r="M4596" s="2">
        <f>HYPERLINK("https://ru.wikipedia.org/w/index.php?search=%D0%A2%D0%B5%D0%BF%D0%BB%D0%BE%20%D1%80%D0%BE%D0%B4%D0%BD%D0%BE%D0%B3%D0%BE%20%D0%B4%D0%BE%D0%BC%D0%B0%201983%20%D1%84%D0%B8%D0%BB%D1%8C%D0%BC","искать")</f>
        <v/>
      </c>
      <c r="N4596" s="3" t="n"/>
      <c r="O4596" s="2" t="n"/>
      <c r="P4596" s="2" t="n"/>
    </row>
    <row r="4597">
      <c r="A4597" s="2" t="n">
        <v>4596</v>
      </c>
      <c r="B4597" s="2" t="inlineStr">
        <is>
          <t>короткая</t>
        </is>
      </c>
      <c r="C4597" s="2" t="n">
        <v>8451</v>
      </c>
      <c r="D4597" s="3" t="inlineStr">
        <is>
          <t>Тепло студёной земли</t>
        </is>
      </c>
      <c r="E4597" s="2" t="n">
        <v>1984</v>
      </c>
      <c r="F4597" s="2" t="inlineStr">
        <is>
          <t>телефильм</t>
        </is>
      </c>
      <c r="G4597" s="2" t="n"/>
      <c r="H4597" s="2" t="n">
        <v>209</v>
      </c>
      <c r="I4597" s="2" t="inlineStr"/>
      <c r="J4597" s="2" t="inlineStr"/>
      <c r="K4597" s="3" t="inlineStr">
        <is>
          <t>Герои телефильма - бригадир монтажников Черных и буровой мастер Марич осуществляют наиболее рациональную перевозку оборудования в экстремальных условиях Севера, внедряют новую прогрессивную технологию бурения.</t>
        </is>
      </c>
      <c r="L4597" s="2" t="inlineStr">
        <is>
          <t>Кино_СССР сводный каталог.xlsx: список телефильмов</t>
        </is>
      </c>
      <c r="M4597" s="2">
        <f>HYPERLINK("https://ru.wikipedia.org/w/index.php?search=%D0%A2%D0%B5%D0%BF%D0%BB%D0%BE%20%D1%81%D1%82%D1%83%D0%B4%D1%91%D0%BD%D0%BE%D0%B9%20%D0%B7%D0%B5%D0%BC%D0%BB%D0%B8%201984%20%D1%84%D0%B8%D0%BB%D1%8C%D0%BC","искать")</f>
        <v/>
      </c>
      <c r="N4597" s="3" t="n"/>
      <c r="O4597" s="2" t="n"/>
      <c r="P4597" s="2" t="n"/>
    </row>
    <row r="4598">
      <c r="A4598" s="2" t="n">
        <v>4597</v>
      </c>
      <c r="B4598" s="2" t="inlineStr">
        <is>
          <t>короткая</t>
        </is>
      </c>
      <c r="C4598" s="2" t="n">
        <v>9971</v>
      </c>
      <c r="D4598" s="3" t="inlineStr">
        <is>
          <t>Опоры земли</t>
        </is>
      </c>
      <c r="E4598" s="2" t="n">
        <v>1981</v>
      </c>
      <c r="F4598" s="2" t="inlineStr">
        <is>
          <t>кинофильм</t>
        </is>
      </c>
      <c r="G4598" s="2" t="inlineStr">
        <is>
          <t>«Грузия-фильм», ЭТО «Дебют»</t>
        </is>
      </c>
      <c r="H4598" s="2" t="n">
        <v>209</v>
      </c>
      <c r="I4598" s="2" t="inlineStr"/>
      <c r="J4598" s="2" t="inlineStr"/>
      <c r="K4598" s="3" t="inlineStr">
        <is>
          <t>По произведениям Константина Гердова.
Старый деревенский дом, в который сын возвращается к матери… Незатейливая история, превращающаяся в притчу о бренности человеческого существования и скоротечности времени.</t>
        </is>
      </c>
      <c r="L4598" s="2" t="inlineStr">
        <is>
          <t>https://www.kino-teatr.ru/short/movie/sov/86532/annot/</t>
        </is>
      </c>
      <c r="M4598" s="2">
        <f>HYPERLINK("https://ru.wikipedia.org/w/index.php?search=%D0%9E%D0%BF%D0%BE%D1%80%D1%8B%20%D0%B7%D0%B5%D0%BC%D0%BB%D0%B8%201981%20%D1%84%D0%B8%D0%BB%D1%8C%D0%BC","искать")</f>
        <v/>
      </c>
      <c r="N4598" s="3" t="n"/>
      <c r="O4598" s="2" t="n"/>
      <c r="P4598" s="2" t="n"/>
    </row>
    <row r="4599">
      <c r="A4599" s="2" t="n">
        <v>4598</v>
      </c>
      <c r="B4599" s="2" t="inlineStr">
        <is>
          <t>короткая</t>
        </is>
      </c>
      <c r="C4599" s="2" t="n">
        <v>10309</v>
      </c>
      <c r="D4599" s="3" t="inlineStr">
        <is>
          <t>Здравствуйте, наши папы!</t>
        </is>
      </c>
      <c r="E4599" s="2" t="n">
        <v>1969</v>
      </c>
      <c r="F4599" s="2" t="inlineStr">
        <is>
          <t>фильм-спектакль</t>
        </is>
      </c>
      <c r="G4599" s="2" t="inlineStr">
        <is>
          <t>Центральное телевидение</t>
        </is>
      </c>
      <c r="H4599" s="2" t="n">
        <v>209</v>
      </c>
      <c r="I4599" s="2" t="inlineStr"/>
      <c r="J4599" s="2" t="inlineStr"/>
      <c r="K4599" s="3" t="inlineStr">
        <is>
          <t>Классный руководитель пригласил на родительское собрание отцов, о которых дети написали сочинения. Так каждый узнал, что о нем думает сын или дочь. Это послужило поводом для интересного и серьезного разговора.</t>
        </is>
      </c>
      <c r="L4599" s="2" t="inlineStr">
        <is>
          <t>https://www.kino-teatr.ru/teatr/movie/16330/annot/</t>
        </is>
      </c>
      <c r="M4599" s="2">
        <f>HYPERLINK("https://ru.wikipedia.org/w/index.php?search=%D0%97%D0%B4%D1%80%D0%B0%D0%B2%D1%81%D1%82%D0%B2%D1%83%D0%B9%D1%82%D0%B5%2C%20%D0%BD%D0%B0%D1%88%D0%B8%20%D0%BF%D0%B0%D0%BF%D1%8B%21%201969%20%D1%84%D0%B8%D0%BB%D1%8C%D0%BC","искать")</f>
        <v/>
      </c>
      <c r="N4599" s="3" t="n"/>
      <c r="O4599" s="2" t="n"/>
      <c r="P4599" s="2" t="n"/>
    </row>
    <row r="4600">
      <c r="A4600" s="2" t="n">
        <v>4599</v>
      </c>
      <c r="B4600" s="2" t="inlineStr">
        <is>
          <t>короткая</t>
        </is>
      </c>
      <c r="C4600" s="2" t="n">
        <v>10743</v>
      </c>
      <c r="D4600" s="3" t="inlineStr">
        <is>
          <t>Если...</t>
        </is>
      </c>
      <c r="E4600" s="2" t="n">
        <v>1978</v>
      </c>
      <c r="F4600" s="2" t="inlineStr">
        <is>
          <t>фильм-спектакль</t>
        </is>
      </c>
      <c r="G4600" s="2" t="inlineStr">
        <is>
          <t>Центральное телевидение</t>
        </is>
      </c>
      <c r="H4600" s="2" t="n">
        <v>209</v>
      </c>
      <c r="I4600" s="2" t="inlineStr"/>
      <c r="J4600" s="2" t="inlineStr"/>
      <c r="K4600" s="3" t="inlineStr">
        <is>
          <t>По одноименной пьесе Самуила Алешина в постановке Московского драматического театра на Малой Бронной.
В центре сюжета - любовь журналистки Анны Князевой и Николая Малышева - хирурга одной из городских больниц.</t>
        </is>
      </c>
      <c r="L4600" s="2" t="inlineStr">
        <is>
          <t>https://www.kino-teatr.ru/teatr/movie/81465/annot/</t>
        </is>
      </c>
      <c r="M4600" s="2">
        <f>HYPERLINK("https://ru.wikipedia.org/w/index.php?search=%D0%95%D1%81%D0%BB%D0%B8...%201978%20%D1%84%D0%B8%D0%BB%D1%8C%D0%BC","искать")</f>
        <v/>
      </c>
      <c r="N4600" s="3" t="n"/>
      <c r="O4600" s="2" t="n"/>
      <c r="P4600" s="2" t="n"/>
    </row>
    <row r="4601">
      <c r="A4601" s="2" t="n">
        <v>4600</v>
      </c>
      <c r="B4601" s="2" t="inlineStr">
        <is>
          <t>короткая</t>
        </is>
      </c>
      <c r="C4601" s="2" t="n">
        <v>12042</v>
      </c>
      <c r="D4601" s="3" t="inlineStr">
        <is>
          <t>Замок лгунов</t>
        </is>
      </c>
      <c r="E4601" s="2" t="n">
        <v>1983</v>
      </c>
      <c r="F4601" s="2" t="inlineStr">
        <is>
          <t>мультфильм</t>
        </is>
      </c>
      <c r="G4601" s="2" t="inlineStr">
        <is>
          <t>Союзмультфильм</t>
        </is>
      </c>
      <c r="H4601" s="2" t="n">
        <v>209</v>
      </c>
      <c r="I4601" s="2" t="inlineStr"/>
      <c r="J4601" s="2" t="inlineStr"/>
      <c r="K4601" s="3" t="inlineStr">
        <is>
          <t>Фильм по мотивам одноименной сказки литовской писательницы В.Жилинскайте. С героем фильма, любившем лгать, происходят невероятные приключения, благодаря которым он приходит к выводу, что лучше говорить правду.</t>
        </is>
      </c>
      <c r="L4601" s="2" t="inlineStr">
        <is>
          <t>2026-10_мультфильмы_список_владельца.xlsx; https://animator.ru/db/?p=show_film&amp;fid=3157</t>
        </is>
      </c>
      <c r="M4601" s="2">
        <f>HYPERLINK("https://ru.wikipedia.org/w/index.php?search=%D0%97%D0%B0%D0%BC%D0%BE%D0%BA%20%D0%BB%D0%B3%D1%83%D0%BD%D0%BE%D0%B2%201983%20%D1%84%D0%B8%D0%BB%D1%8C%D0%BC","искать")</f>
        <v/>
      </c>
      <c r="N4601" s="3" t="n"/>
      <c r="O4601" s="2" t="n"/>
      <c r="P4601" s="2" t="n"/>
    </row>
    <row r="4602">
      <c r="A4602" s="2" t="n">
        <v>4601</v>
      </c>
      <c r="B4602" s="2" t="inlineStr">
        <is>
          <t>короткая</t>
        </is>
      </c>
      <c r="C4602" s="2" t="n">
        <v>14465</v>
      </c>
      <c r="D4602" s="3" t="inlineStr">
        <is>
          <t>Мы пассажиры</t>
        </is>
      </c>
      <c r="E4602" s="2" t="n">
        <v>1973</v>
      </c>
      <c r="F4602" s="2" t="inlineStr">
        <is>
          <t>мультфильм</t>
        </is>
      </c>
      <c r="G4602" s="2" t="n"/>
      <c r="H4602" s="2" t="n">
        <v>209</v>
      </c>
      <c r="I4602" s="2" t="inlineStr"/>
      <c r="J4602" s="2" t="inlineStr"/>
      <c r="K4602" s="3" t="inlineStr">
        <is>
          <t>Научно-популярный фильм, пропагандирующий дорожные правила при использовании различных транспортных средств, построен на конкурсном состязании пассажиров, передвигающихся по городу на автобусе, трамвае, такси.</t>
        </is>
      </c>
      <c r="L4602" s="2" t="inlineStr">
        <is>
          <t>https://animator.ru/db/?p=show_film&amp;fid=6728</t>
        </is>
      </c>
      <c r="M4602" s="2">
        <f>HYPERLINK("https://ru.wikipedia.org/w/index.php?search=%D0%9C%D1%8B%20%D0%BF%D0%B0%D1%81%D1%81%D0%B0%D0%B6%D0%B8%D1%80%D1%8B%201973%20%D1%84%D0%B8%D0%BB%D1%8C%D0%BC","искать")</f>
        <v/>
      </c>
      <c r="N4602" s="3" t="n"/>
      <c r="O4602" s="2" t="n"/>
      <c r="P4602" s="2" t="n"/>
    </row>
    <row r="4603">
      <c r="A4603" s="2" t="n">
        <v>4602</v>
      </c>
      <c r="B4603" s="2" t="inlineStr">
        <is>
          <t>короткая</t>
        </is>
      </c>
      <c r="C4603" s="2" t="n">
        <v>7398</v>
      </c>
      <c r="D4603" s="3" t="inlineStr">
        <is>
          <t>Всё нормально</t>
        </is>
      </c>
      <c r="E4603" s="2" t="n">
        <v>1988</v>
      </c>
      <c r="F4603" s="2" t="inlineStr">
        <is>
          <t>телефильм</t>
        </is>
      </c>
      <c r="G4603" s="2" t="inlineStr">
        <is>
          <t>Рижская киностудия</t>
        </is>
      </c>
      <c r="H4603" s="2" t="n">
        <v>210</v>
      </c>
      <c r="I4603" s="2" t="inlineStr"/>
      <c r="J4603" s="2" t="inlineStr"/>
      <c r="K4603" s="3" t="inlineStr">
        <is>
          <t>Она, на удивление своей мамы, избрана комсоргом. Вопрос оживления комсомольской жизни становится главным для юной, принципиальной и энергичной особы в то время, когда ее мать переживает трудную и чистую любовь.</t>
        </is>
      </c>
      <c r="L4603" s="2" t="inlineStr">
        <is>
          <t>Кино_СССР сводный каталог.xlsx: список телефильмов</t>
        </is>
      </c>
      <c r="M4603" s="2">
        <f>HYPERLINK("https://ru.wikipedia.org/w/index.php?search=%D0%92%D1%81%D1%91%20%D0%BD%D0%BE%D1%80%D0%BC%D0%B0%D0%BB%D1%8C%D0%BD%D0%BE%201988%20%D1%84%D0%B8%D0%BB%D1%8C%D0%BC","искать")</f>
        <v/>
      </c>
      <c r="N4603" s="3" t="n"/>
      <c r="O4603" s="2" t="n"/>
      <c r="P4603" s="2" t="inlineStr">
        <is>
          <t>ГФФ: «ВСЕ НОРМАЛЬНО» 1988 — по сверке другой фильм, не предложено</t>
        </is>
      </c>
    </row>
    <row r="4604">
      <c r="A4604" s="2" t="n">
        <v>4603</v>
      </c>
      <c r="B4604" s="2" t="inlineStr">
        <is>
          <t>короткая</t>
        </is>
      </c>
      <c r="C4604" s="2" t="n">
        <v>7796</v>
      </c>
      <c r="D4604" s="3" t="inlineStr">
        <is>
          <t>Лети, журавлик</t>
        </is>
      </c>
      <c r="E4604" s="2" t="n">
        <v>1985</v>
      </c>
      <c r="F4604" s="2" t="inlineStr">
        <is>
          <t>телефильм</t>
        </is>
      </c>
      <c r="G4604" s="2" t="n"/>
      <c r="H4604" s="2" t="n">
        <v>210</v>
      </c>
      <c r="I4604" s="2" t="inlineStr"/>
      <c r="J4604" s="2" t="inlineStr"/>
      <c r="K4604" s="3" t="inlineStr">
        <is>
          <t>Телефильм. Старый егерь знакомит своего девятилетнего внука Туяка с окружающей природой. Мальчик собирает книги, посвященные жизни животных. А однажды, вместе с дедушкой они выходили отставшего от стаи журавля.</t>
        </is>
      </c>
      <c r="L4604" s="2" t="inlineStr">
        <is>
          <t>Кино_СССР сводный каталог.xlsx: список телефильмов</t>
        </is>
      </c>
      <c r="M4604" s="2">
        <f>HYPERLINK("https://ru.wikipedia.org/w/index.php?search=%D0%9B%D0%B5%D1%82%D0%B8%2C%20%D0%B6%D1%83%D1%80%D0%B0%D0%B2%D0%BB%D0%B8%D0%BA%201985%20%D1%84%D0%B8%D0%BB%D1%8C%D0%BC","искать")</f>
        <v/>
      </c>
      <c r="N4604" s="3" t="n"/>
      <c r="O4604" s="2" t="n"/>
      <c r="P4604" s="2" t="n"/>
    </row>
    <row r="4605">
      <c r="A4605" s="2" t="n">
        <v>4604</v>
      </c>
      <c r="B4605" s="2" t="inlineStr">
        <is>
          <t>короткая</t>
        </is>
      </c>
      <c r="C4605" s="2" t="n">
        <v>8026</v>
      </c>
      <c r="D4605" s="3" t="inlineStr">
        <is>
          <t>Обыкновенная слава</t>
        </is>
      </c>
      <c r="E4605" s="2" t="n">
        <v>1980</v>
      </c>
      <c r="F4605" s="2" t="inlineStr">
        <is>
          <t>телефильм</t>
        </is>
      </c>
      <c r="G4605" s="2" t="n"/>
      <c r="H4605" s="2" t="n">
        <v>210</v>
      </c>
      <c r="I4605" s="2" t="inlineStr"/>
      <c r="J4605" s="2" t="inlineStr"/>
      <c r="K4605" s="3" t="inlineStr">
        <is>
          <t>Телефильм о забавном перипетиях  троицы Галянали, Гамзы  и Хамзы. Галянали хочет жениться на Гамзе из-за её имущества и сада. Хамза - бывшая девушка Гамзы. В результате Гамза женится на Хамзе, а не на Галянали.</t>
        </is>
      </c>
      <c r="L4605" s="2" t="inlineStr">
        <is>
          <t>Кино_СССР сводный каталог.xlsx: список телефильмов</t>
        </is>
      </c>
      <c r="M4605" s="2">
        <f>HYPERLINK("https://ru.wikipedia.org/w/index.php?search=%D0%9E%D0%B1%D1%8B%D0%BA%D0%BD%D0%BE%D0%B2%D0%B5%D0%BD%D0%BD%D0%B0%D1%8F%20%D1%81%D0%BB%D0%B0%D0%B2%D0%B0%201980%20%D1%84%D0%B8%D0%BB%D1%8C%D0%BC","искать")</f>
        <v/>
      </c>
      <c r="N4605" s="3" t="n"/>
      <c r="O4605" s="2" t="n"/>
      <c r="P4605" s="2" t="n"/>
    </row>
    <row r="4606">
      <c r="A4606" s="2" t="n">
        <v>4605</v>
      </c>
      <c r="B4606" s="2" t="inlineStr">
        <is>
          <t>короткая</t>
        </is>
      </c>
      <c r="C4606" s="2" t="n">
        <v>10375</v>
      </c>
      <c r="D4606" s="3" t="inlineStr">
        <is>
          <t>Улица Валентинова</t>
        </is>
      </c>
      <c r="E4606" s="2" t="n">
        <v>1970</v>
      </c>
      <c r="F4606" s="2" t="inlineStr">
        <is>
          <t>фильм-спектакль</t>
        </is>
      </c>
      <c r="G4606" s="2" t="inlineStr">
        <is>
          <t>Центральное телевидение</t>
        </is>
      </c>
      <c r="H4606" s="2" t="n">
        <v>210</v>
      </c>
      <c r="I4606" s="2" t="inlineStr"/>
      <c r="J4606" s="2" t="inlineStr"/>
      <c r="K4606" s="3" t="inlineStr">
        <is>
          <t>Действие происходит в предреволюционные годы и в первые дни после Октябрьской революции.
Главная героиня - девушка-курсистка становится соратником большевика, впоследствии погибшего на фронте гражданской войны.</t>
        </is>
      </c>
      <c r="L4606" s="2" t="inlineStr">
        <is>
          <t>https://www.kino-teatr.ru/teatr/movie/93054/annot/</t>
        </is>
      </c>
      <c r="M4606" s="2">
        <f>HYPERLINK("https://ru.wikipedia.org/w/index.php?search=%D0%A3%D0%BB%D0%B8%D1%86%D0%B0%20%D0%92%D0%B0%D0%BB%D0%B5%D0%BD%D1%82%D0%B8%D0%BD%D0%BE%D0%B2%D0%B0%201970%20%D1%84%D0%B8%D0%BB%D1%8C%D0%BC","искать")</f>
        <v/>
      </c>
      <c r="N4606" s="3" t="n"/>
      <c r="O4606" s="2" t="n"/>
      <c r="P4606" s="2" t="n"/>
    </row>
    <row r="4607">
      <c r="A4607" s="2" t="n">
        <v>4606</v>
      </c>
      <c r="B4607" s="2" t="inlineStr">
        <is>
          <t>короткая</t>
        </is>
      </c>
      <c r="C4607" s="2" t="n">
        <v>11353</v>
      </c>
      <c r="D4607" s="3" t="inlineStr">
        <is>
          <t>Алеко</t>
        </is>
      </c>
      <c r="E4607" s="2" t="n">
        <v>1986</v>
      </c>
      <c r="F4607" s="2" t="inlineStr">
        <is>
          <t>фильм-опера/балет</t>
        </is>
      </c>
      <c r="G4607" s="2" t="inlineStr">
        <is>
          <t>Лентелефильм</t>
        </is>
      </c>
      <c r="H4607" s="2" t="n">
        <v>210</v>
      </c>
      <c r="I4607" s="2" t="inlineStr"/>
      <c r="J4607" s="2" t="inlineStr"/>
      <c r="K4607" s="3" t="inlineStr">
        <is>
          <t>Фильм-опера по одноимённому произведению Сергея Рахманинова, созданному по поэме А. С. Пушкина «Цыганы». Алеко, поселившийся в цыганском таборе, ревнует Земфиру к молодому цыгану. Её измена приводит к трагедии.</t>
        </is>
      </c>
      <c r="L4607" s="2" t="inlineStr">
        <is>
          <t>Кино_СССР телефильмы и пропуски включить в базу.xlsx</t>
        </is>
      </c>
      <c r="M4607" s="2">
        <f>HYPERLINK("https://ru.wikipedia.org/w/index.php?search=%D0%90%D0%BB%D0%B5%D0%BA%D0%BE%201986%20%D1%84%D0%B8%D0%BB%D1%8C%D0%BC","искать")</f>
        <v/>
      </c>
      <c r="N4607" s="3" t="n"/>
      <c r="O4607" s="2" t="n"/>
      <c r="P4607" s="2" t="n"/>
    </row>
    <row r="4608">
      <c r="A4608" s="2" t="n">
        <v>4607</v>
      </c>
      <c r="B4608" s="2" t="inlineStr">
        <is>
          <t>короткая</t>
        </is>
      </c>
      <c r="C4608" s="2" t="n">
        <v>12538</v>
      </c>
      <c r="D4608" s="3" t="inlineStr">
        <is>
          <t>Сампо из Лапландии</t>
        </is>
      </c>
      <c r="E4608" s="2" t="n">
        <v>1985</v>
      </c>
      <c r="F4608" s="2" t="inlineStr">
        <is>
          <t>мультфильм</t>
        </is>
      </c>
      <c r="G4608" s="2" t="inlineStr">
        <is>
          <t>КИЕВНАУЧФИЛЬМ</t>
        </is>
      </c>
      <c r="H4608" s="2" t="n">
        <v>210</v>
      </c>
      <c r="I4608" s="2" t="inlineStr"/>
      <c r="J4608" s="2" t="inlineStr"/>
      <c r="K4608" s="3" t="inlineStr">
        <is>
          <t>Фильм по мотивам известной сказки финского писателя В. Топелиуса. В нем рассказывается про храброго и честного маленького мальчика Сампо, который отправился в горы, чтобы встретиться с могучим и злым великаном.</t>
        </is>
      </c>
      <c r="L4608" s="2" t="inlineStr">
        <is>
          <t>2026-10_мультфильмы_список_владельца.xlsx; https://animator.ru/db/?p=show_film&amp;fid=3716</t>
        </is>
      </c>
      <c r="M4608" s="2">
        <f>HYPERLINK("https://ru.wikipedia.org/w/index.php?search=%D0%A1%D0%B0%D0%BC%D0%BF%D0%BE%20%D0%B8%D0%B7%20%D0%9B%D0%B0%D0%BF%D0%BB%D0%B0%D0%BD%D0%B4%D0%B8%D0%B8%201985%20%D1%84%D0%B8%D0%BB%D1%8C%D0%BC","искать")</f>
        <v/>
      </c>
      <c r="N4608" s="3" t="n"/>
      <c r="O4608" s="2" t="n"/>
      <c r="P4608" s="2" t="n"/>
    </row>
    <row r="4609">
      <c r="A4609" s="2" t="n">
        <v>4608</v>
      </c>
      <c r="B4609" s="2" t="inlineStr">
        <is>
          <t>короткая</t>
        </is>
      </c>
      <c r="C4609" s="2" t="n">
        <v>14421</v>
      </c>
      <c r="D4609" s="3" t="inlineStr">
        <is>
          <t>Король-паршивец</t>
        </is>
      </c>
      <c r="E4609" s="2" t="n">
        <v>1990</v>
      </c>
      <c r="F4609" s="2" t="inlineStr">
        <is>
          <t>мультфильм</t>
        </is>
      </c>
      <c r="G4609" s="2" t="inlineStr">
        <is>
          <t>БИРЛИК</t>
        </is>
      </c>
      <c r="H4609" s="2" t="n">
        <v>210</v>
      </c>
      <c r="I4609" s="2" t="inlineStr"/>
      <c r="J4609" s="2" t="inlineStr"/>
      <c r="K4609" s="3" t="inlineStr">
        <is>
          <t>Два Рыжих клоуна - взрослый и малыш - живут в созданном ими мире добра и радости. Злобный Белый клоун, захватив власть, присваивает плоды фантазий Рыжиков. Но Рыжики не унывают, ведь добро всегда побеждает зло.</t>
        </is>
      </c>
      <c r="L4609" s="2" t="inlineStr">
        <is>
          <t>https://animator.ru/db/?p=show_film&amp;fid=6657</t>
        </is>
      </c>
      <c r="M4609" s="2">
        <f>HYPERLINK("https://ru.wikipedia.org/w/index.php?search=%D0%9A%D0%BE%D1%80%D0%BE%D0%BB%D1%8C-%D0%BF%D0%B0%D1%80%D1%88%D0%B8%D0%B2%D0%B5%D1%86%201990%20%D1%84%D0%B8%D0%BB%D1%8C%D0%BC","искать")</f>
        <v/>
      </c>
      <c r="N4609" s="3" t="n"/>
      <c r="O4609" s="2" t="n"/>
      <c r="P4609" s="2" t="n"/>
    </row>
    <row r="4610">
      <c r="A4610" s="2" t="n">
        <v>4609</v>
      </c>
      <c r="B4610" s="2" t="inlineStr">
        <is>
          <t>короткая</t>
        </is>
      </c>
      <c r="C4610" s="2" t="n">
        <v>8986</v>
      </c>
      <c r="D4610" s="3" t="inlineStr">
        <is>
          <t>Пропал друг</t>
        </is>
      </c>
      <c r="E4610" s="2" t="n">
        <v>1990</v>
      </c>
      <c r="F4610" s="2" t="inlineStr">
        <is>
          <t>кинофильм</t>
        </is>
      </c>
      <c r="G4610" s="2" t="n"/>
      <c r="H4610" s="2" t="n">
        <v>211</v>
      </c>
      <c r="I4610" s="2" t="inlineStr"/>
      <c r="J4610" s="2" t="inlineStr"/>
      <c r="K4610" s="3" t="inlineStr">
        <is>
          <t>Мама двенадцатилетней Нины возвращается из поездки и узнает, что дочь в больнице. Причина шокового состояния девочки — пропажа любимого пса. На пути к своему дому собаке предстоят многие испытания и приключения.</t>
        </is>
      </c>
      <c r="L4610" s="2" t="inlineStr">
        <is>
          <t>Кино_СССР сводный каталог.xlsx: список фильмов (доп.)</t>
        </is>
      </c>
      <c r="M4610" s="2">
        <f>HYPERLINK("https://ru.wikipedia.org/w/index.php?search=%D0%9F%D1%80%D0%BE%D0%BF%D0%B0%D0%BB%20%D0%B4%D1%80%D1%83%D0%B3%201990%20%D1%84%D0%B8%D0%BB%D1%8C%D0%BC","искать")</f>
        <v/>
      </c>
      <c r="N4610" s="3" t="n"/>
      <c r="O4610" s="2" t="n"/>
      <c r="P4610" s="2" t="n"/>
    </row>
    <row r="4611">
      <c r="A4611" s="2" t="n">
        <v>4610</v>
      </c>
      <c r="B4611" s="2" t="inlineStr">
        <is>
          <t>короткая</t>
        </is>
      </c>
      <c r="C4611" s="2" t="n">
        <v>9603</v>
      </c>
      <c r="D4611" s="3" t="inlineStr">
        <is>
          <t>Прощание за чертой</t>
        </is>
      </c>
      <c r="E4611" s="2" t="n">
        <v>1981</v>
      </c>
      <c r="F4611" s="2" t="inlineStr">
        <is>
          <t>кинофильм</t>
        </is>
      </c>
      <c r="G4611" s="2" t="n"/>
      <c r="H4611" s="2" t="n">
        <v>211</v>
      </c>
      <c r="I4611" s="2" t="inlineStr"/>
      <c r="J4611" s="2" t="inlineStr"/>
      <c r="K4611" s="3" t="inlineStr">
        <is>
          <t>Հրաժեշտ սահմանագծից անդին Молодая девушка, студентка университета, остро переживает фальшь и ханжество, лицемерие и бездуховность. Она ищет опору и ответы на мучающие ее вопросы у мужчин, с которыми встречается.</t>
        </is>
      </c>
      <c r="L4611" s="2" t="inlineStr">
        <is>
          <t>Кино_СССР сводный каталог.xlsx: список фильмов (доп.)</t>
        </is>
      </c>
      <c r="M4611" s="2">
        <f>HYPERLINK("https://ru.wikipedia.org/w/index.php?search=%D0%9F%D1%80%D0%BE%D1%89%D0%B0%D0%BD%D0%B8%D0%B5%20%D0%B7%D0%B0%20%D1%87%D0%B5%D1%80%D1%82%D0%BE%D0%B9%201981%20%D1%84%D0%B8%D0%BB%D1%8C%D0%BC","искать")</f>
        <v/>
      </c>
      <c r="N4611" s="3" t="n"/>
      <c r="O4611" s="2" t="n"/>
      <c r="P4611" s="2" t="n"/>
    </row>
    <row r="4612">
      <c r="A4612" s="2" t="n">
        <v>4611</v>
      </c>
      <c r="B4612" s="2" t="inlineStr">
        <is>
          <t>короткая</t>
        </is>
      </c>
      <c r="C4612" s="2" t="n">
        <v>10689</v>
      </c>
      <c r="D4612" s="3" t="inlineStr">
        <is>
          <t>Заседание парткома</t>
        </is>
      </c>
      <c r="E4612" s="2" t="n">
        <v>1977</v>
      </c>
      <c r="F4612" s="2" t="inlineStr">
        <is>
          <t>фильм-спектакль</t>
        </is>
      </c>
      <c r="G4612" s="2" t="inlineStr">
        <is>
          <t>ТО “Экран”</t>
        </is>
      </c>
      <c r="H4612" s="2" t="n">
        <v>211</v>
      </c>
      <c r="I4612" s="2" t="inlineStr"/>
      <c r="J4612" s="2" t="inlineStr"/>
      <c r="K4612" s="3" t="inlineStr">
        <is>
          <t>Бригада строителей, созывает заседание парткома строительного треста, формальной причиной называя отказ всей бригады от премии. На заседании высказывается недовольство связанное с отсутствием порядка на стройке.</t>
        </is>
      </c>
      <c r="L4612" s="2" t="inlineStr">
        <is>
          <t>https://ru.wikipedia.org/w/index.php?title=%D0%97%D0%B0%D1%81%D0%B5%D0%B4%D0%B0%D0%BD%D0%B8%D0%B5_%D0%BF%D0%B0%D1%80%D1%82%D0%BA%D0%BE%D0%BC%D0%B0&amp;oldid=150070715</t>
        </is>
      </c>
      <c r="M4612" s="2">
        <f>HYPERLINK("https://ru.wikipedia.org/w/index.php?search=%D0%97%D0%B0%D1%81%D0%B5%D0%B4%D0%B0%D0%BD%D0%B8%D0%B5%20%D0%BF%D0%B0%D1%80%D1%82%D0%BA%D0%BE%D0%BC%D0%B0%201977%20%D1%84%D0%B8%D0%BB%D1%8C%D0%BC","искать")</f>
        <v/>
      </c>
      <c r="N4612" s="3" t="n"/>
      <c r="O4612" s="2" t="n"/>
      <c r="P4612" s="2" t="n"/>
    </row>
    <row r="4613">
      <c r="A4613" s="2" t="n">
        <v>4612</v>
      </c>
      <c r="B4613" s="2" t="inlineStr">
        <is>
          <t>короткая</t>
        </is>
      </c>
      <c r="C4613" s="2" t="n">
        <v>12285</v>
      </c>
      <c r="D4613" s="3" t="inlineStr">
        <is>
          <t>По следам Бамбра</t>
        </is>
      </c>
      <c r="E4613" s="2" t="n">
        <v>1990</v>
      </c>
      <c r="F4613" s="2" t="inlineStr">
        <is>
          <t>мультфильм</t>
        </is>
      </c>
      <c r="G4613" s="2" t="inlineStr">
        <is>
          <t>Союзмультфильм</t>
        </is>
      </c>
      <c r="H4613" s="2" t="n">
        <v>211</v>
      </c>
      <c r="I4613" s="2" t="inlineStr"/>
      <c r="J4613" s="2" t="inlineStr"/>
      <c r="K4613" s="3" t="inlineStr">
        <is>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is>
      </c>
      <c r="L4613" s="2" t="inlineStr">
        <is>
          <t>https://animator.ru/db/?p=show_film&amp;fid=3402</t>
        </is>
      </c>
      <c r="M4613" s="2">
        <f>HYPERLINK("https://ru.wikipedia.org/w/index.php?search=%D0%9F%D0%BE%20%D1%81%D0%BB%D0%B5%D0%B4%D0%B0%D0%BC%20%D0%91%D0%B0%D0%BC%D0%B1%D1%80%D0%B0%201990%20%D1%84%D0%B8%D0%BB%D1%8C%D0%BC","искать")</f>
        <v/>
      </c>
      <c r="N4613" s="3" t="n"/>
      <c r="O4613" s="2" t="n"/>
      <c r="P4613" s="2" t="n"/>
    </row>
    <row r="4614">
      <c r="A4614" s="2" t="n">
        <v>4613</v>
      </c>
      <c r="B4614" s="2" t="inlineStr">
        <is>
          <t>короткая</t>
        </is>
      </c>
      <c r="C4614" s="2" t="n">
        <v>7403</v>
      </c>
      <c r="D4614" s="3" t="inlineStr">
        <is>
          <t>Всмотритесь в это лицо</t>
        </is>
      </c>
      <c r="E4614" s="2" t="n">
        <v>1972</v>
      </c>
      <c r="F4614" s="2" t="inlineStr">
        <is>
          <t>телефильм</t>
        </is>
      </c>
      <c r="G4614" s="2" t="n"/>
      <c r="H4614" s="2" t="n">
        <v>212</v>
      </c>
      <c r="I4614" s="2" t="inlineStr"/>
      <c r="J4614" s="2" t="inlineStr"/>
      <c r="K4614" s="3" t="inlineStr">
        <is>
          <t>Школьники Никита и Ромка мечтают совершить героический поступок. Однажды в газете они увидели фотографию "преступника" и лаконичное "сообщение" о совершенном им "преступлении". Ребята отправляются на его розыски.</t>
        </is>
      </c>
      <c r="L4614" s="2" t="inlineStr">
        <is>
          <t>Кино_СССР сводный каталог.xlsx: список телефильмов</t>
        </is>
      </c>
      <c r="M4614" s="2">
        <f>HYPERLINK("https://ru.wikipedia.org/w/index.php?search=%D0%92%D1%81%D0%BC%D0%BE%D1%82%D1%80%D0%B8%D1%82%D0%B5%D1%81%D1%8C%20%D0%B2%20%D1%8D%D1%82%D0%BE%20%D0%BB%D0%B8%D1%86%D0%BE%201972%20%D1%84%D0%B8%D0%BB%D1%8C%D0%BC","искать")</f>
        <v/>
      </c>
      <c r="N4614" s="3" t="n"/>
      <c r="O4614" s="2" t="n"/>
      <c r="P4614" s="2" t="n"/>
    </row>
    <row r="4615">
      <c r="A4615" s="2" t="n">
        <v>4614</v>
      </c>
      <c r="B4615" s="2" t="inlineStr">
        <is>
          <t>короткая</t>
        </is>
      </c>
      <c r="C4615" s="2" t="n">
        <v>7864</v>
      </c>
      <c r="D4615" s="3" t="inlineStr">
        <is>
          <t>Мелочи жизни</t>
        </is>
      </c>
      <c r="E4615" s="2" t="n">
        <v>1980</v>
      </c>
      <c r="F4615" s="2" t="inlineStr">
        <is>
          <t>телефильм</t>
        </is>
      </c>
      <c r="G4615" s="2" t="n"/>
      <c r="H4615" s="2" t="n">
        <v>212</v>
      </c>
      <c r="I4615" s="2" t="inlineStr"/>
      <c r="J4615" s="2" t="inlineStr"/>
      <c r="K4615" s="3" t="inlineStr">
        <is>
          <t>В телефильме все происходит в течение одного дня. Семья накануне развода. Надо подать заявление в ЗАГС, посмотреть варианты обмена, на даче — катаклизм: разлилась река. Короче, мелочи жизни, которая продолжается.</t>
        </is>
      </c>
      <c r="L4615" s="2" t="inlineStr">
        <is>
          <t>Кино_СССР сводный каталог.xlsx: список телефильмов</t>
        </is>
      </c>
      <c r="M4615" s="2">
        <f>HYPERLINK("https://ru.wikipedia.org/w/index.php?search=%D0%9C%D0%B5%D0%BB%D0%BE%D1%87%D0%B8%20%D0%B6%D0%B8%D0%B7%D0%BD%D0%B8%201980%20%D1%84%D0%B8%D0%BB%D1%8C%D0%BC","искать")</f>
        <v/>
      </c>
      <c r="N4615" s="3" t="n"/>
      <c r="O4615" s="2" t="n"/>
      <c r="P4615" s="2" t="n"/>
    </row>
    <row r="4616">
      <c r="A4616" s="2" t="n">
        <v>4615</v>
      </c>
      <c r="B4616" s="2" t="inlineStr">
        <is>
          <t>короткая</t>
        </is>
      </c>
      <c r="C4616" s="2" t="n">
        <v>7987</v>
      </c>
      <c r="D4616" s="3" t="inlineStr">
        <is>
          <t>Неоконченный урок</t>
        </is>
      </c>
      <c r="E4616" s="2" t="n">
        <v>1980</v>
      </c>
      <c r="F4616" s="2" t="inlineStr">
        <is>
          <t>телефильм</t>
        </is>
      </c>
      <c r="G4616" s="2" t="n"/>
      <c r="H4616" s="2" t="n">
        <v>212</v>
      </c>
      <c r="I4616" s="2" t="inlineStr"/>
      <c r="J4616" s="2" t="inlineStr"/>
      <c r="K4616" s="3" t="inlineStr">
        <is>
          <t>Телефильм по мотивам повести Н.Зелеранского "Когда мы взрослеем". Молодой учитель физкультуры не только увлекает учеников своим предметом, но и является для них примером высокой нравственности и принципиальности.</t>
        </is>
      </c>
      <c r="L4616" s="2" t="inlineStr">
        <is>
          <t>Кино_СССР сводный каталог.xlsx: список телефильмов</t>
        </is>
      </c>
      <c r="M4616" s="2">
        <f>HYPERLINK("https://ru.wikipedia.org/w/index.php?search=%D0%9D%D0%B5%D0%BE%D0%BA%D0%BE%D0%BD%D1%87%D0%B5%D0%BD%D0%BD%D1%8B%D0%B9%20%D1%83%D1%80%D0%BE%D0%BA%201980%20%D1%84%D0%B8%D0%BB%D1%8C%D0%BC","искать")</f>
        <v/>
      </c>
      <c r="N4616" s="3" t="n"/>
      <c r="O4616" s="2" t="n"/>
      <c r="P4616" s="2" t="n"/>
    </row>
    <row r="4617">
      <c r="A4617" s="2" t="n">
        <v>4616</v>
      </c>
      <c r="B4617" s="2" t="inlineStr">
        <is>
          <t>короткая</t>
        </is>
      </c>
      <c r="C4617" s="2" t="n">
        <v>9797</v>
      </c>
      <c r="D4617" s="3" t="inlineStr">
        <is>
          <t>Огненный берег</t>
        </is>
      </c>
      <c r="E4617" s="2" t="n">
        <v>1973</v>
      </c>
      <c r="F4617" s="2" t="inlineStr">
        <is>
          <t>кинофильм</t>
        </is>
      </c>
      <c r="G4617" s="2" t="inlineStr">
        <is>
          <t>Узбекфильм</t>
        </is>
      </c>
      <c r="H4617" s="2" t="n">
        <v>212</v>
      </c>
      <c r="I4617" s="2" t="inlineStr"/>
      <c r="J4617" s="2" t="inlineStr"/>
      <c r="K4617" s="3" t="inlineStr">
        <is>
          <t>В 1924 году, в первый год установления Советской власти в Хиве, на учебу в Москву отправляется группа комсомольцев — через степи и пески, где еще рыщут басмаческие банды и разрозненные группы контрреволюционеров.</t>
        </is>
      </c>
      <c r="L4617" s="2" t="inlineStr">
        <is>
          <t>https://www.kino-teatr.ru/kino/movie/sov/4655/annot/</t>
        </is>
      </c>
      <c r="M4617" s="2">
        <f>HYPERLINK("https://ru.wikipedia.org/w/index.php?search=%D0%9E%D0%B3%D0%BD%D0%B5%D0%BD%D0%BD%D1%8B%D0%B9%20%D0%B1%D0%B5%D1%80%D0%B5%D0%B3%201973%20%D1%84%D0%B8%D0%BB%D1%8C%D0%BC","искать")</f>
        <v/>
      </c>
      <c r="N4617" s="3" t="n"/>
      <c r="O4617" s="2" t="n"/>
      <c r="P4617" s="2" t="n"/>
    </row>
    <row r="4618">
      <c r="A4618" s="2" t="n">
        <v>4617</v>
      </c>
      <c r="B4618" s="2" t="inlineStr">
        <is>
          <t>короткая</t>
        </is>
      </c>
      <c r="C4618" s="2" t="n">
        <v>9859</v>
      </c>
      <c r="D4618" s="3" t="inlineStr">
        <is>
          <t>Деревенские каникулы</t>
        </is>
      </c>
      <c r="E4618" s="2" t="n">
        <v>1969</v>
      </c>
      <c r="F4618" s="2" t="inlineStr">
        <is>
          <t>телефильм</t>
        </is>
      </c>
      <c r="G4618" s="2" t="inlineStr">
        <is>
          <t>"Беларусьфильм" по заказу: Гостелерадио СССР</t>
        </is>
      </c>
      <c r="H4618" s="2" t="n">
        <v>212</v>
      </c>
      <c r="I4618" s="2" t="inlineStr"/>
      <c r="J4618" s="2" t="inlineStr"/>
      <c r="K4618" s="3" t="inlineStr">
        <is>
          <t>Теленовелла о первой любви.
В деревню к бабушке на каникулы приезжает из Москвы старшеклассница Таня. Она знакомится с местным пареньком Лешкой. Он учит ее ездить на лошади. Между ними возникает взаимное чувство.</t>
        </is>
      </c>
      <c r="L4618" s="2" t="inlineStr">
        <is>
          <t>https://www.kino-teatr.ru/short/movie/sov/15766/annot/</t>
        </is>
      </c>
      <c r="M4618" s="2">
        <f>HYPERLINK("https://ru.wikipedia.org/w/index.php?search=%D0%94%D0%B5%D1%80%D0%B5%D0%B2%D0%B5%D0%BD%D1%81%D0%BA%D0%B8%D0%B5%20%D0%BA%D0%B0%D0%BD%D0%B8%D0%BA%D1%83%D0%BB%D1%8B%201969%20%D1%84%D0%B8%D0%BB%D1%8C%D0%BC","искать")</f>
        <v/>
      </c>
      <c r="N4618" s="3" t="n"/>
      <c r="O4618" s="2" t="n"/>
      <c r="P4618" s="2" t="n"/>
    </row>
    <row r="4619">
      <c r="A4619" s="2" t="n">
        <v>4618</v>
      </c>
      <c r="B4619" s="2" t="inlineStr">
        <is>
          <t>короткая</t>
        </is>
      </c>
      <c r="C4619" s="2" t="n">
        <v>11772</v>
      </c>
      <c r="D4619" s="3" t="inlineStr">
        <is>
          <t>Как верблюжонок и ослик в школу ходили</t>
        </is>
      </c>
      <c r="E4619" s="2" t="n">
        <v>1975</v>
      </c>
      <c r="F4619" s="2" t="inlineStr">
        <is>
          <t>мультфильм</t>
        </is>
      </c>
      <c r="G4619" s="2" t="inlineStr">
        <is>
          <t>Союзмультфильм</t>
        </is>
      </c>
      <c r="H4619" s="2" t="n">
        <v>212</v>
      </c>
      <c r="I4619" s="2" t="inlineStr"/>
      <c r="J4619" s="2" t="inlineStr"/>
      <c r="K4619" s="3" t="inlineStr">
        <is>
          <t>Верблюжонок и Ослик впервые идут в школу на лесную поляну. Им хочется перенести занятия на другую поляну, где, как они считают, красивее. Друзья срывают урок, их наказывают, но вскоре они возвращаются к занятиям.</t>
        </is>
      </c>
      <c r="L4619" s="2" t="inlineStr">
        <is>
          <t>2026-10_мультфильмы_список_владельца.xlsx; https://animator.ru/db/?p=show_film&amp;fid=2686</t>
        </is>
      </c>
      <c r="M4619" s="2">
        <f>HYPERLINK("https://ru.wikipedia.org/w/index.php?search=%D0%9A%D0%B0%D0%BA%20%D0%B2%D0%B5%D1%80%D0%B1%D0%BB%D1%8E%D0%B6%D0%BE%D0%BD%D0%BE%D0%BA%20%D0%B8%20%D0%BE%D1%81%D0%BB%D0%B8%D0%BA%20%D0%B2%20%D1%88%D0%BA%D0%BE%D0%BB%D1%83%20%D1%85%D0%BE%D0%B4%D0%B8%D0%BB%D0%B8%201975%20%D1%84%D0%B8%D0%BB%D1%8C%D0%BC","искать")</f>
        <v/>
      </c>
      <c r="N4619" s="3" t="n"/>
      <c r="O4619" s="2" t="n"/>
      <c r="P4619" s="2" t="n"/>
    </row>
    <row r="4620">
      <c r="A4620" s="2" t="n">
        <v>4619</v>
      </c>
      <c r="B4620" s="2" t="inlineStr">
        <is>
          <t>короткая</t>
        </is>
      </c>
      <c r="C4620" s="2" t="n">
        <v>12094</v>
      </c>
      <c r="D4620" s="3" t="inlineStr">
        <is>
          <t>Птицелов</t>
        </is>
      </c>
      <c r="E4620" s="2" t="n">
        <v>1984</v>
      </c>
      <c r="F4620" s="2" t="inlineStr">
        <is>
          <t>мультфильм</t>
        </is>
      </c>
      <c r="G4620" s="2" t="inlineStr">
        <is>
          <t>Союзмультфильм</t>
        </is>
      </c>
      <c r="H4620" s="2" t="n">
        <v>212</v>
      </c>
      <c r="I4620" s="2" t="inlineStr"/>
      <c r="J4620" s="2" t="inlineStr"/>
      <c r="K4620" s="3" t="inlineStr">
        <is>
          <t>Притча для юношества об удачливом птицелове, которому посчастливилось встретить фантастическую женщину жар-птицу. Авторы проводят мысль о том, что эгоизм и тщеславие губительны для чувства, способны убить любовь.</t>
        </is>
      </c>
      <c r="L4620" s="2" t="inlineStr">
        <is>
          <t>https://animator.ru/db/?p=show_film&amp;fid=3210</t>
        </is>
      </c>
      <c r="M4620" s="2">
        <f>HYPERLINK("https://ru.wikipedia.org/w/index.php?search=%D0%9F%D1%82%D0%B8%D1%86%D0%B5%D0%BB%D0%BE%D0%B2%201984%20%D1%84%D0%B8%D0%BB%D1%8C%D0%BC","искать")</f>
        <v/>
      </c>
      <c r="N4620" s="3" t="n"/>
      <c r="O4620" s="2" t="n"/>
      <c r="P4620" s="2" t="n"/>
    </row>
    <row r="4621">
      <c r="A4621" s="2" t="n">
        <v>4620</v>
      </c>
      <c r="B4621" s="2" t="inlineStr">
        <is>
          <t>короткая</t>
        </is>
      </c>
      <c r="C4621" s="2" t="n">
        <v>12725</v>
      </c>
      <c r="D4621" s="3" t="inlineStr">
        <is>
          <t>Мама на дереве</t>
        </is>
      </c>
      <c r="E4621" s="2" t="n">
        <v>1986</v>
      </c>
      <c r="F4621" s="2" t="inlineStr">
        <is>
          <t>мультфильм</t>
        </is>
      </c>
      <c r="G4621" s="2" t="inlineStr">
        <is>
          <t>АЗЕРБАЙДЖАНФИЛЬМ</t>
        </is>
      </c>
      <c r="H4621" s="2" t="n">
        <v>212</v>
      </c>
      <c r="I4621" s="2" t="inlineStr"/>
      <c r="J4621" s="2" t="inlineStr"/>
      <c r="K4621" s="3" t="inlineStr">
        <is>
          <t>В отчаянии от капризов своей маленькой дочки мама пригрозила ей, что уйдет из дома и переселится...на дерево. Вообразив себе во всех подробностях трудную жизнь, которая ждет маму, девочка испугалась и исправилась</t>
        </is>
      </c>
      <c r="L4621" s="2" t="inlineStr">
        <is>
          <t>https://gosfilmofond.ru/films/250585/</t>
        </is>
      </c>
      <c r="M4621" s="2">
        <f>HYPERLINK("https://ru.wikipedia.org/w/index.php?search=%D0%9C%D0%B0%D0%BC%D0%B0%20%D0%BD%D0%B0%20%D0%B4%D0%B5%D1%80%D0%B5%D0%B2%D0%B5%201986%20%D1%84%D0%B8%D0%BB%D1%8C%D0%BC","искать")</f>
        <v/>
      </c>
      <c r="N4621" s="3" t="n"/>
      <c r="O4621" s="2" t="n"/>
      <c r="P4621" s="2" t="n"/>
    </row>
    <row r="4622">
      <c r="A4622" s="2" t="n">
        <v>4621</v>
      </c>
      <c r="B4622" s="2" t="inlineStr">
        <is>
          <t>короткая</t>
        </is>
      </c>
      <c r="C4622" s="2" t="n">
        <v>12851</v>
      </c>
      <c r="D4622" s="3" t="inlineStr">
        <is>
          <t>Три соседа</t>
        </is>
      </c>
      <c r="E4622" s="2" t="n">
        <v>1966</v>
      </c>
      <c r="F4622" s="2" t="inlineStr">
        <is>
          <t>мультфильм</t>
        </is>
      </c>
      <c r="G4622" s="2" t="inlineStr">
        <is>
          <t>ГРУЗИЯ-ФИЛЬМ - АО</t>
        </is>
      </c>
      <c r="H4622" s="2" t="n">
        <v>213</v>
      </c>
      <c r="I4622" s="2" t="inlineStr"/>
      <c r="J4622" s="2" t="inlineStr"/>
      <c r="K4622" s="3" t="inlineStr">
        <is>
          <t>Как Мышка проучила Щенка и Кошку, которые не сумели справедливо разделить лакомство. Для малышей. Зональный смотр республик Закавказья и Украины, Тбилиси,1967 -- первая премия по разделу мультипликационных фильмов</t>
        </is>
      </c>
      <c r="L4622" s="2" t="inlineStr">
        <is>
          <t>https://animator.ru/db/?p=show_film&amp;fid=4076</t>
        </is>
      </c>
      <c r="M4622" s="2">
        <f>HYPERLINK("https://ru.wikipedia.org/w/index.php?search=%D0%A2%D1%80%D0%B8%20%D1%81%D0%BE%D1%81%D0%B5%D0%B4%D0%B0%201966%20%D1%84%D0%B8%D0%BB%D1%8C%D0%BC","искать")</f>
        <v/>
      </c>
      <c r="N4622" s="3" t="n"/>
      <c r="O4622" s="2" t="n"/>
      <c r="P4622" s="2" t="n"/>
    </row>
    <row r="4623">
      <c r="A4623" s="2" t="n">
        <v>4622</v>
      </c>
      <c r="B4623" s="2" t="inlineStr">
        <is>
          <t>короткая</t>
        </is>
      </c>
      <c r="C4623" s="2" t="n">
        <v>8706</v>
      </c>
      <c r="D4623" s="3" t="inlineStr">
        <is>
          <t>Долой коммерцию на любовном фронте, или Услуги по взаимности</t>
        </is>
      </c>
      <c r="E4623" s="2" t="n">
        <v>1988</v>
      </c>
      <c r="F4623" s="2" t="inlineStr">
        <is>
          <t>кинофильм</t>
        </is>
      </c>
      <c r="G4623" s="2" t="n"/>
      <c r="H4623" s="2" t="n">
        <v>214</v>
      </c>
      <c r="I4623" s="2" t="inlineStr"/>
      <c r="J4623" s="2" t="inlineStr"/>
      <c r="K4623" s="3" t="inlineStr">
        <is>
          <t>По рассказам Михаила Зощенко. Фильм состоит из двух новелл, объединенных общим сюжетом о том, как корыстная жена "одалживает" мужа. Действие первой новеллы происходит во времена НЭПа, второй - в сегодняшней Москве.</t>
        </is>
      </c>
      <c r="L4623" s="2" t="inlineStr">
        <is>
          <t>Кино_СССР сводный каталог.xlsx: список фильмов (доп.)</t>
        </is>
      </c>
      <c r="M4623" s="2">
        <f>HYPERLINK("https://ru.wikipedia.org/w/index.php?search=%D0%94%D0%BE%D0%BB%D0%BE%D0%B9%20%D0%BA%D0%BE%D0%BC%D0%BC%D0%B5%D1%80%D1%86%D0%B8%D1%8E%20%D0%BD%D0%B0%20%D0%BB%D1%8E%D0%B1%D0%BE%D0%B2%D0%BD%D0%BE%D0%BC%20%D1%84%D1%80%D0%BE%D0%BD%D1%82%D0%B5%2C%20%D0%B8%D0%BB%D0%B8%20%D0%A3%D1%81%D0%BB%D1%83%D0%B3%D0%B8%20%D0%BF%D0%BE%20%D0%B2%D0%B7%D0%B0%D0%B8%D0%BC%D0%BD%D0%BE%D1%81%D1%82%D0%B8%201988%20%D1%84%D0%B8%D0%BB%D1%8C%D0%BC","искать")</f>
        <v/>
      </c>
      <c r="N4623" s="3" t="n"/>
      <c r="O4623" s="2" t="n"/>
      <c r="P4623" s="2" t="n"/>
    </row>
    <row r="4624">
      <c r="A4624" s="2" t="n">
        <v>4623</v>
      </c>
      <c r="B4624" s="2" t="inlineStr">
        <is>
          <t>короткая</t>
        </is>
      </c>
      <c r="C4624" s="2" t="n">
        <v>8925</v>
      </c>
      <c r="D4624" s="3" t="inlineStr">
        <is>
          <t>Первый шторм</t>
        </is>
      </c>
      <c r="E4624" s="2" t="n">
        <v>1972</v>
      </c>
      <c r="F4624" s="2" t="inlineStr">
        <is>
          <t>кинофильм</t>
        </is>
      </c>
      <c r="G4624" s="2" t="n"/>
      <c r="H4624" s="2" t="n">
        <v>214</v>
      </c>
      <c r="I4624" s="2" t="inlineStr"/>
      <c r="J4624" s="2" t="inlineStr"/>
      <c r="K4624" s="3" t="inlineStr">
        <is>
          <t>О пионерах-артековцах, отправившихся по следам героического подвига советских моряков у берегов Крыма в годы Великой Отечественной войны. Им удается обнаружить место гибели одного из кораблей Черноморской флотилии.</t>
        </is>
      </c>
      <c r="L4624" s="2" t="inlineStr">
        <is>
          <t>Кино_СССР сводный каталог.xlsx: список фильмов (доп.)</t>
        </is>
      </c>
      <c r="M4624" s="2">
        <f>HYPERLINK("https://ru.wikipedia.org/w/index.php?search=%D0%9F%D0%B5%D1%80%D0%B2%D1%8B%D0%B9%20%D1%88%D1%82%D0%BE%D1%80%D0%BC%201972%20%D1%84%D0%B8%D0%BB%D1%8C%D0%BC","искать")</f>
        <v/>
      </c>
      <c r="N4624" s="3" t="n"/>
      <c r="O4624" s="2" t="n"/>
      <c r="P4624" s="2" t="n"/>
    </row>
    <row r="4625">
      <c r="A4625" s="2" t="n">
        <v>4624</v>
      </c>
      <c r="B4625" s="2" t="inlineStr">
        <is>
          <t>короткая</t>
        </is>
      </c>
      <c r="C4625" s="2" t="n">
        <v>9191</v>
      </c>
      <c r="D4625" s="3" t="inlineStr">
        <is>
          <t>Я тот, кто есть...</t>
        </is>
      </c>
      <c r="E4625" s="2" t="n">
        <v>1990</v>
      </c>
      <c r="F4625" s="2" t="inlineStr">
        <is>
          <t>кинофильм</t>
        </is>
      </c>
      <c r="G4625" s="2" t="n"/>
      <c r="H4625" s="2" t="n">
        <v>214</v>
      </c>
      <c r="I4625" s="2" t="inlineStr"/>
      <c r="J4625" s="2" t="inlineStr"/>
      <c r="K4625" s="3" t="inlineStr">
        <is>
          <t>По мотивам романа Николая Хвылевого «Я — Романтика». Герой странной картины со странной фамилией Главковерх одержим романтической идеей свободы, ради которой не останавливается даже перед казнью собственной матери.</t>
        </is>
      </c>
      <c r="L4625" s="2" t="inlineStr">
        <is>
          <t>Кино_СССР сводный каталог.xlsx: список фильмов (доп.)</t>
        </is>
      </c>
      <c r="M4625" s="2">
        <f>HYPERLINK("https://ru.wikipedia.org/w/index.php?search=%D0%AF%20%D1%82%D0%BE%D1%82%2C%20%D0%BA%D1%82%D0%BE%20%D0%B5%D1%81%D1%82%D1%8C...%201990%20%D1%84%D0%B8%D0%BB%D1%8C%D0%BC","искать")</f>
        <v/>
      </c>
      <c r="N4625" s="3" t="n"/>
      <c r="O4625" s="2" t="n"/>
      <c r="P4625" s="2" t="n"/>
    </row>
    <row r="4626">
      <c r="A4626" s="2" t="n">
        <v>4625</v>
      </c>
      <c r="B4626" s="2" t="inlineStr">
        <is>
          <t>короткая</t>
        </is>
      </c>
      <c r="C4626" s="2" t="n">
        <v>9632</v>
      </c>
      <c r="D4626" s="3" t="inlineStr">
        <is>
          <t>Свидетельница</t>
        </is>
      </c>
      <c r="E4626" s="2" t="n">
        <v>1990</v>
      </c>
      <c r="F4626" s="2" t="inlineStr">
        <is>
          <t>кинофильм</t>
        </is>
      </c>
      <c r="G4626" s="2" t="n"/>
      <c r="H4626" s="2" t="n">
        <v>214</v>
      </c>
      <c r="I4626" s="2" t="inlineStr"/>
      <c r="J4626" s="2" t="inlineStr"/>
      <c r="K4626" s="3" t="inlineStr">
        <is>
          <t>В результате химических выбросов в море в курортном азербайджанском городе гибнут дети. Расследование дела не выявляет истинных виновников постоянных несчастий. Один за другим гибнут и свидетели, и сам следователь.</t>
        </is>
      </c>
      <c r="L4626" s="2" t="inlineStr">
        <is>
          <t>Кино_СССР сводный каталог.xlsx: список фильмов (доп.)</t>
        </is>
      </c>
      <c r="M4626" s="2">
        <f>HYPERLINK("https://ru.wikipedia.org/w/index.php?search=%D0%A1%D0%B2%D0%B8%D0%B4%D0%B5%D1%82%D0%B5%D0%BB%D1%8C%D0%BD%D0%B8%D1%86%D0%B0%201990%20%D1%84%D0%B8%D0%BB%D1%8C%D0%BC","искать")</f>
        <v/>
      </c>
      <c r="N4626" s="3" t="n"/>
      <c r="O4626" s="2" t="n"/>
      <c r="P4626" s="2" t="n"/>
    </row>
    <row r="4627">
      <c r="A4627" s="2" t="n">
        <v>4626</v>
      </c>
      <c r="B4627" s="2" t="inlineStr">
        <is>
          <t>короткая</t>
        </is>
      </c>
      <c r="C4627" s="2" t="n">
        <v>10492</v>
      </c>
      <c r="D4627" s="3" t="inlineStr">
        <is>
          <t>Волны над нами</t>
        </is>
      </c>
      <c r="E4627" s="2" t="n">
        <v>1973</v>
      </c>
      <c r="F4627" s="2" t="inlineStr">
        <is>
          <t>фильм-спектакль</t>
        </is>
      </c>
      <c r="G4627" s="2" t="inlineStr">
        <is>
          <t>Театр Советской Армии</t>
        </is>
      </c>
      <c r="H4627" s="2" t="n">
        <v>214</v>
      </c>
      <c r="I4627" s="2" t="inlineStr"/>
      <c r="J4627" s="2" t="inlineStr"/>
      <c r="K4627" s="3" t="inlineStr">
        <is>
          <t>В схватке с нарушителями границы погибает лейтенант Новиков. Примером стойкости и мужества становится для всех мать погибшего, которая в эти тяжелые для неё дни провожает второго сына-подводника в длительный поход.</t>
        </is>
      </c>
      <c r="L4627" s="2" t="inlineStr">
        <is>
          <t>https://www.kino-teatr.ru/teatr/movie/101383/annot/</t>
        </is>
      </c>
      <c r="M4627" s="2">
        <f>HYPERLINK("https://ru.wikipedia.org/w/index.php?search=%D0%92%D0%BE%D0%BB%D0%BD%D1%8B%20%D0%BD%D0%B0%D0%B4%20%D0%BD%D0%B0%D0%BC%D0%B8%201973%20%D1%84%D0%B8%D0%BB%D1%8C%D0%BC","искать")</f>
        <v/>
      </c>
      <c r="N4627" s="3" t="n"/>
      <c r="O4627" s="2" t="n"/>
      <c r="P4627" s="2" t="n"/>
    </row>
    <row r="4628">
      <c r="A4628" s="2" t="n">
        <v>4627</v>
      </c>
      <c r="B4628" s="2" t="inlineStr">
        <is>
          <t>короткая</t>
        </is>
      </c>
      <c r="C4628" s="2" t="n">
        <v>10881</v>
      </c>
      <c r="D4628" s="3" t="inlineStr">
        <is>
          <t>Дядюшкин сон</t>
        </is>
      </c>
      <c r="E4628" s="2" t="n">
        <v>1981</v>
      </c>
      <c r="F4628" s="2" t="inlineStr">
        <is>
          <t>фильм-спектакль</t>
        </is>
      </c>
      <c r="G4628" s="2" t="inlineStr">
        <is>
          <t>Гостелерадио СССР, ТО телефильмов</t>
        </is>
      </c>
      <c r="H4628" s="2" t="n">
        <v>214</v>
      </c>
      <c r="I4628" s="2" t="inlineStr"/>
      <c r="J4628" s="2" t="inlineStr"/>
      <c r="K4628" s="3" t="inlineStr">
        <is>
          <t>Телеспектакль, трагикомедия по одноименной повести Ф.М. Достоевского.
Известная история о том, как используя слабоумие старого князя, "первая дама в Мордасове" Марья Александровна пытается выдать за него свою дочь.</t>
        </is>
      </c>
      <c r="L4628" s="2" t="inlineStr">
        <is>
          <t>https://www.kino-teatr.ru/teatr/movie/2079/annot/</t>
        </is>
      </c>
      <c r="M4628" s="2">
        <f>HYPERLINK("https://ru.wikipedia.org/w/index.php?search=%D0%94%D1%8F%D0%B4%D1%8E%D1%88%D0%BA%D0%B8%D0%BD%20%D1%81%D0%BE%D0%BD%201981%20%D1%84%D0%B8%D0%BB%D1%8C%D0%BC","искать")</f>
        <v/>
      </c>
      <c r="N4628" s="3" t="n"/>
      <c r="O4628" s="2" t="n"/>
      <c r="P4628" s="2" t="n"/>
    </row>
    <row r="4629">
      <c r="A4629" s="2" t="n">
        <v>4628</v>
      </c>
      <c r="B4629" s="2" t="inlineStr">
        <is>
          <t>короткая</t>
        </is>
      </c>
      <c r="C4629" s="2" t="n">
        <v>11475</v>
      </c>
      <c r="D4629" s="3" t="inlineStr">
        <is>
          <t>Козленок, который считал до 10</t>
        </is>
      </c>
      <c r="E4629" s="2" t="n">
        <v>1968</v>
      </c>
      <c r="F4629" s="2" t="inlineStr">
        <is>
          <t>мультфильм</t>
        </is>
      </c>
      <c r="G4629" s="2" t="inlineStr">
        <is>
          <t>Союзмультфильм</t>
        </is>
      </c>
      <c r="H4629" s="2" t="n">
        <v>214</v>
      </c>
      <c r="I4629" s="2" t="inlineStr"/>
      <c r="J4629" s="2" t="inlineStr"/>
      <c r="K4629" s="3" t="inlineStr">
        <is>
          <t>Для детей. Козленок пересчитал пассажиров парома, которых оказалось 10, то есть ровно столько, сколько мог вместить паром, а это значит - можно отправляться в путь. Вот как полезно знать арифметику и уметь считать.</t>
        </is>
      </c>
      <c r="L4629" s="2" t="inlineStr">
        <is>
          <t>https://animator.ru/db/?p=show_film&amp;fid=2246</t>
        </is>
      </c>
      <c r="M4629" s="2">
        <f>HYPERLINK("https://ru.wikipedia.org/w/index.php?search=%D0%9A%D0%BE%D0%B7%D0%BB%D0%B5%D0%BD%D0%BE%D0%BA%2C%20%D0%BA%D0%BE%D1%82%D0%BE%D1%80%D1%8B%D0%B9%20%D1%81%D1%87%D0%B8%D1%82%D0%B0%D0%BB%20%D0%B4%D0%BE%2010%201968%20%D1%84%D0%B8%D0%BB%D1%8C%D0%BC","искать")</f>
        <v/>
      </c>
      <c r="N4629" s="3" t="n"/>
      <c r="O4629" s="2" t="n"/>
      <c r="P4629" s="2" t="n"/>
    </row>
    <row r="4630">
      <c r="A4630" s="2" t="n">
        <v>4629</v>
      </c>
      <c r="B4630" s="2" t="inlineStr">
        <is>
          <t>короткая</t>
        </is>
      </c>
      <c r="C4630" s="2" t="n">
        <v>14393</v>
      </c>
      <c r="D4630" s="3" t="inlineStr">
        <is>
          <t>Дерево гнома</t>
        </is>
      </c>
      <c r="E4630" s="2" t="n">
        <v>1991</v>
      </c>
      <c r="F4630" s="2" t="inlineStr">
        <is>
          <t>мультфильм</t>
        </is>
      </c>
      <c r="G4630" s="2" t="n"/>
      <c r="H4630" s="2" t="n">
        <v>214</v>
      </c>
      <c r="I4630" s="2" t="inlineStr"/>
      <c r="J4630" s="2" t="inlineStr"/>
      <c r="K4630" s="3" t="inlineStr">
        <is>
          <t>Перед Рождеством белые гномики делают из снега и льда белые подарки детям. Но ближе к празднику прдарки и весь сказочный мир гномов обретают цвет, продарки становятся все краше, а жизнь гномиков все ярче. Для детей</t>
        </is>
      </c>
      <c r="L4630" s="2" t="inlineStr">
        <is>
          <t>https://animator.ru/db/?p=show_film&amp;fid=6453</t>
        </is>
      </c>
      <c r="M4630" s="2">
        <f>HYPERLINK("https://ru.wikipedia.org/w/index.php?search=%D0%94%D0%B5%D1%80%D0%B5%D0%B2%D0%BE%20%D0%B3%D0%BD%D0%BE%D0%BC%D0%B0%201991%20%D1%84%D0%B8%D0%BB%D1%8C%D0%BC","искать")</f>
        <v/>
      </c>
      <c r="N4630" s="3" t="n"/>
      <c r="O4630" s="2" t="n"/>
      <c r="P4630" s="2" t="n"/>
    </row>
    <row r="4631">
      <c r="A4631" s="2" t="n">
        <v>4630</v>
      </c>
      <c r="B4631" s="2" t="inlineStr">
        <is>
          <t>короткая</t>
        </is>
      </c>
      <c r="C4631" s="2" t="n">
        <v>7437</v>
      </c>
      <c r="D4631" s="3" t="inlineStr">
        <is>
          <t>Гепард возвращается</t>
        </is>
      </c>
      <c r="E4631" s="2" t="n">
        <v>1985</v>
      </c>
      <c r="F4631" s="2" t="inlineStr">
        <is>
          <t>телефильм</t>
        </is>
      </c>
      <c r="G4631" s="2" t="inlineStr">
        <is>
          <t>"Казахфильм" по заказу Гостелерадио СССР</t>
        </is>
      </c>
      <c r="H4631" s="2" t="n">
        <v>215</v>
      </c>
      <c r="I4631" s="2" t="inlineStr"/>
      <c r="J4631" s="2" t="inlineStr"/>
      <c r="K4631" s="3" t="inlineStr">
        <is>
          <t>Егерь Темирхан находит раненого браконьерами гепарда. Благодаря безграничной любви к животным, терпеливости и настойчивости Темирхана и его внука Али, гепард выживает и возвращается к свободной жизни в родную среду.</t>
        </is>
      </c>
      <c r="L4631" s="2" t="inlineStr">
        <is>
          <t>Кино_СССР сводный каталог.xlsx: список телефильмов</t>
        </is>
      </c>
      <c r="M4631" s="2">
        <f>HYPERLINK("https://ru.wikipedia.org/w/index.php?search=%D0%93%D0%B5%D0%BF%D0%B0%D1%80%D0%B4%20%D0%B2%D0%BE%D0%B7%D0%B2%D1%80%D0%B0%D1%89%D0%B0%D0%B5%D1%82%D1%81%D1%8F%201985%20%D1%84%D0%B8%D0%BB%D1%8C%D0%BC","искать")</f>
        <v/>
      </c>
      <c r="N4631" s="3" t="n"/>
      <c r="O4631" s="2" t="n"/>
      <c r="P4631" s="2" t="n"/>
    </row>
    <row r="4632">
      <c r="A4632" s="2" t="n">
        <v>4631</v>
      </c>
      <c r="B4632" s="2" t="inlineStr">
        <is>
          <t>короткая</t>
        </is>
      </c>
      <c r="C4632" s="2" t="n">
        <v>7800</v>
      </c>
      <c r="D4632" s="3" t="inlineStr">
        <is>
          <t>Лето было только день</t>
        </is>
      </c>
      <c r="E4632" s="2" t="n">
        <v>1980</v>
      </c>
      <c r="F4632" s="2" t="inlineStr">
        <is>
          <t>телефильм</t>
        </is>
      </c>
      <c r="G4632" s="2" t="n"/>
      <c r="H4632" s="2" t="n">
        <v>215</v>
      </c>
      <c r="I4632" s="2" t="inlineStr"/>
      <c r="J4632" s="2" t="inlineStr"/>
      <c r="K4632" s="3" t="inlineStr">
        <is>
          <t>По мотивам повести Р.Эзеры. Героиня фильма, вопреки желанию матери, после окончания школы вышла замуж за лесника, приняв на себя заботу о его сыне и разделив с мужем тяготы жизни в глухом, но прекрасном лесном крае.</t>
        </is>
      </c>
      <c r="L4632" s="2" t="inlineStr">
        <is>
          <t>Кино_СССР сводный каталог.xlsx: список телефильмов</t>
        </is>
      </c>
      <c r="M4632" s="2">
        <f>HYPERLINK("https://ru.wikipedia.org/w/index.php?search=%D0%9B%D0%B5%D1%82%D0%BE%20%D0%B1%D1%8B%D0%BB%D0%BE%20%D1%82%D0%BE%D0%BB%D1%8C%D0%BA%D0%BE%20%D0%B4%D0%B5%D0%BD%D1%8C%201980%20%D1%84%D0%B8%D0%BB%D1%8C%D0%BC","искать")</f>
        <v/>
      </c>
      <c r="N4632" s="3" t="n"/>
      <c r="O4632" s="2" t="n"/>
      <c r="P4632" s="2" t="n"/>
    </row>
    <row r="4633">
      <c r="A4633" s="2" t="n">
        <v>4632</v>
      </c>
      <c r="B4633" s="2" t="inlineStr">
        <is>
          <t>короткая</t>
        </is>
      </c>
      <c r="C4633" s="2" t="n">
        <v>9089</v>
      </c>
      <c r="D4633" s="3" t="inlineStr">
        <is>
          <t>Такие симпатичные волки</t>
        </is>
      </c>
      <c r="E4633" s="2" t="n">
        <v>1975</v>
      </c>
      <c r="F4633" s="2" t="inlineStr">
        <is>
          <t>кинофильм</t>
        </is>
      </c>
      <c r="G4633" s="2" t="n"/>
      <c r="H4633" s="2" t="n">
        <v>215</v>
      </c>
      <c r="I4633" s="2" t="inlineStr"/>
      <c r="J4633" s="2" t="inlineStr"/>
      <c r="K4633" s="3" t="inlineStr">
        <is>
          <t>В школьном лесничестве обнаруживают логово, где живёт волчица с тремя волчатами. В колхозе пропадают овцы и в этом обвиняют волчье семейство. Но юные лесники уверены, что "волк", ворующий овец — один из колхозников.</t>
        </is>
      </c>
      <c r="L4633" s="2" t="inlineStr">
        <is>
          <t>Кино_СССР сводный каталог.xlsx: список фильмов (доп.)</t>
        </is>
      </c>
      <c r="M4633" s="2">
        <f>HYPERLINK("https://ru.wikipedia.org/w/index.php?search=%D0%A2%D0%B0%D0%BA%D0%B8%D0%B5%20%D1%81%D0%B8%D0%BC%D0%BF%D0%B0%D1%82%D0%B8%D1%87%D0%BD%D1%8B%D0%B5%20%D0%B2%D0%BE%D0%BB%D0%BA%D0%B8%201975%20%D1%84%D0%B8%D0%BB%D1%8C%D0%BC","искать")</f>
        <v/>
      </c>
      <c r="N4633" s="3" t="n"/>
      <c r="O4633" s="2" t="n"/>
      <c r="P4633" s="2" t="n"/>
    </row>
    <row r="4634">
      <c r="A4634" s="2" t="n">
        <v>4633</v>
      </c>
      <c r="B4634" s="2" t="inlineStr">
        <is>
          <t>короткая</t>
        </is>
      </c>
      <c r="C4634" s="2" t="n">
        <v>9515</v>
      </c>
      <c r="D4634" s="3" t="inlineStr">
        <is>
          <t>Ночевала тучка золотая</t>
        </is>
      </c>
      <c r="E4634" s="2" t="n">
        <v>1989</v>
      </c>
      <c r="F4634" s="2" t="inlineStr">
        <is>
          <t>кинофильм</t>
        </is>
      </c>
      <c r="G4634" s="2" t="n"/>
      <c r="H4634" s="2" t="n">
        <v>215</v>
      </c>
      <c r="I4634" s="2" t="inlineStr"/>
      <c r="J4634" s="2" t="inlineStr"/>
      <c r="K4634" s="3" t="inlineStr">
        <is>
          <t>Драма по одноимённой повести А. Приставкина. О трагической судьбе двух братьев-сирот, в 1944 вывезенных вместе с другими детдомовцами из подмосковного города на Кавказ, откуда было депортировано чеченское население.</t>
        </is>
      </c>
      <c r="L4634" s="2" t="inlineStr">
        <is>
          <t>Кино_СССР сводный каталог.xlsx: список фильмов (доп.)</t>
        </is>
      </c>
      <c r="M4634" s="2">
        <f>HYPERLINK("https://ru.wikipedia.org/w/index.php?search=%D0%9D%D0%BE%D1%87%D0%B5%D0%B2%D0%B0%D0%BB%D0%B0%20%D1%82%D1%83%D1%87%D0%BA%D0%B0%20%D0%B7%D0%BE%D0%BB%D0%BE%D1%82%D0%B0%D1%8F%201989%20%D1%84%D0%B8%D0%BB%D1%8C%D0%BC","искать")</f>
        <v/>
      </c>
      <c r="N4634" s="3" t="n"/>
      <c r="O4634" s="2" t="n"/>
      <c r="P4634" s="2" t="n"/>
    </row>
    <row r="4635">
      <c r="A4635" s="2" t="n">
        <v>4634</v>
      </c>
      <c r="B4635" s="2" t="inlineStr">
        <is>
          <t>короткая</t>
        </is>
      </c>
      <c r="C4635" s="2" t="n">
        <v>9521</v>
      </c>
      <c r="D4635" s="3" t="inlineStr">
        <is>
          <t>Одинокий охотник</t>
        </is>
      </c>
      <c r="E4635" s="2" t="n">
        <v>1989</v>
      </c>
      <c r="F4635" s="2" t="inlineStr">
        <is>
          <t>кинофильм</t>
        </is>
      </c>
      <c r="G4635" s="2" t="n"/>
      <c r="H4635" s="2" t="n">
        <v>215</v>
      </c>
      <c r="I4635" s="2" t="inlineStr"/>
      <c r="J4635" s="2" t="inlineStr"/>
      <c r="K4635" s="3" t="inlineStr">
        <is>
          <t>მარტოხელა მონადირე Молодую пару накануне свадьбы постигает несчастье: пьяные хулиганы насилуют девушку на глазах у жениха. Семейные отношения после свадьбы не складываются. Груз беспомощности давит, не дает свободы.</t>
        </is>
      </c>
      <c r="L4635" s="2" t="inlineStr">
        <is>
          <t>Кино_СССР сводный каталог.xlsx: список фильмов (доп.)</t>
        </is>
      </c>
      <c r="M4635" s="2">
        <f>HYPERLINK("https://ru.wikipedia.org/w/index.php?search=%D0%9E%D0%B4%D0%B8%D0%BD%D0%BE%D0%BA%D0%B8%D0%B9%20%D0%BE%D1%85%D0%BE%D1%82%D0%BD%D0%B8%D0%BA%201989%20%D1%84%D0%B8%D0%BB%D1%8C%D0%BC","искать")</f>
        <v/>
      </c>
      <c r="N4635" s="3" t="n"/>
      <c r="O4635" s="2" t="n"/>
      <c r="P4635" s="2" t="n"/>
    </row>
    <row r="4636">
      <c r="A4636" s="2" t="n">
        <v>4635</v>
      </c>
      <c r="B4636" s="2" t="inlineStr">
        <is>
          <t>короткая</t>
        </is>
      </c>
      <c r="C4636" s="2" t="n">
        <v>9775</v>
      </c>
      <c r="D4636" s="3" t="inlineStr">
        <is>
          <t>Шутите?</t>
        </is>
      </c>
      <c r="E4636" s="2" t="n">
        <v>1971</v>
      </c>
      <c r="F4636" s="2" t="inlineStr">
        <is>
          <t>кинофильм</t>
        </is>
      </c>
      <c r="G4636" s="2" t="n"/>
      <c r="H4636" s="2" t="n">
        <v>215</v>
      </c>
      <c r="I4636" s="2" t="inlineStr"/>
      <c r="J4636" s="2" t="inlineStr"/>
      <c r="K4636" s="3" t="inlineStr">
        <is>
          <t>Комедийный альманах из трёх новелл: «Иначе мы пропали», «Вандербуль бежит за горизонт» и «Шутите?». Школьники ищут способы сократить уроки, мальчик проверяет свою храбрость, а студенты собирают деревенский фольклор.</t>
        </is>
      </c>
      <c r="L4636" s="2" t="inlineStr">
        <is>
          <t>Кино_СССР сводный каталог.xlsx: список фильмов (доп.)</t>
        </is>
      </c>
      <c r="M4636" s="2">
        <f>HYPERLINK("https://ru.wikipedia.org/w/index.php?search=%D0%A8%D1%83%D1%82%D0%B8%D1%82%D0%B5%3F%201971%20%D1%84%D0%B8%D0%BB%D1%8C%D0%BC","искать")</f>
        <v/>
      </c>
      <c r="N4636" s="3" t="n"/>
      <c r="O4636" s="2" t="n"/>
      <c r="P4636" s="2" t="n"/>
    </row>
    <row r="4637">
      <c r="A4637" s="2" t="n">
        <v>4636</v>
      </c>
      <c r="B4637" s="2" t="inlineStr">
        <is>
          <t>короткая</t>
        </is>
      </c>
      <c r="C4637" s="2" t="n">
        <v>10575</v>
      </c>
      <c r="D4637" s="3" t="inlineStr">
        <is>
          <t>Обратная связь</t>
        </is>
      </c>
      <c r="E4637" s="2" t="n">
        <v>1974</v>
      </c>
      <c r="F4637" s="2" t="inlineStr">
        <is>
          <t>фильм-спектакль</t>
        </is>
      </c>
      <c r="G4637" s="2" t="inlineStr">
        <is>
          <t>Центральное телевидение СССР</t>
        </is>
      </c>
      <c r="H4637" s="2" t="n">
        <v>215</v>
      </c>
      <c r="I4637" s="2" t="inlineStr"/>
      <c r="J4637" s="2" t="inlineStr"/>
      <c r="K4637" s="3" t="inlineStr">
        <is>
          <t>По одноименной комедии польского драматурга Ежи Юрандота.
Сын профессора руководит джазовым ансамблем и сочиняет песни. Отец не понимает увлечения сына, считая, что песни может сочинять кто угодно, и даже компьютер.</t>
        </is>
      </c>
      <c r="L4637" s="2" t="inlineStr">
        <is>
          <t>https://www.kino-teatr.ru/teatr/movie/102300/annot/</t>
        </is>
      </c>
      <c r="M4637" s="2">
        <f>HYPERLINK("https://ru.wikipedia.org/w/index.php?search=%D0%9E%D0%B1%D1%80%D0%B0%D1%82%D0%BD%D0%B0%D1%8F%20%D1%81%D0%B2%D1%8F%D0%B7%D1%8C%201974%20%D1%84%D0%B8%D0%BB%D1%8C%D0%BC","искать")</f>
        <v/>
      </c>
      <c r="N4637" s="3" t="n"/>
      <c r="O4637" s="2" t="n"/>
      <c r="P4637" s="2" t="n"/>
    </row>
    <row r="4638">
      <c r="A4638" s="2" t="n">
        <v>4637</v>
      </c>
      <c r="B4638" s="2" t="inlineStr">
        <is>
          <t>короткая</t>
        </is>
      </c>
      <c r="C4638" s="2" t="n">
        <v>11370</v>
      </c>
      <c r="D4638" s="3" t="inlineStr">
        <is>
          <t>Грустить не надо</t>
        </is>
      </c>
      <c r="E4638" s="2" t="n">
        <v>1985</v>
      </c>
      <c r="F4638" s="2" t="inlineStr">
        <is>
          <t>не игровое</t>
        </is>
      </c>
      <c r="G4638" s="2" t="inlineStr">
        <is>
          <t>Лентелефильм</t>
        </is>
      </c>
      <c r="H4638" s="2" t="n">
        <v>215</v>
      </c>
      <c r="I4638" s="2" t="inlineStr"/>
      <c r="J4638" s="2" t="inlineStr"/>
      <c r="K4638" s="3" t="inlineStr">
        <is>
          <t>Фильм-концерт. В парке на пруду плавают лодки. Хороший день. Сквозь зелень деревьев и кустов светит солнце. К летней эстраде спешат люди. На большом транспаранте надпись:”Сегодня в парке звучат мелодии прошлых лет”.</t>
        </is>
      </c>
      <c r="L4638" s="2" t="inlineStr">
        <is>
          <t>Кино_СССР телефильмы и пропуски включить в базу.xlsx</t>
        </is>
      </c>
      <c r="M4638" s="2">
        <f>HYPERLINK("https://ru.wikipedia.org/w/index.php?search=%D0%93%D1%80%D1%83%D1%81%D1%82%D0%B8%D1%82%D1%8C%20%D0%BD%D0%B5%20%D0%BD%D0%B0%D0%B4%D0%BE%201985%20%D1%84%D0%B8%D0%BB%D1%8C%D0%BC","искать")</f>
        <v/>
      </c>
      <c r="N4638" s="3" t="n"/>
      <c r="O4638" s="2" t="n"/>
      <c r="P4638" s="2" t="n"/>
    </row>
    <row r="4639">
      <c r="A4639" s="2" t="n">
        <v>4638</v>
      </c>
      <c r="B4639" s="2" t="inlineStr">
        <is>
          <t>короткая</t>
        </is>
      </c>
      <c r="C4639" s="2" t="n">
        <v>13500</v>
      </c>
      <c r="D4639" s="3" t="inlineStr">
        <is>
          <t>Бюро находок. ч.2</t>
        </is>
      </c>
      <c r="E4639" s="2" t="n">
        <v>1982</v>
      </c>
      <c r="F4639" s="2" t="inlineStr">
        <is>
          <t>мультфильм</t>
        </is>
      </c>
      <c r="G4639" s="2" t="inlineStr">
        <is>
          <t>СОЮЗТЕЛЕФИЛЬМ</t>
        </is>
      </c>
      <c r="H4639" s="2" t="n">
        <v>215</v>
      </c>
      <c r="I4639" s="2" t="inlineStr"/>
      <c r="J4639" s="2" t="inlineStr"/>
      <c r="K4639" s="3" t="inlineStr">
        <is>
          <t>О приключениях бездомного пса Тишки, который попав в Бюро находок, становится опытным "детективом". В Бюро находок попадает корзина с яйцами. Пес отправляется на поиски мамы-птицы, которая оказывается... крокодилом.</t>
        </is>
      </c>
      <c r="L4639" s="2" t="inlineStr">
        <is>
          <t>2026-10_мультфильмы_список_владельца.xlsx; https://animator.ru/db/?p=show_film&amp;fid=4790</t>
        </is>
      </c>
      <c r="M4639" s="2">
        <f>HYPERLINK("https://ru.wikipedia.org/w/index.php?search=%D0%91%D1%8E%D1%80%D0%BE%20%D0%BD%D0%B0%D1%85%D0%BE%D0%B4%D0%BE%D0%BA.%20%D1%87.2%201982%20%D1%84%D0%B8%D0%BB%D1%8C%D0%BC","искать")</f>
        <v/>
      </c>
      <c r="N4639" s="3" t="n"/>
      <c r="O4639" s="2" t="n"/>
      <c r="P4639" s="2" t="n"/>
    </row>
    <row r="4640">
      <c r="A4640" s="2" t="n">
        <v>4639</v>
      </c>
      <c r="B4640" s="2" t="inlineStr">
        <is>
          <t>короткая</t>
        </is>
      </c>
      <c r="C4640" s="2" t="n">
        <v>7451</v>
      </c>
      <c r="D4640" s="3" t="inlineStr">
        <is>
          <t>Горная станция</t>
        </is>
      </c>
      <c r="E4640" s="2" t="n">
        <v>1974</v>
      </c>
      <c r="F4640" s="2" t="inlineStr">
        <is>
          <t>телефильм</t>
        </is>
      </c>
      <c r="G4640" s="2" t="n"/>
      <c r="H4640" s="2" t="n">
        <v>216</v>
      </c>
      <c r="I4640" s="2" t="inlineStr"/>
      <c r="J4640" s="2" t="inlineStr"/>
      <c r="K4640" s="3" t="inlineStr">
        <is>
          <t>Телефильм. Начальник метеорологической станции Павел Строков, проработавший в горах Таджикистана четверть века, заявляет о возможности возникновения разрушительного селя. Но к его предупреждения не принимают всерьез.</t>
        </is>
      </c>
      <c r="L4640" s="2" t="inlineStr">
        <is>
          <t>Кино_СССР сводный каталог.xlsx: список телефильмов</t>
        </is>
      </c>
      <c r="M4640" s="2">
        <f>HYPERLINK("https://ru.wikipedia.org/w/index.php?search=%D0%93%D0%BE%D1%80%D0%BD%D0%B0%D1%8F%20%D1%81%D1%82%D0%B0%D0%BD%D1%86%D0%B8%D1%8F%201974%20%D1%84%D0%B8%D0%BB%D1%8C%D0%BC","искать")</f>
        <v/>
      </c>
      <c r="N4640" s="3" t="n"/>
      <c r="O4640" s="2" t="n"/>
      <c r="P4640" s="2" t="n"/>
    </row>
    <row r="4641">
      <c r="A4641" s="2" t="n">
        <v>4640</v>
      </c>
      <c r="B4641" s="2" t="inlineStr">
        <is>
          <t>короткая</t>
        </is>
      </c>
      <c r="C4641" s="2" t="n">
        <v>7780</v>
      </c>
      <c r="D4641" s="3" t="inlineStr">
        <is>
          <t>Куда вел след динозавра</t>
        </is>
      </c>
      <c r="E4641" s="2" t="n">
        <v>1987</v>
      </c>
      <c r="F4641" s="2" t="inlineStr">
        <is>
          <t>телефильм</t>
        </is>
      </c>
      <c r="G4641" s="2" t="n"/>
      <c r="H4641" s="2" t="n">
        <v>216</v>
      </c>
      <c r="I4641" s="2" t="inlineStr"/>
      <c r="J4641" s="2" t="inlineStr"/>
      <c r="K4641" s="3" t="inlineStr">
        <is>
          <t>Трое мальчиков и девочка отправились в горы на поиски динозавра. Немало "страшного" встретилось на их пути. В конечном счете загадочные следы привели их к взрослым бездельникам, надеющимся отыскать клад на дне озера.</t>
        </is>
      </c>
      <c r="L4641" s="2" t="inlineStr">
        <is>
          <t>Кино_СССР сводный каталог.xlsx: список телефильмов</t>
        </is>
      </c>
      <c r="M4641" s="2">
        <f>HYPERLINK("https://ru.wikipedia.org/w/index.php?search=%D0%9A%D1%83%D0%B4%D0%B0%20%D0%B2%D0%B5%D0%BB%20%D1%81%D0%BB%D0%B5%D0%B4%20%D0%B4%D0%B8%D0%BD%D0%BE%D0%B7%D0%B0%D0%B2%D1%80%D0%B0%201987%20%D1%84%D0%B8%D0%BB%D1%8C%D0%BC","искать")</f>
        <v/>
      </c>
      <c r="N4641" s="3" t="n"/>
      <c r="O4641" s="2" t="n"/>
      <c r="P4641" s="2" t="n"/>
    </row>
    <row r="4642">
      <c r="A4642" s="2" t="n">
        <v>4641</v>
      </c>
      <c r="B4642" s="2" t="inlineStr">
        <is>
          <t>короткая</t>
        </is>
      </c>
      <c r="C4642" s="2" t="n">
        <v>8588</v>
      </c>
      <c r="D4642" s="3" t="inlineStr">
        <is>
          <t>Эквилибрист</t>
        </is>
      </c>
      <c r="E4642" s="2" t="n">
        <v>1976</v>
      </c>
      <c r="F4642" s="2" t="inlineStr">
        <is>
          <t>телефильм</t>
        </is>
      </c>
      <c r="G4642" s="2" t="n"/>
      <c r="H4642" s="2" t="n">
        <v>216</v>
      </c>
      <c r="I4642" s="2" t="inlineStr"/>
      <c r="J4642" s="2" t="inlineStr"/>
      <c r="K4642" s="3" t="inlineStr">
        <is>
          <t>Телефильм по мотивам повести А.Аронова «Пассажир без билета». Артист цирка Юрий Осташенко, лишившийся во время Великой Отечественной войны руки, приезжает в любимый город и добивается возвращения к любимой профессии.</t>
        </is>
      </c>
      <c r="L4642" s="2" t="inlineStr">
        <is>
          <t>Кино_СССР сводный каталог.xlsx: список телефильмов</t>
        </is>
      </c>
      <c r="M4642" s="2">
        <f>HYPERLINK("https://ru.wikipedia.org/w/index.php?search=%D0%AD%D0%BA%D0%B2%D0%B8%D0%BB%D0%B8%D0%B1%D1%80%D0%B8%D1%81%D1%82%201976%20%D1%84%D0%B8%D0%BB%D1%8C%D0%BC","искать")</f>
        <v/>
      </c>
      <c r="N4642" s="3" t="n"/>
      <c r="O4642" s="2" t="n"/>
      <c r="P4642" s="2" t="n"/>
    </row>
    <row r="4643">
      <c r="A4643" s="2" t="n">
        <v>4642</v>
      </c>
      <c r="B4643" s="2" t="inlineStr">
        <is>
          <t>короткая</t>
        </is>
      </c>
      <c r="C4643" s="2" t="n">
        <v>9020</v>
      </c>
      <c r="D4643" s="3" t="inlineStr">
        <is>
          <t>Роковой выстрел</t>
        </is>
      </c>
      <c r="E4643" s="2" t="n">
        <v>1990</v>
      </c>
      <c r="F4643" s="2" t="inlineStr">
        <is>
          <t>кинофильм</t>
        </is>
      </c>
      <c r="G4643" s="2" t="n"/>
      <c r="H4643" s="2" t="n">
        <v>216</v>
      </c>
      <c r="I4643" s="2" t="inlineStr"/>
      <c r="J4643" s="2" t="inlineStr"/>
      <c r="K4643" s="3" t="inlineStr">
        <is>
          <t>საბედისწერო გასროლა Инкассатор Гаиоз похитил государственные деньги. В дело вступает оперативная группа. По дороге на похищенном автомобиле за рулем соучастница Ирма. Она переворачивает машину с похищенными деньгами.</t>
        </is>
      </c>
      <c r="L4643" s="2" t="inlineStr">
        <is>
          <t>Кино_СССР сводный каталог.xlsx: список фильмов (доп.)</t>
        </is>
      </c>
      <c r="M4643" s="2">
        <f>HYPERLINK("https://ru.wikipedia.org/w/index.php?search=%D0%A0%D0%BE%D0%BA%D0%BE%D0%B2%D0%BE%D0%B9%20%D0%B2%D1%8B%D1%81%D1%82%D1%80%D0%B5%D0%BB%201990%20%D1%84%D0%B8%D0%BB%D1%8C%D0%BC","искать")</f>
        <v/>
      </c>
      <c r="N4643" s="3" t="n"/>
      <c r="O4643" s="2" t="n"/>
      <c r="P4643" s="2" t="n"/>
    </row>
    <row r="4644">
      <c r="A4644" s="2" t="n">
        <v>4643</v>
      </c>
      <c r="B4644" s="2" t="inlineStr">
        <is>
          <t>короткая</t>
        </is>
      </c>
      <c r="C4644" s="2" t="n">
        <v>10748</v>
      </c>
      <c r="D4644" s="3" t="inlineStr">
        <is>
          <t>Истцы и ответчики</t>
        </is>
      </c>
      <c r="E4644" s="2" t="n">
        <v>1978</v>
      </c>
      <c r="F4644" s="2" t="inlineStr">
        <is>
          <t>фильм-спектакль</t>
        </is>
      </c>
      <c r="G4644" s="2" t="inlineStr">
        <is>
          <t>Главная редакция литературно-драматический программ ЦТ</t>
        </is>
      </c>
      <c r="H4644" s="2" t="n">
        <v>216</v>
      </c>
      <c r="I4644" s="2" t="inlineStr"/>
      <c r="J4644" s="2" t="inlineStr"/>
      <c r="K4644" s="3" t="inlineStr">
        <is>
          <t>По пьесе Н.Долининой.
Разбирая дело о разделе квартиры Трофимовых, судья Кавелин помогает им прийти к разумному разрешению конфликта и, может быть впервые, серьезно задумывается о проблемах в своей собственной семье.</t>
        </is>
      </c>
      <c r="L4644" s="2" t="inlineStr">
        <is>
          <t>https://www.kino-teatr.ru/teatr/movie/2781/annot/</t>
        </is>
      </c>
      <c r="M4644" s="2">
        <f>HYPERLINK("https://ru.wikipedia.org/w/index.php?search=%D0%98%D1%81%D1%82%D1%86%D1%8B%20%D0%B8%20%D0%BE%D1%82%D0%B2%D0%B5%D1%82%D1%87%D0%B8%D0%BA%D0%B8%201978%20%D1%84%D0%B8%D0%BB%D1%8C%D0%BC","искать")</f>
        <v/>
      </c>
      <c r="N4644" s="3" t="n"/>
      <c r="O4644" s="2" t="n"/>
      <c r="P4644" s="2" t="n"/>
    </row>
    <row r="4645">
      <c r="A4645" s="2" t="n">
        <v>4644</v>
      </c>
      <c r="B4645" s="2" t="inlineStr">
        <is>
          <t>короткая</t>
        </is>
      </c>
      <c r="C4645" s="2" t="n">
        <v>11440</v>
      </c>
      <c r="D4645" s="3" t="inlineStr">
        <is>
          <t>Гора динозавров</t>
        </is>
      </c>
      <c r="E4645" s="2" t="n">
        <v>1967</v>
      </c>
      <c r="F4645" s="2" t="inlineStr">
        <is>
          <t>мультфильм</t>
        </is>
      </c>
      <c r="G4645" s="2" t="inlineStr">
        <is>
          <t>Союзмультфильм</t>
        </is>
      </c>
      <c r="H4645" s="2" t="n">
        <v>216</v>
      </c>
      <c r="I4645" s="2" t="inlineStr"/>
      <c r="J4645" s="2" t="inlineStr"/>
      <c r="K4645" s="3" t="inlineStr">
        <is>
          <t>Притча о воспитании. Динозавры вымерли потому, что старались слишком надежно защитить своих детенышей. Малыши не учились справляться с трудностями жизни самостоятельно и это погубило весь род динозавров. Для взрослых</t>
        </is>
      </c>
      <c r="L4645" s="2" t="inlineStr">
        <is>
          <t>https://animator.ru/db/?p=show_film&amp;fid=2211</t>
        </is>
      </c>
      <c r="M4645" s="2">
        <f>HYPERLINK("https://ru.wikipedia.org/w/index.php?search=%D0%93%D0%BE%D1%80%D0%B0%20%D0%B4%D0%B8%D0%BD%D0%BE%D0%B7%D0%B0%D0%B2%D1%80%D0%BE%D0%B2%201967%20%D1%84%D0%B8%D0%BB%D1%8C%D0%BC","искать")</f>
        <v/>
      </c>
      <c r="N4645" s="3" t="n"/>
      <c r="O4645" s="2" t="n"/>
      <c r="P4645" s="2" t="n"/>
    </row>
    <row r="4646">
      <c r="A4646" s="2" t="n">
        <v>4645</v>
      </c>
      <c r="B4646" s="2" t="inlineStr">
        <is>
          <t>короткая</t>
        </is>
      </c>
      <c r="C4646" s="2" t="n">
        <v>11566</v>
      </c>
      <c r="D4646" s="3" t="inlineStr">
        <is>
          <t>СОБСТВЕННИК ("Фитиль" N 69)</t>
        </is>
      </c>
      <c r="E4646" s="2" t="n">
        <v>1968</v>
      </c>
      <c r="F4646" s="2" t="inlineStr">
        <is>
          <t>мультфильм</t>
        </is>
      </c>
      <c r="G4646" s="2" t="inlineStr">
        <is>
          <t>Союзмультфильм</t>
        </is>
      </c>
      <c r="H4646" s="2" t="n">
        <v>216</v>
      </c>
      <c r="I4646" s="2" t="inlineStr"/>
      <c r="J4646" s="2" t="inlineStr"/>
      <c r="K4646" s="3" t="inlineStr">
        <is>
          <t>Человек сажает яблоню, ухаживает за ней. Она вырастает. Чтобы никто не мог подойти к деревцу, хозяин обносит его забором. Когда же оказалось, что в заборе-дыра, он срубает яблоню и стволом загораживает дырку в заборе</t>
        </is>
      </c>
      <c r="L4646" s="2" t="inlineStr">
        <is>
          <t>https://gosfilmofond.ru/films/251374/</t>
        </is>
      </c>
      <c r="M4646" s="2">
        <f>HYPERLINK("https://ru.wikipedia.org/w/index.php?search=%D0%A1%D0%9E%D0%91%D0%A1%D0%A2%D0%92%D0%95%D0%9D%D0%9D%D0%98%D0%9A%20%28%22%D0%A4%D0%B8%D1%82%D0%B8%D0%BB%D1%8C%22%20N%2069%29%201968%20%D1%84%D0%B8%D0%BB%D1%8C%D0%BC","искать")</f>
        <v/>
      </c>
      <c r="N4646" s="3" t="n"/>
      <c r="O4646" s="2" t="n"/>
      <c r="P4646" s="2" t="n"/>
    </row>
    <row r="4647">
      <c r="A4647" s="2" t="n">
        <v>4646</v>
      </c>
      <c r="B4647" s="2" t="inlineStr">
        <is>
          <t>короткая</t>
        </is>
      </c>
      <c r="C4647" s="2" t="n">
        <v>13053</v>
      </c>
      <c r="D4647" s="3" t="inlineStr">
        <is>
          <t>Искатель благополучия</t>
        </is>
      </c>
      <c r="E4647" s="2" t="n">
        <v>1978</v>
      </c>
      <c r="F4647" s="2" t="inlineStr">
        <is>
          <t>мультфильм</t>
        </is>
      </c>
      <c r="G4647" s="2" t="inlineStr">
        <is>
          <t>РИЖСКАЯ КИНОСТУДИЯ</t>
        </is>
      </c>
      <c r="H4647" s="2" t="n">
        <v>216</v>
      </c>
      <c r="I4647" s="2" t="inlineStr"/>
      <c r="J4647" s="2" t="inlineStr"/>
      <c r="K4647" s="3" t="inlineStr">
        <is>
          <t>О человеке "без корней", который, гоняясь за удачей, проиграл жизнь. XVI ВКФ, Ленинград 1983 - Второй приз по разделу мультипликационных фмильмов. Госпремия Латв.ССР 1987 года за программу фильмов режиссеру А.Буровсу</t>
        </is>
      </c>
      <c r="L4647" s="2" t="inlineStr">
        <is>
          <t>https://animator.ru/db/?p=show_film&amp;fid=4285</t>
        </is>
      </c>
      <c r="M4647" s="2">
        <f>HYPERLINK("https://ru.wikipedia.org/w/index.php?search=%D0%98%D1%81%D0%BA%D0%B0%D1%82%D0%B5%D0%BB%D1%8C%20%D0%B1%D0%BB%D0%B0%D0%B3%D0%BE%D0%BF%D0%BE%D0%BB%D1%83%D1%87%D0%B8%D1%8F%201978%20%D1%84%D0%B8%D0%BB%D1%8C%D0%BC","искать")</f>
        <v/>
      </c>
      <c r="N4647" s="3" t="n"/>
      <c r="O4647" s="2" t="n"/>
      <c r="P4647" s="2" t="n"/>
    </row>
    <row r="4648">
      <c r="A4648" s="2" t="n">
        <v>4647</v>
      </c>
      <c r="B4648" s="2" t="inlineStr">
        <is>
          <t>короткая</t>
        </is>
      </c>
      <c r="C4648" s="2" t="n">
        <v>13586</v>
      </c>
      <c r="D4648" s="3" t="inlineStr">
        <is>
          <t>Пластилиновая ворона</t>
        </is>
      </c>
      <c r="E4648" s="2" t="n">
        <v>1981</v>
      </c>
      <c r="F4648" s="2" t="inlineStr">
        <is>
          <t>мультфильм</t>
        </is>
      </c>
      <c r="G4648" s="2" t="inlineStr">
        <is>
          <t>ЭКРАН</t>
        </is>
      </c>
      <c r="H4648" s="2" t="n">
        <v>216</v>
      </c>
      <c r="I4648" s="2" t="inlineStr"/>
      <c r="J4648" s="2" t="inlineStr"/>
      <c r="K4648" s="3" t="inlineStr">
        <is>
          <t>Сюжеты: А.Кушнир "Картина" , О.Дриз "Игра"; Э.Успенский "А может, а может..." - новая версия басни о Вороне и Лисице (последняя - в технике пластилиновой анимации)Музыка из мультфильма:А может быть ворона...(5.05 Мб)</t>
        </is>
      </c>
      <c r="L4648" s="2" t="inlineStr">
        <is>
          <t>2026-10_мультфильмы_список_владельца.xlsx; https://animator.ru/db/?p=show_film&amp;fid=4932</t>
        </is>
      </c>
      <c r="M4648" s="2">
        <f>HYPERLINK("https://ru.wikipedia.org/w/index.php?search=%D0%9F%D0%BB%D0%B0%D1%81%D1%82%D0%B8%D0%BB%D0%B8%D0%BD%D0%BE%D0%B2%D0%B0%D1%8F%20%D0%B2%D0%BE%D1%80%D0%BE%D0%BD%D0%B0%201981%20%D1%84%D0%B8%D0%BB%D1%8C%D0%BC","искать")</f>
        <v/>
      </c>
      <c r="N4648" s="3" t="n"/>
      <c r="O4648" s="2" t="n"/>
      <c r="P4648" s="2" t="n"/>
    </row>
    <row r="4649">
      <c r="A4649" s="2" t="n">
        <v>4648</v>
      </c>
      <c r="B4649" s="2" t="inlineStr">
        <is>
          <t>короткая</t>
        </is>
      </c>
      <c r="C4649" s="2" t="n">
        <v>13734</v>
      </c>
      <c r="D4649" s="3" t="inlineStr">
        <is>
          <t>Интервью с котом Леопольдом</t>
        </is>
      </c>
      <c r="E4649" s="2" t="n">
        <v>1984</v>
      </c>
      <c r="F4649" s="2" t="inlineStr">
        <is>
          <t>мультфильм</t>
        </is>
      </c>
      <c r="G4649" s="2" t="inlineStr">
        <is>
          <t>ЭКРАН</t>
        </is>
      </c>
      <c r="H4649" s="2" t="n">
        <v>216</v>
      </c>
      <c r="I4649" s="2" t="inlineStr"/>
      <c r="J4649" s="2" t="inlineStr"/>
      <c r="K4649" s="3" t="inlineStr">
        <is>
          <t>Из цикла фильмов о веселых приключениях доброго кота Леопольда и двух озорных мышат. Кот Леопольд дает интервью. (По заказу Главной редакции музыкальных программ ЦТ для показа в новогодней передаче "Голубой огонек").</t>
        </is>
      </c>
      <c r="L4649" s="2" t="inlineStr">
        <is>
          <t>https://animator.ru/db/?p=show_film&amp;fid=5127</t>
        </is>
      </c>
      <c r="M4649" s="2">
        <f>HYPERLINK("https://ru.wikipedia.org/w/index.php?search=%D0%98%D0%BD%D1%82%D0%B5%D1%80%D0%B2%D1%8C%D1%8E%20%D1%81%20%D0%BA%D0%BE%D1%82%D0%BE%D0%BC%20%D0%9B%D0%B5%D0%BE%D0%BF%D0%BE%D0%BB%D1%8C%D0%B4%D0%BE%D0%BC%201984%20%D1%84%D0%B8%D0%BB%D1%8C%D0%BC","искать")</f>
        <v/>
      </c>
      <c r="N4649" s="3" t="n"/>
      <c r="O4649" s="2" t="n"/>
      <c r="P4649" s="2" t="n"/>
    </row>
    <row r="4650">
      <c r="A4650" s="2" t="n">
        <v>4649</v>
      </c>
      <c r="B4650" s="2" t="inlineStr">
        <is>
          <t>короткая</t>
        </is>
      </c>
      <c r="C4650" s="2" t="n">
        <v>7175</v>
      </c>
      <c r="D4650" s="3" t="inlineStr">
        <is>
          <t>...И снова май!</t>
        </is>
      </c>
      <c r="E4650" s="2" t="n">
        <v>1968</v>
      </c>
      <c r="F4650" s="2" t="inlineStr">
        <is>
          <t>телефильм</t>
        </is>
      </c>
      <c r="G4650" s="2" t="n"/>
      <c r="H4650" s="2" t="n">
        <v>217</v>
      </c>
      <c r="I4650" s="2" t="inlineStr"/>
      <c r="J4650" s="2" t="inlineStr"/>
      <c r="K4650" s="3" t="inlineStr">
        <is>
          <t>Историко-приключенческий телефильм по мотивам повести С. Славича. Действие происходит в Саратове в 1908 году. О том, как группа большевиков в условиях полицейского террора сумела наладить выпуск подпольной литературы.</t>
        </is>
      </c>
      <c r="L4650" s="2" t="inlineStr">
        <is>
          <t>Кино_СССР сводный каталог.xlsx: список телефильмов</t>
        </is>
      </c>
      <c r="M4650" s="2">
        <f>HYPERLINK("https://ru.wikipedia.org/w/index.php?search=...%D0%98%20%D1%81%D0%BD%D0%BE%D0%B2%D0%B0%20%D0%BC%D0%B0%D0%B9%21%201968%20%D1%84%D0%B8%D0%BB%D1%8C%D0%BC","искать")</f>
        <v/>
      </c>
      <c r="N4650" s="3" t="n"/>
      <c r="O4650" s="2" t="n"/>
      <c r="P4650" s="2" t="n"/>
    </row>
    <row r="4651">
      <c r="A4651" s="2" t="n">
        <v>4650</v>
      </c>
      <c r="B4651" s="2" t="inlineStr">
        <is>
          <t>короткая</t>
        </is>
      </c>
      <c r="C4651" s="2" t="n">
        <v>7231</v>
      </c>
      <c r="D4651" s="3" t="inlineStr">
        <is>
          <t>Бабушки надвое сказали...</t>
        </is>
      </c>
      <c r="E4651" s="2" t="n">
        <v>1979</v>
      </c>
      <c r="F4651" s="2" t="inlineStr">
        <is>
          <t>телефильм</t>
        </is>
      </c>
      <c r="G4651" s="2" t="inlineStr">
        <is>
          <t>ТО «Экран»</t>
        </is>
      </c>
      <c r="H4651" s="2" t="n">
        <v>217</v>
      </c>
      <c r="I4651" s="2" t="inlineStr"/>
      <c r="J4651" s="2" t="inlineStr"/>
      <c r="K4651" s="3" t="inlineStr">
        <is>
          <t>О приключениях артистов эстрады Бориса Владимирова и Вадима Тонкова, встретившихся во время гастролей со своими героями, популярными персонажами советской эстрады 70—80-х — Вероникой Маврикиевной и Авдотьей Никитичной</t>
        </is>
      </c>
      <c r="L4651" s="2" t="inlineStr">
        <is>
          <t>Кино_СССР сводный каталог.xlsx: список телефильмов</t>
        </is>
      </c>
      <c r="M4651" s="2">
        <f>HYPERLINK("https://ru.wikipedia.org/w/index.php?search=%D0%91%D0%B0%D0%B1%D1%83%D1%88%D0%BA%D0%B8%20%D0%BD%D0%B0%D0%B4%D0%B2%D0%BE%D0%B5%20%D1%81%D0%BA%D0%B0%D0%B7%D0%B0%D0%BB%D0%B8...%201979%20%D1%84%D0%B8%D0%BB%D1%8C%D0%BC","искать")</f>
        <v/>
      </c>
      <c r="N4651" s="3" t="n"/>
      <c r="O4651" s="2" t="n"/>
      <c r="P4651" s="2" t="n"/>
    </row>
    <row r="4652">
      <c r="A4652" s="2" t="n">
        <v>4651</v>
      </c>
      <c r="B4652" s="2" t="inlineStr">
        <is>
          <t>короткая</t>
        </is>
      </c>
      <c r="C4652" s="2" t="n">
        <v>8164</v>
      </c>
      <c r="D4652" s="3" t="inlineStr">
        <is>
          <t>Портрет мадемуазель Таржи</t>
        </is>
      </c>
      <c r="E4652" s="2" t="n">
        <v>1991</v>
      </c>
      <c r="F4652" s="2" t="inlineStr">
        <is>
          <t>телефильм</t>
        </is>
      </c>
      <c r="G4652" s="2" t="n"/>
      <c r="H4652" s="2" t="n">
        <v>217</v>
      </c>
      <c r="I4652" s="2" t="inlineStr"/>
      <c r="J4652" s="2" t="inlineStr"/>
      <c r="K4652" s="3" t="inlineStr">
        <is>
          <t>Музыкальный водевиль по одноименной пьесе в стихах Ивана Елагина. Действие происходит в Париже в начале ХХ века. О молодых людях, журналисте Жаке и художнике Клоде, которые после многих перипетий находят свое счастье.</t>
        </is>
      </c>
      <c r="L4652" s="2" t="inlineStr">
        <is>
          <t>Кино_СССР сводный каталог.xlsx: список телефильмов</t>
        </is>
      </c>
      <c r="M4652" s="2">
        <f>HYPERLINK("https://ru.wikipedia.org/w/index.php?search=%D0%9F%D0%BE%D1%80%D1%82%D1%80%D0%B5%D1%82%20%D0%BC%D0%B0%D0%B4%D0%B5%D0%BC%D1%83%D0%B0%D0%B7%D0%B5%D0%BB%D1%8C%20%D0%A2%D0%B0%D1%80%D0%B6%D0%B8%201991%20%D1%84%D0%B8%D0%BB%D1%8C%D0%BC","искать")</f>
        <v/>
      </c>
      <c r="N4652" s="3" t="n"/>
      <c r="O4652" s="2" t="n"/>
      <c r="P4652" s="2" t="n"/>
    </row>
    <row r="4653">
      <c r="A4653" s="2" t="n">
        <v>4652</v>
      </c>
      <c r="B4653" s="2" t="inlineStr">
        <is>
          <t>короткая</t>
        </is>
      </c>
      <c r="C4653" s="2" t="n">
        <v>8492</v>
      </c>
      <c r="D4653" s="3" t="inlineStr">
        <is>
          <t>У меня есть лев</t>
        </is>
      </c>
      <c r="E4653" s="2" t="n">
        <v>1975</v>
      </c>
      <c r="F4653" s="2" t="inlineStr">
        <is>
          <t>телефильм</t>
        </is>
      </c>
      <c r="G4653" s="2" t="n"/>
      <c r="H4653" s="2" t="n">
        <v>217</v>
      </c>
      <c r="I4653" s="2" t="inlineStr"/>
      <c r="J4653" s="2" t="inlineStr"/>
      <c r="K4653" s="3" t="inlineStr">
        <is>
          <t>В основе телефильма — реальные факты из жизни семьи бакинского архитектора Берберова, которая в домашних условиях воспитывала льва Кинга. В роли льва — Кинг II, снявшийся также в фильме «Лев ушёл из дома» в 1977 году.</t>
        </is>
      </c>
      <c r="L4653" s="2" t="inlineStr">
        <is>
          <t>Кино_СССР сводный каталог.xlsx: список телефильмов</t>
        </is>
      </c>
      <c r="M4653" s="2">
        <f>HYPERLINK("https://ru.wikipedia.org/w/index.php?search=%D0%A3%20%D0%BC%D0%B5%D0%BD%D1%8F%20%D0%B5%D1%81%D1%82%D1%8C%20%D0%BB%D0%B5%D0%B2%201975%20%D1%84%D0%B8%D0%BB%D1%8C%D0%BC","искать")</f>
        <v/>
      </c>
      <c r="N4653" s="3" t="n"/>
      <c r="O4653" s="2" t="n"/>
      <c r="P4653" s="2" t="n"/>
    </row>
    <row r="4654">
      <c r="A4654" s="2" t="n">
        <v>4653</v>
      </c>
      <c r="B4654" s="2" t="inlineStr">
        <is>
          <t>короткая</t>
        </is>
      </c>
      <c r="C4654" s="2" t="n">
        <v>9537</v>
      </c>
      <c r="D4654" s="3" t="inlineStr">
        <is>
          <t>Очарованный химик</t>
        </is>
      </c>
      <c r="E4654" s="2" t="n">
        <v>1935</v>
      </c>
      <c r="F4654" s="2" t="inlineStr">
        <is>
          <t>кинофильм</t>
        </is>
      </c>
      <c r="G4654" s="2" t="n"/>
      <c r="H4654" s="2" t="n">
        <v>217</v>
      </c>
      <c r="I4654" s="2" t="inlineStr"/>
      <c r="J4654" s="2" t="inlineStr"/>
      <c r="K4654" s="3" t="inlineStr">
        <is>
          <t>Герой картины - молодой чудаковатый инженер, приезжающий на работу в провинцию и изобретающий там "небьющееся стекло". Работа над фильмом велась долго и трудно. В начале 1937 года попытки спасти фильм были прекращены.</t>
        </is>
      </c>
      <c r="L4654" s="2" t="inlineStr">
        <is>
          <t>Кино_СССР сводный каталог.xlsx: список фильмов (доп.)</t>
        </is>
      </c>
      <c r="M4654" s="2">
        <f>HYPERLINK("https://ru.wikipedia.org/w/index.php?search=%D0%9E%D1%87%D0%B0%D1%80%D0%BE%D0%B2%D0%B0%D0%BD%D0%BD%D1%8B%D0%B9%20%D1%85%D0%B8%D0%BC%D0%B8%D0%BA%201935%20%D1%84%D0%B8%D0%BB%D1%8C%D0%BC","искать")</f>
        <v/>
      </c>
      <c r="N4654" s="3" t="n"/>
      <c r="O4654" s="2" t="n"/>
      <c r="P4654" s="2" t="n"/>
    </row>
    <row r="4655">
      <c r="A4655" s="2" t="n">
        <v>4654</v>
      </c>
      <c r="B4655" s="2" t="inlineStr">
        <is>
          <t>короткая</t>
        </is>
      </c>
      <c r="C4655" s="2" t="n">
        <v>10135</v>
      </c>
      <c r="D4655" s="3" t="inlineStr">
        <is>
          <t>Чёрный, как я</t>
        </is>
      </c>
      <c r="E4655" s="2" t="n">
        <v>1964</v>
      </c>
      <c r="F4655" s="2" t="inlineStr">
        <is>
          <t>фильм-спектакль</t>
        </is>
      </c>
      <c r="G4655" s="2" t="inlineStr">
        <is>
          <t>Центральное телевидение</t>
        </is>
      </c>
      <c r="H4655" s="2" t="n">
        <v>217</v>
      </c>
      <c r="I4655" s="2" t="inlineStr"/>
      <c r="J4655" s="2" t="inlineStr"/>
      <c r="K4655" s="3" t="inlineStr">
        <is>
          <t>По одноименной книге американского журналиста Джона Гриффина (1961).
В форме дневника автор описывает свое путешествие по южным штатам США, окрасив кожу в черный цвет, чтобы прочувствовать социальное положение негров.</t>
        </is>
      </c>
      <c r="L4655" s="2" t="inlineStr">
        <is>
          <t>https://www.kino-teatr.ru/teatr/movie/129530/annot/</t>
        </is>
      </c>
      <c r="M4655" s="2">
        <f>HYPERLINK("https://ru.wikipedia.org/w/index.php?search=%D0%A7%D1%91%D1%80%D0%BD%D1%8B%D0%B9%2C%20%D0%BA%D0%B0%D0%BA%20%D1%8F%201964%20%D1%84%D0%B8%D0%BB%D1%8C%D0%BC","искать")</f>
        <v/>
      </c>
      <c r="N4655" s="3" t="n"/>
      <c r="O4655" s="2" t="n"/>
      <c r="P4655" s="2" t="n"/>
    </row>
    <row r="4656">
      <c r="A4656" s="2" t="n">
        <v>4655</v>
      </c>
      <c r="B4656" s="2" t="inlineStr">
        <is>
          <t>короткая</t>
        </is>
      </c>
      <c r="C4656" s="2" t="n">
        <v>12020</v>
      </c>
      <c r="D4656" s="3" t="inlineStr">
        <is>
          <t>Прекрасная Пери</t>
        </is>
      </c>
      <c r="E4656" s="2" t="n">
        <v>1982</v>
      </c>
      <c r="F4656" s="2" t="inlineStr">
        <is>
          <t>мультфильм</t>
        </is>
      </c>
      <c r="G4656" s="2" t="inlineStr">
        <is>
          <t>Союзмультфильм</t>
        </is>
      </c>
      <c r="H4656" s="2" t="n">
        <v>217</v>
      </c>
      <c r="I4656" s="2" t="inlineStr"/>
      <c r="J4656" s="2" t="inlineStr"/>
      <c r="K4656" s="3" t="inlineStr">
        <is>
          <t>Оживает статуя Пери - прекрасной девушки, созданная мастером-столяром. Но ни столяр, ни купец, ни хан не могут завоевать сердце девушки и удержать ее. Она опять превращается в статую, красота должна принадлежать всем.</t>
        </is>
      </c>
      <c r="L4656" s="2" t="inlineStr">
        <is>
          <t>2026-10_мультфильмы_список_владельца.xlsx; https://animator.ru/db/?p=show_film&amp;fid=3134</t>
        </is>
      </c>
      <c r="M4656" s="2">
        <f>HYPERLINK("https://ru.wikipedia.org/w/index.php?search=%D0%9F%D1%80%D0%B5%D0%BA%D1%80%D0%B0%D1%81%D0%BD%D0%B0%D1%8F%20%D0%9F%D0%B5%D1%80%D0%B8%201982%20%D1%84%D0%B8%D0%BB%D1%8C%D0%BC","искать")</f>
        <v/>
      </c>
      <c r="N4656" s="3" t="n"/>
      <c r="O4656" s="2" t="n"/>
      <c r="P4656" s="2" t="n"/>
    </row>
    <row r="4657">
      <c r="A4657" s="2" t="n">
        <v>4656</v>
      </c>
      <c r="B4657" s="2" t="inlineStr">
        <is>
          <t>короткая</t>
        </is>
      </c>
      <c r="C4657" s="2" t="n">
        <v>8931</v>
      </c>
      <c r="D4657" s="3" t="inlineStr">
        <is>
          <t>Плащаница Александра Невского</t>
        </is>
      </c>
      <c r="E4657" s="2" t="n">
        <v>1991</v>
      </c>
      <c r="F4657" s="2" t="inlineStr">
        <is>
          <t>кинофильм</t>
        </is>
      </c>
      <c r="G4657" s="2" t="n"/>
      <c r="H4657" s="2" t="n">
        <v>218</v>
      </c>
      <c r="I4657" s="2" t="inlineStr"/>
      <c r="J4657" s="2" t="inlineStr"/>
      <c r="K4657" s="3" t="inlineStr">
        <is>
          <t>После кражи плащаницы Александра Невского Василию Копылову снится князь, преследующий его с мечом. Освободившись из тюрьмы, Василий решает найти реликвию и вернуть её церкви, не зная, что ему вынесен смертный приговор.</t>
        </is>
      </c>
      <c r="L4657" s="2" t="inlineStr">
        <is>
          <t>Кино_СССР сводный каталог.xlsx: список фильмов (доп.)</t>
        </is>
      </c>
      <c r="M4657" s="2">
        <f>HYPERLINK("https://ru.wikipedia.org/w/index.php?search=%D0%9F%D0%BB%D0%B0%D1%89%D0%B0%D0%BD%D0%B8%D1%86%D0%B0%20%D0%90%D0%BB%D0%B5%D0%BA%D1%81%D0%B0%D0%BD%D0%B4%D1%80%D0%B0%20%D0%9D%D0%B5%D0%B2%D1%81%D0%BA%D0%BE%D0%B3%D0%BE%201991%20%D1%84%D0%B8%D0%BB%D1%8C%D0%BC","искать")</f>
        <v/>
      </c>
      <c r="N4657" s="3" t="n"/>
      <c r="O4657" s="2" t="n"/>
      <c r="P4657" s="2" t="n"/>
    </row>
    <row r="4658">
      <c r="A4658" s="2" t="n">
        <v>4657</v>
      </c>
      <c r="B4658" s="2" t="inlineStr">
        <is>
          <t>короткая</t>
        </is>
      </c>
      <c r="C4658" s="2" t="n">
        <v>9154</v>
      </c>
      <c r="D4658" s="3" t="inlineStr">
        <is>
          <t>Чегери</t>
        </is>
      </c>
      <c r="E4658" s="2" t="n">
        <v>1980</v>
      </c>
      <c r="F4658" s="2" t="inlineStr">
        <is>
          <t>кинофильм</t>
        </is>
      </c>
      <c r="G4658" s="2" t="n"/>
      <c r="H4658" s="2" t="n">
        <v>218</v>
      </c>
      <c r="I4658" s="2" t="inlineStr"/>
      <c r="J4658" s="2" t="inlineStr"/>
      <c r="K4658" s="3" t="inlineStr">
        <is>
          <t>По одноименной повести Ахмедхана Абу-Бакара. Молодой агроном Самур мечтает вывести новый скороспелый сорт кукурузы. Несмотря на трудности и комические ситуации, ему не только удается задуманное, он находит свою любовь.</t>
        </is>
      </c>
      <c r="L4658" s="2" t="inlineStr">
        <is>
          <t>Кино_СССР сводный каталог.xlsx: список фильмов (доп.)</t>
        </is>
      </c>
      <c r="M4658" s="2">
        <f>HYPERLINK("https://ru.wikipedia.org/w/index.php?search=%D0%A7%D0%B5%D0%B3%D0%B5%D1%80%D0%B8%201980%20%D1%84%D0%B8%D0%BB%D1%8C%D0%BC","искать")</f>
        <v/>
      </c>
      <c r="N4658" s="3" t="n"/>
      <c r="O4658" s="2" t="n"/>
      <c r="P4658" s="2" t="n"/>
    </row>
    <row r="4659">
      <c r="A4659" s="2" t="n">
        <v>4658</v>
      </c>
      <c r="B4659" s="2" t="inlineStr">
        <is>
          <t>короткая</t>
        </is>
      </c>
      <c r="C4659" s="2" t="n">
        <v>10816</v>
      </c>
      <c r="D4659" s="3" t="inlineStr">
        <is>
          <t>Повесть об одной любви</t>
        </is>
      </c>
      <c r="E4659" s="2" t="n">
        <v>1979</v>
      </c>
      <c r="F4659" s="2" t="inlineStr">
        <is>
          <t>фильм-спектакль</t>
        </is>
      </c>
      <c r="G4659" s="2" t="inlineStr">
        <is>
          <t>Центральное телевидение</t>
        </is>
      </c>
      <c r="H4659" s="2" t="n">
        <v>218</v>
      </c>
      <c r="I4659" s="2" t="inlineStr"/>
      <c r="J4659" s="2" t="inlineStr"/>
      <c r="K4659" s="3" t="inlineStr">
        <is>
          <t>По одноименной повести А.Тоболяка в постановке московского драматического театра им. Станиславского. О молодоженах Сергее и Кате, которые уезжают работать на Север; о том, как любовь помогает им преодолевать трудности.</t>
        </is>
      </c>
      <c r="L4659" s="2" t="inlineStr">
        <is>
          <t>https://www.kino-teatr.ru/teatr/movie/93020/annot/</t>
        </is>
      </c>
      <c r="M4659" s="2">
        <f>HYPERLINK("https://ru.wikipedia.org/w/index.php?search=%D0%9F%D0%BE%D0%B2%D0%B5%D1%81%D1%82%D1%8C%20%D0%BE%D0%B1%20%D0%BE%D0%B4%D0%BD%D0%BE%D0%B9%20%D0%BB%D1%8E%D0%B1%D0%B2%D0%B8%201979%20%D1%84%D0%B8%D0%BB%D1%8C%D0%BC","искать")</f>
        <v/>
      </c>
      <c r="N4659" s="3" t="n"/>
      <c r="O4659" s="2" t="n"/>
      <c r="P4659" s="2" t="n"/>
    </row>
    <row r="4660">
      <c r="A4660" s="2" t="n">
        <v>4659</v>
      </c>
      <c r="B4660" s="2" t="inlineStr">
        <is>
          <t>короткая</t>
        </is>
      </c>
      <c r="C4660" s="2" t="n">
        <v>11045</v>
      </c>
      <c r="D4660" s="3" t="inlineStr">
        <is>
          <t>Чинарский манифест</t>
        </is>
      </c>
      <c r="E4660" s="2" t="n">
        <v>1984</v>
      </c>
      <c r="F4660" s="2" t="inlineStr">
        <is>
          <t>фильм-спектакль</t>
        </is>
      </c>
      <c r="G4660" s="2" t="n"/>
      <c r="H4660" s="2" t="n">
        <v>218</v>
      </c>
      <c r="I4660" s="2" t="inlineStr"/>
      <c r="J4660" s="2" t="inlineStr"/>
      <c r="K4660" s="3" t="inlineStr">
        <is>
          <t>Спектакль Шекинского драматического театра по одноименной пьесе А.Чхеидзе.
После того, как в колхозе сменилось семь председателей, Бадри Ломидзе пришёл к секретарю райкома партии с просьбой назначить его председателем.</t>
        </is>
      </c>
      <c r="L4660" s="2" t="inlineStr">
        <is>
          <t>https://www.kino-teatr.ru/teatr/movie/178715/annot/</t>
        </is>
      </c>
      <c r="M4660" s="2">
        <f>HYPERLINK("https://ru.wikipedia.org/w/index.php?search=%D0%A7%D0%B8%D0%BD%D0%B0%D1%80%D1%81%D0%BA%D0%B8%D0%B9%20%D0%BC%D0%B0%D0%BD%D0%B8%D1%84%D0%B5%D1%81%D1%82%201984%20%D1%84%D0%B8%D0%BB%D1%8C%D0%BC","искать")</f>
        <v/>
      </c>
      <c r="N4660" s="3" t="n"/>
      <c r="O4660" s="2" t="n"/>
      <c r="P4660" s="2" t="n"/>
    </row>
    <row r="4661">
      <c r="A4661" s="2" t="n">
        <v>4660</v>
      </c>
      <c r="B4661" s="2" t="inlineStr">
        <is>
          <t>короткая</t>
        </is>
      </c>
      <c r="C4661" s="2" t="n">
        <v>12225</v>
      </c>
      <c r="D4661" s="3" t="inlineStr">
        <is>
          <t>Про верблюжонка</t>
        </is>
      </c>
      <c r="E4661" s="2" t="n">
        <v>1987</v>
      </c>
      <c r="F4661" s="2" t="inlineStr">
        <is>
          <t>мультфильм</t>
        </is>
      </c>
      <c r="G4661" s="2" t="inlineStr">
        <is>
          <t>Союзмультфильм</t>
        </is>
      </c>
      <c r="H4661" s="2" t="n">
        <v>218</v>
      </c>
      <c r="I4661" s="2" t="inlineStr"/>
      <c r="J4661" s="2" t="inlineStr"/>
      <c r="K4661" s="3" t="inlineStr">
        <is>
          <t>Это история о том, как однажды на космодроме Байконур был остановлен запуск ракеты, чтобы спасти верблюжонка, попавшего в опасную зону. В картине найдено интересное сочетание мультипликационных и документальных кадров.</t>
        </is>
      </c>
      <c r="L4661" s="2" t="inlineStr">
        <is>
          <t>https://animator.ru/db/?p=show_film&amp;fid=3342</t>
        </is>
      </c>
      <c r="M4661" s="2">
        <f>HYPERLINK("https://ru.wikipedia.org/w/index.php?search=%D0%9F%D1%80%D0%BE%20%D0%B2%D0%B5%D1%80%D0%B1%D0%BB%D1%8E%D0%B6%D0%BE%D0%BD%D0%BA%D0%B0%201987%20%D1%84%D0%B8%D0%BB%D1%8C%D0%BC","искать")</f>
        <v/>
      </c>
      <c r="N4661" s="3" t="n"/>
      <c r="O4661" s="2" t="n"/>
      <c r="P4661" s="2" t="n"/>
    </row>
    <row r="4662">
      <c r="A4662" s="2" t="n">
        <v>4661</v>
      </c>
      <c r="B4662" s="2" t="inlineStr">
        <is>
          <t>короткая</t>
        </is>
      </c>
      <c r="C4662" s="2" t="n">
        <v>14343</v>
      </c>
      <c r="D4662" s="3" t="inlineStr">
        <is>
          <t>Путч</t>
        </is>
      </c>
      <c r="E4662" s="2" t="n">
        <v>1991</v>
      </c>
      <c r="F4662" s="2" t="inlineStr">
        <is>
          <t>мультфильм</t>
        </is>
      </c>
      <c r="G4662" s="2" t="inlineStr">
        <is>
          <t>Пилот</t>
        </is>
      </c>
      <c r="H4662" s="2" t="n">
        <v>218</v>
      </c>
      <c r="I4662" s="2" t="inlineStr"/>
      <c r="J4662" s="2" t="inlineStr"/>
      <c r="K4662" s="3" t="inlineStr">
        <is>
          <t>Трагические события августа 1991 года, переданные в присущей российскому народу анекдотический форме. Авторы фильма были участниками событий, защищая Белый дом, и уже вечером 21 августа приступили к работе над картиной</t>
        </is>
      </c>
      <c r="L4662" s="2" t="inlineStr">
        <is>
          <t>https://gosfilmofond.ru/films/256009/</t>
        </is>
      </c>
      <c r="M4662" s="2">
        <f>HYPERLINK("https://ru.wikipedia.org/w/index.php?search=%D0%9F%D1%83%D1%82%D1%87%201991%20%D1%84%D0%B8%D0%BB%D1%8C%D0%BC","искать")</f>
        <v/>
      </c>
      <c r="N4662" s="3" t="n"/>
      <c r="O4662" s="2" t="n"/>
      <c r="P4662" s="2" t="n"/>
    </row>
    <row r="4663">
      <c r="A4663" s="2" t="n">
        <v>4662</v>
      </c>
      <c r="B4663" s="2" t="inlineStr">
        <is>
          <t>короткая</t>
        </is>
      </c>
      <c r="C4663" s="2" t="n">
        <v>9123</v>
      </c>
      <c r="D4663" s="3" t="inlineStr">
        <is>
          <t>Удержись в седле</t>
        </is>
      </c>
      <c r="E4663" s="2" t="n">
        <v>1987</v>
      </c>
      <c r="F4663" s="2" t="inlineStr">
        <is>
          <t>кинофильм</t>
        </is>
      </c>
      <c r="G4663" s="2" t="n"/>
      <c r="H4663" s="2" t="n">
        <v>219</v>
      </c>
      <c r="I4663" s="2" t="inlineStr"/>
      <c r="J4663" s="2" t="inlineStr"/>
      <c r="K4663" s="3" t="inlineStr">
        <is>
          <t>Мальчик Нурдин провел летние каникулы в горах у деда-табунщика. Он научился ездить верхом, участвовал в скачках, проявил смелость, отправившись с местными ребятами в пещеру за мумие, чтобы вылечить заболевшего товарища.</t>
        </is>
      </c>
      <c r="L4663" s="2" t="inlineStr">
        <is>
          <t>Кино_СССР сводный каталог.xlsx: список фильмов (доп.)</t>
        </is>
      </c>
      <c r="M4663" s="2">
        <f>HYPERLINK("https://ru.wikipedia.org/w/index.php?search=%D0%A3%D0%B4%D0%B5%D1%80%D0%B6%D0%B8%D1%81%D1%8C%20%D0%B2%20%D1%81%D0%B5%D0%B4%D0%BB%D0%B5%201987%20%D1%84%D0%B8%D0%BB%D1%8C%D0%BC","искать")</f>
        <v/>
      </c>
      <c r="N4663" s="3" t="n"/>
      <c r="O4663" s="2" t="n"/>
      <c r="P4663" s="2" t="n"/>
    </row>
    <row r="4664">
      <c r="A4664" s="2" t="n">
        <v>4663</v>
      </c>
      <c r="B4664" s="2" t="inlineStr">
        <is>
          <t>короткая</t>
        </is>
      </c>
      <c r="C4664" s="2" t="n">
        <v>9400</v>
      </c>
      <c r="D4664" s="3" t="inlineStr">
        <is>
          <t>История одной бильярдной команды</t>
        </is>
      </c>
      <c r="E4664" s="2" t="n">
        <v>1988</v>
      </c>
      <c r="F4664" s="2" t="inlineStr">
        <is>
          <t>кинофильм</t>
        </is>
      </c>
      <c r="G4664" s="2" t="n"/>
      <c r="H4664" s="2" t="n">
        <v>219</v>
      </c>
      <c r="I4664" s="2" t="inlineStr"/>
      <c r="J4664" s="2" t="inlineStr"/>
      <c r="K4664" s="3" t="inlineStr">
        <is>
          <t>Действие этой притчи происходит в обусловленном месте условного государства, куда попадает ссыльный Пачо. Герой делает все для того, чтобы уберечь еще целомудренное население от тлетворного влияния общества потребления.</t>
        </is>
      </c>
      <c r="L4664" s="2" t="inlineStr">
        <is>
          <t>Кино_СССР сводный каталог.xlsx: список фильмов (доп.)</t>
        </is>
      </c>
      <c r="M4664" s="2">
        <f>HYPERLINK("https://ru.wikipedia.org/w/index.php?search=%D0%98%D1%81%D1%82%D0%BE%D1%80%D0%B8%D1%8F%20%D0%BE%D0%B4%D0%BD%D0%BE%D0%B9%20%D0%B1%D0%B8%D0%BB%D1%8C%D1%8F%D1%80%D0%B4%D0%BD%D0%BE%D0%B9%20%D0%BA%D0%BE%D0%BC%D0%B0%D0%BD%D0%B4%D1%8B%201988%20%D1%84%D0%B8%D0%BB%D1%8C%D0%BC","искать")</f>
        <v/>
      </c>
      <c r="N4664" s="3" t="n"/>
      <c r="O4664" s="2" t="n"/>
      <c r="P4664" s="2" t="n"/>
    </row>
    <row r="4665">
      <c r="A4665" s="2" t="n">
        <v>4664</v>
      </c>
      <c r="B4665" s="2" t="inlineStr">
        <is>
          <t>короткая</t>
        </is>
      </c>
      <c r="C4665" s="2" t="n">
        <v>10048</v>
      </c>
      <c r="D4665" s="3" t="inlineStr">
        <is>
          <t>Каждому своё</t>
        </is>
      </c>
      <c r="E4665" s="2" t="n">
        <v>1990</v>
      </c>
      <c r="F4665" s="2" t="inlineStr">
        <is>
          <t>кинофильм</t>
        </is>
      </c>
      <c r="G4665" s="2" t="inlineStr">
        <is>
          <t>Таллиннфильм</t>
        </is>
      </c>
      <c r="H4665" s="2" t="n">
        <v>219</v>
      </c>
      <c r="I4665" s="2" t="inlineStr"/>
      <c r="J4665" s="2" t="inlineStr"/>
      <c r="K4665" s="3" t="inlineStr">
        <is>
          <t>Эстония в бурную эпоху перемен. Гражданин А, скромный нерешительный человек, с большим трудом и внутренним страхом вписывается в изменившееся реалии окружающего мира. И постоянно попадает в различные абсурдные ситуации.</t>
        </is>
      </c>
      <c r="L4665" s="2" t="inlineStr">
        <is>
          <t>https://www.kino-teatr.ru/short/movie/sov/102373/annot/</t>
        </is>
      </c>
      <c r="M4665" s="2">
        <f>HYPERLINK("https://ru.wikipedia.org/w/index.php?search=%D0%9A%D0%B0%D0%B6%D0%B4%D0%BE%D0%BC%D1%83%20%D1%81%D0%B2%D0%BE%D1%91%201990%20%D1%84%D0%B8%D0%BB%D1%8C%D0%BC","искать")</f>
        <v/>
      </c>
      <c r="N4665" s="3" t="n"/>
      <c r="O4665" s="2" t="n"/>
      <c r="P4665" s="2" t="n"/>
    </row>
    <row r="4666">
      <c r="A4666" s="2" t="n">
        <v>4665</v>
      </c>
      <c r="B4666" s="2" t="inlineStr">
        <is>
          <t>короткая</t>
        </is>
      </c>
      <c r="C4666" s="2" t="n">
        <v>10130</v>
      </c>
      <c r="D4666" s="3" t="inlineStr">
        <is>
          <t>Соучастие в убийстве</t>
        </is>
      </c>
      <c r="E4666" s="2" t="n">
        <v>1964</v>
      </c>
      <c r="F4666" s="2" t="inlineStr">
        <is>
          <t>фильм-спектакль</t>
        </is>
      </c>
      <c r="G4666" s="2" t="inlineStr">
        <is>
          <t>Главная редакция литературно-драматических программ</t>
        </is>
      </c>
      <c r="H4666" s="2" t="n">
        <v>219</v>
      </c>
      <c r="I4666" s="2" t="inlineStr"/>
      <c r="J4666" s="2" t="inlineStr"/>
      <c r="K4666" s="3" t="inlineStr">
        <is>
          <t>По одноименному роману Джуды Уотена в постановке Театра им. Е. Вахтангова.
Бет Тайсон убита в своем особняке. Старший инспектор Филдс, инспектор Брамелл и сыщик Филберт представляют три разные версии этого преступления.</t>
        </is>
      </c>
      <c r="L4666" s="2" t="inlineStr">
        <is>
          <t>https://www.kino-teatr.ru/teatr/movie/81580/annot/</t>
        </is>
      </c>
      <c r="M4666" s="2">
        <f>HYPERLINK("https://ru.wikipedia.org/w/index.php?search=%D0%A1%D0%BE%D1%83%D1%87%D0%B0%D1%81%D1%82%D0%B8%D0%B5%20%D0%B2%20%D1%83%D0%B1%D0%B8%D0%B9%D1%81%D1%82%D0%B2%D0%B5%201964%20%D1%84%D0%B8%D0%BB%D1%8C%D0%BC","искать")</f>
        <v/>
      </c>
      <c r="N4666" s="3" t="n"/>
      <c r="O4666" s="2" t="n"/>
      <c r="P4666" s="2" t="n"/>
    </row>
    <row r="4667">
      <c r="A4667" s="2" t="n">
        <v>4666</v>
      </c>
      <c r="B4667" s="2" t="inlineStr">
        <is>
          <t>короткая</t>
        </is>
      </c>
      <c r="C4667" s="2" t="n">
        <v>7619</v>
      </c>
      <c r="D4667" s="3" t="inlineStr">
        <is>
          <t>Завещание старого мастера</t>
        </is>
      </c>
      <c r="E4667" s="2" t="n">
        <v>1972</v>
      </c>
      <c r="F4667" s="2" t="inlineStr">
        <is>
          <t>телефильм</t>
        </is>
      </c>
      <c r="G4667" s="2" t="n"/>
      <c r="H4667" s="2" t="n">
        <v>220</v>
      </c>
      <c r="I4667" s="2" t="inlineStr"/>
      <c r="J4667" s="2" t="inlineStr"/>
      <c r="K4667" s="3" t="inlineStr">
        <is>
          <t>По повестям Камила Икрамова «Улица оружейников» и «Круглая печать». Школьники находят старую тетрадь, которую их учитель унаследовал от деда. История находки знакомит детей с прошлым его семьи и революционными событиями.</t>
        </is>
      </c>
      <c r="L4667" s="2" t="inlineStr">
        <is>
          <t>Кино_СССР сводный каталог.xlsx: список телефильмов</t>
        </is>
      </c>
      <c r="M4667" s="2">
        <f>HYPERLINK("https://ru.wikipedia.org/w/index.php?search=%D0%97%D0%B0%D0%B2%D0%B5%D1%89%D0%B0%D0%BD%D0%B8%D0%B5%20%D1%81%D1%82%D0%B0%D1%80%D0%BE%D0%B3%D0%BE%20%D0%BC%D0%B0%D1%81%D1%82%D0%B5%D1%80%D0%B0%201972%20%D1%84%D0%B8%D0%BB%D1%8C%D0%BC","искать")</f>
        <v/>
      </c>
      <c r="N4667" s="3" t="n"/>
      <c r="O4667" s="2" t="n"/>
      <c r="P4667" s="2" t="n"/>
    </row>
    <row r="4668">
      <c r="A4668" s="2" t="n">
        <v>4667</v>
      </c>
      <c r="B4668" s="2" t="inlineStr">
        <is>
          <t>короткая</t>
        </is>
      </c>
      <c r="C4668" s="2" t="n">
        <v>8084</v>
      </c>
      <c r="D4668" s="3" t="inlineStr">
        <is>
          <t>Певучая Россия</t>
        </is>
      </c>
      <c r="E4668" s="2" t="n">
        <v>1986</v>
      </c>
      <c r="F4668" s="2" t="inlineStr">
        <is>
          <t>телефильм</t>
        </is>
      </c>
      <c r="G4668" s="2" t="n"/>
      <c r="H4668" s="2" t="n">
        <v>220</v>
      </c>
      <c r="I4668" s="2" t="inlineStr"/>
      <c r="J4668" s="2" t="inlineStr"/>
      <c r="K4668" s="3" t="inlineStr">
        <is>
          <t>Фильм рассказывает об основателе первого русского крестьянского хора М. Е. Пятницком, о его жизни, трагической любви и других фактах биографии. В картине нашла отражение музыкальная жизнь России дореволюционного периода.</t>
        </is>
      </c>
      <c r="L4668" s="2" t="inlineStr">
        <is>
          <t>Кино_СССР сводный каталог.xlsx: список телефильмов</t>
        </is>
      </c>
      <c r="M4668" s="2">
        <f>HYPERLINK("https://ru.wikipedia.org/w/index.php?search=%D0%9F%D0%B5%D0%B2%D1%83%D1%87%D0%B0%D1%8F%20%D0%A0%D0%BE%D1%81%D1%81%D0%B8%D1%8F%201986%20%D1%84%D0%B8%D0%BB%D1%8C%D0%BC","искать")</f>
        <v/>
      </c>
      <c r="N4668" s="3" t="n"/>
      <c r="O4668" s="2" t="n"/>
      <c r="P4668" s="2" t="n"/>
    </row>
    <row r="4669">
      <c r="A4669" s="2" t="n">
        <v>4668</v>
      </c>
      <c r="B4669" s="2" t="inlineStr">
        <is>
          <t>короткая</t>
        </is>
      </c>
      <c r="C4669" s="2" t="n">
        <v>9431</v>
      </c>
      <c r="D4669" s="3" t="inlineStr">
        <is>
          <t>Конец Нахаловки</t>
        </is>
      </c>
      <c r="E4669" s="2" t="n">
        <v>1931</v>
      </c>
      <c r="F4669" s="2" t="inlineStr">
        <is>
          <t>кинофильм</t>
        </is>
      </c>
      <c r="G4669" s="2" t="n"/>
      <c r="H4669" s="2" t="n">
        <v>220</v>
      </c>
      <c r="I4669" s="2" t="inlineStr"/>
      <c r="J4669" s="2" t="inlineStr"/>
      <c r="K4669" s="3" t="inlineStr">
        <is>
          <t>О борьбе передовых рабочих, посланцев Ленинграда, за превращение отстающей текстильной фабрики в передовое социалистическое предприятие. В фильме снимались непрофессионалы: имена в титрах не указаны. Фильм не сохранился.</t>
        </is>
      </c>
      <c r="L4669" s="2" t="inlineStr">
        <is>
          <t>Кино_СССР сводный каталог.xlsx: список фильмов (доп.)</t>
        </is>
      </c>
      <c r="M4669" s="2">
        <f>HYPERLINK("https://ru.wikipedia.org/w/index.php?search=%D0%9A%D0%BE%D0%BD%D0%B5%D1%86%20%D0%9D%D0%B0%D1%85%D0%B0%D0%BB%D0%BE%D0%B2%D0%BA%D0%B8%201931%20%D1%84%D0%B8%D0%BB%D1%8C%D0%BC","искать")</f>
        <v/>
      </c>
      <c r="N4669" s="3" t="n"/>
      <c r="O4669" s="2" t="n"/>
      <c r="P4669" s="2" t="n"/>
    </row>
    <row r="4670">
      <c r="A4670" s="2" t="n">
        <v>4669</v>
      </c>
      <c r="B4670" s="2" t="inlineStr">
        <is>
          <t>короткая</t>
        </is>
      </c>
      <c r="C4670" s="2" t="n">
        <v>10237</v>
      </c>
      <c r="D4670" s="3" t="inlineStr">
        <is>
          <t>Возвращение</t>
        </is>
      </c>
      <c r="E4670" s="2" t="n">
        <v>1968</v>
      </c>
      <c r="F4670" s="2" t="inlineStr">
        <is>
          <t>фильм-спектакль</t>
        </is>
      </c>
      <c r="G4670" s="2" t="inlineStr">
        <is>
          <t>Главная редакция лит-драматических программ</t>
        </is>
      </c>
      <c r="H4670" s="2" t="n">
        <v>220</v>
      </c>
      <c r="I4670" s="2" t="inlineStr"/>
      <c r="J4670" s="2" t="inlineStr"/>
      <c r="K4670" s="3" t="inlineStr">
        <is>
          <t>По одноименному рассказу А.Платонова в постановке Академического театра им. Евгения Вахтангова.
Вернулся солдат после окончания войны домой. И теперь нужно заново привыкать к мирной жизни, жене, детям, выросшим без него.</t>
        </is>
      </c>
      <c r="L4670" s="2" t="inlineStr">
        <is>
          <t>https://www.kino-teatr.ru/teatr/movie/81521/annot/</t>
        </is>
      </c>
      <c r="M4670" s="2">
        <f>HYPERLINK("https://ru.wikipedia.org/w/index.php?search=%D0%92%D0%BE%D0%B7%D0%B2%D1%80%D0%B0%D1%89%D0%B5%D0%BD%D0%B8%D0%B5%201968%20%D1%84%D0%B8%D0%BB%D1%8C%D0%BC","искать")</f>
        <v/>
      </c>
      <c r="N4670" s="3" t="n"/>
      <c r="O4670" s="2" t="n"/>
      <c r="P4670" s="2" t="n"/>
    </row>
    <row r="4671">
      <c r="A4671" s="2" t="n">
        <v>4670</v>
      </c>
      <c r="B4671" s="2" t="inlineStr">
        <is>
          <t>короткая</t>
        </is>
      </c>
      <c r="C4671" s="2" t="n">
        <v>10667</v>
      </c>
      <c r="D4671" s="3" t="inlineStr">
        <is>
          <t>Признание</t>
        </is>
      </c>
      <c r="E4671" s="2" t="n">
        <v>1976</v>
      </c>
      <c r="F4671" s="2" t="inlineStr">
        <is>
          <t>фильм-спектакль</t>
        </is>
      </c>
      <c r="G4671" s="2" t="inlineStr">
        <is>
          <t>Гл. ред. лит-драм программ, Подборки фильмов, фильмы о Ленине</t>
        </is>
      </c>
      <c r="H4671" s="2" t="n">
        <v>220</v>
      </c>
      <c r="I4671" s="2" t="inlineStr"/>
      <c r="J4671" s="2" t="inlineStr"/>
      <c r="K4671" s="3" t="inlineStr">
        <is>
          <t>По одноименной пьесе С.Дангулова в постановке Государственного академического Малого театра. Действие происходит в первые месяцы после Октябрьской революции. О борьбе Ленина за международное признание молодой республики.</t>
        </is>
      </c>
      <c r="L4671" s="2" t="inlineStr">
        <is>
          <t>https://www.kino-teatr.ru/teatr/movie/81152/annot/</t>
        </is>
      </c>
      <c r="M4671" s="2">
        <f>HYPERLINK("https://ru.wikipedia.org/w/index.php?search=%D0%9F%D1%80%D0%B8%D0%B7%D0%BD%D0%B0%D0%BD%D0%B8%D0%B5%201976%20%D1%84%D0%B8%D0%BB%D1%8C%D0%BC","искать")</f>
        <v/>
      </c>
      <c r="N4671" s="3" t="n"/>
      <c r="O4671" s="2" t="n"/>
      <c r="P4671" s="2" t="n"/>
    </row>
    <row r="4672">
      <c r="A4672" s="2" t="n">
        <v>4671</v>
      </c>
      <c r="B4672" s="2" t="inlineStr">
        <is>
          <t>короткая</t>
        </is>
      </c>
      <c r="C4672" s="2" t="n">
        <v>10796</v>
      </c>
      <c r="D4672" s="3" t="inlineStr">
        <is>
          <t>Возвращение на круги своя</t>
        </is>
      </c>
      <c r="E4672" s="2" t="n">
        <v>1979</v>
      </c>
      <c r="F4672" s="2" t="inlineStr">
        <is>
          <t>фильм-спектакль</t>
        </is>
      </c>
      <c r="G4672" s="2" t="n"/>
      <c r="H4672" s="2" t="n">
        <v>220</v>
      </c>
      <c r="I4672" s="2" t="inlineStr"/>
      <c r="J4672" s="2" t="inlineStr"/>
      <c r="K4672" s="3" t="inlineStr">
        <is>
          <t>Спектакль Малого театра по произведению Иона Друце.
Запись 1979 года. Постановка Бориса Равенских.
О последнем годе жизни Льва Николаевича Толстого, разногласиях в семье, конфликтах с детьми и женой, о его уходе из дома.</t>
        </is>
      </c>
      <c r="L4672" s="2" t="inlineStr">
        <is>
          <t>https://www.kino-teatr.ru/teatr/movie/14268/annot/</t>
        </is>
      </c>
      <c r="M4672" s="2">
        <f>HYPERLINK("https://ru.wikipedia.org/w/index.php?search=%D0%92%D0%BE%D0%B7%D0%B2%D1%80%D0%B0%D1%89%D0%B5%D0%BD%D0%B8%D0%B5%20%D0%BD%D0%B0%20%D0%BA%D1%80%D1%83%D0%B3%D0%B8%20%D1%81%D0%B2%D0%BE%D1%8F%201979%20%D1%84%D0%B8%D0%BB%D1%8C%D0%BC","искать")</f>
        <v/>
      </c>
      <c r="N4672" s="3" t="n"/>
      <c r="O4672" s="2" t="n"/>
      <c r="P4672" s="2" t="n"/>
    </row>
    <row r="4673">
      <c r="A4673" s="2" t="n">
        <v>4672</v>
      </c>
      <c r="B4673" s="2" t="inlineStr">
        <is>
          <t>короткая</t>
        </is>
      </c>
      <c r="C4673" s="2" t="n">
        <v>11149</v>
      </c>
      <c r="D4673" s="3" t="inlineStr">
        <is>
          <t>Десять дней, которые потрясли мир</t>
        </is>
      </c>
      <c r="E4673" s="2" t="n">
        <v>1987</v>
      </c>
      <c r="F4673" s="2" t="inlineStr">
        <is>
          <t>фильм-спектакль</t>
        </is>
      </c>
      <c r="G4673" s="2" t="inlineStr">
        <is>
          <t>Главная редакция литературно-драматических программ ЦТ</t>
        </is>
      </c>
      <c r="H4673" s="2" t="n">
        <v>220</v>
      </c>
      <c r="I4673" s="2" t="inlineStr"/>
      <c r="J4673" s="2" t="inlineStr"/>
      <c r="K4673" s="3" t="inlineStr">
        <is>
          <t>По мотивам одноименной книги Джона Рида о событиях октября 1917 года.
Народное представление в двух частях с пантомимой, буффонадой и стрельбой в исполнении труппы Театра драмы и комедии на Таганке.
Телеверсия 1987 года.</t>
        </is>
      </c>
      <c r="L4673" s="2" t="inlineStr">
        <is>
          <t>https://www.kino-teatr.ru/teatr/movie/1781/annot/</t>
        </is>
      </c>
      <c r="M4673" s="2">
        <f>HYPERLINK("https://ru.wikipedia.org/w/index.php?search=%D0%94%D0%B5%D1%81%D1%8F%D1%82%D1%8C%20%D0%B4%D0%BD%D0%B5%D0%B9%2C%20%D0%BA%D0%BE%D1%82%D0%BE%D1%80%D1%8B%D0%B5%20%D0%BF%D0%BE%D1%82%D1%80%D1%8F%D1%81%D0%BB%D0%B8%20%D0%BC%D0%B8%D1%80%201987%20%D1%84%D0%B8%D0%BB%D1%8C%D0%BC","искать")</f>
        <v/>
      </c>
      <c r="N4673" s="3" t="n"/>
      <c r="O4673" s="2" t="n"/>
      <c r="P4673" s="2" t="n"/>
    </row>
    <row r="4674">
      <c r="A4674" s="2" t="n">
        <v>4673</v>
      </c>
      <c r="B4674" s="2" t="inlineStr">
        <is>
          <t>короткая</t>
        </is>
      </c>
      <c r="C4674" s="2" t="n">
        <v>7859</v>
      </c>
      <c r="D4674" s="3" t="inlineStr">
        <is>
          <t>Мегрэ и человек на скамейке</t>
        </is>
      </c>
      <c r="E4674" s="2" t="n">
        <v>1973</v>
      </c>
      <c r="F4674" s="2" t="inlineStr">
        <is>
          <t>телефильм</t>
        </is>
      </c>
      <c r="G4674" s="2" t="n"/>
      <c r="H4674" s="2" t="n">
        <v>221</v>
      </c>
      <c r="I4674" s="2" t="inlineStr"/>
      <c r="J4674" s="2" t="inlineStr"/>
      <c r="K4674" s="3" t="inlineStr">
        <is>
          <t>По одноименному роману Жоржа Сименона. Расследуя убийство жителя предместья Луи Туре, Мегрэ (Борис Тенин) сталкивается с равнодушием и жестокостью людей, окружавших Луи в последние годы. Диагноз и приговор — виноваты все.</t>
        </is>
      </c>
      <c r="L4674" s="2" t="inlineStr">
        <is>
          <t>Кино_СССР сводный каталог.xlsx: список телефильмов</t>
        </is>
      </c>
      <c r="M4674" s="2">
        <f>HYPERLINK("https://ru.wikipedia.org/w/index.php?search=%D0%9C%D0%B5%D0%B3%D1%80%D1%8D%20%D0%B8%20%D1%87%D0%B5%D0%BB%D0%BE%D0%B2%D0%B5%D0%BA%20%D0%BD%D0%B0%20%D1%81%D0%BA%D0%B0%D0%BC%D0%B5%D0%B9%D0%BA%D0%B5%201973%20%D1%84%D0%B8%D0%BB%D1%8C%D0%BC","искать")</f>
        <v/>
      </c>
      <c r="N4674" s="3" t="n"/>
      <c r="O4674" s="2" t="n"/>
      <c r="P4674" s="2" t="n"/>
    </row>
    <row r="4675">
      <c r="A4675" s="2" t="n">
        <v>4674</v>
      </c>
      <c r="B4675" s="2" t="inlineStr">
        <is>
          <t>короткая</t>
        </is>
      </c>
      <c r="C4675" s="2" t="n">
        <v>7915</v>
      </c>
      <c r="D4675" s="3" t="inlineStr">
        <is>
          <t>Мустанг-иноходец</t>
        </is>
      </c>
      <c r="E4675" s="2" t="n">
        <v>1975</v>
      </c>
      <c r="F4675" s="2" t="inlineStr">
        <is>
          <t>телефильм</t>
        </is>
      </c>
      <c r="G4675" s="2" t="n"/>
      <c r="H4675" s="2" t="n">
        <v>221</v>
      </c>
      <c r="I4675" s="2" t="inlineStr"/>
      <c r="J4675" s="2" t="inlineStr"/>
      <c r="K4675" s="3" t="inlineStr">
        <is>
          <t>Телефильм снят по мотивам одноименного рассказа Э.Сэтона-Томпсона. История дикого коня Мустанга, его подружки Солли и их жеребенка. О гармонии нетронутой природы. О жестоких человеческих законах, разрушающих эту гармонию.</t>
        </is>
      </c>
      <c r="L4675" s="2" t="inlineStr">
        <is>
          <t>Кино_СССР сводный каталог.xlsx: список телефильмов</t>
        </is>
      </c>
      <c r="M4675" s="2">
        <f>HYPERLINK("https://ru.wikipedia.org/w/index.php?search=%D0%9C%D1%83%D1%81%D1%82%D0%B0%D0%BD%D0%B3-%D0%B8%D0%BD%D0%BE%D1%85%D0%BE%D0%B4%D0%B5%D1%86%201975%20%D1%84%D0%B8%D0%BB%D1%8C%D0%BC","искать")</f>
        <v/>
      </c>
      <c r="N4675" s="3" t="n"/>
      <c r="O4675" s="2" t="n"/>
      <c r="P4675" s="2" t="n"/>
    </row>
    <row r="4676">
      <c r="A4676" s="2" t="n">
        <v>4675</v>
      </c>
      <c r="B4676" s="2" t="inlineStr">
        <is>
          <t>короткая</t>
        </is>
      </c>
      <c r="C4676" s="2" t="n">
        <v>10997</v>
      </c>
      <c r="D4676" s="3" t="inlineStr">
        <is>
          <t>Метелица</t>
        </is>
      </c>
      <c r="E4676" s="2" t="n">
        <v>1983</v>
      </c>
      <c r="F4676" s="2" t="inlineStr">
        <is>
          <t>фильм-спектакль</t>
        </is>
      </c>
      <c r="G4676" s="2" t="inlineStr">
        <is>
          <t>Главная редакция литературно-драматических программ ЦТ</t>
        </is>
      </c>
      <c r="H4676" s="2" t="n">
        <v>221</v>
      </c>
      <c r="I4676" s="2" t="inlineStr"/>
      <c r="J4676" s="2" t="inlineStr"/>
      <c r="K4676" s="3" t="inlineStr">
        <is>
          <t>Из цикла "По Вашему письму".
Год назад семья Алены переехала к бабушке Марьяше. И весь год не утихали споры между бабушкой и отцом Алены о принципах воспитания девочки, завершившиеся крупной ссорой. Марьяша решает уехать.</t>
        </is>
      </c>
      <c r="L4676" s="2" t="inlineStr">
        <is>
          <t>https://www.kino-teatr.ru/teatr/movie/14656/annot/</t>
        </is>
      </c>
      <c r="M4676" s="2">
        <f>HYPERLINK("https://ru.wikipedia.org/w/index.php?search=%D0%9C%D0%B5%D1%82%D0%B5%D0%BB%D0%B8%D1%86%D0%B0%201983%20%D1%84%D0%B8%D0%BB%D1%8C%D0%BC","искать")</f>
        <v/>
      </c>
      <c r="N4676" s="3" t="n"/>
      <c r="O4676" s="2" t="n"/>
      <c r="P4676" s="2" t="n"/>
    </row>
    <row r="4677">
      <c r="A4677" s="2" t="n">
        <v>4676</v>
      </c>
      <c r="B4677" s="2" t="inlineStr">
        <is>
          <t>короткая</t>
        </is>
      </c>
      <c r="C4677" s="2" t="n">
        <v>12324</v>
      </c>
      <c r="D4677" s="3" t="inlineStr">
        <is>
          <t>Бегемот и солнце</t>
        </is>
      </c>
      <c r="E4677" s="2" t="n">
        <v>1972</v>
      </c>
      <c r="F4677" s="2" t="inlineStr">
        <is>
          <t>мультфильм</t>
        </is>
      </c>
      <c r="G4677" s="2" t="inlineStr">
        <is>
          <t>КИЕВНАУЧФИЛЬМ</t>
        </is>
      </c>
      <c r="H4677" s="2" t="n">
        <v>221</v>
      </c>
      <c r="I4677" s="2" t="inlineStr"/>
      <c r="J4677" s="2" t="inlineStr"/>
      <c r="K4677" s="3" t="inlineStr">
        <is>
          <t>Однажды Бегемотик поймал солнце и решил сделать своим друзьям подарок. Он разделил солнце на кусочки и раздарил их. И тогда вдруг все погрузилось во тьму. Звери поняли свою ошибку, сложили солнышко и вернули его на место.</t>
        </is>
      </c>
      <c r="L4677" s="2" t="inlineStr">
        <is>
          <t>2026-10_мультфильмы_список_владельца.xlsx; https://animator.ru/db/?p=show_film&amp;fid=3488</t>
        </is>
      </c>
      <c r="M4677" s="2">
        <f>HYPERLINK("https://ru.wikipedia.org/w/index.php?search=%D0%91%D0%B5%D0%B3%D0%B5%D0%BC%D0%BE%D1%82%20%D0%B8%20%D1%81%D0%BE%D0%BB%D0%BD%D1%86%D0%B5%201972%20%D1%84%D0%B8%D0%BB%D1%8C%D0%BC","искать")</f>
        <v/>
      </c>
      <c r="N4677" s="3" t="n"/>
      <c r="O4677" s="2" t="n"/>
      <c r="P4677" s="2" t="n"/>
    </row>
    <row r="4678">
      <c r="A4678" s="2" t="n">
        <v>4677</v>
      </c>
      <c r="B4678" s="2" t="inlineStr">
        <is>
          <t>короткая</t>
        </is>
      </c>
      <c r="C4678" s="2" t="n">
        <v>12829</v>
      </c>
      <c r="D4678" s="3" t="inlineStr">
        <is>
          <t>Охотники</t>
        </is>
      </c>
      <c r="E4678" s="2" t="n">
        <v>1968</v>
      </c>
      <c r="F4678" s="2" t="inlineStr">
        <is>
          <t>мультфильм</t>
        </is>
      </c>
      <c r="G4678" s="2" t="inlineStr">
        <is>
          <t>ГРУЗИЯ-ФИЛЬМ - АО</t>
        </is>
      </c>
      <c r="H4678" s="2" t="n">
        <v>221</v>
      </c>
      <c r="I4678" s="2" t="inlineStr"/>
      <c r="J4678" s="2" t="inlineStr"/>
      <c r="K4678" s="3" t="inlineStr">
        <is>
          <t>На охоте особенно отличился один из пяти товарищей - он поразил быка и убил чдовище. Охотники хвалят храбреца. Но в следующий раз он, возгордившись, уходит охотиться один и не может в одиночку справиться с огромным заерем</t>
        </is>
      </c>
      <c r="L4678" s="2" t="inlineStr">
        <is>
          <t>https://gosfilmofond.ru/films/254326/</t>
        </is>
      </c>
      <c r="M4678" s="2">
        <f>HYPERLINK("https://ru.wikipedia.org/w/index.php?search=%D0%9E%D1%85%D0%BE%D1%82%D0%BD%D0%B8%D0%BA%D0%B8%201968%20%D1%84%D0%B8%D0%BB%D1%8C%D0%BC","искать")</f>
        <v/>
      </c>
      <c r="N4678" s="3" t="n"/>
      <c r="O4678" s="2" t="n"/>
      <c r="P4678" s="2" t="n"/>
    </row>
    <row r="4679">
      <c r="A4679" s="2" t="n">
        <v>4678</v>
      </c>
      <c r="B4679" s="2" t="inlineStr">
        <is>
          <t>короткая</t>
        </is>
      </c>
      <c r="C4679" s="2" t="n">
        <v>7641</v>
      </c>
      <c r="D4679" s="3" t="inlineStr">
        <is>
          <t>Здравствуйте, я приехал!</t>
        </is>
      </c>
      <c r="E4679" s="2" t="n">
        <v>1979</v>
      </c>
      <c r="F4679" s="2" t="inlineStr">
        <is>
          <t>телефильм</t>
        </is>
      </c>
      <c r="G4679" s="2" t="n"/>
      <c r="H4679" s="2" t="n">
        <v>222</v>
      </c>
      <c r="I4679" s="2" t="inlineStr"/>
      <c r="J4679" s="2" t="inlineStr"/>
      <c r="K4679" s="3" t="inlineStr">
        <is>
          <t>Телефильм. Выпускник технического вуза попадает на работу в отдел снабжения крупного завода. Увлеченный герой не скучает, а вполне успешно внедряет в хозяйство завода последние достижения электронно-вычислительной техники.</t>
        </is>
      </c>
      <c r="L4679" s="2" t="inlineStr">
        <is>
          <t>Кино_СССР сводный каталог.xlsx: список телефильмов</t>
        </is>
      </c>
      <c r="M4679" s="2">
        <f>HYPERLINK("https://ru.wikipedia.org/w/index.php?search=%D0%97%D0%B4%D1%80%D0%B0%D0%B2%D1%81%D1%82%D0%B2%D1%83%D0%B9%D1%82%D0%B5%2C%20%D1%8F%20%D0%BF%D1%80%D0%B8%D0%B5%D1%85%D0%B0%D0%BB%21%201979%20%D1%84%D0%B8%D0%BB%D1%8C%D0%BC","искать")</f>
        <v/>
      </c>
      <c r="N4679" s="3" t="n"/>
      <c r="O4679" s="2" t="n"/>
      <c r="P4679" s="2" t="n"/>
    </row>
    <row r="4680">
      <c r="A4680" s="2" t="n">
        <v>4679</v>
      </c>
      <c r="B4680" s="2" t="inlineStr">
        <is>
          <t>короткая</t>
        </is>
      </c>
      <c r="C4680" s="2" t="n">
        <v>8440</v>
      </c>
      <c r="D4680" s="3" t="inlineStr">
        <is>
          <t>Танкодром</t>
        </is>
      </c>
      <c r="E4680" s="2" t="n">
        <v>1981</v>
      </c>
      <c r="F4680" s="2" t="inlineStr">
        <is>
          <t>телефильм</t>
        </is>
      </c>
      <c r="G4680" s="2" t="n"/>
      <c r="H4680" s="2" t="n">
        <v>222</v>
      </c>
      <c r="I4680" s="2" t="inlineStr"/>
      <c r="J4680" s="2" t="inlineStr"/>
      <c r="K4680" s="3" t="inlineStr">
        <is>
          <t>О создании в конструкторском бюро Министерства обороны новейших приборов ночного видения. В центре фильма — образ молодого командира танковой роты капитана Сергея Кольцова, физика по образованию, испытывающего эти системы.</t>
        </is>
      </c>
      <c r="L4680" s="2" t="inlineStr">
        <is>
          <t>Кино_СССР сводный каталог.xlsx: список телефильмов</t>
        </is>
      </c>
      <c r="M4680" s="2">
        <f>HYPERLINK("https://ru.wikipedia.org/w/index.php?search=%D0%A2%D0%B0%D0%BD%D0%BA%D0%BE%D0%B4%D1%80%D0%BE%D0%BC%201981%20%D1%84%D0%B8%D0%BB%D1%8C%D0%BC","искать")</f>
        <v/>
      </c>
      <c r="N4680" s="3" t="n"/>
      <c r="O4680" s="2" t="n"/>
      <c r="P4680" s="2" t="n"/>
    </row>
    <row r="4681">
      <c r="A4681" s="2" t="n">
        <v>4680</v>
      </c>
      <c r="B4681" s="2" t="inlineStr">
        <is>
          <t>короткая</t>
        </is>
      </c>
      <c r="C4681" s="2" t="n">
        <v>10402</v>
      </c>
      <c r="D4681" s="3" t="inlineStr">
        <is>
          <t>Легкая командировка</t>
        </is>
      </c>
      <c r="E4681" s="2" t="n">
        <v>1971</v>
      </c>
      <c r="F4681" s="2" t="inlineStr">
        <is>
          <t>фильм-спектакль</t>
        </is>
      </c>
      <c r="G4681" s="2" t="inlineStr">
        <is>
          <t>Гл. ред. лит.-драм. программ</t>
        </is>
      </c>
      <c r="H4681" s="2" t="n">
        <v>222</v>
      </c>
      <c r="I4681" s="2" t="inlineStr"/>
      <c r="J4681" s="2" t="inlineStr"/>
      <c r="K4681" s="3" t="inlineStr">
        <is>
          <t>По повести А.Знаменского "Осина на дороге".
В совхоз направлен журналист районной газеты разобраться с письмом, в котором обвинен директор. Выясняется, что хороший человек и руководитель оклеветан кляузником и шантажистом.</t>
        </is>
      </c>
      <c r="L4681" s="2" t="inlineStr">
        <is>
          <t>https://www.kino-teatr.ru/teatr/movie/93052/annot/</t>
        </is>
      </c>
      <c r="M4681" s="2">
        <f>HYPERLINK("https://ru.wikipedia.org/w/index.php?search=%D0%9B%D0%B5%D0%B3%D0%BA%D0%B0%D1%8F%20%D0%BA%D0%BE%D0%BC%D0%B0%D0%BD%D0%B4%D0%B8%D1%80%D0%BE%D0%B2%D0%BA%D0%B0%201971%20%D1%84%D0%B8%D0%BB%D1%8C%D0%BC","искать")</f>
        <v/>
      </c>
      <c r="N4681" s="3" t="n"/>
      <c r="O4681" s="2" t="n"/>
      <c r="P4681" s="2" t="n"/>
    </row>
    <row r="4682">
      <c r="A4682" s="2" t="n">
        <v>4681</v>
      </c>
      <c r="B4682" s="2" t="inlineStr">
        <is>
          <t>короткая</t>
        </is>
      </c>
      <c r="C4682" s="2" t="n">
        <v>13623</v>
      </c>
      <c r="D4682" s="3" t="inlineStr">
        <is>
          <t>Белая цапля</t>
        </is>
      </c>
      <c r="E4682" s="2" t="n">
        <v>1987</v>
      </c>
      <c r="F4682" s="2" t="inlineStr">
        <is>
          <t>мультфильм</t>
        </is>
      </c>
      <c r="G4682" s="2" t="inlineStr">
        <is>
          <t>ЭКРАН</t>
        </is>
      </c>
      <c r="H4682" s="2" t="n">
        <v>222</v>
      </c>
      <c r="I4682" s="2" t="inlineStr"/>
      <c r="J4682" s="2" t="inlineStr"/>
      <c r="K4682" s="3" t="inlineStr">
        <is>
          <t>По мотивам сказки В.Телешева. Ради прихоти модницы Изольды охотники почти истребили прекрасных птиц. И тогда Изольда сама превратилась в белую цаплю... О долге человека перед природой. Для старших школьников и для взрослых</t>
        </is>
      </c>
      <c r="L4682" s="2" t="inlineStr">
        <is>
          <t>https://animator.ru/db/?p=show_film&amp;fid=5015</t>
        </is>
      </c>
      <c r="M4682" s="2">
        <f>HYPERLINK("https://ru.wikipedia.org/w/index.php?search=%D0%91%D0%B5%D0%BB%D0%B0%D1%8F%20%D1%86%D0%B0%D0%BF%D0%BB%D1%8F%201987%20%D1%84%D0%B8%D0%BB%D1%8C%D0%BC","искать")</f>
        <v/>
      </c>
      <c r="N4682" s="3" t="n"/>
      <c r="O4682" s="2" t="n"/>
      <c r="P4682" s="2" t="n"/>
    </row>
    <row r="4683">
      <c r="A4683" s="2" t="n">
        <v>4682</v>
      </c>
      <c r="B4683" s="2" t="inlineStr">
        <is>
          <t>короткая</t>
        </is>
      </c>
      <c r="C4683" s="2" t="n">
        <v>9175</v>
      </c>
      <c r="D4683" s="3" t="inlineStr">
        <is>
          <t>Шестьдесят беглецов</t>
        </is>
      </c>
      <c r="E4683" s="2" t="n">
        <v>1991</v>
      </c>
      <c r="F4683" s="2" t="inlineStr">
        <is>
          <t>кинофильм</t>
        </is>
      </c>
      <c r="G4683" s="2" t="n"/>
      <c r="H4683" s="2" t="n">
        <v>223</v>
      </c>
      <c r="I4683" s="2" t="inlineStr"/>
      <c r="J4683" s="2" t="inlineStr"/>
      <c r="K4683" s="3" t="inlineStr">
        <is>
          <t>Историческая кинодрама. В 1880-х годах тувинские араты восстали против нойонов-поработителей. Восстание было жестоко подавлено. С этнографической точностью в фильме воссозданы патриархальный быт тувинцев, их нравы и обычаи.</t>
        </is>
      </c>
      <c r="L4683" s="2" t="inlineStr">
        <is>
          <t>Кино_СССР сводный каталог.xlsx: список фильмов (доп.)</t>
        </is>
      </c>
      <c r="M4683" s="2">
        <f>HYPERLINK("https://ru.wikipedia.org/w/index.php?search=%D0%A8%D0%B5%D1%81%D1%82%D1%8C%D0%B4%D0%B5%D1%81%D1%8F%D1%82%20%D0%B1%D0%B5%D0%B3%D0%BB%D0%B5%D1%86%D0%BE%D0%B2%201991%20%D1%84%D0%B8%D0%BB%D1%8C%D0%BC","искать")</f>
        <v/>
      </c>
      <c r="N4683" s="3" t="n"/>
      <c r="O4683" s="2" t="n"/>
      <c r="P4683" s="2" t="n"/>
    </row>
    <row r="4684">
      <c r="A4684" s="2" t="n">
        <v>4683</v>
      </c>
      <c r="B4684" s="2" t="inlineStr">
        <is>
          <t>короткая</t>
        </is>
      </c>
      <c r="C4684" s="2" t="n">
        <v>9924</v>
      </c>
      <c r="D4684" s="3" t="inlineStr">
        <is>
          <t>Встреча проездом</t>
        </is>
      </c>
      <c r="E4684" s="2" t="n">
        <v>1977</v>
      </c>
      <c r="F4684" s="2" t="inlineStr">
        <is>
          <t>телефильм</t>
        </is>
      </c>
      <c r="G4684" s="2" t="inlineStr">
        <is>
          <t>Северо-Осетинская студия ТВ</t>
        </is>
      </c>
      <c r="H4684" s="2" t="n">
        <v>223</v>
      </c>
      <c r="I4684" s="2" t="inlineStr"/>
      <c r="J4684" s="2" t="inlineStr"/>
      <c r="K4684" s="3" t="inlineStr">
        <is>
          <t>Прошло три года со дня последней их встречи. Она спокойна, уверена и счастлива, потому что у нее растет сын, их сын. Ей предстоит командировка и она надеется, что они снова встретятся, пусть даже эта встреча будет проездом.</t>
        </is>
      </c>
      <c r="L4684" s="2" t="inlineStr">
        <is>
          <t>https://www.kino-teatr.ru/short/movie/sov/92504/annot/</t>
        </is>
      </c>
      <c r="M4684" s="2">
        <f>HYPERLINK("https://ru.wikipedia.org/w/index.php?search=%D0%92%D1%81%D1%82%D1%80%D0%B5%D1%87%D0%B0%20%D0%BF%D1%80%D0%BE%D0%B5%D0%B7%D0%B4%D0%BE%D0%BC%201977%20%D1%84%D0%B8%D0%BB%D1%8C%D0%BC","искать")</f>
        <v/>
      </c>
      <c r="N4684" s="3" t="n"/>
      <c r="O4684" s="2" t="n"/>
      <c r="P4684" s="2" t="n"/>
    </row>
    <row r="4685">
      <c r="A4685" s="2" t="n">
        <v>4684</v>
      </c>
      <c r="B4685" s="2" t="inlineStr">
        <is>
          <t>короткая</t>
        </is>
      </c>
      <c r="C4685" s="2" t="n">
        <v>10299</v>
      </c>
      <c r="D4685" s="3" t="inlineStr">
        <is>
          <t>Всегда на марше</t>
        </is>
      </c>
      <c r="E4685" s="2" t="n">
        <v>1969</v>
      </c>
      <c r="F4685" s="2" t="inlineStr">
        <is>
          <t>фильм-спектакль</t>
        </is>
      </c>
      <c r="G4685" s="2" t="inlineStr">
        <is>
          <t>Центральное телевидение</t>
        </is>
      </c>
      <c r="H4685" s="2" t="n">
        <v>223</v>
      </c>
      <c r="I4685" s="2" t="inlineStr"/>
      <c r="J4685" s="2" t="inlineStr"/>
      <c r="K4685" s="3" t="inlineStr">
        <is>
          <t>По мотивам одноименной повести Леонида Радищева.
Действие происходит в первые годы советской власти. Группу комсомольцев после тяжелых боев отправляют на отдых. Однако вскоре им пришлось вступить в борьбу с контрреволюцией.</t>
        </is>
      </c>
      <c r="L4685" s="2" t="inlineStr">
        <is>
          <t>https://www.kino-teatr.ru/teatr/movie/9413/annot/</t>
        </is>
      </c>
      <c r="M4685" s="2">
        <f>HYPERLINK("https://ru.wikipedia.org/w/index.php?search=%D0%92%D1%81%D0%B5%D0%B3%D0%B4%D0%B0%20%D0%BD%D0%B0%20%D0%BC%D0%B0%D1%80%D1%88%D0%B5%201969%20%D1%84%D0%B8%D0%BB%D1%8C%D0%BC","искать")</f>
        <v/>
      </c>
      <c r="N4685" s="3" t="n"/>
      <c r="O4685" s="2" t="n"/>
      <c r="P4685" s="2" t="n"/>
    </row>
    <row r="4686">
      <c r="A4686" s="2" t="n">
        <v>4685</v>
      </c>
      <c r="B4686" s="2" t="inlineStr">
        <is>
          <t>короткая</t>
        </is>
      </c>
      <c r="C4686" s="2" t="n">
        <v>10417</v>
      </c>
      <c r="D4686" s="3" t="inlineStr">
        <is>
          <t>Семейное счастье</t>
        </is>
      </c>
      <c r="E4686" s="2" t="n">
        <v>1971</v>
      </c>
      <c r="F4686" s="2" t="inlineStr">
        <is>
          <t>фильм-спектакль</t>
        </is>
      </c>
      <c r="G4686" s="2" t="inlineStr">
        <is>
          <t>Центральное телевидение</t>
        </is>
      </c>
      <c r="H4686" s="2" t="n">
        <v>223</v>
      </c>
      <c r="I4686" s="2" t="inlineStr"/>
      <c r="J4686" s="2" t="inlineStr"/>
      <c r="K4686" s="3" t="inlineStr">
        <is>
          <t>По мотивам одноименного романа Л.Н. Толстого.
История любви молодой девушки к другу своего покойного отца, её опекуну, затем их женитьбы и первых нескольких лет их супружеской жизни, включающих некоторое охлаждение и ссоры.</t>
        </is>
      </c>
      <c r="L4686" s="2" t="inlineStr">
        <is>
          <t>https://www.kino-teatr.ru/teatr/movie/100742/annot/</t>
        </is>
      </c>
      <c r="M4686" s="2">
        <f>HYPERLINK("https://ru.wikipedia.org/w/index.php?search=%D0%A1%D0%B5%D0%BC%D0%B5%D0%B9%D0%BD%D0%BE%D0%B5%20%D1%81%D1%87%D0%B0%D1%81%D1%82%D1%8C%D0%B5%201971%20%D1%84%D0%B8%D0%BB%D1%8C%D0%BC","искать")</f>
        <v/>
      </c>
      <c r="N4686" s="3" t="n"/>
      <c r="O4686" s="2" t="n"/>
      <c r="P4686" s="2" t="n"/>
    </row>
    <row r="4687">
      <c r="A4687" s="2" t="n">
        <v>4686</v>
      </c>
      <c r="B4687" s="2" t="inlineStr">
        <is>
          <t>короткая</t>
        </is>
      </c>
      <c r="C4687" s="2" t="n">
        <v>10469</v>
      </c>
      <c r="D4687" s="3" t="inlineStr">
        <is>
          <t>Свободный час</t>
        </is>
      </c>
      <c r="E4687" s="2" t="n">
        <v>1972</v>
      </c>
      <c r="F4687" s="2" t="inlineStr">
        <is>
          <t>фильм-спектакль</t>
        </is>
      </c>
      <c r="G4687" s="2" t="inlineStr">
        <is>
          <t>Центральное телевидение</t>
        </is>
      </c>
      <c r="H4687" s="2" t="n">
        <v>223</v>
      </c>
      <c r="I4687" s="2" t="inlineStr"/>
      <c r="J4687" s="2" t="inlineStr"/>
      <c r="K4687" s="3" t="inlineStr">
        <is>
          <t>У преподавателя литературы - Дмитрия Алексеевича - есть свободный час между уроками. Но и в это время его продолжают волновать проблемы учеников, их взаимоотношения с родителями. У настоящего учителя нет свободного времени.</t>
        </is>
      </c>
      <c r="L4687" s="2" t="inlineStr">
        <is>
          <t>https://www.kino-teatr.ru/teatr/movie/79904/annot/</t>
        </is>
      </c>
      <c r="M4687" s="2">
        <f>HYPERLINK("https://ru.wikipedia.org/w/index.php?search=%D0%A1%D0%B2%D0%BE%D0%B1%D0%BE%D0%B4%D0%BD%D1%8B%D0%B9%20%D1%87%D0%B0%D1%81%201972%20%D1%84%D0%B8%D0%BB%D1%8C%D0%BC","искать")</f>
        <v/>
      </c>
      <c r="N4687" s="3" t="n"/>
      <c r="O4687" s="2" t="n"/>
      <c r="P4687" s="2" t="n"/>
    </row>
    <row r="4688">
      <c r="A4688" s="2" t="n">
        <v>4687</v>
      </c>
      <c r="B4688" s="2" t="inlineStr">
        <is>
          <t>короткая</t>
        </is>
      </c>
      <c r="C4688" s="2" t="n">
        <v>11293</v>
      </c>
      <c r="D4688" s="3" t="inlineStr">
        <is>
          <t>Али-Баба и сорок разбойников (фильм-балет)</t>
        </is>
      </c>
      <c r="E4688" s="2" t="n">
        <v>1990</v>
      </c>
      <c r="F4688" s="2" t="inlineStr">
        <is>
          <t>фильм-спектакль</t>
        </is>
      </c>
      <c r="G4688" s="2" t="inlineStr">
        <is>
          <t>"Грузия-телефильм", Словацкое телевидение, ТВ-2000</t>
        </is>
      </c>
      <c r="H4688" s="2" t="n">
        <v>223</v>
      </c>
      <c r="I4688" s="2" t="inlineStr"/>
      <c r="J4688" s="2" t="inlineStr"/>
      <c r="K4688" s="3" t="inlineStr">
        <is>
          <t>Музыкальный художественный фильм-балет по мотивам восточных сказок Шахразады, о веселом чудоковатом бедняке Али-Бабе который работая лесорубом, неожиданно узнает, где разбойники прячут свои сокровища и сказочно обогащается.</t>
        </is>
      </c>
      <c r="L4688" s="2" t="inlineStr">
        <is>
          <t>https://www.kino-teatr.ru/teatr/movie/15364/annot/</t>
        </is>
      </c>
      <c r="M4688" s="2">
        <f>HYPERLINK("https://ru.wikipedia.org/w/index.php?search=%D0%90%D0%BB%D0%B8-%D0%91%D0%B0%D0%B1%D0%B0%20%D0%B8%20%D1%81%D0%BE%D1%80%D0%BE%D0%BA%20%D1%80%D0%B0%D0%B7%D0%B1%D0%BE%D0%B9%D0%BD%D0%B8%D0%BA%D0%BE%D0%B2%20%28%D1%84%D0%B8%D0%BB%D1%8C%D0%BC-%D0%B1%D0%B0%D0%BB%D0%B5%D1%82%29%201990%20%D1%84%D0%B8%D0%BB%D1%8C%D0%BC","искать")</f>
        <v/>
      </c>
      <c r="N4688" s="3" t="n"/>
      <c r="O4688" s="2" t="n"/>
      <c r="P4688" s="2" t="n"/>
    </row>
    <row r="4689">
      <c r="A4689" s="2" t="n">
        <v>4688</v>
      </c>
      <c r="B4689" s="2" t="inlineStr">
        <is>
          <t>короткая</t>
        </is>
      </c>
      <c r="C4689" s="2" t="n">
        <v>12594</v>
      </c>
      <c r="D4689" s="3" t="inlineStr">
        <is>
          <t>Фламандский мальчик</t>
        </is>
      </c>
      <c r="E4689" s="2" t="n">
        <v>1981</v>
      </c>
      <c r="F4689" s="2" t="inlineStr">
        <is>
          <t>мультфильм</t>
        </is>
      </c>
      <c r="G4689" s="2" t="inlineStr">
        <is>
          <t>КИЕВНАУЧФИЛЬМ</t>
        </is>
      </c>
      <c r="H4689" s="2" t="n">
        <v>223</v>
      </c>
      <c r="I4689" s="2" t="inlineStr"/>
      <c r="J4689" s="2" t="inlineStr"/>
      <c r="K4689" s="3" t="inlineStr">
        <is>
          <t>По мотивам рассказа Уйда "Нелло и Патраш".О жизни талантливого мальчика, художественные способности которого не смогли развиваться из-за его бедности. У него отняли единственную радость - дружбу с девочкой из богатой семьи.</t>
        </is>
      </c>
      <c r="L4689" s="2" t="inlineStr">
        <is>
          <t>2026-10_мультфильмы_список_владельца.xlsx; https://animator.ru/db/?p=show_film&amp;fid=3774</t>
        </is>
      </c>
      <c r="M4689" s="2">
        <f>HYPERLINK("https://ru.wikipedia.org/w/index.php?search=%D0%A4%D0%BB%D0%B0%D0%BC%D0%B0%D0%BD%D0%B4%D1%81%D0%BA%D0%B8%D0%B9%20%D0%BC%D0%B0%D0%BB%D1%8C%D1%87%D0%B8%D0%BA%201981%20%D1%84%D0%B8%D0%BB%D1%8C%D0%BC","искать")</f>
        <v/>
      </c>
      <c r="N4689" s="3" t="n"/>
      <c r="O4689" s="2" t="n"/>
      <c r="P4689" s="2" t="n"/>
    </row>
    <row r="4690">
      <c r="A4690" s="2" t="n">
        <v>4689</v>
      </c>
      <c r="B4690" s="2" t="inlineStr">
        <is>
          <t>короткая</t>
        </is>
      </c>
      <c r="C4690" s="2" t="n">
        <v>13043</v>
      </c>
      <c r="D4690" s="3" t="inlineStr">
        <is>
          <t>Старичок</t>
        </is>
      </c>
      <c r="E4690" s="2" t="n">
        <v>1970</v>
      </c>
      <c r="F4690" s="2" t="inlineStr">
        <is>
          <t>мультфильм</t>
        </is>
      </c>
      <c r="G4690" s="2" t="inlineStr">
        <is>
          <t>РИЖСКАЯ КИНОСТУДИЯ</t>
        </is>
      </c>
      <c r="H4690" s="2" t="n">
        <v>223</v>
      </c>
      <c r="I4690" s="2" t="inlineStr"/>
      <c r="J4690" s="2" t="inlineStr"/>
      <c r="K4690" s="3" t="inlineStr">
        <is>
          <t>Случилость так, что после ряда невежливых поступков у мальчика выросла борода. Выросла она длинная-предлинная - как у старика и была причиной многих неприятностей. Но как только изменилось поведение мальчика, борода исчезла</t>
        </is>
      </c>
      <c r="L4690" s="2" t="inlineStr">
        <is>
          <t>https://gosfilmofond.ru/films/255178/</t>
        </is>
      </c>
      <c r="M4690" s="2">
        <f>HYPERLINK("https://ru.wikipedia.org/w/index.php?search=%D0%A1%D1%82%D0%B0%D1%80%D0%B8%D1%87%D0%BE%D0%BA%201970%20%D1%84%D0%B8%D0%BB%D1%8C%D0%BC","искать")</f>
        <v/>
      </c>
      <c r="N4690" s="3" t="n"/>
      <c r="O4690" s="2" t="n"/>
      <c r="P4690" s="2" t="n"/>
    </row>
    <row r="4691">
      <c r="A4691" s="2" t="n">
        <v>4690</v>
      </c>
      <c r="B4691" s="2" t="inlineStr">
        <is>
          <t>короткая</t>
        </is>
      </c>
      <c r="C4691" s="2" t="n">
        <v>7741</v>
      </c>
      <c r="D4691" s="3" t="inlineStr">
        <is>
          <t>Колхидская баллада</t>
        </is>
      </c>
      <c r="E4691" s="2" t="n">
        <v>1974</v>
      </c>
      <c r="F4691" s="2" t="inlineStr">
        <is>
          <t>телефильм</t>
        </is>
      </c>
      <c r="G4691" s="2" t="n"/>
      <c r="H4691" s="2" t="n">
        <v>224</v>
      </c>
      <c r="I4691" s="2" t="inlineStr"/>
      <c r="J4691" s="2" t="inlineStr"/>
      <c r="K4691" s="3" t="inlineStr">
        <is>
          <t>კოლხური ბალადა События фильма разворачиваются в одном из уголков Грузии начала ХIХ века. О борьбе грузинского крестьянства против местных феодалов и их приспешников. В центре фильма - образ простого крестьянина Джото Алания.</t>
        </is>
      </c>
      <c r="L4691" s="2" t="inlineStr">
        <is>
          <t>Кино_СССР сводный каталог.xlsx: список телефильмов</t>
        </is>
      </c>
      <c r="M4691" s="2">
        <f>HYPERLINK("https://ru.wikipedia.org/w/index.php?search=%D0%9A%D0%BE%D0%BB%D1%85%D0%B8%D0%B4%D1%81%D0%BA%D0%B0%D1%8F%20%D0%B1%D0%B0%D0%BB%D0%BB%D0%B0%D0%B4%D0%B0%201974%20%D1%84%D0%B8%D0%BB%D1%8C%D0%BC","искать")</f>
        <v/>
      </c>
      <c r="N4691" s="3" t="n"/>
      <c r="O4691" s="2" t="n"/>
      <c r="P4691" s="2" t="n"/>
    </row>
    <row r="4692">
      <c r="A4692" s="2" t="n">
        <v>4691</v>
      </c>
      <c r="B4692" s="2" t="inlineStr">
        <is>
          <t>короткая</t>
        </is>
      </c>
      <c r="C4692" s="2" t="n">
        <v>7980</v>
      </c>
      <c r="D4692" s="3" t="inlineStr">
        <is>
          <t>Неизвестный, которого знали все</t>
        </is>
      </c>
      <c r="E4692" s="2" t="n">
        <v>1972</v>
      </c>
      <c r="F4692" s="2" t="inlineStr">
        <is>
          <t>телефильм</t>
        </is>
      </c>
      <c r="G4692" s="2" t="n"/>
      <c r="H4692" s="2" t="n">
        <v>224</v>
      </c>
      <c r="I4692" s="2" t="inlineStr"/>
      <c r="J4692" s="2" t="inlineStr"/>
      <c r="K4692" s="3" t="inlineStr">
        <is>
          <t>Главный герой картины - человек, в годы Великой Отечественной войны участвовавший в киевском подполье, и обвиненный затем в сотрудничестве с гестапо. Он доказывает свою невиновность и разоблачает настоящего изменника Родины.</t>
        </is>
      </c>
      <c r="L4692" s="2" t="inlineStr">
        <is>
          <t>Кино_СССР сводный каталог.xlsx: список телефильмов</t>
        </is>
      </c>
      <c r="M4692" s="2">
        <f>HYPERLINK("https://ru.wikipedia.org/w/index.php?search=%D0%9D%D0%B5%D0%B8%D0%B7%D0%B2%D0%B5%D1%81%D1%82%D0%BD%D1%8B%D0%B9%2C%20%D0%BA%D0%BE%D1%82%D0%BE%D1%80%D0%BE%D0%B3%D0%BE%20%D0%B7%D0%BD%D0%B0%D0%BB%D0%B8%20%D0%B2%D1%81%D0%B5%201972%20%D1%84%D0%B8%D0%BB%D1%8C%D0%BC","искать")</f>
        <v/>
      </c>
      <c r="N4692" s="3" t="n"/>
      <c r="O4692" s="2" t="n"/>
      <c r="P4692" s="2" t="n"/>
    </row>
    <row r="4693">
      <c r="A4693" s="2" t="n">
        <v>4692</v>
      </c>
      <c r="B4693" s="2" t="inlineStr">
        <is>
          <t>короткая</t>
        </is>
      </c>
      <c r="C4693" s="2" t="n">
        <v>10051</v>
      </c>
      <c r="D4693" s="3" t="inlineStr">
        <is>
          <t>Шуры-муры</t>
        </is>
      </c>
      <c r="E4693" s="2" t="n">
        <v>1990</v>
      </c>
      <c r="F4693" s="2" t="inlineStr">
        <is>
          <t>кинофильм</t>
        </is>
      </c>
      <c r="G4693" s="2" t="inlineStr">
        <is>
          <t>Таллиннфильм</t>
        </is>
      </c>
      <c r="H4693" s="2" t="n">
        <v>224</v>
      </c>
      <c r="I4693" s="2" t="inlineStr"/>
      <c r="J4693" s="2" t="inlineStr"/>
      <c r="K4693" s="3" t="inlineStr">
        <is>
          <t>Короткометражный детский фильм по мотивам новеллы эстонского писателя Марта Кивастика.
Трогательная история первого романтического и почти неосознанного чувства десятилетнего мальчика Яануса к своей юной подруге-соседке Эве.</t>
        </is>
      </c>
      <c r="L4693" s="2" t="inlineStr">
        <is>
          <t>https://www.kino-teatr.ru/short/movie/sov/91279/annot/</t>
        </is>
      </c>
      <c r="M4693" s="2">
        <f>HYPERLINK("https://ru.wikipedia.org/w/index.php?search=%D0%A8%D1%83%D1%80%D1%8B-%D0%BC%D1%83%D1%80%D1%8B%201990%20%D1%84%D0%B8%D0%BB%D1%8C%D0%BC","искать")</f>
        <v/>
      </c>
      <c r="N4693" s="3" t="n"/>
      <c r="O4693" s="2" t="n"/>
      <c r="P4693" s="2" t="n"/>
    </row>
    <row r="4694">
      <c r="A4694" s="2" t="n">
        <v>4693</v>
      </c>
      <c r="B4694" s="2" t="inlineStr">
        <is>
          <t>короткая</t>
        </is>
      </c>
      <c r="C4694" s="2" t="n">
        <v>13266</v>
      </c>
      <c r="D4694" s="3" t="inlineStr">
        <is>
          <t>ШИШКИ ("Фитиль" N 36)</t>
        </is>
      </c>
      <c r="E4694" s="2" t="n">
        <v>1965</v>
      </c>
      <c r="F4694" s="2" t="inlineStr">
        <is>
          <t>мультфильм</t>
        </is>
      </c>
      <c r="G4694" s="2" t="inlineStr">
        <is>
          <t>ТАЛЛИННФИЛЬМ</t>
        </is>
      </c>
      <c r="H4694" s="2" t="n">
        <v>224</v>
      </c>
      <c r="I4694" s="2" t="inlineStr"/>
      <c r="J4694" s="2" t="inlineStr"/>
      <c r="K4694" s="3" t="inlineStr">
        <is>
          <t>Начальник "Глав-елки" дает лесничим "план сбора шишек". Лесничие рубят елки, срывают шишки, выполняют план. Затем начальник дает "план насаждения елок". Лесничие сажают несколько чалых елок. Начальник доволен - план выполнен</t>
        </is>
      </c>
      <c r="L4694" s="2" t="inlineStr">
        <is>
          <t>https://gosfilmofond.ru/films/254120/</t>
        </is>
      </c>
      <c r="M4694" s="2">
        <f>HYPERLINK("https://ru.wikipedia.org/w/index.php?search=%D0%A8%D0%98%D0%A8%D0%9A%D0%98%20%28%22%D0%A4%D0%B8%D1%82%D0%B8%D0%BB%D1%8C%22%20N%2036%29%201965%20%D1%84%D0%B8%D0%BB%D1%8C%D0%BC","искать")</f>
        <v/>
      </c>
      <c r="N4694" s="3" t="n"/>
      <c r="O4694" s="2" t="n"/>
      <c r="P4694" s="2" t="n"/>
    </row>
    <row r="4695">
      <c r="A4695" s="2" t="n">
        <v>4694</v>
      </c>
      <c r="B4695" s="2" t="inlineStr">
        <is>
          <t>короткая</t>
        </is>
      </c>
      <c r="C4695" s="2" t="n">
        <v>13989</v>
      </c>
      <c r="D4695" s="3" t="inlineStr">
        <is>
          <t>Чемпион в лесу</t>
        </is>
      </c>
      <c r="E4695" s="2" t="n">
        <v>1977</v>
      </c>
      <c r="F4695" s="2" t="inlineStr">
        <is>
          <t>мультфильм</t>
        </is>
      </c>
      <c r="G4695" s="2" t="inlineStr">
        <is>
          <t>ЭКРАН</t>
        </is>
      </c>
      <c r="H4695" s="2" t="n">
        <v>224</v>
      </c>
      <c r="I4695" s="2" t="inlineStr"/>
      <c r="J4695" s="2" t="inlineStr"/>
      <c r="K4695" s="3" t="inlineStr">
        <is>
          <t>История о зайце, которого все обижали. Но однажды папа сказал ему, что главное - не сила, а хитрость. И тогда заяц решил "показать" всем обидчикам... "Сильным быть неплохо, что и говорить! Но должны еще и "шарики" варить!!!"</t>
        </is>
      </c>
      <c r="L4695" s="2" t="inlineStr">
        <is>
          <t>2026-10_мультфильмы_список_владельца.xlsx; https://animator.ru/db/?p=show_film&amp;fid=5383</t>
        </is>
      </c>
      <c r="M4695" s="2">
        <f>HYPERLINK("https://ru.wikipedia.org/w/index.php?search=%D0%A7%D0%B5%D0%BC%D0%BF%D0%B8%D0%BE%D0%BD%20%D0%B2%20%D0%BB%D0%B5%D1%81%D1%83%201977%20%D1%84%D0%B8%D0%BB%D1%8C%D0%BC","искать")</f>
        <v/>
      </c>
      <c r="N4695" s="3" t="n"/>
      <c r="O4695" s="2" t="n"/>
      <c r="P4695" s="2" t="n"/>
    </row>
    <row r="4696">
      <c r="A4696" s="2" t="n">
        <v>4695</v>
      </c>
      <c r="B4696" s="2" t="inlineStr">
        <is>
          <t>короткая</t>
        </is>
      </c>
      <c r="C4696" s="2" t="n">
        <v>14390</v>
      </c>
      <c r="D4696" s="3" t="inlineStr">
        <is>
          <t>Отъезд</t>
        </is>
      </c>
      <c r="E4696" s="2" t="n">
        <v>1991</v>
      </c>
      <c r="F4696" s="2" t="inlineStr">
        <is>
          <t>мультфильм</t>
        </is>
      </c>
      <c r="G4696" s="2" t="inlineStr">
        <is>
          <t>ТАЛЛИННФИЛЬМ</t>
        </is>
      </c>
      <c r="H4696" s="2" t="n">
        <v>224</v>
      </c>
      <c r="I4696" s="2" t="inlineStr"/>
      <c r="J4696" s="2" t="inlineStr"/>
      <c r="K4696" s="3" t="inlineStr">
        <is>
          <t>Движется поезд - и в каждом вагоне люди разных групп, социальных слоев, характеров. И невозможным кажется уютная простая жизнь. И все, что дорого уплывает из рук... XX МКФ в Твмпере (1992) - диплом и премия молодежного жюри.</t>
        </is>
      </c>
      <c r="L4696" s="2" t="inlineStr">
        <is>
          <t>https://animator.ru/db/?p=show_film&amp;fid=6435</t>
        </is>
      </c>
      <c r="M4696" s="2">
        <f>HYPERLINK("https://ru.wikipedia.org/w/index.php?search=%D0%9E%D1%82%D1%8A%D0%B5%D0%B7%D0%B4%201991%20%D1%84%D0%B8%D0%BB%D1%8C%D0%BC","искать")</f>
        <v/>
      </c>
      <c r="N4696" s="3" t="n"/>
      <c r="O4696" s="2" t="n"/>
      <c r="P4696" s="2" t="n"/>
    </row>
    <row r="4697">
      <c r="A4697" s="2" t="n">
        <v>4696</v>
      </c>
      <c r="B4697" s="2" t="inlineStr">
        <is>
          <t>короткая</t>
        </is>
      </c>
      <c r="C4697" s="2" t="n">
        <v>8468</v>
      </c>
      <c r="D4697" s="3" t="inlineStr">
        <is>
          <t>Тревожная ночь</t>
        </is>
      </c>
      <c r="E4697" s="2" t="n">
        <v>1958</v>
      </c>
      <c r="F4697" s="2" t="inlineStr">
        <is>
          <t>телефильм</t>
        </is>
      </c>
      <c r="G4697" s="2" t="n"/>
      <c r="H4697" s="2" t="n">
        <v>225</v>
      </c>
      <c r="I4697" s="2" t="inlineStr"/>
      <c r="J4697" s="2" t="inlineStr"/>
      <c r="K4697" s="3" t="inlineStr">
        <is>
          <t>В одну из ночей октября 1917 года в семье Стародубцевых сталкиваются разные взгляды на революцию. Анна не понимает участия своего мужа в контрреволюционном заговоре, тогда как ее младшая сестра Мария поддерживает большевиков.</t>
        </is>
      </c>
      <c r="L4697" s="2" t="inlineStr">
        <is>
          <t>Кино_СССР сводный каталог.xlsx: список телефильмов</t>
        </is>
      </c>
      <c r="M4697" s="2">
        <f>HYPERLINK("https://ru.wikipedia.org/w/index.php?search=%D0%A2%D1%80%D0%B5%D0%B2%D0%BE%D0%B6%D0%BD%D0%B0%D1%8F%20%D0%BD%D0%BE%D1%87%D1%8C%201958%20%D1%84%D0%B8%D0%BB%D1%8C%D0%BC","искать")</f>
        <v/>
      </c>
      <c r="N4697" s="3" t="n"/>
      <c r="O4697" s="2" t="n"/>
      <c r="P4697" s="2" t="n"/>
    </row>
    <row r="4698">
      <c r="A4698" s="2" t="n">
        <v>4697</v>
      </c>
      <c r="B4698" s="2" t="inlineStr">
        <is>
          <t>короткая</t>
        </is>
      </c>
      <c r="C4698" s="2" t="n">
        <v>9106</v>
      </c>
      <c r="D4698" s="3" t="inlineStr">
        <is>
          <t>Топинамбуры</t>
        </is>
      </c>
      <c r="E4698" s="2" t="n">
        <v>1987</v>
      </c>
      <c r="F4698" s="2" t="inlineStr">
        <is>
          <t>кинофильм</t>
        </is>
      </c>
      <c r="G4698" s="2" t="n"/>
      <c r="H4698" s="2" t="n">
        <v>225</v>
      </c>
      <c r="I4698" s="2" t="inlineStr"/>
      <c r="J4698" s="2" t="inlineStr"/>
      <c r="K4698" s="3" t="inlineStr">
        <is>
          <t>Музыкальный фильм по мотивам рассказов Н. Носова. Увлекательные приключения двух мальчуганов-проказников Миши Козлова и Коли Синицына. Песни к фильму исполняет Большой детский хор Центрального телевидения и Всесоюзного радио.</t>
        </is>
      </c>
      <c r="L4698" s="2" t="inlineStr">
        <is>
          <t>Кино_СССР сводный каталог.xlsx: список фильмов (доп.)</t>
        </is>
      </c>
      <c r="M4698" s="2">
        <f>HYPERLINK("https://ru.wikipedia.org/w/index.php?search=%D0%A2%D0%BE%D0%BF%D0%B8%D0%BD%D0%B0%D0%BC%D0%B1%D1%83%D1%80%D1%8B%201987%20%D1%84%D0%B8%D0%BB%D1%8C%D0%BC","искать")</f>
        <v/>
      </c>
      <c r="N4698" s="3" t="n"/>
      <c r="O4698" s="2" t="n"/>
      <c r="P4698" s="2" t="n"/>
    </row>
    <row r="4699">
      <c r="A4699" s="2" t="n">
        <v>4698</v>
      </c>
      <c r="B4699" s="2" t="inlineStr">
        <is>
          <t>короткая</t>
        </is>
      </c>
      <c r="C4699" s="2" t="n">
        <v>10017</v>
      </c>
      <c r="D4699" s="3" t="inlineStr">
        <is>
          <t>... а шарик летит</t>
        </is>
      </c>
      <c r="E4699" s="2" t="n">
        <v>1987</v>
      </c>
      <c r="F4699" s="2" t="inlineStr">
        <is>
          <t>телефильм</t>
        </is>
      </c>
      <c r="G4699" s="2" t="inlineStr">
        <is>
          <t>Одесская киностудия</t>
        </is>
      </c>
      <c r="H4699" s="2" t="n">
        <v>225</v>
      </c>
      <c r="I4699" s="2" t="inlineStr"/>
      <c r="J4699" s="2" t="inlineStr"/>
      <c r="K4699" s="3" t="inlineStr">
        <is>
          <t>Телефильм.
Девочка Женя стремится быть лидером среди подростков: она на головокружительной высоте переходит с одной крыши на другую, ничего, кроме мышей, не боится... Фильм рассказывает об одном дне девочки - дне ее рождения.</t>
        </is>
      </c>
      <c r="L4699" s="2" t="inlineStr">
        <is>
          <t>https://www.kino-teatr.ru/short/movie/sov/80744/annot/</t>
        </is>
      </c>
      <c r="M4699" s="2">
        <f>HYPERLINK("https://ru.wikipedia.org/w/index.php?search=...%20%D0%B0%20%D1%88%D0%B0%D1%80%D0%B8%D0%BA%20%D0%BB%D0%B5%D1%82%D0%B8%D1%82%201987%20%D1%84%D0%B8%D0%BB%D1%8C%D0%BC","искать")</f>
        <v/>
      </c>
      <c r="N4699" s="3" t="n"/>
      <c r="O4699" s="2" t="n"/>
      <c r="P4699" s="2" t="n"/>
    </row>
    <row r="4700">
      <c r="A4700" s="2" t="n">
        <v>4699</v>
      </c>
      <c r="B4700" s="2" t="inlineStr">
        <is>
          <t>короткая</t>
        </is>
      </c>
      <c r="C4700" s="2" t="n">
        <v>12512</v>
      </c>
      <c r="D4700" s="3" t="inlineStr">
        <is>
          <t>Почему у петуха короткие штаны</t>
        </is>
      </c>
      <c r="E4700" s="2" t="n">
        <v>1966</v>
      </c>
      <c r="F4700" s="2" t="inlineStr">
        <is>
          <t>мультфильм</t>
        </is>
      </c>
      <c r="G4700" s="2" t="inlineStr">
        <is>
          <t>КИЕВНАУЧФИЛЬМ</t>
        </is>
      </c>
      <c r="H4700" s="2" t="n">
        <v>225</v>
      </c>
      <c r="I4700" s="2" t="inlineStr"/>
      <c r="J4700" s="2" t="inlineStr"/>
      <c r="K4700" s="3" t="inlineStr">
        <is>
          <t>Щеголь Петух купил себе на ярмарке штаны. Но вот беда - они оказались слишком велики. Помочь Пете решают его соседи. Только каждый из них приходит укорачивать штаны со своей меркой. И в результате штаны стали совсем короткими</t>
        </is>
      </c>
      <c r="L4700" s="2" t="inlineStr">
        <is>
          <t>https://gosfilmofond.ru/films/254243/</t>
        </is>
      </c>
      <c r="M4700" s="2">
        <f>HYPERLINK("https://ru.wikipedia.org/w/index.php?search=%D0%9F%D0%BE%D1%87%D0%B5%D0%BC%D1%83%20%D1%83%20%D0%BF%D0%B5%D1%82%D1%83%D1%85%D0%B0%20%D0%BA%D0%BE%D1%80%D0%BE%D1%82%D0%BA%D0%B8%D0%B5%20%D1%88%D1%82%D0%B0%D0%BD%D1%8B%201966%20%D1%84%D0%B8%D0%BB%D1%8C%D0%BC","искать")</f>
        <v/>
      </c>
      <c r="N4700" s="3" t="n"/>
      <c r="O4700" s="2" t="n"/>
      <c r="P4700" s="2" t="n"/>
    </row>
    <row r="4701">
      <c r="A4701" s="2" t="n">
        <v>4700</v>
      </c>
      <c r="B4701" s="2" t="inlineStr">
        <is>
          <t>короткая</t>
        </is>
      </c>
      <c r="C4701" s="2" t="n">
        <v>7950</v>
      </c>
      <c r="D4701" s="3" t="inlineStr">
        <is>
          <t>Нас водила молодость...</t>
        </is>
      </c>
      <c r="E4701" s="2" t="n">
        <v>1986</v>
      </c>
      <c r="F4701" s="2" t="inlineStr">
        <is>
          <t>телефильм</t>
        </is>
      </c>
      <c r="G4701" s="2" t="n"/>
      <c r="H4701" s="2" t="n">
        <v>226</v>
      </c>
      <c r="I4701" s="2" t="inlineStr"/>
      <c r="J4701" s="2" t="inlineStr"/>
      <c r="K4701" s="3" t="inlineStr">
        <is>
          <t>Телесериал по мотивам повестей Григория Мирошниченко «Юнармия» и «Именем революции». О ребятах из рабочего поселка Невинка, создавших боевой отряд в помощь Красной Армии. Действие происходит в годы Гражданской войны на Кубани.</t>
        </is>
      </c>
      <c r="L4701" s="2" t="inlineStr">
        <is>
          <t>Кино_СССР сводный каталог.xlsx: список телефильмов</t>
        </is>
      </c>
      <c r="M4701" s="2">
        <f>HYPERLINK("https://ru.wikipedia.org/w/index.php?search=%D0%9D%D0%B0%D1%81%20%D0%B2%D0%BE%D0%B4%D0%B8%D0%BB%D0%B0%20%D0%BC%D0%BE%D0%BB%D0%BE%D0%B4%D0%BE%D1%81%D1%82%D1%8C...%201986%20%D1%84%D0%B8%D0%BB%D1%8C%D0%BC","искать")</f>
        <v/>
      </c>
      <c r="N4701" s="3" t="n"/>
      <c r="O4701" s="2" t="n"/>
      <c r="P4701" s="2" t="n"/>
    </row>
    <row r="4702">
      <c r="A4702" s="2" t="n">
        <v>4701</v>
      </c>
      <c r="B4702" s="2" t="inlineStr">
        <is>
          <t>короткая</t>
        </is>
      </c>
      <c r="C4702" s="2" t="n">
        <v>8193</v>
      </c>
      <c r="D4702" s="3" t="inlineStr">
        <is>
          <t>Претендент</t>
        </is>
      </c>
      <c r="E4702" s="2" t="n">
        <v>1987</v>
      </c>
      <c r="F4702" s="2" t="inlineStr">
        <is>
          <t>телефильм</t>
        </is>
      </c>
      <c r="G4702" s="2" t="n"/>
      <c r="H4702" s="2" t="n">
        <v>226</v>
      </c>
      <c r="I4702" s="2" t="inlineStr"/>
      <c r="J4702" s="2" t="inlineStr"/>
      <c r="K4702" s="3" t="inlineStr">
        <is>
          <t>Тележурналисту поручают подготовить передачу о знаменитом ведущем Тони Брэдли, погибшем в автокатастрофе. Собирая материал, он приходит к выводу, что смерть телезвезды была неслучайной. По роману Эла Моргана «Великий человек».</t>
        </is>
      </c>
      <c r="L4702" s="2" t="inlineStr">
        <is>
          <t>Кино_СССР сводный каталог.xlsx: список телефильмов</t>
        </is>
      </c>
      <c r="M4702" s="2">
        <f>HYPERLINK("https://ru.wikipedia.org/w/index.php?search=%D0%9F%D1%80%D0%B5%D1%82%D0%B5%D0%BD%D0%B4%D0%B5%D0%BD%D1%82%201987%20%D1%84%D0%B8%D0%BB%D1%8C%D0%BC","искать")</f>
        <v/>
      </c>
      <c r="N4702" s="3" t="n"/>
      <c r="O4702" s="2" t="n"/>
      <c r="P4702" s="2" t="n"/>
    </row>
    <row r="4703">
      <c r="A4703" s="2" t="n">
        <v>4702</v>
      </c>
      <c r="B4703" s="2" t="inlineStr">
        <is>
          <t>короткая</t>
        </is>
      </c>
      <c r="C4703" s="2" t="n">
        <v>8611</v>
      </c>
      <c r="D4703" s="3" t="inlineStr">
        <is>
          <t>Я и мои соседи</t>
        </is>
      </c>
      <c r="E4703" s="2" t="n">
        <v>1973</v>
      </c>
      <c r="F4703" s="2" t="inlineStr">
        <is>
          <t>телефильм</t>
        </is>
      </c>
      <c r="G4703" s="2" t="n"/>
      <c r="H4703" s="2" t="n">
        <v>226</v>
      </c>
      <c r="I4703" s="2" t="inlineStr"/>
      <c r="J4703" s="2" t="inlineStr"/>
      <c r="K4703" s="3" t="inlineStr">
        <is>
          <t>Ученик машиниста Гоги любит Тинико. Каждый раз, проезжая мимо ее дома, он надеется увидеть девушку в окне. Но отец никуда не отпускает Тинико одну. И все-таки молодым удается встретиться, обманув бдительного строгого родителя.</t>
        </is>
      </c>
      <c r="L4703" s="2" t="inlineStr">
        <is>
          <t>Кино_СССР сводный каталог.xlsx: список телефильмов</t>
        </is>
      </c>
      <c r="M4703" s="2">
        <f>HYPERLINK("https://ru.wikipedia.org/w/index.php?search=%D0%AF%20%D0%B8%20%D0%BC%D0%BE%D0%B8%20%D1%81%D0%BE%D1%81%D0%B5%D0%B4%D0%B8%201973%20%D1%84%D0%B8%D0%BB%D1%8C%D0%BC","искать")</f>
        <v/>
      </c>
      <c r="N4703" s="3" t="n"/>
      <c r="O4703" s="2" t="n"/>
      <c r="P4703" s="2" t="n"/>
    </row>
    <row r="4704">
      <c r="A4704" s="2" t="n">
        <v>4703</v>
      </c>
      <c r="B4704" s="2" t="inlineStr">
        <is>
          <t>короткая</t>
        </is>
      </c>
      <c r="C4704" s="2" t="n">
        <v>8987</v>
      </c>
      <c r="D4704" s="3" t="inlineStr">
        <is>
          <t>Прорыв</t>
        </is>
      </c>
      <c r="E4704" s="2" t="n">
        <v>1991</v>
      </c>
      <c r="F4704" s="2" t="inlineStr">
        <is>
          <t>кинофильм</t>
        </is>
      </c>
      <c r="G4704" s="2" t="n"/>
      <c r="H4704" s="2" t="n">
        <v>226</v>
      </c>
      <c r="I4704" s="2" t="inlineStr"/>
      <c r="J4704" s="2" t="inlineStr"/>
      <c r="K4704" s="3" t="inlineStr">
        <is>
          <t>История одной экстремальной ситуации на южной границе нашей страны, возникшей в результате контрабандной переброски крупной партии наркотиков. Фильм посвящается 100-летию со дня учреждения Отдельного корпуса Пограничной стражи</t>
        </is>
      </c>
      <c r="L4704" s="2" t="inlineStr">
        <is>
          <t>Кино_СССР сводный каталог.xlsx: список фильмов (доп.)</t>
        </is>
      </c>
      <c r="M4704" s="2">
        <f>HYPERLINK("https://ru.wikipedia.org/w/index.php?search=%D0%9F%D1%80%D0%BE%D1%80%D1%8B%D0%B2%201991%20%D1%84%D0%B8%D0%BB%D1%8C%D0%BC","искать")</f>
        <v/>
      </c>
      <c r="N4704" s="3" t="n"/>
      <c r="O4704" s="2" t="n"/>
      <c r="P4704" s="2" t="n"/>
    </row>
    <row r="4705">
      <c r="A4705" s="2" t="n">
        <v>4704</v>
      </c>
      <c r="B4705" s="2" t="inlineStr">
        <is>
          <t>короткая</t>
        </is>
      </c>
      <c r="C4705" s="2" t="n">
        <v>11898</v>
      </c>
      <c r="D4705" s="3" t="inlineStr">
        <is>
          <t>Волшебное кольцо</t>
        </is>
      </c>
      <c r="E4705" s="2" t="n">
        <v>1979</v>
      </c>
      <c r="F4705" s="2" t="inlineStr">
        <is>
          <t>мультфильм</t>
        </is>
      </c>
      <c r="G4705" s="2" t="inlineStr">
        <is>
          <t>Союзмультфильм</t>
        </is>
      </c>
      <c r="H4705" s="2" t="n">
        <v>226</v>
      </c>
      <c r="I4705" s="2" t="inlineStr"/>
      <c r="J4705" s="2" t="inlineStr"/>
      <c r="K4705" s="3" t="inlineStr">
        <is>
          <t>Фильм по сказке Б. Шергина о том, как крестьянский парень Ванька, благодаря своей доброте, восторжествовал над глупым, расчетливым царем и его семейством.— Мужичок, вы пошто животину тираните?— Да вот, змею воздушную запускаю!</t>
        </is>
      </c>
      <c r="L4705" s="2" t="inlineStr">
        <is>
          <t>2026-10_мультфильмы_список_владельца.xlsx; https://animator.ru/db/?p=show_film&amp;fid=2813</t>
        </is>
      </c>
      <c r="M4705" s="2">
        <f>HYPERLINK("https://ru.wikipedia.org/w/index.php?search=%D0%92%D0%BE%D0%BB%D1%88%D0%B5%D0%B1%D0%BD%D0%BE%D0%B5%20%D0%BA%D0%BE%D0%BB%D1%8C%D1%86%D0%BE%201979%20%D1%84%D0%B8%D0%BB%D1%8C%D0%BC","искать")</f>
        <v/>
      </c>
      <c r="N4705" s="3" t="n"/>
      <c r="O4705" s="2" t="n"/>
      <c r="P4705" s="2" t="n"/>
    </row>
    <row r="4706">
      <c r="A4706" s="2" t="n">
        <v>4705</v>
      </c>
      <c r="B4706" s="2" t="inlineStr">
        <is>
          <t>короткая</t>
        </is>
      </c>
      <c r="C4706" s="2" t="n">
        <v>12004</v>
      </c>
      <c r="D4706" s="3" t="inlineStr">
        <is>
          <t>Волшебное лекарство</t>
        </is>
      </c>
      <c r="E4706" s="2" t="n">
        <v>1982</v>
      </c>
      <c r="F4706" s="2" t="inlineStr">
        <is>
          <t>мультфильм</t>
        </is>
      </c>
      <c r="G4706" s="2" t="inlineStr">
        <is>
          <t>Союзмультфильм</t>
        </is>
      </c>
      <c r="H4706" s="2" t="n">
        <v>226</v>
      </c>
      <c r="I4706" s="2" t="inlineStr"/>
      <c r="J4706" s="2" t="inlineStr"/>
      <c r="K4706" s="3" t="inlineStr">
        <is>
          <t>Современная сказка о том, как мальчик, которого обозвали трусом, решил отомстить ребятам с помощью волшебной таблетки, но вскоре понял, что быть злопамятным нехорошо и судить об окружающих по первому впечатлению несправедливо.</t>
        </is>
      </c>
      <c r="L4706" s="2" t="inlineStr">
        <is>
          <t>https://animator.ru/db/?p=show_film&amp;fid=3118</t>
        </is>
      </c>
      <c r="M4706" s="2">
        <f>HYPERLINK("https://ru.wikipedia.org/w/index.php?search=%D0%92%D0%BE%D0%BB%D1%88%D0%B5%D0%B1%D0%BD%D0%BE%D0%B5%20%D0%BB%D0%B5%D0%BA%D0%B0%D1%80%D1%81%D1%82%D0%B2%D0%BE%201982%20%D1%84%D0%B8%D0%BB%D1%8C%D0%BC","искать")</f>
        <v/>
      </c>
      <c r="N4706" s="3" t="n"/>
      <c r="O4706" s="2" t="n"/>
      <c r="P4706" s="2" t="n"/>
    </row>
    <row r="4707">
      <c r="A4707" s="2" t="n">
        <v>4706</v>
      </c>
      <c r="B4707" s="2" t="inlineStr">
        <is>
          <t>короткая</t>
        </is>
      </c>
      <c r="C4707" s="2" t="n">
        <v>7721</v>
      </c>
      <c r="D4707" s="3" t="inlineStr">
        <is>
          <t>Карусель</t>
        </is>
      </c>
      <c r="E4707" s="2" t="n">
        <v>1983</v>
      </c>
      <c r="F4707" s="2" t="inlineStr">
        <is>
          <t>телефильм</t>
        </is>
      </c>
      <c r="G4707" s="2" t="n"/>
      <c r="H4707" s="2" t="n">
        <v>227</v>
      </c>
      <c r="I4707" s="2" t="inlineStr"/>
      <c r="J4707" s="2" t="inlineStr"/>
      <c r="K4707" s="3" t="inlineStr">
        <is>
          <t>Телефильм. Случайное знакомство скульптора Анны и химика Льва вполне может перерасти в глубокое чувство. Но с быстротой крутящейся карусели сменяют друг друга комические ситуации, которые то отдаляют, то сближают героев фильма.</t>
        </is>
      </c>
      <c r="L4707" s="2" t="inlineStr">
        <is>
          <t>Кино_СССР сводный каталог.xlsx: список телефильмов</t>
        </is>
      </c>
      <c r="M4707" s="2">
        <f>HYPERLINK("https://ru.wikipedia.org/w/index.php?search=%D0%9A%D0%B0%D1%80%D1%83%D1%81%D0%B5%D0%BB%D1%8C%201983%20%D1%84%D0%B8%D0%BB%D1%8C%D0%BC","искать")</f>
        <v/>
      </c>
      <c r="N4707" s="3" t="n"/>
      <c r="O4707" s="2" t="n"/>
      <c r="P4707" s="2" t="n"/>
    </row>
    <row r="4708">
      <c r="A4708" s="2" t="n">
        <v>4707</v>
      </c>
      <c r="B4708" s="2" t="inlineStr">
        <is>
          <t>короткая</t>
        </is>
      </c>
      <c r="C4708" s="2" t="n">
        <v>8160</v>
      </c>
      <c r="D4708" s="3" t="inlineStr">
        <is>
          <t>Понедельник - день обычный</t>
        </is>
      </c>
      <c r="E4708" s="2" t="n">
        <v>1984</v>
      </c>
      <c r="F4708" s="2" t="inlineStr">
        <is>
          <t>телефильм</t>
        </is>
      </c>
      <c r="G4708" s="2" t="n"/>
      <c r="H4708" s="2" t="n">
        <v>227</v>
      </c>
      <c r="I4708" s="2" t="inlineStr"/>
      <c r="J4708" s="2" t="inlineStr"/>
      <c r="K4708" s="3" t="inlineStr">
        <is>
          <t>Телефильм. Киноповесть об обычном рабочем дне председателя горисполкома Рамаза Павловича Авалиани. К нему на прием приходят разные люди, с разными целями и всем он старается помочь, вникнуть во все просьбы, разрешить все споры.</t>
        </is>
      </c>
      <c r="L4708" s="2" t="inlineStr">
        <is>
          <t>Кино_СССР сводный каталог.xlsx: список телефильмов</t>
        </is>
      </c>
      <c r="M4708" s="2">
        <f>HYPERLINK("https://ru.wikipedia.org/w/index.php?search=%D0%9F%D0%BE%D0%BD%D0%B5%D0%B4%D0%B5%D0%BB%D1%8C%D0%BD%D0%B8%D0%BA%20-%20%D0%B4%D0%B5%D0%BD%D1%8C%20%D0%BE%D0%B1%D1%8B%D1%87%D0%BD%D1%8B%D0%B9%201984%20%D1%84%D0%B8%D0%BB%D1%8C%D0%BC","искать")</f>
        <v/>
      </c>
      <c r="N4708" s="3" t="n"/>
      <c r="O4708" s="2" t="n"/>
      <c r="P4708" s="2" t="n"/>
    </row>
    <row r="4709">
      <c r="A4709" s="2" t="n">
        <v>4708</v>
      </c>
      <c r="B4709" s="2" t="inlineStr">
        <is>
          <t>короткая</t>
        </is>
      </c>
      <c r="C4709" s="2" t="n">
        <v>11173</v>
      </c>
      <c r="D4709" s="3" t="inlineStr">
        <is>
          <t>На дне</t>
        </is>
      </c>
      <c r="E4709" s="2" t="n">
        <v>1987</v>
      </c>
      <c r="F4709" s="2" t="inlineStr">
        <is>
          <t>фильм-спектакль</t>
        </is>
      </c>
      <c r="G4709" s="2" t="inlineStr">
        <is>
          <t>Арменфильм</t>
        </is>
      </c>
      <c r="H4709" s="2" t="n">
        <v>227</v>
      </c>
      <c r="I4709" s="2" t="inlineStr"/>
      <c r="J4709" s="2" t="inlineStr"/>
      <c r="K4709" s="3" t="inlineStr">
        <is>
          <t>По мотивам одноименной пьесы М.Горького.
Действие разворачивается “на дне” общества, в ночлежке, разнохарактерные обитатели которой ведут каждодневную борьбу за существование, перемежающуюся с отчаянными спорами о смысле жизни.</t>
        </is>
      </c>
      <c r="L4709" s="2" t="inlineStr">
        <is>
          <t>https://www.kino-teatr.ru/teatr/movie/11073/annot/</t>
        </is>
      </c>
      <c r="M4709" s="2">
        <f>HYPERLINK("https://ru.wikipedia.org/w/index.php?search=%D0%9D%D0%B0%20%D0%B4%D0%BD%D0%B5%201987%20%D1%84%D0%B8%D0%BB%D1%8C%D0%BC","искать")</f>
        <v/>
      </c>
      <c r="N4709" s="3" t="n"/>
      <c r="O4709" s="2" t="n"/>
      <c r="P4709" s="2" t="n"/>
    </row>
    <row r="4710">
      <c r="A4710" s="2" t="n">
        <v>4709</v>
      </c>
      <c r="B4710" s="2" t="inlineStr">
        <is>
          <t>короткая</t>
        </is>
      </c>
      <c r="C4710" s="2" t="n">
        <v>11292</v>
      </c>
      <c r="D4710" s="3" t="inlineStr">
        <is>
          <t>Юбилейное танго</t>
        </is>
      </c>
      <c r="E4710" s="2" t="n">
        <v>1989</v>
      </c>
      <c r="F4710" s="2" t="inlineStr">
        <is>
          <t>фильм-спектакль</t>
        </is>
      </c>
      <c r="G4710" s="2" t="inlineStr">
        <is>
          <t>Главная редакция литературно-драматических программ ЦТ</t>
        </is>
      </c>
      <c r="H4710" s="2" t="n">
        <v>227</v>
      </c>
      <c r="I4710" s="2" t="inlineStr"/>
      <c r="J4710" s="2" t="inlineStr"/>
      <c r="K4710" s="3" t="inlineStr">
        <is>
          <t>Начальник цеха Шухов, возглавив госприемку на своем заводе, вскоре зазнался, стал высокомерно относиться к товарищам по работе, "вызывать на ковер" подчиненных. Вот почему на его 50-летие никто из приглашенных коллег не пришел.</t>
        </is>
      </c>
      <c r="L4710" s="2" t="inlineStr">
        <is>
          <t>https://www.kino-teatr.ru/teatr/movie/15456/annot/</t>
        </is>
      </c>
      <c r="M4710" s="2">
        <f>HYPERLINK("https://ru.wikipedia.org/w/index.php?search=%D0%AE%D0%B1%D0%B8%D0%BB%D0%B5%D0%B9%D0%BD%D0%BE%D0%B5%20%D1%82%D0%B0%D0%BD%D0%B3%D0%BE%201989%20%D1%84%D0%B8%D0%BB%D1%8C%D0%BC","искать")</f>
        <v/>
      </c>
      <c r="N4710" s="3" t="n"/>
      <c r="O4710" s="2" t="n"/>
      <c r="P4710" s="2" t="n"/>
    </row>
    <row r="4711">
      <c r="A4711" s="2" t="n">
        <v>4710</v>
      </c>
      <c r="B4711" s="2" t="inlineStr">
        <is>
          <t>короткая</t>
        </is>
      </c>
      <c r="C4711" s="2" t="n">
        <v>12534</v>
      </c>
      <c r="D4711" s="3" t="inlineStr">
        <is>
          <t>Растрепанный воробей</t>
        </is>
      </c>
      <c r="E4711" s="2" t="n">
        <v>1967</v>
      </c>
      <c r="F4711" s="2" t="inlineStr">
        <is>
          <t>мультфильм</t>
        </is>
      </c>
      <c r="G4711" s="2" t="inlineStr">
        <is>
          <t>КИЕВНАУЧФИЛЬМ</t>
        </is>
      </c>
      <c r="H4711" s="2" t="n">
        <v>227</v>
      </c>
      <c r="I4711" s="2" t="inlineStr"/>
      <c r="J4711" s="2" t="inlineStr"/>
      <c r="K4711" s="3" t="inlineStr">
        <is>
          <t>По одноименной сказке Константина Паустовского о том, как маленький воробей Пашка в знак благодарности своей хозяйке девочке Маше бесстрашно проникает в жилище вороны, чтобы вернуть девочке отцовский подарок, украденный вороной</t>
        </is>
      </c>
      <c r="L4711" s="2" t="inlineStr">
        <is>
          <t>https://gosfilmofond.ru/films/254287/</t>
        </is>
      </c>
      <c r="M4711" s="2">
        <f>HYPERLINK("https://ru.wikipedia.org/w/index.php?search=%D0%A0%D0%B0%D1%81%D1%82%D1%80%D0%B5%D0%BF%D0%B0%D0%BD%D0%BD%D1%8B%D0%B9%20%D0%B2%D0%BE%D1%80%D0%BE%D0%B1%D0%B5%D0%B9%201967%20%D1%84%D0%B8%D0%BB%D1%8C%D0%BC","искать")</f>
        <v/>
      </c>
      <c r="N4711" s="3" t="n"/>
      <c r="O4711" s="2" t="n"/>
      <c r="P4711" s="2" t="n"/>
    </row>
    <row r="4712">
      <c r="A4712" s="2" t="n">
        <v>4711</v>
      </c>
      <c r="B4712" s="2" t="inlineStr">
        <is>
          <t>короткая</t>
        </is>
      </c>
      <c r="C4712" s="2" t="n">
        <v>8243</v>
      </c>
      <c r="D4712" s="3" t="inlineStr">
        <is>
          <t>Пуск</t>
        </is>
      </c>
      <c r="E4712" s="2" t="n">
        <v>1978</v>
      </c>
      <c r="F4712" s="2" t="inlineStr">
        <is>
          <t>телефильм</t>
        </is>
      </c>
      <c r="G4712" s="2" t="n"/>
      <c r="H4712" s="2" t="n">
        <v>228</v>
      </c>
      <c r="I4712" s="2" t="inlineStr"/>
      <c r="J4712" s="2" t="inlineStr"/>
      <c r="K4712" s="3" t="inlineStr">
        <is>
          <t>По пьесе Геннадия Бокарева. На заводе «Автодизель» готовят к пуску автоматическую линию по выпуску моторов. Неустранённые недоделки и работа в авральном режиме заставляют рабочих и инженеров разбираться в причинах происходящего.</t>
        </is>
      </c>
      <c r="L4712" s="2" t="inlineStr">
        <is>
          <t>Кино_СССР сводный каталог.xlsx: список телефильмов</t>
        </is>
      </c>
      <c r="M4712" s="2">
        <f>HYPERLINK("https://ru.wikipedia.org/w/index.php?search=%D0%9F%D1%83%D1%81%D0%BA%201978%20%D1%84%D0%B8%D0%BB%D1%8C%D0%BC","искать")</f>
        <v/>
      </c>
      <c r="N4712" s="3" t="n"/>
      <c r="O4712" s="2" t="n"/>
      <c r="P4712" s="2" t="n"/>
    </row>
    <row r="4713">
      <c r="A4713" s="2" t="n">
        <v>4712</v>
      </c>
      <c r="B4713" s="2" t="inlineStr">
        <is>
          <t>короткая</t>
        </is>
      </c>
      <c r="C4713" s="2" t="n">
        <v>8840</v>
      </c>
      <c r="D4713" s="3" t="inlineStr">
        <is>
          <t>Мне не забыть, не простить</t>
        </is>
      </c>
      <c r="E4713" s="2" t="n">
        <v>1990</v>
      </c>
      <c r="F4713" s="2" t="inlineStr">
        <is>
          <t>кинофильм</t>
        </is>
      </c>
      <c r="G4713" s="2" t="n"/>
      <c r="H4713" s="2" t="n">
        <v>228</v>
      </c>
      <c r="I4713" s="2" t="inlineStr"/>
      <c r="J4713" s="2" t="inlineStr"/>
      <c r="K4713" s="3" t="inlineStr">
        <is>
          <t>Дочери героя фильма срочно необходима помощь квалифицированного врача. В руках у него заветный адрес. Та, к которой он уже мчится через весь город, его узнает сразу. Но сейчас она — акушер-гинеколог, и ей предстоит тяжелая ночь.</t>
        </is>
      </c>
      <c r="L4713" s="2" t="inlineStr">
        <is>
          <t>Кино_СССР сводный каталог.xlsx: список фильмов (доп.)</t>
        </is>
      </c>
      <c r="M4713" s="2">
        <f>HYPERLINK("https://ru.wikipedia.org/w/index.php?search=%D0%9C%D0%BD%D0%B5%20%D0%BD%D0%B5%20%D0%B7%D0%B0%D0%B1%D1%8B%D1%82%D1%8C%2C%20%D0%BD%D0%B5%20%D0%BF%D1%80%D0%BE%D1%81%D1%82%D0%B8%D1%82%D1%8C%201990%20%D1%84%D0%B8%D0%BB%D1%8C%D0%BC","искать")</f>
        <v/>
      </c>
      <c r="N4713" s="3" t="n"/>
      <c r="O4713" s="2" t="n"/>
      <c r="P4713" s="2" t="n"/>
    </row>
    <row r="4714">
      <c r="A4714" s="2" t="n">
        <v>4713</v>
      </c>
      <c r="B4714" s="2" t="inlineStr">
        <is>
          <t>короткая</t>
        </is>
      </c>
      <c r="C4714" s="2" t="n">
        <v>9951</v>
      </c>
      <c r="D4714" s="3" t="inlineStr">
        <is>
          <t>Гость</t>
        </is>
      </c>
      <c r="E4714" s="2" t="n">
        <v>1980</v>
      </c>
      <c r="F4714" s="2" t="inlineStr">
        <is>
          <t>кинофильм</t>
        </is>
      </c>
      <c r="G4714" s="2" t="inlineStr">
        <is>
          <t>Одесская киностудия</t>
        </is>
      </c>
      <c r="H4714" s="2" t="n">
        <v>228</v>
      </c>
      <c r="I4714" s="2" t="inlineStr"/>
      <c r="J4714" s="2" t="inlineStr"/>
      <c r="K4714" s="3" t="inlineStr">
        <is>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is>
      </c>
      <c r="L4714" s="2" t="inlineStr">
        <is>
          <t>https://www.kino-teatr.ru/short/movie/sov/1491/annot/</t>
        </is>
      </c>
      <c r="M4714" s="2">
        <f>HYPERLINK("https://ru.wikipedia.org/w/index.php?search=%D0%93%D0%BE%D1%81%D1%82%D1%8C%201980%20%D1%84%D0%B8%D0%BB%D1%8C%D0%BC","искать")</f>
        <v/>
      </c>
      <c r="N4714" s="3" t="n"/>
      <c r="O4714" s="2" t="n"/>
      <c r="P4714" s="2" t="n"/>
    </row>
    <row r="4715">
      <c r="A4715" s="2" t="n">
        <v>4714</v>
      </c>
      <c r="B4715" s="2" t="inlineStr">
        <is>
          <t>короткая</t>
        </is>
      </c>
      <c r="C4715" s="2" t="n">
        <v>11074</v>
      </c>
      <c r="D4715" s="3" t="inlineStr">
        <is>
          <t>Пять романсов в старом доме</t>
        </is>
      </c>
      <c r="E4715" s="2" t="n">
        <v>1985</v>
      </c>
      <c r="F4715" s="2" t="inlineStr">
        <is>
          <t>фильм-спектакль</t>
        </is>
      </c>
      <c r="G4715" s="2" t="inlineStr">
        <is>
          <t>Ленинградское телевидение</t>
        </is>
      </c>
      <c r="H4715" s="2" t="n">
        <v>228</v>
      </c>
      <c r="I4715" s="2" t="inlineStr"/>
      <c r="J4715" s="2" t="inlineStr"/>
      <c r="K4715" s="3" t="inlineStr">
        <is>
          <t>По пьесе Владимира Арро.
Шуточное ли дело – ремонт в старом доме, более 100 лет служившим кровом для многих и разных судеб и поколений. И порой случайное знакомство с давней историей может в корне изменить привычный уклад жизни.</t>
        </is>
      </c>
      <c r="L4715" s="2" t="inlineStr">
        <is>
          <t>https://www.kino-teatr.ru/teatr/movie/124005/annot/</t>
        </is>
      </c>
      <c r="M4715" s="2">
        <f>HYPERLINK("https://ru.wikipedia.org/w/index.php?search=%D0%9F%D1%8F%D1%82%D1%8C%20%D1%80%D0%BE%D0%BC%D0%B0%D0%BD%D1%81%D0%BE%D0%B2%20%D0%B2%20%D1%81%D1%82%D0%B0%D1%80%D0%BE%D0%BC%20%D0%B4%D0%BE%D0%BC%D0%B5%201985%20%D1%84%D0%B8%D0%BB%D1%8C%D0%BC","искать")</f>
        <v/>
      </c>
      <c r="N4715" s="3" t="n"/>
      <c r="O4715" s="2" t="n"/>
      <c r="P4715" s="2" t="n"/>
    </row>
    <row r="4716">
      <c r="A4716" s="2" t="n">
        <v>4715</v>
      </c>
      <c r="B4716" s="2" t="inlineStr">
        <is>
          <t>короткая</t>
        </is>
      </c>
      <c r="C4716" s="2" t="n">
        <v>13523</v>
      </c>
      <c r="D4716" s="3" t="inlineStr">
        <is>
          <t>Потец</t>
        </is>
      </c>
      <c r="E4716" s="2" t="n">
        <v>1991</v>
      </c>
      <c r="F4716" s="2" t="inlineStr">
        <is>
          <t>мультфильм</t>
        </is>
      </c>
      <c r="G4716" s="2" t="inlineStr">
        <is>
          <t>СОЮЗТЕЛЕФИЛЬМ</t>
        </is>
      </c>
      <c r="H4716" s="2" t="n">
        <v>228</v>
      </c>
      <c r="I4716" s="2" t="inlineStr"/>
      <c r="J4716" s="2" t="inlineStr"/>
      <c r="K4716" s="3" t="inlineStr">
        <is>
          <t>По мотивам одноименного произведения А.Введенского. Отец пытается иносказательно объяснить детям значение слова "потец". Но сыновья требуют прямого ответа. Только в конце фильма становится ясно, что потец - это предсмертный пот.</t>
        </is>
      </c>
      <c r="L4716" s="2" t="inlineStr">
        <is>
          <t>https://animator.ru/db/?p=show_film&amp;fid=4835</t>
        </is>
      </c>
      <c r="M4716" s="2">
        <f>HYPERLINK("https://ru.wikipedia.org/w/index.php?search=%D0%9F%D0%BE%D1%82%D0%B5%D1%86%201991%20%D1%84%D0%B8%D0%BB%D1%8C%D0%BC","искать")</f>
        <v/>
      </c>
      <c r="N4716" s="3" t="n"/>
      <c r="O4716" s="2" t="n"/>
      <c r="P4716" s="2" t="n"/>
    </row>
    <row r="4717">
      <c r="A4717" s="2" t="n">
        <v>4716</v>
      </c>
      <c r="B4717" s="2" t="inlineStr">
        <is>
          <t>короткая</t>
        </is>
      </c>
      <c r="C4717" s="2" t="n">
        <v>14312</v>
      </c>
      <c r="D4717" s="3" t="inlineStr">
        <is>
          <t>Бочка</t>
        </is>
      </c>
      <c r="E4717" s="2" t="n">
        <v>1990</v>
      </c>
      <c r="F4717" s="2" t="inlineStr">
        <is>
          <t>мультфильм</t>
        </is>
      </c>
      <c r="G4717" s="2" t="inlineStr">
        <is>
          <t>СОЮЗТЕЛЕФИЛЬМ</t>
        </is>
      </c>
      <c r="H4717" s="2" t="n">
        <v>228</v>
      </c>
      <c r="I4717" s="2" t="inlineStr"/>
      <c r="J4717" s="2" t="inlineStr"/>
      <c r="K4717" s="3" t="inlineStr">
        <is>
          <t>По мотивам одноименного рассказа эстонского писателя Арво Валтона. Человек, одержимый идеей, заказал у бондаря большую бочку и поселился в ней, чтобы никто не мешал ему работать. В результате он оказался лишним в обществе людей.</t>
        </is>
      </c>
      <c r="L4717" s="2" t="inlineStr">
        <is>
          <t>https://animator.ru/db/?p=show_film&amp;fid=5858</t>
        </is>
      </c>
      <c r="M4717" s="2">
        <f>HYPERLINK("https://ru.wikipedia.org/w/index.php?search=%D0%91%D0%BE%D1%87%D0%BA%D0%B0%201990%20%D1%84%D0%B8%D0%BB%D1%8C%D0%BC","искать")</f>
        <v/>
      </c>
      <c r="N4717" s="3" t="n"/>
      <c r="O4717" s="2" t="n"/>
      <c r="P4717" s="2" t="n"/>
    </row>
    <row r="4718">
      <c r="A4718" s="2" t="n">
        <v>4717</v>
      </c>
      <c r="B4718" s="2" t="inlineStr">
        <is>
          <t>короткая</t>
        </is>
      </c>
      <c r="C4718" s="2" t="n">
        <v>8831</v>
      </c>
      <c r="D4718" s="3" t="inlineStr">
        <is>
          <t>Мёртвые без погребения, или Охота на крыс</t>
        </is>
      </c>
      <c r="E4718" s="2" t="n">
        <v>1991</v>
      </c>
      <c r="F4718" s="2" t="inlineStr">
        <is>
          <t>кинофильм</t>
        </is>
      </c>
      <c r="G4718" s="2" t="n"/>
      <c r="H4718" s="2" t="n">
        <v>229</v>
      </c>
      <c r="I4718" s="2" t="inlineStr"/>
      <c r="J4718" s="2" t="inlineStr"/>
      <c r="K4718" s="3" t="inlineStr">
        <is>
          <t>Фильм состоит из двух новелл. Первая, по рассказу Сартра: пять человек становятся жертвами нелепого случая и нуждаются в защите. В своем несчастье каждый обвиняет остальных четверых... В основе второй новеллы - любовный поединок.</t>
        </is>
      </c>
      <c r="L4718" s="2" t="inlineStr">
        <is>
          <t>Кино_СССР сводный каталог.xlsx: список фильмов (доп.)</t>
        </is>
      </c>
      <c r="M4718" s="2">
        <f>HYPERLINK("https://ru.wikipedia.org/w/index.php?search=%D0%9C%D1%91%D1%80%D1%82%D0%B2%D1%8B%D0%B5%20%D0%B1%D0%B5%D0%B7%20%D0%BF%D0%BE%D0%B3%D1%80%D0%B5%D0%B1%D0%B5%D0%BD%D0%B8%D1%8F%2C%20%D0%B8%D0%BB%D0%B8%20%D0%9E%D1%85%D0%BE%D1%82%D0%B0%20%D0%BD%D0%B0%20%D0%BA%D1%80%D1%8B%D1%81%201991%20%D1%84%D0%B8%D0%BB%D1%8C%D0%BC","искать")</f>
        <v/>
      </c>
      <c r="N4718" s="3" t="n"/>
      <c r="O4718" s="2" t="n"/>
      <c r="P4718" s="2" t="n"/>
    </row>
    <row r="4719">
      <c r="A4719" s="2" t="n">
        <v>4718</v>
      </c>
      <c r="B4719" s="2" t="inlineStr">
        <is>
          <t>короткая</t>
        </is>
      </c>
      <c r="C4719" s="2" t="n">
        <v>9866</v>
      </c>
      <c r="D4719" s="3" t="inlineStr">
        <is>
          <t>Фотография</t>
        </is>
      </c>
      <c r="E4719" s="2" t="n">
        <v>1969</v>
      </c>
      <c r="F4719" s="2" t="inlineStr">
        <is>
          <t>телефильм</t>
        </is>
      </c>
      <c r="G4719" s="2" t="inlineStr">
        <is>
          <t>студия т/ф “Ереван”</t>
        </is>
      </c>
      <c r="H4719" s="2" t="n">
        <v>229</v>
      </c>
      <c r="I4719" s="2" t="inlineStr"/>
      <c r="J4719" s="2" t="inlineStr"/>
      <c r="K4719" s="3" t="inlineStr">
        <is>
          <t>Сын Авага присылает с фронта свою фотографию и просит родных также сфотографироваться и прислать ему снимок. Но следом за фотографией приходит похоронка, и когда вся родня собирается перед фотоаппаратом, только Аваг знает правду.</t>
        </is>
      </c>
      <c r="L4719" s="2" t="inlineStr">
        <is>
          <t>https://www.kino-teatr.ru/short/movie/sov/15371/annot/</t>
        </is>
      </c>
      <c r="M4719" s="2">
        <f>HYPERLINK("https://ru.wikipedia.org/w/index.php?search=%D0%A4%D0%BE%D1%82%D0%BE%D0%B3%D1%80%D0%B0%D1%84%D0%B8%D1%8F%201969%20%D1%84%D0%B8%D0%BB%D1%8C%D0%BC","искать")</f>
        <v/>
      </c>
      <c r="N4719" s="3" t="n"/>
      <c r="O4719" s="2" t="n"/>
      <c r="P4719" s="2" t="n"/>
    </row>
    <row r="4720">
      <c r="A4720" s="2" t="n">
        <v>4719</v>
      </c>
      <c r="B4720" s="2" t="inlineStr">
        <is>
          <t>короткая</t>
        </is>
      </c>
      <c r="C4720" s="2" t="n">
        <v>10312</v>
      </c>
      <c r="D4720" s="3" t="inlineStr">
        <is>
          <t>Конец "Чёрных рыцарей"</t>
        </is>
      </c>
      <c r="E4720" s="2" t="n">
        <v>1969</v>
      </c>
      <c r="F4720" s="2" t="inlineStr">
        <is>
          <t>фильм-спектакль</t>
        </is>
      </c>
      <c r="G4720" s="2" t="inlineStr">
        <is>
          <t>Центральное телевидение</t>
        </is>
      </c>
      <c r="H4720" s="2" t="n">
        <v>229</v>
      </c>
      <c r="I4720" s="2" t="inlineStr"/>
      <c r="J4720" s="2" t="inlineStr"/>
      <c r="K4720" s="3" t="inlineStr">
        <is>
          <t>По мотивам одноименной повести Ивана Лебедева.
О разоблачении советскими разведчиками неонацистской организации "Черные рыцари", которая пыталась возродить фашистское движение в Европе. Действие происходит в 1956 году во Франции.</t>
        </is>
      </c>
      <c r="L4720" s="2" t="inlineStr">
        <is>
          <t>https://www.kino-teatr.ru/teatr/movie/92985/annot/</t>
        </is>
      </c>
      <c r="M4720" s="2">
        <f>HYPERLINK("https://ru.wikipedia.org/w/index.php?search=%D0%9A%D0%BE%D0%BD%D0%B5%D1%86%20%22%D0%A7%D1%91%D1%80%D0%BD%D1%8B%D1%85%20%D1%80%D1%8B%D1%86%D0%B0%D1%80%D0%B5%D0%B9%22%201969%20%D1%84%D0%B8%D0%BB%D1%8C%D0%BC","искать")</f>
        <v/>
      </c>
      <c r="N4720" s="3" t="n"/>
      <c r="O4720" s="2" t="n"/>
      <c r="P4720" s="2" t="n"/>
    </row>
    <row r="4721">
      <c r="A4721" s="2" t="n">
        <v>4720</v>
      </c>
      <c r="B4721" s="2" t="inlineStr">
        <is>
          <t>короткая</t>
        </is>
      </c>
      <c r="C4721" s="2" t="n">
        <v>12252</v>
      </c>
      <c r="D4721" s="3" t="inlineStr">
        <is>
          <t>Летели два верблюда</t>
        </is>
      </c>
      <c r="E4721" s="2" t="n">
        <v>1988</v>
      </c>
      <c r="F4721" s="2" t="inlineStr">
        <is>
          <t>мультфильм</t>
        </is>
      </c>
      <c r="G4721" s="2" t="inlineStr">
        <is>
          <t>Союзмультфильм</t>
        </is>
      </c>
      <c r="H4721" s="2" t="n">
        <v>229</v>
      </c>
      <c r="I4721" s="2" t="inlineStr"/>
      <c r="J4721" s="2" t="inlineStr"/>
      <c r="K4721" s="3" t="inlineStr">
        <is>
          <t>Пародия на музыкальные ансамбли, поющие бессмысленные песни. Не умеющие хорошо играть музыканты Ослик, Собака и Кот создают ансамбль, который как ни странно имеет успех, исполняя шлягер Летели два верблюда.С участием группы "СВ".</t>
        </is>
      </c>
      <c r="L4721" s="2" t="inlineStr">
        <is>
          <t>2026-10_мультфильмы_список_владельца.xlsx; https://animator.ru/db/?p=show_film&amp;fid=3369</t>
        </is>
      </c>
      <c r="M4721" s="2">
        <f>HYPERLINK("https://ru.wikipedia.org/w/index.php?search=%D0%9B%D0%B5%D1%82%D0%B5%D0%BB%D0%B8%20%D0%B4%D0%B2%D0%B0%20%D0%B2%D0%B5%D1%80%D0%B1%D0%BB%D1%8E%D0%B4%D0%B0%201988%20%D1%84%D0%B8%D0%BB%D1%8C%D0%BC","искать")</f>
        <v/>
      </c>
      <c r="N4721" s="3" t="n"/>
      <c r="O4721" s="2" t="n"/>
      <c r="P4721" s="2" t="n"/>
    </row>
    <row r="4722">
      <c r="A4722" s="2" t="n">
        <v>4721</v>
      </c>
      <c r="B4722" s="2" t="inlineStr">
        <is>
          <t>короткая</t>
        </is>
      </c>
      <c r="C4722" s="2" t="n">
        <v>7534</v>
      </c>
      <c r="D4722" s="3" t="inlineStr">
        <is>
          <t>Долгое эхо</t>
        </is>
      </c>
      <c r="E4722" s="2" t="n">
        <v>1983</v>
      </c>
      <c r="F4722" s="2" t="inlineStr">
        <is>
          <t>телефильм</t>
        </is>
      </c>
      <c r="G4722" s="2" t="n"/>
      <c r="H4722" s="2" t="n">
        <v>230</v>
      </c>
      <c r="I4722" s="2" t="inlineStr"/>
      <c r="J4722" s="2" t="inlineStr"/>
      <c r="K4722" s="3" t="inlineStr">
        <is>
          <t>По повести А.Михайленко "Обелиск". Фильм о чувстве долга молодых людей перед теми, кто во время Великой Отечественной войны отдал свои жизни. Молодому скульптору поручили высечь на памятнике имена жителей села, погибших за Родину.</t>
        </is>
      </c>
      <c r="L4722" s="2" t="inlineStr">
        <is>
          <t>Кино_СССР сводный каталог.xlsx: список телефильмов</t>
        </is>
      </c>
      <c r="M4722" s="2">
        <f>HYPERLINK("https://ru.wikipedia.org/w/index.php?search=%D0%94%D0%BE%D0%BB%D0%B3%D0%BE%D0%B5%20%D1%8D%D1%85%D0%BE%201983%20%D1%84%D0%B8%D0%BB%D1%8C%D0%BC","искать")</f>
        <v/>
      </c>
      <c r="N4722" s="3" t="n"/>
      <c r="O4722" s="2" t="n"/>
      <c r="P4722" s="2" t="n"/>
    </row>
    <row r="4723">
      <c r="A4723" s="2" t="n">
        <v>4722</v>
      </c>
      <c r="B4723" s="2" t="inlineStr">
        <is>
          <t>короткая</t>
        </is>
      </c>
      <c r="C4723" s="2" t="n">
        <v>9153</v>
      </c>
      <c r="D4723" s="3" t="inlineStr">
        <is>
          <t>Чардаш Монти</t>
        </is>
      </c>
      <c r="E4723" s="2" t="n">
        <v>1989</v>
      </c>
      <c r="F4723" s="2" t="inlineStr">
        <is>
          <t>кинофильм</t>
        </is>
      </c>
      <c r="G4723" s="2" t="n"/>
      <c r="H4723" s="2" t="n">
        <v>230</v>
      </c>
      <c r="I4723" s="2" t="inlineStr"/>
      <c r="J4723" s="2" t="inlineStr"/>
      <c r="K4723" s="3" t="inlineStr">
        <is>
          <t>Экранизация книги Вилиама Шикулы "Chrúst". В центре фильма судьба руководителя цыганского ансамбля Бунко. Кровная месть, музыка, человеческие судьбы - все переплелось в этой музыкальной драме. Действие происходит в Южной Словакии.</t>
        </is>
      </c>
      <c r="L4723" s="2" t="inlineStr">
        <is>
          <t>Кино_СССР сводный каталог.xlsx: список фильмов (доп.)</t>
        </is>
      </c>
      <c r="M4723" s="2">
        <f>HYPERLINK("https://ru.wikipedia.org/w/index.php?search=%D0%A7%D0%B0%D1%80%D0%B4%D0%B0%D1%88%20%D0%9C%D0%BE%D0%BD%D1%82%D0%B8%201989%20%D1%84%D0%B8%D0%BB%D1%8C%D0%BC","искать")</f>
        <v/>
      </c>
      <c r="N4723" s="3" t="n"/>
      <c r="O4723" s="2" t="n"/>
      <c r="P4723" s="2" t="n"/>
    </row>
    <row r="4724">
      <c r="A4724" s="2" t="n">
        <v>4723</v>
      </c>
      <c r="B4724" s="2" t="inlineStr">
        <is>
          <t>короткая</t>
        </is>
      </c>
      <c r="C4724" s="2" t="n">
        <v>10190</v>
      </c>
      <c r="D4724" s="3" t="inlineStr">
        <is>
          <t>День рождения Курочкина</t>
        </is>
      </c>
      <c r="E4724" s="2" t="n">
        <v>1967</v>
      </c>
      <c r="F4724" s="2" t="inlineStr">
        <is>
          <t>фильм-спектакль</t>
        </is>
      </c>
      <c r="G4724" s="2" t="inlineStr">
        <is>
          <t>Центральное телевидение</t>
        </is>
      </c>
      <c r="H4724" s="2" t="n">
        <v>230</v>
      </c>
      <c r="I4724" s="2" t="inlineStr"/>
      <c r="J4724" s="2" t="inlineStr"/>
      <c r="K4724" s="3" t="inlineStr">
        <is>
          <t>Вернувшись в пустую квартиру после работы, Курочкин вспоминает, что у него сегодня день рождения. Петр Иванович наливает в бокалы вино и вспоминает молодость, друзей, с которыми воевал, жену, которая не смогла с ним ужиться, дочь.</t>
        </is>
      </c>
      <c r="L4724" s="2" t="inlineStr">
        <is>
          <t>https://www.kino-teatr.ru/teatr/movie/136425/annot/</t>
        </is>
      </c>
      <c r="M4724" s="2">
        <f>HYPERLINK("https://ru.wikipedia.org/w/index.php?search=%D0%94%D0%B5%D0%BD%D1%8C%20%D1%80%D0%BE%D0%B6%D0%B4%D0%B5%D0%BD%D0%B8%D1%8F%20%D0%9A%D1%83%D1%80%D0%BE%D1%87%D0%BA%D0%B8%D0%BD%D0%B0%201967%20%D1%84%D0%B8%D0%BB%D1%8C%D0%BC","искать")</f>
        <v/>
      </c>
      <c r="N4724" s="3" t="n"/>
      <c r="O4724" s="2" t="n"/>
      <c r="P4724" s="2" t="n"/>
    </row>
    <row r="4725">
      <c r="A4725" s="2" t="n">
        <v>4724</v>
      </c>
      <c r="B4725" s="2" t="inlineStr">
        <is>
          <t>короткая</t>
        </is>
      </c>
      <c r="C4725" s="2" t="n">
        <v>12781</v>
      </c>
      <c r="D4725" s="3" t="inlineStr">
        <is>
          <t>Однажды</t>
        </is>
      </c>
      <c r="E4725" s="2" t="n">
        <v>1977</v>
      </c>
      <c r="F4725" s="2" t="inlineStr">
        <is>
          <t>мультфильм</t>
        </is>
      </c>
      <c r="G4725" s="2" t="inlineStr">
        <is>
          <t>АЗЕРБАЙДЖАНФИЛЬМ</t>
        </is>
      </c>
      <c r="H4725" s="2" t="n">
        <v>230</v>
      </c>
      <c r="I4725" s="2" t="inlineStr"/>
      <c r="J4725" s="2" t="inlineStr"/>
      <c r="K4725" s="3" t="inlineStr">
        <is>
          <t>Упавшая однажды с неба Звездочка попала к Лягушонку, Рыбке, Медведю, Осьминогу и вездесущему Воробью. Они хотели, чтобы Звездочка светила только им. Освободившись от притязаний, Звездочка снова полетела на небо, чтобы светить всем</t>
        </is>
      </c>
      <c r="L4725" s="2" t="inlineStr">
        <is>
          <t>https://gosfilmofond.ru/films/250589/</t>
        </is>
      </c>
      <c r="M4725" s="2">
        <f>HYPERLINK("https://ru.wikipedia.org/w/index.php?search=%D0%9E%D0%B4%D0%BD%D0%B0%D0%B6%D0%B4%D1%8B%201977%20%D1%84%D0%B8%D0%BB%D1%8C%D0%BC","искать")</f>
        <v/>
      </c>
      <c r="N4725" s="3" t="n"/>
      <c r="O4725" s="2" t="n"/>
      <c r="P4725" s="2" t="n"/>
    </row>
    <row r="4726">
      <c r="A4726" s="2" t="n">
        <v>4725</v>
      </c>
      <c r="B4726" s="2" t="inlineStr">
        <is>
          <t>короткая</t>
        </is>
      </c>
      <c r="C4726" s="2" t="n">
        <v>13935</v>
      </c>
      <c r="D4726" s="3" t="inlineStr">
        <is>
          <t>Узники Ямагири-Мару</t>
        </is>
      </c>
      <c r="E4726" s="2" t="n">
        <v>1988</v>
      </c>
      <c r="F4726" s="2" t="inlineStr">
        <is>
          <t>мультфильм</t>
        </is>
      </c>
      <c r="G4726" s="2" t="inlineStr">
        <is>
          <t>ЭКРАН</t>
        </is>
      </c>
      <c r="H4726" s="2" t="n">
        <v>230</v>
      </c>
      <c r="I4726" s="2" t="inlineStr"/>
      <c r="J4726" s="2" t="inlineStr"/>
      <c r="K4726" s="3" t="inlineStr">
        <is>
          <t>По повести Кира Булычева.Действие происходит в XXI веке. Московские школьники Алиса Селезнева и Пашка Гераскин, попав на остров в океане, отправились на поиски клада и едва не погибли, но сообразительность и мужество спасли ребят.</t>
        </is>
      </c>
      <c r="L4726" s="2" t="inlineStr">
        <is>
          <t>2026-10_мультфильмы_список_владельца.xlsx; https://animator.ru/db/?p=show_film&amp;fid=5329</t>
        </is>
      </c>
      <c r="M4726" s="2">
        <f>HYPERLINK("https://ru.wikipedia.org/w/index.php?search=%D0%A3%D0%B7%D0%BD%D0%B8%D0%BA%D0%B8%20%D0%AF%D0%BC%D0%B0%D0%B3%D0%B8%D1%80%D0%B8-%D0%9C%D0%B0%D1%80%D1%83%201988%20%D1%84%D0%B8%D0%BB%D1%8C%D0%BC","искать")</f>
        <v/>
      </c>
      <c r="N4726" s="3" t="n"/>
      <c r="O4726" s="2" t="n"/>
      <c r="P4726" s="2" t="n"/>
    </row>
    <row r="4727">
      <c r="A4727" s="2" t="n">
        <v>4726</v>
      </c>
      <c r="B4727" s="2" t="inlineStr">
        <is>
          <t>короткая</t>
        </is>
      </c>
      <c r="C4727" s="2" t="n">
        <v>14324</v>
      </c>
      <c r="D4727" s="3" t="inlineStr">
        <is>
          <t>Где же медвежонок?</t>
        </is>
      </c>
      <c r="E4727" s="2" t="n">
        <v>1979</v>
      </c>
      <c r="F4727" s="2" t="inlineStr">
        <is>
          <t>мультфильм</t>
        </is>
      </c>
      <c r="G4727" s="2" t="inlineStr">
        <is>
          <t>Союзмультфильм</t>
        </is>
      </c>
      <c r="H4727" s="2" t="n">
        <v>230</v>
      </c>
      <c r="I4727" s="2" t="inlineStr"/>
      <c r="J4727" s="2" t="inlineStr"/>
      <c r="K4727" s="3" t="inlineStr">
        <is>
          <t>Фильм посвящен Московской Олимпиаде-80. Он рассказывает о приключениях русских сувениров накануне открытия олимпиады. Главный герой фильма - талисман Миша, который вместе со своими друзьями - сувенирами встречает гостей олимпиады.</t>
        </is>
      </c>
      <c r="L4727" s="2" t="inlineStr">
        <is>
          <t>https://animator.ru/db/?p=show_film&amp;fid=5870</t>
        </is>
      </c>
      <c r="M4727" s="2">
        <f>HYPERLINK("https://ru.wikipedia.org/w/index.php?search=%D0%93%D0%B4%D0%B5%20%D0%B6%D0%B5%20%D0%BC%D0%B5%D0%B4%D0%B2%D0%B5%D0%B6%D0%BE%D0%BD%D0%BE%D0%BA%3F%201979%20%D1%84%D0%B8%D0%BB%D1%8C%D0%BC","искать")</f>
        <v/>
      </c>
      <c r="N4727" s="3" t="n"/>
      <c r="O4727" s="2" t="n"/>
      <c r="P4727" s="2" t="n"/>
    </row>
    <row r="4728">
      <c r="A4728" s="2" t="n">
        <v>4727</v>
      </c>
      <c r="B4728" s="2" t="inlineStr">
        <is>
          <t>короткая</t>
        </is>
      </c>
      <c r="C4728" s="2" t="n">
        <v>7179</v>
      </c>
      <c r="D4728" s="3" t="inlineStr">
        <is>
          <t>2-Леонид-2</t>
        </is>
      </c>
      <c r="E4728" s="2" t="n">
        <v>1970</v>
      </c>
      <c r="F4728" s="2" t="inlineStr">
        <is>
          <t>телефильм</t>
        </is>
      </c>
      <c r="G4728" s="2" t="n"/>
      <c r="H4728" s="2" t="n">
        <v>231</v>
      </c>
      <c r="I4728" s="2" t="inlineStr"/>
      <c r="J4728" s="2" t="inlineStr"/>
      <c r="K4728" s="3" t="inlineStr">
        <is>
          <t>Фильм построен на классических цирковых репризах известного мима Леонида Енгибарова. Игровой сюжет следует за перипетиями внутреннего состояния главного героя, которое становится творческим импульсом к созданию и исполнению реприз.</t>
        </is>
      </c>
      <c r="L4728" s="2" t="inlineStr">
        <is>
          <t>Кино_СССР сводный каталог.xlsx: список телефильмов</t>
        </is>
      </c>
      <c r="M4728" s="2">
        <f>HYPERLINK("https://ru.wikipedia.org/w/index.php?search=2-%D0%9B%D0%B5%D0%BE%D0%BD%D0%B8%D0%B4-2%201970%20%D1%84%D0%B8%D0%BB%D1%8C%D0%BC","искать")</f>
        <v/>
      </c>
      <c r="N4728" s="3" t="n"/>
      <c r="O4728" s="2" t="n"/>
      <c r="P4728" s="2" t="n"/>
    </row>
    <row r="4729">
      <c r="A4729" s="2" t="n">
        <v>4728</v>
      </c>
      <c r="B4729" s="2" t="inlineStr">
        <is>
          <t>короткая</t>
        </is>
      </c>
      <c r="C4729" s="2" t="n">
        <v>8073</v>
      </c>
      <c r="D4729" s="3" t="inlineStr">
        <is>
          <t>Охотник за браконьерами</t>
        </is>
      </c>
      <c r="E4729" s="2" t="n">
        <v>1975</v>
      </c>
      <c r="F4729" s="2" t="inlineStr">
        <is>
          <t>телефильм</t>
        </is>
      </c>
      <c r="G4729" s="2" t="n"/>
      <c r="H4729" s="2" t="n">
        <v>231</v>
      </c>
      <c r="I4729" s="2" t="inlineStr"/>
      <c r="J4729" s="2" t="inlineStr"/>
      <c r="K4729" s="3" t="inlineStr">
        <is>
          <t>Телефильм. Школьник Вася и его маленькая сестра Клаша живут на берегу живописного озера, в котором разводят форель. С помощью своих друзей, собаки Колчана и лошади Стрелки ребята задерживают браконьеров. По мотивам повести Е.Рысса.</t>
        </is>
      </c>
      <c r="L4729" s="2" t="inlineStr">
        <is>
          <t>Кино_СССР сводный каталог.xlsx: список телефильмов</t>
        </is>
      </c>
      <c r="M4729" s="2">
        <f>HYPERLINK("https://ru.wikipedia.org/w/index.php?search=%D0%9E%D1%85%D0%BE%D1%82%D0%BD%D0%B8%D0%BA%20%D0%B7%D0%B0%20%D0%B1%D1%80%D0%B0%D0%BA%D0%BE%D0%BD%D1%8C%D0%B5%D1%80%D0%B0%D0%BC%D0%B8%201975%20%D1%84%D0%B8%D0%BB%D1%8C%D0%BC","искать")</f>
        <v/>
      </c>
      <c r="N4729" s="3" t="n"/>
      <c r="O4729" s="2" t="n"/>
      <c r="P4729" s="2" t="n"/>
    </row>
    <row r="4730">
      <c r="A4730" s="2" t="n">
        <v>4729</v>
      </c>
      <c r="B4730" s="2" t="inlineStr">
        <is>
          <t>короткая</t>
        </is>
      </c>
      <c r="C4730" s="2" t="n">
        <v>9116</v>
      </c>
      <c r="D4730" s="3" t="inlineStr">
        <is>
          <t>Турандот</t>
        </is>
      </c>
      <c r="E4730" s="2" t="n">
        <v>1989</v>
      </c>
      <c r="F4730" s="2" t="inlineStr">
        <is>
          <t>кинофильм</t>
        </is>
      </c>
      <c r="G4730" s="2" t="n"/>
      <c r="H4730" s="2" t="n">
        <v>231</v>
      </c>
      <c r="I4730" s="2" t="inlineStr"/>
      <c r="J4730" s="2" t="inlineStr"/>
      <c r="K4730" s="3" t="inlineStr">
        <is>
          <t>В основе сюжета современной притчи о любви, долге и чистоте помыслов — творческий процесс оперной театральной труппы, работающей над постановкой одного из сложнейших произведений музыкальной классики — оперы Дж. Пуччини "Турандот".</t>
        </is>
      </c>
      <c r="L4730" s="2" t="inlineStr">
        <is>
          <t>Кино_СССР сводный каталог.xlsx: список фильмов (доп.)</t>
        </is>
      </c>
      <c r="M4730" s="2">
        <f>HYPERLINK("https://ru.wikipedia.org/w/index.php?search=%D0%A2%D1%83%D1%80%D0%B0%D0%BD%D0%B4%D0%BE%D1%82%201989%20%D1%84%D0%B8%D0%BB%D1%8C%D0%BC","искать")</f>
        <v/>
      </c>
      <c r="N4730" s="3" t="n"/>
      <c r="O4730" s="2" t="n"/>
      <c r="P4730" s="2" t="n"/>
    </row>
    <row r="4731">
      <c r="A4731" s="2" t="n">
        <v>4730</v>
      </c>
      <c r="B4731" s="2" t="inlineStr">
        <is>
          <t>короткая</t>
        </is>
      </c>
      <c r="C4731" s="2" t="n">
        <v>12121</v>
      </c>
      <c r="D4731" s="3" t="inlineStr">
        <is>
          <t>Сегодня в нашем городе</t>
        </is>
      </c>
      <c r="E4731" s="2" t="n">
        <v>1989</v>
      </c>
      <c r="F4731" s="2" t="inlineStr">
        <is>
          <t>мультфильм</t>
        </is>
      </c>
      <c r="G4731" s="2" t="inlineStr">
        <is>
          <t>Союзмультфильм</t>
        </is>
      </c>
      <c r="H4731" s="2" t="n">
        <v>231</v>
      </c>
      <c r="I4731" s="2" t="inlineStr"/>
      <c r="J4731" s="2" t="inlineStr"/>
      <c r="K4731" s="3" t="inlineStr">
        <is>
          <t>По сказке Э.Успенского "Буренушка". Обьявлен конкурс "Самая лучшая корова", где соревнуются буренки из разных стран: в конкурсе красоты, танцах, спорте и т.д. В итоге побеждает русская Буренушка, потому что больше всех дала молока.</t>
        </is>
      </c>
      <c r="L4731" s="2" t="inlineStr">
        <is>
          <t>2026-10_мультфильмы_список_владельца.xlsx; https://animator.ru/db/?p=show_film&amp;fid=3237</t>
        </is>
      </c>
      <c r="M4731" s="2">
        <f>HYPERLINK("https://ru.wikipedia.org/w/index.php?search=%D0%A1%D0%B5%D0%B3%D0%BE%D0%B4%D0%BD%D1%8F%20%D0%B2%20%D0%BD%D0%B0%D1%88%D0%B5%D0%BC%20%D0%B3%D0%BE%D1%80%D0%BE%D0%B4%D0%B5%201989%20%D1%84%D0%B8%D0%BB%D1%8C%D0%BC","искать")</f>
        <v/>
      </c>
      <c r="N4731" s="3" t="n"/>
      <c r="O4731" s="2" t="n"/>
      <c r="P4731" s="2" t="n"/>
    </row>
    <row r="4732">
      <c r="A4732" s="2" t="n">
        <v>4731</v>
      </c>
      <c r="B4732" s="2" t="inlineStr">
        <is>
          <t>короткая</t>
        </is>
      </c>
      <c r="C4732" s="2" t="n">
        <v>13462</v>
      </c>
      <c r="D4732" s="3" t="inlineStr">
        <is>
          <t>Бюро находок. ч.3</t>
        </is>
      </c>
      <c r="E4732" s="2" t="n">
        <v>1983</v>
      </c>
      <c r="F4732" s="2" t="inlineStr">
        <is>
          <t>мультфильм</t>
        </is>
      </c>
      <c r="G4732" s="2" t="inlineStr">
        <is>
          <t>СОЮЗТЕЛЕФИЛЬМ</t>
        </is>
      </c>
      <c r="H4732" s="2" t="n">
        <v>231</v>
      </c>
      <c r="I4732" s="2" t="inlineStr"/>
      <c r="J4732" s="2" t="inlineStr"/>
      <c r="K4732" s="3" t="inlineStr">
        <is>
          <t>Мульт третий.
О приключениях бездомного пса Тишки, который попав в Бюро находок, становится опытным "детективом". О том, как сотрудники Бюро находок нашли пропавшие из Бюро вещи и обнаружили виновницу этих пропаж - сороку-воровку.</t>
        </is>
      </c>
      <c r="L4732" s="2" t="inlineStr">
        <is>
          <t>2026-10_мультфильмы_список_владельца.xlsx; https://animator.ru/db/?p=show_film&amp;fid=4743</t>
        </is>
      </c>
      <c r="M4732" s="2">
        <f>HYPERLINK("https://ru.wikipedia.org/w/index.php?search=%D0%91%D1%8E%D1%80%D0%BE%20%D0%BD%D0%B0%D1%85%D0%BE%D0%B4%D0%BE%D0%BA.%20%D1%87.3%201983%20%D1%84%D0%B8%D0%BB%D1%8C%D0%BC","искать")</f>
        <v/>
      </c>
      <c r="N4732" s="3" t="n"/>
      <c r="O4732" s="2" t="n"/>
      <c r="P4732" s="2" t="n"/>
    </row>
    <row r="4733">
      <c r="A4733" s="2" t="n">
        <v>4732</v>
      </c>
      <c r="B4733" s="2" t="inlineStr">
        <is>
          <t>короткая</t>
        </is>
      </c>
      <c r="C4733" s="2" t="n">
        <v>10070</v>
      </c>
      <c r="D4733" s="3" t="inlineStr">
        <is>
          <t>Город на заре</t>
        </is>
      </c>
      <c r="E4733" s="2" t="n">
        <v>1959</v>
      </c>
      <c r="F4733" s="2" t="inlineStr">
        <is>
          <t>фильм-спектакль</t>
        </is>
      </c>
      <c r="G4733" s="2" t="inlineStr">
        <is>
          <t>Мосфильм</t>
        </is>
      </c>
      <c r="H4733" s="2" t="n">
        <v>232</v>
      </c>
      <c r="I4733" s="2" t="inlineStr"/>
      <c r="J4733" s="2" t="inlineStr"/>
      <c r="K4733" s="3" t="inlineStr">
        <is>
          <t>Фильм-спектакль по постановке театра им.Евг.Вахтангова по одноименной пьесе Алексея Арбузова.
О первых строителях города Комсомольска, об их самоотверженном, героическом труде. Действие происходит в 1932 году. Постановка Е.Симонова.</t>
        </is>
      </c>
      <c r="L4733" s="2" t="inlineStr">
        <is>
          <t>https://www.kino-teatr.ru/teatr/movie/1453/annot/</t>
        </is>
      </c>
      <c r="M4733" s="2">
        <f>HYPERLINK("https://ru.wikipedia.org/w/index.php?search=%D0%93%D0%BE%D1%80%D0%BE%D0%B4%20%D0%BD%D0%B0%20%D0%B7%D0%B0%D1%80%D0%B5%201959%20%D1%84%D0%B8%D0%BB%D1%8C%D0%BC","искать")</f>
        <v/>
      </c>
      <c r="N4733" s="3" t="n"/>
      <c r="O4733" s="2" t="n"/>
      <c r="P4733" s="2" t="n"/>
    </row>
    <row r="4734">
      <c r="A4734" s="2" t="n">
        <v>4733</v>
      </c>
      <c r="B4734" s="2" t="inlineStr">
        <is>
          <t>короткая</t>
        </is>
      </c>
      <c r="C4734" s="2" t="n">
        <v>11212</v>
      </c>
      <c r="D4734" s="3" t="inlineStr">
        <is>
          <t>Кругосветное путешествие Бертольда Брехта</t>
        </is>
      </c>
      <c r="E4734" s="2" t="n">
        <v>1988</v>
      </c>
      <c r="F4734" s="2" t="inlineStr">
        <is>
          <t>фильм-спектакль</t>
        </is>
      </c>
      <c r="G4734" s="2" t="inlineStr">
        <is>
          <t>Главная редакция литературно-драматических программ ЦТ</t>
        </is>
      </c>
      <c r="H4734" s="2" t="n">
        <v>232</v>
      </c>
      <c r="I4734" s="2" t="inlineStr"/>
      <c r="J4734" s="2" t="inlineStr"/>
      <c r="K4734" s="3" t="inlineStr">
        <is>
          <t>О судьбе немецкого писателя Бертольда Брехта, эмигрировавшего из гитлеровской Германии. 15 лет вынужденных гонений прошли в напряженном труде. После поражения германского фашизма во Второй мировой войне Брехт возвращается на родину.</t>
        </is>
      </c>
      <c r="L4734" s="2" t="inlineStr">
        <is>
          <t>https://www.kino-teatr.ru/teatr/movie/81596/annot/</t>
        </is>
      </c>
      <c r="M4734" s="2">
        <f>HYPERLINK("https://ru.wikipedia.org/w/index.php?search=%D0%9A%D1%80%D1%83%D0%B3%D0%BE%D1%81%D0%B2%D0%B5%D1%82%D0%BD%D0%BE%D0%B5%20%D0%BF%D1%83%D1%82%D0%B5%D1%88%D0%B5%D1%81%D1%82%D0%B2%D0%B8%D0%B5%20%D0%91%D0%B5%D1%80%D1%82%D0%BE%D0%BB%D1%8C%D0%B4%D0%B0%20%D0%91%D1%80%D0%B5%D1%85%D1%82%D0%B0%201988%20%D1%84%D0%B8%D0%BB%D1%8C%D0%BC","искать")</f>
        <v/>
      </c>
      <c r="N4734" s="3" t="n"/>
      <c r="O4734" s="2" t="n"/>
      <c r="P4734" s="2" t="n"/>
    </row>
    <row r="4735">
      <c r="A4735" s="2" t="n">
        <v>4734</v>
      </c>
      <c r="B4735" s="2" t="inlineStr">
        <is>
          <t>короткая</t>
        </is>
      </c>
      <c r="C4735" s="2" t="n">
        <v>12112</v>
      </c>
      <c r="D4735" s="3" t="inlineStr">
        <is>
          <t>Клетка</t>
        </is>
      </c>
      <c r="E4735" s="2" t="n">
        <v>1989</v>
      </c>
      <c r="F4735" s="2" t="inlineStr">
        <is>
          <t>мультфильм</t>
        </is>
      </c>
      <c r="G4735" s="2" t="inlineStr">
        <is>
          <t>Союзмультфильм</t>
        </is>
      </c>
      <c r="H4735" s="2" t="n">
        <v>232</v>
      </c>
      <c r="I4735" s="2" t="inlineStr"/>
      <c r="J4735" s="2" t="inlineStr"/>
      <c r="K4735" s="3" t="inlineStr">
        <is>
          <t>По сказке А. Иванова Приключения Хомы. Герой Хомяк в целях собственной безопасности поселяется в случайно найденной им старой клетке. Лиса не может достать Хому из неё. Но клетка уже не защита, а опасность, когда Хома падает в воду.</t>
        </is>
      </c>
      <c r="L4735" s="2" t="inlineStr">
        <is>
          <t>https://animator.ru/db/?p=show_film&amp;fid=3228</t>
        </is>
      </c>
      <c r="M4735" s="2">
        <f>HYPERLINK("https://ru.wikipedia.org/w/index.php?search=%D0%9A%D0%BB%D0%B5%D1%82%D0%BA%D0%B0%201989%20%D1%84%D0%B8%D0%BB%D1%8C%D0%BC","искать")</f>
        <v/>
      </c>
      <c r="N4735" s="3" t="n"/>
      <c r="O4735" s="2" t="n"/>
      <c r="P4735" s="2" t="n"/>
    </row>
    <row r="4736">
      <c r="A4736" s="2" t="n">
        <v>4735</v>
      </c>
      <c r="B4736" s="2" t="inlineStr">
        <is>
          <t>короткая</t>
        </is>
      </c>
      <c r="C4736" s="2" t="n">
        <v>14328</v>
      </c>
      <c r="D4736" s="3" t="inlineStr">
        <is>
          <t>Крыса</t>
        </is>
      </c>
      <c r="E4736" s="2" t="n">
        <v>1988</v>
      </c>
      <c r="F4736" s="2" t="inlineStr">
        <is>
          <t>мультфильм</t>
        </is>
      </c>
      <c r="G4736" s="2" t="inlineStr">
        <is>
          <t>АРМЕНФИЛЬМ</t>
        </is>
      </c>
      <c r="H4736" s="2" t="n">
        <v>232</v>
      </c>
      <c r="I4736" s="2" t="inlineStr"/>
      <c r="J4736" s="2" t="inlineStr"/>
      <c r="K4736" s="3" t="inlineStr">
        <is>
          <t>Жильцу огромного многоэтажного дома все время чудится крысиная возня. Никакие средства не помогают. И в то время, как по телевидению передают сообщение о подписании соглашения по разоружению, крысы довершают свое дело - дом рушится.</t>
        </is>
      </c>
      <c r="L4736" s="2" t="inlineStr">
        <is>
          <t>https://animator.ru/db/?p=show_film&amp;fid=5882</t>
        </is>
      </c>
      <c r="M4736" s="2">
        <f>HYPERLINK("https://ru.wikipedia.org/w/index.php?search=%D0%9A%D1%80%D1%8B%D1%81%D0%B0%201988%20%D1%84%D0%B8%D0%BB%D1%8C%D0%BC","искать")</f>
        <v/>
      </c>
      <c r="N4736" s="3" t="n"/>
      <c r="O4736" s="2" t="n"/>
      <c r="P4736" s="2" t="n"/>
    </row>
    <row r="4737">
      <c r="A4737" s="2" t="n">
        <v>4736</v>
      </c>
      <c r="B4737" s="2" t="inlineStr">
        <is>
          <t>короткая</t>
        </is>
      </c>
      <c r="C4737" s="2" t="n">
        <v>8384</v>
      </c>
      <c r="D4737" s="3" t="inlineStr">
        <is>
          <t>Соседи</t>
        </is>
      </c>
      <c r="E4737" s="2" t="n">
        <v>1979</v>
      </c>
      <c r="F4737" s="2" t="inlineStr">
        <is>
          <t>телефильм</t>
        </is>
      </c>
      <c r="G4737" s="2" t="n"/>
      <c r="H4737" s="2" t="n">
        <v>233</v>
      </c>
      <c r="I4737" s="2" t="inlineStr"/>
      <c r="J4737" s="2" t="inlineStr"/>
      <c r="K4737" s="3" t="inlineStr">
        <is>
          <t>Телефильм создан по одноимённому роману Юозаса  Паукштялиса. Фильм рассказывает простую историю о двух молодых влюблённых, их трагической и несчастной любви, классовые предрассудки  родителей их разлучили и разрушили мечты о счастье.</t>
        </is>
      </c>
      <c r="L4737" s="2" t="inlineStr">
        <is>
          <t>Кино_СССР сводный каталог.xlsx: список телефильмов</t>
        </is>
      </c>
      <c r="M4737" s="2">
        <f>HYPERLINK("https://ru.wikipedia.org/w/index.php?search=%D0%A1%D0%BE%D1%81%D0%B5%D0%B4%D0%B8%201979%20%D1%84%D0%B8%D0%BB%D1%8C%D0%BC","искать")</f>
        <v/>
      </c>
      <c r="N4737" s="3" t="n"/>
      <c r="O4737" s="2" t="n"/>
      <c r="P4737" s="2" t="n"/>
    </row>
    <row r="4738">
      <c r="A4738" s="2" t="n">
        <v>4737</v>
      </c>
      <c r="B4738" s="2" t="inlineStr">
        <is>
          <t>короткая</t>
        </is>
      </c>
      <c r="C4738" s="2" t="n">
        <v>8898</v>
      </c>
      <c r="D4738" s="3" t="inlineStr">
        <is>
          <t>Опиум</t>
        </is>
      </c>
      <c r="E4738" s="2" t="n">
        <v>1991</v>
      </c>
      <c r="F4738" s="2" t="inlineStr">
        <is>
          <t>кинофильм</t>
        </is>
      </c>
      <c r="G4738" s="2" t="n"/>
      <c r="H4738" s="2" t="n">
        <v>233</v>
      </c>
      <c r="I4738" s="2" t="inlineStr"/>
      <c r="J4738" s="2" t="inlineStr"/>
      <c r="K4738" s="3" t="inlineStr">
        <is>
          <t>К старику приходит давний знакомый и просит дать ему проводника с лошадьми до Ташкента. Боясь отказать и догадываясь о нечистоте помыслов просящего, старик обращается за помощью к милиции. В проводники выделяется специальный человек.</t>
        </is>
      </c>
      <c r="L4738" s="2" t="inlineStr">
        <is>
          <t>Кино_СССР сводный каталог.xlsx: список фильмов (доп.)</t>
        </is>
      </c>
      <c r="M4738" s="2">
        <f>HYPERLINK("https://ru.wikipedia.org/w/index.php?search=%D0%9E%D0%BF%D0%B8%D1%83%D0%BC%201991%20%D1%84%D0%B8%D0%BB%D1%8C%D0%BC","искать")</f>
        <v/>
      </c>
      <c r="N4738" s="3" t="n"/>
      <c r="O4738" s="2" t="n"/>
      <c r="P4738" s="2" t="n"/>
    </row>
    <row r="4739">
      <c r="A4739" s="2" t="n">
        <v>4738</v>
      </c>
      <c r="B4739" s="2" t="inlineStr">
        <is>
          <t>короткая</t>
        </is>
      </c>
      <c r="C4739" s="2" t="n">
        <v>9138</v>
      </c>
      <c r="D4739" s="3" t="inlineStr">
        <is>
          <t>Фантазии на темы Дунаевского</t>
        </is>
      </c>
      <c r="E4739" s="2" t="n">
        <v>1970</v>
      </c>
      <c r="F4739" s="2" t="inlineStr">
        <is>
          <t>кинофильм</t>
        </is>
      </c>
      <c r="G4739" s="2" t="n"/>
      <c r="H4739" s="2" t="n">
        <v>233</v>
      </c>
      <c r="I4739" s="2" t="inlineStr"/>
      <c r="J4739" s="2" t="inlineStr"/>
      <c r="K4739" s="3" t="inlineStr">
        <is>
          <t>Вокально-хореографическое ревю по страницам музыки И.О.Дунаевского из кинофильмов. В фильме участвуют: Н. Дугина (вокальная партия Н.Яковлева), Виталий Мишле, А.Анофриев, М.Туманов, В.Богачев, Кузьмина, В.Сазонов, Ю.Михеев, М.Рожков.</t>
        </is>
      </c>
      <c r="L4739" s="2" t="inlineStr">
        <is>
          <t>Кино_СССР сводный каталог.xlsx: список фильмов (доп.)</t>
        </is>
      </c>
      <c r="M4739" s="2">
        <f>HYPERLINK("https://ru.wikipedia.org/w/index.php?search=%D0%A4%D0%B0%D0%BD%D1%82%D0%B0%D0%B7%D0%B8%D0%B8%20%D0%BD%D0%B0%20%D1%82%D0%B5%D0%BC%D1%8B%20%D0%94%D1%83%D0%BD%D0%B0%D0%B5%D0%B2%D1%81%D0%BA%D0%BE%D0%B3%D0%BE%201970%20%D1%84%D0%B8%D0%BB%D1%8C%D0%BC","искать")</f>
        <v/>
      </c>
      <c r="N4739" s="3" t="n"/>
      <c r="O4739" s="2" t="n"/>
      <c r="P4739" s="2" t="n"/>
    </row>
    <row r="4740">
      <c r="A4740" s="2" t="n">
        <v>4739</v>
      </c>
      <c r="B4740" s="2" t="inlineStr">
        <is>
          <t>короткая</t>
        </is>
      </c>
      <c r="C4740" s="2" t="n">
        <v>10472</v>
      </c>
      <c r="D4740" s="3" t="inlineStr">
        <is>
          <t>Страница жизни</t>
        </is>
      </c>
      <c r="E4740" s="2" t="n">
        <v>1972</v>
      </c>
      <c r="F4740" s="2" t="inlineStr">
        <is>
          <t>фильм-спектакль</t>
        </is>
      </c>
      <c r="G4740" s="2" t="inlineStr">
        <is>
          <t>Главная редакция литературно-драматических программ ЦТ</t>
        </is>
      </c>
      <c r="H4740" s="2" t="n">
        <v>233</v>
      </c>
      <c r="I4740" s="2" t="inlineStr"/>
      <c r="J4740" s="2" t="inlineStr"/>
      <c r="K4740" s="3" t="inlineStr">
        <is>
          <t>По пьесе Виктора Розова "Страницы жизни" ("Твой путь").
Многое постиг в своей профессии молодой рабочий Борис. Но развитие техники, встречи с людьми, получившими специальное образование, убеждают его в необходимости продолжить учебу.</t>
        </is>
      </c>
      <c r="L4740" s="2" t="inlineStr">
        <is>
          <t>https://www.kino-teatr.ru/teatr/movie/79276/annot/</t>
        </is>
      </c>
      <c r="M4740" s="2">
        <f>HYPERLINK("https://ru.wikipedia.org/w/index.php?search=%D0%A1%D1%82%D1%80%D0%B0%D0%BD%D0%B8%D1%86%D0%B0%20%D0%B6%D0%B8%D0%B7%D0%BD%D0%B8%201972%20%D1%84%D0%B8%D0%BB%D1%8C%D0%BC","искать")</f>
        <v/>
      </c>
      <c r="N4740" s="3" t="n"/>
      <c r="O4740" s="2" t="n"/>
      <c r="P4740" s="2" t="n"/>
    </row>
    <row r="4741">
      <c r="A4741" s="2" t="n">
        <v>4740</v>
      </c>
      <c r="B4741" s="2" t="inlineStr">
        <is>
          <t>короткая</t>
        </is>
      </c>
      <c r="C4741" s="2" t="n">
        <v>8207</v>
      </c>
      <c r="D4741" s="3" t="inlineStr">
        <is>
          <t>Приключения Мгера в отпуске</t>
        </is>
      </c>
      <c r="E4741" s="2" t="n">
        <v>1973</v>
      </c>
      <c r="F4741" s="2" t="inlineStr">
        <is>
          <t>телефильм</t>
        </is>
      </c>
      <c r="G4741" s="2" t="n"/>
      <c r="H4741" s="2" t="n">
        <v>234</v>
      </c>
      <c r="I4741" s="2" t="inlineStr"/>
      <c r="J4741" s="2" t="inlineStr"/>
      <c r="K4741" s="3" t="inlineStr">
        <is>
          <t>Пародийный детектив. Следователь Мгер (аллюзия на комиссара Мегрэ) едет в отпуск, но и тут ему нет покоя — он становится вовлечённым в расследование кражи древнего хачкара, который преступники собираются вывезти из Армении за границу.</t>
        </is>
      </c>
      <c r="L4741" s="2" t="inlineStr">
        <is>
          <t>https://ru.wikipedia.org/w/index.php?title=%D0%9F%D1%80%D0%B8%D0%BA%D0%BB%D1%8E%D1%87%D0%B5%D0%BD%D0%B8%D1%8F_%D0%9C%D0%B3%D0%B5%D1%80%D0%B0_%D0%B2_%D0%BE%D1%82%D0%BF%D1%83%D1%81%D0%BA%D0%B5&amp;oldid=155228361</t>
        </is>
      </c>
      <c r="M4741" s="2">
        <f>HYPERLINK("https://ru.wikipedia.org/w/index.php?search=%D0%9F%D1%80%D0%B8%D0%BA%D0%BB%D1%8E%D1%87%D0%B5%D0%BD%D0%B8%D1%8F%20%D0%9C%D0%B3%D0%B5%D1%80%D0%B0%20%D0%B2%20%D0%BE%D1%82%D0%BF%D1%83%D1%81%D0%BA%D0%B5%201973%20%D1%84%D0%B8%D0%BB%D1%8C%D0%BC","искать")</f>
        <v/>
      </c>
      <c r="N4741" s="3" t="n"/>
      <c r="O4741" s="2" t="n"/>
      <c r="P4741" s="2" t="n"/>
    </row>
    <row r="4742">
      <c r="A4742" s="2" t="n">
        <v>4741</v>
      </c>
      <c r="B4742" s="2" t="inlineStr">
        <is>
          <t>короткая</t>
        </is>
      </c>
      <c r="C4742" s="2" t="n">
        <v>8439</v>
      </c>
      <c r="D4742" s="3" t="inlineStr">
        <is>
          <t>Там, вдали, за рекой...</t>
        </is>
      </c>
      <c r="E4742" s="2" t="n">
        <v>1971</v>
      </c>
      <c r="F4742" s="2" t="inlineStr">
        <is>
          <t>телефильм</t>
        </is>
      </c>
      <c r="G4742" s="2" t="n"/>
      <c r="H4742" s="2" t="n">
        <v>234</v>
      </c>
      <c r="I4742" s="2" t="inlineStr"/>
      <c r="J4742" s="2" t="inlineStr"/>
      <c r="K4742" s="3" t="inlineStr">
        <is>
          <t>Экранизация одноименной повести Юрия Коринца. В основе сюжета — воспоминания героя фильма о предвоенных годах ХХ столетия, о его дружбе со своим дядей — героем гражданской войны, покорителем Севера, сражавшимся добровольцем в Испании.</t>
        </is>
      </c>
      <c r="L4742" s="2" t="inlineStr">
        <is>
          <t>Кино_СССР сводный каталог.xlsx: список телефильмов</t>
        </is>
      </c>
      <c r="M4742" s="2">
        <f>HYPERLINK("https://ru.wikipedia.org/w/index.php?search=%D0%A2%D0%B0%D0%BC%2C%20%D0%B2%D0%B4%D0%B0%D0%BB%D0%B8%2C%20%D0%B7%D0%B0%20%D1%80%D0%B5%D0%BA%D0%BE%D0%B9...%201971%20%D1%84%D0%B8%D0%BB%D1%8C%D0%BC","искать")</f>
        <v/>
      </c>
      <c r="N4742" s="3" t="n"/>
      <c r="O4742" s="2" t="n"/>
      <c r="P4742" s="2" t="n"/>
    </row>
    <row r="4743">
      <c r="A4743" s="2" t="n">
        <v>4742</v>
      </c>
      <c r="B4743" s="2" t="inlineStr">
        <is>
          <t>короткая</t>
        </is>
      </c>
      <c r="C4743" s="2" t="n">
        <v>9704</v>
      </c>
      <c r="D4743" s="3" t="inlineStr">
        <is>
          <t>Убийца</t>
        </is>
      </c>
      <c r="E4743" s="2" t="n">
        <v>1990</v>
      </c>
      <c r="F4743" s="2" t="inlineStr">
        <is>
          <t>кинофильм</t>
        </is>
      </c>
      <c r="G4743" s="2" t="n"/>
      <c r="H4743" s="2" t="n">
        <v>234</v>
      </c>
      <c r="I4743" s="2" t="inlineStr"/>
      <c r="J4743" s="2" t="inlineStr"/>
      <c r="K4743" s="3" t="inlineStr">
        <is>
          <t>Не надеясь, что законность восторжествует, отец тринадцатилетней девочки, покончившей жизнь самоубийством после того, как над ней надругались, убивает одного из обидчиков. Выследив второго, герой погибает от руки матери преследуемого.</t>
        </is>
      </c>
      <c r="L4743" s="2" t="inlineStr">
        <is>
          <t>Кино_СССР сводный каталог.xlsx: список фильмов (доп.)</t>
        </is>
      </c>
      <c r="M4743" s="2">
        <f>HYPERLINK("https://ru.wikipedia.org/w/index.php?search=%D0%A3%D0%B1%D0%B8%D0%B9%D1%86%D0%B0%201990%20%D1%84%D0%B8%D0%BB%D1%8C%D0%BC","искать")</f>
        <v/>
      </c>
      <c r="N4743" s="3" t="n"/>
      <c r="O4743" s="2" t="n"/>
      <c r="P4743" s="2" t="n"/>
    </row>
    <row r="4744">
      <c r="A4744" s="2" t="n">
        <v>4743</v>
      </c>
      <c r="B4744" s="2" t="inlineStr">
        <is>
          <t>короткая</t>
        </is>
      </c>
      <c r="C4744" s="2" t="n">
        <v>7440</v>
      </c>
      <c r="D4744" s="3" t="inlineStr">
        <is>
          <t>Гляди веселей</t>
        </is>
      </c>
      <c r="E4744" s="2" t="n">
        <v>1982</v>
      </c>
      <c r="F4744" s="2" t="inlineStr">
        <is>
          <t>телефильм</t>
        </is>
      </c>
      <c r="G4744" s="2" t="n"/>
      <c r="H4744" s="2" t="n">
        <v>235</v>
      </c>
      <c r="I4744" s="2" t="inlineStr"/>
      <c r="J4744" s="2" t="inlineStr"/>
      <c r="K4744" s="3" t="inlineStr">
        <is>
          <t>Ходжа Насреддин направляется в город Гульканд, чтобы наказать тамошнего менялу Рахимбая, но по дороге он встречается со знаменитым багдадским вором, который уговаривает его наказать ещё одного негодяя — владельца горного озера Агабека.</t>
        </is>
      </c>
      <c r="L4744" s="2" t="inlineStr">
        <is>
          <t>https://ru.wikipedia.org/w/index.php?title=%D0%93%D0%BB%D1%8F%D0%B4%D0%B8_%D0%B2%D0%B5%D1%81%D0%B5%D0%BB%D0%B5%D0%B9&amp;oldid=154973851</t>
        </is>
      </c>
      <c r="M4744" s="2">
        <f>HYPERLINK("https://ru.wikipedia.org/w/index.php?search=%D0%93%D0%BB%D1%8F%D0%B4%D0%B8%20%D0%B2%D0%B5%D1%81%D0%B5%D0%BB%D0%B5%D0%B9%201982%20%D1%84%D0%B8%D0%BB%D1%8C%D0%BC","искать")</f>
        <v/>
      </c>
      <c r="N4744" s="3" t="n"/>
      <c r="O4744" s="2" t="n"/>
      <c r="P4744" s="2" t="n"/>
    </row>
    <row r="4745">
      <c r="A4745" s="2" t="n">
        <v>4744</v>
      </c>
      <c r="B4745" s="2" t="inlineStr">
        <is>
          <t>короткая</t>
        </is>
      </c>
      <c r="C4745" s="2" t="n">
        <v>8010</v>
      </c>
      <c r="D4745" s="3" t="inlineStr">
        <is>
          <t>Ночной звонок</t>
        </is>
      </c>
      <c r="E4745" s="2" t="n">
        <v>1969</v>
      </c>
      <c r="F4745" s="2" t="inlineStr">
        <is>
          <t>телефильм</t>
        </is>
      </c>
      <c r="G4745" s="2" t="inlineStr">
        <is>
          <t>ТО «Экран»</t>
        </is>
      </c>
      <c r="H4745" s="2" t="n">
        <v>235</v>
      </c>
      <c r="I4745" s="2" t="inlineStr"/>
      <c r="J4745" s="2" t="inlineStr"/>
      <c r="K4745" s="3" t="inlineStr">
        <is>
          <t>По одноименному рассказу Ф.Ф. Кнорре. Ошибочное сообщение о смерти Варвары Антоновны собирает вокруг нее сына, невестку и внука. Они испытывают чувство глубокой вины, столь невнимательно относясь в течение ряда лет к близкому человеку.</t>
        </is>
      </c>
      <c r="L4745" s="2" t="inlineStr">
        <is>
          <t>Кино_СССР сводный каталог.xlsx: список телефильмов</t>
        </is>
      </c>
      <c r="M4745" s="2">
        <f>HYPERLINK("https://ru.wikipedia.org/w/index.php?search=%D0%9D%D0%BE%D1%87%D0%BD%D0%BE%D0%B9%20%D0%B7%D0%B2%D0%BE%D0%BD%D0%BE%D0%BA%201969%20%D1%84%D0%B8%D0%BB%D1%8C%D0%BC","искать")</f>
        <v/>
      </c>
      <c r="N4745" s="3" t="n"/>
      <c r="O4745" s="2" t="n"/>
      <c r="P4745" s="2" t="n"/>
    </row>
    <row r="4746">
      <c r="A4746" s="2" t="n">
        <v>4745</v>
      </c>
      <c r="B4746" s="2" t="inlineStr">
        <is>
          <t>короткая</t>
        </is>
      </c>
      <c r="C4746" s="2" t="n">
        <v>8277</v>
      </c>
      <c r="D4746" s="3" t="inlineStr">
        <is>
          <t>Родник</t>
        </is>
      </c>
      <c r="E4746" s="2" t="n">
        <v>1974</v>
      </c>
      <c r="F4746" s="2" t="inlineStr">
        <is>
          <t>телефильм</t>
        </is>
      </c>
      <c r="G4746" s="2" t="n"/>
      <c r="H4746" s="2" t="n">
        <v>235</v>
      </c>
      <c r="I4746" s="2" t="inlineStr"/>
      <c r="J4746" s="2" t="inlineStr"/>
      <c r="K4746" s="3" t="inlineStr">
        <is>
          <t>По мотивам рассказов С.Муратбекова. Медсестра Айгерим полюбила табунщика Аблая - человека доброго и смелого... Именно эти качества помогли Аблаю отстоять свою любовь, одержать моральную победу над своим соперником, красавцем Баранбаем.</t>
        </is>
      </c>
      <c r="L4746" s="2" t="inlineStr">
        <is>
          <t>Кино_СССР сводный каталог.xlsx: список телефильмов</t>
        </is>
      </c>
      <c r="M4746" s="2">
        <f>HYPERLINK("https://ru.wikipedia.org/w/index.php?search=%D0%A0%D0%BE%D0%B4%D0%BD%D0%B8%D0%BA%201974%20%D1%84%D0%B8%D0%BB%D1%8C%D0%BC","искать")</f>
        <v/>
      </c>
      <c r="N4746" s="3" t="n"/>
      <c r="O4746" s="2" t="n"/>
      <c r="P4746" s="2" t="n"/>
    </row>
    <row r="4747">
      <c r="A4747" s="2" t="n">
        <v>4746</v>
      </c>
      <c r="B4747" s="2" t="inlineStr">
        <is>
          <t>короткая</t>
        </is>
      </c>
      <c r="C4747" s="2" t="n">
        <v>8978</v>
      </c>
      <c r="D4747" s="3" t="inlineStr">
        <is>
          <t>Прикосновение</t>
        </is>
      </c>
      <c r="E4747" s="2" t="n">
        <v>1989</v>
      </c>
      <c r="F4747" s="2" t="inlineStr">
        <is>
          <t>кинофильм</t>
        </is>
      </c>
      <c r="G4747" s="2" t="n"/>
      <c r="H4747" s="2" t="n">
        <v>235</v>
      </c>
      <c r="I4747" s="2" t="inlineStr"/>
      <c r="J4747" s="2" t="inlineStr"/>
      <c r="K4747" s="3" t="inlineStr">
        <is>
          <t>Слепая девушка случайно встречает на дороге бродягу. Приходит любовь. И совершается чудо — потерянное зрение возвращается. Эта романтическая история заканчивается трагически. Предательство возлюбленного толкает героиню на самоубийство.</t>
        </is>
      </c>
      <c r="L4747" s="2" t="inlineStr">
        <is>
          <t>Кино_СССР сводный каталог.xlsx: список фильмов (доп.)</t>
        </is>
      </c>
      <c r="M4747" s="2">
        <f>HYPERLINK("https://ru.wikipedia.org/w/index.php?search=%D0%9F%D1%80%D0%B8%D0%BA%D0%BE%D1%81%D0%BD%D0%BE%D0%B2%D0%B5%D0%BD%D0%B8%D0%B5%201989%20%D1%84%D0%B8%D0%BB%D1%8C%D0%BC","искать")</f>
        <v/>
      </c>
      <c r="N4747" s="3" t="n"/>
      <c r="O4747" s="2" t="n"/>
      <c r="P4747" s="2" t="n"/>
    </row>
    <row r="4748">
      <c r="A4748" s="2" t="n">
        <v>4747</v>
      </c>
      <c r="B4748" s="2" t="inlineStr">
        <is>
          <t>короткая</t>
        </is>
      </c>
      <c r="C4748" s="2" t="n">
        <v>9305</v>
      </c>
      <c r="D4748" s="3" t="inlineStr">
        <is>
          <t>Гибель Отрара</t>
        </is>
      </c>
      <c r="E4748" s="2" t="n">
        <v>1991</v>
      </c>
      <c r="F4748" s="2" t="inlineStr">
        <is>
          <t>кинофильм</t>
        </is>
      </c>
      <c r="G4748" s="2" t="n"/>
      <c r="H4748" s="2" t="n">
        <v>235</v>
      </c>
      <c r="I4748" s="2" t="inlineStr"/>
      <c r="J4748" s="2" t="inlineStr"/>
      <c r="K4748" s="3" t="inlineStr">
        <is>
          <t>Древний Отрар был колыбелью казахской цивилизации. В начале XIII века город завоевали войска Чингисхана, которому было к тому времени 64 года. Драматические судьбы героев фильма искусно переплетаются с впечатляющими батальными сценами.</t>
        </is>
      </c>
      <c r="L4748" s="2" t="inlineStr">
        <is>
          <t>Кино_СССР сводный каталог.xlsx: список фильмов (доп.)</t>
        </is>
      </c>
      <c r="M4748" s="2">
        <f>HYPERLINK("https://ru.wikipedia.org/w/index.php?search=%D0%93%D0%B8%D0%B1%D0%B5%D0%BB%D1%8C%20%D0%9E%D1%82%D1%80%D0%B0%D1%80%D0%B0%201991%20%D1%84%D0%B8%D0%BB%D1%8C%D0%BC","искать")</f>
        <v/>
      </c>
      <c r="N4748" s="3" t="n"/>
      <c r="O4748" s="2" t="n"/>
      <c r="P4748" s="2" t="n"/>
    </row>
    <row r="4749">
      <c r="A4749" s="2" t="n">
        <v>4748</v>
      </c>
      <c r="B4749" s="2" t="inlineStr">
        <is>
          <t>короткая</t>
        </is>
      </c>
      <c r="C4749" s="2" t="n">
        <v>9544</v>
      </c>
      <c r="D4749" s="3" t="inlineStr">
        <is>
          <t>Папашка и мэм</t>
        </is>
      </c>
      <c r="E4749" s="2" t="n">
        <v>1990</v>
      </c>
      <c r="F4749" s="2" t="inlineStr">
        <is>
          <t>кинофильм</t>
        </is>
      </c>
      <c r="G4749" s="2" t="n"/>
      <c r="H4749" s="2" t="n">
        <v>235</v>
      </c>
      <c r="I4749" s="2" t="inlineStr"/>
      <c r="J4749" s="2" t="inlineStr"/>
      <c r="K4749" s="3" t="inlineStr">
        <is>
          <t>Возлюбленным уже за сорок. У каждого из них дети, которые представляют две враждующие группировки. Ситуация как у Шекспира банальна, но драматична отнюдь не по-шекспировски, хотя и вызывает жалость по поводу ушедших из жизни родителей.</t>
        </is>
      </c>
      <c r="L4749" s="2" t="inlineStr">
        <is>
          <t>Кино_СССР сводный каталог.xlsx: список фильмов (доп.)</t>
        </is>
      </c>
      <c r="M4749" s="2">
        <f>HYPERLINK("https://ru.wikipedia.org/w/index.php?search=%D0%9F%D0%B0%D0%BF%D0%B0%D1%88%D0%BA%D0%B0%20%D0%B8%20%D0%BC%D1%8D%D0%BC%201990%20%D1%84%D0%B8%D0%BB%D1%8C%D0%BC","искать")</f>
        <v/>
      </c>
      <c r="N4749" s="3" t="n"/>
      <c r="O4749" s="2" t="n"/>
      <c r="P4749" s="2" t="n"/>
    </row>
    <row r="4750">
      <c r="A4750" s="2" t="n">
        <v>4749</v>
      </c>
      <c r="B4750" s="2" t="inlineStr">
        <is>
          <t>короткая</t>
        </is>
      </c>
      <c r="C4750" s="2" t="n">
        <v>10076</v>
      </c>
      <c r="D4750" s="3" t="inlineStr">
        <is>
          <t>Композитор Жак Оффенбах</t>
        </is>
      </c>
      <c r="E4750" s="2" t="n">
        <v>1960</v>
      </c>
      <c r="F4750" s="2" t="inlineStr">
        <is>
          <t>фильм-спектакль</t>
        </is>
      </c>
      <c r="G4750" s="2" t="inlineStr">
        <is>
          <t>Центральное телевидение</t>
        </is>
      </c>
      <c r="H4750" s="2" t="n">
        <v>235</v>
      </c>
      <c r="I4750" s="2" t="inlineStr"/>
      <c r="J4750" s="2" t="inlineStr"/>
      <c r="K4750" s="3" t="inlineStr">
        <is>
          <t>Музыкальное путешествие по опереттам основоположника жанра - французского композитора Жака Оффенбаха в исполнении артистов театра Музыкального театра им. Станиславского и Немировича-Данченко, Московского театра оперетты, и Москонцерта.</t>
        </is>
      </c>
      <c r="L4750" s="2" t="inlineStr">
        <is>
          <t>https://www.kino-teatr.ru/teatr/movie/118752/annot/</t>
        </is>
      </c>
      <c r="M4750" s="2">
        <f>HYPERLINK("https://ru.wikipedia.org/w/index.php?search=%D0%9A%D0%BE%D0%BC%D0%BF%D0%BE%D0%B7%D0%B8%D1%82%D0%BE%D1%80%20%D0%96%D0%B0%D0%BA%20%D0%9E%D1%84%D1%84%D0%B5%D0%BD%D0%B1%D0%B0%D1%85%201960%20%D1%84%D0%B8%D0%BB%D1%8C%D0%BC","искать")</f>
        <v/>
      </c>
      <c r="N4750" s="3" t="n"/>
      <c r="O4750" s="2" t="n"/>
      <c r="P4750" s="2" t="n"/>
    </row>
    <row r="4751">
      <c r="A4751" s="2" t="n">
        <v>4750</v>
      </c>
      <c r="B4751" s="2" t="inlineStr">
        <is>
          <t>короткая</t>
        </is>
      </c>
      <c r="C4751" s="2" t="n">
        <v>10322</v>
      </c>
      <c r="D4751" s="3" t="inlineStr">
        <is>
          <t>Оптимистическая трагедия</t>
        </is>
      </c>
      <c r="E4751" s="2" t="n">
        <v>1969</v>
      </c>
      <c r="F4751" s="2" t="inlineStr">
        <is>
          <t>фильм-спектакль</t>
        </is>
      </c>
      <c r="G4751" s="2" t="inlineStr">
        <is>
          <t>Центральное телевидение</t>
        </is>
      </c>
      <c r="H4751" s="2" t="n">
        <v>235</v>
      </c>
      <c r="I4751" s="2" t="inlineStr"/>
      <c r="J4751" s="2" t="inlineStr"/>
      <c r="K4751" s="3" t="inlineStr">
        <is>
          <t>Телеспектакль по опере Александра Холминова и пьесе Всеволода Вишневского.
1918 год.
В морской отряд, которым руководит анархист Вожак, по поручению ЦК партии направляется женщина-комиссар. Ей поручено подчинить моряков делу революции.</t>
        </is>
      </c>
      <c r="L4751" s="2" t="inlineStr">
        <is>
          <t>https://www.kino-teatr.ru/teatr/movie/107498/annot/</t>
        </is>
      </c>
      <c r="M4751" s="2">
        <f>HYPERLINK("https://ru.wikipedia.org/w/index.php?search=%D0%9E%D0%BF%D1%82%D0%B8%D0%BC%D0%B8%D1%81%D1%82%D0%B8%D1%87%D0%B5%D1%81%D0%BA%D0%B0%D1%8F%20%D1%82%D1%80%D0%B0%D0%B3%D0%B5%D0%B4%D0%B8%D1%8F%201969%20%D1%84%D0%B8%D0%BB%D1%8C%D0%BC","искать")</f>
        <v/>
      </c>
      <c r="N4751" s="3" t="n"/>
      <c r="O4751" s="2" t="n"/>
      <c r="P4751" s="2" t="n"/>
    </row>
    <row r="4752">
      <c r="A4752" s="2" t="n">
        <v>4751</v>
      </c>
      <c r="B4752" s="2" t="inlineStr">
        <is>
          <t>короткая</t>
        </is>
      </c>
      <c r="C4752" s="2" t="n">
        <v>10702</v>
      </c>
      <c r="D4752" s="3" t="inlineStr">
        <is>
          <t>На золотом дне</t>
        </is>
      </c>
      <c r="E4752" s="2" t="n">
        <v>1977</v>
      </c>
      <c r="F4752" s="2" t="inlineStr">
        <is>
          <t>фильм-спектакль</t>
        </is>
      </c>
      <c r="G4752" s="2" t="inlineStr">
        <is>
          <t>Главная редакция литературно-драматических программ</t>
        </is>
      </c>
      <c r="H4752" s="2" t="n">
        <v>235</v>
      </c>
      <c r="I4752" s="2" t="inlineStr"/>
      <c r="J4752" s="2" t="inlineStr"/>
      <c r="K4752" s="3" t="inlineStr">
        <is>
          <t>Одноименная пьеса Мамина-Сибиряка в постановке государственного Академического театра имени Вахтангова.
В центре пьесы образ дочери разорившегося золотопромышленника, которая, столкнувшись с жестокими нравами, сама становится хищницей.</t>
        </is>
      </c>
      <c r="L4752" s="2" t="inlineStr">
        <is>
          <t>https://www.kino-teatr.ru/teatr/movie/81578/annot/</t>
        </is>
      </c>
      <c r="M4752" s="2">
        <f>HYPERLINK("https://ru.wikipedia.org/w/index.php?search=%D0%9D%D0%B0%20%D0%B7%D0%BE%D0%BB%D0%BE%D1%82%D0%BE%D0%BC%20%D0%B4%D0%BD%D0%B5%201977%20%D1%84%D0%B8%D0%BB%D1%8C%D0%BC","искать")</f>
        <v/>
      </c>
      <c r="N4752" s="3" t="n"/>
      <c r="O4752" s="2" t="n"/>
      <c r="P4752" s="2" t="n"/>
    </row>
    <row r="4753">
      <c r="A4753" s="2" t="n">
        <v>4752</v>
      </c>
      <c r="B4753" s="2" t="inlineStr">
        <is>
          <t>короткая</t>
        </is>
      </c>
      <c r="C4753" s="2" t="n">
        <v>14299</v>
      </c>
      <c r="D4753" s="3" t="inlineStr">
        <is>
          <t>Карманник</t>
        </is>
      </c>
      <c r="E4753" s="2" t="n">
        <v>1990</v>
      </c>
      <c r="F4753" s="2" t="inlineStr">
        <is>
          <t>мультфильм</t>
        </is>
      </c>
      <c r="G4753" s="2" t="inlineStr">
        <is>
          <t>СОЮЗТЕЛЕФИЛЬМ</t>
        </is>
      </c>
      <c r="H4753" s="2" t="n">
        <v>235</v>
      </c>
      <c r="I4753" s="2" t="inlineStr"/>
      <c r="J4753" s="2" t="inlineStr"/>
      <c r="K4753" s="3" t="inlineStr">
        <is>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is>
      </c>
      <c r="L4753" s="2" t="inlineStr">
        <is>
          <t>https://animator.ru/db/?p=show_film&amp;fid=5842</t>
        </is>
      </c>
      <c r="M4753" s="2">
        <f>HYPERLINK("https://ru.wikipedia.org/w/index.php?search=%D0%9A%D0%B0%D1%80%D0%BC%D0%B0%D0%BD%D0%BD%D0%B8%D0%BA%201990%20%D1%84%D0%B8%D0%BB%D1%8C%D0%BC","искать")</f>
        <v/>
      </c>
      <c r="N4753" s="3" t="n"/>
      <c r="O4753" s="2" t="n"/>
      <c r="P4753" s="2" t="n"/>
    </row>
    <row r="4754">
      <c r="A4754" s="2" t="n">
        <v>4753</v>
      </c>
      <c r="B4754" s="2" t="inlineStr">
        <is>
          <t>короткая</t>
        </is>
      </c>
      <c r="C4754" s="2" t="n">
        <v>7662</v>
      </c>
      <c r="D4754" s="3" t="inlineStr">
        <is>
          <t>И падал снег над белыми садами</t>
        </is>
      </c>
      <c r="E4754" s="2" t="n">
        <v>1984</v>
      </c>
      <c r="F4754" s="2" t="inlineStr">
        <is>
          <t>телефильм</t>
        </is>
      </c>
      <c r="G4754" s="2" t="n"/>
      <c r="H4754" s="2" t="n">
        <v>236</v>
      </c>
      <c r="I4754" s="2" t="inlineStr"/>
      <c r="J4754" s="2" t="inlineStr"/>
      <c r="K4754" s="3" t="inlineStr">
        <is>
          <t>ათოვდა ზამთრის ბაღებს Молодой художник, студент Тбилисской академии художеств, сталкивается с творческим поиском и выбором собственного пути в искусстве. Всё это подталкивает его к отказу от учёбы в академии и возвращению в родное село.</t>
        </is>
      </c>
      <c r="L4754" s="2" t="inlineStr">
        <is>
          <t>Кино_СССР сводный каталог.xlsx: список телефильмов</t>
        </is>
      </c>
      <c r="M4754" s="2">
        <f>HYPERLINK("https://ru.wikipedia.org/w/index.php?search=%D0%98%20%D0%BF%D0%B0%D0%B4%D0%B0%D0%BB%20%D1%81%D0%BD%D0%B5%D0%B3%20%D0%BD%D0%B0%D0%B4%20%D0%B1%D0%B5%D0%BB%D1%8B%D0%BC%D0%B8%20%D1%81%D0%B0%D0%B4%D0%B0%D0%BC%D0%B8%201984%20%D1%84%D0%B8%D0%BB%D1%8C%D0%BC","искать")</f>
        <v/>
      </c>
      <c r="N4754" s="3" t="n"/>
      <c r="O4754" s="2" t="n"/>
      <c r="P4754" s="2" t="n"/>
    </row>
    <row r="4755">
      <c r="A4755" s="2" t="n">
        <v>4754</v>
      </c>
      <c r="B4755" s="2" t="inlineStr">
        <is>
          <t>короткая</t>
        </is>
      </c>
      <c r="C4755" s="2" t="n">
        <v>8612</v>
      </c>
      <c r="D4755" s="3" t="inlineStr">
        <is>
          <t>Я крёстный Пеле!</t>
        </is>
      </c>
      <c r="E4755" s="2" t="n">
        <v>1991</v>
      </c>
      <c r="F4755" s="2" t="inlineStr">
        <is>
          <t>телефильм</t>
        </is>
      </c>
      <c r="G4755" s="2" t="n"/>
      <c r="H4755" s="2" t="n">
        <v>237</v>
      </c>
      <c r="I4755" s="2" t="inlineStr"/>
      <c r="J4755" s="2" t="inlineStr"/>
      <c r="K4755" s="3" t="inlineStr">
        <is>
          <t>Кинокомедия о фантастических приключениях простого тбилисского электрика Ладо, попавшего из реального мира в завораживающий мир футбола… Фильм полон ярких моментов хроники мировых футбольных чемпионатов. В фильме снимался Паоло Сагданья.</t>
        </is>
      </c>
      <c r="L4755" s="2" t="inlineStr">
        <is>
          <t>Кино_СССР сводный каталог.xlsx: список телефильмов</t>
        </is>
      </c>
      <c r="M4755" s="2">
        <f>HYPERLINK("https://ru.wikipedia.org/w/index.php?search=%D0%AF%20%D0%BA%D1%80%D1%91%D1%81%D1%82%D0%BD%D1%8B%D0%B9%20%D0%9F%D0%B5%D0%BB%D0%B5%21%201991%20%D1%84%D0%B8%D0%BB%D1%8C%D0%BC","искать")</f>
        <v/>
      </c>
      <c r="N4755" s="3" t="n"/>
      <c r="O4755" s="2" t="n"/>
      <c r="P4755" s="2" t="n"/>
    </row>
    <row r="4756">
      <c r="A4756" s="2" t="n">
        <v>4755</v>
      </c>
      <c r="B4756" s="2" t="inlineStr">
        <is>
          <t>короткая</t>
        </is>
      </c>
      <c r="C4756" s="2" t="n">
        <v>9538</v>
      </c>
      <c r="D4756" s="3" t="inlineStr">
        <is>
          <t>Очаровательные пришельцы</t>
        </is>
      </c>
      <c r="E4756" s="2" t="n">
        <v>1991</v>
      </c>
      <c r="F4756" s="2" t="inlineStr">
        <is>
          <t>кинофильм</t>
        </is>
      </c>
      <c r="G4756" s="2" t="n"/>
      <c r="H4756" s="2" t="n">
        <v>237</v>
      </c>
      <c r="I4756" s="2" t="inlineStr"/>
      <c r="J4756" s="2" t="inlineStr"/>
      <c r="K4756" s="3" t="inlineStr">
        <is>
          <t>Однажды на территорию пансионата с летающей тарелки высадились инопланетянка Настя и снежный человек с целью проверки состояния нашей планеты. Но земные условия жизни оказались невыносимыми для гостей и они вынуждены были вернуться домой</t>
        </is>
      </c>
      <c r="L4756" s="2" t="inlineStr">
        <is>
          <t>https://gosfilmofond.ru/films/249126/</t>
        </is>
      </c>
      <c r="M4756" s="2">
        <f>HYPERLINK("https://ru.wikipedia.org/w/index.php?search=%D0%9E%D1%87%D0%B0%D1%80%D0%BE%D0%B2%D0%B0%D1%82%D0%B5%D0%BB%D1%8C%D0%BD%D1%8B%D0%B5%20%D0%BF%D1%80%D0%B8%D1%88%D0%B5%D0%BB%D1%8C%D1%86%D1%8B%201991%20%D1%84%D0%B8%D0%BB%D1%8C%D0%BC","искать")</f>
        <v/>
      </c>
      <c r="N4756" s="3" t="n"/>
      <c r="O4756" s="2" t="n"/>
      <c r="P4756" s="2" t="n"/>
    </row>
    <row r="4757">
      <c r="A4757" s="2" t="n">
        <v>4756</v>
      </c>
      <c r="B4757" s="2" t="inlineStr">
        <is>
          <t>короткая</t>
        </is>
      </c>
      <c r="C4757" s="2" t="n">
        <v>12222</v>
      </c>
      <c r="D4757" s="3" t="inlineStr">
        <is>
          <t>Приключения пингвиненка Лоло ч.2</t>
        </is>
      </c>
      <c r="E4757" s="2" t="n">
        <v>1987</v>
      </c>
      <c r="F4757" s="2" t="inlineStr">
        <is>
          <t>мультфильм</t>
        </is>
      </c>
      <c r="G4757" s="2" t="inlineStr">
        <is>
          <t>Союзмультфильм, ЛАЙФВОК КОРПОРЕЙШН, СОВИНФИЛЬМ, АИСТ КОРПОРЕЙШН</t>
        </is>
      </c>
      <c r="H4757" s="2" t="n">
        <v>237</v>
      </c>
      <c r="I4757" s="2" t="inlineStr"/>
      <c r="J4757" s="2" t="inlineStr"/>
      <c r="K4757" s="3" t="inlineStr">
        <is>
          <t>Второй выпуск советско-японского фильма об отважном и любознательном пингвиненке Лоло и его друзьях. Герои фильма узнают о своих природных врагах и переживают ряд опасных приключений при встрече с чайками-поморниками и морским леопардом.</t>
        </is>
      </c>
      <c r="L4757" s="2" t="inlineStr">
        <is>
          <t>2026-10_мультфильмы_список_владельца.xlsx; https://animator.ru/db/?p=show_film&amp;fid=3339</t>
        </is>
      </c>
      <c r="M4757" s="2">
        <f>HYPERLINK("https://ru.wikipedia.org/w/index.php?search=%D0%9F%D1%80%D0%B8%D0%BA%D0%BB%D1%8E%D1%87%D0%B5%D0%BD%D0%B8%D1%8F%20%D0%BF%D0%B8%D0%BD%D0%B3%D0%B2%D0%B8%D0%BD%D0%B5%D0%BD%D0%BA%D0%B0%20%D0%9B%D0%BE%D0%BB%D0%BE%20%D1%87.2%201987%20%D1%84%D0%B8%D0%BB%D1%8C%D0%BC","искать")</f>
        <v/>
      </c>
      <c r="N4757" s="3" t="n"/>
      <c r="O4757" s="2" t="n"/>
      <c r="P4757" s="2" t="n"/>
    </row>
    <row r="4758">
      <c r="A4758" s="2" t="n">
        <v>4757</v>
      </c>
      <c r="B4758" s="2" t="inlineStr">
        <is>
          <t>короткая</t>
        </is>
      </c>
      <c r="C4758" s="2" t="n">
        <v>7995</v>
      </c>
      <c r="D4758" s="3" t="inlineStr">
        <is>
          <t>Нетерпение души</t>
        </is>
      </c>
      <c r="E4758" s="2" t="n">
        <v>1987</v>
      </c>
      <c r="F4758" s="2" t="inlineStr">
        <is>
          <t>телефильм</t>
        </is>
      </c>
      <c r="G4758" s="2" t="n"/>
      <c r="H4758" s="2" t="n">
        <v>238</v>
      </c>
      <c r="I4758" s="2" t="inlineStr"/>
      <c r="J4758" s="2" t="inlineStr"/>
      <c r="K4758" s="3" t="inlineStr">
        <is>
          <t>В 1918 году народный учитель П.Н.Лепешинский, оставив высокий пост в Наркомпросе, переезжает с семьей в белорусскую деревню Литвиновичи, где создает трудовую школу-коммуну. Фильм повествует об истории этой школы и судьбе ее воспитанников.</t>
        </is>
      </c>
      <c r="L4758" s="2" t="inlineStr">
        <is>
          <t>Кино_СССР сводный каталог.xlsx: список телефильмов</t>
        </is>
      </c>
      <c r="M4758" s="2">
        <f>HYPERLINK("https://ru.wikipedia.org/w/index.php?search=%D0%9D%D0%B5%D1%82%D0%B5%D1%80%D0%BF%D0%B5%D0%BD%D0%B8%D0%B5%20%D0%B4%D1%83%D1%88%D0%B8%201987%20%D1%84%D0%B8%D0%BB%D1%8C%D0%BC","искать")</f>
        <v/>
      </c>
      <c r="N4758" s="3" t="n"/>
      <c r="O4758" s="2" t="n"/>
      <c r="P4758" s="2" t="n"/>
    </row>
    <row r="4759">
      <c r="A4759" s="2" t="n">
        <v>4758</v>
      </c>
      <c r="B4759" s="2" t="inlineStr">
        <is>
          <t>короткая</t>
        </is>
      </c>
      <c r="C4759" s="2" t="n">
        <v>12114</v>
      </c>
      <c r="D4759" s="3" t="inlineStr">
        <is>
          <t>Мальчик и лягушонок</t>
        </is>
      </c>
      <c r="E4759" s="2" t="n">
        <v>1989</v>
      </c>
      <c r="F4759" s="2" t="inlineStr">
        <is>
          <t>мультфильм</t>
        </is>
      </c>
      <c r="G4759" s="2" t="inlineStr">
        <is>
          <t>Союзмультфильм</t>
        </is>
      </c>
      <c r="H4759" s="2" t="n">
        <v>238</v>
      </c>
      <c r="I4759" s="2" t="inlineStr"/>
      <c r="J4759" s="2" t="inlineStr"/>
      <c r="K4759" s="3" t="inlineStr">
        <is>
          <t>По рассказу Н. Сладкова. Представляет собой трагикомическую историю Лягушонка, извлеченного из болота сердобольным мальчиком и едва им не загубленного. Фильм говорит о необходимости осторожного, бережного вторжения человека в мир природы.</t>
        </is>
      </c>
      <c r="L4759" s="2" t="inlineStr">
        <is>
          <t>2026-10_мультфильмы_список_владельца.xlsx; https://animator.ru/db/?p=show_film&amp;fid=3230</t>
        </is>
      </c>
      <c r="M4759" s="2">
        <f>HYPERLINK("https://ru.wikipedia.org/w/index.php?search=%D0%9C%D0%B0%D0%BB%D1%8C%D1%87%D0%B8%D0%BA%20%D0%B8%20%D0%BB%D1%8F%D0%B3%D1%83%D1%88%D0%BE%D0%BD%D0%BE%D0%BA%201989%20%D1%84%D0%B8%D0%BB%D1%8C%D0%BC","искать")</f>
        <v/>
      </c>
      <c r="N4759" s="3" t="n"/>
      <c r="O4759" s="2" t="n"/>
      <c r="P4759" s="2" t="n"/>
    </row>
    <row r="4760">
      <c r="A4760" s="2" t="n">
        <v>4759</v>
      </c>
      <c r="B4760" s="2" t="inlineStr">
        <is>
          <t>короткая</t>
        </is>
      </c>
      <c r="C4760" s="2" t="n">
        <v>14411</v>
      </c>
      <c r="D4760" s="3" t="inlineStr">
        <is>
          <t>Гульджахан</t>
        </is>
      </c>
      <c r="E4760" s="2" t="n">
        <v>1991</v>
      </c>
      <c r="F4760" s="2" t="inlineStr">
        <is>
          <t>мультфильм</t>
        </is>
      </c>
      <c r="G4760" s="2" t="inlineStr">
        <is>
          <t>ТУРКМЕНТЕЛЕФИЛЬМ</t>
        </is>
      </c>
      <c r="H4760" s="2" t="n">
        <v>238</v>
      </c>
      <c r="I4760" s="2" t="inlineStr"/>
      <c r="J4760" s="2" t="inlineStr"/>
      <c r="K4760" s="3" t="inlineStr">
        <is>
          <t>О девушке по имени Гульджахан, которую за дерзкие речи падишах Ширванадыл изгнал в пустыню. Но доброта Гульджахан сделала её повелительницей города справедливости и счастья, куда съехались лучшие мастера, бежавшие от падишаха Ширванадыла.</t>
        </is>
      </c>
      <c r="L4760" s="2" t="inlineStr">
        <is>
          <t>https://animator.ru/db/?p=show_film&amp;fid=6647</t>
        </is>
      </c>
      <c r="M4760" s="2">
        <f>HYPERLINK("https://ru.wikipedia.org/w/index.php?search=%D0%93%D1%83%D0%BB%D1%8C%D0%B4%D0%B6%D0%B0%D1%85%D0%B0%D0%BD%201991%20%D1%84%D0%B8%D0%BB%D1%8C%D0%BC","искать")</f>
        <v/>
      </c>
      <c r="N4760" s="3" t="n"/>
      <c r="O4760" s="2" t="n"/>
      <c r="P4760" s="2" t="n"/>
    </row>
    <row r="4761">
      <c r="A4761" s="2" t="n">
        <v>4760</v>
      </c>
      <c r="B4761" s="2" t="inlineStr">
        <is>
          <t>короткая</t>
        </is>
      </c>
      <c r="C4761" s="2" t="n">
        <v>7337</v>
      </c>
      <c r="D4761" s="3" t="inlineStr">
        <is>
          <t>Взрывники</t>
        </is>
      </c>
      <c r="E4761" s="2" t="n">
        <v>1970</v>
      </c>
      <c r="F4761" s="2" t="inlineStr">
        <is>
          <t>телефильм</t>
        </is>
      </c>
      <c r="G4761" s="2" t="n"/>
      <c r="H4761" s="2" t="n">
        <v>239</v>
      </c>
      <c r="I4761" s="2" t="inlineStr"/>
      <c r="J4761" s="2" t="inlineStr"/>
      <c r="K4761" s="3" t="inlineStr">
        <is>
          <t>Телефильм. Нелегко начинается трудовой путь молодого инженера, выпускника горного института — Сергея Омарова. Но с помощью своих друзей-рабочих, он не только становится грамотным мастером, но и вырастает до поста руководителя «Взрывпрома».</t>
        </is>
      </c>
      <c r="L4761" s="2" t="inlineStr">
        <is>
          <t>Кино_СССР сводный каталог.xlsx: список телефильмов</t>
        </is>
      </c>
      <c r="M4761" s="2">
        <f>HYPERLINK("https://ru.wikipedia.org/w/index.php?search=%D0%92%D0%B7%D1%80%D1%8B%D0%B2%D0%BD%D0%B8%D0%BA%D0%B8%201970%20%D1%84%D0%B8%D0%BB%D1%8C%D0%BC","искать")</f>
        <v/>
      </c>
      <c r="N4761" s="3" t="n"/>
      <c r="O4761" s="2" t="n"/>
      <c r="P4761" s="2" t="n"/>
    </row>
    <row r="4762">
      <c r="A4762" s="2" t="n">
        <v>4761</v>
      </c>
      <c r="B4762" s="2" t="inlineStr">
        <is>
          <t>короткая</t>
        </is>
      </c>
      <c r="C4762" s="2" t="n">
        <v>8050</v>
      </c>
      <c r="D4762" s="3" t="inlineStr">
        <is>
          <t>Орэра, полный вперед!</t>
        </is>
      </c>
      <c r="E4762" s="2" t="n">
        <v>1970</v>
      </c>
      <c r="F4762" s="2" t="inlineStr">
        <is>
          <t>телефильм</t>
        </is>
      </c>
      <c r="G4762" s="2" t="n"/>
      <c r="H4762" s="2" t="n">
        <v>239</v>
      </c>
      <c r="I4762" s="2" t="inlineStr"/>
      <c r="J4762" s="2" t="inlineStr"/>
      <c r="K4762" s="3" t="inlineStr">
        <is>
          <t>Вокально-инструментальный ансамбль «Орэра» отправляется на гастроли в Австралию, но из-за поломки автобуса опаздывают на теплоход. Ребята устраиваются матросами на теплоход «Шота Руставели» и после весёлых приключении добираются до Сиднея.</t>
        </is>
      </c>
      <c r="L4762" s="2" t="inlineStr">
        <is>
          <t>Кино_СССР сводный каталог.xlsx: список телефильмов</t>
        </is>
      </c>
      <c r="M4762" s="2">
        <f>HYPERLINK("https://ru.wikipedia.org/w/index.php?search=%D0%9E%D1%80%D1%8D%D1%80%D0%B0%2C%20%D0%BF%D0%BE%D0%BB%D0%BD%D1%8B%D0%B9%20%D0%B2%D0%BF%D0%B5%D1%80%D0%B5%D0%B4%21%201970%20%D1%84%D0%B8%D0%BB%D1%8C%D0%BC","искать")</f>
        <v/>
      </c>
      <c r="N4762" s="3" t="n"/>
      <c r="O4762" s="2" t="n"/>
      <c r="P4762" s="2" t="n"/>
    </row>
    <row r="4763">
      <c r="A4763" s="2" t="n">
        <v>4762</v>
      </c>
      <c r="B4763" s="2" t="inlineStr">
        <is>
          <t>короткая</t>
        </is>
      </c>
      <c r="C4763" s="2" t="n">
        <v>12399</v>
      </c>
      <c r="D4763" s="3" t="inlineStr">
        <is>
          <t>Как ежик шубку менял</t>
        </is>
      </c>
      <c r="E4763" s="2" t="n">
        <v>1970</v>
      </c>
      <c r="F4763" s="2" t="inlineStr">
        <is>
          <t>мультфильм</t>
        </is>
      </c>
      <c r="G4763" s="2" t="inlineStr">
        <is>
          <t>КИЕВНАУЧФИЛЬМ</t>
        </is>
      </c>
      <c r="H4763" s="2" t="n">
        <v>239</v>
      </c>
      <c r="I4763" s="2" t="inlineStr"/>
      <c r="J4763" s="2" t="inlineStr"/>
      <c r="K4763" s="3" t="inlineStr">
        <is>
          <t>Ежик позавидовал Зайчику, который, готовясь к зиме, поменял шубку. И Ежик тоже решил обменять свои колючки. Но ни в заячьей, ни в лисьей, ни в волчьей шубе Ежик не имел покоя. И, наконец, он пришел к заключению, что своя шубка самая лучшая</t>
        </is>
      </c>
      <c r="L4763" s="2" t="inlineStr">
        <is>
          <t>https://gosfilmofond.ru/films/255151/</t>
        </is>
      </c>
      <c r="M4763" s="2">
        <f>HYPERLINK("https://ru.wikipedia.org/w/index.php?search=%D0%9A%D0%B0%D0%BA%20%D0%B5%D0%B6%D0%B8%D0%BA%20%D1%88%D1%83%D0%B1%D0%BA%D1%83%20%D0%BC%D0%B5%D0%BD%D1%8F%D0%BB%201970%20%D1%84%D0%B8%D0%BB%D1%8C%D0%BC","искать")</f>
        <v/>
      </c>
      <c r="N4763" s="3" t="n"/>
      <c r="O4763" s="2" t="n"/>
      <c r="P4763" s="2" t="n"/>
    </row>
    <row r="4764">
      <c r="A4764" s="2" t="n">
        <v>4763</v>
      </c>
      <c r="B4764" s="2" t="inlineStr">
        <is>
          <t>короткая</t>
        </is>
      </c>
      <c r="C4764" s="2" t="n">
        <v>7303</v>
      </c>
      <c r="D4764" s="3" t="inlineStr">
        <is>
          <t>В этот праздничный вечер</t>
        </is>
      </c>
      <c r="E4764" s="2" t="n">
        <v>1959</v>
      </c>
      <c r="F4764" s="2" t="inlineStr">
        <is>
          <t>телефильм</t>
        </is>
      </c>
      <c r="G4764" s="2" t="n"/>
      <c r="H4764" s="2" t="n">
        <v>240</v>
      </c>
      <c r="I4764" s="2" t="inlineStr"/>
      <c r="J4764" s="2" t="inlineStr"/>
      <c r="K4764" s="3" t="inlineStr">
        <is>
          <t>Музыкальный фильм-обозрение. В праздничный первомайский вечер 1959 года зрители вместе с авторами фильма пройдутся по Москве, по ее улицам и плошадям, встретятся с любимыми артистами. И увидят как радостно встречают москвичи праздник Весны!</t>
        </is>
      </c>
      <c r="L4764" s="2" t="inlineStr">
        <is>
          <t>Кино_СССР сводный каталог.xlsx: список телефильмов</t>
        </is>
      </c>
      <c r="M4764" s="2">
        <f>HYPERLINK("https://ru.wikipedia.org/w/index.php?search=%D0%92%20%D1%8D%D1%82%D0%BE%D1%82%20%D0%BF%D1%80%D0%B0%D0%B7%D0%B4%D0%BD%D0%B8%D1%87%D0%BD%D1%8B%D0%B9%20%D0%B2%D0%B5%D1%87%D0%B5%D1%80%201959%20%D1%84%D0%B8%D0%BB%D1%8C%D0%BC","искать")</f>
        <v/>
      </c>
      <c r="N4764" s="3" t="n"/>
      <c r="O4764" s="2" t="n"/>
      <c r="P4764" s="2" t="n"/>
    </row>
    <row r="4765">
      <c r="A4765" s="2" t="n">
        <v>4764</v>
      </c>
      <c r="B4765" s="2" t="inlineStr">
        <is>
          <t>короткая</t>
        </is>
      </c>
      <c r="C4765" s="2" t="n">
        <v>9182</v>
      </c>
      <c r="D4765" s="3" t="inlineStr">
        <is>
          <t>Эта твёрдая земля</t>
        </is>
      </c>
      <c r="E4765" s="2" t="n">
        <v>1967</v>
      </c>
      <c r="F4765" s="2" t="inlineStr">
        <is>
          <t>кинофильм</t>
        </is>
      </c>
      <c r="G4765" s="2" t="n"/>
      <c r="H4765" s="2" t="n">
        <v>240</v>
      </c>
      <c r="I4765" s="2" t="inlineStr"/>
      <c r="J4765" s="2" t="inlineStr"/>
      <c r="K4765" s="3" t="inlineStr">
        <is>
          <t>Летчик-испытатель приехал в родное село разочарованным, морально травмированным, физически истощенным. Встреча с дорогими ему людьми, милыми сердцу местами, прикосновение к родной земле возрождают его и возвращают силы и уверенность в себе.</t>
        </is>
      </c>
      <c r="L4765" s="2" t="inlineStr">
        <is>
          <t>Кино_СССР сводный каталог.xlsx: список фильмов (доп.)</t>
        </is>
      </c>
      <c r="M4765" s="2">
        <f>HYPERLINK("https://ru.wikipedia.org/w/index.php?search=%D0%AD%D1%82%D0%B0%20%D1%82%D0%B2%D1%91%D1%80%D0%B4%D0%B0%D1%8F%20%D0%B7%D0%B5%D0%BC%D0%BB%D1%8F%201967%20%D1%84%D0%B8%D0%BB%D1%8C%D0%BC","искать")</f>
        <v/>
      </c>
      <c r="N4765" s="3" t="n"/>
      <c r="O4765" s="2" t="n"/>
      <c r="P4765" s="2" t="n"/>
    </row>
    <row r="4766">
      <c r="A4766" s="2" t="n">
        <v>4765</v>
      </c>
      <c r="B4766" s="2" t="inlineStr">
        <is>
          <t>короткая</t>
        </is>
      </c>
      <c r="C4766" s="2" t="n">
        <v>9216</v>
      </c>
      <c r="D4766" s="3" t="inlineStr">
        <is>
          <t>Бакенбарды</t>
        </is>
      </c>
      <c r="E4766" s="2" t="n">
        <v>1990</v>
      </c>
      <c r="F4766" s="2" t="inlineStr">
        <is>
          <t>кинофильм</t>
        </is>
      </c>
      <c r="G4766" s="2" t="n"/>
      <c r="H4766" s="2" t="n">
        <v>240</v>
      </c>
      <c r="I4766" s="2" t="inlineStr"/>
      <c r="J4766" s="2" t="inlineStr"/>
      <c r="K4766" s="3" t="inlineStr">
        <is>
          <t>Участники неформального молодежного обьединения,прикрываясь благородными целями создания общества памяти А.С.Пушкина,что должно вернуть тем самым городу первозданную чистоту и духовность,захватывают власть и "железной рукой" наводят порядок</t>
        </is>
      </c>
      <c r="L4766" s="2" t="inlineStr">
        <is>
          <t>https://gosfilmofond.ru/films/249865/</t>
        </is>
      </c>
      <c r="M4766" s="2">
        <f>HYPERLINK("https://ru.wikipedia.org/w/index.php?search=%D0%91%D0%B0%D0%BA%D0%B5%D0%BD%D0%B1%D0%B0%D1%80%D0%B4%D1%8B%201990%20%D1%84%D0%B8%D0%BB%D1%8C%D0%BC","искать")</f>
        <v/>
      </c>
      <c r="N4766" s="3" t="n"/>
      <c r="O4766" s="2" t="n"/>
      <c r="P4766" s="2" t="n"/>
    </row>
    <row r="4767">
      <c r="A4767" s="2" t="n">
        <v>4766</v>
      </c>
      <c r="B4767" s="2" t="inlineStr">
        <is>
          <t>короткая</t>
        </is>
      </c>
      <c r="C4767" s="2" t="n">
        <v>9401</v>
      </c>
      <c r="D4767" s="3" t="inlineStr">
        <is>
          <t>История слабой женщины</t>
        </is>
      </c>
      <c r="E4767" s="2" t="n">
        <v>1986</v>
      </c>
      <c r="F4767" s="2" t="inlineStr">
        <is>
          <t>кинофильм</t>
        </is>
      </c>
      <c r="G4767" s="2" t="n"/>
      <c r="H4767" s="2" t="n">
        <v>240</v>
      </c>
      <c r="I4767" s="2" t="inlineStr"/>
      <c r="J4767" s="2" t="inlineStr"/>
      <c r="K4767" s="3" t="inlineStr">
        <is>
          <t>Одна, без мужа, растит Несибели сына и дочь. Но трудности не сломили её. Жизнерадостный характер, чувство юмора, приветливость привлекают к ней людей. Она стремится помочь всем, кто рядом, и это помогает ей справляться со своими невзгодами.</t>
        </is>
      </c>
      <c r="L4767" s="2" t="inlineStr">
        <is>
          <t>Кино_СССР сводный каталог.xlsx: список фильмов (доп.)</t>
        </is>
      </c>
      <c r="M4767" s="2">
        <f>HYPERLINK("https://ru.wikipedia.org/w/index.php?search=%D0%98%D1%81%D1%82%D0%BE%D1%80%D0%B8%D1%8F%20%D1%81%D0%BB%D0%B0%D0%B1%D0%BE%D0%B9%20%D0%B6%D0%B5%D0%BD%D1%89%D0%B8%D0%BD%D1%8B%201986%20%D1%84%D0%B8%D0%BB%D1%8C%D0%BC","искать")</f>
        <v/>
      </c>
      <c r="N4767" s="3" t="n"/>
      <c r="O4767" s="2" t="n"/>
      <c r="P4767" s="2" t="n"/>
    </row>
    <row r="4768">
      <c r="A4768" s="2" t="n">
        <v>4767</v>
      </c>
      <c r="B4768" s="2" t="inlineStr">
        <is>
          <t>короткая</t>
        </is>
      </c>
      <c r="C4768" s="2" t="n">
        <v>11346</v>
      </c>
      <c r="D4768" s="3" t="inlineStr">
        <is>
          <t>Смех лангусты</t>
        </is>
      </c>
      <c r="E4768" s="2" t="n">
        <v>1991</v>
      </c>
      <c r="F4768" s="2" t="inlineStr">
        <is>
          <t>фильм-спектакль</t>
        </is>
      </c>
      <c r="G4768" s="2" t="inlineStr">
        <is>
          <t>Студия литературно-художественных программ, т/о "Телетеатр"</t>
        </is>
      </c>
      <c r="H4768" s="2" t="n">
        <v>240</v>
      </c>
      <c r="I4768" s="2" t="inlineStr"/>
      <c r="J4768" s="2" t="inlineStr"/>
      <c r="K4768" s="3" t="inlineStr">
        <is>
          <t>Постановка Театраа им. Маяковского по пьесе Джона Маррелла "Мемуары".
Спектакль рассказывает о последнем годе жизни легендарной французской актрисы Сары Бернар. Жизнь Сары на исходе. Нужно успеть рассказать правду о себе, она пишет мемуары.</t>
        </is>
      </c>
      <c r="L4768" s="2" t="inlineStr">
        <is>
          <t>https://www.kino-teatr.ru/teatr/movie/81594/annot/</t>
        </is>
      </c>
      <c r="M4768" s="2">
        <f>HYPERLINK("https://ru.wikipedia.org/w/index.php?search=%D0%A1%D0%BC%D0%B5%D1%85%20%D0%BB%D0%B0%D0%BD%D0%B3%D1%83%D1%81%D1%82%D1%8B%201991%20%D1%84%D0%B8%D0%BB%D1%8C%D0%BC","искать")</f>
        <v/>
      </c>
      <c r="N4768" s="3" t="n"/>
      <c r="O4768" s="2" t="n"/>
      <c r="P4768" s="2" t="n"/>
    </row>
    <row r="4769">
      <c r="A4769" s="2" t="n">
        <v>4768</v>
      </c>
      <c r="B4769" s="2" t="inlineStr">
        <is>
          <t>короткая</t>
        </is>
      </c>
      <c r="C4769" s="2" t="n">
        <v>8456</v>
      </c>
      <c r="D4769" s="3" t="inlineStr">
        <is>
          <t>Ткачихи</t>
        </is>
      </c>
      <c r="E4769" s="2" t="n">
        <v>1973</v>
      </c>
      <c r="F4769" s="2" t="inlineStr">
        <is>
          <t>телефильм</t>
        </is>
      </c>
      <c r="G4769" s="2" t="n"/>
      <c r="H4769" s="2" t="n">
        <v>241</v>
      </c>
      <c r="I4769" s="2" t="inlineStr"/>
      <c r="J4769" s="2" t="inlineStr"/>
      <c r="K4769" s="3" t="inlineStr">
        <is>
          <t>Рассказ о жизни трудового коллектива одной из ткацких фабрик… Проблема текучки персонала за более престижными профессиями, но руководительнице удаётся вдохновить работниц идеей «Лучше быть талантливой ткачихой, чем посредственным инженером».</t>
        </is>
      </c>
      <c r="L4769" s="2" t="inlineStr">
        <is>
          <t>https://ru.wikipedia.org/w/index.php?title=%D0%A2%D0%BA%D0%B0%D1%87%D0%B8%D1%85%D0%B8&amp;oldid=149113345</t>
        </is>
      </c>
      <c r="M4769" s="2">
        <f>HYPERLINK("https://ru.wikipedia.org/w/index.php?search=%D0%A2%D0%BA%D0%B0%D1%87%D0%B8%D1%85%D0%B8%201973%20%D1%84%D0%B8%D0%BB%D1%8C%D0%BC","искать")</f>
        <v/>
      </c>
      <c r="N4769" s="3" t="n"/>
      <c r="O4769" s="2" t="n"/>
      <c r="P4769" s="2" t="n"/>
    </row>
    <row r="4770">
      <c r="A4770" s="2" t="n">
        <v>4769</v>
      </c>
      <c r="B4770" s="2" t="inlineStr">
        <is>
          <t>короткая</t>
        </is>
      </c>
      <c r="C4770" s="2" t="n">
        <v>10777</v>
      </c>
      <c r="D4770" s="3" t="inlineStr">
        <is>
          <t>Стойкий туман</t>
        </is>
      </c>
      <c r="E4770" s="2" t="n">
        <v>1978</v>
      </c>
      <c r="F4770" s="2" t="inlineStr">
        <is>
          <t>фильм-спектакль</t>
        </is>
      </c>
      <c r="G4770" s="2" t="inlineStr">
        <is>
          <t>Центральное телевидение</t>
        </is>
      </c>
      <c r="H4770" s="2" t="n">
        <v>241</v>
      </c>
      <c r="I4770" s="2" t="inlineStr"/>
      <c r="J4770" s="2" t="inlineStr"/>
      <c r="K4770" s="3" t="inlineStr">
        <is>
          <t>По одноименному роману Анатолия Ференчука.
Действие происходит в годы коллективизации на Кубани. В острой борьбе сталкиваются хуторская беднота во главе с председателем сельсовета Журбой и зажиточные хозяева, возглавляемые кулаком Хоруженко.</t>
        </is>
      </c>
      <c r="L4770" s="2" t="inlineStr">
        <is>
          <t>https://www.kino-teatr.ru/teatr/movie/91433/annot/</t>
        </is>
      </c>
      <c r="M4770" s="2">
        <f>HYPERLINK("https://ru.wikipedia.org/w/index.php?search=%D0%A1%D1%82%D0%BE%D0%B9%D0%BA%D0%B8%D0%B9%20%D1%82%D1%83%D0%BC%D0%B0%D0%BD%201978%20%D1%84%D0%B8%D0%BB%D1%8C%D0%BC","искать")</f>
        <v/>
      </c>
      <c r="N4770" s="3" t="n"/>
      <c r="O4770" s="2" t="n"/>
      <c r="P4770" s="2" t="n"/>
    </row>
    <row r="4771">
      <c r="A4771" s="2" t="n">
        <v>4770</v>
      </c>
      <c r="B4771" s="2" t="inlineStr">
        <is>
          <t>короткая</t>
        </is>
      </c>
      <c r="C4771" s="2" t="n">
        <v>10851</v>
      </c>
      <c r="D4771" s="3" t="inlineStr">
        <is>
          <t>Мятеж</t>
        </is>
      </c>
      <c r="E4771" s="2" t="n">
        <v>1980</v>
      </c>
      <c r="F4771" s="2" t="inlineStr">
        <is>
          <t>фильм-спектакль</t>
        </is>
      </c>
      <c r="G4771" s="2" t="inlineStr">
        <is>
          <t>МХАТ, ТО "Экран"</t>
        </is>
      </c>
      <c r="H4771" s="2" t="n">
        <v>241</v>
      </c>
      <c r="I4771" s="2" t="inlineStr"/>
      <c r="J4771" s="2" t="inlineStr"/>
      <c r="K4771" s="3" t="inlineStr">
        <is>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is>
      </c>
      <c r="L4771" s="2" t="inlineStr">
        <is>
          <t>https://www.kino-teatr.ru/teatr/movie/13076/annot/</t>
        </is>
      </c>
      <c r="M4771" s="2">
        <f>HYPERLINK("https://ru.wikipedia.org/w/index.php?search=%D0%9C%D1%8F%D1%82%D0%B5%D0%B6%201980%20%D1%84%D0%B8%D0%BB%D1%8C%D0%BC","искать")</f>
        <v/>
      </c>
      <c r="N4771" s="3" t="n"/>
      <c r="O4771" s="2" t="n"/>
      <c r="P4771" s="2" t="n"/>
    </row>
    <row r="4772">
      <c r="A4772" s="2" t="n">
        <v>4771</v>
      </c>
      <c r="B4772" s="2" t="inlineStr">
        <is>
          <t>короткая</t>
        </is>
      </c>
      <c r="C4772" s="2" t="n">
        <v>12764</v>
      </c>
      <c r="D4772" s="3" t="inlineStr">
        <is>
          <t>И каждый вечер</t>
        </is>
      </c>
      <c r="E4772" s="2" t="n">
        <v>1987</v>
      </c>
      <c r="F4772" s="2" t="inlineStr">
        <is>
          <t>мультфильм</t>
        </is>
      </c>
      <c r="G4772" s="2" t="inlineStr">
        <is>
          <t>АРМЕНФИЛЬМ</t>
        </is>
      </c>
      <c r="H4772" s="2" t="n">
        <v>241</v>
      </c>
      <c r="I4772" s="2" t="inlineStr"/>
      <c r="J4772" s="2" t="inlineStr"/>
      <c r="K4772" s="3" t="inlineStr">
        <is>
          <t>Клоун каждый вечер смешит публику с помощью оранжевого газа, вызывающего смех. Но однажды газ кончается, и ленивому клоуну приходится уступить место тому, кто действительно трудолюбив и талантлив в умении вызывать у людей смех - своему коту.</t>
        </is>
      </c>
      <c r="L4772" s="2" t="inlineStr">
        <is>
          <t>https://animator.ru/db/?p=show_film&amp;fid=3973</t>
        </is>
      </c>
      <c r="M4772" s="2">
        <f>HYPERLINK("https://ru.wikipedia.org/w/index.php?search=%D0%98%20%D0%BA%D0%B0%D0%B6%D0%B4%D1%8B%D0%B9%20%D0%B2%D0%B5%D1%87%D0%B5%D1%80%201987%20%D1%84%D0%B8%D0%BB%D1%8C%D0%BC","искать")</f>
        <v/>
      </c>
      <c r="N4772" s="3" t="n"/>
      <c r="O4772" s="2" t="n"/>
      <c r="P4772" s="2" t="n"/>
    </row>
    <row r="4773">
      <c r="A4773" s="2" t="n">
        <v>4772</v>
      </c>
      <c r="B4773" s="2" t="inlineStr">
        <is>
          <t>короткая</t>
        </is>
      </c>
      <c r="C4773" s="2" t="n">
        <v>7525</v>
      </c>
      <c r="D4773" s="3" t="inlineStr">
        <is>
          <t>Дождь в чужом городе</t>
        </is>
      </c>
      <c r="E4773" s="2" t="n">
        <v>1979</v>
      </c>
      <c r="F4773" s="2" t="inlineStr">
        <is>
          <t>телефильм</t>
        </is>
      </c>
      <c r="G4773" s="2" t="n"/>
      <c r="H4773" s="2" t="n">
        <v>242</v>
      </c>
      <c r="I4773" s="2" t="inlineStr"/>
      <c r="J4773" s="2" t="inlineStr"/>
      <c r="K4773" s="3" t="inlineStr">
        <is>
          <t>Экранизация романа Даниила Гранина. Инженер Чижегов приезжает в провинциальный город в командировку и знакомится с Кирой. Взаимная привязанность немолодых людей приводит к сложным отношениям и необходимости принять единственно верное решение.</t>
        </is>
      </c>
      <c r="L4773" s="2" t="inlineStr">
        <is>
          <t>Кино_СССР сводный каталог.xlsx: список телефильмов</t>
        </is>
      </c>
      <c r="M4773" s="2">
        <f>HYPERLINK("https://ru.wikipedia.org/w/index.php?search=%D0%94%D0%BE%D0%B6%D0%B4%D1%8C%20%D0%B2%20%D1%87%D1%83%D0%B6%D0%BE%D0%BC%20%D0%B3%D0%BE%D1%80%D0%BE%D0%B4%D0%B5%201979%20%D1%84%D0%B8%D0%BB%D1%8C%D0%BC","искать")</f>
        <v/>
      </c>
      <c r="N4773" s="3" t="n"/>
      <c r="O4773" s="2" t="n"/>
      <c r="P4773" s="2" t="n"/>
    </row>
    <row r="4774">
      <c r="A4774" s="2" t="n">
        <v>4773</v>
      </c>
      <c r="B4774" s="2" t="inlineStr">
        <is>
          <t>короткая</t>
        </is>
      </c>
      <c r="C4774" s="2" t="n">
        <v>7990</v>
      </c>
      <c r="D4774" s="3" t="inlineStr">
        <is>
          <t>Непредвиденные визиты</t>
        </is>
      </c>
      <c r="E4774" s="2" t="n">
        <v>1991</v>
      </c>
      <c r="F4774" s="2" t="inlineStr">
        <is>
          <t>телефильм</t>
        </is>
      </c>
      <c r="G4774" s="2" t="n"/>
      <c r="H4774" s="2" t="n">
        <v>242</v>
      </c>
      <c r="I4774" s="2" t="inlineStr"/>
      <c r="J4774" s="2" t="inlineStr"/>
      <c r="K4774" s="3" t="inlineStr">
        <is>
          <t>Мэр города Селиванов, недавно избранный на этот пост, посещает своих предшественников, знакомясь с их нелегкими судьбами. Рассказы бывших градоначальников о себе, своих судьбах, тесно связанных с историей страны, составляют содержание фильма.</t>
        </is>
      </c>
      <c r="L4774" s="2" t="inlineStr">
        <is>
          <t>Кино_СССР сводный каталог.xlsx: список телефильмов</t>
        </is>
      </c>
      <c r="M4774" s="2">
        <f>HYPERLINK("https://ru.wikipedia.org/w/index.php?search=%D0%9D%D0%B5%D0%BF%D1%80%D0%B5%D0%B4%D0%B2%D0%B8%D0%B4%D0%B5%D0%BD%D0%BD%D1%8B%D0%B5%20%D0%B2%D0%B8%D0%B7%D0%B8%D1%82%D1%8B%201991%20%D1%84%D0%B8%D0%BB%D1%8C%D0%BC","искать")</f>
        <v/>
      </c>
      <c r="N4774" s="3" t="n"/>
      <c r="O4774" s="2" t="n"/>
      <c r="P4774" s="2" t="n"/>
    </row>
    <row r="4775">
      <c r="A4775" s="2" t="n">
        <v>4774</v>
      </c>
      <c r="B4775" s="2" t="inlineStr">
        <is>
          <t>короткая</t>
        </is>
      </c>
      <c r="C4775" s="2" t="n">
        <v>11369</v>
      </c>
      <c r="D4775" s="3" t="inlineStr">
        <is>
          <t>Городская фантазия</t>
        </is>
      </c>
      <c r="E4775" s="2" t="n">
        <v>1978</v>
      </c>
      <c r="F4775" s="2" t="inlineStr">
        <is>
          <t>не игровое</t>
        </is>
      </c>
      <c r="G4775" s="2" t="inlineStr">
        <is>
          <t>Лентелефильм</t>
        </is>
      </c>
      <c r="H4775" s="2" t="n">
        <v>242</v>
      </c>
      <c r="I4775" s="2" t="inlineStr"/>
      <c r="J4775" s="2" t="inlineStr"/>
      <c r="K4775" s="3" t="inlineStr">
        <is>
          <t>Фильм-концерт снят на улицах города. Влюблёная пара. Современная музыка звучит повсюду – на ленинградских крышах, улице Зодчего Росси, на балконах и в окнах домов. Музыка плывет по каналам, проезжает под мостиками, выходит на набережные Невы.</t>
        </is>
      </c>
      <c r="L4775" s="2" t="inlineStr">
        <is>
          <t>Кино_СССР телефильмы и пропуски включить в базу.xlsx</t>
        </is>
      </c>
      <c r="M4775" s="2">
        <f>HYPERLINK("https://ru.wikipedia.org/w/index.php?search=%D0%93%D0%BE%D1%80%D0%BE%D0%B4%D1%81%D0%BA%D0%B0%D1%8F%20%D1%84%D0%B0%D0%BD%D1%82%D0%B0%D0%B7%D0%B8%D1%8F%201978%20%D1%84%D0%B8%D0%BB%D1%8C%D0%BC","искать")</f>
        <v/>
      </c>
      <c r="N4775" s="3" t="n"/>
      <c r="O4775" s="2" t="n"/>
      <c r="P4775" s="2" t="n"/>
    </row>
    <row r="4776">
      <c r="A4776" s="2" t="n">
        <v>4775</v>
      </c>
      <c r="B4776" s="2" t="inlineStr">
        <is>
          <t>короткая</t>
        </is>
      </c>
      <c r="C4776" s="2" t="n">
        <v>12230</v>
      </c>
      <c r="D4776" s="3" t="inlineStr">
        <is>
          <t>Щенок и старая тапочка</t>
        </is>
      </c>
      <c r="E4776" s="2" t="n">
        <v>1987</v>
      </c>
      <c r="F4776" s="2" t="inlineStr">
        <is>
          <t>мультфильм</t>
        </is>
      </c>
      <c r="G4776" s="2" t="inlineStr">
        <is>
          <t>Союзмультфильм</t>
        </is>
      </c>
      <c r="H4776" s="2" t="n">
        <v>242</v>
      </c>
      <c r="I4776" s="2" t="inlineStr"/>
      <c r="J4776" s="2" t="inlineStr"/>
      <c r="K4776" s="3" t="inlineStr">
        <is>
          <t>Маленький Щенок по совету лукавой Кошки пытается выяснить, кто он - охотничья собака, сторожевая или водолаз? Оказывается, он ничего не умеет делать. Но он находит для хозяина потерянную тапочку и понимает, что его любят таким, какой он есть.</t>
        </is>
      </c>
      <c r="L4776" s="2" t="inlineStr">
        <is>
          <t>https://animator.ru/db/?p=show_film&amp;fid=3347</t>
        </is>
      </c>
      <c r="M4776" s="2">
        <f>HYPERLINK("https://ru.wikipedia.org/w/index.php?search=%D0%A9%D0%B5%D0%BD%D0%BE%D0%BA%20%D0%B8%20%D1%81%D1%82%D0%B0%D1%80%D0%B0%D1%8F%20%D1%82%D0%B0%D0%BF%D0%BE%D1%87%D0%BA%D0%B0%201987%20%D1%84%D0%B8%D0%BB%D1%8C%D0%BC","искать")</f>
        <v/>
      </c>
      <c r="N4776" s="3" t="n"/>
      <c r="O4776" s="2" t="n"/>
      <c r="P4776" s="2" t="n"/>
    </row>
    <row r="4777">
      <c r="A4777" s="2" t="n">
        <v>4776</v>
      </c>
      <c r="B4777" s="2" t="inlineStr">
        <is>
          <t>короткая</t>
        </is>
      </c>
      <c r="C4777" s="2" t="n">
        <v>8560</v>
      </c>
      <c r="D4777" s="3" t="inlineStr">
        <is>
          <t>Четыре воскресенья</t>
        </is>
      </c>
      <c r="E4777" s="2" t="n">
        <v>1974</v>
      </c>
      <c r="F4777" s="2" t="inlineStr">
        <is>
          <t>телефильм</t>
        </is>
      </c>
      <c r="G4777" s="2" t="n"/>
      <c r="H4777" s="2" t="n">
        <v>243</v>
      </c>
      <c r="I4777" s="2" t="inlineStr"/>
      <c r="J4777" s="2" t="inlineStr"/>
      <c r="K4777" s="3" t="inlineStr">
        <is>
          <t>Фильм рассказывает о грозных годах ВОВ. В центре сюжета — события на фронтах в БССР, где партизаны после госпиталя смогли найти свою воинскую часть. Первые роли в кино актёров Яшара Нури и Шукуфы Юсифовой. Телефильм был снят по заказу ЦТ СССР.</t>
        </is>
      </c>
      <c r="L4777" s="2" t="inlineStr">
        <is>
          <t>https://ru.wikipedia.org/w/index.php?title=%D0%A7%D0%B5%D1%82%D1%8B%D1%80%D0%B5_%D0%B2%D0%BE%D1%81%D0%BA%D1%80%D0%B5%D1%81%D0%B5%D0%BD%D1%8C%D1%8F&amp;oldid=149113284</t>
        </is>
      </c>
      <c r="M4777" s="2">
        <f>HYPERLINK("https://ru.wikipedia.org/w/index.php?search=%D0%A7%D0%B5%D1%82%D1%8B%D1%80%D0%B5%20%D0%B2%D0%BE%D1%81%D0%BA%D1%80%D0%B5%D1%81%D0%B5%D0%BD%D1%8C%D1%8F%201974%20%D1%84%D0%B8%D0%BB%D1%8C%D0%BC","искать")</f>
        <v/>
      </c>
      <c r="N4777" s="3" t="n"/>
      <c r="O4777" s="2" t="n"/>
      <c r="P4777" s="2" t="n"/>
    </row>
    <row r="4778">
      <c r="A4778" s="2" t="n">
        <v>4777</v>
      </c>
      <c r="B4778" s="2" t="inlineStr">
        <is>
          <t>короткая</t>
        </is>
      </c>
      <c r="C4778" s="2" t="n">
        <v>10739</v>
      </c>
      <c r="D4778" s="3" t="inlineStr">
        <is>
          <t>День-деньской</t>
        </is>
      </c>
      <c r="E4778" s="2" t="n">
        <v>1978</v>
      </c>
      <c r="F4778" s="2" t="inlineStr">
        <is>
          <t>фильм-спектакль</t>
        </is>
      </c>
      <c r="G4778" s="2" t="inlineStr">
        <is>
          <t>Центральное телевидение</t>
        </is>
      </c>
      <c r="H4778" s="2" t="n">
        <v>243</v>
      </c>
      <c r="I4778" s="2" t="inlineStr"/>
      <c r="J4778" s="2" t="inlineStr"/>
      <c r="K4778" s="3" t="inlineStr">
        <is>
          <t>По одноименной пьесе А. Вейцлера и А. Мишарина в постановке Государственного академического театра имени Евг. Вахтангова.
Один день из жизни директора завода Друянова, который превратил некогда отсталое предприятие в одно из ведущих в отрасли.</t>
        </is>
      </c>
      <c r="L4778" s="2" t="inlineStr">
        <is>
          <t>https://www.kino-teatr.ru/teatr/movie/108297/annot/</t>
        </is>
      </c>
      <c r="M4778" s="2">
        <f>HYPERLINK("https://ru.wikipedia.org/w/index.php?search=%D0%94%D0%B5%D0%BD%D1%8C-%D0%B4%D0%B5%D0%BD%D1%8C%D1%81%D0%BA%D0%BE%D0%B9%201978%20%D1%84%D0%B8%D0%BB%D1%8C%D0%BC","искать")</f>
        <v/>
      </c>
      <c r="N4778" s="3" t="n"/>
      <c r="O4778" s="2" t="n"/>
      <c r="P4778" s="2" t="n"/>
    </row>
    <row r="4779">
      <c r="A4779" s="2" t="n">
        <v>4778</v>
      </c>
      <c r="B4779" s="2" t="inlineStr">
        <is>
          <t>короткая</t>
        </is>
      </c>
      <c r="C4779" s="2" t="n">
        <v>11622</v>
      </c>
      <c r="D4779" s="3" t="inlineStr">
        <is>
          <t>Винни-Пух идет в гости</t>
        </is>
      </c>
      <c r="E4779" s="2" t="n">
        <v>1971</v>
      </c>
      <c r="F4779" s="2" t="inlineStr">
        <is>
          <t>мультфильм</t>
        </is>
      </c>
      <c r="G4779" s="2" t="inlineStr">
        <is>
          <t>Союзмультфильм</t>
        </is>
      </c>
      <c r="H4779" s="2" t="n">
        <v>243</v>
      </c>
      <c r="I4779" s="2" t="inlineStr"/>
      <c r="J4779" s="2" t="inlineStr"/>
      <c r="K4779" s="3" t="inlineStr">
        <is>
          <t>Второй фильм трилогии об игрушечном медвежонке и его друзьях по сказке А.Милна.
Винни-Пух и Пятачок отправляются в гости к Кролику.Музыка из мультфильма:Хто ходит в гости по утрам(1.48 Мб)Песенка Винни Пуха(1.09 Мб)И я того же мнения(1.39 Мб)</t>
        </is>
      </c>
      <c r="L4779" s="2" t="inlineStr">
        <is>
          <t>2026-10_мультфильмы_список_владельца.xlsx; https://animator.ru/db/?p=show_film&amp;fid=2536</t>
        </is>
      </c>
      <c r="M4779" s="2">
        <f>HYPERLINK("https://ru.wikipedia.org/w/index.php?search=%D0%92%D0%B8%D0%BD%D0%BD%D0%B8-%D0%9F%D1%83%D1%85%20%D0%B8%D0%B4%D0%B5%D1%82%20%D0%B2%20%D0%B3%D0%BE%D1%81%D1%82%D0%B8%201971%20%D1%84%D0%B8%D0%BB%D1%8C%D0%BC","искать")</f>
        <v/>
      </c>
      <c r="N4779" s="3" t="n"/>
      <c r="O4779" s="2" t="n"/>
      <c r="P4779" s="2" t="n"/>
    </row>
    <row r="4780">
      <c r="A4780" s="2" t="n">
        <v>4779</v>
      </c>
      <c r="B4780" s="2" t="inlineStr">
        <is>
          <t>короткая</t>
        </is>
      </c>
      <c r="C4780" s="2" t="n">
        <v>8056</v>
      </c>
      <c r="D4780" s="3" t="inlineStr">
        <is>
          <t>Особые обстоятельства</t>
        </is>
      </c>
      <c r="E4780" s="2" t="n">
        <v>1986</v>
      </c>
      <c r="F4780" s="2" t="inlineStr">
        <is>
          <t>телефильм</t>
        </is>
      </c>
      <c r="G4780" s="2" t="n"/>
      <c r="H4780" s="2" t="n">
        <v>244</v>
      </c>
      <c r="I4780" s="2" t="inlineStr"/>
      <c r="J4780" s="2" t="inlineStr"/>
      <c r="K4780" s="3" t="inlineStr">
        <is>
          <t>Телефильм по мотивам романа Манафа Фараджа Оглы Сулейманова "На вершинах". В основе сюжета - конфликт между начальником участка и директором горнообогатительного комбината, основанный на различных подходах к проблемам современного производства.</t>
        </is>
      </c>
      <c r="L4780" s="2" t="inlineStr">
        <is>
          <t>Кино_СССР сводный каталог.xlsx: список телефильмов</t>
        </is>
      </c>
      <c r="M4780" s="2">
        <f>HYPERLINK("https://ru.wikipedia.org/w/index.php?search=%D0%9E%D1%81%D0%BE%D0%B1%D1%8B%D0%B5%20%D0%BE%D0%B1%D1%81%D1%82%D0%BE%D1%8F%D1%82%D0%B5%D0%BB%D1%8C%D1%81%D1%82%D0%B2%D0%B0%201986%20%D1%84%D0%B8%D0%BB%D1%8C%D0%BC","искать")</f>
        <v/>
      </c>
      <c r="N4780" s="3" t="n"/>
      <c r="O4780" s="2" t="n"/>
      <c r="P4780" s="2" t="n"/>
    </row>
    <row r="4781">
      <c r="A4781" s="2" t="n">
        <v>4780</v>
      </c>
      <c r="B4781" s="2" t="inlineStr">
        <is>
          <t>короткая</t>
        </is>
      </c>
      <c r="C4781" s="2" t="n">
        <v>8679</v>
      </c>
      <c r="D4781" s="3" t="inlineStr">
        <is>
          <t>Год заканчивается закатом</t>
        </is>
      </c>
      <c r="E4781" s="2" t="n">
        <v>1990</v>
      </c>
      <c r="F4781" s="2" t="inlineStr">
        <is>
          <t>кинофильм</t>
        </is>
      </c>
      <c r="G4781" s="2" t="inlineStr">
        <is>
          <t>Lietuvos kino studija</t>
        </is>
      </c>
      <c r="H4781" s="2" t="n">
        <v>244</v>
      </c>
      <c r="I4781" s="2" t="inlineStr"/>
      <c r="J4781" s="2" t="inlineStr"/>
      <c r="K4781" s="3" t="inlineStr">
        <is>
          <t>Главный герой фильма путешествует в прошлое, чтобы найти ответы на вопросы, кто он и откуда пришёл?  Прошлое для него - это его семья, мать, сестра, брат. Он спрашивает себя, есть ли ещё что-то дороже семьи? Найдёт ли он выход, потеряв всё это?</t>
        </is>
      </c>
      <c r="L4781" s="2" t="inlineStr">
        <is>
          <t>Кино_СССР сводный каталог.xlsx: список фильмов (доп.)</t>
        </is>
      </c>
      <c r="M4781" s="2">
        <f>HYPERLINK("https://ru.wikipedia.org/w/index.php?search=%D0%93%D0%BE%D0%B4%20%D0%B7%D0%B0%D0%BA%D0%B0%D0%BD%D1%87%D0%B8%D0%B2%D0%B0%D0%B5%D1%82%D1%81%D1%8F%20%D0%B7%D0%B0%D0%BA%D0%B0%D1%82%D0%BE%D0%BC%201990%20%D1%84%D0%B8%D0%BB%D1%8C%D0%BC","искать")</f>
        <v/>
      </c>
      <c r="N4781" s="3" t="n"/>
      <c r="O4781" s="2" t="n"/>
      <c r="P4781" s="2" t="n"/>
    </row>
    <row r="4782">
      <c r="A4782" s="2" t="n">
        <v>4781</v>
      </c>
      <c r="B4782" s="2" t="inlineStr">
        <is>
          <t>короткая</t>
        </is>
      </c>
      <c r="C4782" s="2" t="n">
        <v>8875</v>
      </c>
      <c r="D4782" s="3" t="inlineStr">
        <is>
          <t>Неустановленное лицо</t>
        </is>
      </c>
      <c r="E4782" s="2" t="n">
        <v>1990</v>
      </c>
      <c r="F4782" s="2" t="inlineStr">
        <is>
          <t>кинофильм</t>
        </is>
      </c>
      <c r="G4782" s="2" t="n"/>
      <c r="H4782" s="2" t="n">
        <v>244</v>
      </c>
      <c r="I4782" s="2" t="inlineStr"/>
      <c r="J4782" s="2" t="inlineStr"/>
      <c r="K4782" s="3" t="inlineStr">
        <is>
          <t>У них - одна внешность, но разные характеры. Им выпала искусительная возможность поменяться местами, то есть "вкусить" чужую жизнь. Но не всегда получается так, как надеешься. И невинная игра может окончиться трагично. Чье же оно - лицо смерти?</t>
        </is>
      </c>
      <c r="L4782" s="2" t="inlineStr">
        <is>
          <t>Кино_СССР сводный каталог.xlsx: список фильмов (доп.)</t>
        </is>
      </c>
      <c r="M4782" s="2">
        <f>HYPERLINK("https://ru.wikipedia.org/w/index.php?search=%D0%9D%D0%B5%D1%83%D1%81%D1%82%D0%B0%D0%BD%D0%BE%D0%B2%D0%BB%D0%B5%D0%BD%D0%BD%D0%BE%D0%B5%20%D0%BB%D0%B8%D1%86%D0%BE%201990%20%D1%84%D0%B8%D0%BB%D1%8C%D0%BC","искать")</f>
        <v/>
      </c>
      <c r="N4782" s="3" t="n"/>
      <c r="O4782" s="2" t="n"/>
      <c r="P4782" s="2" t="n"/>
    </row>
    <row r="4783">
      <c r="A4783" s="2" t="n">
        <v>4782</v>
      </c>
      <c r="B4783" s="2" t="inlineStr">
        <is>
          <t>короткая</t>
        </is>
      </c>
      <c r="C4783" s="2" t="n">
        <v>10011</v>
      </c>
      <c r="D4783" s="3" t="inlineStr">
        <is>
          <t>Хочу тебе сказать...</t>
        </is>
      </c>
      <c r="E4783" s="2" t="n">
        <v>1985</v>
      </c>
      <c r="F4783" s="2" t="inlineStr">
        <is>
          <t>телефильм</t>
        </is>
      </c>
      <c r="G4783" s="2" t="inlineStr">
        <is>
          <t>ТО "Экран"</t>
        </is>
      </c>
      <c r="H4783" s="2" t="n">
        <v>244</v>
      </c>
      <c r="I4783" s="2" t="inlineStr"/>
      <c r="J4783" s="2" t="inlineStr"/>
      <c r="K4783" s="3" t="inlineStr">
        <is>
          <t>Лариса и Василий знакомы с детства. Их внутренняя скованность, неумение уступать друг другу, боязнь выглядеть смешными приводит к возникновению конфликтных ситуаций - забавных для окружающих, но важных для влюбленных, стесняющихся своих чувств.</t>
        </is>
      </c>
      <c r="L4783" s="2" t="inlineStr">
        <is>
          <t>https://www.kino-teatr.ru/short/movie/sov/7655/annot/</t>
        </is>
      </c>
      <c r="M4783" s="2">
        <f>HYPERLINK("https://ru.wikipedia.org/w/index.php?search=%D0%A5%D0%BE%D1%87%D1%83%20%D1%82%D0%B5%D0%B1%D0%B5%20%D1%81%D0%BA%D0%B0%D0%B7%D0%B0%D1%82%D1%8C...%201985%20%D1%84%D0%B8%D0%BB%D1%8C%D0%BC","искать")</f>
        <v/>
      </c>
      <c r="N4783" s="3" t="n"/>
      <c r="O4783" s="2" t="n"/>
      <c r="P4783" s="2" t="n"/>
    </row>
    <row r="4784">
      <c r="A4784" s="2" t="n">
        <v>4783</v>
      </c>
      <c r="B4784" s="2" t="inlineStr">
        <is>
          <t>короткая</t>
        </is>
      </c>
      <c r="C4784" s="2" t="n">
        <v>10970</v>
      </c>
      <c r="D4784" s="3" t="inlineStr">
        <is>
          <t>Спешите делать добро</t>
        </is>
      </c>
      <c r="E4784" s="2" t="n">
        <v>1982</v>
      </c>
      <c r="F4784" s="2" t="inlineStr">
        <is>
          <t>фильм-спектакль</t>
        </is>
      </c>
      <c r="G4784" s="2" t="inlineStr">
        <is>
          <t>Главная редакция литературно-драматических программ ЦТ</t>
        </is>
      </c>
      <c r="H4784" s="2" t="n">
        <v>244</v>
      </c>
      <c r="I4784" s="2" t="inlineStr"/>
      <c r="J4784" s="2" t="inlineStr"/>
      <c r="K4784" s="3" t="inlineStr">
        <is>
          <t>Мелодрама по одноименной пьесе Михаила Рощина в постановке Московского театра "Современник".
Фильм-спектакль рассказывает о девочке-подростке с трудной судьбой, волею случая попавшей в чужую семью, о сложных отношениях с людьми, приютившими ее.</t>
        </is>
      </c>
      <c r="L4784" s="2" t="inlineStr">
        <is>
          <t>https://www.kino-teatr.ru/teatr/movie/6710/annot/</t>
        </is>
      </c>
      <c r="M4784" s="2">
        <f>HYPERLINK("https://ru.wikipedia.org/w/index.php?search=%D0%A1%D0%BF%D0%B5%D1%88%D0%B8%D1%82%D0%B5%20%D0%B4%D0%B5%D0%BB%D0%B0%D1%82%D1%8C%20%D0%B4%D0%BE%D0%B1%D1%80%D0%BE%201982%20%D1%84%D0%B8%D0%BB%D1%8C%D0%BC","искать")</f>
        <v/>
      </c>
      <c r="N4784" s="3" t="n"/>
      <c r="O4784" s="2" t="n"/>
      <c r="P4784" s="2" t="n"/>
    </row>
    <row r="4785">
      <c r="A4785" s="2" t="n">
        <v>4784</v>
      </c>
      <c r="B4785" s="2" t="inlineStr">
        <is>
          <t>короткая</t>
        </is>
      </c>
      <c r="C4785" s="2" t="n">
        <v>12139</v>
      </c>
      <c r="D4785" s="3" t="inlineStr">
        <is>
          <t>Два билета в Индию</t>
        </is>
      </c>
      <c r="E4785" s="2" t="n">
        <v>1985</v>
      </c>
      <c r="F4785" s="2" t="inlineStr">
        <is>
          <t>мультфильм</t>
        </is>
      </c>
      <c r="G4785" s="2" t="inlineStr">
        <is>
          <t>Союзмультфильм</t>
        </is>
      </c>
      <c r="H4785" s="2" t="n">
        <v>244</v>
      </c>
      <c r="I4785" s="2" t="inlineStr"/>
      <c r="J4785" s="2" t="inlineStr"/>
      <c r="K4785" s="3" t="inlineStr">
        <is>
          <t>Астронавты с планеты Геда летят в Индию на симпозиум по охране животных Галактики. В результате технической неполадки один из них оказывается в подмосковном пионерском лагере. С помощью Юльки и ее бабушки, астронавту удается добраться до Индии.</t>
        </is>
      </c>
      <c r="L4785" s="2" t="inlineStr">
        <is>
          <t>https://animator.ru/db/?p=show_film&amp;fid=3255</t>
        </is>
      </c>
      <c r="M4785" s="2">
        <f>HYPERLINK("https://ru.wikipedia.org/w/index.php?search=%D0%94%D0%B2%D0%B0%20%D0%B1%D0%B8%D0%BB%D0%B5%D1%82%D0%B0%20%D0%B2%20%D0%98%D0%BD%D0%B4%D0%B8%D1%8E%201985%20%D1%84%D0%B8%D0%BB%D1%8C%D0%BC","искать")</f>
        <v/>
      </c>
      <c r="N4785" s="3" t="n"/>
      <c r="O4785" s="2" t="n"/>
      <c r="P4785" s="2" t="n"/>
    </row>
    <row r="4786">
      <c r="A4786" s="2" t="n">
        <v>4785</v>
      </c>
      <c r="B4786" s="2" t="inlineStr">
        <is>
          <t>короткая</t>
        </is>
      </c>
      <c r="C4786" s="2" t="n">
        <v>12507</v>
      </c>
      <c r="D4786" s="3" t="inlineStr">
        <is>
          <t>Подарок</t>
        </is>
      </c>
      <c r="E4786" s="2" t="n">
        <v>1968</v>
      </c>
      <c r="F4786" s="2" t="inlineStr">
        <is>
          <t>мультфильм</t>
        </is>
      </c>
      <c r="G4786" s="2" t="inlineStr">
        <is>
          <t>КИЕВНАУЧФИЛЬМ</t>
        </is>
      </c>
      <c r="H4786" s="2" t="n">
        <v>244</v>
      </c>
      <c r="I4786" s="2" t="inlineStr"/>
      <c r="J4786" s="2" t="inlineStr"/>
      <c r="K4786" s="3" t="inlineStr">
        <is>
          <t>Голодный Заяц нашел на дороге кочан капусты, часть съел, а остальное решил отнести друзьям - Козлику и Поросенку. С трудностями и приключениями удается донести кочан друзьям, а собравшись вместе, они сумели перехитрить жадного и коварного Волка</t>
        </is>
      </c>
      <c r="L4786" s="2" t="inlineStr">
        <is>
          <t>https://gosfilmofond.ru/films/254328/</t>
        </is>
      </c>
      <c r="M4786" s="2">
        <f>HYPERLINK("https://ru.wikipedia.org/w/index.php?search=%D0%9F%D0%BE%D0%B4%D0%B0%D1%80%D0%BE%D0%BA%201968%20%D1%84%D0%B8%D0%BB%D1%8C%D0%BC","искать")</f>
        <v/>
      </c>
      <c r="N4786" s="3" t="n"/>
      <c r="O4786" s="2" t="n"/>
      <c r="P4786" s="2" t="n"/>
    </row>
    <row r="4787">
      <c r="A4787" s="2" t="n">
        <v>4786</v>
      </c>
      <c r="B4787" s="2" t="inlineStr">
        <is>
          <t>короткая</t>
        </is>
      </c>
      <c r="C4787" s="2" t="n">
        <v>12768</v>
      </c>
      <c r="D4787" s="3" t="inlineStr">
        <is>
          <t>Урок</t>
        </is>
      </c>
      <c r="E4787" s="2" t="n">
        <v>1987</v>
      </c>
      <c r="F4787" s="2" t="inlineStr">
        <is>
          <t>мультфильм</t>
        </is>
      </c>
      <c r="G4787" s="2" t="inlineStr">
        <is>
          <t>АРМЕНФИЛЬМ</t>
        </is>
      </c>
      <c r="H4787" s="2" t="n">
        <v>244</v>
      </c>
      <c r="I4787" s="2" t="inlineStr"/>
      <c r="J4787" s="2" t="inlineStr"/>
      <c r="K4787" s="3" t="inlineStr">
        <is>
          <t>Космонавты приземляются на неизвестной планете, населенной невиданными растениями и зверьми. Планета эта преподает жестокий, но мудрый урок беспечным "завоевателям": многие из них навсегда останутся на планете, приняв облик тех, кого они убили.</t>
        </is>
      </c>
      <c r="L4787" s="2" t="inlineStr">
        <is>
          <t>https://animator.ru/db/?p=show_film&amp;fid=3977</t>
        </is>
      </c>
      <c r="M4787" s="2">
        <f>HYPERLINK("https://ru.wikipedia.org/w/index.php?search=%D0%A3%D1%80%D0%BE%D0%BA%201987%20%D1%84%D0%B8%D0%BB%D1%8C%D0%BC","искать")</f>
        <v/>
      </c>
      <c r="N4787" s="3" t="n"/>
      <c r="O4787" s="2" t="n"/>
      <c r="P4787" s="2" t="n"/>
    </row>
    <row r="4788">
      <c r="A4788" s="2" t="n">
        <v>4787</v>
      </c>
      <c r="B4788" s="2" t="inlineStr">
        <is>
          <t>короткая</t>
        </is>
      </c>
      <c r="C4788" s="2" t="n">
        <v>7195</v>
      </c>
      <c r="D4788" s="3" t="inlineStr">
        <is>
          <t>Ай лав ю, Петрович</t>
        </is>
      </c>
      <c r="E4788" s="2" t="n">
        <v>1990</v>
      </c>
      <c r="F4788" s="2" t="inlineStr">
        <is>
          <t>телефильм</t>
        </is>
      </c>
      <c r="G4788" s="2" t="n"/>
      <c r="H4788" s="2" t="n">
        <v>245</v>
      </c>
      <c r="I4788" s="2" t="inlineStr"/>
      <c r="J4788" s="2" t="inlineStr"/>
      <c r="K4788" s="3" t="inlineStr">
        <is>
          <t>Трое ребят и девушка отправляются в другой город с целью разыскать отца одного из них, чтобы получить от него деньги как компенсацию за уход из семьи. По дороге они знакомятся с бомжем Петровичем, и эта встреча заставляет их о многом задуматься.</t>
        </is>
      </c>
      <c r="L4788" s="2" t="inlineStr">
        <is>
          <t>Кино_СССР сводный каталог.xlsx: список телефильмов</t>
        </is>
      </c>
      <c r="M4788" s="2">
        <f>HYPERLINK("https://ru.wikipedia.org/w/index.php?search=%D0%90%D0%B9%20%D0%BB%D0%B0%D0%B2%20%D1%8E%2C%20%D0%9F%D0%B5%D1%82%D1%80%D0%BE%D0%B2%D0%B8%D1%87%201990%20%D1%84%D0%B8%D0%BB%D1%8C%D0%BC","искать")</f>
        <v/>
      </c>
      <c r="N4788" s="3" t="n"/>
      <c r="O4788" s="2" t="n"/>
      <c r="P4788" s="2" t="n"/>
    </row>
    <row r="4789">
      <c r="A4789" s="2" t="n">
        <v>4788</v>
      </c>
      <c r="B4789" s="2" t="inlineStr">
        <is>
          <t>короткая</t>
        </is>
      </c>
      <c r="C4789" s="2" t="n">
        <v>7422</v>
      </c>
      <c r="D4789" s="3" t="inlineStr">
        <is>
          <t>Высокая проба</t>
        </is>
      </c>
      <c r="E4789" s="2" t="n">
        <v>1983</v>
      </c>
      <c r="F4789" s="2" t="inlineStr">
        <is>
          <t>телефильм</t>
        </is>
      </c>
      <c r="G4789" s="2" t="inlineStr">
        <is>
          <t>Ленфильм</t>
        </is>
      </c>
      <c r="H4789" s="2" t="n">
        <v>245</v>
      </c>
      <c r="I4789" s="2" t="inlineStr"/>
      <c r="J4789" s="2" t="inlineStr"/>
      <c r="K4789" s="3" t="inlineStr">
        <is>
          <t>Сериал по мотивам романа Е. Воеводина "Своя вина". Назначенный на должность начальника литейного цеха Сергей Ильин, выдвигает перед руководством завода план реорганизации работы. Эти предложения находят как своих приверженцев, так и противников.</t>
        </is>
      </c>
      <c r="L4789" s="2" t="inlineStr">
        <is>
          <t>Кино_СССР сводный каталог.xlsx: список телефильмов</t>
        </is>
      </c>
      <c r="M4789" s="2">
        <f>HYPERLINK("https://ru.wikipedia.org/w/index.php?search=%D0%92%D1%8B%D1%81%D0%BE%D0%BA%D0%B0%D1%8F%20%D0%BF%D1%80%D0%BE%D0%B1%D0%B0%201983%20%D1%84%D0%B8%D0%BB%D1%8C%D0%BC","искать")</f>
        <v/>
      </c>
      <c r="N4789" s="3" t="n"/>
      <c r="O4789" s="2" t="n"/>
      <c r="P4789" s="2" t="n"/>
    </row>
    <row r="4790">
      <c r="A4790" s="2" t="n">
        <v>4789</v>
      </c>
      <c r="B4790" s="2" t="inlineStr">
        <is>
          <t>короткая</t>
        </is>
      </c>
      <c r="C4790" s="2" t="n">
        <v>7951</v>
      </c>
      <c r="D4790" s="3" t="inlineStr">
        <is>
          <t>Наследники</t>
        </is>
      </c>
      <c r="E4790" s="2" t="n">
        <v>1974</v>
      </c>
      <c r="F4790" s="2" t="inlineStr">
        <is>
          <t>телефильм</t>
        </is>
      </c>
      <c r="G4790" s="2" t="inlineStr">
        <is>
          <t>Одесская киностудия</t>
        </is>
      </c>
      <c r="H4790" s="2" t="n">
        <v>245</v>
      </c>
      <c r="I4790" s="2" t="inlineStr"/>
      <c r="J4790" s="2" t="inlineStr"/>
      <c r="K4790" s="3" t="inlineStr">
        <is>
          <t>Телесериал по мотивам одноименного романа Н.Сизова. Об участии комсомольцев в строительстве особо важных объектов. Молодые строители, опережая намеченные сроки и преодолевая огромные трудности, сдают досрочно первый пусковой объект химкомбината.</t>
        </is>
      </c>
      <c r="L4790" s="2" t="inlineStr">
        <is>
          <t>Кино_СССР сводный каталог.xlsx: список телефильмов</t>
        </is>
      </c>
      <c r="M4790" s="2">
        <f>HYPERLINK("https://ru.wikipedia.org/w/index.php?search=%D0%9D%D0%B0%D1%81%D0%BB%D0%B5%D0%B4%D0%BD%D0%B8%D0%BA%D0%B8%201974%20%D1%84%D0%B8%D0%BB%D1%8C%D0%BC","искать")</f>
        <v/>
      </c>
      <c r="N4790" s="3" t="n"/>
      <c r="O4790" s="2" t="n"/>
      <c r="P4790" s="2" t="n"/>
    </row>
    <row r="4791">
      <c r="A4791" s="2" t="n">
        <v>4790</v>
      </c>
      <c r="B4791" s="2" t="inlineStr">
        <is>
          <t>короткая</t>
        </is>
      </c>
      <c r="C4791" s="2" t="n">
        <v>8081</v>
      </c>
      <c r="D4791" s="3" t="inlineStr">
        <is>
          <t>Парни нашей улицы</t>
        </is>
      </c>
      <c r="E4791" s="2" t="n">
        <v>1973</v>
      </c>
      <c r="F4791" s="2" t="inlineStr">
        <is>
          <t>телефильм</t>
        </is>
      </c>
      <c r="G4791" s="2" t="n"/>
      <c r="H4791" s="2" t="n">
        <v>245</v>
      </c>
      <c r="I4791" s="2" t="inlineStr"/>
      <c r="J4791" s="2" t="inlineStr"/>
      <c r="K4791" s="3" t="inlineStr">
        <is>
          <t>Фильм рассказывает о конкретных местных традициях и привычках отдельных улиц деревни и о будущем квартала той же местности. Несколько местных молодых людей окончили среднюю школу и пытаются найти своё место в жизни. Фильм снят по заказу ЦТ СССР.</t>
        </is>
      </c>
      <c r="L4791" s="2" t="inlineStr">
        <is>
          <t>https://ru.wikipedia.org/w/index.php?title=%D0%9F%D0%B0%D1%80%D0%BD%D0%B8_%D0%BD%D0%B0%D1%88%D0%B5%D0%B9_%D1%83%D0%BB%D0%B8%D1%86%D1%8B&amp;oldid=149109330</t>
        </is>
      </c>
      <c r="M4791" s="2">
        <f>HYPERLINK("https://ru.wikipedia.org/w/index.php?search=%D0%9F%D0%B0%D1%80%D0%BD%D0%B8%20%D0%BD%D0%B0%D1%88%D0%B5%D0%B9%20%D1%83%D0%BB%D0%B8%D1%86%D1%8B%201973%20%D1%84%D0%B8%D0%BB%D1%8C%D0%BC","искать")</f>
        <v/>
      </c>
      <c r="N4791" s="3" t="n"/>
      <c r="O4791" s="2" t="n"/>
      <c r="P4791" s="2" t="n"/>
    </row>
    <row r="4792">
      <c r="A4792" s="2" t="n">
        <v>4791</v>
      </c>
      <c r="B4792" s="2" t="inlineStr">
        <is>
          <t>короткая</t>
        </is>
      </c>
      <c r="C4792" s="2" t="n">
        <v>8380</v>
      </c>
      <c r="D4792" s="3" t="inlineStr">
        <is>
          <t>Солнечный остров</t>
        </is>
      </c>
      <c r="E4792" s="2" t="n">
        <v>1977</v>
      </c>
      <c r="F4792" s="2" t="inlineStr">
        <is>
          <t>телефильм</t>
        </is>
      </c>
      <c r="G4792" s="2" t="n"/>
      <c r="H4792" s="2" t="n">
        <v>245</v>
      </c>
      <c r="I4792" s="2" t="inlineStr"/>
      <c r="J4792" s="2" t="inlineStr"/>
      <c r="K4792" s="3" t="inlineStr">
        <is>
          <t>Телефильм по мотивам одноименной повести М.Гапарова. Девушка, разочаровавшись в любимом, уезжает в горный аул. Общение с природой, с мудрыми, бесхитростными людьми приносит ей чувство полноты жизни, которое, как казалось, было утрачено навсегда.</t>
        </is>
      </c>
      <c r="L4792" s="2" t="inlineStr">
        <is>
          <t>Кино_СССР сводный каталог.xlsx: список телефильмов</t>
        </is>
      </c>
      <c r="M4792" s="2">
        <f>HYPERLINK("https://ru.wikipedia.org/w/index.php?search=%D0%A1%D0%BE%D0%BB%D0%BD%D0%B5%D1%87%D0%BD%D1%8B%D0%B9%20%D0%BE%D1%81%D1%82%D1%80%D0%BE%D0%B2%201977%20%D1%84%D0%B8%D0%BB%D1%8C%D0%BC","искать")</f>
        <v/>
      </c>
      <c r="N4792" s="3" t="n"/>
      <c r="O4792" s="2" t="n"/>
      <c r="P4792" s="2" t="n"/>
    </row>
    <row r="4793">
      <c r="A4793" s="2" t="n">
        <v>4792</v>
      </c>
      <c r="B4793" s="2" t="inlineStr">
        <is>
          <t>короткая</t>
        </is>
      </c>
      <c r="C4793" s="2" t="n">
        <v>9870</v>
      </c>
      <c r="D4793" s="3" t="inlineStr">
        <is>
          <t>Встань пораньше</t>
        </is>
      </c>
      <c r="E4793" s="2" t="n">
        <v>1970</v>
      </c>
      <c r="F4793" s="2" t="inlineStr">
        <is>
          <t>телефильм</t>
        </is>
      </c>
      <c r="G4793" s="2" t="inlineStr">
        <is>
          <t>ТО Экран</t>
        </is>
      </c>
      <c r="H4793" s="2" t="n">
        <v>245</v>
      </c>
      <c r="I4793" s="2" t="inlineStr"/>
      <c r="J4793" s="2" t="inlineStr"/>
      <c r="K4793" s="3" t="inlineStr">
        <is>
          <t>Короткометражный фильм для детей, герой которого, деревенский мальчик-подпасок, не испугался волка, бродившего ночью вокруг загона, и спас жеребят от смертельной опасности. Эта тревожная ночь неожиданным образом делает мальчика сильнее и старше.</t>
        </is>
      </c>
      <c r="L4793" s="2" t="inlineStr">
        <is>
          <t>https://www.kino-teatr.ru/short/movie/sov/144257/annot/</t>
        </is>
      </c>
      <c r="M4793" s="2">
        <f>HYPERLINK("https://ru.wikipedia.org/w/index.php?search=%D0%92%D1%81%D1%82%D0%B0%D0%BD%D1%8C%20%D0%BF%D0%BE%D1%80%D0%B0%D0%BD%D1%8C%D1%88%D0%B5%201970%20%D1%84%D0%B8%D0%BB%D1%8C%D0%BC","искать")</f>
        <v/>
      </c>
      <c r="N4793" s="3" t="n"/>
      <c r="O4793" s="2" t="n"/>
      <c r="P4793" s="2" t="n"/>
    </row>
    <row r="4794">
      <c r="A4794" s="2" t="n">
        <v>4793</v>
      </c>
      <c r="B4794" s="2" t="inlineStr">
        <is>
          <t>короткая</t>
        </is>
      </c>
      <c r="C4794" s="2" t="n">
        <v>9929</v>
      </c>
      <c r="D4794" s="3" t="inlineStr">
        <is>
          <t>Однажды осенью</t>
        </is>
      </c>
      <c r="E4794" s="2" t="n">
        <v>1977</v>
      </c>
      <c r="F4794" s="2" t="inlineStr">
        <is>
          <t>телефильм</t>
        </is>
      </c>
      <c r="G4794" s="2" t="inlineStr">
        <is>
          <t>Новосибирсктелефильм</t>
        </is>
      </c>
      <c r="H4794" s="2" t="n">
        <v>245</v>
      </c>
      <c r="I4794" s="2" t="inlineStr"/>
      <c r="J4794" s="2" t="inlineStr"/>
      <c r="K4794" s="3" t="inlineStr">
        <is>
          <t>По рассказу алтайского писателя Евгения Гущина "Красные лисы".
Главные герои фильма - молодая доярка и механизатор, жители обыкновенного сибирского села. Их любовь вдруг стала не только их личным делом, а смятением, завистью, болью многих людей.</t>
        </is>
      </c>
      <c r="L4794" s="2" t="inlineStr">
        <is>
          <t>https://www.kino-teatr.ru/short/movie/sov/81012/annot/</t>
        </is>
      </c>
      <c r="M4794" s="2">
        <f>HYPERLINK("https://ru.wikipedia.org/w/index.php?search=%D0%9E%D0%B4%D0%BD%D0%B0%D0%B6%D0%B4%D1%8B%20%D0%BE%D1%81%D0%B5%D0%BD%D1%8C%D1%8E%201977%20%D1%84%D0%B8%D0%BB%D1%8C%D0%BC","искать")</f>
        <v/>
      </c>
      <c r="N4794" s="3" t="n"/>
      <c r="O4794" s="2" t="n"/>
      <c r="P4794" s="2" t="n"/>
    </row>
    <row r="4795">
      <c r="A4795" s="2" t="n">
        <v>4794</v>
      </c>
      <c r="B4795" s="2" t="inlineStr">
        <is>
          <t>короткая</t>
        </is>
      </c>
      <c r="C4795" s="2" t="n">
        <v>10814</v>
      </c>
      <c r="D4795" s="3" t="inlineStr">
        <is>
          <t>Небо - земля</t>
        </is>
      </c>
      <c r="E4795" s="2" t="n">
        <v>1979</v>
      </c>
      <c r="F4795" s="2" t="inlineStr">
        <is>
          <t>фильм-спектакль</t>
        </is>
      </c>
      <c r="G4795" s="2" t="inlineStr">
        <is>
          <t>Центральное телевидение</t>
        </is>
      </c>
      <c r="H4795" s="2" t="n">
        <v>245</v>
      </c>
      <c r="I4795" s="2" t="inlineStr"/>
      <c r="J4795" s="2" t="inlineStr"/>
      <c r="K4795" s="3" t="inlineStr">
        <is>
          <t>По одноименной пьесе А.Пинчука в постановке Государственного академического театра имени Моссовета.
О жизни военных летчиков, их дружбе, преданности своей профессии. В основе сюжета - перевод авиационного полка из небольшого городка в Заполярье.</t>
        </is>
      </c>
      <c r="L4795" s="2" t="inlineStr">
        <is>
          <t>https://www.kino-teatr.ru/teatr/movie/81477/annot/</t>
        </is>
      </c>
      <c r="M4795" s="2">
        <f>HYPERLINK("https://ru.wikipedia.org/w/index.php?search=%D0%9D%D0%B5%D0%B1%D0%BE%20-%20%D0%B7%D0%B5%D0%BC%D0%BB%D1%8F%201979%20%D1%84%D0%B8%D0%BB%D1%8C%D0%BC","искать")</f>
        <v/>
      </c>
      <c r="N4795" s="3" t="n"/>
      <c r="O4795" s="2" t="n"/>
      <c r="P4795" s="2" t="n"/>
    </row>
    <row r="4796">
      <c r="A4796" s="2" t="n">
        <v>4795</v>
      </c>
      <c r="B4796" s="2" t="inlineStr">
        <is>
          <t>короткая</t>
        </is>
      </c>
      <c r="C4796" s="2" t="n">
        <v>11092</v>
      </c>
      <c r="D4796" s="3" t="inlineStr">
        <is>
          <t>Автопортрет</t>
        </is>
      </c>
      <c r="E4796" s="2" t="n">
        <v>1986</v>
      </c>
      <c r="F4796" s="2" t="inlineStr">
        <is>
          <t>фильм-спектакль</t>
        </is>
      </c>
      <c r="G4796" s="2" t="inlineStr">
        <is>
          <t>Главная редакция музыкальных программ ЦТ</t>
        </is>
      </c>
      <c r="H4796" s="2" t="n">
        <v>245</v>
      </c>
      <c r="I4796" s="2" t="inlineStr"/>
      <c r="J4796" s="2" t="inlineStr"/>
      <c r="K4796" s="3" t="inlineStr">
        <is>
          <t>О творчестве артистки Московского театра оперетты Лилии Амарфий. Бенефис поставлен как экскурсия по галерее работ актрисы. Ведет экскурсию сама Лилия. Ее работы - музыкальные номера из оперетт, и последняя "лучшая работа та, что еще не создана".</t>
        </is>
      </c>
      <c r="L4796" s="2" t="inlineStr">
        <is>
          <t>https://www.kino-teatr.ru/teatr/movie/12169/annot/</t>
        </is>
      </c>
      <c r="M4796" s="2">
        <f>HYPERLINK("https://ru.wikipedia.org/w/index.php?search=%D0%90%D0%B2%D1%82%D0%BE%D0%BF%D0%BE%D1%80%D1%82%D1%80%D0%B5%D1%82%201986%20%D1%84%D0%B8%D0%BB%D1%8C%D0%BC","искать")</f>
        <v/>
      </c>
      <c r="N4796" s="3" t="n"/>
      <c r="O4796" s="2" t="n"/>
      <c r="P4796" s="2" t="n"/>
    </row>
    <row r="4797">
      <c r="A4797" s="2" t="n">
        <v>4796</v>
      </c>
      <c r="B4797" s="2" t="inlineStr">
        <is>
          <t>короткая</t>
        </is>
      </c>
      <c r="C4797" s="2" t="n">
        <v>11365</v>
      </c>
      <c r="D4797" s="3" t="inlineStr">
        <is>
          <t>Всё это было, было, было...</t>
        </is>
      </c>
      <c r="E4797" s="2" t="n">
        <v>1987</v>
      </c>
      <c r="F4797" s="2" t="inlineStr">
        <is>
          <t>не игровое</t>
        </is>
      </c>
      <c r="G4797" s="2" t="inlineStr">
        <is>
          <t>ГР музыкальных программ ЦТ</t>
        </is>
      </c>
      <c r="H4797" s="2" t="n">
        <v>245</v>
      </c>
      <c r="I4797" s="2" t="inlineStr"/>
      <c r="J4797" s="2" t="inlineStr"/>
      <c r="K4797" s="3" t="inlineStr">
        <is>
          <t>Фильм-концерт об эстраде начала ХХ века, о жизни и творчестве русских эстрадных исполнителей - Надежды Плевицкой, Варвары Паниной, Людмилы Спокойской и др. В программе песни и романсы, танцы и миниатюры разговорного жанра эстрады начала ХХ века.</t>
        </is>
      </c>
      <c r="L4797" s="2" t="inlineStr">
        <is>
          <t>Кино_СССР телефильмы и пропуски включить в базу.xlsx</t>
        </is>
      </c>
      <c r="M4797" s="2">
        <f>HYPERLINK("https://ru.wikipedia.org/w/index.php?search=%D0%92%D1%81%D1%91%20%D1%8D%D1%82%D0%BE%20%D0%B1%D1%8B%D0%BB%D0%BE%2C%20%D0%B1%D1%8B%D0%BB%D0%BE%2C%20%D0%B1%D1%8B%D0%BB%D0%BE...%201987%20%D1%84%D0%B8%D0%BB%D1%8C%D0%BC","искать")</f>
        <v/>
      </c>
      <c r="N4797" s="3" t="n"/>
      <c r="O4797" s="2" t="n"/>
      <c r="P4797" s="2" t="n"/>
    </row>
    <row r="4798">
      <c r="A4798" s="2" t="n">
        <v>4797</v>
      </c>
      <c r="B4798" s="2" t="inlineStr">
        <is>
          <t>короткая</t>
        </is>
      </c>
      <c r="C4798" s="2" t="n">
        <v>12151</v>
      </c>
      <c r="D4798" s="3" t="inlineStr">
        <is>
          <t>Падающая тень</t>
        </is>
      </c>
      <c r="E4798" s="2" t="n">
        <v>1985</v>
      </c>
      <c r="F4798" s="2" t="inlineStr">
        <is>
          <t>мультфильм</t>
        </is>
      </c>
      <c r="G4798" s="2" t="inlineStr">
        <is>
          <t>Союзмультфильм</t>
        </is>
      </c>
      <c r="H4798" s="2" t="n">
        <v>245</v>
      </c>
      <c r="I4798" s="2" t="inlineStr"/>
      <c r="J4798" s="2" t="inlineStr"/>
      <c r="K4798" s="3" t="inlineStr">
        <is>
          <t>Юный зодчий под руководством старого учителя строит прекрасное здание. Желая испробовать свои силы в большом деле, он оставляет мастера-учителя и принимает приглашение богатого правителя. Судьба возвращает умудренного опытом героя к его истокам.</t>
        </is>
      </c>
      <c r="L4798" s="2" t="inlineStr">
        <is>
          <t>https://animator.ru/db/?p=show_film&amp;fid=3267</t>
        </is>
      </c>
      <c r="M4798" s="2">
        <f>HYPERLINK("https://ru.wikipedia.org/w/index.php?search=%D0%9F%D0%B0%D0%B4%D0%B0%D1%8E%D1%89%D0%B0%D1%8F%20%D1%82%D0%B5%D0%BD%D1%8C%201985%20%D1%84%D0%B8%D0%BB%D1%8C%D0%BC","искать")</f>
        <v/>
      </c>
      <c r="N4798" s="3" t="n"/>
      <c r="O4798" s="2" t="n"/>
      <c r="P4798" s="2" t="n"/>
    </row>
    <row r="4799">
      <c r="A4799" s="2" t="n">
        <v>4798</v>
      </c>
      <c r="B4799" s="2" t="inlineStr">
        <is>
          <t>короткая</t>
        </is>
      </c>
      <c r="C4799" s="2" t="n">
        <v>12157</v>
      </c>
      <c r="D4799" s="3" t="inlineStr">
        <is>
          <t>Рыжая кошка</t>
        </is>
      </c>
      <c r="E4799" s="2" t="n">
        <v>1985</v>
      </c>
      <c r="F4799" s="2" t="inlineStr">
        <is>
          <t>мультфильм</t>
        </is>
      </c>
      <c r="G4799" s="2" t="inlineStr">
        <is>
          <t>Союзмультфильм</t>
        </is>
      </c>
      <c r="H4799" s="2" t="n">
        <v>245</v>
      </c>
      <c r="I4799" s="2" t="inlineStr"/>
      <c r="J4799" s="2" t="inlineStr"/>
      <c r="K4799" s="3" t="inlineStr">
        <is>
          <t>Фильм для самых маленьких зрителей о необходимости доброго отношения к миру природы, ее обитателям, о дружбе детей и зверей. Сюжет сказки строится на дружбе мальчика Пети и лесных зверей, убедивших его, что каждый зверь достоин любви и внимания.</t>
        </is>
      </c>
      <c r="L4799" s="2" t="inlineStr">
        <is>
          <t>2026-10_мультфильмы_список_владельца.xlsx; https://animator.ru/db/?p=show_film&amp;fid=3273</t>
        </is>
      </c>
      <c r="M4799" s="2">
        <f>HYPERLINK("https://ru.wikipedia.org/w/index.php?search=%D0%A0%D1%8B%D0%B6%D0%B0%D1%8F%20%D0%BA%D0%BE%D1%88%D0%BA%D0%B0%201985%20%D1%84%D0%B8%D0%BB%D1%8C%D0%BC","искать")</f>
        <v/>
      </c>
      <c r="N4799" s="3" t="n"/>
      <c r="O4799" s="2" t="n"/>
      <c r="P4799" s="2" t="n"/>
    </row>
    <row r="4800">
      <c r="A4800" s="2" t="n">
        <v>4799</v>
      </c>
      <c r="B4800" s="2" t="inlineStr">
        <is>
          <t>короткая</t>
        </is>
      </c>
      <c r="C4800" s="2" t="n">
        <v>12189</v>
      </c>
      <c r="D4800" s="3" t="inlineStr">
        <is>
          <t>По собственному желанию</t>
        </is>
      </c>
      <c r="E4800" s="2" t="n">
        <v>1986</v>
      </c>
      <c r="F4800" s="2" t="inlineStr">
        <is>
          <t>мультфильм</t>
        </is>
      </c>
      <c r="G4800" s="2" t="inlineStr">
        <is>
          <t>Союзмультфильм</t>
        </is>
      </c>
      <c r="H4800" s="2" t="n">
        <v>245</v>
      </c>
      <c r="I4800" s="2" t="inlineStr"/>
      <c r="J4800" s="2" t="inlineStr"/>
      <c r="K4800" s="3" t="inlineStr">
        <is>
          <t>Эксцентрическая комедия с обилием трюков. Предприимчивый Кот, не желая отстать от своего друга Повара, стремиться во что бы то ни стало попасть на судно, преодолевая препятствия, чинимые Боцманом. Образы персонажей выполнены в гротесковом ключе.</t>
        </is>
      </c>
      <c r="L4800" s="2" t="inlineStr">
        <is>
          <t>https://animator.ru/db/?p=show_film&amp;fid=3306</t>
        </is>
      </c>
      <c r="M4800" s="2">
        <f>HYPERLINK("https://ru.wikipedia.org/w/index.php?search=%D0%9F%D0%BE%20%D1%81%D0%BE%D0%B1%D1%81%D1%82%D0%B2%D0%B5%D0%BD%D0%BD%D0%BE%D0%BC%D1%83%20%D0%B6%D0%B5%D0%BB%D0%B0%D0%BD%D0%B8%D1%8E%201986%20%D1%84%D0%B8%D0%BB%D1%8C%D0%BC","искать")</f>
        <v/>
      </c>
      <c r="N4800" s="3" t="n"/>
      <c r="O4800" s="2" t="n"/>
      <c r="P4800" s="2" t="n"/>
    </row>
    <row r="4801">
      <c r="A4801" s="2" t="n">
        <v>4800</v>
      </c>
      <c r="B4801" s="2" t="inlineStr">
        <is>
          <t>короткая</t>
        </is>
      </c>
      <c r="C4801" s="2" t="n">
        <v>12223</v>
      </c>
      <c r="D4801" s="3" t="inlineStr">
        <is>
          <t>Приключения пингвиненка Лоло ч.3</t>
        </is>
      </c>
      <c r="E4801" s="2" t="n">
        <v>1987</v>
      </c>
      <c r="F4801" s="2" t="inlineStr">
        <is>
          <t>мультфильм</t>
        </is>
      </c>
      <c r="G4801" s="2" t="inlineStr">
        <is>
          <t>Союзмультфильм, ЛАЙФВОК КОРПОРЕЙШН, СОВИНФИЛЬМ, АИСТ КОРПОРЕЙШН</t>
        </is>
      </c>
      <c r="H4801" s="2" t="n">
        <v>245</v>
      </c>
      <c r="I4801" s="2" t="inlineStr"/>
      <c r="J4801" s="2" t="inlineStr"/>
      <c r="K4801" s="3" t="inlineStr">
        <is>
          <t>Третий выпуск советско-японского фильма завершает историю об отважном и любознательном пингвиненке Лоло и его друзьях. Лоло и Пепе попадают на браконьерское судно, где томится в клетке еще один пингвиненок по имени Мак. Пингвинам удается бежать.</t>
        </is>
      </c>
      <c r="L4801" s="2" t="inlineStr">
        <is>
          <t>2026-10_мультфильмы_список_владельца.xlsx; https://animator.ru/db/?p=show_film&amp;fid=3340</t>
        </is>
      </c>
      <c r="M4801" s="2">
        <f>HYPERLINK("https://ru.wikipedia.org/w/index.php?search=%D0%9F%D1%80%D0%B8%D0%BA%D0%BB%D1%8E%D1%87%D0%B5%D0%BD%D0%B8%D1%8F%20%D0%BF%D0%B8%D0%BD%D0%B3%D0%B2%D0%B8%D0%BD%D0%B5%D0%BD%D0%BA%D0%B0%20%D0%9B%D0%BE%D0%BB%D0%BE%20%D1%87.3%201987%20%D1%84%D0%B8%D0%BB%D1%8C%D0%BC","искать")</f>
        <v/>
      </c>
      <c r="N4801" s="3" t="n"/>
      <c r="O4801" s="2" t="n"/>
      <c r="P4801" s="2" t="n"/>
    </row>
    <row r="4802">
      <c r="A4802" s="2" t="n">
        <v>4801</v>
      </c>
      <c r="B4802" s="2" t="inlineStr">
        <is>
          <t>короткая</t>
        </is>
      </c>
      <c r="C4802" s="2" t="n">
        <v>7791</v>
      </c>
      <c r="D4802" s="3" t="inlineStr">
        <is>
          <t>Лёгкие шаги</t>
        </is>
      </c>
      <c r="E4802" s="2" t="n">
        <v>1989</v>
      </c>
      <c r="F4802" s="2" t="inlineStr">
        <is>
          <t>телефильм</t>
        </is>
      </c>
      <c r="G4802" s="2" t="n"/>
      <c r="H4802" s="2" t="n">
        <v>246</v>
      </c>
      <c r="I4802" s="2" t="inlineStr"/>
      <c r="J4802" s="2" t="inlineStr"/>
      <c r="K4802" s="3" t="inlineStr">
        <is>
          <t>По мотивам сказок Вениамина Каверина "Легкие шаги", "Городок Немухин", "Много хороших людей и один завистник". Действие фильма происходит в сказочном городе Немухине, где захватившие власть "мудрейшие" чиновники отменили доброту, сказки и чудеса.</t>
        </is>
      </c>
      <c r="L4802" s="2" t="inlineStr">
        <is>
          <t>Кино_СССР сводный каталог.xlsx: список телефильмов</t>
        </is>
      </c>
      <c r="M4802" s="2">
        <f>HYPERLINK("https://ru.wikipedia.org/w/index.php?search=%D0%9B%D1%91%D0%B3%D0%BA%D0%B8%D0%B5%20%D1%88%D0%B0%D0%B3%D0%B8%201989%20%D1%84%D0%B8%D0%BB%D1%8C%D0%BC","искать")</f>
        <v/>
      </c>
      <c r="N4802" s="3" t="n"/>
      <c r="O4802" s="2" t="n"/>
      <c r="P4802" s="2" t="n"/>
    </row>
    <row r="4803">
      <c r="A4803" s="2" t="n">
        <v>4802</v>
      </c>
      <c r="B4803" s="2" t="inlineStr">
        <is>
          <t>короткая</t>
        </is>
      </c>
      <c r="C4803" s="2" t="n">
        <v>8883</v>
      </c>
      <c r="D4803" s="3" t="inlineStr">
        <is>
          <t>Ныне прославися сын человеческий</t>
        </is>
      </c>
      <c r="E4803" s="2" t="n">
        <v>1990</v>
      </c>
      <c r="F4803" s="2" t="inlineStr">
        <is>
          <t>кинофильм</t>
        </is>
      </c>
      <c r="G4803" s="2" t="n"/>
      <c r="H4803" s="2" t="n">
        <v>246</v>
      </c>
      <c r="I4803" s="2" t="inlineStr"/>
      <c r="J4803" s="2" t="inlineStr"/>
      <c r="K4803" s="3" t="inlineStr">
        <is>
          <t>Фильм повествует о последних днях жизни архиерея, который на смертном одре почувствовал свою оторванность от жизни, от природы, ощутил недостаток простого человеческого общения. По мотивам рассказов А. Чехова «Архиерей», «Княгиня», «Святая ночь».</t>
        </is>
      </c>
      <c r="L4803" s="2" t="inlineStr">
        <is>
          <t>Кино_СССР сводный каталог.xlsx: список фильмов (доп.)</t>
        </is>
      </c>
      <c r="M4803" s="2">
        <f>HYPERLINK("https://ru.wikipedia.org/w/index.php?search=%D0%9D%D1%8B%D0%BD%D0%B5%20%D0%BF%D1%80%D0%BE%D1%81%D0%BB%D0%B0%D0%B2%D0%B8%D1%81%D1%8F%20%D1%81%D1%8B%D0%BD%20%D1%87%D0%B5%D0%BB%D0%BE%D0%B2%D0%B5%D1%87%D0%B5%D1%81%D0%BA%D0%B8%D0%B9%201990%20%D1%84%D0%B8%D0%BB%D1%8C%D0%BC","искать")</f>
        <v/>
      </c>
      <c r="N4803" s="3" t="n"/>
      <c r="O4803" s="2" t="n"/>
      <c r="P4803" s="2" t="n"/>
    </row>
    <row r="4804">
      <c r="A4804" s="2" t="n">
        <v>4803</v>
      </c>
      <c r="B4804" s="2" t="inlineStr">
        <is>
          <t>короткая</t>
        </is>
      </c>
      <c r="C4804" s="2" t="n">
        <v>8968</v>
      </c>
      <c r="D4804" s="3" t="inlineStr">
        <is>
          <t>Похороны Сталина</t>
        </is>
      </c>
      <c r="E4804" s="2" t="n">
        <v>1990</v>
      </c>
      <c r="F4804" s="2" t="inlineStr">
        <is>
          <t>кинофильм</t>
        </is>
      </c>
      <c r="G4804" s="2" t="n"/>
      <c r="H4804" s="2" t="n">
        <v>246</v>
      </c>
      <c r="I4804" s="2" t="inlineStr"/>
      <c r="J4804" s="2" t="inlineStr"/>
      <c r="K4804" s="3" t="inlineStr">
        <is>
          <t>1953 год, СССР. Москва прощается с Вождём. В похоронной толчее Женя знакомится с Элей. За долгие часы, проведённые в траурной процессии, они успели многое узнать друг о друге, но Эля нелепо погибает. Так у Жени начинается другая, взрослая, жизнь.</t>
        </is>
      </c>
      <c r="L4804" s="2" t="inlineStr">
        <is>
          <t>https://ru.wikipedia.org/w/index.php?title=%D0%9F%D0%BE%D1%85%D0%BE%D1%80%D0%BE%D0%BD%D1%8B_%D0%A1%D1%82%D0%B0%D0%BB%D0%B8%D0%BD%D0%B0_%28%D1%84%D0%B8%D0%BB%D1%8C%D0%BC%29&amp;oldid=154702935</t>
        </is>
      </c>
      <c r="M4804" s="2">
        <f>HYPERLINK("https://ru.wikipedia.org/w/index.php?search=%D0%9F%D0%BE%D1%85%D0%BE%D1%80%D0%BE%D0%BD%D1%8B%20%D0%A1%D1%82%D0%B0%D0%BB%D0%B8%D0%BD%D0%B0%201990%20%D1%84%D0%B8%D0%BB%D1%8C%D0%BC","искать")</f>
        <v/>
      </c>
      <c r="N4804" s="3" t="n"/>
      <c r="O4804" s="2" t="n"/>
      <c r="P4804" s="2" t="n"/>
    </row>
    <row r="4805">
      <c r="A4805" s="2" t="n">
        <v>4804</v>
      </c>
      <c r="B4805" s="2" t="inlineStr">
        <is>
          <t>короткая</t>
        </is>
      </c>
      <c r="C4805" s="2" t="n">
        <v>10014</v>
      </c>
      <c r="D4805" s="3" t="inlineStr">
        <is>
          <t>Легкий хлеб</t>
        </is>
      </c>
      <c r="E4805" s="2" t="n">
        <v>1986</v>
      </c>
      <c r="F4805" s="2" t="inlineStr">
        <is>
          <t>телефильм</t>
        </is>
      </c>
      <c r="G4805" s="2" t="inlineStr">
        <is>
          <t>"Белтелефильм"</t>
        </is>
      </c>
      <c r="H4805" s="2" t="n">
        <v>246</v>
      </c>
      <c r="I4805" s="2" t="inlineStr"/>
      <c r="J4805" s="2" t="inlineStr"/>
      <c r="K4805" s="3" t="inlineStr">
        <is>
          <t>Всю жизнь прожили Антон и Галя в одной деревне, их дома стояли рядом. Но случилось так, что Антону пришлось жениться на Алене. Так настояли родители. Прошли годы, постарели Антон и Галя, но теплые чувства их друг к другу сохранились на всю жизнь.</t>
        </is>
      </c>
      <c r="L4805" s="2" t="inlineStr">
        <is>
          <t>https://www.kino-teatr.ru/short/movie/sov/16468/annot/</t>
        </is>
      </c>
      <c r="M4805" s="2">
        <f>HYPERLINK("https://ru.wikipedia.org/w/index.php?search=%D0%9B%D0%B5%D0%B3%D0%BA%D0%B8%D0%B9%20%D1%85%D0%BB%D0%B5%D0%B1%201986%20%D1%84%D0%B8%D0%BB%D1%8C%D0%BC","искать")</f>
        <v/>
      </c>
      <c r="N4805" s="3" t="n"/>
      <c r="O4805" s="2" t="n"/>
      <c r="P4805" s="2" t="n"/>
    </row>
    <row r="4806">
      <c r="A4806" s="2" t="n">
        <v>4805</v>
      </c>
      <c r="B4806" s="2" t="inlineStr">
        <is>
          <t>короткая</t>
        </is>
      </c>
      <c r="C4806" s="2" t="n">
        <v>11064</v>
      </c>
      <c r="D4806" s="3" t="inlineStr">
        <is>
          <t>Криминальный талант</t>
        </is>
      </c>
      <c r="E4806" s="2" t="n">
        <v>1985</v>
      </c>
      <c r="F4806" s="2" t="inlineStr">
        <is>
          <t>фильм-спектакль</t>
        </is>
      </c>
      <c r="G4806" s="2" t="inlineStr">
        <is>
          <t>Ленинградское телевидение</t>
        </is>
      </c>
      <c r="H4806" s="2" t="n">
        <v>246</v>
      </c>
      <c r="I4806" s="2" t="inlineStr"/>
      <c r="J4806" s="2" t="inlineStr"/>
      <c r="K4806" s="3" t="inlineStr">
        <is>
          <t>По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t>
        </is>
      </c>
      <c r="L4806" s="2" t="inlineStr">
        <is>
          <t>https://www.kino-teatr.ru/teatr/movie/16190/annot/</t>
        </is>
      </c>
      <c r="M4806" s="2">
        <f>HYPERLINK("https://ru.wikipedia.org/w/index.php?search=%D0%9A%D1%80%D0%B8%D0%BC%D0%B8%D0%BD%D0%B0%D0%BB%D1%8C%D0%BD%D1%8B%D0%B9%20%D1%82%D0%B0%D0%BB%D0%B0%D0%BD%D1%82%201985%20%D1%84%D0%B8%D0%BB%D1%8C%D0%BC","искать")</f>
        <v/>
      </c>
      <c r="N4806" s="3" t="n"/>
      <c r="O4806" s="2" t="n"/>
      <c r="P4806" s="2" t="n"/>
    </row>
    <row r="4807">
      <c r="A4807" s="2" t="n">
        <v>4806</v>
      </c>
      <c r="B4807" s="2" t="inlineStr">
        <is>
          <t>короткая</t>
        </is>
      </c>
      <c r="C4807" s="2" t="n">
        <v>11451</v>
      </c>
      <c r="D4807" s="3" t="inlineStr">
        <is>
          <t>Отелло-67</t>
        </is>
      </c>
      <c r="E4807" s="2" t="n">
        <v>1967</v>
      </c>
      <c r="F4807" s="2" t="inlineStr">
        <is>
          <t>мультфильм</t>
        </is>
      </c>
      <c r="G4807" s="2" t="inlineStr">
        <is>
          <t>Союзмультфильм</t>
        </is>
      </c>
      <c r="H4807" s="2" t="n">
        <v>246</v>
      </c>
      <c r="I4807" s="2" t="inlineStr"/>
      <c r="J4807" s="2" t="inlineStr"/>
      <c r="K4807" s="3" t="inlineStr">
        <is>
          <t>За полминуты человек, затормозивший у светофора, успевает посмотреть микро-дайджест по великой трагедии Шекспира.
Притча о том, как современная цивилизация девольвирует мировую культуру.
Для конкурса минни-фильмов на выставке ЭКСПО-67 в Монреале.</t>
        </is>
      </c>
      <c r="L4807" s="2" t="inlineStr">
        <is>
          <t>https://animator.ru/db/?p=show_film&amp;fid=2222</t>
        </is>
      </c>
      <c r="M4807" s="2">
        <f>HYPERLINK("https://ru.wikipedia.org/w/index.php?search=%D0%9E%D1%82%D0%B5%D0%BB%D0%BB%D0%BE-67%201967%20%D1%84%D0%B8%D0%BB%D1%8C%D0%BC","искать")</f>
        <v/>
      </c>
      <c r="N4807" s="3" t="n"/>
      <c r="O4807" s="2" t="n"/>
      <c r="P4807" s="2" t="n"/>
    </row>
    <row r="4808">
      <c r="A4808" s="2" t="n">
        <v>4807</v>
      </c>
      <c r="B4808" s="2" t="inlineStr">
        <is>
          <t>короткая</t>
        </is>
      </c>
      <c r="C4808" s="2" t="n">
        <v>14293</v>
      </c>
      <c r="D4808" s="3" t="inlineStr">
        <is>
          <t>Все хорошо</t>
        </is>
      </c>
      <c r="E4808" s="2" t="n">
        <v>1991</v>
      </c>
      <c r="F4808" s="2" t="inlineStr">
        <is>
          <t>мультфильм</t>
        </is>
      </c>
      <c r="G4808" s="2" t="inlineStr">
        <is>
          <t>АРМЕНФИЛЬМ</t>
        </is>
      </c>
      <c r="H4808" s="2" t="n">
        <v>246</v>
      </c>
      <c r="I4808" s="2" t="inlineStr"/>
      <c r="J4808" s="2" t="inlineStr"/>
      <c r="K4808" s="3" t="inlineStr">
        <is>
          <t>Под песню "Все хорошо, прекрасная маркиза" народ ходит в музеи посмотреть на еду на картинах; сталкиваются поезда, корабли, происходят всяческие катаклизмы; Ельцина бросает в набежавшую волну Стенька Разин; Павлов проводит денежную реформу и т.д.</t>
        </is>
      </c>
      <c r="L4808" s="2" t="inlineStr">
        <is>
          <t>2026-10_мультфильмы_список_владельца.xlsx; https://animator.ru/db/?p=show_film&amp;fid=5836</t>
        </is>
      </c>
      <c r="M4808" s="2">
        <f>HYPERLINK("https://ru.wikipedia.org/w/index.php?search=%D0%92%D1%81%D0%B5%20%D1%85%D0%BE%D1%80%D0%BE%D1%88%D0%BE%201991%20%D1%84%D0%B8%D0%BB%D1%8C%D0%BC","искать")</f>
        <v/>
      </c>
      <c r="N4808" s="3" t="n"/>
      <c r="O4808" s="2" t="n"/>
      <c r="P4808" s="2" t="n"/>
    </row>
    <row r="4809">
      <c r="A4809" s="2" t="n">
        <v>4808</v>
      </c>
      <c r="B4809" s="2" t="inlineStr">
        <is>
          <t>короткая</t>
        </is>
      </c>
      <c r="C4809" s="2" t="n">
        <v>8254</v>
      </c>
      <c r="D4809" s="3" t="inlineStr">
        <is>
          <t>Рай красного дерева</t>
        </is>
      </c>
      <c r="E4809" s="2" t="n">
        <v>1981</v>
      </c>
      <c r="F4809" s="2" t="inlineStr">
        <is>
          <t>телефильм</t>
        </is>
      </c>
      <c r="G4809" s="2" t="n"/>
      <c r="H4809" s="2" t="n">
        <v>247</v>
      </c>
      <c r="I4809" s="2" t="inlineStr"/>
      <c r="J4809" s="2" t="inlineStr"/>
      <c r="K4809" s="3" t="inlineStr">
        <is>
          <t>Телесериал. Действие происходит в довоенном Каунасе. Главный герой Каролис Тулейкис, выходец из простой семьи, трудно прокладывает себе дорогу в жизни, но добивается своего - становится врачом. По-разному складывается судьба его друзей и знакомых.</t>
        </is>
      </c>
      <c r="L4809" s="2" t="inlineStr">
        <is>
          <t>Кино_СССР сводный каталог.xlsx: список телефильмов</t>
        </is>
      </c>
      <c r="M4809" s="2">
        <f>HYPERLINK("https://ru.wikipedia.org/w/index.php?search=%D0%A0%D0%B0%D0%B9%20%D0%BA%D1%80%D0%B0%D1%81%D0%BD%D0%BE%D0%B3%D0%BE%20%D0%B4%D0%B5%D1%80%D0%B5%D0%B2%D0%B0%201981%20%D1%84%D0%B8%D0%BB%D1%8C%D0%BC","искать")</f>
        <v/>
      </c>
      <c r="N4809" s="3" t="n"/>
      <c r="O4809" s="2" t="n"/>
      <c r="P4809" s="2" t="n"/>
    </row>
    <row r="4810">
      <c r="A4810" s="2" t="n">
        <v>4809</v>
      </c>
      <c r="B4810" s="2" t="inlineStr">
        <is>
          <t>короткая</t>
        </is>
      </c>
      <c r="C4810" s="2" t="n">
        <v>10731</v>
      </c>
      <c r="D4810" s="3" t="inlineStr">
        <is>
          <t>Вечер воспоминаний</t>
        </is>
      </c>
      <c r="E4810" s="2" t="n">
        <v>1978</v>
      </c>
      <c r="F4810" s="2" t="inlineStr">
        <is>
          <t>фильм-спектакль</t>
        </is>
      </c>
      <c r="G4810" s="2" t="inlineStr">
        <is>
          <t>Главная редакция литературно-драматических программ</t>
        </is>
      </c>
      <c r="H4810" s="2" t="n">
        <v>247</v>
      </c>
      <c r="I4810" s="2" t="inlineStr"/>
      <c r="J4810" s="2" t="inlineStr"/>
      <c r="K4810" s="3" t="inlineStr">
        <is>
          <t>По мотивам одноименной повести Г.Березко.
Герои телеспектакля вспоминают свою юность, прошедшую в годы гражданской войны. События тех лет оказали на их судьбы решающее воздействие - Колобов стал кадровым офицером, Сведомский - известным пианистом.</t>
        </is>
      </c>
      <c r="L4810" s="2" t="inlineStr">
        <is>
          <t>https://www.kino-teatr.ru/teatr/movie/16367/annot/</t>
        </is>
      </c>
      <c r="M4810" s="2">
        <f>HYPERLINK("https://ru.wikipedia.org/w/index.php?search=%D0%92%D0%B5%D1%87%D0%B5%D1%80%20%D0%B2%D0%BE%D1%81%D0%BF%D0%BE%D0%BC%D0%B8%D0%BD%D0%B0%D0%BD%D0%B8%D0%B9%201978%20%D1%84%D0%B8%D0%BB%D1%8C%D0%BC","искать")</f>
        <v/>
      </c>
      <c r="N4810" s="3" t="n"/>
      <c r="O4810" s="2" t="n"/>
      <c r="P4810" s="2" t="n"/>
    </row>
    <row r="4811">
      <c r="A4811" s="2" t="n">
        <v>4810</v>
      </c>
      <c r="B4811" s="2" t="inlineStr">
        <is>
          <t>короткая</t>
        </is>
      </c>
      <c r="C4811" s="2" t="n">
        <v>10934</v>
      </c>
      <c r="D4811" s="3" t="inlineStr">
        <is>
          <t>Вы умеете играть на пианино?</t>
        </is>
      </c>
      <c r="E4811" s="2" t="n">
        <v>1982</v>
      </c>
      <c r="F4811" s="2" t="inlineStr">
        <is>
          <t>фильм-спектакль</t>
        </is>
      </c>
      <c r="G4811" s="2" t="inlineStr">
        <is>
          <t>Главная редакция литературно-драматических программ ЦТ</t>
        </is>
      </c>
      <c r="H4811" s="2" t="n">
        <v>247</v>
      </c>
      <c r="I4811" s="2" t="inlineStr"/>
      <c r="J4811" s="2" t="inlineStr"/>
      <c r="K4811" s="3" t="inlineStr">
        <is>
          <t>Из цикла "По Вашему письму".
Рассказ о событиях, происшедших в семье Коньковых. Мать семейства, Марианна Денисовна, игнорируя желания членов своей семьи, стремилась устроить их счастье по своему усмотрению. Все ее старания потерпели полное фиаско.</t>
        </is>
      </c>
      <c r="L4811" s="2" t="inlineStr">
        <is>
          <t>https://www.kino-teatr.ru/teatr/movie/16066/annot/</t>
        </is>
      </c>
      <c r="M4811" s="2">
        <f>HYPERLINK("https://ru.wikipedia.org/w/index.php?search=%D0%92%D1%8B%20%D1%83%D0%BC%D0%B5%D0%B5%D1%82%D0%B5%20%D0%B8%D0%B3%D1%80%D0%B0%D1%82%D1%8C%20%D0%BD%D0%B0%20%D0%BF%D0%B8%D0%B0%D0%BD%D0%B8%D0%BD%D0%BE%3F%201982%20%D1%84%D0%B8%D0%BB%D1%8C%D0%BC","искать")</f>
        <v/>
      </c>
      <c r="N4811" s="3" t="n"/>
      <c r="O4811" s="2" t="n"/>
      <c r="P4811" s="2" t="n"/>
    </row>
    <row r="4812">
      <c r="A4812" s="2" t="n">
        <v>4811</v>
      </c>
      <c r="B4812" s="2" t="inlineStr">
        <is>
          <t>короткая</t>
        </is>
      </c>
      <c r="C4812" s="2" t="n">
        <v>12788</v>
      </c>
      <c r="D4812" s="3" t="inlineStr">
        <is>
          <t>Непокорный</t>
        </is>
      </c>
      <c r="E4812" s="2" t="n">
        <v>1981</v>
      </c>
      <c r="F4812" s="2" t="inlineStr">
        <is>
          <t>мультфильм</t>
        </is>
      </c>
      <c r="G4812" s="2" t="inlineStr">
        <is>
          <t>АРМЕНФИЛЬМ</t>
        </is>
      </c>
      <c r="H4812" s="2" t="n">
        <v>247</v>
      </c>
      <c r="I4812" s="2" t="inlineStr"/>
      <c r="J4812" s="2" t="inlineStr"/>
      <c r="K4812" s="3" t="inlineStr">
        <is>
          <t>Юный тополек стремился вырваться из зловонной трясины, где он рос, на вершину холма, ближе к солнцу. Ценой лишений и потерь он достигает цели, но уже на вершине гибнет от удара молнии. Однако на смену ему пробиваются из земли к солнцу новые ростки</t>
        </is>
      </c>
      <c r="L4812" s="2" t="inlineStr">
        <is>
          <t>https://gosfilmofond.ru/films/255626/</t>
        </is>
      </c>
      <c r="M4812" s="2">
        <f>HYPERLINK("https://ru.wikipedia.org/w/index.php?search=%D0%9D%D0%B5%D0%BF%D0%BE%D0%BA%D0%BE%D1%80%D0%BD%D1%8B%D0%B9%201981%20%D1%84%D0%B8%D0%BB%D1%8C%D0%BC","искать")</f>
        <v/>
      </c>
      <c r="N4812" s="3" t="n"/>
      <c r="O4812" s="2" t="n"/>
      <c r="P4812" s="2" t="n"/>
    </row>
    <row r="4813">
      <c r="A4813" s="2" t="n">
        <v>4812</v>
      </c>
      <c r="B4813" s="2" t="inlineStr">
        <is>
          <t>короткая</t>
        </is>
      </c>
      <c r="C4813" s="2" t="n">
        <v>7710</v>
      </c>
      <c r="D4813" s="3" t="inlineStr">
        <is>
          <t>Каникулы у моря</t>
        </is>
      </c>
      <c r="E4813" s="2" t="n">
        <v>1986</v>
      </c>
      <c r="F4813" s="2" t="inlineStr">
        <is>
          <t>телефильм</t>
        </is>
      </c>
      <c r="G4813" s="2" t="n"/>
      <c r="H4813" s="2" t="n">
        <v>248</v>
      </c>
      <c r="I4813" s="2" t="inlineStr"/>
      <c r="J4813" s="2" t="inlineStr"/>
      <c r="K4813" s="3" t="inlineStr">
        <is>
          <t>Ծովափնյա արձակուրդ Учеников восьмого класса из армянского поселка за успехи в учебе наградили поездкой к морю. Учительница Анаита Миграновна беспокоилась о том, смогут ли ребята, впервые уехавшие далеко от дома, быть дружными и дисциплинированными.</t>
        </is>
      </c>
      <c r="L4813" s="2" t="inlineStr">
        <is>
          <t>Кино_СССР сводный каталог.xlsx: список телефильмов</t>
        </is>
      </c>
      <c r="M4813" s="2">
        <f>HYPERLINK("https://ru.wikipedia.org/w/index.php?search=%D0%9A%D0%B0%D0%BD%D0%B8%D0%BA%D1%83%D0%BB%D1%8B%20%D1%83%20%D0%BC%D0%BE%D1%80%D1%8F%201986%20%D1%84%D0%B8%D0%BB%D1%8C%D0%BC","искать")</f>
        <v/>
      </c>
      <c r="N4813" s="3" t="n"/>
      <c r="O4813" s="2" t="n"/>
      <c r="P4813" s="2" t="n"/>
    </row>
    <row r="4814">
      <c r="A4814" s="2" t="n">
        <v>4813</v>
      </c>
      <c r="B4814" s="2" t="inlineStr">
        <is>
          <t>короткая</t>
        </is>
      </c>
      <c r="C4814" s="2" t="n">
        <v>7763</v>
      </c>
      <c r="D4814" s="3" t="inlineStr">
        <is>
          <t>Красно солнышко</t>
        </is>
      </c>
      <c r="E4814" s="2" t="n">
        <v>1972</v>
      </c>
      <c r="F4814" s="2" t="inlineStr">
        <is>
          <t>телефильм</t>
        </is>
      </c>
      <c r="G4814" s="2" t="n"/>
      <c r="H4814" s="2" t="n">
        <v>248</v>
      </c>
      <c r="I4814" s="2" t="inlineStr"/>
      <c r="J4814" s="2" t="inlineStr"/>
      <c r="K4814" s="3" t="inlineStr">
        <is>
          <t>Телефильм. Пионер Веня разыскал могилу пропавшего без вести в годы войны земляка, помог разоблачить военного преступника и, узнав много интересного о боевом прошлом своих односельчан, по-новому оценил тех, кто раньше казался ему самым обыкновенным.</t>
        </is>
      </c>
      <c r="L4814" s="2" t="inlineStr">
        <is>
          <t>Кино_СССР сводный каталог.xlsx: список телефильмов</t>
        </is>
      </c>
      <c r="M4814" s="2">
        <f>HYPERLINK("https://ru.wikipedia.org/w/index.php?search=%D0%9A%D1%80%D0%B0%D1%81%D0%BD%D0%BE%20%D1%81%D0%BE%D0%BB%D0%BD%D1%8B%D1%88%D0%BA%D0%BE%201972%20%D1%84%D0%B8%D0%BB%D1%8C%D0%BC","искать")</f>
        <v/>
      </c>
      <c r="N4814" s="3" t="n"/>
      <c r="O4814" s="2" t="n"/>
      <c r="P4814" s="2" t="n"/>
    </row>
    <row r="4815">
      <c r="A4815" s="2" t="n">
        <v>4814</v>
      </c>
      <c r="B4815" s="2" t="inlineStr">
        <is>
          <t>короткая</t>
        </is>
      </c>
      <c r="C4815" s="2" t="n">
        <v>8458</v>
      </c>
      <c r="D4815" s="3" t="inlineStr">
        <is>
          <t>Товарищ бригада</t>
        </is>
      </c>
      <c r="E4815" s="2" t="n">
        <v>1973</v>
      </c>
      <c r="F4815" s="2" t="inlineStr">
        <is>
          <t>телефильм</t>
        </is>
      </c>
      <c r="G4815" s="2" t="n"/>
      <c r="H4815" s="2" t="n">
        <v>248</v>
      </c>
      <c r="I4815" s="2" t="inlineStr"/>
      <c r="J4815" s="2" t="inlineStr"/>
      <c r="K4815" s="3" t="inlineStr">
        <is>
          <t>Телефильм по мотивам романа П.Лебеденко "Льды уходят в океан". Действие происходит в одном из крупных портовых городов Севера. Молодой сварщик Марк Талалин и бригадир Илья Беседин никак не могут найти истинных причин своих разногласий и конфликтов.</t>
        </is>
      </c>
      <c r="L4815" s="2" t="inlineStr">
        <is>
          <t>Кино_СССР сводный каталог.xlsx: список телефильмов</t>
        </is>
      </c>
      <c r="M4815" s="2">
        <f>HYPERLINK("https://ru.wikipedia.org/w/index.php?search=%D0%A2%D0%BE%D0%B2%D0%B0%D1%80%D0%B8%D1%89%20%D0%B1%D1%80%D0%B8%D0%B3%D0%B0%D0%B4%D0%B0%201973%20%D1%84%D0%B8%D0%BB%D1%8C%D0%BC","искать")</f>
        <v/>
      </c>
      <c r="N4815" s="3" t="n"/>
      <c r="O4815" s="2" t="n"/>
      <c r="P4815" s="2" t="n"/>
    </row>
    <row r="4816">
      <c r="A4816" s="2" t="n">
        <v>4815</v>
      </c>
      <c r="B4816" s="2" t="inlineStr">
        <is>
          <t>короткая</t>
        </is>
      </c>
      <c r="C4816" s="2" t="n">
        <v>8640</v>
      </c>
      <c r="D4816" s="3" t="inlineStr">
        <is>
          <t>Бывший папа, бывший сын</t>
        </is>
      </c>
      <c r="E4816" s="2" t="n">
        <v>1989</v>
      </c>
      <c r="F4816" s="2" t="inlineStr">
        <is>
          <t>кинофильм</t>
        </is>
      </c>
      <c r="G4816" s="2" t="n"/>
      <c r="H4816" s="2" t="n">
        <v>248</v>
      </c>
      <c r="I4816" s="2" t="inlineStr"/>
      <c r="J4816" s="2" t="inlineStr"/>
      <c r="K4816" s="3" t="inlineStr">
        <is>
          <t>Сорокалетний Ярцев становится свидетелем ограбления собственного автомобиля. Ближе к судебному разбирательству выясняется, что вор есть никто иной, как его собственный сын от первого брака. Отец делает все возможное, чтобы не доводить дело до суда.</t>
        </is>
      </c>
      <c r="L4816" s="2" t="inlineStr">
        <is>
          <t>Кино_СССР сводный каталог.xlsx: список фильмов (доп.)</t>
        </is>
      </c>
      <c r="M4816" s="2">
        <f>HYPERLINK("https://ru.wikipedia.org/w/index.php?search=%D0%91%D1%8B%D0%B2%D1%88%D0%B8%D0%B9%20%D0%BF%D0%B0%D0%BF%D0%B0%2C%20%D0%B1%D1%8B%D0%B2%D1%88%D0%B8%D0%B9%20%D1%81%D1%8B%D0%BD%201989%20%D1%84%D0%B8%D0%BB%D1%8C%D0%BC","искать")</f>
        <v/>
      </c>
      <c r="N4816" s="3" t="n"/>
      <c r="O4816" s="2" t="n"/>
      <c r="P4816" s="2" t="n"/>
    </row>
    <row r="4817">
      <c r="A4817" s="2" t="n">
        <v>4816</v>
      </c>
      <c r="B4817" s="2" t="inlineStr">
        <is>
          <t>короткая</t>
        </is>
      </c>
      <c r="C4817" s="2" t="n">
        <v>9781</v>
      </c>
      <c r="D4817" s="3" t="inlineStr">
        <is>
          <t>Это я - дурочка</t>
        </is>
      </c>
      <c r="E4817" s="2" t="n">
        <v>1991</v>
      </c>
      <c r="F4817" s="2" t="inlineStr">
        <is>
          <t>кинофильм</t>
        </is>
      </c>
      <c r="G4817" s="2" t="n"/>
      <c r="H4817" s="2" t="n">
        <v>248</v>
      </c>
      <c r="I4817" s="2" t="inlineStr"/>
      <c r="J4817" s="2" t="inlineStr"/>
      <c r="K4817" s="3" t="inlineStr">
        <is>
          <t>Двадцатитрехлетняя простодушная Лена, живущая тихо и незаметно, решает вдруг, на удивление всем, родить ребенка. Для этой цели она ищет в своем окружении подходящую кандидатуру. Когда же ее цель достигнута - возникает вопрос: кто же отец ребенка?..</t>
        </is>
      </c>
      <c r="L4817" s="2" t="inlineStr">
        <is>
          <t>Кино_СССР сводный каталог.xlsx: список фильмов (доп.)</t>
        </is>
      </c>
      <c r="M4817" s="2">
        <f>HYPERLINK("https://ru.wikipedia.org/w/index.php?search=%D0%AD%D1%82%D0%BE%20%D1%8F%20-%20%D0%B4%D1%83%D1%80%D0%BE%D1%87%D0%BA%D0%B0%201991%20%D1%84%D0%B8%D0%BB%D1%8C%D0%BC","искать")</f>
        <v/>
      </c>
      <c r="N4817" s="3" t="n"/>
      <c r="O4817" s="2" t="n"/>
      <c r="P4817" s="2" t="n"/>
    </row>
    <row r="4818">
      <c r="A4818" s="2" t="n">
        <v>4817</v>
      </c>
      <c r="B4818" s="2" t="inlineStr">
        <is>
          <t>короткая</t>
        </is>
      </c>
      <c r="C4818" s="2" t="n">
        <v>10044</v>
      </c>
      <c r="D4818" s="3" t="inlineStr">
        <is>
          <t>Гость</t>
        </is>
      </c>
      <c r="E4818" s="2" t="n">
        <v>1990</v>
      </c>
      <c r="F4818" s="2" t="inlineStr">
        <is>
          <t>телефильм</t>
        </is>
      </c>
      <c r="G4818" s="2" t="inlineStr">
        <is>
          <t>Сактелефильми</t>
        </is>
      </c>
      <c r="H4818" s="2" t="n">
        <v>248</v>
      </c>
      <c r="I4818" s="2" t="inlineStr"/>
      <c r="J4818" s="2" t="inlineStr"/>
      <c r="K4818" s="3" t="inlineStr">
        <is>
          <t>Деревенская девочка запуталась, живя в городском лабиринте, и "сошла с пути". Беременная, возвращается в деревню. Опозоренный отец уговаривает её избавиться от ребенка. Но все-таки отцовская любовь берет верх, и он позволяет дочке оставить ребенка.</t>
        </is>
      </c>
      <c r="L4818" s="2" t="inlineStr">
        <is>
          <t>https://www.kino-teatr.ru/short/movie/sov/86221/annot/</t>
        </is>
      </c>
      <c r="M4818" s="2">
        <f>HYPERLINK("https://ru.wikipedia.org/w/index.php?search=%D0%93%D0%BE%D1%81%D1%82%D1%8C%201990%20%D1%84%D0%B8%D0%BB%D1%8C%D0%BC","искать")</f>
        <v/>
      </c>
      <c r="N4818" s="3" t="n"/>
      <c r="O4818" s="2" t="n"/>
      <c r="P4818" s="2" t="n"/>
    </row>
    <row r="4819">
      <c r="A4819" s="2" t="n">
        <v>4818</v>
      </c>
      <c r="B4819" s="2" t="inlineStr">
        <is>
          <t>короткая</t>
        </is>
      </c>
      <c r="C4819" s="2" t="n">
        <v>12162</v>
      </c>
      <c r="D4819" s="3" t="inlineStr">
        <is>
          <t>Терехина таратайка</t>
        </is>
      </c>
      <c r="E4819" s="2" t="n">
        <v>1985</v>
      </c>
      <c r="F4819" s="2" t="inlineStr">
        <is>
          <t>мультфильм</t>
        </is>
      </c>
      <c r="G4819" s="2" t="inlineStr">
        <is>
          <t>Союзмультфильм</t>
        </is>
      </c>
      <c r="H4819" s="2" t="n">
        <v>248</v>
      </c>
      <c r="I4819" s="2" t="inlineStr"/>
      <c r="J4819" s="2" t="inlineStr"/>
      <c r="K4819" s="3" t="inlineStr">
        <is>
          <t>Фильм по мотивам сибирских сказов В. Галкина и предназначается детям. В сказочной форме он рассказывает о том, как в стародавние времена, в глухом сибирском селе один кузнец-умелец в своей работе творил чудеса и своим трудом приносил радость людям.</t>
        </is>
      </c>
      <c r="L4819" s="2" t="inlineStr">
        <is>
          <t>https://animator.ru/db/?p=show_film&amp;fid=3278</t>
        </is>
      </c>
      <c r="M4819" s="2">
        <f>HYPERLINK("https://ru.wikipedia.org/w/index.php?search=%D0%A2%D0%B5%D1%80%D0%B5%D1%85%D0%B8%D0%BD%D0%B0%20%D1%82%D0%B0%D1%80%D0%B0%D1%82%D0%B0%D0%B9%D0%BA%D0%B0%201985%20%D1%84%D0%B8%D0%BB%D1%8C%D0%BC","искать")</f>
        <v/>
      </c>
      <c r="N4819" s="3" t="n"/>
      <c r="O4819" s="2" t="n"/>
      <c r="P4819" s="2" t="n"/>
    </row>
    <row r="4820">
      <c r="A4820" s="2" t="n">
        <v>4819</v>
      </c>
      <c r="B4820" s="2" t="inlineStr">
        <is>
          <t>короткая</t>
        </is>
      </c>
      <c r="C4820" s="2" t="n">
        <v>12166</v>
      </c>
      <c r="D4820" s="3" t="inlineStr">
        <is>
          <t>Банкет</t>
        </is>
      </c>
      <c r="E4820" s="2" t="n">
        <v>1986</v>
      </c>
      <c r="F4820" s="2" t="inlineStr">
        <is>
          <t>мультфильм</t>
        </is>
      </c>
      <c r="G4820" s="2" t="inlineStr">
        <is>
          <t>Союзмультфильм</t>
        </is>
      </c>
      <c r="H4820" s="2" t="n">
        <v>248</v>
      </c>
      <c r="I4820" s="2" t="inlineStr"/>
      <c r="J4820" s="2" t="inlineStr"/>
      <c r="K4820" s="3" t="inlineStr">
        <is>
          <t>Фильм посвящен борьбе с пьянством. В поле зрения автора и режиссера типичный и распространенный случай из повседневной жизни - застолье по поводу Дня рождения. Герои фильма присутствуют незримо, их действия выражаются через предметы и звуковой ряд.</t>
        </is>
      </c>
      <c r="L4820" s="2" t="inlineStr">
        <is>
          <t>https://animator.ru/db/?p=show_film&amp;fid=3282</t>
        </is>
      </c>
      <c r="M4820" s="2">
        <f>HYPERLINK("https://ru.wikipedia.org/w/index.php?search=%D0%91%D0%B0%D0%BD%D0%BA%D0%B5%D1%82%201986%20%D1%84%D0%B8%D0%BB%D1%8C%D0%BC","искать")</f>
        <v/>
      </c>
      <c r="N4820" s="3" t="n"/>
      <c r="O4820" s="2" t="n"/>
      <c r="P4820" s="2" t="n"/>
    </row>
    <row r="4821">
      <c r="A4821" s="2" t="n">
        <v>4820</v>
      </c>
      <c r="B4821" s="2" t="inlineStr">
        <is>
          <t>короткая</t>
        </is>
      </c>
      <c r="C4821" s="2" t="n">
        <v>14351</v>
      </c>
      <c r="D4821" s="3" t="inlineStr">
        <is>
          <t>Собрание мышей</t>
        </is>
      </c>
      <c r="E4821" s="2" t="n">
        <v>1978</v>
      </c>
      <c r="F4821" s="2" t="inlineStr">
        <is>
          <t>мультфильм</t>
        </is>
      </c>
      <c r="G4821" s="2" t="inlineStr">
        <is>
          <t>АРМЕНФИЛЬМ</t>
        </is>
      </c>
      <c r="H4821" s="2" t="n">
        <v>248</v>
      </c>
      <c r="I4821" s="2" t="inlineStr"/>
      <c r="J4821" s="2" t="inlineStr"/>
      <c r="K4821" s="3" t="inlineStr">
        <is>
          <t>Общее собрание мышей принимает решение повесить на шею кота звонок, который извещал бы их о его приходе и предупреждал об опасности. Однако, одно дело - принять решение, другое - реализовать. Никто из мышей не оказывается способным на такой подвиг.</t>
        </is>
      </c>
      <c r="L4821" s="2" t="inlineStr">
        <is>
          <t>https://animator.ru/db/?p=show_film&amp;fid=5931</t>
        </is>
      </c>
      <c r="M4821" s="2">
        <f>HYPERLINK("https://ru.wikipedia.org/w/index.php?search=%D0%A1%D0%BE%D0%B1%D1%80%D0%B0%D0%BD%D0%B8%D0%B5%20%D0%BC%D1%8B%D1%88%D0%B5%D0%B9%201978%20%D1%84%D0%B8%D0%BB%D1%8C%D0%BC","искать")</f>
        <v/>
      </c>
      <c r="N4821" s="3" t="n"/>
      <c r="O4821" s="2" t="n"/>
      <c r="P4821" s="2" t="n"/>
    </row>
    <row r="4822">
      <c r="A4822" s="2" t="n">
        <v>4821</v>
      </c>
      <c r="B4822" s="2" t="inlineStr">
        <is>
          <t>короткая</t>
        </is>
      </c>
      <c r="C4822" s="2" t="n">
        <v>7455</v>
      </c>
      <c r="D4822" s="3" t="inlineStr">
        <is>
          <t>Горы дымят</t>
        </is>
      </c>
      <c r="E4822" s="2" t="n">
        <v>1988</v>
      </c>
      <c r="F4822" s="2" t="inlineStr">
        <is>
          <t>телефильм</t>
        </is>
      </c>
      <c r="G4822" s="2" t="inlineStr">
        <is>
          <t>Укртелефильм</t>
        </is>
      </c>
      <c r="H4822" s="2" t="n">
        <v>249</v>
      </c>
      <c r="I4822" s="2" t="inlineStr"/>
      <c r="J4822" s="2" t="inlineStr"/>
      <c r="K4822" s="3" t="inlineStr">
        <is>
          <t>По повести Ярослава Галана. В начале 20 века на румынской границе действует группировка под руководством вольнодумца и защитника угнетенных - Ивана Семенюка. В центре сюжета фильма - история любви героя народных сказаний Ивана и Ольги, жены офицера.</t>
        </is>
      </c>
      <c r="L4822" s="2" t="inlineStr">
        <is>
          <t>Кино_СССР сводный каталог.xlsx: список телефильмов</t>
        </is>
      </c>
      <c r="M4822" s="2">
        <f>HYPERLINK("https://ru.wikipedia.org/w/index.php?search=%D0%93%D0%BE%D1%80%D1%8B%20%D0%B4%D1%8B%D0%BC%D1%8F%D1%82%201988%20%D1%84%D0%B8%D0%BB%D1%8C%D0%BC","искать")</f>
        <v/>
      </c>
      <c r="N4822" s="3" t="n"/>
      <c r="O4822" s="2" t="n"/>
      <c r="P4822" s="2" t="n"/>
    </row>
    <row r="4823">
      <c r="A4823" s="2" t="n">
        <v>4822</v>
      </c>
      <c r="B4823" s="2" t="inlineStr">
        <is>
          <t>короткая</t>
        </is>
      </c>
      <c r="C4823" s="2" t="n">
        <v>7631</v>
      </c>
      <c r="D4823" s="3" t="inlineStr">
        <is>
          <t>Звездочёт</t>
        </is>
      </c>
      <c r="E4823" s="2" t="n">
        <v>1986</v>
      </c>
      <c r="F4823" s="2" t="inlineStr">
        <is>
          <t>телефильм</t>
        </is>
      </c>
      <c r="G4823" s="2" t="n"/>
      <c r="H4823" s="2" t="n">
        <v>249</v>
      </c>
      <c r="I4823" s="2" t="inlineStr"/>
      <c r="J4823" s="2" t="inlineStr"/>
      <c r="K4823" s="3" t="inlineStr">
        <is>
          <t>По заказу Гостелерадио СССР. По мотивам романа А.Марченко «Звездочеты». Германия, тридцатые годы. Советской разведчице Ярославе Соболевой (она же Софи Вайнерт) ценой собственной жизни удается уничтожить запасы нового вида бактериологического оружия.</t>
        </is>
      </c>
      <c r="L4823" s="2" t="inlineStr">
        <is>
          <t>Кино_СССР сводный каталог.xlsx: список телефильмов</t>
        </is>
      </c>
      <c r="M4823" s="2">
        <f>HYPERLINK("https://ru.wikipedia.org/w/index.php?search=%D0%97%D0%B2%D0%B5%D0%B7%D0%B4%D0%BE%D1%87%D1%91%D1%82%201986%20%D1%84%D0%B8%D0%BB%D1%8C%D0%BC","искать")</f>
        <v/>
      </c>
      <c r="N4823" s="3" t="n"/>
      <c r="O4823" s="2" t="n"/>
      <c r="P4823" s="2" t="n"/>
    </row>
    <row r="4824">
      <c r="A4824" s="2" t="n">
        <v>4823</v>
      </c>
      <c r="B4824" s="2" t="inlineStr">
        <is>
          <t>короткая</t>
        </is>
      </c>
      <c r="C4824" s="2" t="n">
        <v>7703</v>
      </c>
      <c r="D4824" s="3" t="inlineStr">
        <is>
          <t>Каменная долина</t>
        </is>
      </c>
      <c r="E4824" s="2" t="n">
        <v>1977</v>
      </c>
      <c r="F4824" s="2" t="inlineStr">
        <is>
          <t>телефильм</t>
        </is>
      </c>
      <c r="G4824" s="2" t="n"/>
      <c r="H4824" s="2" t="n">
        <v>249</v>
      </c>
      <c r="I4824" s="2" t="inlineStr"/>
      <c r="J4824" s="2" t="inlineStr"/>
      <c r="K4824" s="3" t="inlineStr">
        <is>
          <t>Քարե հովիտ По роману Мушега Галшояна "Бовтун" (Горнило). О потомках беженцев из Западной Армении, строящих в каменной долине новое село. У них разные судьбы, но они объединились с одной целью - вырастить на каменистой, бесплодной земле красивый сад.</t>
        </is>
      </c>
      <c r="L4824" s="2" t="inlineStr">
        <is>
          <t>Кино_СССР сводный каталог.xlsx: список телефильмов</t>
        </is>
      </c>
      <c r="M4824" s="2">
        <f>HYPERLINK("https://ru.wikipedia.org/w/index.php?search=%D0%9A%D0%B0%D0%BC%D0%B5%D0%BD%D0%BD%D0%B0%D1%8F%20%D0%B4%D0%BE%D0%BB%D0%B8%D0%BD%D0%B0%201977%20%D1%84%D0%B8%D0%BB%D1%8C%D0%BC","искать")</f>
        <v/>
      </c>
      <c r="N4824" s="3" t="n"/>
      <c r="O4824" s="2" t="n"/>
      <c r="P4824" s="2" t="n"/>
    </row>
    <row r="4825">
      <c r="A4825" s="2" t="n">
        <v>4824</v>
      </c>
      <c r="B4825" s="2" t="inlineStr">
        <is>
          <t>короткая</t>
        </is>
      </c>
      <c r="C4825" s="2" t="n">
        <v>8219</v>
      </c>
      <c r="D4825" s="3" t="inlineStr">
        <is>
          <t>Про Клаву Иванову</t>
        </is>
      </c>
      <c r="E4825" s="2" t="n">
        <v>1969</v>
      </c>
      <c r="F4825" s="2" t="inlineStr">
        <is>
          <t>телефильм</t>
        </is>
      </c>
      <c r="G4825" s="2" t="n"/>
      <c r="H4825" s="2" t="n">
        <v>249</v>
      </c>
      <c r="I4825" s="2" t="inlineStr"/>
      <c r="J4825" s="2" t="inlineStr"/>
      <c r="K4825" s="3" t="inlineStr">
        <is>
          <t>По мотивам одноименной повести Владимира Чивилихина. Клава Иванова и Петр Спирин работают в одном железнодорожном депо. Их связывают странные отношения. Клава, нежно и преданно любящая легкомысленного Петра, однажды все-таки решает с ним расстаться.</t>
        </is>
      </c>
      <c r="L4825" s="2" t="inlineStr">
        <is>
          <t>Кино_СССР сводный каталог.xlsx: список телефильмов</t>
        </is>
      </c>
      <c r="M4825" s="2">
        <f>HYPERLINK("https://ru.wikipedia.org/w/index.php?search=%D0%9F%D1%80%D0%BE%20%D0%9A%D0%BB%D0%B0%D0%B2%D1%83%20%D0%98%D0%B2%D0%B0%D0%BD%D0%BE%D0%B2%D1%83%201969%20%D1%84%D0%B8%D0%BB%D1%8C%D0%BC","искать")</f>
        <v/>
      </c>
      <c r="N4825" s="3" t="n"/>
      <c r="O4825" s="2" t="n"/>
      <c r="P4825" s="2" t="n"/>
    </row>
    <row r="4826">
      <c r="A4826" s="2" t="n">
        <v>4825</v>
      </c>
      <c r="B4826" s="2" t="inlineStr">
        <is>
          <t>короткая</t>
        </is>
      </c>
      <c r="C4826" s="2" t="n">
        <v>9012</v>
      </c>
      <c r="D4826" s="3" t="inlineStr">
        <is>
          <t>Рекорд</t>
        </is>
      </c>
      <c r="E4826" s="2" t="n">
        <v>1974</v>
      </c>
      <c r="F4826" s="2" t="inlineStr">
        <is>
          <t>кинофильм</t>
        </is>
      </c>
      <c r="G4826" s="2" t="n"/>
      <c r="H4826" s="2" t="n">
        <v>249</v>
      </c>
      <c r="I4826" s="2" t="inlineStr"/>
      <c r="J4826" s="2" t="inlineStr"/>
      <c r="K4826" s="3" t="inlineStr">
        <is>
          <t>რეკორდი Фильм основан на рассказе чешского писателя Карела Чапека , который авторы адаптировали для жизни в Самегрело. В одной из деревень герой фильма, способный на это только под проклятием, невольно устанавливает «мировой рекорд в толкании ядра».</t>
        </is>
      </c>
      <c r="L4826" s="2" t="inlineStr">
        <is>
          <t>Кино_СССР сводный каталог.xlsx: список фильмов (доп.)</t>
        </is>
      </c>
      <c r="M4826" s="2">
        <f>HYPERLINK("https://ru.wikipedia.org/w/index.php?search=%D0%A0%D0%B5%D0%BA%D0%BE%D1%80%D0%B4%201974%20%D1%84%D0%B8%D0%BB%D1%8C%D0%BC","искать")</f>
        <v/>
      </c>
      <c r="N4826" s="3" t="n"/>
      <c r="O4826" s="2" t="n"/>
      <c r="P4826" s="2" t="n"/>
    </row>
    <row r="4827">
      <c r="A4827" s="2" t="n">
        <v>4826</v>
      </c>
      <c r="B4827" s="2" t="inlineStr">
        <is>
          <t>короткая</t>
        </is>
      </c>
      <c r="C4827" s="2" t="n">
        <v>11088</v>
      </c>
      <c r="D4827" s="3" t="inlineStr">
        <is>
          <t>Тевье-молочник</t>
        </is>
      </c>
      <c r="E4827" s="2" t="n">
        <v>1985</v>
      </c>
      <c r="F4827" s="2" t="inlineStr">
        <is>
          <t>фильм-спектакль</t>
        </is>
      </c>
      <c r="G4827" s="2" t="inlineStr">
        <is>
          <t>Центральное телевидение</t>
        </is>
      </c>
      <c r="H4827" s="2" t="n">
        <v>249</v>
      </c>
      <c r="I4827" s="2" t="inlineStr"/>
      <c r="J4827" s="2" t="inlineStr"/>
      <c r="K4827" s="3" t="inlineStr">
        <is>
          <t>По мотивам одноименной повести Шолом-Алейхема.
«Удивительная история о том, как Тевье-молочник, бедняк, обремененный семьей, вдруг был осчастливлен благодаря необычайному случаю, достойному описания. Рассказана самим Тевье и передана слово в слово».</t>
        </is>
      </c>
      <c r="L4827" s="2" t="inlineStr">
        <is>
          <t>https://www.kino-teatr.ru/teatr/movie/11638/annot/</t>
        </is>
      </c>
      <c r="M4827" s="2">
        <f>HYPERLINK("https://ru.wikipedia.org/w/index.php?search=%D0%A2%D0%B5%D0%B2%D1%8C%D0%B5-%D0%BC%D0%BE%D0%BB%D0%BE%D1%87%D0%BD%D0%B8%D0%BA%201985%20%D1%84%D0%B8%D0%BB%D1%8C%D0%BC","искать")</f>
        <v/>
      </c>
      <c r="N4827" s="3" t="n"/>
      <c r="O4827" s="2" t="n"/>
      <c r="P4827" s="2" t="n"/>
    </row>
    <row r="4828">
      <c r="A4828" s="2" t="n">
        <v>4827</v>
      </c>
      <c r="B4828" s="2" t="inlineStr">
        <is>
          <t>короткая</t>
        </is>
      </c>
      <c r="C4828" s="2" t="n">
        <v>11553</v>
      </c>
      <c r="D4828" s="3" t="inlineStr">
        <is>
          <t>МИМО ("Фитиль" N 31)</t>
        </is>
      </c>
      <c r="E4828" s="2" t="n">
        <v>1965</v>
      </c>
      <c r="F4828" s="2" t="inlineStr">
        <is>
          <t>мультфильм</t>
        </is>
      </c>
      <c r="G4828" s="2" t="inlineStr">
        <is>
          <t>Союзмультфильм</t>
        </is>
      </c>
      <c r="H4828" s="2" t="n">
        <v>249</v>
      </c>
      <c r="I4828" s="2" t="inlineStr"/>
      <c r="J4828" s="2" t="inlineStr"/>
      <c r="K4828" s="3" t="inlineStr">
        <is>
          <t>Председатель колхоза отправляет паренька учиться на агронома. Идет время, студент учится, односельчане посылают ему гостинцы, председатель с нетерпением ждет молодого агронома. Наконец, студент получает диплом и...устраивается в областное управление</t>
        </is>
      </c>
      <c r="L4828" s="2" t="inlineStr">
        <is>
          <t>https://gosfilmofond.ru/films/254103/</t>
        </is>
      </c>
      <c r="M4828" s="2">
        <f>HYPERLINK("https://ru.wikipedia.org/w/index.php?search=%D0%9C%D0%98%D0%9C%D0%9E%20%28%22%D0%A4%D0%B8%D1%82%D0%B8%D0%BB%D1%8C%22%20N%2031%29%201965%20%D1%84%D0%B8%D0%BB%D1%8C%D0%BC","искать")</f>
        <v/>
      </c>
      <c r="N4828" s="3" t="n"/>
      <c r="O4828" s="2" t="n"/>
      <c r="P4828" s="2" t="n"/>
    </row>
    <row r="4829">
      <c r="A4829" s="2" t="n">
        <v>4828</v>
      </c>
      <c r="B4829" s="2" t="inlineStr">
        <is>
          <t>короткая</t>
        </is>
      </c>
      <c r="C4829" s="2" t="n">
        <v>11996</v>
      </c>
      <c r="D4829" s="3" t="inlineStr">
        <is>
          <t>Бедокуры</t>
        </is>
      </c>
      <c r="E4829" s="2" t="n">
        <v>1982</v>
      </c>
      <c r="F4829" s="2" t="inlineStr">
        <is>
          <t>мультфильм</t>
        </is>
      </c>
      <c r="G4829" s="2" t="inlineStr">
        <is>
          <t>Союзмультфильм</t>
        </is>
      </c>
      <c r="H4829" s="2" t="n">
        <v>249</v>
      </c>
      <c r="I4829" s="2" t="inlineStr"/>
      <c r="J4829" s="2" t="inlineStr"/>
      <c r="K4829" s="3" t="inlineStr">
        <is>
          <t>Забавные приключения Повара и Кота. Действие происходит на корабле, куда повар только что принят на работу, но её он скоро теряет из-за проделок Кота, который крадёт из кухни продукты, и строгого Боцмана, который пытается сохранить порядок на кухне.</t>
        </is>
      </c>
      <c r="L4829" s="2" t="inlineStr">
        <is>
          <t>https://animator.ru/db/?p=show_film&amp;fid=3110</t>
        </is>
      </c>
      <c r="M4829" s="2">
        <f>HYPERLINK("https://ru.wikipedia.org/w/index.php?search=%D0%91%D0%B5%D0%B4%D0%BE%D0%BA%D1%83%D1%80%D1%8B%201982%20%D1%84%D0%B8%D0%BB%D1%8C%D0%BC","искать")</f>
        <v/>
      </c>
      <c r="N4829" s="3" t="n"/>
      <c r="O4829" s="2" t="n"/>
      <c r="P4829" s="2" t="n"/>
    </row>
    <row r="4830">
      <c r="A4830" s="2" t="n">
        <v>4829</v>
      </c>
      <c r="B4830" s="2" t="inlineStr">
        <is>
          <t>короткая</t>
        </is>
      </c>
      <c r="C4830" s="2" t="n">
        <v>7518</v>
      </c>
      <c r="D4830" s="3" t="inlineStr">
        <is>
          <t>Днепровский ветер (киноальманах)</t>
        </is>
      </c>
      <c r="E4830" s="2" t="n">
        <v>1976</v>
      </c>
      <c r="F4830" s="2" t="inlineStr">
        <is>
          <t>телефильм</t>
        </is>
      </c>
      <c r="G4830" s="2" t="n"/>
      <c r="H4830" s="2" t="n">
        <v>250</v>
      </c>
      <c r="I4830" s="2" t="inlineStr"/>
      <c r="J4830" s="2" t="inlineStr"/>
      <c r="K4830" s="3" t="inlineStr">
        <is>
          <t>С веселым нетерпением идут охотники на открытие сезона к багатому озеру Чари-камыши. Но оказалось, что озера уже нет. Высохло.
Заезжий браконьер убил в заповеднике лебедя. Центром сюжета фильма есть отношение к этому событию молодой влюбленной пары.</t>
        </is>
      </c>
      <c r="L4830" s="2" t="inlineStr">
        <is>
          <t>Кино_СССР сводный каталог.xlsx: список телефильмов</t>
        </is>
      </c>
      <c r="M4830" s="2">
        <f>HYPERLINK("https://ru.wikipedia.org/w/index.php?search=%D0%94%D0%BD%D0%B5%D0%BF%D1%80%D0%BE%D0%B2%D1%81%D0%BA%D0%B8%D0%B9%20%D0%B2%D0%B5%D1%82%D0%B5%D1%80%20%28%D0%BA%D0%B8%D0%BD%D0%BE%D0%B0%D0%BB%D1%8C%D0%BC%D0%B0%D0%BD%D0%B0%D1%85%29%201976%20%D1%84%D0%B8%D0%BB%D1%8C%D0%BC","искать")</f>
        <v/>
      </c>
      <c r="N4830" s="3" t="n"/>
      <c r="O4830" s="2" t="n"/>
      <c r="P4830" s="2" t="n"/>
    </row>
    <row r="4831">
      <c r="A4831" s="2" t="n">
        <v>4830</v>
      </c>
      <c r="B4831" s="2" t="inlineStr">
        <is>
          <t>короткая</t>
        </is>
      </c>
      <c r="C4831" s="2" t="n">
        <v>8259</v>
      </c>
      <c r="D4831" s="3" t="inlineStr">
        <is>
          <t>Расмус-бродяга</t>
        </is>
      </c>
      <c r="E4831" s="2" t="n">
        <v>1978</v>
      </c>
      <c r="F4831" s="2" t="inlineStr">
        <is>
          <t>телефильм</t>
        </is>
      </c>
      <c r="G4831" s="2" t="n"/>
      <c r="H4831" s="2" t="n">
        <v>250</v>
      </c>
      <c r="I4831" s="2" t="inlineStr"/>
      <c r="J4831" s="2" t="inlineStr"/>
      <c r="K4831" s="3" t="inlineStr">
        <is>
          <t>Приключенческий фильм по мотивам одноименной повести Астрид Линдгрен. История о мальчике-сироте, чья жизнь сложилась отнюдь не безоблачно. Ему предстоит пережить немало неожиданных и таинственных приключений и наконец обрести счастье домашнего очага.</t>
        </is>
      </c>
      <c r="L4831" s="2" t="inlineStr">
        <is>
          <t>Кино_СССР сводный каталог.xlsx: список телефильмов</t>
        </is>
      </c>
      <c r="M4831" s="2">
        <f>HYPERLINK("https://ru.wikipedia.org/w/index.php?search=%D0%A0%D0%B0%D1%81%D0%BC%D1%83%D1%81-%D0%B1%D1%80%D0%BE%D0%B4%D1%8F%D0%B3%D0%B0%201978%20%D1%84%D0%B8%D0%BB%D1%8C%D0%BC","искать")</f>
        <v/>
      </c>
      <c r="N4831" s="3" t="n"/>
      <c r="O4831" s="2" t="n"/>
      <c r="P4831" s="2" t="n"/>
    </row>
    <row r="4832">
      <c r="A4832" s="2" t="n">
        <v>4831</v>
      </c>
      <c r="B4832" s="2" t="inlineStr">
        <is>
          <t>короткая</t>
        </is>
      </c>
      <c r="C4832" s="2" t="n">
        <v>9232</v>
      </c>
      <c r="D4832" s="3" t="inlineStr">
        <is>
          <t>Белые флаги</t>
        </is>
      </c>
      <c r="E4832" s="2" t="n">
        <v>1990</v>
      </c>
      <c r="F4832" s="2" t="inlineStr">
        <is>
          <t>кинофильм</t>
        </is>
      </c>
      <c r="G4832" s="2" t="n"/>
      <c r="H4832" s="2" t="n">
        <v>250</v>
      </c>
      <c r="I4832" s="2" t="inlineStr"/>
      <c r="J4832" s="2" t="inlineStr"/>
      <c r="K4832" s="3" t="inlineStr">
        <is>
          <t>Главный герой фильма — Заза Накашидзе, «без вины виноватый» человек, несправедливо обвиняемый в убийстве, которого он не совершал. Заза попадает в СИЗО, но и находясь в заключении, он пытается найти правду и доказать, что не он совершил это убийство.</t>
        </is>
      </c>
      <c r="L4832" s="2" t="inlineStr">
        <is>
          <t>https://ru.wikipedia.org/w/index.php?title=%D0%91%D0%B5%D0%BB%D1%8B%D0%B5_%D1%84%D0%BB%D0%B0%D0%B3%D0%B8_%28%D1%84%D0%B8%D0%BB%D1%8C%D0%BC%29&amp;oldid=154691719</t>
        </is>
      </c>
      <c r="M4832" s="2">
        <f>HYPERLINK("https://ru.wikipedia.org/w/index.php?search=%D0%91%D0%B5%D0%BB%D1%8B%D0%B5%20%D1%84%D0%BB%D0%B0%D0%B3%D0%B8%201990%20%D1%84%D0%B8%D0%BB%D1%8C%D0%BC","искать")</f>
        <v/>
      </c>
      <c r="N4832" s="3" t="n"/>
      <c r="O4832" s="2" t="n"/>
      <c r="P4832" s="2" t="n"/>
    </row>
    <row r="4833">
      <c r="A4833" s="2" t="n">
        <v>4832</v>
      </c>
      <c r="B4833" s="2" t="inlineStr">
        <is>
          <t>короткая</t>
        </is>
      </c>
      <c r="C4833" s="2" t="n">
        <v>11741</v>
      </c>
      <c r="D4833" s="3" t="inlineStr">
        <is>
          <t>Молодильные яблоки</t>
        </is>
      </c>
      <c r="E4833" s="2" t="n">
        <v>1974</v>
      </c>
      <c r="F4833" s="2" t="inlineStr">
        <is>
          <t>мультфильм</t>
        </is>
      </c>
      <c r="G4833" s="2" t="inlineStr">
        <is>
          <t>Союзмультфильм</t>
        </is>
      </c>
      <c r="H4833" s="2" t="n">
        <v>250</v>
      </c>
      <c r="I4833" s="2" t="inlineStr"/>
      <c r="J4833" s="2" t="inlineStr"/>
      <c r="K4833" s="3" t="inlineStr">
        <is>
          <t>По мотивам русской сказки. Фильм рассказывает о добре и зле. Царь посылает своих сыновей на поиски молодильных яблок. Старшие сыновья отправляются в кабак, а младший при помощи Серого Волка, добывает яблоки для отца и женится на красавице Синеглазке.</t>
        </is>
      </c>
      <c r="L4833" s="2" t="inlineStr">
        <is>
          <t>https://animator.ru/db/?p=show_film&amp;fid=2655</t>
        </is>
      </c>
      <c r="M4833" s="2">
        <f>HYPERLINK("https://ru.wikipedia.org/w/index.php?search=%D0%9C%D0%BE%D0%BB%D0%BE%D0%B4%D0%B8%D0%BB%D1%8C%D0%BD%D1%8B%D0%B5%20%D1%8F%D0%B1%D0%BB%D0%BE%D0%BA%D0%B8%201974%20%D1%84%D0%B8%D0%BB%D1%8C%D0%BC","искать")</f>
        <v/>
      </c>
      <c r="N4833" s="3" t="n"/>
      <c r="O4833" s="2" t="n"/>
      <c r="P4833" s="2" t="n"/>
    </row>
    <row r="4834">
      <c r="A4834" s="2" t="n">
        <v>4833</v>
      </c>
      <c r="B4834" s="2" t="inlineStr">
        <is>
          <t>короткая</t>
        </is>
      </c>
      <c r="C4834" s="2" t="n">
        <v>12254</v>
      </c>
      <c r="D4834" s="3" t="inlineStr">
        <is>
          <t>Случай с бегемотом</t>
        </is>
      </c>
      <c r="E4834" s="2" t="n">
        <v>1988</v>
      </c>
      <c r="F4834" s="2" t="inlineStr">
        <is>
          <t>мультфильм</t>
        </is>
      </c>
      <c r="G4834" s="2" t="inlineStr">
        <is>
          <t>Союзмультфильм</t>
        </is>
      </c>
      <c r="H4834" s="2" t="n">
        <v>250</v>
      </c>
      <c r="I4834" s="2" t="inlineStr"/>
      <c r="J4834" s="2" t="inlineStr"/>
      <c r="K4834" s="3" t="inlineStr">
        <is>
          <t>Герои фильма Бегемотик и Пингвинёнок, восхищенные выступлением цирковых артистов, решили тоже попробывать себя на сцене. Но вместо славы и аплодисментов их ожидал провал, возмущенные зрители покинули зал. Однако вскоре друзья нашли своё дело в жизни.</t>
        </is>
      </c>
      <c r="L4834" s="2" t="inlineStr">
        <is>
          <t>https://animator.ru/db/?p=show_film&amp;fid=3371</t>
        </is>
      </c>
      <c r="M4834" s="2">
        <f>HYPERLINK("https://ru.wikipedia.org/w/index.php?search=%D0%A1%D0%BB%D1%83%D1%87%D0%B0%D0%B9%20%D1%81%20%D0%B1%D0%B5%D0%B3%D0%B5%D0%BC%D0%BE%D1%82%D0%BE%D0%BC%201988%20%D1%84%D0%B8%D0%BB%D1%8C%D0%BC","искать")</f>
        <v/>
      </c>
      <c r="N4834" s="3" t="n"/>
      <c r="O4834" s="2" t="n"/>
      <c r="P4834" s="2" t="n"/>
    </row>
    <row r="4835">
      <c r="A4835" s="2" t="n">
        <v>4834</v>
      </c>
      <c r="B4835" s="2" t="inlineStr">
        <is>
          <t>короткая</t>
        </is>
      </c>
      <c r="C4835" s="2" t="n">
        <v>12292</v>
      </c>
      <c r="D4835" s="3" t="inlineStr">
        <is>
          <t>Солдат и черт</t>
        </is>
      </c>
      <c r="E4835" s="2" t="n">
        <v>1990</v>
      </c>
      <c r="F4835" s="2" t="inlineStr">
        <is>
          <t>мультфильм</t>
        </is>
      </c>
      <c r="G4835" s="2" t="inlineStr">
        <is>
          <t>Союзмультфильм</t>
        </is>
      </c>
      <c r="H4835" s="2" t="n">
        <v>250</v>
      </c>
      <c r="I4835" s="2" t="inlineStr"/>
      <c r="J4835" s="2" t="inlineStr"/>
      <c r="K4835" s="3" t="inlineStr">
        <is>
          <t>Возвращающийся домой с войны однорукий солдат становится объектом борьбы между скрипкой, символом души, и чертом. Солдат с изломанной душой подвергается искушениям черта и попадает в его ловушку в обмен на механическую руку, однако душа - бессмертна.</t>
        </is>
      </c>
      <c r="L4835" s="2" t="inlineStr">
        <is>
          <t>https://animator.ru/db/?p=show_film&amp;fid=3409</t>
        </is>
      </c>
      <c r="M4835" s="2">
        <f>HYPERLINK("https://ru.wikipedia.org/w/index.php?search=%D0%A1%D0%BE%D0%BB%D0%B4%D0%B0%D1%82%20%D0%B8%20%D1%87%D0%B5%D1%80%D1%82%201990%20%D1%84%D0%B8%D0%BB%D1%8C%D0%BC","искать")</f>
        <v/>
      </c>
      <c r="N4835" s="3" t="n"/>
      <c r="O4835" s="2" t="n"/>
      <c r="P4835" s="2" t="n"/>
    </row>
    <row r="4836">
      <c r="A4836" s="2" t="n">
        <v>4835</v>
      </c>
      <c r="B4836" s="2" t="inlineStr">
        <is>
          <t>короткая</t>
        </is>
      </c>
      <c r="C4836" s="2" t="n">
        <v>14365</v>
      </c>
      <c r="D4836" s="3" t="inlineStr">
        <is>
          <t>Визитер</t>
        </is>
      </c>
      <c r="E4836" s="2" t="n">
        <v>1991</v>
      </c>
      <c r="F4836" s="2" t="inlineStr">
        <is>
          <t>мультфильм</t>
        </is>
      </c>
      <c r="G4836" s="2" t="inlineStr">
        <is>
          <t>СОЮЗТЕЛЕФИЛЬМ</t>
        </is>
      </c>
      <c r="H4836" s="2" t="n">
        <v>250</v>
      </c>
      <c r="I4836" s="2" t="inlineStr"/>
      <c r="J4836" s="2" t="inlineStr"/>
      <c r="K4836" s="3" t="inlineStr">
        <is>
          <t>По мотивам повести А.С.Пушкина "Уединенный домик на Васильевском". История любви милой провинциальной девушки Веры и молодого человека Павла, в жизни которых появляется некий демон-искуситель. Павел променял нежную любовь на эфемерный блеск и мишуру.</t>
        </is>
      </c>
      <c r="L4836" s="2" t="inlineStr">
        <is>
          <t>https://animator.ru/db/?p=show_film&amp;fid=6177</t>
        </is>
      </c>
      <c r="M4836" s="2">
        <f>HYPERLINK("https://ru.wikipedia.org/w/index.php?search=%D0%92%D0%B8%D0%B7%D0%B8%D1%82%D0%B5%D1%80%201991%20%D1%84%D0%B8%D0%BB%D1%8C%D0%BC","искать")</f>
        <v/>
      </c>
      <c r="N4836" s="3" t="n"/>
      <c r="O4836" s="2" t="n"/>
      <c r="P4836" s="2" t="n"/>
    </row>
    <row r="4837">
      <c r="A4837" s="2" t="n">
        <v>4836</v>
      </c>
      <c r="B4837" s="2" t="inlineStr">
        <is>
          <t>короткая</t>
        </is>
      </c>
      <c r="C4837" s="2" t="n">
        <v>7620</v>
      </c>
      <c r="D4837" s="3" t="inlineStr">
        <is>
          <t>Заводила</t>
        </is>
      </c>
      <c r="E4837" s="2" t="n">
        <v>1987</v>
      </c>
      <c r="F4837" s="2" t="inlineStr">
        <is>
          <t>телефильм</t>
        </is>
      </c>
      <c r="G4837" s="2" t="n"/>
      <c r="H4837" s="2" t="n">
        <v>251</v>
      </c>
      <c r="I4837" s="2" t="inlineStr"/>
      <c r="J4837" s="2" t="inlineStr"/>
      <c r="K4837" s="3" t="inlineStr">
        <is>
          <t>Телефильм. Рауф Байрамов работает в школе завхозом. Он умеет увлечь детей, превратив скучные занятия в игру. Рауфу очень нравится молоденькая учительница Рена, но у нее есть жених... Проходят годы, Рауф становится директором школы, а Рена - его женой.</t>
        </is>
      </c>
      <c r="L4837" s="2" t="inlineStr">
        <is>
          <t>Кино_СССР сводный каталог.xlsx: список телефильмов</t>
        </is>
      </c>
      <c r="M4837" s="2">
        <f>HYPERLINK("https://ru.wikipedia.org/w/index.php?search=%D0%97%D0%B0%D0%B2%D0%BE%D0%B4%D0%B8%D0%BB%D0%B0%201987%20%D1%84%D0%B8%D0%BB%D1%8C%D0%BC","искать")</f>
        <v/>
      </c>
      <c r="N4837" s="3" t="n"/>
      <c r="O4837" s="2" t="n"/>
      <c r="P4837" s="2" t="n"/>
    </row>
    <row r="4838">
      <c r="A4838" s="2" t="n">
        <v>4837</v>
      </c>
      <c r="B4838" s="2" t="inlineStr">
        <is>
          <t>короткая</t>
        </is>
      </c>
      <c r="C4838" s="2" t="n">
        <v>8838</v>
      </c>
      <c r="D4838" s="3" t="inlineStr">
        <is>
          <t>Миро в долине</t>
        </is>
      </c>
      <c r="E4838" s="2" t="n">
        <v>1979</v>
      </c>
      <c r="F4838" s="2" t="inlineStr">
        <is>
          <t>кинофильм</t>
        </is>
      </c>
      <c r="G4838" s="2" t="n"/>
      <c r="H4838" s="2" t="n">
        <v>251</v>
      </c>
      <c r="I4838" s="2" t="inlineStr"/>
      <c r="J4838" s="2" t="inlineStr"/>
      <c r="K4838" s="3" t="inlineStr">
        <is>
          <t>Ձորի Միրոն Герой фильма теряет семью во время геноцида армян 1915 года в Османской империи, затем вместе с ополченцами сражается в турецкими аскерами. Уставший от жизни и разуверившийся во всем, Миро находит пристанище в Восточной (Советской) Армении.</t>
        </is>
      </c>
      <c r="L4838" s="2" t="inlineStr">
        <is>
          <t>Кино_СССР сводный каталог.xlsx: список фильмов (доп.)</t>
        </is>
      </c>
      <c r="M4838" s="2">
        <f>HYPERLINK("https://ru.wikipedia.org/w/index.php?search=%D0%9C%D0%B8%D1%80%D0%BE%20%D0%B2%20%D0%B4%D0%BE%D0%BB%D0%B8%D0%BD%D0%B5%201979%20%D1%84%D0%B8%D0%BB%D1%8C%D0%BC","искать")</f>
        <v/>
      </c>
      <c r="N4838" s="3" t="n"/>
      <c r="O4838" s="2" t="n"/>
      <c r="P4838" s="2" t="n"/>
    </row>
    <row r="4839">
      <c r="A4839" s="2" t="n">
        <v>4838</v>
      </c>
      <c r="B4839" s="2" t="inlineStr">
        <is>
          <t>короткая</t>
        </is>
      </c>
      <c r="C4839" s="2" t="n">
        <v>8971</v>
      </c>
      <c r="D4839" s="3" t="inlineStr">
        <is>
          <t>Право на прошлое</t>
        </is>
      </c>
      <c r="E4839" s="2" t="n">
        <v>1989</v>
      </c>
      <c r="F4839" s="2" t="inlineStr">
        <is>
          <t>кинофильм</t>
        </is>
      </c>
      <c r="G4839" s="2" t="n"/>
      <c r="H4839" s="2" t="n">
        <v>251</v>
      </c>
      <c r="I4839" s="2" t="inlineStr"/>
      <c r="J4839" s="2" t="inlineStr"/>
      <c r="K4839" s="3" t="inlineStr">
        <is>
          <t>Экранизация рассказа Богуслава Кноупека "Встань и иди" из книги "Генерал со львом". История солдата-словака, героически сражавшегося в годы второй мировой войны в рядах Советской Армии, и награжденного советским орденом лишь спустя 10 лет после войны.</t>
        </is>
      </c>
      <c r="L4839" s="2" t="inlineStr">
        <is>
          <t>Кино_СССР сводный каталог.xlsx: список фильмов (доп.)</t>
        </is>
      </c>
      <c r="M4839" s="2">
        <f>HYPERLINK("https://ru.wikipedia.org/w/index.php?search=%D0%9F%D1%80%D0%B0%D0%B2%D0%BE%20%D0%BD%D0%B0%20%D0%BF%D1%80%D0%BE%D1%88%D0%BB%D0%BE%D0%B5%201989%20%D1%84%D0%B8%D0%BB%D1%8C%D0%BC","искать")</f>
        <v/>
      </c>
      <c r="N4839" s="3" t="n"/>
      <c r="O4839" s="2" t="n"/>
      <c r="P4839" s="2" t="n"/>
    </row>
    <row r="4840">
      <c r="A4840" s="2" t="n">
        <v>4839</v>
      </c>
      <c r="B4840" s="2" t="inlineStr">
        <is>
          <t>короткая</t>
        </is>
      </c>
      <c r="C4840" s="2" t="n">
        <v>9001</v>
      </c>
      <c r="D4840" s="3" t="inlineStr">
        <is>
          <t>Пятно</t>
        </is>
      </c>
      <c r="E4840" s="2" t="n">
        <v>1985</v>
      </c>
      <c r="F4840" s="2" t="inlineStr">
        <is>
          <t>кинофильм</t>
        </is>
      </c>
      <c r="G4840" s="2" t="n"/>
      <c r="H4840" s="2" t="n">
        <v>251</v>
      </c>
      <c r="I4840" s="2" t="inlineStr"/>
      <c r="J4840" s="2" t="inlineStr"/>
      <c r="K4840" s="3" t="inlineStr">
        <is>
          <t>Молодой музыкант Квишо всем помогал, легко жил и однажды, подбросив монетку (он отвлёкся, а оппонент ее перевернул), проиграл миллион сигар и стал должником. После этого он что только ни делал, чтобы расплатиться с долгом. В результате погиб его друг.</t>
        </is>
      </c>
      <c r="L4840" s="2" t="inlineStr">
        <is>
          <t>Кино_СССР сводный каталог.xlsx: список фильмов (доп.)</t>
        </is>
      </c>
      <c r="M4840" s="2">
        <f>HYPERLINK("https://ru.wikipedia.org/w/index.php?search=%D0%9F%D1%8F%D1%82%D0%BD%D0%BE%201985%20%D1%84%D0%B8%D0%BB%D1%8C%D0%BC","искать")</f>
        <v/>
      </c>
      <c r="N4840" s="3" t="n"/>
      <c r="O4840" s="2" t="n"/>
      <c r="P4840" s="2" t="n"/>
    </row>
    <row r="4841">
      <c r="A4841" s="2" t="n">
        <v>4840</v>
      </c>
      <c r="B4841" s="2" t="inlineStr">
        <is>
          <t>короткая</t>
        </is>
      </c>
      <c r="C4841" s="2" t="n">
        <v>9639</v>
      </c>
      <c r="D4841" s="3" t="inlineStr">
        <is>
          <t>Семья Януш</t>
        </is>
      </c>
      <c r="E4841" s="2" t="n">
        <v>1941</v>
      </c>
      <c r="F4841" s="2" t="inlineStr">
        <is>
          <t>кинофильм</t>
        </is>
      </c>
      <c r="G4841" s="2" t="n"/>
      <c r="H4841" s="2" t="n">
        <v>251</v>
      </c>
      <c r="I4841" s="2" t="inlineStr"/>
      <c r="J4841" s="2" t="inlineStr"/>
      <c r="K4841" s="3" t="inlineStr">
        <is>
          <t>Фильм посвящен присоединению Западной Белоруссии к СССР. Главные герои — белорусские колхозники. После того, как мужчины уходят в армию, Юста Януш становится председателем колхоза и встречает сыновей, вернувшихся с победой. Фильм на экраны не выпущен.</t>
        </is>
      </c>
      <c r="L4841" s="2" t="inlineStr">
        <is>
          <t>Кино_СССР сводный каталог.xlsx: список фильмов (доп.)</t>
        </is>
      </c>
      <c r="M4841" s="2">
        <f>HYPERLINK("https://ru.wikipedia.org/w/index.php?search=%D0%A1%D0%B5%D0%BC%D1%8C%D1%8F%20%D0%AF%D0%BD%D1%83%D1%88%201941%20%D1%84%D0%B8%D0%BB%D1%8C%D0%BC","искать")</f>
        <v/>
      </c>
      <c r="N4841" s="3" t="n"/>
      <c r="O4841" s="2" t="n"/>
      <c r="P4841" s="2" t="n"/>
    </row>
    <row r="4842">
      <c r="A4842" s="2" t="n">
        <v>4841</v>
      </c>
      <c r="B4842" s="2" t="inlineStr">
        <is>
          <t>короткая</t>
        </is>
      </c>
      <c r="C4842" s="2" t="n">
        <v>11506</v>
      </c>
      <c r="D4842" s="3" t="inlineStr">
        <is>
          <t>Веселая карусель n 1. Рассеянный джованни</t>
        </is>
      </c>
      <c r="E4842" s="2" t="n">
        <v>1969</v>
      </c>
      <c r="F4842" s="2" t="inlineStr">
        <is>
          <t>мультфильм</t>
        </is>
      </c>
      <c r="G4842" s="2" t="inlineStr">
        <is>
          <t>Союзмультфильм</t>
        </is>
      </c>
      <c r="H4842" s="2" t="n">
        <v>251</v>
      </c>
      <c r="I4842" s="2" t="inlineStr"/>
      <c r="J4842" s="2" t="inlineStr"/>
      <c r="K4842" s="3" t="inlineStr">
        <is>
          <t>По сказке Джанни Родари о мальчике-растеряхе, который терял даже собственные уши, ноги, руки, и маме потом приходилось собирать сына заново. Сюжет в молодежном альманахе "Веселая карусель N 1", общий метраж которой - 285 м, а продолжительность - 1024"</t>
        </is>
      </c>
      <c r="L4842" s="2" t="inlineStr">
        <is>
          <t>https://animator.ru/db/?p=show_film&amp;fid=2277</t>
        </is>
      </c>
      <c r="M4842" s="2">
        <f>HYPERLINK("https://ru.wikipedia.org/w/index.php?search=%D0%92%D0%B5%D1%81%D0%B5%D0%BB%D0%B0%D1%8F%20%D0%BA%D0%B0%D1%80%D1%83%D1%81%D0%B5%D0%BB%D1%8C%20n%201.%20%D0%A0%D0%B0%D1%81%D1%81%D0%B5%D1%8F%D0%BD%D0%BD%D1%8B%D0%B9%20%D0%B4%D0%B6%D0%BE%D0%B2%D0%B0%D0%BD%D0%BD%D0%B8%201969%20%D1%84%D0%B8%D0%BB%D1%8C%D0%BC","искать")</f>
        <v/>
      </c>
      <c r="N4842" s="3" t="n"/>
      <c r="O4842" s="2" t="n"/>
      <c r="P4842" s="2" t="n"/>
    </row>
    <row r="4843">
      <c r="A4843" s="2" t="n">
        <v>4842</v>
      </c>
      <c r="B4843" s="2" t="inlineStr">
        <is>
          <t>короткая</t>
        </is>
      </c>
      <c r="C4843" s="2" t="n">
        <v>11802</v>
      </c>
      <c r="D4843" s="3" t="inlineStr">
        <is>
          <t>Легенда о старом маяке</t>
        </is>
      </c>
      <c r="E4843" s="2" t="n">
        <v>1976</v>
      </c>
      <c r="F4843" s="2" t="inlineStr">
        <is>
          <t>мультфильм</t>
        </is>
      </c>
      <c r="G4843" s="2" t="inlineStr">
        <is>
          <t>Союзмультфильм</t>
        </is>
      </c>
      <c r="H4843" s="2" t="n">
        <v>251</v>
      </c>
      <c r="I4843" s="2" t="inlineStr"/>
      <c r="J4843" s="2" t="inlineStr"/>
      <c r="K4843" s="3" t="inlineStr">
        <is>
          <t>Фильм посвящен патриотической теме - освобождению родной земли от фашистских захватчиков в период Великой Отечественной войны. В основе сюжета - приключения ребят, помогающих зажечь маяк, чтобы советские корабли вошли в бухту и разгромили гитлеровцев.</t>
        </is>
      </c>
      <c r="L4843" s="2" t="inlineStr">
        <is>
          <t>https://animator.ru/db/?p=show_film&amp;fid=2716</t>
        </is>
      </c>
      <c r="M4843" s="2">
        <f>HYPERLINK("https://ru.wikipedia.org/w/index.php?search=%D0%9B%D0%B5%D0%B3%D0%B5%D0%BD%D0%B4%D0%B0%20%D0%BE%20%D1%81%D1%82%D0%B0%D1%80%D0%BE%D0%BC%20%D0%BC%D0%B0%D1%8F%D0%BA%D0%B5%201976%20%D1%84%D0%B8%D0%BB%D1%8C%D0%BC","искать")</f>
        <v/>
      </c>
      <c r="N4843" s="3" t="n"/>
      <c r="O4843" s="2" t="n"/>
      <c r="P4843" s="2" t="n"/>
    </row>
    <row r="4844">
      <c r="A4844" s="2" t="n">
        <v>4843</v>
      </c>
      <c r="B4844" s="2" t="inlineStr">
        <is>
          <t>короткая</t>
        </is>
      </c>
      <c r="C4844" s="2" t="n">
        <v>12242</v>
      </c>
      <c r="D4844" s="3" t="inlineStr">
        <is>
          <t>Как прекрасно светит сегодня луна</t>
        </is>
      </c>
      <c r="E4844" s="2" t="n">
        <v>1988</v>
      </c>
      <c r="F4844" s="2" t="inlineStr">
        <is>
          <t>мультфильм</t>
        </is>
      </c>
      <c r="G4844" s="2" t="inlineStr">
        <is>
          <t>Союзмультфильм</t>
        </is>
      </c>
      <c r="H4844" s="2" t="n">
        <v>251</v>
      </c>
      <c r="I4844" s="2" t="inlineStr"/>
      <c r="J4844" s="2" t="inlineStr"/>
      <c r="K4844" s="3" t="inlineStr">
        <is>
          <t>Поэтическая притча о красоте, которая преображает мир и облагораживает любую, даже самую черствую душу. Главный герой фильма — Медведь. Он не желает замечать сам и пытается помешать другим любоваться луной, но все его попытки тщетны перед ее красотой.</t>
        </is>
      </c>
      <c r="L4844" s="2" t="inlineStr">
        <is>
          <t>2026-10_мультфильмы_список_владельца.xlsx; https://animator.ru/db/?p=show_film&amp;fid=3359</t>
        </is>
      </c>
      <c r="M4844" s="2">
        <f>HYPERLINK("https://ru.wikipedia.org/w/index.php?search=%D0%9A%D0%B0%D0%BA%20%D0%BF%D1%80%D0%B5%D0%BA%D1%80%D0%B0%D1%81%D0%BD%D0%BE%20%D1%81%D0%B2%D0%B5%D1%82%D0%B8%D1%82%20%D1%81%D0%B5%D0%B3%D0%BE%D0%B4%D0%BD%D1%8F%20%D0%BB%D1%83%D0%BD%D0%B0%201988%20%D1%84%D0%B8%D0%BB%D1%8C%D0%BC","искать")</f>
        <v/>
      </c>
      <c r="N4844" s="3" t="n"/>
      <c r="O4844" s="2" t="n"/>
      <c r="P4844" s="2" t="n"/>
    </row>
    <row r="4845">
      <c r="A4845" s="2" t="n">
        <v>4844</v>
      </c>
      <c r="B4845" s="2" t="inlineStr">
        <is>
          <t>короткая</t>
        </is>
      </c>
      <c r="C4845" s="2" t="n">
        <v>9996</v>
      </c>
      <c r="D4845" s="3" t="inlineStr">
        <is>
          <t>День рождения</t>
        </is>
      </c>
      <c r="E4845" s="2" t="n">
        <v>1984</v>
      </c>
      <c r="F4845" s="2" t="inlineStr">
        <is>
          <t>телефильм</t>
        </is>
      </c>
      <c r="G4845" s="2" t="inlineStr">
        <is>
          <t>Укртелефильм</t>
        </is>
      </c>
      <c r="H4845" s="2" t="n">
        <v>252</v>
      </c>
      <c r="I4845" s="2" t="inlineStr"/>
      <c r="J4845" s="2" t="inlineStr"/>
      <c r="K4845" s="3" t="inlineStr">
        <is>
          <t>Один из забытых фильмов советского периода ставит присущий советскому кинематографу вопрос о месте каждого человека в жизни... В центре сюжета внук, занимающийся своими делами, и забывающий о своей бабушке. Этому следует справедливый, трагический итог!</t>
        </is>
      </c>
      <c r="L4845" s="2" t="inlineStr">
        <is>
          <t>https://www.kino-teatr.ru/short/movie/sov/83431/annot/</t>
        </is>
      </c>
      <c r="M4845" s="2">
        <f>HYPERLINK("https://ru.wikipedia.org/w/index.php?search=%D0%94%D0%B5%D0%BD%D1%8C%20%D1%80%D0%BE%D0%B6%D0%B4%D0%B5%D0%BD%D0%B8%D1%8F%201984%20%D1%84%D0%B8%D0%BB%D1%8C%D0%BC","искать")</f>
        <v/>
      </c>
      <c r="N4845" s="3" t="n"/>
      <c r="O4845" s="2" t="n"/>
      <c r="P4845" s="2" t="inlineStr">
        <is>
          <t>ГФФ: «ДЕНЬ РОЖДЕНИЯ» 1983 — год отличается, проверить — по сверке другой фильм, не предложено</t>
        </is>
      </c>
    </row>
    <row r="4846">
      <c r="A4846" s="2" t="n">
        <v>4845</v>
      </c>
      <c r="B4846" s="2" t="inlineStr">
        <is>
          <t>короткая</t>
        </is>
      </c>
      <c r="C4846" s="2" t="n">
        <v>12287</v>
      </c>
      <c r="D4846" s="3" t="inlineStr">
        <is>
          <t>Приключения медвежонка Садко</t>
        </is>
      </c>
      <c r="E4846" s="2" t="n">
        <v>1990</v>
      </c>
      <c r="F4846" s="2" t="inlineStr">
        <is>
          <t>мультфильм</t>
        </is>
      </c>
      <c r="G4846" s="2" t="inlineStr">
        <is>
          <t>Союзмультфильм</t>
        </is>
      </c>
      <c r="H4846" s="2" t="n">
        <v>252</v>
      </c>
      <c r="I4846" s="2" t="inlineStr"/>
      <c r="J4846" s="2" t="inlineStr"/>
      <c r="K4846" s="3" t="inlineStr">
        <is>
          <t>Фильм-реклама. Увлекательно и с юмором он рассказывает о путешествии по СССР группы туристов из небольшого европейского города. Туристов в пути сопровождает веселый и гостеприимный медвежонок Садко. Авторы знакомят зрителей с различными уголками Союза.</t>
        </is>
      </c>
      <c r="L4846" s="2" t="inlineStr">
        <is>
          <t>https://animator.ru/db/?p=show_film&amp;fid=3404</t>
        </is>
      </c>
      <c r="M4846" s="2">
        <f>HYPERLINK("https://ru.wikipedia.org/w/index.php?search=%D0%9F%D1%80%D0%B8%D0%BA%D0%BB%D1%8E%D1%87%D0%B5%D0%BD%D0%B8%D1%8F%20%D0%BC%D0%B5%D0%B4%D0%B2%D0%B5%D0%B6%D0%BE%D0%BD%D0%BA%D0%B0%20%D0%A1%D0%B0%D0%B4%D0%BA%D0%BE%201990%20%D1%84%D0%B8%D0%BB%D1%8C%D0%BC","искать")</f>
        <v/>
      </c>
      <c r="N4846" s="3" t="n"/>
      <c r="O4846" s="2" t="n"/>
      <c r="P4846" s="2" t="n"/>
    </row>
    <row r="4847">
      <c r="A4847" s="2" t="n">
        <v>4846</v>
      </c>
      <c r="B4847" s="2" t="inlineStr">
        <is>
          <t>короткая</t>
        </is>
      </c>
      <c r="C4847" s="2" t="n">
        <v>8417</v>
      </c>
      <c r="D4847" s="3" t="inlineStr">
        <is>
          <t>Суд в Ершовке</t>
        </is>
      </c>
      <c r="E4847" s="2" t="n">
        <v>1987</v>
      </c>
      <c r="F4847" s="2" t="inlineStr">
        <is>
          <t>телефильм</t>
        </is>
      </c>
      <c r="G4847" s="2" t="n"/>
      <c r="H4847" s="2" t="n">
        <v>253</v>
      </c>
      <c r="I4847" s="2" t="inlineStr"/>
      <c r="J4847" s="2" t="inlineStr"/>
      <c r="K4847" s="3" t="inlineStr">
        <is>
          <t>По одноименной повести В. Конова. В сельском клубе деревни Ершовка идет суд над Яковом Воробьевым, который обвиняется в умышленном поджоге леса. Постепенно суд превращается в народный сход, на котором честно говорится о пьянстве, процветающем в деревне.</t>
        </is>
      </c>
      <c r="L4847" s="2" t="inlineStr">
        <is>
          <t>Кино_СССР сводный каталог.xlsx: список телефильмов</t>
        </is>
      </c>
      <c r="M4847" s="2">
        <f>HYPERLINK("https://ru.wikipedia.org/w/index.php?search=%D0%A1%D1%83%D0%B4%20%D0%B2%20%D0%95%D1%80%D1%88%D0%BE%D0%B2%D0%BA%D0%B5%201987%20%D1%84%D0%B8%D0%BB%D1%8C%D0%BC","искать")</f>
        <v/>
      </c>
      <c r="N4847" s="3" t="n"/>
      <c r="O4847" s="2" t="n"/>
      <c r="P4847" s="2" t="n"/>
    </row>
    <row r="4848">
      <c r="A4848" s="2" t="n">
        <v>4847</v>
      </c>
      <c r="B4848" s="2" t="inlineStr">
        <is>
          <t>короткая</t>
        </is>
      </c>
      <c r="C4848" s="2" t="n">
        <v>8557</v>
      </c>
      <c r="D4848" s="3" t="inlineStr">
        <is>
          <t>Чёрный, как я</t>
        </is>
      </c>
      <c r="E4848" s="2" t="n">
        <v>1969</v>
      </c>
      <c r="F4848" s="2" t="inlineStr">
        <is>
          <t>телефильм</t>
        </is>
      </c>
      <c r="G4848" s="2" t="n"/>
      <c r="H4848" s="2" t="n">
        <v>253</v>
      </c>
      <c r="I4848" s="2" t="inlineStr"/>
      <c r="J4848" s="2" t="inlineStr"/>
      <c r="K4848" s="3" t="inlineStr">
        <is>
          <t>По документальной книге американского журналиста и социолога Джона Говарда Гриффина "Чёрный, как я / Black Like Me" (1961). Загримированный под чернокожего, Гриффин в полной мере познает бесправное положение таких людей в США в середине двадцатого века.</t>
        </is>
      </c>
      <c r="L4848" s="2" t="inlineStr">
        <is>
          <t>Кино_СССР сводный каталог.xlsx: список телефильмов</t>
        </is>
      </c>
      <c r="M4848" s="2">
        <f>HYPERLINK("https://ru.wikipedia.org/w/index.php?search=%D0%A7%D1%91%D1%80%D0%BD%D1%8B%D0%B9%2C%20%D0%BA%D0%B0%D0%BA%20%D1%8F%201969%20%D1%84%D0%B8%D0%BB%D1%8C%D0%BC","искать")</f>
        <v/>
      </c>
      <c r="N4848" s="3" t="n"/>
      <c r="O4848" s="2" t="n"/>
      <c r="P4848" s="2" t="n"/>
    </row>
    <row r="4849">
      <c r="A4849" s="2" t="n">
        <v>4848</v>
      </c>
      <c r="B4849" s="2" t="inlineStr">
        <is>
          <t>короткая</t>
        </is>
      </c>
      <c r="C4849" s="2" t="n">
        <v>8731</v>
      </c>
      <c r="D4849" s="3" t="inlineStr">
        <is>
          <t>Засада</t>
        </is>
      </c>
      <c r="E4849" s="2" t="n">
        <v>1980</v>
      </c>
      <c r="F4849" s="2" t="inlineStr">
        <is>
          <t>кинофильм</t>
        </is>
      </c>
      <c r="G4849" s="2" t="n"/>
      <c r="H4849" s="2" t="n">
        <v>253</v>
      </c>
      <c r="I4849" s="2" t="inlineStr"/>
      <c r="J4849" s="2" t="inlineStr"/>
      <c r="K4849" s="3" t="inlineStr">
        <is>
          <t>Напряжённая психологическая словесная дуэль двух главных героев, закончившаяся гибелью обоих. Действие происходит в России в годы Великой Отечественной войны. Один из героев - Крюков- служит немцам, второй - Елисеев - борется против немецких оккупантов.</t>
        </is>
      </c>
      <c r="L4849" s="2" t="inlineStr">
        <is>
          <t>Кино_СССР сводный каталог.xlsx: список фильмов (доп.)</t>
        </is>
      </c>
      <c r="M4849" s="2">
        <f>HYPERLINK("https://ru.wikipedia.org/w/index.php?search=%D0%97%D0%B0%D1%81%D0%B0%D0%B4%D0%B0%201980%20%D1%84%D0%B8%D0%BB%D1%8C%D0%BC","искать")</f>
        <v/>
      </c>
      <c r="N4849" s="3" t="n"/>
      <c r="O4849" s="2" t="n"/>
      <c r="P4849" s="2" t="n"/>
    </row>
    <row r="4850">
      <c r="A4850" s="2" t="n">
        <v>4849</v>
      </c>
      <c r="B4850" s="2" t="inlineStr">
        <is>
          <t>короткая</t>
        </is>
      </c>
      <c r="C4850" s="2" t="n">
        <v>9911</v>
      </c>
      <c r="D4850" s="3" t="inlineStr">
        <is>
          <t>Времена года</t>
        </is>
      </c>
      <c r="E4850" s="2" t="n">
        <v>1975</v>
      </c>
      <c r="F4850" s="2" t="inlineStr">
        <is>
          <t>кинофильм</t>
        </is>
      </c>
      <c r="G4850" s="2" t="inlineStr">
        <is>
          <t>Армянская студия</t>
        </is>
      </c>
      <c r="H4850" s="2" t="n">
        <v>253</v>
      </c>
      <c r="I4850" s="2" t="inlineStr"/>
      <c r="J4850" s="2" t="inlineStr"/>
      <c r="K4850" s="3" t="inlineStr">
        <is>
          <t>Фильм повествует о кратком отрезке жизни армянского села величиною в один год. За этот год перед зрителем проносятся различные картины из жизни селян, их борьба со стихией и природой — борьба, в основе которой лежат созидание и бесконечная тяга к жизни.</t>
        </is>
      </c>
      <c r="L4850" s="2" t="inlineStr">
        <is>
          <t>https://www.kino-teatr.ru/short/movie/sov/92803/annot/</t>
        </is>
      </c>
      <c r="M4850" s="2">
        <f>HYPERLINK("https://ru.wikipedia.org/w/index.php?search=%D0%92%D1%80%D0%B5%D0%BC%D0%B5%D0%BD%D0%B0%20%D0%B3%D0%BE%D0%B4%D0%B0%201975%20%D1%84%D0%B8%D0%BB%D1%8C%D0%BC","искать")</f>
        <v/>
      </c>
      <c r="N4850" s="3" t="n"/>
      <c r="O4850" s="2" t="n"/>
      <c r="P4850" s="2" t="n"/>
    </row>
    <row r="4851">
      <c r="A4851" s="2" t="n">
        <v>4850</v>
      </c>
      <c r="B4851" s="2" t="inlineStr">
        <is>
          <t>короткая</t>
        </is>
      </c>
      <c r="C4851" s="2" t="n">
        <v>9980</v>
      </c>
      <c r="D4851" s="3" t="inlineStr">
        <is>
          <t>Чистая доска</t>
        </is>
      </c>
      <c r="E4851" s="2" t="n">
        <v>1981</v>
      </c>
      <c r="F4851" s="2" t="inlineStr">
        <is>
          <t>телефильм</t>
        </is>
      </c>
      <c r="G4851" s="2" t="inlineStr">
        <is>
          <t>Грузинская студия телефильмов</t>
        </is>
      </c>
      <c r="H4851" s="2" t="n">
        <v>253</v>
      </c>
      <c r="I4851" s="2" t="inlineStr"/>
      <c r="J4851" s="2" t="inlineStr"/>
      <c r="K4851" s="3" t="inlineStr">
        <is>
          <t>Шестиклассник Нико разбивает стекло в классе. Учительница хочет вызвать его родителей, но одноклассница провинившегося мальчика Эка пытается спасти его от наказания. Школьники, не поняв истинных намерений Эки, поступают с ней несправедливо. Нико, которы</t>
        </is>
      </c>
      <c r="L4851" s="2" t="inlineStr">
        <is>
          <t>https://www.kino-teatr.ru/short/movie/sov/16520/annot/</t>
        </is>
      </c>
      <c r="M4851" s="2">
        <f>HYPERLINK("https://ru.wikipedia.org/w/index.php?search=%D0%A7%D0%B8%D1%81%D1%82%D0%B0%D1%8F%20%D0%B4%D0%BE%D1%81%D0%BA%D0%B0%201981%20%D1%84%D0%B8%D0%BB%D1%8C%D0%BC","искать")</f>
        <v/>
      </c>
      <c r="N4851" s="3" t="n"/>
      <c r="O4851" s="2" t="n"/>
      <c r="P4851" s="2" t="n"/>
    </row>
    <row r="4852">
      <c r="A4852" s="2" t="n">
        <v>4851</v>
      </c>
      <c r="B4852" s="2" t="inlineStr">
        <is>
          <t>короткая</t>
        </is>
      </c>
      <c r="C4852" s="2" t="n">
        <v>12116</v>
      </c>
      <c r="D4852" s="3" t="inlineStr">
        <is>
          <t>Озеро на дне моря</t>
        </is>
      </c>
      <c r="E4852" s="2" t="n">
        <v>1989</v>
      </c>
      <c r="F4852" s="2" t="inlineStr">
        <is>
          <t>мультфильм</t>
        </is>
      </c>
      <c r="G4852" s="2" t="inlineStr">
        <is>
          <t>Союзмультфильм</t>
        </is>
      </c>
      <c r="H4852" s="2" t="n">
        <v>253</v>
      </c>
      <c r="I4852" s="2" t="inlineStr"/>
      <c r="J4852" s="2" t="inlineStr"/>
      <c r="K4852" s="3" t="inlineStr">
        <is>
          <t>Очередной фильм из серии о дельфинах. В этом фильме Павлова, Тристан, Генри и мальчик Микко находят на дне океана город, построенный таинственной цивилизацией. Открытия чудес подводного города, встреча с амбразурским террористом составляют сюжет фильма.</t>
        </is>
      </c>
      <c r="L4852" s="2" t="inlineStr">
        <is>
          <t>https://animator.ru/db/?p=show_film&amp;fid=3232</t>
        </is>
      </c>
      <c r="M4852" s="2">
        <f>HYPERLINK("https://ru.wikipedia.org/w/index.php?search=%D0%9E%D0%B7%D0%B5%D1%80%D0%BE%20%D0%BD%D0%B0%20%D0%B4%D0%BD%D0%B5%20%D0%BC%D0%BE%D1%80%D1%8F%201989%20%D1%84%D0%B8%D0%BB%D1%8C%D0%BC","искать")</f>
        <v/>
      </c>
      <c r="N4852" s="3" t="n"/>
      <c r="O4852" s="2" t="n"/>
      <c r="P4852" s="2" t="n"/>
    </row>
    <row r="4853">
      <c r="A4853" s="2" t="n">
        <v>4852</v>
      </c>
      <c r="B4853" s="2" t="inlineStr">
        <is>
          <t>короткая</t>
        </is>
      </c>
      <c r="C4853" s="2" t="n">
        <v>12175</v>
      </c>
      <c r="D4853" s="3" t="inlineStr">
        <is>
          <t>Дверь</t>
        </is>
      </c>
      <c r="E4853" s="2" t="n">
        <v>1986</v>
      </c>
      <c r="F4853" s="2" t="inlineStr">
        <is>
          <t>мультфильм</t>
        </is>
      </c>
      <c r="G4853" s="2" t="inlineStr">
        <is>
          <t>Союзмультфильм</t>
        </is>
      </c>
      <c r="H4853" s="2" t="n">
        <v>253</v>
      </c>
      <c r="I4853" s="2" t="inlineStr"/>
      <c r="J4853" s="2" t="inlineStr"/>
      <c r="K4853" s="3" t="inlineStr">
        <is>
          <t>Эксцентрическая комедия по мотивам рассказа Т. Пономаревой, обличающая инертность, косность, безынициативность. Сюжет построен на ситуации, когда жильцы, не могут починить дверь дома, входят и выходят через окна, и делают это, даже когда дверь починили.</t>
        </is>
      </c>
      <c r="L4853" s="2" t="inlineStr">
        <is>
          <t>2026-10_мультфильмы_список_владельца.xlsx; https://animator.ru/db/?p=show_film&amp;fid=3291</t>
        </is>
      </c>
      <c r="M4853" s="2">
        <f>HYPERLINK("https://ru.wikipedia.org/w/index.php?search=%D0%94%D0%B2%D0%B5%D1%80%D1%8C%201986%20%D1%84%D0%B8%D0%BB%D1%8C%D0%BC","искать")</f>
        <v/>
      </c>
      <c r="N4853" s="3" t="n"/>
      <c r="O4853" s="2" t="n"/>
      <c r="P4853" s="2" t="n"/>
    </row>
    <row r="4854">
      <c r="A4854" s="2" t="n">
        <v>4853</v>
      </c>
      <c r="B4854" s="2" t="inlineStr">
        <is>
          <t>короткая</t>
        </is>
      </c>
      <c r="C4854" s="2" t="n">
        <v>12294</v>
      </c>
      <c r="D4854" s="3" t="inlineStr">
        <is>
          <t>Счастливый старт 4</t>
        </is>
      </c>
      <c r="E4854" s="2" t="n">
        <v>1990</v>
      </c>
      <c r="F4854" s="2" t="inlineStr">
        <is>
          <t>мультфильм</t>
        </is>
      </c>
      <c r="G4854" s="2" t="inlineStr">
        <is>
          <t>Союзмультфильм</t>
        </is>
      </c>
      <c r="H4854" s="2" t="n">
        <v>253</v>
      </c>
      <c r="I4854" s="2" t="inlineStr"/>
      <c r="J4854" s="2" t="inlineStr"/>
      <c r="K4854" s="3" t="inlineStr">
        <is>
          <t>Очередная картина из пародийно-развлекательного цкла картин, герои которых - дельфины. В этом фильме дельфиниха Павлова помогает своему другу Тристану снова обрести свободу, а тот, вырвавшись из клетки, демонстрирует чудеса ловкости и сообразительности.</t>
        </is>
      </c>
      <c r="L4854" s="2" t="inlineStr">
        <is>
          <t>https://animator.ru/db/?p=show_film&amp;fid=3411</t>
        </is>
      </c>
      <c r="M4854" s="2">
        <f>HYPERLINK("https://ru.wikipedia.org/w/index.php?search=%D0%A1%D1%87%D0%B0%D1%81%D1%82%D0%BB%D0%B8%D0%B2%D1%8B%D0%B9%20%D1%81%D1%82%D0%B0%D1%80%D1%82%204%201990%20%D1%84%D0%B8%D0%BB%D1%8C%D0%BC","искать")</f>
        <v/>
      </c>
      <c r="N4854" s="3" t="n"/>
      <c r="O4854" s="2" t="n"/>
      <c r="P4854" s="2" t="n"/>
    </row>
    <row r="4855">
      <c r="A4855" s="2" t="n">
        <v>4854</v>
      </c>
      <c r="B4855" s="2" t="inlineStr">
        <is>
          <t>короткая</t>
        </is>
      </c>
      <c r="C4855" s="2" t="n">
        <v>7230</v>
      </c>
      <c r="D4855" s="3" t="inlineStr">
        <is>
          <t>Бабушка для всех</t>
        </is>
      </c>
      <c r="E4855" s="2" t="n">
        <v>1987</v>
      </c>
      <c r="F4855" s="2" t="inlineStr">
        <is>
          <t>телефильм</t>
        </is>
      </c>
      <c r="G4855" s="2" t="inlineStr">
        <is>
          <t>Грузия-фильм, Второе творческое объединение</t>
        </is>
      </c>
      <c r="H4855" s="2" t="n">
        <v>254</v>
      </c>
      <c r="I4855" s="2" t="inlineStr"/>
      <c r="J4855" s="2" t="inlineStr"/>
      <c r="K4855" s="3" t="inlineStr">
        <is>
          <t>ბებია ყველასატვისი Детский танцевальный ансамбль готовится к республиканскому конкурсу. Кетеван, бабушка одного из маленьких танцоров, не жалея сил, помогает ребятам. Ансамбль становится лауреатом конкурса и его отправляют в гастрольную поездку за рубеж.</t>
        </is>
      </c>
      <c r="L4855" s="2" t="inlineStr">
        <is>
          <t>Кино_СССР сводный каталог.xlsx: список телефильмов</t>
        </is>
      </c>
      <c r="M4855" s="2">
        <f>HYPERLINK("https://ru.wikipedia.org/w/index.php?search=%D0%91%D0%B0%D0%B1%D1%83%D1%88%D0%BA%D0%B0%20%D0%B4%D0%BB%D1%8F%20%D0%B2%D1%81%D0%B5%D1%85%201987%20%D1%84%D0%B8%D0%BB%D1%8C%D0%BC","искать")</f>
        <v/>
      </c>
      <c r="N4855" s="3" t="n"/>
      <c r="O4855" s="2" t="n"/>
      <c r="P4855" s="2" t="n"/>
    </row>
    <row r="4856">
      <c r="A4856" s="2" t="n">
        <v>4855</v>
      </c>
      <c r="B4856" s="2" t="inlineStr">
        <is>
          <t>короткая</t>
        </is>
      </c>
      <c r="C4856" s="2" t="n">
        <v>8035</v>
      </c>
      <c r="D4856" s="3" t="inlineStr">
        <is>
          <t>Однажды в декабре</t>
        </is>
      </c>
      <c r="E4856" s="2" t="n">
        <v>1988</v>
      </c>
      <c r="F4856" s="2" t="inlineStr">
        <is>
          <t>телефильм</t>
        </is>
      </c>
      <c r="G4856" s="2" t="n"/>
      <c r="H4856" s="2" t="n">
        <v>254</v>
      </c>
      <c r="I4856" s="2" t="inlineStr"/>
      <c r="J4856" s="2" t="inlineStr"/>
      <c r="K4856" s="3" t="inlineStr">
        <is>
          <t>По рассказу Ю.Щербака «Гармоническое вдохновение». Герои фильма встречаются на концерте в Киевской филармонии. В жизнь каждого из четырех людей входит этот декабрьский вечер с удивительной музыкой Вивальди, которая помогает им вспомнить и понять прошлое.</t>
        </is>
      </c>
      <c r="L4856" s="2" t="inlineStr">
        <is>
          <t>Кино_СССР сводный каталог.xlsx: список телефильмов</t>
        </is>
      </c>
      <c r="M4856" s="2">
        <f>HYPERLINK("https://ru.wikipedia.org/w/index.php?search=%D0%9E%D0%B4%D0%BD%D0%B0%D0%B6%D0%B4%D1%8B%20%D0%B2%20%D0%B4%D0%B5%D0%BA%D0%B0%D0%B1%D1%80%D0%B5%201988%20%D1%84%D0%B8%D0%BB%D1%8C%D0%BC","искать")</f>
        <v/>
      </c>
      <c r="N4856" s="3" t="n"/>
      <c r="O4856" s="2" t="n"/>
      <c r="P4856" s="2" t="n"/>
    </row>
    <row r="4857">
      <c r="A4857" s="2" t="n">
        <v>4856</v>
      </c>
      <c r="B4857" s="2" t="inlineStr">
        <is>
          <t>короткая</t>
        </is>
      </c>
      <c r="C4857" s="2" t="n">
        <v>8106</v>
      </c>
      <c r="D4857" s="3" t="inlineStr">
        <is>
          <t>Песня всегда с нами</t>
        </is>
      </c>
      <c r="E4857" s="2" t="n">
        <v>1975</v>
      </c>
      <c r="F4857" s="2" t="inlineStr">
        <is>
          <t>телефильм</t>
        </is>
      </c>
      <c r="G4857" s="2" t="n"/>
      <c r="H4857" s="2" t="n">
        <v>254</v>
      </c>
      <c r="I4857" s="2" t="inlineStr"/>
      <c r="J4857" s="2" t="inlineStr"/>
      <c r="K4857" s="3" t="inlineStr">
        <is>
          <t>Молодая прекрасная певица начинает концерт в открытом музыкальном клубе горного курорта. Этот автобиографический сценарий описывает настоящие украинские и молдавские корни Софии Ротару в природном пейзаже мелодичной атмосферы Буковины в Западной Украине.</t>
        </is>
      </c>
      <c r="L4857" s="2" t="inlineStr">
        <is>
          <t>Кино_СССР сводный каталог.xlsx: список телефильмов</t>
        </is>
      </c>
      <c r="M4857" s="2">
        <f>HYPERLINK("https://ru.wikipedia.org/w/index.php?search=%D0%9F%D0%B5%D1%81%D0%BD%D1%8F%20%D0%B2%D1%81%D0%B5%D0%B3%D0%B4%D0%B0%20%D1%81%20%D0%BD%D0%B0%D0%BC%D0%B8%201975%20%D1%84%D0%B8%D0%BB%D1%8C%D0%BC","искать")</f>
        <v/>
      </c>
      <c r="N4857" s="3" t="n"/>
      <c r="O4857" s="2" t="n"/>
      <c r="P4857" s="2" t="n"/>
    </row>
    <row r="4858">
      <c r="A4858" s="2" t="n">
        <v>4857</v>
      </c>
      <c r="B4858" s="2" t="inlineStr">
        <is>
          <t>короткая</t>
        </is>
      </c>
      <c r="C4858" s="2" t="n">
        <v>8447</v>
      </c>
      <c r="D4858" s="3" t="inlineStr">
        <is>
          <t>Театральный сезон</t>
        </is>
      </c>
      <c r="E4858" s="2" t="n">
        <v>1989</v>
      </c>
      <c r="F4858" s="2" t="inlineStr">
        <is>
          <t>телефильм</t>
        </is>
      </c>
      <c r="G4858" s="2" t="n"/>
      <c r="H4858" s="2" t="n">
        <v>254</v>
      </c>
      <c r="I4858" s="2" t="inlineStr"/>
      <c r="J4858" s="2" t="inlineStr"/>
      <c r="K4858" s="3" t="inlineStr">
        <is>
          <t>В центре фильма – история любви журналистки Елены Голициной и актера Сергея Муратова. Их связывает большое взаимное чувство, но у Сергея есть жена и сын. Понимая, что Елена – его единственная настоящая любовь, Муратов все-таки не решается оставить семью.</t>
        </is>
      </c>
      <c r="L4858" s="2" t="inlineStr">
        <is>
          <t>Кино_СССР сводный каталог.xlsx: список телефильмов</t>
        </is>
      </c>
      <c r="M4858" s="2">
        <f>HYPERLINK("https://ru.wikipedia.org/w/index.php?search=%D0%A2%D0%B5%D0%B0%D1%82%D1%80%D0%B0%D0%BB%D1%8C%D0%BD%D1%8B%D0%B9%20%D1%81%D0%B5%D0%B7%D0%BE%D0%BD%201989%20%D1%84%D0%B8%D0%BB%D1%8C%D0%BC","искать")</f>
        <v/>
      </c>
      <c r="N4858" s="3" t="n"/>
      <c r="O4858" s="2" t="n"/>
      <c r="P4858" s="2" t="n"/>
    </row>
    <row r="4859">
      <c r="A4859" s="2" t="n">
        <v>4858</v>
      </c>
      <c r="B4859" s="2" t="inlineStr">
        <is>
          <t>короткая</t>
        </is>
      </c>
      <c r="C4859" s="2" t="n">
        <v>10074</v>
      </c>
      <c r="D4859" s="3" t="inlineStr">
        <is>
          <t>Особый подход</t>
        </is>
      </c>
      <c r="E4859" s="2" t="n">
        <v>1959</v>
      </c>
      <c r="F4859" s="2" t="inlineStr">
        <is>
          <t>фильм-спектакль</t>
        </is>
      </c>
      <c r="G4859" s="2" t="inlineStr">
        <is>
          <t>Мосфильм</t>
        </is>
      </c>
      <c r="H4859" s="2" t="n">
        <v>254</v>
      </c>
      <c r="I4859" s="2" t="inlineStr"/>
      <c r="J4859" s="2" t="inlineStr"/>
      <c r="K4859" s="3" t="inlineStr">
        <is>
          <t>Музыкальный фильм о бескомпромиссной борьбе против строительства новой дороги через прекрасный фруктовый сад, расположенный на территории детского сада. По разные стороны баррикад в битве против разгула бюрократизма за права детей оказались герои фильма.</t>
        </is>
      </c>
      <c r="L4859" s="2" t="inlineStr">
        <is>
          <t>https://www.kino-teatr.ru/teatr/movie/9348/annot/</t>
        </is>
      </c>
      <c r="M4859" s="2">
        <f>HYPERLINK("https://ru.wikipedia.org/w/index.php?search=%D0%9E%D1%81%D0%BE%D0%B1%D1%8B%D0%B9%20%D0%BF%D0%BE%D0%B4%D1%85%D0%BE%D0%B4%201959%20%D1%84%D0%B8%D0%BB%D1%8C%D0%BC","искать")</f>
        <v/>
      </c>
      <c r="N4859" s="3" t="n"/>
      <c r="O4859" s="2" t="n"/>
      <c r="P4859" s="2" t="n"/>
    </row>
    <row r="4860">
      <c r="A4860" s="2" t="n">
        <v>4859</v>
      </c>
      <c r="B4860" s="2" t="inlineStr">
        <is>
          <t>короткая</t>
        </is>
      </c>
      <c r="C4860" s="2" t="n">
        <v>10584</v>
      </c>
      <c r="D4860" s="3" t="inlineStr">
        <is>
          <t>Про мальчика, бабушку-газетчицу и разбитые очки</t>
        </is>
      </c>
      <c r="E4860" s="2" t="n">
        <v>1974</v>
      </c>
      <c r="F4860" s="2" t="inlineStr">
        <is>
          <t>фильм-спектакль</t>
        </is>
      </c>
      <c r="G4860" s="2" t="inlineStr">
        <is>
          <t>Центральное телевидение</t>
        </is>
      </c>
      <c r="H4860" s="2" t="n">
        <v>254</v>
      </c>
      <c r="I4860" s="2" t="inlineStr"/>
      <c r="J4860" s="2" t="inlineStr"/>
      <c r="K4860" s="3" t="inlineStr">
        <is>
          <t>На улице сильный мороз и никто не гуляет, а маленький мальчик пошел в газетный киоск за переводными картинками. Но бабушка-газетчица не может работать, она разбила очки.
История о маленьком мальчике, который помог бабушке-газетчице найти потерянные очки.</t>
        </is>
      </c>
      <c r="L4860" s="2" t="inlineStr">
        <is>
          <t>https://www.kino-teatr.ru/teatr/movie/107377/annot/</t>
        </is>
      </c>
      <c r="M4860" s="2">
        <f>HYPERLINK("https://ru.wikipedia.org/w/index.php?search=%D0%9F%D1%80%D0%BE%20%D0%BC%D0%B0%D0%BB%D1%8C%D1%87%D0%B8%D0%BA%D0%B0%2C%20%D0%B1%D0%B0%D0%B1%D1%83%D1%88%D0%BA%D1%83-%D0%B3%D0%B0%D0%B7%D0%B5%D1%82%D1%87%D0%B8%D1%86%D1%83%20%D0%B8%20%D1%80%D0%B0%D0%B7%D0%B1%D0%B8%D1%82%D1%8B%D0%B5%20%D0%BE%D1%87%D0%BA%D0%B8%201974%20%D1%84%D0%B8%D0%BB%D1%8C%D0%BC","искать")</f>
        <v/>
      </c>
      <c r="N4860" s="3" t="n"/>
      <c r="O4860" s="2" t="n"/>
      <c r="P4860" s="2" t="n"/>
    </row>
    <row r="4861">
      <c r="A4861" s="2" t="n">
        <v>4860</v>
      </c>
      <c r="B4861" s="2" t="inlineStr">
        <is>
          <t>короткая</t>
        </is>
      </c>
      <c r="C4861" s="2" t="n">
        <v>10984</v>
      </c>
      <c r="D4861" s="3" t="inlineStr">
        <is>
          <t>Вознаграждение - 1000 франков</t>
        </is>
      </c>
      <c r="E4861" s="2" t="n">
        <v>1983</v>
      </c>
      <c r="F4861" s="2" t="inlineStr">
        <is>
          <t>фильм-спектакль</t>
        </is>
      </c>
      <c r="G4861" s="2" t="inlineStr">
        <is>
          <t>Главная редакция литературно-драматических программ ЦТ</t>
        </is>
      </c>
      <c r="H4861" s="2" t="n">
        <v>254</v>
      </c>
      <c r="I4861" s="2" t="inlineStr"/>
      <c r="J4861" s="2" t="inlineStr"/>
      <c r="K4861" s="3" t="inlineStr">
        <is>
          <t>По мотивам одноименной пьесы французского писателя Виктора Гюго.
Париж. Зима 182… года.
Вор Глапье пытается скрыться от полиции. Ему помогает молодая девушка Сиприена, семья которой обнищала и находится в руках шантажистов. Глапье решает помочь Сиприене.</t>
        </is>
      </c>
      <c r="L4861" s="2" t="inlineStr">
        <is>
          <t>https://www.kino-teatr.ru/teatr/movie/12143/annot/</t>
        </is>
      </c>
      <c r="M4861" s="2">
        <f>HYPERLINK("https://ru.wikipedia.org/w/index.php?search=%D0%92%D0%BE%D0%B7%D0%BD%D0%B0%D0%B3%D1%80%D0%B0%D0%B6%D0%B4%D0%B5%D0%BD%D0%B8%D0%B5%20-%201000%20%D1%84%D1%80%D0%B0%D0%BD%D0%BA%D0%BE%D0%B2%201983%20%D1%84%D0%B8%D0%BB%D1%8C%D0%BC","искать")</f>
        <v/>
      </c>
      <c r="N4861" s="3" t="n"/>
      <c r="O4861" s="2" t="n"/>
      <c r="P4861" s="2" t="n"/>
    </row>
    <row r="4862">
      <c r="A4862" s="2" t="n">
        <v>4861</v>
      </c>
      <c r="B4862" s="2" t="inlineStr">
        <is>
          <t>короткая</t>
        </is>
      </c>
      <c r="C4862" s="2" t="n">
        <v>11083</v>
      </c>
      <c r="D4862" s="3" t="inlineStr">
        <is>
          <t>Союзник пролетариата</t>
        </is>
      </c>
      <c r="E4862" s="2" t="n">
        <v>1985</v>
      </c>
      <c r="F4862" s="2" t="inlineStr">
        <is>
          <t>фильм-спектакль</t>
        </is>
      </c>
      <c r="G4862" s="2" t="inlineStr">
        <is>
          <t>Главная редакция научно-популярных и учебных программ ЦТ</t>
        </is>
      </c>
      <c r="H4862" s="2" t="n">
        <v>254</v>
      </c>
      <c r="I4862" s="2" t="inlineStr"/>
      <c r="J4862" s="2" t="inlineStr"/>
      <c r="K4862" s="3" t="inlineStr">
        <is>
          <t>О подлинных событиях 1905 года - создании в деревне Марково крестьянской республики. В телеспектакле рассказывается о реальных деятелях Марковской республики: волостном старшине Иване Рыжове, агрономе Алексее Зубрилине, писателе Сергее Сёменове и других.</t>
        </is>
      </c>
      <c r="L4862" s="2" t="inlineStr">
        <is>
          <t>https://www.kino-teatr.ru/teatr/movie/107358/annot/</t>
        </is>
      </c>
      <c r="M4862" s="2">
        <f>HYPERLINK("https://ru.wikipedia.org/w/index.php?search=%D0%A1%D0%BE%D1%8E%D0%B7%D0%BD%D0%B8%D0%BA%20%D0%BF%D1%80%D0%BE%D0%BB%D0%B5%D1%82%D0%B0%D1%80%D0%B8%D0%B0%D1%82%D0%B0%201985%20%D1%84%D0%B8%D0%BB%D1%8C%D0%BC","искать")</f>
        <v/>
      </c>
      <c r="N4862" s="3" t="n"/>
      <c r="O4862" s="2" t="n"/>
      <c r="P4862" s="2" t="n"/>
    </row>
    <row r="4863">
      <c r="A4863" s="2" t="n">
        <v>4862</v>
      </c>
      <c r="B4863" s="2" t="inlineStr">
        <is>
          <t>короткая</t>
        </is>
      </c>
      <c r="C4863" s="2" t="n">
        <v>12064</v>
      </c>
      <c r="D4863" s="3" t="inlineStr">
        <is>
          <t>Чебурашка идет в школу</t>
        </is>
      </c>
      <c r="E4863" s="2" t="n">
        <v>1983</v>
      </c>
      <c r="F4863" s="2" t="inlineStr">
        <is>
          <t>мультфильм</t>
        </is>
      </c>
      <c r="G4863" s="2" t="inlineStr">
        <is>
          <t>Союзмультфильм</t>
        </is>
      </c>
      <c r="H4863" s="2" t="n">
        <v>254</v>
      </c>
      <c r="I4863" s="2" t="inlineStr"/>
      <c r="J4863" s="2" t="inlineStr"/>
      <c r="K4863" s="3" t="inlineStr">
        <is>
          <t>Крокодил Гена выясняет, что Чебурашка не умеет читать и хочет устроить его в школу. Им неожиданно помогает старуха Шапокляк, которая устраивает срочное завершение ремонта школы к первому сентября. Крокодил Гена становится преподавателем по живой природе.</t>
        </is>
      </c>
      <c r="L4863" s="2" t="inlineStr">
        <is>
          <t>https://animator.ru/db/?p=show_film&amp;fid=3179</t>
        </is>
      </c>
      <c r="M4863" s="2">
        <f>HYPERLINK("https://ru.wikipedia.org/w/index.php?search=%D0%A7%D0%B5%D0%B1%D1%83%D1%80%D0%B0%D1%88%D0%BA%D0%B0%20%D0%B8%D0%B4%D0%B5%D1%82%20%D0%B2%20%D1%88%D0%BA%D0%BE%D0%BB%D1%83%201983%20%D1%84%D0%B8%D0%BB%D1%8C%D0%BC","искать")</f>
        <v/>
      </c>
      <c r="N4863" s="3" t="n"/>
      <c r="O4863" s="2" t="n"/>
      <c r="P4863" s="2" t="n"/>
    </row>
    <row r="4864">
      <c r="A4864" s="2" t="n">
        <v>4863</v>
      </c>
      <c r="B4864" s="2" t="inlineStr">
        <is>
          <t>короткая</t>
        </is>
      </c>
      <c r="C4864" s="2" t="n">
        <v>12087</v>
      </c>
      <c r="D4864" s="3" t="inlineStr">
        <is>
          <t>Охотник до сказок</t>
        </is>
      </c>
      <c r="E4864" s="2" t="n">
        <v>1984</v>
      </c>
      <c r="F4864" s="2" t="inlineStr">
        <is>
          <t>мультфильм</t>
        </is>
      </c>
      <c r="G4864" s="2" t="inlineStr">
        <is>
          <t>Союзмультфильм</t>
        </is>
      </c>
      <c r="H4864" s="2" t="n">
        <v>254</v>
      </c>
      <c r="I4864" s="2" t="inlineStr"/>
      <c r="J4864" s="2" t="inlineStr"/>
      <c r="K4864" s="3" t="inlineStr">
        <is>
          <t>По мотивам сказки К. Ушинского и русских народных сказок о том, как смышленый солдат проучил вздорного, капризного старика, требовавшего, чтобы ему перед сном рассказывали небылицы. В фильме использована музыка в исполнении фолклорного ансамбля "Былина".</t>
        </is>
      </c>
      <c r="L4864" s="2" t="inlineStr">
        <is>
          <t>https://animator.ru/db/?p=show_film&amp;fid=3203</t>
        </is>
      </c>
      <c r="M4864" s="2">
        <f>HYPERLINK("https://ru.wikipedia.org/w/index.php?search=%D0%9E%D1%85%D0%BE%D1%82%D0%BD%D0%B8%D0%BA%20%D0%B4%D0%BE%20%D1%81%D0%BA%D0%B0%D0%B7%D0%BE%D0%BA%201984%20%D1%84%D0%B8%D0%BB%D1%8C%D0%BC","искать")</f>
        <v/>
      </c>
      <c r="N4864" s="3" t="n"/>
      <c r="O4864" s="2" t="n"/>
      <c r="P4864" s="2" t="n"/>
    </row>
    <row r="4865">
      <c r="A4865" s="2" t="n">
        <v>4864</v>
      </c>
      <c r="B4865" s="2" t="inlineStr">
        <is>
          <t>короткая</t>
        </is>
      </c>
      <c r="C4865" s="2" t="n">
        <v>12277</v>
      </c>
      <c r="D4865" s="3" t="inlineStr">
        <is>
          <t>Когда-то давно</t>
        </is>
      </c>
      <c r="E4865" s="2" t="n">
        <v>1990</v>
      </c>
      <c r="F4865" s="2" t="inlineStr">
        <is>
          <t>мультфильм</t>
        </is>
      </c>
      <c r="G4865" s="2" t="inlineStr">
        <is>
          <t>Союзмультфильм</t>
        </is>
      </c>
      <c r="H4865" s="2" t="n">
        <v>254</v>
      </c>
      <c r="I4865" s="2" t="inlineStr"/>
      <c r="J4865" s="2" t="inlineStr"/>
      <c r="K4865" s="3" t="inlineStr">
        <is>
          <t>В сказочно-фантастическом городе появился страшный Змий, уносящий каждый год лучшую девушку. Однажды Змий унес Кору, невесту Зора. Зор проник в чрево Змия, где нашел целый гармоничный мир и где жила Кора. Зор убил юношу, хозяина монстра, но потерял Кору.</t>
        </is>
      </c>
      <c r="L4865" s="2" t="inlineStr">
        <is>
          <t>https://animator.ru/db/?p=show_film&amp;fid=3394</t>
        </is>
      </c>
      <c r="M4865" s="2">
        <f>HYPERLINK("https://ru.wikipedia.org/w/index.php?search=%D0%9A%D0%BE%D0%B3%D0%B4%D0%B0-%D1%82%D0%BE%20%D0%B4%D0%B0%D0%B2%D0%BD%D0%BE%201990%20%D1%84%D0%B8%D0%BB%D1%8C%D0%BC","искать")</f>
        <v/>
      </c>
      <c r="N4865" s="3" t="n"/>
      <c r="O4865" s="2" t="n"/>
      <c r="P4865" s="2" t="n"/>
    </row>
    <row r="4866">
      <c r="A4866" s="2" t="n">
        <v>4865</v>
      </c>
      <c r="B4866" s="2" t="inlineStr">
        <is>
          <t>короткая</t>
        </is>
      </c>
      <c r="C4866" s="2" t="n">
        <v>8470</v>
      </c>
      <c r="D4866" s="3" t="inlineStr">
        <is>
          <t>Трест, который лопнул</t>
        </is>
      </c>
      <c r="E4866" s="2" t="n">
        <v>1982</v>
      </c>
      <c r="F4866" s="2" t="inlineStr">
        <is>
          <t>телефильм</t>
        </is>
      </c>
      <c r="G4866" s="2" t="n"/>
      <c r="H4866" s="2" t="n">
        <v>255</v>
      </c>
      <c r="I4866" s="2" t="inlineStr"/>
      <c r="J4866" s="2" t="inlineStr"/>
      <c r="K4866" s="3" t="inlineStr">
        <is>
          <t>Приключения двух очаровательных мошенников, живущих за счет доверчивых простаков, знаменитых благодаря великому писателю О.Генри. Не все и не всегда им удается так, как они задумали первоначально, но сколько выдумки в их остроумном поиске хлеба насущного.</t>
        </is>
      </c>
      <c r="L4866" s="2" t="inlineStr">
        <is>
          <t>Кино_СССР сводный каталог.xlsx: список телефильмов</t>
        </is>
      </c>
      <c r="M4866" s="2">
        <f>HYPERLINK("https://ru.wikipedia.org/w/index.php?search=%D0%A2%D1%80%D0%B5%D1%81%D1%82%2C%20%D0%BA%D0%BE%D1%82%D0%BE%D1%80%D1%8B%D0%B9%20%D0%BB%D0%BE%D0%BF%D0%BD%D1%83%D0%BB%201982%20%D1%84%D0%B8%D0%BB%D1%8C%D0%BC","искать")</f>
        <v/>
      </c>
      <c r="N4866" s="3" t="n"/>
      <c r="O4866" s="2" t="n"/>
      <c r="P4866" s="2" t="n"/>
    </row>
    <row r="4867">
      <c r="A4867" s="2" t="n">
        <v>4866</v>
      </c>
      <c r="B4867" s="2" t="inlineStr">
        <is>
          <t>короткая</t>
        </is>
      </c>
      <c r="C4867" s="2" t="n">
        <v>12300</v>
      </c>
      <c r="D4867" s="3" t="inlineStr">
        <is>
          <t>Яблочный пирог</t>
        </is>
      </c>
      <c r="E4867" s="2" t="n">
        <v>1991</v>
      </c>
      <c r="F4867" s="2" t="inlineStr">
        <is>
          <t>мультфильм</t>
        </is>
      </c>
      <c r="G4867" s="2" t="inlineStr">
        <is>
          <t>Союзмультфильм</t>
        </is>
      </c>
      <c r="H4867" s="2" t="n">
        <v>255</v>
      </c>
      <c r="I4867" s="2" t="inlineStr"/>
      <c r="J4867" s="2" t="inlineStr"/>
      <c r="K4867" s="3" t="inlineStr">
        <is>
          <t>В фильме, по мотивам сказки Дж. Эйкен, рассказывается история путешествия на яблочном пироге, в который хозяйка случайно запекла кусочек неба. Гостеприимные хозяева летающего пирога собирают разношерстую компанию, воплощающую дружелюбие и взаимопонимание.</t>
        </is>
      </c>
      <c r="L4867" s="2" t="inlineStr">
        <is>
          <t>https://animator.ru/db/?p=show_film&amp;fid=3417</t>
        </is>
      </c>
      <c r="M4867" s="2">
        <f>HYPERLINK("https://ru.wikipedia.org/w/index.php?search=%D0%AF%D0%B1%D0%BB%D0%BE%D1%87%D0%BD%D1%8B%D0%B9%20%D0%BF%D0%B8%D1%80%D0%BE%D0%B3%201991%20%D1%84%D0%B8%D0%BB%D1%8C%D0%BC","искать")</f>
        <v/>
      </c>
      <c r="N4867" s="3" t="n"/>
      <c r="O4867" s="2" t="n"/>
      <c r="P4867" s="2" t="n"/>
    </row>
    <row r="4868">
      <c r="A4868" s="2" t="n">
        <v>4867</v>
      </c>
      <c r="B4868" s="2" t="inlineStr">
        <is>
          <t>короткая</t>
        </is>
      </c>
      <c r="C4868" s="2" t="n">
        <v>12836</v>
      </c>
      <c r="D4868" s="3" t="inlineStr">
        <is>
          <t>Приключения суеверного человека (Лотерейный билет)</t>
        </is>
      </c>
      <c r="E4868" s="2" t="n">
        <v>1968</v>
      </c>
      <c r="F4868" s="2" t="inlineStr">
        <is>
          <t>мультфильм</t>
        </is>
      </c>
      <c r="G4868" s="2" t="inlineStr">
        <is>
          <t>ГРУЗИЯ-ФИЛЬМ - АО</t>
        </is>
      </c>
      <c r="H4868" s="2" t="n">
        <v>255</v>
      </c>
      <c r="I4868" s="2" t="inlineStr"/>
      <c r="J4868" s="2" t="inlineStr"/>
      <c r="K4868" s="3" t="inlineStr">
        <is>
          <t>Находящийся в плену суеверий Ипполите опасается перехода пути черной кошкой, считает несчастливым номер тринадцать на лотерейном билете...однако именно по этому билету он выигрывает автомашину, а встреча с черной кошкой помогает ему найти семейное счастье</t>
        </is>
      </c>
      <c r="L4868" s="2" t="inlineStr">
        <is>
          <t>https://gosfilmofond.ru/films/254282/</t>
        </is>
      </c>
      <c r="M4868" s="2">
        <f>HYPERLINK("https://ru.wikipedia.org/w/index.php?search=%D0%9F%D1%80%D0%B8%D0%BA%D0%BB%D1%8E%D1%87%D0%B5%D0%BD%D0%B8%D1%8F%20%D1%81%D1%83%D0%B5%D0%B2%D0%B5%D1%80%D0%BD%D0%BE%D0%B3%D0%BE%20%D1%87%D0%B5%D0%BB%D0%BE%D0%B2%D0%B5%D0%BA%D0%B0%20%28%D0%9B%D0%BE%D1%82%D0%B5%D1%80%D0%B5%D0%B9%D0%BD%D1%8B%D0%B9%20%D0%B1%D0%B8%D0%BB%D0%B5%D1%82%29%201968%20%D1%84%D0%B8%D0%BB%D1%8C%D0%BC","искать")</f>
        <v/>
      </c>
      <c r="N4868" s="3" t="n"/>
      <c r="O4868" s="2" t="n"/>
      <c r="P4868" s="2" t="n"/>
    </row>
    <row r="4869">
      <c r="A4869" s="2" t="n">
        <v>4868</v>
      </c>
      <c r="B4869" s="2" t="inlineStr">
        <is>
          <t>короткая</t>
        </is>
      </c>
      <c r="C4869" s="2" t="n">
        <v>13421</v>
      </c>
      <c r="D4869" s="3" t="inlineStr">
        <is>
          <t>Клад кота Леопольда</t>
        </is>
      </c>
      <c r="E4869" s="2" t="n">
        <v>1981</v>
      </c>
      <c r="F4869" s="2" t="inlineStr">
        <is>
          <t>мультфильм</t>
        </is>
      </c>
      <c r="G4869" s="2" t="inlineStr">
        <is>
          <t>ЭКРАН</t>
        </is>
      </c>
      <c r="H4869" s="2" t="n">
        <v>255</v>
      </c>
      <c r="I4869" s="2" t="inlineStr"/>
      <c r="J4869" s="2" t="inlineStr"/>
      <c r="K4869" s="3" t="inlineStr">
        <is>
          <t>Популярный мультсериал о добродушном и разумном коте Леопольде, который из фильма в фильм призывает шкодливых мышат "жить дружно", а те искренне просят прощения, но к следующей серии благополучно забывают об этом и с удовольствием продолжают проказничать.</t>
        </is>
      </c>
      <c r="L4869" s="2" t="inlineStr">
        <is>
          <t>2026-10_мультфильмы_список_владельца.xlsx; https://animator.ru/db/?p=show_film&amp;fid=4702</t>
        </is>
      </c>
      <c r="M4869" s="2">
        <f>HYPERLINK("https://ru.wikipedia.org/w/index.php?search=%D0%9A%D0%BB%D0%B0%D0%B4%20%D0%BA%D0%BE%D1%82%D0%B0%20%D0%9B%D0%B5%D0%BE%D0%BF%D0%BE%D0%BB%D1%8C%D0%B4%D0%B0%201981%20%D1%84%D0%B8%D0%BB%D1%8C%D0%BC","искать")</f>
        <v/>
      </c>
      <c r="N4869" s="3" t="n"/>
      <c r="O4869" s="2" t="n"/>
      <c r="P4869" s="2" t="n"/>
    </row>
    <row r="4870">
      <c r="A4870" s="2" t="n">
        <v>4869</v>
      </c>
      <c r="B4870" s="2" t="inlineStr">
        <is>
          <t>короткая</t>
        </is>
      </c>
      <c r="C4870" s="2" t="n">
        <v>7679</v>
      </c>
      <c r="D4870" s="3" t="inlineStr">
        <is>
          <t>Из жизни земского врача</t>
        </is>
      </c>
      <c r="E4870" s="2" t="n">
        <v>1984</v>
      </c>
      <c r="F4870" s="2" t="inlineStr">
        <is>
          <t>телефильм</t>
        </is>
      </c>
      <c r="G4870" s="2" t="inlineStr">
        <is>
          <t>Лентелефильм</t>
        </is>
      </c>
      <c r="H4870" s="2" t="n">
        <v>256</v>
      </c>
      <c r="I4870" s="2" t="inlineStr"/>
      <c r="J4870" s="2" t="inlineStr"/>
      <c r="K4870" s="3" t="inlineStr">
        <is>
          <t>Телефильм по мотивам рассказов Антона Павловича Чехова. Рассказ о нескольких днях земского врача и его работе в сельской больнице. Надо выслушать всех и успокоить, потому что, как писал Чехов, "должность врача - не только лечить раны, но и врачевать душу".</t>
        </is>
      </c>
      <c r="L4870" s="2" t="inlineStr">
        <is>
          <t>Кино_СССР сводный каталог.xlsx: список телефильмов</t>
        </is>
      </c>
      <c r="M4870" s="2">
        <f>HYPERLINK("https://ru.wikipedia.org/w/index.php?search=%D0%98%D0%B7%20%D0%B6%D0%B8%D0%B7%D0%BD%D0%B8%20%D0%B7%D0%B5%D0%BC%D1%81%D0%BA%D0%BE%D0%B3%D0%BE%20%D0%B2%D1%80%D0%B0%D1%87%D0%B0%201984%20%D1%84%D0%B8%D0%BB%D1%8C%D0%BC","искать")</f>
        <v/>
      </c>
      <c r="N4870" s="3" t="n"/>
      <c r="O4870" s="2" t="n"/>
      <c r="P4870" s="2" t="n"/>
    </row>
    <row r="4871">
      <c r="A4871" s="2" t="n">
        <v>4870</v>
      </c>
      <c r="B4871" s="2" t="inlineStr">
        <is>
          <t>короткая</t>
        </is>
      </c>
      <c r="C4871" s="2" t="n">
        <v>7705</v>
      </c>
      <c r="D4871" s="3" t="inlineStr">
        <is>
          <t>Камила</t>
        </is>
      </c>
      <c r="E4871" s="2" t="n">
        <v>1980</v>
      </c>
      <c r="F4871" s="2" t="inlineStr">
        <is>
          <t>телефильм</t>
        </is>
      </c>
      <c r="G4871" s="2" t="n"/>
      <c r="H4871" s="2" t="n">
        <v>256</v>
      </c>
      <c r="I4871" s="2" t="inlineStr"/>
      <c r="J4871" s="2" t="inlineStr"/>
      <c r="K4871" s="3" t="inlineStr">
        <is>
          <t>Телефильм. Родители первоклассницы Камилы вовсе не настаивали на ее музыкальном образовании. Однако, после встречи с композитором, замечательным человеком и чутким педагогом, Камила сама поступит в музыкальную школу и будет одной из самых способных учениц.</t>
        </is>
      </c>
      <c r="L4871" s="2" t="inlineStr">
        <is>
          <t>Кино_СССР сводный каталог.xlsx: список телефильмов</t>
        </is>
      </c>
      <c r="M4871" s="2">
        <f>HYPERLINK("https://ru.wikipedia.org/w/index.php?search=%D0%9A%D0%B0%D0%BC%D0%B8%D0%BB%D0%B0%201980%20%D1%84%D0%B8%D0%BB%D1%8C%D0%BC","искать")</f>
        <v/>
      </c>
      <c r="N4871" s="3" t="n"/>
      <c r="O4871" s="2" t="n"/>
      <c r="P4871" s="2" t="n"/>
    </row>
    <row r="4872">
      <c r="A4872" s="2" t="n">
        <v>4871</v>
      </c>
      <c r="B4872" s="2" t="inlineStr">
        <is>
          <t>короткая</t>
        </is>
      </c>
      <c r="C4872" s="2" t="n">
        <v>9629</v>
      </c>
      <c r="D4872" s="3" t="inlineStr">
        <is>
          <t>Свет и тени</t>
        </is>
      </c>
      <c r="E4872" s="2" t="n">
        <v>1933</v>
      </c>
      <c r="F4872" s="2" t="inlineStr">
        <is>
          <t>кинофильм</t>
        </is>
      </c>
      <c r="G4872" s="2" t="n"/>
      <c r="H4872" s="2" t="n">
        <v>256</v>
      </c>
      <c r="I4872" s="2" t="inlineStr"/>
      <c r="J4872" s="2" t="inlineStr"/>
      <c r="K4872" s="3" t="inlineStr">
        <is>
          <t>Լույս և ստվերներ "Социальная драма о борьбе сельской учительницы с кулаком и недалеким председателем сельсовета за новый уклад в деревне. ...Какое-то время демонстрировалась в Армении, но, видимо, после упоминания картины в передовой статье "Правды" от 26.</t>
        </is>
      </c>
      <c r="L4872" s="2" t="inlineStr">
        <is>
          <t>Кино_СССР сводный каталог.xlsx: список фильмов (доп.)</t>
        </is>
      </c>
      <c r="M4872" s="2">
        <f>HYPERLINK("https://ru.wikipedia.org/w/index.php?search=%D0%A1%D0%B2%D0%B5%D1%82%20%D0%B8%20%D1%82%D0%B5%D0%BD%D0%B8%201933%20%D1%84%D0%B8%D0%BB%D1%8C%D0%BC","искать")</f>
        <v/>
      </c>
      <c r="N4872" s="3" t="n"/>
      <c r="O4872" s="2" t="n"/>
      <c r="P4872" s="2" t="n"/>
    </row>
    <row r="4873">
      <c r="A4873" s="2" t="n">
        <v>4872</v>
      </c>
      <c r="B4873" s="2" t="inlineStr">
        <is>
          <t>короткая</t>
        </is>
      </c>
      <c r="C4873" s="2" t="n">
        <v>10131</v>
      </c>
      <c r="D4873" s="3" t="inlineStr">
        <is>
          <t>Трефовый король</t>
        </is>
      </c>
      <c r="E4873" s="2" t="n">
        <v>1964</v>
      </c>
      <c r="F4873" s="2" t="inlineStr">
        <is>
          <t>фильм-спектакль</t>
        </is>
      </c>
      <c r="G4873" s="2" t="inlineStr">
        <is>
          <t>Центральное телевидение</t>
        </is>
      </c>
      <c r="H4873" s="2" t="n">
        <v>256</v>
      </c>
      <c r="I4873" s="2" t="inlineStr"/>
      <c r="J4873" s="2" t="inlineStr"/>
      <c r="K4873" s="3" t="inlineStr">
        <is>
          <t>По одноименному произведению Владимира Пистоленко.
Коллектив работников швейного ателье, состоящий преимущественно из цыган, готовится к смотру художественной самодеятельности.
В телеспектакле звучат цыганские, русские, украинские народные песни и романсы.</t>
        </is>
      </c>
      <c r="L4873" s="2" t="inlineStr">
        <is>
          <t>https://www.kino-teatr.ru/teatr/movie/80173/annot/</t>
        </is>
      </c>
      <c r="M4873" s="2">
        <f>HYPERLINK("https://ru.wikipedia.org/w/index.php?search=%D0%A2%D1%80%D0%B5%D1%84%D0%BE%D0%B2%D1%8B%D0%B9%20%D0%BA%D0%BE%D1%80%D0%BE%D0%BB%D1%8C%201964%20%D1%84%D0%B8%D0%BB%D1%8C%D0%BC","искать")</f>
        <v/>
      </c>
      <c r="N4873" s="3" t="n"/>
      <c r="O4873" s="2" t="n"/>
      <c r="P4873" s="2" t="n"/>
    </row>
    <row r="4874">
      <c r="A4874" s="2" t="n">
        <v>4873</v>
      </c>
      <c r="B4874" s="2" t="inlineStr">
        <is>
          <t>короткая</t>
        </is>
      </c>
      <c r="C4874" s="2" t="n">
        <v>7218</v>
      </c>
      <c r="D4874" s="3" t="inlineStr">
        <is>
          <t>Арбатский мотив</t>
        </is>
      </c>
      <c r="E4874" s="2" t="n">
        <v>1990</v>
      </c>
      <c r="F4874" s="2" t="inlineStr">
        <is>
          <t>телефильм</t>
        </is>
      </c>
      <c r="G4874" s="2" t="n"/>
      <c r="H4874" s="2" t="n">
        <v>257</v>
      </c>
      <c r="I4874" s="2" t="inlineStr"/>
      <c r="J4874" s="2" t="inlineStr"/>
      <c r="K4874" s="3" t="inlineStr">
        <is>
          <t>Действие происходит в одном из старых московских домов на Арбате. В предназначенном на снос доме живет семидесятилетняя Вера Васильевна, не желающая покидать места, где жили Есенин, Маяковский, Булгаков... Фильм первый — «Старый дом», второй — «Наследство».</t>
        </is>
      </c>
      <c r="L4874" s="2" t="inlineStr">
        <is>
          <t>Кино_СССР сводный каталог.xlsx: список телефильмов</t>
        </is>
      </c>
      <c r="M4874" s="2">
        <f>HYPERLINK("https://ru.wikipedia.org/w/index.php?search=%D0%90%D1%80%D0%B1%D0%B0%D1%82%D1%81%D0%BA%D0%B8%D0%B9%20%D0%BC%D0%BE%D1%82%D0%B8%D0%B2%201990%20%D1%84%D0%B8%D0%BB%D1%8C%D0%BC","искать")</f>
        <v/>
      </c>
      <c r="N4874" s="3" t="n"/>
      <c r="O4874" s="2" t="n"/>
      <c r="P4874" s="2" t="n"/>
    </row>
    <row r="4875">
      <c r="A4875" s="2" t="n">
        <v>4874</v>
      </c>
      <c r="B4875" s="2" t="inlineStr">
        <is>
          <t>короткая</t>
        </is>
      </c>
      <c r="C4875" s="2" t="n">
        <v>7503</v>
      </c>
      <c r="D4875" s="3" t="inlineStr">
        <is>
          <t>День первый, день последний</t>
        </is>
      </c>
      <c r="E4875" s="2" t="n">
        <v>1978</v>
      </c>
      <c r="F4875" s="2" t="inlineStr">
        <is>
          <t>телефильм</t>
        </is>
      </c>
      <c r="G4875" s="2" t="n"/>
      <c r="H4875" s="2" t="n">
        <v>257</v>
      </c>
      <c r="I4875" s="2" t="inlineStr"/>
      <c r="J4875" s="2" t="inlineStr"/>
      <c r="K4875" s="3" t="inlineStr">
        <is>
          <t>Во время съёмок документального фильма в Таллине киевский кинооператор Андрей встретил и полюбил молодую эстонскую женщину по имени Реэт, ответившую ему взаимностью. Но Реэт замужем, у неё дочь Маарика. Ради сохранения семьи она решает расстаться с Андреем.</t>
        </is>
      </c>
      <c r="L4875" s="2" t="inlineStr">
        <is>
          <t>https://ru.wikipedia.org/w/index.php?title=%D0%94%D0%B5%D0%BD%D1%8C_%D0%BF%D0%B5%D1%80%D0%B2%D1%8B%D0%B9%2C_%D0%B4%D0%B5%D0%BD%D1%8C_%D0%BF%D0%BE%D1%81%D0%BB%D0%B5%D0%B4%D0%BD%D0%B8%D0%B9&amp;oldid=149106451</t>
        </is>
      </c>
      <c r="M4875" s="2">
        <f>HYPERLINK("https://ru.wikipedia.org/w/index.php?search=%D0%94%D0%B5%D0%BD%D1%8C%20%D0%BF%D0%B5%D1%80%D0%B2%D1%8B%D0%B9%2C%20%D0%B4%D0%B5%D0%BD%D1%8C%20%D0%BF%D0%BE%D1%81%D0%BB%D0%B5%D0%B4%D0%BD%D0%B8%D0%B9%201978%20%D1%84%D0%B8%D0%BB%D1%8C%D0%BC","искать")</f>
        <v/>
      </c>
      <c r="N4875" s="3" t="n"/>
      <c r="O4875" s="2" t="n"/>
      <c r="P4875" s="2" t="n"/>
    </row>
    <row r="4876">
      <c r="A4876" s="2" t="n">
        <v>4875</v>
      </c>
      <c r="B4876" s="2" t="inlineStr">
        <is>
          <t>короткая</t>
        </is>
      </c>
      <c r="C4876" s="2" t="n">
        <v>9520</v>
      </c>
      <c r="D4876" s="3" t="inlineStr">
        <is>
          <t>Одинокий голос человека</t>
        </is>
      </c>
      <c r="E4876" s="2" t="n">
        <v>1978</v>
      </c>
      <c r="F4876" s="2" t="inlineStr">
        <is>
          <t>кинофильм</t>
        </is>
      </c>
      <c r="G4876" s="2" t="n"/>
      <c r="H4876" s="2" t="n">
        <v>257</v>
      </c>
      <c r="I4876" s="2" t="inlineStr"/>
      <c r="J4876" s="2" t="inlineStr"/>
      <c r="K4876" s="3" t="inlineStr">
        <is>
          <t>"Одинокий голос человека" - первый игровой фильм Александра Сокурова ("Телец", "Молох", "Дни затмения") по мотивам повести Андрея Платонова "Река Потудань". История любви красноармейца Никиты, вернувшегося с гражданской войны, и Любы, студентки "из бывших".</t>
        </is>
      </c>
      <c r="L4876" s="2" t="inlineStr">
        <is>
          <t>Кино_СССР сводный каталог.xlsx: список фильмов (доп.)</t>
        </is>
      </c>
      <c r="M4876" s="2">
        <f>HYPERLINK("https://ru.wikipedia.org/w/index.php?search=%D0%9E%D0%B4%D0%B8%D0%BD%D0%BE%D0%BA%D0%B8%D0%B9%20%D0%B3%D0%BE%D0%BB%D0%BE%D1%81%20%D1%87%D0%B5%D0%BB%D0%BE%D0%B2%D0%B5%D0%BA%D0%B0%201978%20%D1%84%D0%B8%D0%BB%D1%8C%D0%BC","искать")</f>
        <v/>
      </c>
      <c r="N4876" s="3" t="n"/>
      <c r="O4876" s="2" t="n"/>
      <c r="P4876" s="2" t="n"/>
    </row>
    <row r="4877">
      <c r="A4877" s="2" t="n">
        <v>4876</v>
      </c>
      <c r="B4877" s="2" t="inlineStr">
        <is>
          <t>короткая</t>
        </is>
      </c>
      <c r="C4877" s="2" t="n">
        <v>11367</v>
      </c>
      <c r="D4877" s="3" t="inlineStr">
        <is>
          <t>Голубые города</t>
        </is>
      </c>
      <c r="E4877" s="2" t="n">
        <v>1985</v>
      </c>
      <c r="F4877" s="2" t="inlineStr">
        <is>
          <t>не игровое</t>
        </is>
      </c>
      <c r="G4877" s="2" t="n"/>
      <c r="H4877" s="2" t="n">
        <v>257</v>
      </c>
      <c r="I4877" s="2" t="inlineStr"/>
      <c r="J4877" s="2" t="inlineStr"/>
      <c r="K4877" s="3" t="inlineStr">
        <is>
          <t>Фильм-концерт. В фильме прозвучали песни и мелодии из кинофильмов композитора А.П.Петрова. На стихи поэтов: Б.Ахмадулиной, Ю.Друниной, М.Цветаевой, Ю.Берга, Е.Евтушенко, Л.Куклина, А.Масленникова, Г.Поженяна, Э.Рязанова, К.Рыжова, С.Фогельсона, Г.Шпаликова.</t>
        </is>
      </c>
      <c r="L4877" s="2" t="inlineStr">
        <is>
          <t>Кино_СССР телефильмы и пропуски включить в базу.xlsx</t>
        </is>
      </c>
      <c r="M4877" s="2">
        <f>HYPERLINK("https://ru.wikipedia.org/w/index.php?search=%D0%93%D0%BE%D0%BB%D1%83%D0%B1%D1%8B%D0%B5%20%D0%B3%D0%BE%D1%80%D0%BE%D0%B4%D0%B0%201985%20%D1%84%D0%B8%D0%BB%D1%8C%D0%BC","искать")</f>
        <v/>
      </c>
      <c r="N4877" s="3" t="n"/>
      <c r="O4877" s="2" t="n"/>
      <c r="P4877" s="2" t="n"/>
    </row>
    <row r="4878">
      <c r="A4878" s="2" t="n">
        <v>4877</v>
      </c>
      <c r="B4878" s="2" t="inlineStr">
        <is>
          <t>короткая</t>
        </is>
      </c>
      <c r="C4878" s="2" t="n">
        <v>8849</v>
      </c>
      <c r="D4878" s="3" t="inlineStr">
        <is>
          <t>Мрачная долина</t>
        </is>
      </c>
      <c r="E4878" s="2" t="n">
        <v>1934</v>
      </c>
      <c r="F4878" s="2" t="inlineStr">
        <is>
          <t>кинофильм</t>
        </is>
      </c>
      <c r="G4878" s="2" t="n"/>
      <c r="H4878" s="2" t="n">
        <v>258</v>
      </c>
      <c r="I4878" s="2" t="inlineStr"/>
      <c r="J4878" s="2" t="inlineStr"/>
      <c r="K4878" s="3" t="inlineStr">
        <is>
          <t>Для борьбы с малярией власти решили построить водопровод в центре так называемого Хмурого поля, прозванного владениями Царевны-Лягушки. Чтобы помешать строительству, кулак Парма заводит двоих рабочих, Кавтара и Гвади, в болото и оставляет их там на погибель.</t>
        </is>
      </c>
      <c r="L4878" s="2" t="inlineStr">
        <is>
          <t>Кино_СССР сводный каталог.xlsx: список фильмов (доп.)</t>
        </is>
      </c>
      <c r="M4878" s="2">
        <f>HYPERLINK("https://ru.wikipedia.org/w/index.php?search=%D0%9C%D1%80%D0%B0%D1%87%D0%BD%D0%B0%D1%8F%20%D0%B4%D0%BE%D0%BB%D0%B8%D0%BD%D0%B0%201934%20%D1%84%D0%B8%D0%BB%D1%8C%D0%BC","искать")</f>
        <v/>
      </c>
      <c r="N4878" s="3" t="n"/>
      <c r="O4878" s="2" t="n"/>
      <c r="P4878" s="2" t="n"/>
    </row>
    <row r="4879">
      <c r="A4879" s="2" t="n">
        <v>4878</v>
      </c>
      <c r="B4879" s="2" t="inlineStr">
        <is>
          <t>короткая</t>
        </is>
      </c>
      <c r="C4879" s="2" t="n">
        <v>8989</v>
      </c>
      <c r="D4879" s="3" t="inlineStr">
        <is>
          <t>Прости нас, Господи!</t>
        </is>
      </c>
      <c r="E4879" s="2" t="n">
        <v>1989</v>
      </c>
      <c r="F4879" s="2" t="inlineStr">
        <is>
          <t>кинофильм</t>
        </is>
      </c>
      <c r="G4879" s="2" t="n"/>
      <c r="H4879" s="2" t="n">
        <v>258</v>
      </c>
      <c r="I4879" s="2" t="inlineStr"/>
      <c r="J4879" s="2" t="inlineStr"/>
      <c r="K4879" s="3" t="inlineStr">
        <is>
          <t>Фильм создан по мотивам повести шведского писателя П.Лагерквиста "Палач". Это антифашистская аллегория о Вечном Зле. Действие происходит в какой-то северной стране. Крестьяне,сидящие в корчме, рассказывают страшные истории из своей жизни о встрече с Палачом.</t>
        </is>
      </c>
      <c r="L4879" s="2" t="inlineStr">
        <is>
          <t>Кино_СССР сводный каталог.xlsx: список фильмов (доп.)</t>
        </is>
      </c>
      <c r="M4879" s="2">
        <f>HYPERLINK("https://ru.wikipedia.org/w/index.php?search=%D0%9F%D1%80%D0%BE%D1%81%D1%82%D0%B8%20%D0%BD%D0%B0%D1%81%2C%20%D0%93%D0%BE%D1%81%D0%BF%D0%BE%D0%B4%D0%B8%21%201989%20%D1%84%D0%B8%D0%BB%D1%8C%D0%BC","искать")</f>
        <v/>
      </c>
      <c r="N4879" s="3" t="n"/>
      <c r="O4879" s="2" t="n"/>
      <c r="P4879" s="2" t="n"/>
    </row>
    <row r="4880">
      <c r="A4880" s="2" t="n">
        <v>4879</v>
      </c>
      <c r="B4880" s="2" t="inlineStr">
        <is>
          <t>короткая</t>
        </is>
      </c>
      <c r="C4880" s="2" t="n">
        <v>12228</v>
      </c>
      <c r="D4880" s="3" t="inlineStr">
        <is>
          <t>Счастливый Григорий</t>
        </is>
      </c>
      <c r="E4880" s="2" t="n">
        <v>1987</v>
      </c>
      <c r="F4880" s="2" t="inlineStr">
        <is>
          <t>мультфильм</t>
        </is>
      </c>
      <c r="G4880" s="2" t="inlineStr">
        <is>
          <t>Союзмультфильм</t>
        </is>
      </c>
      <c r="H4880" s="2" t="n">
        <v>258</v>
      </c>
      <c r="I4880" s="2" t="inlineStr"/>
      <c r="J4880" s="2" t="inlineStr"/>
      <c r="K4880" s="3" t="inlineStr">
        <is>
          <t>У пса Григория плохой характер. От него ушли его друзья Утка, Кот и Козёл. Появилось материализовавшееся Несчастье. Тогда Григорий сажает его в мешок и хочет избавиться от него. Друзья возвращаются к нему. Несчастье обещает измениться и тоже остаётся с ними.</t>
        </is>
      </c>
      <c r="L4880" s="2" t="inlineStr">
        <is>
          <t>https://animator.ru/db/?p=show_film&amp;fid=3345</t>
        </is>
      </c>
      <c r="M4880" s="2">
        <f>HYPERLINK("https://ru.wikipedia.org/w/index.php?search=%D0%A1%D1%87%D0%B0%D1%81%D1%82%D0%BB%D0%B8%D0%B2%D1%8B%D0%B9%20%D0%93%D1%80%D0%B8%D0%B3%D0%BE%D1%80%D0%B8%D0%B9%201987%20%D1%84%D0%B8%D0%BB%D1%8C%D0%BC","искать")</f>
        <v/>
      </c>
      <c r="N4880" s="3" t="n"/>
      <c r="O4880" s="2" t="n"/>
      <c r="P4880" s="2" t="n"/>
    </row>
    <row r="4881">
      <c r="A4881" s="2" t="n">
        <v>4880</v>
      </c>
      <c r="B4881" s="2" t="inlineStr">
        <is>
          <t>короткая</t>
        </is>
      </c>
      <c r="C4881" s="2" t="n">
        <v>12274</v>
      </c>
      <c r="D4881" s="3" t="inlineStr">
        <is>
          <t>Ежик должен быть колючим?</t>
        </is>
      </c>
      <c r="E4881" s="2" t="n">
        <v>1990</v>
      </c>
      <c r="F4881" s="2" t="inlineStr">
        <is>
          <t>мультфильм</t>
        </is>
      </c>
      <c r="G4881" s="2" t="inlineStr">
        <is>
          <t>Союзмультфильм</t>
        </is>
      </c>
      <c r="H4881" s="2" t="n">
        <v>258</v>
      </c>
      <c r="I4881" s="2" t="inlineStr"/>
      <c r="J4881" s="2" t="inlineStr"/>
      <c r="K4881" s="3" t="inlineStr">
        <is>
          <t>В семье ежей родился сынок, у которого вместо колючек росли кудри.Ворона предложила малыша сильно напугать и тогда от страха его кудри выпрямляются.Но мягкие кудри не превратились в колючки.Зато Ежик так напугал Ворону, что она из черной превратилась в белую</t>
        </is>
      </c>
      <c r="L4881" s="2" t="inlineStr">
        <is>
          <t>https://gosfilmofond.ru/films/249097/</t>
        </is>
      </c>
      <c r="M4881" s="2">
        <f>HYPERLINK("https://ru.wikipedia.org/w/index.php?search=%D0%95%D0%B6%D0%B8%D0%BA%20%D0%B4%D0%BE%D0%BB%D0%B6%D0%B5%D0%BD%20%D0%B1%D1%8B%D1%82%D1%8C%20%D0%BA%D0%BE%D0%BB%D1%8E%D1%87%D0%B8%D0%BC%3F%201990%20%D1%84%D0%B8%D0%BB%D1%8C%D0%BC","искать")</f>
        <v/>
      </c>
      <c r="N4881" s="3" t="n"/>
      <c r="O4881" s="2" t="n"/>
      <c r="P4881" s="2" t="n"/>
    </row>
    <row r="4882">
      <c r="A4882" s="2" t="n">
        <v>4881</v>
      </c>
      <c r="B4882" s="2" t="inlineStr">
        <is>
          <t>короткая</t>
        </is>
      </c>
      <c r="C4882" s="2" t="n">
        <v>9098</v>
      </c>
      <c r="D4882" s="3" t="inlineStr">
        <is>
          <t>Тёплая мозаика ретро и чуть-чуть</t>
        </is>
      </c>
      <c r="E4882" s="2" t="n">
        <v>1990</v>
      </c>
      <c r="F4882" s="2" t="inlineStr">
        <is>
          <t>кинофильм</t>
        </is>
      </c>
      <c r="G4882" s="2" t="n"/>
      <c r="H4882" s="2" t="n">
        <v>259</v>
      </c>
      <c r="I4882" s="2" t="inlineStr"/>
      <c r="J4882" s="2" t="inlineStr"/>
      <c r="K4882" s="3" t="inlineStr">
        <is>
          <t>В центре фильма — два персонажа: один одержим любовью к искусству, другой стремится взять от жизни все, что можно. Претендующий на высокое осмысление трудной и в общем-то никчемной жизни каждого в отдельности, сюжет распадается на две сентиментальные истории.</t>
        </is>
      </c>
      <c r="L4882" s="2" t="inlineStr">
        <is>
          <t>Кино_СССР сводный каталог.xlsx: список фильмов (доп.)</t>
        </is>
      </c>
      <c r="M4882" s="2">
        <f>HYPERLINK("https://ru.wikipedia.org/w/index.php?search=%D0%A2%D1%91%D0%BF%D0%BB%D0%B0%D1%8F%20%D0%BC%D0%BE%D0%B7%D0%B0%D0%B8%D0%BA%D0%B0%20%D1%80%D0%B5%D1%82%D1%80%D0%BE%20%D0%B8%20%D1%87%D1%83%D1%82%D1%8C-%D1%87%D1%83%D1%82%D1%8C%201990%20%D1%84%D0%B8%D0%BB%D1%8C%D0%BC","искать")</f>
        <v/>
      </c>
      <c r="N4882" s="3" t="n"/>
      <c r="O4882" s="2" t="n"/>
      <c r="P4882" s="2" t="n"/>
    </row>
    <row r="4883">
      <c r="A4883" s="2" t="n">
        <v>4882</v>
      </c>
      <c r="B4883" s="2" t="inlineStr">
        <is>
          <t>короткая</t>
        </is>
      </c>
      <c r="C4883" s="2" t="n">
        <v>9637</v>
      </c>
      <c r="D4883" s="3" t="inlineStr">
        <is>
          <t>Семейные фотографии</t>
        </is>
      </c>
      <c r="E4883" s="2" t="n">
        <v>1989</v>
      </c>
      <c r="F4883" s="2" t="inlineStr">
        <is>
          <t>кинофильм</t>
        </is>
      </c>
      <c r="G4883" s="2" t="n"/>
      <c r="H4883" s="2" t="n">
        <v>259</v>
      </c>
      <c r="I4883" s="2" t="inlineStr"/>
      <c r="J4883" s="2" t="inlineStr"/>
      <c r="K4883" s="3" t="inlineStr">
        <is>
          <t>Действие фильма происходит в провинциальном эстонском городке. Десятиклассник Калле готовится к последним школьным экзаменам. Герой часто посещает ресторан, где работает его мать: ему нравится следить за посетителями и мечтать самой красивой девушке в городе.</t>
        </is>
      </c>
      <c r="L4883" s="2" t="inlineStr">
        <is>
          <t>Кино_СССР сводный каталог.xlsx: список фильмов (доп.)</t>
        </is>
      </c>
      <c r="M4883" s="2">
        <f>HYPERLINK("https://ru.wikipedia.org/w/index.php?search=%D0%A1%D0%B5%D0%BC%D0%B5%D0%B9%D0%BD%D1%8B%D0%B5%20%D1%84%D0%BE%D1%82%D0%BE%D0%B3%D1%80%D0%B0%D1%84%D0%B8%D0%B8%201989%20%D1%84%D0%B8%D0%BB%D1%8C%D0%BC","искать")</f>
        <v/>
      </c>
      <c r="N4883" s="3" t="n"/>
      <c r="O4883" s="2" t="n"/>
      <c r="P4883" s="2" t="n"/>
    </row>
    <row r="4884">
      <c r="A4884" s="2" t="n">
        <v>4883</v>
      </c>
      <c r="B4884" s="2" t="inlineStr">
        <is>
          <t>короткая</t>
        </is>
      </c>
      <c r="C4884" s="2" t="n">
        <v>7278</v>
      </c>
      <c r="D4884" s="3" t="inlineStr">
        <is>
          <t>Будь здоров, дорогой!</t>
        </is>
      </c>
      <c r="E4884" s="2" t="n">
        <v>1981</v>
      </c>
      <c r="F4884" s="2" t="inlineStr">
        <is>
          <t>телефильм</t>
        </is>
      </c>
      <c r="G4884" s="2" t="inlineStr">
        <is>
          <t>Грузия-фильм</t>
        </is>
      </c>
      <c r="H4884" s="2" t="n">
        <v>260</v>
      </c>
      <c r="I4884" s="2" t="inlineStr"/>
      <c r="J4884" s="2" t="inlineStr"/>
      <c r="K4884" s="3" t="inlineStr">
        <is>
          <t>იცოცხლე, გენაცვალე! Телефильм состоит из 4-х новелл: * «Ужин» * «Секрет» * «Командировка» * «Моцарт» Четыре новеллы, объединенные общей темой доброты и внимания к окружающим людям, рассказывают о приключениях двух пожилых, но не потерявших вкус к жизни грузин.</t>
        </is>
      </c>
      <c r="L4884" s="2" t="inlineStr">
        <is>
          <t>Кино_СССР сводный каталог.xlsx: список телефильмов</t>
        </is>
      </c>
      <c r="M4884" s="2">
        <f>HYPERLINK("https://ru.wikipedia.org/w/index.php?search=%D0%91%D1%83%D0%B4%D1%8C%20%D0%B7%D0%B4%D0%BE%D1%80%D0%BE%D0%B2%2C%20%D0%B4%D0%BE%D1%80%D0%BE%D0%B3%D0%BE%D0%B9%21%201981%20%D1%84%D0%B8%D0%BB%D1%8C%D0%BC","искать")</f>
        <v/>
      </c>
      <c r="N4884" s="3" t="n"/>
      <c r="O4884" s="2" t="n"/>
      <c r="P4884" s="2" t="n"/>
    </row>
    <row r="4885">
      <c r="A4885" s="2" t="n">
        <v>4884</v>
      </c>
      <c r="B4885" s="2" t="inlineStr">
        <is>
          <t>короткая</t>
        </is>
      </c>
      <c r="C4885" s="2" t="n">
        <v>8226</v>
      </c>
      <c r="D4885" s="3" t="inlineStr">
        <is>
          <t>Продается медвежья шкура</t>
        </is>
      </c>
      <c r="E4885" s="2" t="n">
        <v>1980</v>
      </c>
      <c r="F4885" s="2" t="inlineStr">
        <is>
          <t>телефильм</t>
        </is>
      </c>
      <c r="G4885" s="2" t="n"/>
      <c r="H4885" s="2" t="n">
        <v>260</v>
      </c>
      <c r="I4885" s="2" t="inlineStr"/>
      <c r="J4885" s="2" t="inlineStr"/>
      <c r="K4885" s="3" t="inlineStr">
        <is>
          <t>Долгий поединок между растревоженным от зимней спячки раненым медведем и опытным охотником закончился победой человека. Но эта дуэль, продолжавшаяся всю зиму, заставила задуматься совестливого Василия о праве людей вторгаться в судьбу обитателей таёжного леса.</t>
        </is>
      </c>
      <c r="L4885" s="2" t="inlineStr">
        <is>
          <t>https://ru.wikipedia.org/w/index.php?title=%D0%9F%D1%80%D0%BE%D0%B4%D0%B0%D1%91%D1%82%D1%81%D1%8F_%D0%BC%D0%B5%D0%B4%D0%B2%D0%B5%D0%B6%D1%8C%D1%8F_%D1%88%D0%BA%D1%83%D1%80%D0%B0&amp;oldid=145599114</t>
        </is>
      </c>
      <c r="M4885" s="2">
        <f>HYPERLINK("https://ru.wikipedia.org/w/index.php?search=%D0%9F%D1%80%D0%BE%D0%B4%D0%B0%D0%B5%D1%82%D1%81%D1%8F%20%D0%BC%D0%B5%D0%B4%D0%B2%D0%B5%D0%B6%D1%8C%D1%8F%20%D1%88%D0%BA%D1%83%D1%80%D0%B0%201980%20%D1%84%D0%B8%D0%BB%D1%8C%D0%BC","искать")</f>
        <v/>
      </c>
      <c r="N4885" s="3" t="n"/>
      <c r="O4885" s="2" t="n"/>
      <c r="P4885" s="2" t="n"/>
    </row>
    <row r="4886">
      <c r="A4886" s="2" t="n">
        <v>4885</v>
      </c>
      <c r="B4886" s="2" t="inlineStr">
        <is>
          <t>короткая</t>
        </is>
      </c>
      <c r="C4886" s="2" t="n">
        <v>9122</v>
      </c>
      <c r="D4886" s="3" t="inlineStr">
        <is>
          <t>Удачная охота</t>
        </is>
      </c>
      <c r="E4886" s="2" t="n">
        <v>1983</v>
      </c>
      <c r="F4886" s="2" t="inlineStr">
        <is>
          <t>кинофильм</t>
        </is>
      </c>
      <c r="G4886" s="2" t="n"/>
      <c r="H4886" s="2" t="n">
        <v>260</v>
      </c>
      <c r="I4886" s="2" t="inlineStr"/>
      <c r="J4886" s="2" t="inlineStr"/>
      <c r="K4886" s="3" t="inlineStr">
        <is>
          <t>Два заядлых охотника, работающих в одной организации, периодически встречаются в лесу на охоте. Каждый раз у одного из них – то ружьё дорогое появится, то автомобиль "Нива". На вопрос коллеги "Откуда такое богатство?", тот отвечает: "На сберкнижку откладывал".</t>
        </is>
      </c>
      <c r="L4886" s="2" t="inlineStr">
        <is>
          <t>Кино_СССР сводный каталог.xlsx: список фильмов (доп.)</t>
        </is>
      </c>
      <c r="M4886" s="2">
        <f>HYPERLINK("https://ru.wikipedia.org/w/index.php?search=%D0%A3%D0%B4%D0%B0%D1%87%D0%BD%D0%B0%D1%8F%20%D0%BE%D1%85%D0%BE%D1%82%D0%B0%201983%20%D1%84%D0%B8%D0%BB%D1%8C%D0%BC","искать")</f>
        <v/>
      </c>
      <c r="N4886" s="3" t="n"/>
      <c r="O4886" s="2" t="n"/>
      <c r="P4886" s="2" t="n"/>
    </row>
    <row r="4887">
      <c r="A4887" s="2" t="n">
        <v>4886</v>
      </c>
      <c r="B4887" s="2" t="inlineStr">
        <is>
          <t>короткая</t>
        </is>
      </c>
      <c r="C4887" s="2" t="n">
        <v>9598</v>
      </c>
      <c r="D4887" s="3" t="inlineStr">
        <is>
          <t>Прометей</t>
        </is>
      </c>
      <c r="E4887" s="2" t="n">
        <v>1936</v>
      </c>
      <c r="F4887" s="2" t="inlineStr">
        <is>
          <t>кинофильм</t>
        </is>
      </c>
      <c r="G4887" s="2" t="n"/>
      <c r="H4887" s="2" t="n">
        <v>260</v>
      </c>
      <c r="I4887" s="2" t="inlineStr"/>
      <c r="J4887" s="2" t="inlineStr"/>
      <c r="K4887" s="3" t="inlineStr">
        <is>
          <t>Крепостного парня Ивася пан сдаёт на Кавказ в солдаты, а его невесту отправляет в публичный дом. Под влиянием революционера Гаврилова, разжалованного в солдаты, герой становится сознательным борцом и, вернувшись в родное село, поднимает крестьянское восстание.</t>
        </is>
      </c>
      <c r="L4887" s="2" t="inlineStr">
        <is>
          <t>Кино_СССР сводный каталог.xlsx: список фильмов (доп.)</t>
        </is>
      </c>
      <c r="M4887" s="2">
        <f>HYPERLINK("https://ru.wikipedia.org/w/index.php?search=%D0%9F%D1%80%D0%BE%D0%BC%D0%B5%D1%82%D0%B5%D0%B9%201936%20%D1%84%D0%B8%D0%BB%D1%8C%D0%BC","искать")</f>
        <v/>
      </c>
      <c r="N4887" s="3" t="n"/>
      <c r="O4887" s="2" t="n"/>
      <c r="P4887" s="2" t="n"/>
    </row>
    <row r="4888">
      <c r="A4888" s="2" t="n">
        <v>4887</v>
      </c>
      <c r="B4888" s="2" t="inlineStr">
        <is>
          <t>короткая</t>
        </is>
      </c>
      <c r="C4888" s="2" t="n">
        <v>9707</v>
      </c>
      <c r="D4888" s="3" t="inlineStr">
        <is>
          <t>Узник замка Иф</t>
        </is>
      </c>
      <c r="E4888" s="2" t="n">
        <v>1988</v>
      </c>
      <c r="F4888" s="2" t="inlineStr">
        <is>
          <t>кинофильм</t>
        </is>
      </c>
      <c r="G4888" s="2" t="n"/>
      <c r="H4888" s="2" t="n">
        <v>260</v>
      </c>
      <c r="I4888" s="2" t="inlineStr"/>
      <c r="J4888" s="2" t="inlineStr"/>
      <c r="K4888" s="3" t="inlineStr">
        <is>
          <t>Приключенческий фильм в трех частях: "Аббат Фариа", "Граф Монте-Кристо" и "Аз воздам" - по мотивам романа Александра Дюма-отца "Граф Монте-Кристо". В самый канун свадьбы с любимой девушкой Эдмон Дантес по ложному обвинению становится узником мрачного замка Иф.</t>
        </is>
      </c>
      <c r="L4888" s="2" t="inlineStr">
        <is>
          <t>Кино_СССР сводный каталог.xlsx: список фильмов (доп.)</t>
        </is>
      </c>
      <c r="M4888" s="2">
        <f>HYPERLINK("https://ru.wikipedia.org/w/index.php?search=%D0%A3%D0%B7%D0%BD%D0%B8%D0%BA%20%D0%B7%D0%B0%D0%BC%D0%BA%D0%B0%20%D0%98%D1%84%201988%20%D1%84%D0%B8%D0%BB%D1%8C%D0%BC","искать")</f>
        <v/>
      </c>
      <c r="N4888" s="3" t="n"/>
      <c r="O4888" s="2" t="n"/>
      <c r="P4888" s="2" t="n"/>
    </row>
    <row r="4889">
      <c r="A4889" s="2" t="n">
        <v>4888</v>
      </c>
      <c r="B4889" s="2" t="inlineStr">
        <is>
          <t>короткая</t>
        </is>
      </c>
      <c r="C4889" s="2" t="n">
        <v>10383</v>
      </c>
      <c r="D4889" s="3" t="inlineStr">
        <is>
          <t>Вкус хлеба</t>
        </is>
      </c>
      <c r="E4889" s="2" t="n">
        <v>1971</v>
      </c>
      <c r="F4889" s="2" t="inlineStr">
        <is>
          <t>фильм-спектакль</t>
        </is>
      </c>
      <c r="G4889" s="2" t="inlineStr">
        <is>
          <t>Центральное телевидение</t>
        </is>
      </c>
      <c r="H4889" s="2" t="n">
        <v>260</v>
      </c>
      <c r="I4889" s="2" t="inlineStr"/>
      <c r="J4889" s="2" t="inlineStr"/>
      <c r="K4889" s="3" t="inlineStr">
        <is>
          <t>По мотивам повести Элигия Ставского "Домой".
Действие происходит в первый послевоенный год. Двое ленинградских подростков, переживших блокаду, отправляются на Украину за хлебом. Во время этого путешествия им довелось понять цену человеческой доброты и доверия.</t>
        </is>
      </c>
      <c r="L4889" s="2" t="inlineStr">
        <is>
          <t>https://www.kino-teatr.ru/teatr/movie/93039/annot/</t>
        </is>
      </c>
      <c r="M4889" s="2">
        <f>HYPERLINK("https://ru.wikipedia.org/w/index.php?search=%D0%92%D0%BA%D1%83%D1%81%20%D1%85%D0%BB%D0%B5%D0%B1%D0%B0%201971%20%D1%84%D0%B8%D0%BB%D1%8C%D0%BC","искать")</f>
        <v/>
      </c>
      <c r="N4889" s="3" t="n"/>
      <c r="O4889" s="2" t="n"/>
      <c r="P4889" s="2" t="n"/>
    </row>
    <row r="4890">
      <c r="A4890" s="2" t="n">
        <v>4889</v>
      </c>
      <c r="B4890" s="2" t="inlineStr">
        <is>
          <t>короткая</t>
        </is>
      </c>
      <c r="C4890" s="2" t="n">
        <v>11935</v>
      </c>
      <c r="D4890" s="3" t="inlineStr">
        <is>
          <t>Возвращение</t>
        </is>
      </c>
      <c r="E4890" s="2" t="n">
        <v>1980</v>
      </c>
      <c r="F4890" s="2" t="inlineStr">
        <is>
          <t>мультфильм</t>
        </is>
      </c>
      <c r="G4890" s="2" t="inlineStr">
        <is>
          <t>Союзмультфильм</t>
        </is>
      </c>
      <c r="H4890" s="2" t="n">
        <v>260</v>
      </c>
      <c r="I4890" s="2" t="inlineStr"/>
      <c r="J4890" s="2" t="inlineStr"/>
      <c r="K4890" s="3" t="inlineStr">
        <is>
          <t>Подходит к концу космическое путешествие, перед посадкой Космонавт крепко засыпает. Он не слышит сигналы с Земли. Надвигается катастрофа. Когда корабль пролетает над родным домом Космонавта, раздаётся звон Будильника, заведённого Дедом и Космонавт просыпается.</t>
        </is>
      </c>
      <c r="L4890" s="2" t="inlineStr">
        <is>
          <t>https://animator.ru/db/?p=show_film&amp;fid=2850</t>
        </is>
      </c>
      <c r="M4890" s="2">
        <f>HYPERLINK("https://ru.wikipedia.org/w/index.php?search=%D0%92%D0%BE%D0%B7%D0%B2%D1%80%D0%B0%D1%89%D0%B5%D0%BD%D0%B8%D0%B5%201980%20%D1%84%D0%B8%D0%BB%D1%8C%D0%BC","искать")</f>
        <v/>
      </c>
      <c r="N4890" s="3" t="n"/>
      <c r="O4890" s="2" t="n"/>
      <c r="P4890" s="2" t="n"/>
    </row>
    <row r="4891">
      <c r="A4891" s="2" t="n">
        <v>4890</v>
      </c>
      <c r="B4891" s="2" t="inlineStr">
        <is>
          <t>короткая</t>
        </is>
      </c>
      <c r="C4891" s="2" t="n">
        <v>12770</v>
      </c>
      <c r="D4891" s="3" t="inlineStr">
        <is>
          <t>Тигры полосатые</t>
        </is>
      </c>
      <c r="E4891" s="2" t="n">
        <v>1970</v>
      </c>
      <c r="F4891" s="2" t="inlineStr">
        <is>
          <t>мультфильм</t>
        </is>
      </c>
      <c r="G4891" s="2" t="inlineStr">
        <is>
          <t>АРМЕНФИЛЬМ</t>
        </is>
      </c>
      <c r="H4891" s="2" t="n">
        <v>260</v>
      </c>
      <c r="I4891" s="2" t="inlineStr"/>
      <c r="J4891" s="2" t="inlineStr"/>
      <c r="K4891" s="3" t="inlineStr">
        <is>
          <t>На арене взбунтовались тигры. Они отбирают у дрессировщика хлыст и пистолет, заставляют его проделывать все трюки. Им приходится изрядно потрудиться, прежде чем дрессировщик решается прыгнуть через горящее кольцо, взлететь на трапеции, взять в рот голову тигра</t>
        </is>
      </c>
      <c r="L4891" s="2" t="inlineStr">
        <is>
          <t>https://gosfilmofond.ru/films/254775/</t>
        </is>
      </c>
      <c r="M4891" s="2">
        <f>HYPERLINK("https://ru.wikipedia.org/w/index.php?search=%D0%A2%D0%B8%D0%B3%D1%80%D1%8B%20%D0%BF%D0%BE%D0%BB%D0%BE%D1%81%D0%B0%D1%82%D1%8B%D0%B5%201970%20%D1%84%D0%B8%D0%BB%D1%8C%D0%BC","искать")</f>
        <v/>
      </c>
      <c r="N4891" s="3" t="n"/>
      <c r="O4891" s="2" t="n"/>
      <c r="P4891" s="2" t="n"/>
    </row>
    <row r="4892">
      <c r="A4892" s="2" t="n">
        <v>4891</v>
      </c>
      <c r="B4892" s="2" t="inlineStr">
        <is>
          <t>короткая</t>
        </is>
      </c>
      <c r="C4892" s="2" t="n">
        <v>13344</v>
      </c>
      <c r="D4892" s="3" t="inlineStr">
        <is>
          <t>Тысяча уловок</t>
        </is>
      </c>
      <c r="E4892" s="2" t="n">
        <v>1981</v>
      </c>
      <c r="F4892" s="2" t="inlineStr">
        <is>
          <t>мультфильм</t>
        </is>
      </c>
      <c r="G4892" s="2" t="inlineStr">
        <is>
          <t>АРМЕНФИЛЬМ</t>
        </is>
      </c>
      <c r="H4892" s="2" t="n">
        <v>260</v>
      </c>
      <c r="I4892" s="2" t="inlineStr"/>
      <c r="J4892" s="2" t="inlineStr"/>
      <c r="K4892" s="3" t="inlineStr">
        <is>
          <t>Перодетый простолюдином царь выходит в город, чтобы послушать, что о нем говорят подданные. Актер в балагане, незнакомец в погребе рассказывают поучительные притчи, которые заставляют царя задуматься об отношении к народу, узнать истинную цену лести придворных</t>
        </is>
      </c>
      <c r="L4892" s="2" t="inlineStr">
        <is>
          <t>https://gosfilmofond.ru/films/255633/</t>
        </is>
      </c>
      <c r="M4892" s="2">
        <f>HYPERLINK("https://ru.wikipedia.org/w/index.php?search=%D0%A2%D1%8B%D1%81%D1%8F%D1%87%D0%B0%20%D1%83%D0%BB%D0%BE%D0%B2%D0%BE%D0%BA%201981%20%D1%84%D0%B8%D0%BB%D1%8C%D0%BC","искать")</f>
        <v/>
      </c>
      <c r="N4892" s="3" t="n"/>
      <c r="O4892" s="2" t="n"/>
      <c r="P4892" s="2" t="n"/>
    </row>
    <row r="4893">
      <c r="A4893" s="2" t="n">
        <v>4892</v>
      </c>
      <c r="B4893" s="2" t="inlineStr">
        <is>
          <t>короткая</t>
        </is>
      </c>
      <c r="C4893" s="2" t="n">
        <v>7277</v>
      </c>
      <c r="D4893" s="3" t="inlineStr">
        <is>
          <t>Будни и праздники Серафимы Глюкиной</t>
        </is>
      </c>
      <c r="E4893" s="2" t="n">
        <v>1988</v>
      </c>
      <c r="F4893" s="2" t="inlineStr">
        <is>
          <t>телефильм</t>
        </is>
      </c>
      <c r="G4893" s="2" t="n"/>
      <c r="H4893" s="2" t="n">
        <v>261</v>
      </c>
      <c r="I4893" s="2" t="inlineStr"/>
      <c r="J4893" s="2" t="inlineStr"/>
      <c r="K4893" s="3" t="inlineStr">
        <is>
          <t>Серафима Глюкина - добрая, интеллигентная и очень гордая женщина. Ее отец подарил городу ценнейшую коллекцию музыкальных инструментов, а она ютится в коммунальной квартире. И в тот момент, когда героиня меньше всего этого ждала, к ней приходит настоящая любовь.</t>
        </is>
      </c>
      <c r="L4893" s="2" t="inlineStr">
        <is>
          <t>Кино_СССР сводный каталог.xlsx: список телефильмов</t>
        </is>
      </c>
      <c r="M4893" s="2">
        <f>HYPERLINK("https://ru.wikipedia.org/w/index.php?search=%D0%91%D1%83%D0%B4%D0%BD%D0%B8%20%D0%B8%20%D0%BF%D1%80%D0%B0%D0%B7%D0%B4%D0%BD%D0%B8%D0%BA%D0%B8%20%D0%A1%D0%B5%D1%80%D0%B0%D1%84%D0%B8%D0%BC%D1%8B%20%D0%93%D0%BB%D1%8E%D0%BA%D0%B8%D0%BD%D0%BE%D0%B9%201988%20%D1%84%D0%B8%D0%BB%D1%8C%D0%BC","искать")</f>
        <v/>
      </c>
      <c r="N4893" s="3" t="n"/>
      <c r="O4893" s="2" t="n"/>
      <c r="P4893" s="2" t="n"/>
    </row>
    <row r="4894">
      <c r="A4894" s="2" t="n">
        <v>4893</v>
      </c>
      <c r="B4894" s="2" t="inlineStr">
        <is>
          <t>короткая</t>
        </is>
      </c>
      <c r="C4894" s="2" t="n">
        <v>8565</v>
      </c>
      <c r="D4894" s="3" t="inlineStr">
        <is>
          <t>Что такое Ералаш?</t>
        </is>
      </c>
      <c r="E4894" s="2" t="n">
        <v>1986</v>
      </c>
      <c r="F4894" s="2" t="inlineStr">
        <is>
          <t>телефильм</t>
        </is>
      </c>
      <c r="G4894" s="2" t="n"/>
      <c r="H4894" s="2" t="n">
        <v>261</v>
      </c>
      <c r="I4894" s="2" t="inlineStr"/>
      <c r="J4894" s="2" t="inlineStr"/>
      <c r="K4894" s="3" t="inlineStr">
        <is>
          <t>Музыкально-телевизионный фильм-представление, посвященный десятилетнему юбилею детского киножурнала "Ералаш". С участием ансамбля "Бим-бом", детского хореографического ансамбля "Школьные годы", эстрадного театра кукол "Марионетки" Дворца культуры "Буревестник".</t>
        </is>
      </c>
      <c r="L4894" s="2" t="inlineStr">
        <is>
          <t>Кино_СССР сводный каталог.xlsx: список телефильмов</t>
        </is>
      </c>
      <c r="M4894" s="2">
        <f>HYPERLINK("https://ru.wikipedia.org/w/index.php?search=%D0%A7%D1%82%D0%BE%20%D1%82%D0%B0%D0%BA%D0%BE%D0%B5%20%D0%95%D1%80%D0%B0%D0%BB%D0%B0%D1%88%3F%201986%20%D1%84%D0%B8%D0%BB%D1%8C%D0%BC","искать")</f>
        <v/>
      </c>
      <c r="N4894" s="3" t="n"/>
      <c r="O4894" s="2" t="n"/>
      <c r="P4894" s="2" t="n"/>
    </row>
    <row r="4895">
      <c r="A4895" s="2" t="n">
        <v>4894</v>
      </c>
      <c r="B4895" s="2" t="inlineStr">
        <is>
          <t>короткая</t>
        </is>
      </c>
      <c r="C4895" s="2" t="n">
        <v>11142</v>
      </c>
      <c r="D4895" s="3" t="inlineStr">
        <is>
          <t>Большевики</t>
        </is>
      </c>
      <c r="E4895" s="2" t="n">
        <v>1987</v>
      </c>
      <c r="F4895" s="2" t="inlineStr">
        <is>
          <t>фильм-спектакль</t>
        </is>
      </c>
      <c r="G4895" s="2" t="inlineStr">
        <is>
          <t>Главная редакция литературно-драматических программ ЦТ</t>
        </is>
      </c>
      <c r="H4895" s="2" t="n">
        <v>261</v>
      </c>
      <c r="I4895" s="2" t="inlineStr"/>
      <c r="J4895" s="2" t="inlineStr"/>
      <c r="K4895" s="3" t="inlineStr">
        <is>
          <t>По одноименной пьесе Михаила Шатрова.
Действие спектакля происходит 30 августа 1918 года во время заседания Совнаркома в день, когда было совершено покушение на жизнь Ленина. Большевики должны решить, является ли террор допустимым средством борьбы за революцию.</t>
        </is>
      </c>
      <c r="L4895" s="2" t="inlineStr">
        <is>
          <t>https://www.kino-teatr.ru/teatr/movie/603/annot/</t>
        </is>
      </c>
      <c r="M4895" s="2">
        <f>HYPERLINK("https://ru.wikipedia.org/w/index.php?search=%D0%91%D0%BE%D0%BB%D1%8C%D1%88%D0%B5%D0%B2%D0%B8%D0%BA%D0%B8%201987%20%D1%84%D0%B8%D0%BB%D1%8C%D0%BC","искать")</f>
        <v/>
      </c>
      <c r="N4895" s="3" t="n"/>
      <c r="O4895" s="2" t="n"/>
      <c r="P4895" s="2" t="n"/>
    </row>
    <row r="4896">
      <c r="A4896" s="2" t="n">
        <v>4895</v>
      </c>
      <c r="B4896" s="2" t="inlineStr">
        <is>
          <t>короткая</t>
        </is>
      </c>
      <c r="C4896" s="2" t="n">
        <v>11892</v>
      </c>
      <c r="D4896" s="3" t="inlineStr">
        <is>
          <t>Чудеса среди бела дня</t>
        </is>
      </c>
      <c r="E4896" s="2" t="n">
        <v>1978</v>
      </c>
      <c r="F4896" s="2" t="inlineStr">
        <is>
          <t>мультфильм</t>
        </is>
      </c>
      <c r="G4896" s="2" t="inlineStr">
        <is>
          <t>Союзмультфильм</t>
        </is>
      </c>
      <c r="H4896" s="2" t="n">
        <v>261</v>
      </c>
      <c r="I4896" s="2" t="inlineStr"/>
      <c r="J4896" s="2" t="inlineStr"/>
      <c r="K4896" s="3" t="inlineStr">
        <is>
          <t>Брат и сестра, не желая учиться, загадывают желание, чтобы каждый, с кем они заговорят, забывал о своих обязанностях и долге. Желание сбывается - мама не идет на работу, милиционер не штрафует нарушителей, водитель не соблюдает правила, пожарник не тушит пожар.</t>
        </is>
      </c>
      <c r="L4896" s="2" t="inlineStr">
        <is>
          <t>https://animator.ru/db/?p=show_film&amp;fid=2807</t>
        </is>
      </c>
      <c r="M4896" s="2">
        <f>HYPERLINK("https://ru.wikipedia.org/w/index.php?search=%D0%A7%D1%83%D0%B4%D0%B5%D1%81%D0%B0%20%D1%81%D1%80%D0%B5%D0%B4%D0%B8%20%D0%B1%D0%B5%D0%BB%D0%B0%20%D0%B4%D0%BD%D1%8F%201978%20%D1%84%D0%B8%D0%BB%D1%8C%D0%BC","искать")</f>
        <v/>
      </c>
      <c r="N4896" s="3" t="n"/>
      <c r="O4896" s="2" t="n"/>
      <c r="P4896" s="2" t="n"/>
    </row>
    <row r="4897">
      <c r="A4897" s="2" t="n">
        <v>4896</v>
      </c>
      <c r="B4897" s="2" t="inlineStr">
        <is>
          <t>короткая</t>
        </is>
      </c>
      <c r="C4897" s="2" t="n">
        <v>12120</v>
      </c>
      <c r="D4897" s="3" t="inlineStr">
        <is>
          <t>Сапожник и русалка</t>
        </is>
      </c>
      <c r="E4897" s="2" t="n">
        <v>1989</v>
      </c>
      <c r="F4897" s="2" t="inlineStr">
        <is>
          <t>мультфильм</t>
        </is>
      </c>
      <c r="G4897" s="2" t="inlineStr">
        <is>
          <t>Союзмультфильм</t>
        </is>
      </c>
      <c r="H4897" s="2" t="n">
        <v>261</v>
      </c>
      <c r="I4897" s="2" t="inlineStr"/>
      <c r="J4897" s="2" t="inlineStr"/>
      <c r="K4897" s="3" t="inlineStr">
        <is>
          <t>По мотивам рассказа А.Толстого "Терентий Генералов".Сапожник, нарисовав на своей вывеске прекрасную Русалку, влюбился в нее. Русалка ожила. История эта взбаламутила обывателей маленького провинциального городка. Но влюбленные не расстались, они исчезли в озере.</t>
        </is>
      </c>
      <c r="L4897" s="2" t="inlineStr">
        <is>
          <t>2026-10_мультфильмы_список_владельца.xlsx; https://animator.ru/db/?p=show_film&amp;fid=3236</t>
        </is>
      </c>
      <c r="M4897" s="2">
        <f>HYPERLINK("https://ru.wikipedia.org/w/index.php?search=%D0%A1%D0%B0%D0%BF%D0%BE%D0%B6%D0%BD%D0%B8%D0%BA%20%D0%B8%20%D1%80%D1%83%D1%81%D0%B0%D0%BB%D0%BA%D0%B0%201989%20%D1%84%D0%B8%D0%BB%D1%8C%D0%BC","искать")</f>
        <v/>
      </c>
      <c r="N4897" s="3" t="n"/>
      <c r="O4897" s="2" t="n"/>
      <c r="P4897" s="2" t="n"/>
    </row>
    <row r="4898">
      <c r="A4898" s="2" t="n">
        <v>4897</v>
      </c>
      <c r="B4898" s="2" t="inlineStr">
        <is>
          <t>короткая</t>
        </is>
      </c>
      <c r="C4898" s="2" t="n">
        <v>12364</v>
      </c>
      <c r="D4898" s="3" t="inlineStr">
        <is>
          <t>Ежик и девочка</t>
        </is>
      </c>
      <c r="E4898" s="2" t="n">
        <v>1988</v>
      </c>
      <c r="F4898" s="2" t="inlineStr">
        <is>
          <t>мультфильм</t>
        </is>
      </c>
      <c r="G4898" s="2" t="inlineStr">
        <is>
          <t>КИЕВНАУЧФИЛЬМ</t>
        </is>
      </c>
      <c r="H4898" s="2" t="n">
        <v>261</v>
      </c>
      <c r="I4898" s="2" t="inlineStr"/>
      <c r="J4898" s="2" t="inlineStr"/>
      <c r="K4898" s="3" t="inlineStr">
        <is>
          <t>Ежик очень хотел подружиться с девочкой, но мешали его колючки: они то мяч проколют, то платье порвут.Девочка рассердилась на Ежика и прогнала его прочь.В отчаянии Ежик состриг свои комочки.Деовчка поняла, какой он преданный друг и оставила его жить у себя дома</t>
        </is>
      </c>
      <c r="L4898" s="2" t="inlineStr">
        <is>
          <t>https://gosfilmofond.ru/films/249857/</t>
        </is>
      </c>
      <c r="M4898" s="2">
        <f>HYPERLINK("https://ru.wikipedia.org/w/index.php?search=%D0%95%D0%B6%D0%B8%D0%BA%20%D0%B8%20%D0%B4%D0%B5%D0%B2%D0%BE%D1%87%D0%BA%D0%B0%201988%20%D1%84%D0%B8%D0%BB%D1%8C%D0%BC","искать")</f>
        <v/>
      </c>
      <c r="N4898" s="3" t="n"/>
      <c r="O4898" s="2" t="n"/>
      <c r="P4898" s="2" t="n"/>
    </row>
    <row r="4899">
      <c r="A4899" s="2" t="n">
        <v>4898</v>
      </c>
      <c r="B4899" s="2" t="inlineStr">
        <is>
          <t>короткая</t>
        </is>
      </c>
      <c r="C4899" s="2" t="n">
        <v>13534</v>
      </c>
      <c r="D4899" s="3" t="inlineStr">
        <is>
          <t>Ух ты, говорящая рыба!</t>
        </is>
      </c>
      <c r="E4899" s="2" t="n">
        <v>1983</v>
      </c>
      <c r="F4899" s="2" t="inlineStr">
        <is>
          <t>мультфильм</t>
        </is>
      </c>
      <c r="G4899" s="2" t="inlineStr">
        <is>
          <t>АРМЕНФИЛЬМ</t>
        </is>
      </c>
      <c r="H4899" s="2" t="n">
        <v>261</v>
      </c>
      <c r="I4899" s="2" t="inlineStr"/>
      <c r="J4899" s="2" t="inlineStr"/>
      <c r="K4899" s="3" t="inlineStr">
        <is>
          <t>По мотивам сказки Ованеса Туманяна - вариации сюжета о Золотой рыбке. Старик отпускает обратно в море пойманную говорящую рыбу, которая затем является им со старухой в облике юноши, спасающего их от многих несчастий. Множество афоризмов родом из этого мультика.</t>
        </is>
      </c>
      <c r="L4899" s="2" t="inlineStr">
        <is>
          <t>2026-10_мультфильмы_список_владельца.xlsx; https://animator.ru/db/?p=show_film&amp;fid=4854</t>
        </is>
      </c>
      <c r="M4899" s="2">
        <f>HYPERLINK("https://ru.wikipedia.org/w/index.php?search=%D0%A3%D1%85%20%D1%82%D1%8B%2C%20%D0%B3%D0%BE%D0%B2%D0%BE%D1%80%D1%8F%D1%89%D0%B0%D1%8F%20%D1%80%D1%8B%D0%B1%D0%B0%21%201983%20%D1%84%D0%B8%D0%BB%D1%8C%D0%BC","искать")</f>
        <v/>
      </c>
      <c r="N4899" s="3" t="n"/>
      <c r="O4899" s="2" t="n"/>
      <c r="P4899" s="2" t="n"/>
    </row>
    <row r="4900">
      <c r="A4900" s="2" t="n">
        <v>4899</v>
      </c>
      <c r="B4900" s="2" t="inlineStr">
        <is>
          <t>короткая</t>
        </is>
      </c>
      <c r="C4900" s="2" t="n">
        <v>14433</v>
      </c>
      <c r="D4900" s="3" t="inlineStr">
        <is>
          <t>Свободный тиран</t>
        </is>
      </c>
      <c r="E4900" s="2" t="n">
        <v>1990</v>
      </c>
      <c r="F4900" s="2" t="inlineStr">
        <is>
          <t>мультфильм</t>
        </is>
      </c>
      <c r="G4900" s="2" t="inlineStr">
        <is>
          <t>КУЙБЫШЕВТЕЛЕФИЛЬМ</t>
        </is>
      </c>
      <c r="H4900" s="2" t="n">
        <v>261</v>
      </c>
      <c r="I4900" s="2" t="inlineStr"/>
      <c r="J4900" s="2" t="inlineStr"/>
      <c r="K4900" s="3" t="inlineStr">
        <is>
          <t>Скромный землянин Корнелий Удалов попадает на планету, представляющую собой большой концлагерь, где все население работает в заключении, и только один тиран находится на свободе. С большим трудом Корнелию удается бежать из жуткого мира "идеального" государства.</t>
        </is>
      </c>
      <c r="L4900" s="2" t="inlineStr">
        <is>
          <t>https://animator.ru/db/?p=show_film&amp;fid=6677</t>
        </is>
      </c>
      <c r="M4900" s="2">
        <f>HYPERLINK("https://ru.wikipedia.org/w/index.php?search=%D0%A1%D0%B2%D0%BE%D0%B1%D0%BE%D0%B4%D0%BD%D1%8B%D0%B9%20%D1%82%D0%B8%D1%80%D0%B0%D0%BD%201990%20%D1%84%D0%B8%D0%BB%D1%8C%D0%BC","искать")</f>
        <v/>
      </c>
      <c r="N4900" s="3" t="n"/>
      <c r="O4900" s="2" t="n"/>
      <c r="P4900" s="2" t="n"/>
    </row>
    <row r="4901">
      <c r="A4901" s="2" t="n">
        <v>4900</v>
      </c>
      <c r="B4901" s="2" t="inlineStr">
        <is>
          <t>короткая</t>
        </is>
      </c>
      <c r="C4901" s="2" t="n">
        <v>8745</v>
      </c>
      <c r="D4901" s="3" t="inlineStr">
        <is>
          <t>Избранник</t>
        </is>
      </c>
      <c r="E4901" s="2" t="n">
        <v>1991</v>
      </c>
      <c r="F4901" s="2" t="inlineStr">
        <is>
          <t>кинофильм</t>
        </is>
      </c>
      <c r="G4901" s="2" t="n"/>
      <c r="H4901" s="2" t="n">
        <v>262</v>
      </c>
      <c r="I4901" s="2" t="inlineStr"/>
      <c r="J4901" s="2" t="inlineStr"/>
      <c r="K4901" s="3" t="inlineStr">
        <is>
          <t>რჩეული По роману Проспера Мериме "Матео Фальконе". Сюжет Мериме перенесен на грузинскую почву во времена Гражданской войны. 1921 год. В мире и спокойствии живет с женой и сыном крестьянин Джуна. Уравновешенную жизнь крестьян нарушает приход в село Красной Армии.</t>
        </is>
      </c>
      <c r="L4901" s="2" t="inlineStr">
        <is>
          <t>Кино_СССР сводный каталог.xlsx: список фильмов (доп.)</t>
        </is>
      </c>
      <c r="M4901" s="2">
        <f>HYPERLINK("https://ru.wikipedia.org/w/index.php?search=%D0%98%D0%B7%D0%B1%D1%80%D0%B0%D0%BD%D0%BD%D0%B8%D0%BA%201991%20%D1%84%D0%B8%D0%BB%D1%8C%D0%BC","искать")</f>
        <v/>
      </c>
      <c r="N4901" s="3" t="n"/>
      <c r="O4901" s="2" t="n"/>
      <c r="P4901" s="2" t="n"/>
    </row>
    <row r="4902">
      <c r="A4902" s="2" t="n">
        <v>4901</v>
      </c>
      <c r="B4902" s="2" t="inlineStr">
        <is>
          <t>короткая</t>
        </is>
      </c>
      <c r="C4902" s="2" t="n">
        <v>9101</v>
      </c>
      <c r="D4902" s="3" t="inlineStr">
        <is>
          <t>Тихая невестка</t>
        </is>
      </c>
      <c r="E4902" s="2" t="n">
        <v>1967</v>
      </c>
      <c r="F4902" s="2" t="inlineStr">
        <is>
          <t>кинофильм</t>
        </is>
      </c>
      <c r="G4902" s="2" t="n"/>
      <c r="H4902" s="2" t="n">
        <v>262</v>
      </c>
      <c r="I4902" s="2" t="inlineStr"/>
      <c r="J4902" s="2" t="inlineStr"/>
      <c r="K4902" s="3" t="inlineStr">
        <is>
          <t>По одноименной повести Н.Джулаева Городская девушка-туркменка приехала в колхоз, чтобы выйти замуж за своего парня. Жених предложил уехать назад в город, чтобы не делать свадьбу по строгим туркменским обычаям. Девушка отказалась, чтобы понравиться матери жениха.</t>
        </is>
      </c>
      <c r="L4902" s="2" t="inlineStr">
        <is>
          <t>Кино_СССР сводный каталог.xlsx: список фильмов (доп.)</t>
        </is>
      </c>
      <c r="M4902" s="2">
        <f>HYPERLINK("https://ru.wikipedia.org/w/index.php?search=%D0%A2%D0%B8%D1%85%D0%B0%D1%8F%20%D0%BD%D0%B5%D0%B2%D0%B5%D1%81%D1%82%D0%BA%D0%B0%201967%20%D1%84%D0%B8%D0%BB%D1%8C%D0%BC","искать")</f>
        <v/>
      </c>
      <c r="N4902" s="3" t="n"/>
      <c r="O4902" s="2" t="n"/>
      <c r="P4902" s="2" t="n"/>
    </row>
    <row r="4903">
      <c r="A4903" s="2" t="n">
        <v>4902</v>
      </c>
      <c r="B4903" s="2" t="inlineStr">
        <is>
          <t>короткая</t>
        </is>
      </c>
      <c r="C4903" s="2" t="n">
        <v>9211</v>
      </c>
      <c r="D4903" s="3" t="inlineStr">
        <is>
          <t>Аферисты</t>
        </is>
      </c>
      <c r="E4903" s="2" t="n">
        <v>1990</v>
      </c>
      <c r="F4903" s="2" t="inlineStr">
        <is>
          <t>кинофильм</t>
        </is>
      </c>
      <c r="G4903" s="2" t="n"/>
      <c r="H4903" s="2" t="n">
        <v>262</v>
      </c>
      <c r="I4903" s="2" t="inlineStr"/>
      <c r="J4903" s="2" t="inlineStr"/>
      <c r="K4903" s="3" t="inlineStr">
        <is>
          <t>Забавные приключения трех жуликов Рубика, Маруси и Филимона. Под руководством своего ни менее глупого приятеля по прозвищу Мармелад герои промышляют в поисках икон, выдавая себя в зависимости от ситуации за артистов, художников, искусствоведов и даже за святых..</t>
        </is>
      </c>
      <c r="L4903" s="2" t="inlineStr">
        <is>
          <t>https://gosfilmofond.ru/films/242506/</t>
        </is>
      </c>
      <c r="M4903" s="2">
        <f>HYPERLINK("https://ru.wikipedia.org/w/index.php?search=%D0%90%D1%84%D0%B5%D1%80%D0%B8%D1%81%D1%82%D1%8B%201990%20%D1%84%D0%B8%D0%BB%D1%8C%D0%BC","искать")</f>
        <v/>
      </c>
      <c r="N4903" s="3" t="n"/>
      <c r="O4903" s="2" t="n"/>
      <c r="P4903" s="2" t="n"/>
    </row>
    <row r="4904">
      <c r="A4904" s="2" t="n">
        <v>4903</v>
      </c>
      <c r="B4904" s="2" t="inlineStr">
        <is>
          <t>короткая</t>
        </is>
      </c>
      <c r="C4904" s="2" t="n">
        <v>12219</v>
      </c>
      <c r="D4904" s="3" t="inlineStr">
        <is>
          <t>Пока я не вернусь</t>
        </is>
      </c>
      <c r="E4904" s="2" t="n">
        <v>1988</v>
      </c>
      <c r="F4904" s="2" t="inlineStr">
        <is>
          <t>мультфильм</t>
        </is>
      </c>
      <c r="G4904" s="2" t="inlineStr">
        <is>
          <t>Союзмультфильм</t>
        </is>
      </c>
      <c r="H4904" s="2" t="n">
        <v>262</v>
      </c>
      <c r="I4904" s="2" t="inlineStr"/>
      <c r="J4904" s="2" t="inlineStr"/>
      <c r="K4904" s="3" t="inlineStr">
        <is>
          <t>Фильм снят по мотивам юмористического рассказа английского писателя Ивлина Во "На страже", в котором речь идет о верности, преданности, любви. Носителем этих человеческих качеств в фильме является пес по кличке Гектор - в противовес легкомысленной девочке Милли.</t>
        </is>
      </c>
      <c r="L4904" s="2" t="inlineStr">
        <is>
          <t>2026-10_мультфильмы_список_владельца.xlsx; https://animator.ru/db/?p=show_film&amp;fid=3336</t>
        </is>
      </c>
      <c r="M4904" s="2">
        <f>HYPERLINK("https://ru.wikipedia.org/w/index.php?search=%D0%9F%D0%BE%D0%BA%D0%B0%20%D1%8F%20%D0%BD%D0%B5%20%D0%B2%D0%B5%D1%80%D0%BD%D1%83%D1%81%D1%8C%201988%20%D1%84%D0%B8%D0%BB%D1%8C%D0%BC","искать")</f>
        <v/>
      </c>
      <c r="N4904" s="3" t="n"/>
      <c r="O4904" s="2" t="n"/>
      <c r="P4904" s="2" t="n"/>
    </row>
    <row r="4905">
      <c r="A4905" s="2" t="n">
        <v>4904</v>
      </c>
      <c r="B4905" s="2" t="inlineStr">
        <is>
          <t>короткая</t>
        </is>
      </c>
      <c r="C4905" s="2" t="n">
        <v>12698</v>
      </c>
      <c r="D4905" s="3" t="inlineStr">
        <is>
          <t>Сказка о веселом клоуне</t>
        </is>
      </c>
      <c r="E4905" s="2" t="n">
        <v>1980</v>
      </c>
      <c r="F4905" s="2" t="inlineStr">
        <is>
          <t>мультфильм</t>
        </is>
      </c>
      <c r="G4905" s="2" t="inlineStr">
        <is>
          <t>БЕЛАРУСЬФИЛЬМ НАЦИОНАЛЬНАЯ КИНОСТУДИЯ - ГП</t>
        </is>
      </c>
      <c r="H4905" s="2" t="n">
        <v>262</v>
      </c>
      <c r="I4905" s="2" t="inlineStr"/>
      <c r="J4905" s="2" t="inlineStr"/>
      <c r="K4905" s="3" t="inlineStr">
        <is>
          <t>В городе жила Скука - злая старуха, не позволявшая ребятишкам играть и веселиться. Но как-то раз в гости к малышам приехал смешной, забавный клоун. На веселом представлении, устроенном клоуном для детей, царили радость и смех. И Скуке пришлось убежать из города.</t>
        </is>
      </c>
      <c r="L4905" s="2" t="inlineStr">
        <is>
          <t>2026-10_мультфильмы_список_владельца.xlsx; https://animator.ru/db/?p=show_film&amp;fid=3893</t>
        </is>
      </c>
      <c r="M4905" s="2">
        <f>HYPERLINK("https://ru.wikipedia.org/w/index.php?search=%D0%A1%D0%BA%D0%B0%D0%B7%D0%BA%D0%B0%20%D0%BE%20%D0%B2%D0%B5%D1%81%D0%B5%D0%BB%D0%BE%D0%BC%20%D0%BA%D0%BB%D0%BE%D1%83%D0%BD%D0%B5%201980%20%D1%84%D0%B8%D0%BB%D1%8C%D0%BC","искать")</f>
        <v/>
      </c>
      <c r="N4905" s="3" t="n"/>
      <c r="O4905" s="2" t="n"/>
      <c r="P4905" s="2" t="n"/>
    </row>
    <row r="4906">
      <c r="A4906" s="2" t="n">
        <v>4905</v>
      </c>
      <c r="B4906" s="2" t="inlineStr">
        <is>
          <t>короткая</t>
        </is>
      </c>
      <c r="C4906" s="2" t="n">
        <v>7189</v>
      </c>
      <c r="D4906" s="3" t="inlineStr">
        <is>
          <t>Август</t>
        </is>
      </c>
      <c r="E4906" s="2" t="n">
        <v>1978</v>
      </c>
      <c r="F4906" s="2" t="inlineStr">
        <is>
          <t>телефильм</t>
        </is>
      </c>
      <c r="G4906" s="2" t="n"/>
      <c r="H4906" s="2" t="n">
        <v>263</v>
      </c>
      <c r="I4906" s="2" t="inlineStr"/>
      <c r="J4906" s="2" t="inlineStr"/>
      <c r="K4906" s="3" t="inlineStr">
        <is>
          <t>По мотивам новелл Г.Матевосяна "На станции", "Алхо", "Начало", "Август". Герой фильма, выпускник университета, вернувшись домой, в горное село, приходит к пониманию, что простое человеческое счастье заключено в таких простых понятиях, как родной дом, родное село.</t>
        </is>
      </c>
      <c r="L4906" s="2" t="inlineStr">
        <is>
          <t>Кино_СССР сводный каталог.xlsx: список телефильмов</t>
        </is>
      </c>
      <c r="M4906" s="2">
        <f>HYPERLINK("https://ru.wikipedia.org/w/index.php?search=%D0%90%D0%B2%D0%B3%D1%83%D1%81%D1%82%201978%20%D1%84%D0%B8%D0%BB%D1%8C%D0%BC","искать")</f>
        <v/>
      </c>
      <c r="N4906" s="3" t="n"/>
      <c r="O4906" s="2" t="n"/>
      <c r="P4906" s="2" t="n"/>
    </row>
    <row r="4907">
      <c r="A4907" s="2" t="n">
        <v>4906</v>
      </c>
      <c r="B4907" s="2" t="inlineStr">
        <is>
          <t>короткая</t>
        </is>
      </c>
      <c r="C4907" s="2" t="n">
        <v>7786</v>
      </c>
      <c r="D4907" s="3" t="inlineStr">
        <is>
          <t>Лада из страны берендеев</t>
        </is>
      </c>
      <c r="E4907" s="2" t="n">
        <v>1971</v>
      </c>
      <c r="F4907" s="2" t="inlineStr">
        <is>
          <t>телефильм</t>
        </is>
      </c>
      <c r="G4907" s="2" t="n"/>
      <c r="H4907" s="2" t="n">
        <v>263</v>
      </c>
      <c r="I4907" s="2" t="inlineStr"/>
      <c r="J4907" s="2" t="inlineStr"/>
      <c r="K4907" s="3" t="inlineStr">
        <is>
          <t>Девушка Лада из страны берендеев сбежала от своей бабушки Бабы Яги и оказалась в чужом королевстве. В нём проходит конкурс певиц, где победителем должна стать дочь местного короля. Для этого подкуплены судьи жюри, добавлены подсадные зрители и даже нанят снайпер.</t>
        </is>
      </c>
      <c r="L4907" s="2" t="inlineStr">
        <is>
          <t>https://ru.wikipedia.org/w/index.php?title=%D0%9B%D0%B0%D0%B4%D0%B0_%D0%B8%D0%B7_%D1%81%D1%82%D1%80%D0%B0%D0%BD%D1%8B_%D0%B1%D0%B5%D1%80%D0%B5%D0%BD%D0%B4%D0%B5%D0%B5%D0%B2&amp;oldid=154698270</t>
        </is>
      </c>
      <c r="M4907" s="2">
        <f>HYPERLINK("https://ru.wikipedia.org/w/index.php?search=%D0%9B%D0%B0%D0%B4%D0%B0%20%D0%B8%D0%B7%20%D1%81%D1%82%D1%80%D0%B0%D0%BD%D1%8B%20%D0%B1%D0%B5%D1%80%D0%B5%D0%BD%D0%B4%D0%B5%D0%B5%D0%B2%201971%20%D1%84%D0%B8%D0%BB%D1%8C%D0%BC","искать")</f>
        <v/>
      </c>
      <c r="N4907" s="3" t="n"/>
      <c r="O4907" s="2" t="n"/>
      <c r="P4907" s="2" t="n"/>
    </row>
    <row r="4908">
      <c r="A4908" s="2" t="n">
        <v>4907</v>
      </c>
      <c r="B4908" s="2" t="inlineStr">
        <is>
          <t>короткая</t>
        </is>
      </c>
      <c r="C4908" s="2" t="n">
        <v>8142</v>
      </c>
      <c r="D4908" s="3" t="inlineStr">
        <is>
          <t>Подснежники</t>
        </is>
      </c>
      <c r="E4908" s="2" t="n">
        <v>1974</v>
      </c>
      <c r="F4908" s="2" t="inlineStr">
        <is>
          <t>телефильм</t>
        </is>
      </c>
      <c r="G4908" s="2" t="n"/>
      <c r="H4908" s="2" t="n">
        <v>263</v>
      </c>
      <c r="I4908" s="2" t="inlineStr"/>
      <c r="J4908" s="2" t="inlineStr"/>
      <c r="K4908" s="3" t="inlineStr">
        <is>
          <t>Телефильм. Группа школьников, решив поздравить своих мам с праздником 8-го марта, отправляются в горы за подснежниками. В пути их ожидают различные приключения, им приходится преодолевать немало трудностей. Но несмотря на это, ребята возвращаются домой с цветами.</t>
        </is>
      </c>
      <c r="L4908" s="2" t="inlineStr">
        <is>
          <t>Кино_СССР сводный каталог.xlsx: список телефильмов</t>
        </is>
      </c>
      <c r="M4908" s="2">
        <f>HYPERLINK("https://ru.wikipedia.org/w/index.php?search=%D0%9F%D0%BE%D0%B4%D1%81%D0%BD%D0%B5%D0%B6%D0%BD%D0%B8%D0%BA%D0%B8%201974%20%D1%84%D0%B8%D0%BB%D1%8C%D0%BC","искать")</f>
        <v/>
      </c>
      <c r="N4908" s="3" t="n"/>
      <c r="O4908" s="2" t="n"/>
      <c r="P4908" s="2" t="n"/>
    </row>
    <row r="4909">
      <c r="A4909" s="2" t="n">
        <v>4908</v>
      </c>
      <c r="B4909" s="2" t="inlineStr">
        <is>
          <t>короткая</t>
        </is>
      </c>
      <c r="C4909" s="2" t="n">
        <v>12180</v>
      </c>
      <c r="D4909" s="3" t="inlineStr">
        <is>
          <t>Мальчик как мальчик</t>
        </is>
      </c>
      <c r="E4909" s="2" t="n">
        <v>1986</v>
      </c>
      <c r="F4909" s="2" t="inlineStr">
        <is>
          <t>мультфильм</t>
        </is>
      </c>
      <c r="G4909" s="2" t="inlineStr">
        <is>
          <t>Союзмультфильм</t>
        </is>
      </c>
      <c r="H4909" s="2" t="n">
        <v>263</v>
      </c>
      <c r="I4909" s="2" t="inlineStr"/>
      <c r="J4909" s="2" t="inlineStr"/>
      <c r="K4909" s="3" t="inlineStr">
        <is>
          <t>Мультипликационный фильм о мальчике, обладающем способностью превращаться в разных зверей и птиц в силу фантазии. По разному реагируют на это взрослые: родители беспокоятся, а врач считает его абсолютно здоровым. Учительница же сумела найти взаимопонимание с ним.</t>
        </is>
      </c>
      <c r="L4909" s="2" t="inlineStr">
        <is>
          <t>2026-10_мультфильмы_список_владельца.xlsx; https://animator.ru/db/?p=show_film&amp;fid=3296</t>
        </is>
      </c>
      <c r="M4909" s="2">
        <f>HYPERLINK("https://ru.wikipedia.org/w/index.php?search=%D0%9C%D0%B0%D0%BB%D1%8C%D1%87%D0%B8%D0%BA%20%D0%BA%D0%B0%D0%BA%20%D0%BC%D0%B0%D0%BB%D1%8C%D1%87%D0%B8%D0%BA%201986%20%D1%84%D0%B8%D0%BB%D1%8C%D0%BC","искать")</f>
        <v/>
      </c>
      <c r="N4909" s="3" t="n"/>
      <c r="O4909" s="2" t="n"/>
      <c r="P4909" s="2" t="n"/>
    </row>
    <row r="4910">
      <c r="A4910" s="2" t="n">
        <v>4909</v>
      </c>
      <c r="B4910" s="2" t="inlineStr">
        <is>
          <t>короткая</t>
        </is>
      </c>
      <c r="C4910" s="2" t="n">
        <v>7537</v>
      </c>
      <c r="D4910" s="3" t="inlineStr">
        <is>
          <t>Дом на дюнах</t>
        </is>
      </c>
      <c r="E4910" s="2" t="n">
        <v>1984</v>
      </c>
      <c r="F4910" s="2" t="inlineStr">
        <is>
          <t>телефильм</t>
        </is>
      </c>
      <c r="G4910" s="2" t="n"/>
      <c r="H4910" s="2" t="n">
        <v>264</v>
      </c>
      <c r="I4910" s="2" t="inlineStr"/>
      <c r="J4910" s="2" t="inlineStr"/>
      <c r="K4910" s="3" t="inlineStr">
        <is>
          <t>Телефильм по одноименной повести Роберта Стивенсона. Уединенный дом на дюнах, стоящий на краю болотистой пустоши, привлекает внимание каких-то странных людей, похожих на разбойников. Обитатели дома и гости живут как в осаде. Какая же тайна связана с хозяином дома?</t>
        </is>
      </c>
      <c r="L4910" s="2" t="inlineStr">
        <is>
          <t>Кино_СССР сводный каталог.xlsx: список телефильмов</t>
        </is>
      </c>
      <c r="M4910" s="2">
        <f>HYPERLINK("https://ru.wikipedia.org/w/index.php?search=%D0%94%D0%BE%D0%BC%20%D0%BD%D0%B0%20%D0%B4%D1%8E%D0%BD%D0%B0%D1%85%201984%20%D1%84%D0%B8%D0%BB%D1%8C%D0%BC","искать")</f>
        <v/>
      </c>
      <c r="N4910" s="3" t="n"/>
      <c r="O4910" s="2" t="n"/>
      <c r="P4910" s="2" t="n"/>
    </row>
    <row r="4911">
      <c r="A4911" s="2" t="n">
        <v>4910</v>
      </c>
      <c r="B4911" s="2" t="inlineStr">
        <is>
          <t>короткая</t>
        </is>
      </c>
      <c r="C4911" s="2" t="n">
        <v>9140</v>
      </c>
      <c r="D4911" s="3" t="inlineStr">
        <is>
          <t>Формула памяти</t>
        </is>
      </c>
      <c r="E4911" s="2" t="n">
        <v>1982</v>
      </c>
      <c r="F4911" s="2" t="inlineStr">
        <is>
          <t>кинофильм</t>
        </is>
      </c>
      <c r="G4911" s="2" t="n"/>
      <c r="H4911" s="2" t="n">
        <v>264</v>
      </c>
      <c r="I4911" s="2" t="inlineStr"/>
      <c r="J4911" s="2" t="inlineStr"/>
      <c r="K4911" s="3" t="inlineStr">
        <is>
          <t>По мотивам одноименного романа Бориса Никольского. Под руководством академика Архипова ведутся исследования в области памяти. Ему, как и многим другим мыслящим людям, небезразлично, в каких целях могут быть использованы научные открытия и насколько они современны.</t>
        </is>
      </c>
      <c r="L4911" s="2" t="inlineStr">
        <is>
          <t>Кино_СССР сводный каталог.xlsx: список фильмов (доп.)</t>
        </is>
      </c>
      <c r="M4911" s="2">
        <f>HYPERLINK("https://ru.wikipedia.org/w/index.php?search=%D0%A4%D0%BE%D1%80%D0%BC%D1%83%D0%BB%D0%B0%20%D0%BF%D0%B0%D0%BC%D1%8F%D1%82%D0%B8%201982%20%D1%84%D0%B8%D0%BB%D1%8C%D0%BC","искать")</f>
        <v/>
      </c>
      <c r="N4911" s="3" t="n"/>
      <c r="O4911" s="2" t="n"/>
      <c r="P4911" s="2" t="n"/>
    </row>
    <row r="4912">
      <c r="A4912" s="2" t="n">
        <v>4911</v>
      </c>
      <c r="B4912" s="2" t="inlineStr">
        <is>
          <t>короткая</t>
        </is>
      </c>
      <c r="C4912" s="2" t="n">
        <v>9287</v>
      </c>
      <c r="D4912" s="3" t="inlineStr">
        <is>
          <t>Всё впереди</t>
        </is>
      </c>
      <c r="E4912" s="2" t="n">
        <v>1990</v>
      </c>
      <c r="F4912" s="2" t="inlineStr">
        <is>
          <t>кинофильм</t>
        </is>
      </c>
      <c r="G4912" s="2" t="n"/>
      <c r="H4912" s="2" t="n">
        <v>264</v>
      </c>
      <c r="I4912" s="2" t="inlineStr"/>
      <c r="J4912" s="2" t="inlineStr"/>
      <c r="K4912" s="3" t="inlineStr">
        <is>
          <t>Экранизация одного из самых ярких романов мастера русской прозы, «деревенщика» Василия Белова.
Не выдержав измены жены в загранкомандировке и неурядиц на работе, талантливый учёный спивается, очищается и становится деревенским жителем, возвращаясь к своим истокам.</t>
        </is>
      </c>
      <c r="L4912" s="2" t="inlineStr">
        <is>
          <t>https://ru.wikipedia.org/w/index.php?title=%D0%92%D1%81%D1%91_%D0%B2%D0%BF%D0%B5%D1%80%D0%B5%D0%B4%D0%B8_%28%D1%84%D0%B8%D0%BB%D1%8C%D0%BC%29&amp;oldid=153795886</t>
        </is>
      </c>
      <c r="M4912" s="2">
        <f>HYPERLINK("https://ru.wikipedia.org/w/index.php?search=%D0%92%D1%81%D1%91%20%D0%B2%D0%BF%D0%B5%D1%80%D0%B5%D0%B4%D0%B8%201990%20%D1%84%D0%B8%D0%BB%D1%8C%D0%BC","искать")</f>
        <v/>
      </c>
      <c r="N4912" s="3" t="n"/>
      <c r="O4912" s="2" t="n"/>
      <c r="P4912" s="2" t="n"/>
    </row>
    <row r="4913">
      <c r="A4913" s="2" t="n">
        <v>4912</v>
      </c>
      <c r="B4913" s="2" t="inlineStr">
        <is>
          <t>короткая</t>
        </is>
      </c>
      <c r="C4913" s="2" t="n">
        <v>7680</v>
      </c>
      <c r="D4913" s="3" t="inlineStr">
        <is>
          <t>Из жития Остапа Вишни</t>
        </is>
      </c>
      <c r="E4913" s="2" t="n">
        <v>1991</v>
      </c>
      <c r="F4913" s="2" t="inlineStr">
        <is>
          <t>телефильм</t>
        </is>
      </c>
      <c r="G4913" s="2" t="n"/>
      <c r="H4913" s="2" t="n">
        <v>265</v>
      </c>
      <c r="I4913" s="2" t="inlineStr"/>
      <c r="J4913" s="2" t="inlineStr"/>
      <c r="K4913" s="3" t="inlineStr">
        <is>
          <t>Биграфическая картина о наиболее драматическом периоде жизни известного украинского писателя Остапа Вишни, который в тридцатые годы был репрессирован и сослан в Сибирь. Верная жена и помощница Варвара Маслюченко разделила его участь и последовала за мужем в ссылку.</t>
        </is>
      </c>
      <c r="L4913" s="2" t="inlineStr">
        <is>
          <t>Кино_СССР сводный каталог.xlsx: список телефильмов</t>
        </is>
      </c>
      <c r="M4913" s="2">
        <f>HYPERLINK("https://ru.wikipedia.org/w/index.php?search=%D0%98%D0%B7%20%D0%B6%D0%B8%D1%82%D0%B8%D1%8F%20%D0%9E%D1%81%D1%82%D0%B0%D0%BF%D0%B0%20%D0%92%D0%B8%D1%88%D0%BD%D0%B8%201991%20%D1%84%D0%B8%D0%BB%D1%8C%D0%BC","искать")</f>
        <v/>
      </c>
      <c r="N4913" s="3" t="n"/>
      <c r="O4913" s="2" t="n"/>
      <c r="P4913" s="2" t="n"/>
    </row>
    <row r="4914">
      <c r="A4914" s="2" t="n">
        <v>4913</v>
      </c>
      <c r="B4914" s="2" t="inlineStr">
        <is>
          <t>короткая</t>
        </is>
      </c>
      <c r="C4914" s="2" t="n">
        <v>8389</v>
      </c>
      <c r="D4914" s="3" t="inlineStr">
        <is>
          <t>Спасибо за нелётную погоду</t>
        </is>
      </c>
      <c r="E4914" s="2" t="n">
        <v>1981</v>
      </c>
      <c r="F4914" s="2" t="inlineStr">
        <is>
          <t>телефильм</t>
        </is>
      </c>
      <c r="G4914" s="2" t="n"/>
      <c r="H4914" s="2" t="n">
        <v>265</v>
      </c>
      <c r="I4914" s="2" t="inlineStr"/>
      <c r="J4914" s="2" t="inlineStr"/>
      <c r="K4914" s="3" t="inlineStr">
        <is>
          <t>Аэродром. Люди уезжают, приезжают, или сидят и ждут, если вылет задерживается из-за нелетной погоды. Диктор объявляет, что все скоро смогут улететь и гастроли артистов не задержатся. А пока, до вылета, все, что остается артистам - это петь для тех, кто ждет вылета.</t>
        </is>
      </c>
      <c r="L4914" s="2" t="inlineStr">
        <is>
          <t>Кино_СССР сводный каталог.xlsx: список телефильмов</t>
        </is>
      </c>
      <c r="M4914" s="2">
        <f>HYPERLINK("https://ru.wikipedia.org/w/index.php?search=%D0%A1%D0%BF%D0%B0%D1%81%D0%B8%D0%B1%D0%BE%20%D0%B7%D0%B0%20%D0%BD%D0%B5%D0%BB%D1%91%D1%82%D0%BD%D1%83%D1%8E%20%D0%BF%D0%BE%D0%B3%D0%BE%D0%B4%D1%83%201981%20%D1%84%D0%B8%D0%BB%D1%8C%D0%BC","искать")</f>
        <v/>
      </c>
      <c r="N4914" s="3" t="n"/>
      <c r="O4914" s="2" t="n"/>
      <c r="P4914" s="2" t="n"/>
    </row>
    <row r="4915">
      <c r="A4915" s="2" t="n">
        <v>4914</v>
      </c>
      <c r="B4915" s="2" t="inlineStr">
        <is>
          <t>короткая</t>
        </is>
      </c>
      <c r="C4915" s="2" t="n">
        <v>8744</v>
      </c>
      <c r="D4915" s="3" t="inlineStr">
        <is>
          <t>Игра с огнем</t>
        </is>
      </c>
      <c r="E4915" s="2" t="n">
        <v>1990</v>
      </c>
      <c r="F4915" s="2" t="inlineStr">
        <is>
          <t>кинофильм</t>
        </is>
      </c>
      <c r="G4915" s="2" t="n"/>
      <c r="H4915" s="2" t="n">
        <v>265</v>
      </c>
      <c r="I4915" s="2" t="inlineStr"/>
      <c r="J4915" s="2" t="inlineStr"/>
      <c r="K4915" s="3" t="inlineStr">
        <is>
          <t>Молодая женщина выбрала очень трудную работу, и стала инспектором в колонии трудновоспитуемых детей. Она подружилась с одним ребенком и старается, чтобы мальчик не втягивался в черный мир. Но реальность суровей и беспощадней. Она в этой борьбе за мальчика погибает.</t>
        </is>
      </c>
      <c r="L4915" s="2" t="inlineStr">
        <is>
          <t>Кино_СССР сводный каталог.xlsx: список фильмов (доп.)</t>
        </is>
      </c>
      <c r="M4915" s="2">
        <f>HYPERLINK("https://ru.wikipedia.org/w/index.php?search=%D0%98%D0%B3%D1%80%D0%B0%20%D1%81%20%D0%BE%D0%B3%D0%BD%D0%B5%D0%BC%201990%20%D1%84%D0%B8%D0%BB%D1%8C%D0%BC","искать")</f>
        <v/>
      </c>
      <c r="N4915" s="3" t="n"/>
      <c r="O4915" s="2" t="n"/>
      <c r="P4915" s="2" t="n"/>
    </row>
    <row r="4916">
      <c r="A4916" s="2" t="n">
        <v>4915</v>
      </c>
      <c r="B4916" s="2" t="inlineStr">
        <is>
          <t>короткая</t>
        </is>
      </c>
      <c r="C4916" s="2" t="n">
        <v>8772</v>
      </c>
      <c r="D4916" s="3" t="inlineStr">
        <is>
          <t>Контакт</t>
        </is>
      </c>
      <c r="E4916" s="2" t="n">
        <v>1989</v>
      </c>
      <c r="F4916" s="2" t="inlineStr">
        <is>
          <t>кинофильм</t>
        </is>
      </c>
      <c r="G4916" s="2" t="n"/>
      <c r="H4916" s="2" t="n">
        <v>265</v>
      </c>
      <c r="I4916" s="2" t="inlineStr"/>
      <c r="J4916" s="2" t="inlineStr"/>
      <c r="K4916" s="3" t="inlineStr">
        <is>
          <t>В поисках жилья студент находит объявление о сдаче квартиры за вполне приемлемую плату — и сразу дает согласие женщине, недавно похоронившей сына, соблюдать все ее условия. Юноша въезжает в квартиру и постепенно становится свидетелем непонятных мистических явлений.</t>
        </is>
      </c>
      <c r="L4916" s="2" t="inlineStr">
        <is>
          <t>Кино_СССР сводный каталог.xlsx: список фильмов (доп.)</t>
        </is>
      </c>
      <c r="M4916" s="2">
        <f>HYPERLINK("https://ru.wikipedia.org/w/index.php?search=%D0%9A%D0%BE%D0%BD%D1%82%D0%B0%D0%BA%D1%82%201989%20%D1%84%D0%B8%D0%BB%D1%8C%D0%BC","искать")</f>
        <v/>
      </c>
      <c r="N4916" s="3" t="n"/>
      <c r="O4916" s="2" t="n"/>
      <c r="P4916" s="2" t="n"/>
    </row>
    <row r="4917">
      <c r="A4917" s="2" t="n">
        <v>4916</v>
      </c>
      <c r="B4917" s="2" t="inlineStr">
        <is>
          <t>короткая</t>
        </is>
      </c>
      <c r="C4917" s="2" t="n">
        <v>9288</v>
      </c>
      <c r="D4917" s="3" t="inlineStr">
        <is>
          <t>Все решает мгновение</t>
        </is>
      </c>
      <c r="E4917" s="2" t="n">
        <v>1979</v>
      </c>
      <c r="F4917" s="2" t="inlineStr">
        <is>
          <t>кинофильм</t>
        </is>
      </c>
      <c r="G4917" s="2" t="n"/>
      <c r="H4917" s="2" t="n">
        <v>265</v>
      </c>
      <c r="I4917" s="2" t="inlineStr"/>
      <c r="J4917" s="2" t="inlineStr"/>
      <c r="K4917" s="3" t="inlineStr">
        <is>
          <t>Широкоформатный фильм. Спортивная драма о советской девушке, пловчихе-самородке (Галина Беляева), устанавливающей с легкостью мировые рекорды на тренировках, но не могущей преодолеть барьер страха выступления на международных соревнованиях при заполненных трибунах.</t>
        </is>
      </c>
      <c r="L4917" s="2" t="inlineStr">
        <is>
          <t>Кино_СССР сводный каталог.xlsx: список фильмов (доп.)</t>
        </is>
      </c>
      <c r="M4917" s="2">
        <f>HYPERLINK("https://ru.wikipedia.org/w/index.php?search=%D0%92%D1%81%D0%B5%20%D1%80%D0%B5%D1%88%D0%B0%D0%B5%D1%82%20%D0%BC%D0%B3%D0%BD%D0%BE%D0%B2%D0%B5%D0%BD%D0%B8%D0%B5%201979%20%D1%84%D0%B8%D0%BB%D1%8C%D0%BC","искать")</f>
        <v/>
      </c>
      <c r="N4917" s="3" t="n"/>
      <c r="O4917" s="2" t="n"/>
      <c r="P4917" s="2" t="n"/>
    </row>
    <row r="4918">
      <c r="A4918" s="2" t="n">
        <v>4917</v>
      </c>
      <c r="B4918" s="2" t="inlineStr">
        <is>
          <t>короткая</t>
        </is>
      </c>
      <c r="C4918" s="2" t="n">
        <v>9831</v>
      </c>
      <c r="D4918" s="3" t="inlineStr">
        <is>
          <t>Возвращение Одиссея</t>
        </is>
      </c>
      <c r="E4918" s="2" t="n">
        <v>1966</v>
      </c>
      <c r="F4918" s="2" t="inlineStr">
        <is>
          <t>телефильм</t>
        </is>
      </c>
      <c r="G4918" s="2" t="inlineStr">
        <is>
          <t>Мосфильм по заказу ЦТ</t>
        </is>
      </c>
      <c r="H4918" s="2" t="n">
        <v>265</v>
      </c>
      <c r="I4918" s="2" t="inlineStr"/>
      <c r="J4918" s="2" t="inlineStr"/>
      <c r="K4918" s="3" t="inlineStr">
        <is>
          <t>Телефильм по одноименному рассказу Б.Лавренева.
Во время войны девушка из приморского городка спасла раненого советского моряка. Ей удалось переправить его в горы к прартизанам. Между молодыми людьми возникает любовь, которая помогает пройти через многие испытания.</t>
        </is>
      </c>
      <c r="L4918" s="2" t="inlineStr">
        <is>
          <t>https://www.kino-teatr.ru/short/movie/sov/89434/annot/</t>
        </is>
      </c>
      <c r="M4918" s="2">
        <f>HYPERLINK("https://ru.wikipedia.org/w/index.php?search=%D0%92%D0%BE%D0%B7%D0%B2%D1%80%D0%B0%D1%89%D0%B5%D0%BD%D0%B8%D0%B5%20%D0%9E%D0%B4%D0%B8%D1%81%D1%81%D0%B5%D1%8F%201966%20%D1%84%D0%B8%D0%BB%D1%8C%D0%BC","искать")</f>
        <v/>
      </c>
      <c r="N4918" s="3" t="n"/>
      <c r="O4918" s="2" t="n"/>
      <c r="P4918" s="2" t="n"/>
    </row>
    <row r="4919">
      <c r="A4919" s="2" t="n">
        <v>4918</v>
      </c>
      <c r="B4919" s="2" t="inlineStr">
        <is>
          <t>короткая</t>
        </is>
      </c>
      <c r="C4919" s="2" t="n">
        <v>10938</v>
      </c>
      <c r="D4919" s="3" t="inlineStr">
        <is>
          <t>Долг судного дня</t>
        </is>
      </c>
      <c r="E4919" s="2" t="n">
        <v>1982</v>
      </c>
      <c r="F4919" s="2" t="inlineStr">
        <is>
          <t>фильм-спектакль</t>
        </is>
      </c>
      <c r="G4919" s="2" t="n"/>
      <c r="H4919" s="2" t="n">
        <v>265</v>
      </c>
      <c r="I4919" s="2" t="inlineStr"/>
      <c r="J4919" s="2" t="inlineStr"/>
      <c r="K4919" s="3" t="inlineStr">
        <is>
          <t>Спектакль Узбекского национального академического драматического театра рассказывает о страданиях отца Сулеймана, потерявшего ребенка во время Второй мировой войны.
Спектакль поставлен по произведению узбекского драматурга и писателя Ульмаса Умарбекова (1934-1994).</t>
        </is>
      </c>
      <c r="L4919" s="2" t="inlineStr">
        <is>
          <t>https://www.kino-teatr.ru/teatr/movie/191242/annot/</t>
        </is>
      </c>
      <c r="M4919" s="2">
        <f>HYPERLINK("https://ru.wikipedia.org/w/index.php?search=%D0%94%D0%BE%D0%BB%D0%B3%20%D1%81%D1%83%D0%B4%D0%BD%D0%BE%D0%B3%D0%BE%20%D0%B4%D0%BD%D1%8F%201982%20%D1%84%D0%B8%D0%BB%D1%8C%D0%BC","искать")</f>
        <v/>
      </c>
      <c r="N4919" s="3" t="n"/>
      <c r="O4919" s="2" t="n"/>
      <c r="P4919" s="2" t="n"/>
    </row>
    <row r="4920">
      <c r="A4920" s="2" t="n">
        <v>4919</v>
      </c>
      <c r="B4920" s="2" t="inlineStr">
        <is>
          <t>короткая</t>
        </is>
      </c>
      <c r="C4920" s="2" t="n">
        <v>11459</v>
      </c>
      <c r="D4920" s="3" t="inlineStr">
        <is>
          <t>Сказка о Золотом Петушке</t>
        </is>
      </c>
      <c r="E4920" s="2" t="n">
        <v>1967</v>
      </c>
      <c r="F4920" s="2" t="inlineStr">
        <is>
          <t>мультфильм</t>
        </is>
      </c>
      <c r="G4920" s="2" t="inlineStr">
        <is>
          <t>Союзмультфильм</t>
        </is>
      </c>
      <c r="H4920" s="2" t="n">
        <v>265</v>
      </c>
      <c r="I4920" s="2" t="inlineStr"/>
      <c r="J4920" s="2" t="inlineStr"/>
      <c r="K4920" s="3" t="inlineStr">
        <is>
          <t>По мотивам сказки А.С. Пушкина. Царь Додон на старости лет не может оборонять свое царство от воинственных соседей. Мудрец дарит ему Золотого Петушка, который заблаговременно предупреждает царя об опасности. За это царь обещает мудрецу, исполнить любое его желание.</t>
        </is>
      </c>
      <c r="L4920" s="2" t="inlineStr">
        <is>
          <t>2026-10_мультфильмы_список_владельца.xlsx; https://animator.ru/db/?p=show_film&amp;fid=2230</t>
        </is>
      </c>
      <c r="M4920" s="2">
        <f>HYPERLINK("https://ru.wikipedia.org/w/index.php?search=%D0%A1%D0%BA%D0%B0%D0%B7%D0%BA%D0%B0%20%D0%BE%20%D0%97%D0%BE%D0%BB%D0%BE%D1%82%D0%BE%D0%BC%20%D0%9F%D0%B5%D1%82%D1%83%D1%88%D0%BA%D0%B5%201967%20%D1%84%D0%B8%D0%BB%D1%8C%D0%BC","искать")</f>
        <v/>
      </c>
      <c r="N4920" s="3" t="n"/>
      <c r="O4920" s="2" t="n"/>
      <c r="P4920" s="2" t="n"/>
    </row>
    <row r="4921">
      <c r="A4921" s="2" t="n">
        <v>4920</v>
      </c>
      <c r="B4921" s="2" t="inlineStr">
        <is>
          <t>короткая</t>
        </is>
      </c>
      <c r="C4921" s="2" t="n">
        <v>8231</v>
      </c>
      <c r="D4921" s="3" t="inlineStr">
        <is>
          <t>Происшествие в каникулы</t>
        </is>
      </c>
      <c r="E4921" s="2" t="n">
        <v>1981</v>
      </c>
      <c r="F4921" s="2" t="inlineStr">
        <is>
          <t>телефильм</t>
        </is>
      </c>
      <c r="G4921" s="2" t="n"/>
      <c r="H4921" s="2" t="n">
        <v>266</v>
      </c>
      <c r="I4921" s="2" t="inlineStr"/>
      <c r="J4921" s="2" t="inlineStr"/>
      <c r="K4921" s="3" t="inlineStr">
        <is>
          <t>По мотивам рассказов Э.Рауда "Детективнвя история" и "Телепатическая история". К семикласснику Юрнасу, который живет в небольшом поселке, из города на каникулы приезжает его сверстница Кярт. Юрнас и его друзья, желая развлечь Кярт, решают научить ее фотографировать.</t>
        </is>
      </c>
      <c r="L4921" s="2" t="inlineStr">
        <is>
          <t>Кино_СССР сводный каталог.xlsx: список телефильмов</t>
        </is>
      </c>
      <c r="M4921" s="2">
        <f>HYPERLINK("https://ru.wikipedia.org/w/index.php?search=%D0%9F%D1%80%D0%BE%D0%B8%D1%81%D1%88%D0%B5%D1%81%D1%82%D0%B2%D0%B8%D0%B5%20%D0%B2%20%D0%BA%D0%B0%D0%BD%D0%B8%D0%BA%D1%83%D0%BB%D1%8B%201981%20%D1%84%D0%B8%D0%BB%D1%8C%D0%BC","искать")</f>
        <v/>
      </c>
      <c r="N4921" s="3" t="n"/>
      <c r="O4921" s="2" t="n"/>
      <c r="P4921" s="2" t="n"/>
    </row>
    <row r="4922">
      <c r="A4922" s="2" t="n">
        <v>4921</v>
      </c>
      <c r="B4922" s="2" t="inlineStr">
        <is>
          <t>короткая</t>
        </is>
      </c>
      <c r="C4922" s="2" t="n">
        <v>10829</v>
      </c>
      <c r="D4922" s="3" t="inlineStr">
        <is>
          <t>Ярость</t>
        </is>
      </c>
      <c r="E4922" s="2" t="n">
        <v>1979</v>
      </c>
      <c r="F4922" s="2" t="inlineStr">
        <is>
          <t>фильм-спектакль</t>
        </is>
      </c>
      <c r="G4922" s="2" t="inlineStr">
        <is>
          <t>Центральное телевидение</t>
        </is>
      </c>
      <c r="H4922" s="2" t="n">
        <v>266</v>
      </c>
      <c r="I4922" s="2" t="inlineStr"/>
      <c r="J4922" s="2" t="inlineStr"/>
      <c r="K4922" s="3" t="inlineStr">
        <is>
          <t>По мотивам романов Юлия Файбышенко "Розовый куст" и "В медвежьем углу".
Действие происходит в 20-годы ХХ столетия.
О трудовых буднях сотрудников уголовного розыска провинциального города, ведущих непримиримую борьбу с хорошо организованной бандой убийц и грабителей.</t>
        </is>
      </c>
      <c r="L4922" s="2" t="inlineStr">
        <is>
          <t>https://www.kino-teatr.ru/teatr/movie/8224/annot/</t>
        </is>
      </c>
      <c r="M4922" s="2">
        <f>HYPERLINK("https://ru.wikipedia.org/w/index.php?search=%D0%AF%D1%80%D0%BE%D1%81%D1%82%D1%8C%201979%20%D1%84%D0%B8%D0%BB%D1%8C%D0%BC","искать")</f>
        <v/>
      </c>
      <c r="N4922" s="3" t="n"/>
      <c r="O4922" s="2" t="n"/>
      <c r="P4922" s="2" t="n"/>
    </row>
    <row r="4923">
      <c r="A4923" s="2" t="n">
        <v>4922</v>
      </c>
      <c r="B4923" s="2" t="inlineStr">
        <is>
          <t>короткая</t>
        </is>
      </c>
      <c r="C4923" s="2" t="n">
        <v>11223</v>
      </c>
      <c r="D4923" s="3" t="inlineStr">
        <is>
          <t>Проводим эксперимент</t>
        </is>
      </c>
      <c r="E4923" s="2" t="n">
        <v>1988</v>
      </c>
      <c r="F4923" s="2" t="inlineStr">
        <is>
          <t>фильм-спектакль</t>
        </is>
      </c>
      <c r="G4923" s="2" t="inlineStr">
        <is>
          <t>Главная редакция литературно-драматических программ ЦТ</t>
        </is>
      </c>
      <c r="H4923" s="2" t="n">
        <v>266</v>
      </c>
      <c r="I4923" s="2" t="inlineStr"/>
      <c r="J4923" s="2" t="inlineStr"/>
      <c r="K4923" s="3" t="inlineStr">
        <is>
          <t>По пьесе Валентина Черных и Марка Захарова в постановке Севастопольского русского драматического театра имени А.В. Луначарского.
Сатирическая комедия об эксперименте на заводе, в ходе которого весь дминистративный аппарат был заменен молодыми сотрудниками-дублерами.</t>
        </is>
      </c>
      <c r="L4923" s="2" t="inlineStr">
        <is>
          <t>https://www.kino-teatr.ru/teatr/movie/81730/annot/</t>
        </is>
      </c>
      <c r="M4923" s="2">
        <f>HYPERLINK("https://ru.wikipedia.org/w/index.php?search=%D0%9F%D1%80%D0%BE%D0%B2%D0%BE%D0%B4%D0%B8%D0%BC%20%D1%8D%D0%BA%D1%81%D0%BF%D0%B5%D1%80%D0%B8%D0%BC%D0%B5%D0%BD%D1%82%201988%20%D1%84%D0%B8%D0%BB%D1%8C%D0%BC","искать")</f>
        <v/>
      </c>
      <c r="N4923" s="3" t="n"/>
      <c r="O4923" s="2" t="n"/>
      <c r="P4923" s="2" t="n"/>
    </row>
    <row r="4924">
      <c r="A4924" s="2" t="n">
        <v>4923</v>
      </c>
      <c r="B4924" s="2" t="inlineStr">
        <is>
          <t>короткая</t>
        </is>
      </c>
      <c r="C4924" s="2" t="n">
        <v>11473</v>
      </c>
      <c r="D4924" s="3" t="inlineStr">
        <is>
          <t>Калейдоскоп-68. Бегемот</t>
        </is>
      </c>
      <c r="E4924" s="2" t="n">
        <v>1968</v>
      </c>
      <c r="F4924" s="2" t="inlineStr">
        <is>
          <t>мультфильм</t>
        </is>
      </c>
      <c r="G4924" s="2" t="inlineStr">
        <is>
          <t>Союзмультфильм</t>
        </is>
      </c>
      <c r="H4924" s="2" t="n">
        <v>266</v>
      </c>
      <c r="I4924" s="2" t="inlineStr"/>
      <c r="J4924" s="2" t="inlineStr"/>
      <c r="K4924" s="3" t="inlineStr">
        <is>
          <t>Для взрослых. Бегемот пришел к учителю пения, но все усилия маэстро не помогают - у ученика нет ни слуха ни голоса. Пришлось ученику просто проглотить учителя, и тогда он запел - прекрасным чужим голосом.
Общий метраж "Калейдоскопа" - 283 м, продолжительность - 1021</t>
        </is>
      </c>
      <c r="L4924" s="2" t="inlineStr">
        <is>
          <t>https://animator.ru/db/?p=show_film&amp;fid=2244</t>
        </is>
      </c>
      <c r="M4924" s="2">
        <f>HYPERLINK("https://ru.wikipedia.org/w/index.php?search=%D0%9A%D0%B0%D0%BB%D0%B5%D0%B9%D0%B4%D0%BE%D1%81%D0%BA%D0%BE%D0%BF-68.%20%D0%91%D0%B5%D0%B3%D0%B5%D0%BC%D0%BE%D1%82%201968%20%D1%84%D0%B8%D0%BB%D1%8C%D0%BC","искать")</f>
        <v/>
      </c>
      <c r="N4924" s="3" t="n"/>
      <c r="O4924" s="2" t="n"/>
      <c r="P4924" s="2" t="n"/>
    </row>
    <row r="4925">
      <c r="A4925" s="2" t="n">
        <v>4924</v>
      </c>
      <c r="B4925" s="2" t="inlineStr">
        <is>
          <t>короткая</t>
        </is>
      </c>
      <c r="C4925" s="2" t="n">
        <v>12260</v>
      </c>
      <c r="D4925" s="3" t="inlineStr">
        <is>
          <t>Таракан</t>
        </is>
      </c>
      <c r="E4925" s="2" t="n">
        <v>1988</v>
      </c>
      <c r="F4925" s="2" t="inlineStr">
        <is>
          <t>мультфильм</t>
        </is>
      </c>
      <c r="G4925" s="2" t="inlineStr">
        <is>
          <t>Союзмультфильм</t>
        </is>
      </c>
      <c r="H4925" s="2" t="n">
        <v>266</v>
      </c>
      <c r="I4925" s="2" t="inlineStr"/>
      <c r="J4925" s="2" t="inlineStr"/>
      <c r="K4925" s="3" t="inlineStr">
        <is>
          <t>Герой фильма - Таракан находит для себя радость в мелких повседневных вещах. Мы видим несколько эпизодов из его жизни в сарае, поход в ресторан, который для тараканов расположен в полу настоящего ресторана, получение лишь корпуса телевизора вместо самого телевизора.</t>
        </is>
      </c>
      <c r="L4925" s="2" t="inlineStr">
        <is>
          <t>https://animator.ru/db/?p=show_film&amp;fid=3377</t>
        </is>
      </c>
      <c r="M4925" s="2">
        <f>HYPERLINK("https://ru.wikipedia.org/w/index.php?search=%D0%A2%D0%B0%D1%80%D0%B0%D0%BA%D0%B0%D0%BD%201988%20%D1%84%D0%B8%D0%BB%D1%8C%D0%BC","искать")</f>
        <v/>
      </c>
      <c r="N4925" s="3" t="n"/>
      <c r="O4925" s="2" t="n"/>
      <c r="P4925" s="2" t="n"/>
    </row>
    <row r="4926">
      <c r="A4926" s="2" t="n">
        <v>4925</v>
      </c>
      <c r="B4926" s="2" t="inlineStr">
        <is>
          <t>короткая</t>
        </is>
      </c>
      <c r="C4926" s="2" t="n">
        <v>8133</v>
      </c>
      <c r="D4926" s="3" t="inlineStr">
        <is>
          <t>Под куполом цирка</t>
        </is>
      </c>
      <c r="E4926" s="2" t="n">
        <v>1989</v>
      </c>
      <c r="F4926" s="2" t="inlineStr">
        <is>
          <t>телефильм</t>
        </is>
      </c>
      <c r="G4926" s="2" t="n"/>
      <c r="H4926" s="2" t="n">
        <v>267</v>
      </c>
      <c r="I4926" s="2" t="inlineStr"/>
      <c r="J4926" s="2" t="inlineStr"/>
      <c r="K4926" s="3" t="inlineStr">
        <is>
          <t>Телевизионный фильм о выпускниках циркового училища по мотивам оперетты Исаака Дунаевского «Сын клоуна». Любящие друг друга молодые цирковые артисты Ирина и Максим никак не могут соединиться из-за пресловутого «треугольника», который, как выясняется, оказался мнимым.</t>
        </is>
      </c>
      <c r="L4926" s="2" t="inlineStr">
        <is>
          <t>Кино_СССР сводный каталог.xlsx: список телефильмов</t>
        </is>
      </c>
      <c r="M4926" s="2">
        <f>HYPERLINK("https://ru.wikipedia.org/w/index.php?search=%D0%9F%D0%BE%D0%B4%20%D0%BA%D1%83%D0%BF%D0%BE%D0%BB%D0%BE%D0%BC%20%D1%86%D0%B8%D1%80%D0%BA%D0%B0%201989%20%D1%84%D0%B8%D0%BB%D1%8C%D0%BC","искать")</f>
        <v/>
      </c>
      <c r="N4926" s="3" t="n"/>
      <c r="O4926" s="2" t="n"/>
      <c r="P4926" s="2" t="n"/>
    </row>
    <row r="4927">
      <c r="A4927" s="2" t="n">
        <v>4926</v>
      </c>
      <c r="B4927" s="2" t="inlineStr">
        <is>
          <t>короткая</t>
        </is>
      </c>
      <c r="C4927" s="2" t="n">
        <v>8267</v>
      </c>
      <c r="D4927" s="3" t="inlineStr">
        <is>
          <t>Расставаясь с детством</t>
        </is>
      </c>
      <c r="E4927" s="2" t="n">
        <v>1980</v>
      </c>
      <c r="F4927" s="2" t="inlineStr">
        <is>
          <t>телефильм</t>
        </is>
      </c>
      <c r="G4927" s="2" t="n"/>
      <c r="H4927" s="2" t="n">
        <v>267</v>
      </c>
      <c r="I4927" s="2" t="inlineStr"/>
      <c r="J4927" s="2" t="inlineStr"/>
      <c r="K4927" s="3" t="inlineStr">
        <is>
          <t>Подростки Касым Кабеков и Лиза Страхова активно участвуют в разоблачении жуликов и спекулянтов. Это скрепляет их дружбу, обогащает духовно, закаляет физически, хотя фильм и не ставит целью показать эволюцию возмужания характера подростков, разоблачающих преступников.</t>
        </is>
      </c>
      <c r="L4927" s="2" t="inlineStr">
        <is>
          <t>Кино_СССР сводный каталог.xlsx: список телефильмов</t>
        </is>
      </c>
      <c r="M4927" s="2">
        <f>HYPERLINK("https://ru.wikipedia.org/w/index.php?search=%D0%A0%D0%B0%D1%81%D1%81%D1%82%D0%B0%D0%B2%D0%B0%D1%8F%D1%81%D1%8C%20%D1%81%20%D0%B4%D0%B5%D1%82%D1%81%D1%82%D0%B2%D0%BE%D0%BC%201980%20%D1%84%D0%B8%D0%BB%D1%8C%D0%BC","искать")</f>
        <v/>
      </c>
      <c r="N4927" s="3" t="n"/>
      <c r="O4927" s="2" t="n"/>
      <c r="P4927" s="2" t="n"/>
    </row>
    <row r="4928">
      <c r="A4928" s="2" t="n">
        <v>4927</v>
      </c>
      <c r="B4928" s="2" t="inlineStr">
        <is>
          <t>короткая</t>
        </is>
      </c>
      <c r="C4928" s="2" t="n">
        <v>9677</v>
      </c>
      <c r="D4928" s="3" t="inlineStr">
        <is>
          <t>Стукач</t>
        </is>
      </c>
      <c r="E4928" s="2" t="n">
        <v>1988</v>
      </c>
      <c r="F4928" s="2" t="inlineStr">
        <is>
          <t>кинофильм</t>
        </is>
      </c>
      <c r="G4928" s="2" t="n"/>
      <c r="H4928" s="2" t="n">
        <v>267</v>
      </c>
      <c r="I4928" s="2" t="inlineStr"/>
      <c r="J4928" s="2" t="inlineStr"/>
      <c r="K4928" s="3" t="inlineStr">
        <is>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is>
      </c>
      <c r="L4928" s="2" t="inlineStr">
        <is>
          <t>Кино_СССР сводный каталог.xlsx: список фильмов (доп.)</t>
        </is>
      </c>
      <c r="M4928" s="2">
        <f>HYPERLINK("https://ru.wikipedia.org/w/index.php?search=%D0%A1%D1%82%D1%83%D0%BA%D0%B0%D1%87%201988%20%D1%84%D0%B8%D0%BB%D1%8C%D0%BC","искать")</f>
        <v/>
      </c>
      <c r="N4928" s="3" t="n"/>
      <c r="O4928" s="2" t="n"/>
      <c r="P4928" s="2" t="n"/>
    </row>
    <row r="4929">
      <c r="A4929" s="2" t="n">
        <v>4928</v>
      </c>
      <c r="B4929" s="2" t="inlineStr">
        <is>
          <t>короткая</t>
        </is>
      </c>
      <c r="C4929" s="2" t="n">
        <v>10390</v>
      </c>
      <c r="D4929" s="3" t="inlineStr">
        <is>
          <t>Доктор Айболит</t>
        </is>
      </c>
      <c r="E4929" s="2" t="n">
        <v>1971</v>
      </c>
      <c r="F4929" s="2" t="inlineStr">
        <is>
          <t>фильм-спектакль</t>
        </is>
      </c>
      <c r="G4929" s="2" t="inlineStr">
        <is>
          <t>Экран</t>
        </is>
      </c>
      <c r="H4929" s="2" t="n">
        <v>267</v>
      </c>
      <c r="I4929" s="2" t="inlineStr"/>
      <c r="J4929" s="2" t="inlineStr"/>
      <c r="K4929" s="3" t="inlineStr">
        <is>
          <t>Добрый доктор Айболит с Танечкой и Ванечкой отправляются в Африку лечить обезьянок. Благодарные друзья-животные помогают им спастись от злого Бармалея и разбойников.
Балет по мотивам сказки К.Чуковского. Либретто П.Аболимовой. Балетмейстер-постановщик Николай Холфин.</t>
        </is>
      </c>
      <c r="L4929" s="2" t="inlineStr">
        <is>
          <t>https://www.kino-teatr.ru/teatr/movie/104644/annot/</t>
        </is>
      </c>
      <c r="M4929" s="2">
        <f>HYPERLINK("https://ru.wikipedia.org/w/index.php?search=%D0%94%D0%BE%D0%BA%D1%82%D0%BE%D1%80%20%D0%90%D0%B9%D0%B1%D0%BE%D0%BB%D0%B8%D1%82%201971%20%D1%84%D0%B8%D0%BB%D1%8C%D0%BC","искать")</f>
        <v/>
      </c>
      <c r="N4929" s="3" t="n"/>
      <c r="O4929" s="2" t="n"/>
      <c r="P4929" s="2" t="n"/>
    </row>
    <row r="4930">
      <c r="A4930" s="2" t="n">
        <v>4929</v>
      </c>
      <c r="B4930" s="2" t="inlineStr">
        <is>
          <t>короткая</t>
        </is>
      </c>
      <c r="C4930" s="2" t="n">
        <v>10525</v>
      </c>
      <c r="D4930" s="3" t="inlineStr">
        <is>
          <t>Ступени</t>
        </is>
      </c>
      <c r="E4930" s="2" t="n">
        <v>1973</v>
      </c>
      <c r="F4930" s="2" t="inlineStr">
        <is>
          <t>фильм-спектакль</t>
        </is>
      </c>
      <c r="G4930" s="2" t="inlineStr">
        <is>
          <t>Главная редакция литературно-драматических программ ЦТ</t>
        </is>
      </c>
      <c r="H4930" s="2" t="n">
        <v>267</v>
      </c>
      <c r="I4930" s="2" t="inlineStr"/>
      <c r="J4930" s="2" t="inlineStr"/>
      <c r="K4930" s="3" t="inlineStr">
        <is>
          <t>По мотивам романа В.Пистоленко "Крылья беркута".
Действие происходит в годы гражданской войны на Урале. Трудно разобраться молодой девушке Наде Корнеевой в происходящих событиях. Пережив много горя, пройдя сквозь испытания, она решает вступить в отряд Красной гвардии</t>
        </is>
      </c>
      <c r="L4930" s="2" t="inlineStr">
        <is>
          <t>https://www.kino-teatr.ru/teatr/movie/108383/annot/</t>
        </is>
      </c>
      <c r="M4930" s="2">
        <f>HYPERLINK("https://ru.wikipedia.org/w/index.php?search=%D0%A1%D1%82%D1%83%D0%BF%D0%B5%D0%BD%D0%B8%201973%20%D1%84%D0%B8%D0%BB%D1%8C%D0%BC","искать")</f>
        <v/>
      </c>
      <c r="N4930" s="3" t="n"/>
      <c r="O4930" s="2" t="n"/>
      <c r="P4930" s="2" t="n"/>
    </row>
    <row r="4931">
      <c r="A4931" s="2" t="n">
        <v>4930</v>
      </c>
      <c r="B4931" s="2" t="inlineStr">
        <is>
          <t>короткая</t>
        </is>
      </c>
      <c r="C4931" s="2" t="n">
        <v>10991</v>
      </c>
      <c r="D4931" s="3" t="inlineStr">
        <is>
          <t>Золотая рыбка</t>
        </is>
      </c>
      <c r="E4931" s="2" t="n">
        <v>1983</v>
      </c>
      <c r="F4931" s="2" t="inlineStr">
        <is>
          <t>фильм-спектакль</t>
        </is>
      </c>
      <c r="G4931" s="2" t="inlineStr">
        <is>
          <t>Центральное телевидение</t>
        </is>
      </c>
      <c r="H4931" s="2" t="n">
        <v>267</v>
      </c>
      <c r="I4931" s="2" t="inlineStr"/>
      <c r="J4931" s="2" t="inlineStr"/>
      <c r="K4931" s="3" t="inlineStr">
        <is>
          <t>По произведениям Михаила Зощенко, Ильи Ильфа, Михаила Жванецкого, Виктора Славкина, Григория Горина, Натальи Ильиной, Николая Гоголя, Михаила Булгакова.
Действие происходит в гостинице "Золотая рыбка", администрация которой исполняет различные пожелания своих гостей.</t>
        </is>
      </c>
      <c r="L4931" s="2" t="inlineStr">
        <is>
          <t>https://www.kino-teatr.ru/teatr/movie/2533/annot/</t>
        </is>
      </c>
      <c r="M4931" s="2">
        <f>HYPERLINK("https://ru.wikipedia.org/w/index.php?search=%D0%97%D0%BE%D0%BB%D0%BE%D1%82%D0%B0%D1%8F%20%D1%80%D1%8B%D0%B1%D0%BA%D0%B0%201983%20%D1%84%D0%B8%D0%BB%D1%8C%D0%BC","искать")</f>
        <v/>
      </c>
      <c r="N4931" s="3" t="n"/>
      <c r="O4931" s="2" t="n"/>
      <c r="P4931" s="2" t="n"/>
    </row>
    <row r="4932">
      <c r="A4932" s="2" t="n">
        <v>4931</v>
      </c>
      <c r="B4932" s="2" t="inlineStr">
        <is>
          <t>короткая</t>
        </is>
      </c>
      <c r="C4932" s="2" t="n">
        <v>11555</v>
      </c>
      <c r="D4932" s="3" t="inlineStr">
        <is>
          <t>Все в ажуре</t>
        </is>
      </c>
      <c r="E4932" s="2" t="n">
        <v>1965</v>
      </c>
      <c r="F4932" s="2" t="inlineStr">
        <is>
          <t>мультфильм</t>
        </is>
      </c>
      <c r="G4932" s="2" t="inlineStr">
        <is>
          <t>Союзмультфильм</t>
        </is>
      </c>
      <c r="H4932" s="2" t="n">
        <v>267</v>
      </c>
      <c r="I4932" s="2" t="inlineStr"/>
      <c r="J4932" s="2" t="inlineStr"/>
      <c r="K4932" s="3" t="inlineStr">
        <is>
          <t>К 31 декабря мебельная фабрика "Орех и дуб" выполнила план лишь на 99 процентов. Директор находит мудрое решение - вывезти недостающую мебель из конторы, тогда план будет перевыполнен на 0,01 процент... Директор и сотрудники торжественно отмечают перевыполнение плана</t>
        </is>
      </c>
      <c r="L4932" s="2" t="inlineStr">
        <is>
          <t>https://gosfilmofond.ru/films/254130/</t>
        </is>
      </c>
      <c r="M4932" s="2">
        <f>HYPERLINK("https://ru.wikipedia.org/w/index.php?search=%D0%92%D1%81%D0%B5%20%D0%B2%20%D0%B0%D0%B6%D1%83%D1%80%D0%B5%201965%20%D1%84%D0%B8%D0%BB%D1%8C%D0%BC","искать")</f>
        <v/>
      </c>
      <c r="N4932" s="3" t="n"/>
      <c r="O4932" s="2" t="n"/>
      <c r="P4932" s="2" t="n"/>
    </row>
    <row r="4933">
      <c r="A4933" s="2" t="n">
        <v>4932</v>
      </c>
      <c r="B4933" s="2" t="inlineStr">
        <is>
          <t>короткая</t>
        </is>
      </c>
      <c r="C4933" s="2" t="n">
        <v>12875</v>
      </c>
      <c r="D4933" s="3" t="inlineStr">
        <is>
          <t>На море</t>
        </is>
      </c>
      <c r="E4933" s="2" t="n">
        <v>1976</v>
      </c>
      <c r="F4933" s="2" t="inlineStr">
        <is>
          <t>мультфильм</t>
        </is>
      </c>
      <c r="G4933" s="2" t="inlineStr">
        <is>
          <t>ГРУЗИЯ-ФИЛЬМ - АО</t>
        </is>
      </c>
      <c r="H4933" s="2" t="n">
        <v>267</v>
      </c>
      <c r="I4933" s="2" t="inlineStr"/>
      <c r="J4933" s="2" t="inlineStr"/>
      <c r="K4933" s="3" t="inlineStr">
        <is>
          <t>Мальчик плыл на лодке по морю. Вдруг он выловил бутылку, в которой обнаружил сигнал о помощи. Мальчик тут-же бросился на выручку. Но выяснилось, что его обманули пираты, чтобы обманом заманить на свой корабль. Но мальчик не растерялся, и легко расправился с пиратами.</t>
        </is>
      </c>
      <c r="L4933" s="2" t="inlineStr">
        <is>
          <t>2026-10_мультфильмы_список_владельца.xlsx; https://animator.ru/db/?p=show_film&amp;fid=4105</t>
        </is>
      </c>
      <c r="M4933" s="2">
        <f>HYPERLINK("https://ru.wikipedia.org/w/index.php?search=%D0%9D%D0%B0%20%D0%BC%D0%BE%D1%80%D0%B5%201976%20%D1%84%D0%B8%D0%BB%D1%8C%D0%BC","искать")</f>
        <v/>
      </c>
      <c r="N4933" s="3" t="n"/>
      <c r="O4933" s="2" t="n"/>
      <c r="P4933" s="2" t="n"/>
    </row>
    <row r="4934">
      <c r="A4934" s="2" t="n">
        <v>4933</v>
      </c>
      <c r="B4934" s="2" t="inlineStr">
        <is>
          <t>короткая</t>
        </is>
      </c>
      <c r="C4934" s="2" t="n">
        <v>12895</v>
      </c>
      <c r="D4934" s="3" t="inlineStr">
        <is>
          <t>Необыкновенная охота</t>
        </is>
      </c>
      <c r="E4934" s="2" t="n">
        <v>1980</v>
      </c>
      <c r="F4934" s="2" t="inlineStr">
        <is>
          <t>мультфильм</t>
        </is>
      </c>
      <c r="G4934" s="2" t="inlineStr">
        <is>
          <t>ГРУЗИЯ-ФИЛЬМ - АО</t>
        </is>
      </c>
      <c r="H4934" s="2" t="n">
        <v>267</v>
      </c>
      <c r="I4934" s="2" t="inlineStr"/>
      <c r="J4934" s="2" t="inlineStr"/>
      <c r="K4934" s="3" t="inlineStr">
        <is>
          <t>Охотник решил сходить на охоту. Но пока ждал транспорт, задремал на остановке. И преснился ему сон, в котором его охота оказалась очень неудачной, в связи с тем, что место, куда он собирался ехать, было настолько загрязнено, что охота закончилась достаточно плачевно.</t>
        </is>
      </c>
      <c r="L4934" s="2" t="inlineStr">
        <is>
          <t>2026-10_мультфильмы_список_владельца.xlsx; https://animator.ru/db/?p=show_film&amp;fid=4125</t>
        </is>
      </c>
      <c r="M4934" s="2">
        <f>HYPERLINK("https://ru.wikipedia.org/w/index.php?search=%D0%9D%D0%B5%D0%BE%D0%B1%D1%8B%D0%BA%D0%BD%D0%BE%D0%B2%D0%B5%D0%BD%D0%BD%D0%B0%D1%8F%20%D0%BE%D1%85%D0%BE%D1%82%D0%B0%201980%20%D1%84%D0%B8%D0%BB%D1%8C%D0%BC","искать")</f>
        <v/>
      </c>
      <c r="N4934" s="3" t="n"/>
      <c r="O4934" s="2" t="n"/>
      <c r="P4934" s="2" t="n"/>
    </row>
    <row r="4935">
      <c r="A4935" s="2" t="n">
        <v>4934</v>
      </c>
      <c r="B4935" s="2" t="inlineStr">
        <is>
          <t>короткая</t>
        </is>
      </c>
      <c r="C4935" s="2" t="n">
        <v>7434</v>
      </c>
      <c r="D4935" s="3" t="inlineStr">
        <is>
          <t>Где ты был, Одиссей?</t>
        </is>
      </c>
      <c r="E4935" s="2" t="n">
        <v>1978</v>
      </c>
      <c r="F4935" s="2" t="inlineStr">
        <is>
          <t>телефильм</t>
        </is>
      </c>
      <c r="G4935" s="2" t="n"/>
      <c r="H4935" s="2" t="n">
        <v>268</v>
      </c>
      <c r="I4935" s="2" t="inlineStr"/>
      <c r="J4935" s="2" t="inlineStr"/>
      <c r="K4935" s="3" t="inlineStr">
        <is>
          <t>По мотивам повести Алексея Азарова "Дорога к Зевсу". История советского разведчика, мужественно боровшегося против немецких оккупантов в тылу врага в годы Великой Отечественной войны. События фильма начинаются летом 1944 года в Париже и переносятся в Берлин 1945 года.</t>
        </is>
      </c>
      <c r="L4935" s="2" t="inlineStr">
        <is>
          <t>Кино_СССР сводный каталог.xlsx: список телефильмов</t>
        </is>
      </c>
      <c r="M4935" s="2">
        <f>HYPERLINK("https://ru.wikipedia.org/w/index.php?search=%D0%93%D0%B4%D0%B5%20%D1%82%D1%8B%20%D0%B1%D1%8B%D0%BB%2C%20%D0%9E%D0%B4%D0%B8%D1%81%D1%81%D0%B5%D0%B9%3F%201978%20%D1%84%D0%B8%D0%BB%D1%8C%D0%BC","искать")</f>
        <v/>
      </c>
      <c r="N4935" s="3" t="n"/>
      <c r="O4935" s="2" t="n"/>
      <c r="P4935" s="2" t="n"/>
    </row>
    <row r="4936">
      <c r="A4936" s="2" t="n">
        <v>4935</v>
      </c>
      <c r="B4936" s="2" t="inlineStr">
        <is>
          <t>короткая</t>
        </is>
      </c>
      <c r="C4936" s="2" t="n">
        <v>9487</v>
      </c>
      <c r="D4936" s="3" t="inlineStr">
        <is>
          <t>На помощь, братцы!</t>
        </is>
      </c>
      <c r="E4936" s="2" t="n">
        <v>1988</v>
      </c>
      <c r="F4936" s="2" t="inlineStr">
        <is>
          <t>кинофильм</t>
        </is>
      </c>
      <c r="G4936" s="2" t="n"/>
      <c r="H4936" s="2" t="n">
        <v>268</v>
      </c>
      <c r="I4936" s="2" t="inlineStr"/>
      <c r="J4936" s="2" t="inlineStr"/>
      <c r="K4936" s="3" t="inlineStr">
        <is>
          <t>В некотором царстве, в некотором государстве решили бояре женить старого, давно овдовевшего царя. Выбрал он себе невесту из заморских краев, куда и дороги-то нет, и послал за ней дураков, воеводу и двух братьев, надеясь на то, что не смогут они выполнить этого наказа.</t>
        </is>
      </c>
      <c r="L4936" s="2" t="inlineStr">
        <is>
          <t>Кино_СССР сводный каталог.xlsx: список фильмов (доп.)</t>
        </is>
      </c>
      <c r="M4936" s="2">
        <f>HYPERLINK("https://ru.wikipedia.org/w/index.php?search=%D0%9D%D0%B0%20%D0%BF%D0%BE%D0%BC%D0%BE%D1%89%D1%8C%2C%20%D0%B1%D1%80%D0%B0%D1%82%D1%86%D1%8B%21%201988%20%D1%84%D0%B8%D0%BB%D1%8C%D0%BC","искать")</f>
        <v/>
      </c>
      <c r="N4936" s="3" t="n"/>
      <c r="O4936" s="2" t="n"/>
      <c r="P4936" s="2" t="n"/>
    </row>
    <row r="4937">
      <c r="A4937" s="2" t="n">
        <v>4936</v>
      </c>
      <c r="B4937" s="2" t="inlineStr">
        <is>
          <t>короткая</t>
        </is>
      </c>
      <c r="C4937" s="2" t="n">
        <v>10394</v>
      </c>
      <c r="D4937" s="3" t="inlineStr">
        <is>
          <t>Заячья школа</t>
        </is>
      </c>
      <c r="E4937" s="2" t="n">
        <v>1971</v>
      </c>
      <c r="F4937" s="2" t="inlineStr">
        <is>
          <t>фильм-спектакль</t>
        </is>
      </c>
      <c r="G4937" s="2" t="inlineStr">
        <is>
          <t>Центральное телевидение</t>
        </is>
      </c>
      <c r="H4937" s="2" t="n">
        <v>268</v>
      </c>
      <c r="I4937" s="2" t="inlineStr"/>
      <c r="J4937" s="2" t="inlineStr"/>
      <c r="K4937" s="3" t="inlineStr">
        <is>
          <t>Музыкальное кукольное представление с приключениями об одном дне из жизни веселой заячьей семьи. О хитрой Лисе и умном учителе Кролике. О школьных занятиях и о том, что может случиться по дороге в школу и как следует себя вести, чтобы не попасть в неприятные ситуации.</t>
        </is>
      </c>
      <c r="L4937" s="2" t="inlineStr">
        <is>
          <t>https://www.kino-teatr.ru/teatr/movie/107658/annot/</t>
        </is>
      </c>
      <c r="M4937" s="2">
        <f>HYPERLINK("https://ru.wikipedia.org/w/index.php?search=%D0%97%D0%B0%D1%8F%D1%87%D1%8C%D1%8F%20%D1%88%D0%BA%D0%BE%D0%BB%D0%B0%201971%20%D1%84%D0%B8%D0%BB%D1%8C%D0%BC","искать")</f>
        <v/>
      </c>
      <c r="N4937" s="3" t="n"/>
      <c r="O4937" s="2" t="n"/>
      <c r="P4937" s="2" t="n"/>
    </row>
    <row r="4938">
      <c r="A4938" s="2" t="n">
        <v>4937</v>
      </c>
      <c r="B4938" s="2" t="inlineStr">
        <is>
          <t>короткая</t>
        </is>
      </c>
      <c r="C4938" s="2" t="n">
        <v>10646</v>
      </c>
      <c r="D4938" s="3" t="inlineStr">
        <is>
          <t>Игра в каникулы</t>
        </is>
      </c>
      <c r="E4938" s="2" t="n">
        <v>1976</v>
      </c>
      <c r="F4938" s="2" t="inlineStr">
        <is>
          <t>фильм-спектакль</t>
        </is>
      </c>
      <c r="G4938" s="2" t="n"/>
      <c r="H4938" s="2" t="n">
        <v>268</v>
      </c>
      <c r="I4938" s="2" t="inlineStr"/>
      <c r="J4938" s="2" t="inlineStr"/>
      <c r="K4938" s="3" t="inlineStr">
        <is>
          <t>Телеспектакль театра Вахтангова по пьесе Михаила Себастьяна (1936).
В пансионате госпожи Вебер, затерянном в горах, на время августовских каникул отдыхают случайно приехавшие сюда люди. Но игра в каникулы, забвение и счастье объединили их, так непохожих друг на друга.</t>
        </is>
      </c>
      <c r="L4938" s="2" t="inlineStr">
        <is>
          <t>https://www.kino-teatr.ru/teatr/movie/133885/annot/</t>
        </is>
      </c>
      <c r="M4938" s="2">
        <f>HYPERLINK("https://ru.wikipedia.org/w/index.php?search=%D0%98%D0%B3%D1%80%D0%B0%20%D0%B2%20%D0%BA%D0%B0%D0%BD%D0%B8%D0%BA%D1%83%D0%BB%D1%8B%201976%20%D1%84%D0%B8%D0%BB%D1%8C%D0%BC","искать")</f>
        <v/>
      </c>
      <c r="N4938" s="3" t="n"/>
      <c r="O4938" s="2" t="n"/>
      <c r="P4938" s="2" t="n"/>
    </row>
    <row r="4939">
      <c r="A4939" s="2" t="n">
        <v>4938</v>
      </c>
      <c r="B4939" s="2" t="inlineStr">
        <is>
          <t>короткая</t>
        </is>
      </c>
      <c r="C4939" s="2" t="n">
        <v>10853</v>
      </c>
      <c r="D4939" s="3" t="inlineStr">
        <is>
          <t>Нора</t>
        </is>
      </c>
      <c r="E4939" s="2" t="n">
        <v>1980</v>
      </c>
      <c r="F4939" s="2" t="inlineStr">
        <is>
          <t>фильм-спектакль</t>
        </is>
      </c>
      <c r="G4939" s="2" t="inlineStr">
        <is>
          <t>Главная редакция литературно-драматический программ ЦТ</t>
        </is>
      </c>
      <c r="H4939" s="2" t="n">
        <v>268</v>
      </c>
      <c r="I4939" s="2" t="inlineStr"/>
      <c r="J4939" s="2" t="inlineStr"/>
      <c r="K4939" s="3" t="inlineStr">
        <is>
          <t>По мотивам драмы Генрика Ибсена "Кукольный дом" ("Нора)".
О судьбе молодой женщины Норы, живущей с любимым мужем и прелестными детьми. Драматические события заставили ее понять, что муж - черствый и сухой человек, для которого собственная репутация дороже судьбы Норы.</t>
        </is>
      </c>
      <c r="L4939" s="2" t="inlineStr">
        <is>
          <t>https://www.kino-teatr.ru/teatr/movie/4529/annot/</t>
        </is>
      </c>
      <c r="M4939" s="2">
        <f>HYPERLINK("https://ru.wikipedia.org/w/index.php?search=%D0%9D%D0%BE%D1%80%D0%B0%201980%20%D1%84%D0%B8%D0%BB%D1%8C%D0%BC","искать")</f>
        <v/>
      </c>
      <c r="N4939" s="3" t="n"/>
      <c r="O4939" s="2" t="n"/>
      <c r="P4939" s="2" t="n"/>
    </row>
    <row r="4940">
      <c r="A4940" s="2" t="n">
        <v>4939</v>
      </c>
      <c r="B4940" s="2" t="inlineStr">
        <is>
          <t>короткая</t>
        </is>
      </c>
      <c r="C4940" s="2" t="n">
        <v>11065</v>
      </c>
      <c r="D4940" s="3" t="inlineStr">
        <is>
          <t>Мамуре</t>
        </is>
      </c>
      <c r="E4940" s="2" t="n">
        <v>1985</v>
      </c>
      <c r="F4940" s="2" t="inlineStr">
        <is>
          <t>фильм-спектакль</t>
        </is>
      </c>
      <c r="G4940" s="2" t="n"/>
      <c r="H4940" s="2" t="n">
        <v>268</v>
      </c>
      <c r="I4940" s="2" t="inlineStr"/>
      <c r="J4940" s="2" t="inlineStr"/>
      <c r="K4940" s="3" t="inlineStr">
        <is>
          <t>По пьесе Жана Сармана.
106-летняя Селина Муре, сохранив молодость души и веру в искренние чувства, встаёт на защиту любви своей правнучки Мари-Жозефы и артиста цирка Франкера вопреки желанию её многочисленного семейства выдать девушку только за человека из клана Муре.</t>
        </is>
      </c>
      <c r="L4940" s="2" t="inlineStr">
        <is>
          <t>https://www.kino-teatr.ru/teatr/movie/100156/annot/</t>
        </is>
      </c>
      <c r="M4940" s="2">
        <f>HYPERLINK("https://ru.wikipedia.org/w/index.php?search=%D0%9C%D0%B0%D0%BC%D1%83%D1%80%D0%B5%201985%20%D1%84%D0%B8%D0%BB%D1%8C%D0%BC","искать")</f>
        <v/>
      </c>
      <c r="N4940" s="3" t="n"/>
      <c r="O4940" s="2" t="n"/>
      <c r="P4940" s="2" t="n"/>
    </row>
    <row r="4941">
      <c r="A4941" s="2" t="n">
        <v>4940</v>
      </c>
      <c r="B4941" s="2" t="inlineStr">
        <is>
          <t>короткая</t>
        </is>
      </c>
      <c r="C4941" s="2" t="n">
        <v>11425</v>
      </c>
      <c r="D4941" s="3" t="inlineStr">
        <is>
          <t>Окно</t>
        </is>
      </c>
      <c r="E4941" s="2" t="n">
        <v>1966</v>
      </c>
      <c r="F4941" s="2" t="inlineStr">
        <is>
          <t>мультфильм</t>
        </is>
      </c>
      <c r="G4941" s="2" t="inlineStr">
        <is>
          <t>Союзмультфильм</t>
        </is>
      </c>
      <c r="H4941" s="2" t="n">
        <v>268</v>
      </c>
      <c r="I4941" s="2" t="inlineStr"/>
      <c r="J4941" s="2" t="inlineStr"/>
      <c r="K4941" s="3" t="inlineStr">
        <is>
          <t>Молодой человек влюбляется в девушку, которую он видит из своего окна в окне другого дома. Но он робок и не решается с ней познакомиться. Только в своих мечтах молодой человек представляет, как он признается девушке в любви. Но пока он мечтал, девушка полюбила другого</t>
        </is>
      </c>
      <c r="L4941" s="2" t="inlineStr">
        <is>
          <t>https://gosfilmofond.ru/films/254236/</t>
        </is>
      </c>
      <c r="M4941" s="2">
        <f>HYPERLINK("https://ru.wikipedia.org/w/index.php?search=%D0%9E%D0%BA%D0%BD%D0%BE%201966%20%D1%84%D0%B8%D0%BB%D1%8C%D0%BC","искать")</f>
        <v/>
      </c>
      <c r="N4941" s="3" t="n"/>
      <c r="O4941" s="2" t="n"/>
      <c r="P4941" s="2" t="n"/>
    </row>
    <row r="4942">
      <c r="A4942" s="2" t="n">
        <v>4941</v>
      </c>
      <c r="B4942" s="2" t="inlineStr">
        <is>
          <t>короткая</t>
        </is>
      </c>
      <c r="C4942" s="2" t="n">
        <v>13160</v>
      </c>
      <c r="D4942" s="3" t="inlineStr">
        <is>
          <t>Новогодняя история</t>
        </is>
      </c>
      <c r="E4942" s="2" t="n">
        <v>1986</v>
      </c>
      <c r="F4942" s="2" t="inlineStr">
        <is>
          <t>мультфильм</t>
        </is>
      </c>
      <c r="G4942" s="2" t="n"/>
      <c r="H4942" s="2" t="n">
        <v>268</v>
      </c>
      <c r="I4942" s="2" t="inlineStr"/>
      <c r="J4942" s="2" t="inlineStr"/>
      <c r="K4942" s="3" t="inlineStr">
        <is>
          <t>Папа с сыном наряжают елку и с нетерпением ждут маму. А одинокому Ежику грустно в предновогоднюю ночь. Он решает замерзнуть в сугробе, потому что никому не нужен. Но, оказывается, его помощь необходима котятам, брошенным в лесу. Все вместе они пьют чай в ежиковом доме</t>
        </is>
      </c>
      <c r="L4942" s="2" t="inlineStr">
        <is>
          <t>https://gosfilmofond.ru/films/250588/</t>
        </is>
      </c>
      <c r="M4942" s="2">
        <f>HYPERLINK("https://ru.wikipedia.org/w/index.php?search=%D0%9D%D0%BE%D0%B2%D0%BE%D0%B3%D0%BE%D0%B4%D0%BD%D1%8F%D1%8F%20%D0%B8%D1%81%D1%82%D0%BE%D1%80%D0%B8%D1%8F%201986%20%D1%84%D0%B8%D0%BB%D1%8C%D0%BC","искать")</f>
        <v/>
      </c>
      <c r="N4942" s="3" t="n"/>
      <c r="O4942" s="2" t="n"/>
      <c r="P4942" s="2" t="n"/>
    </row>
    <row r="4943">
      <c r="A4943" s="2" t="n">
        <v>4942</v>
      </c>
      <c r="B4943" s="2" t="inlineStr">
        <is>
          <t>короткая</t>
        </is>
      </c>
      <c r="C4943" s="2" t="n">
        <v>8055</v>
      </c>
      <c r="D4943" s="3" t="inlineStr">
        <is>
          <t>Осень приходит лесами</t>
        </is>
      </c>
      <c r="E4943" s="2" t="n">
        <v>1989</v>
      </c>
      <c r="F4943" s="2" t="inlineStr">
        <is>
          <t>телефильм</t>
        </is>
      </c>
      <c r="G4943" s="2" t="n"/>
      <c r="H4943" s="2" t="n">
        <v>269</v>
      </c>
      <c r="I4943" s="2" t="inlineStr"/>
      <c r="J4943" s="2" t="inlineStr"/>
      <c r="K4943" s="3" t="inlineStr">
        <is>
          <t>По мотивам одноименного романа Марюса Катилишкиса. Действие картины происходит в довоенной Литве. В фильме показана жизнь сельских жителей, их быт, страсти. Главный герой фильма - лесоруб Тилюс, мечтающий разбогатеть и запутавшийся в отношениях с несколькими женщинами.</t>
        </is>
      </c>
      <c r="L4943" s="2" t="inlineStr">
        <is>
          <t>Кино_СССР сводный каталог.xlsx: список телефильмов</t>
        </is>
      </c>
      <c r="M4943" s="2">
        <f>HYPERLINK("https://ru.wikipedia.org/w/index.php?search=%D0%9E%D1%81%D0%B5%D0%BD%D1%8C%20%D0%BF%D1%80%D0%B8%D1%85%D0%BE%D0%B4%D0%B8%D1%82%20%D0%BB%D0%B5%D1%81%D0%B0%D0%BC%D0%B8%201989%20%D1%84%D0%B8%D0%BB%D1%8C%D0%BC","искать")</f>
        <v/>
      </c>
      <c r="N4943" s="3" t="n"/>
      <c r="O4943" s="2" t="n"/>
      <c r="P4943" s="2" t="n"/>
    </row>
    <row r="4944">
      <c r="A4944" s="2" t="n">
        <v>4943</v>
      </c>
      <c r="B4944" s="2" t="inlineStr">
        <is>
          <t>короткая</t>
        </is>
      </c>
      <c r="C4944" s="2" t="n">
        <v>9921</v>
      </c>
      <c r="D4944" s="3" t="inlineStr">
        <is>
          <t>Пацура</t>
        </is>
      </c>
      <c r="E4944" s="2" t="n">
        <v>1976</v>
      </c>
      <c r="F4944" s="2" t="inlineStr">
        <is>
          <t>кинофильм</t>
        </is>
      </c>
      <c r="G4944" s="2" t="inlineStr">
        <is>
          <t>Грузия-фильм</t>
        </is>
      </c>
      <c r="H4944" s="2" t="n">
        <v>269</v>
      </c>
      <c r="I4944" s="2" t="inlineStr"/>
      <c r="J4944" s="2" t="inlineStr"/>
      <c r="K4944" s="3" t="inlineStr">
        <is>
          <t>ფაცურა
Действие фильма происходит в грузинской деревне в первые послевоенные годы. Родители Пацуры и ее сестер погибли. Нелегка жизнь девочек... Но, когда Пацуру захотели удочерить материально обеспеченные люди, она отказалась, не желая расставаться со своими сестрами.</t>
        </is>
      </c>
      <c r="L4944" s="2" t="inlineStr">
        <is>
          <t>https://www.kino-teatr.ru/short/movie/sov/84600/annot/</t>
        </is>
      </c>
      <c r="M4944" s="2">
        <f>HYPERLINK("https://ru.wikipedia.org/w/index.php?search=%D0%9F%D0%B0%D1%86%D1%83%D1%80%D0%B0%201976%20%D1%84%D0%B8%D0%BB%D1%8C%D0%BC","искать")</f>
        <v/>
      </c>
      <c r="N4944" s="3" t="n"/>
      <c r="O4944" s="2" t="n"/>
      <c r="P4944" s="2" t="n"/>
    </row>
    <row r="4945">
      <c r="A4945" s="2" t="n">
        <v>4944</v>
      </c>
      <c r="B4945" s="2" t="inlineStr">
        <is>
          <t>короткая</t>
        </is>
      </c>
      <c r="C4945" s="2" t="n">
        <v>10917</v>
      </c>
      <c r="D4945" s="3" t="inlineStr">
        <is>
          <t>Тарантул</t>
        </is>
      </c>
      <c r="E4945" s="2" t="n">
        <v>1981</v>
      </c>
      <c r="F4945" s="2" t="inlineStr">
        <is>
          <t>фильм-спектакль</t>
        </is>
      </c>
      <c r="G4945" s="2" t="inlineStr">
        <is>
          <t>Ленинградское телевидение</t>
        </is>
      </c>
      <c r="H4945" s="2" t="n">
        <v>269</v>
      </c>
      <c r="I4945" s="2" t="inlineStr"/>
      <c r="J4945" s="2" t="inlineStr"/>
      <c r="K4945" s="3" t="inlineStr">
        <is>
          <t>Телеспектакль по повести Германа Матвеева.
Подростки — Миша Алексеев и его приятели — помогли советским контрразведчикам выловить группу фашистских агентов, действовавших в Ленинграде во время блокады Ленинграда и пытавшихся совершить диверсию на водопроводной станции.</t>
        </is>
      </c>
      <c r="L4945" s="2" t="inlineStr">
        <is>
          <t>https://www.kino-teatr.ru/teatr/movie/16995/annot/</t>
        </is>
      </c>
      <c r="M4945" s="2">
        <f>HYPERLINK("https://ru.wikipedia.org/w/index.php?search=%D0%A2%D0%B0%D1%80%D0%B0%D0%BD%D1%82%D1%83%D0%BB%201981%20%D1%84%D0%B8%D0%BB%D1%8C%D0%BC","искать")</f>
        <v/>
      </c>
      <c r="N4945" s="3" t="n"/>
      <c r="O4945" s="2" t="n"/>
      <c r="P4945" s="2" t="n"/>
    </row>
    <row r="4946">
      <c r="A4946" s="2" t="n">
        <v>4945</v>
      </c>
      <c r="B4946" s="2" t="inlineStr">
        <is>
          <t>короткая</t>
        </is>
      </c>
      <c r="C4946" s="2" t="n">
        <v>11557</v>
      </c>
      <c r="D4946" s="3" t="inlineStr">
        <is>
          <t>Происхождение вида</t>
        </is>
      </c>
      <c r="E4946" s="2" t="n">
        <v>1966</v>
      </c>
      <c r="F4946" s="2" t="inlineStr">
        <is>
          <t>мультфильм</t>
        </is>
      </c>
      <c r="G4946" s="2" t="inlineStr">
        <is>
          <t>Союзмультфильм</t>
        </is>
      </c>
      <c r="H4946" s="2" t="n">
        <v>269</v>
      </c>
      <c r="I4946" s="2" t="inlineStr"/>
      <c r="J4946" s="2" t="inlineStr"/>
      <c r="K4946" s="3" t="inlineStr">
        <is>
          <t>По одноименной сказке Л.Лагина. Когда-то, очень давно, обезьянка благодаря труду превратилась в человека. А вот ленивый Кондрат всю жизнь не работал, заседал то в юбилейных комиссиях, то в комиссиях по разбору склок. И за полтора года до пенсии превратился...в обезьяну</t>
        </is>
      </c>
      <c r="L4946" s="2" t="inlineStr">
        <is>
          <t>https://gosfilmofond.ru/films/254246/</t>
        </is>
      </c>
      <c r="M4946" s="2">
        <f>HYPERLINK("https://ru.wikipedia.org/w/index.php?search=%D0%9F%D1%80%D0%BE%D0%B8%D1%81%D1%85%D0%BE%D0%B6%D0%B4%D0%B5%D0%BD%D0%B8%D0%B5%20%D0%B2%D0%B8%D0%B4%D0%B0%201966%20%D1%84%D0%B8%D0%BB%D1%8C%D0%BC","искать")</f>
        <v/>
      </c>
      <c r="N4946" s="3" t="n"/>
      <c r="O4946" s="2" t="n"/>
      <c r="P4946" s="2" t="n"/>
    </row>
    <row r="4947">
      <c r="A4947" s="2" t="n">
        <v>4946</v>
      </c>
      <c r="B4947" s="2" t="inlineStr">
        <is>
          <t>короткая</t>
        </is>
      </c>
      <c r="C4947" s="2" t="n">
        <v>12220</v>
      </c>
      <c r="D4947" s="3" t="inlineStr">
        <is>
          <t>Смех и горе у Бела моря</t>
        </is>
      </c>
      <c r="E4947" s="2" t="n">
        <v>1987</v>
      </c>
      <c r="F4947" s="2" t="inlineStr">
        <is>
          <t>мультфильм</t>
        </is>
      </c>
      <c r="G4947" s="2" t="inlineStr">
        <is>
          <t>Союзмультфильм</t>
        </is>
      </c>
      <c r="H4947" s="2" t="n">
        <v>269</v>
      </c>
      <c r="I4947" s="2" t="inlineStr"/>
      <c r="J4947" s="2" t="inlineStr"/>
      <c r="K4947" s="3" t="inlineStr">
        <is>
          <t>Перемонтаж экранизаций сказок Б. Шергина и С. Писахова: Не любо - не слушай, Волшебное кольцо, Архангельские новеллы, Поморская быль. В сборник вошли мультфильмы:1. Вечны льдины2. Про медведя3. Морожены песни4. Волшебное кольцо5. Перепилиха6. Апельсин7. Поморская быль.</t>
        </is>
      </c>
      <c r="L4947" s="2" t="inlineStr">
        <is>
          <t>2026-10_мультфильмы_список_владельца.xlsx; https://animator.ru/db/?p=show_film&amp;fid=3337</t>
        </is>
      </c>
      <c r="M4947" s="2">
        <f>HYPERLINK("https://ru.wikipedia.org/w/index.php?search=%D0%A1%D0%BC%D0%B5%D1%85%20%D0%B8%20%D0%B3%D0%BE%D1%80%D0%B5%20%D1%83%20%D0%91%D0%B5%D0%BB%D0%B0%20%D0%BC%D0%BE%D1%80%D1%8F%201987%20%D1%84%D0%B8%D0%BB%D1%8C%D0%BC","искать")</f>
        <v/>
      </c>
      <c r="N4947" s="3" t="n"/>
      <c r="O4947" s="2" t="n"/>
      <c r="P4947" s="2" t="n"/>
    </row>
    <row r="4948">
      <c r="A4948" s="2" t="n">
        <v>4947</v>
      </c>
      <c r="B4948" s="2" t="inlineStr">
        <is>
          <t>короткая</t>
        </is>
      </c>
      <c r="C4948" s="2" t="n">
        <v>14348</v>
      </c>
      <c r="D4948" s="3" t="inlineStr">
        <is>
          <t>Венец природы</t>
        </is>
      </c>
      <c r="E4948" s="2" t="n">
        <v>1982</v>
      </c>
      <c r="F4948" s="2" t="inlineStr">
        <is>
          <t>мультфильм</t>
        </is>
      </c>
      <c r="G4948" s="2" t="inlineStr">
        <is>
          <t>АРМЕНФИЛЬМ</t>
        </is>
      </c>
      <c r="H4948" s="2" t="n">
        <v>269</v>
      </c>
      <c r="I4948" s="2" t="inlineStr"/>
      <c r="J4948" s="2" t="inlineStr"/>
      <c r="K4948" s="3" t="inlineStr">
        <is>
          <t>Герой фильма, устав от каждодневного шума и гама города, решил уйти на лоно природы и начать новую жизнь. Но через некоторое время он начинает ощущать нехватку вещей, которые так раздражали его. Постепенно, сам того не сознавая, он создает вокруг себя город в миниатюре</t>
        </is>
      </c>
      <c r="L4948" s="2" t="inlineStr">
        <is>
          <t>https://gosfilmofond.ru/films/237904/</t>
        </is>
      </c>
      <c r="M4948" s="2">
        <f>HYPERLINK("https://ru.wikipedia.org/w/index.php?search=%D0%92%D0%B5%D0%BD%D0%B5%D1%86%20%D0%BF%D1%80%D0%B8%D1%80%D0%BE%D0%B4%D1%8B%201982%20%D1%84%D0%B8%D0%BB%D1%8C%D0%BC","искать")</f>
        <v/>
      </c>
      <c r="N4948" s="3" t="n"/>
      <c r="O4948" s="2" t="n"/>
      <c r="P4948" s="2" t="n"/>
    </row>
    <row r="4949">
      <c r="A4949" s="2" t="n">
        <v>4948</v>
      </c>
      <c r="B4949" s="2" t="inlineStr">
        <is>
          <t>короткая</t>
        </is>
      </c>
      <c r="C4949" s="2" t="n">
        <v>8309</v>
      </c>
      <c r="D4949" s="3" t="inlineStr">
        <is>
          <t>Свет в окне</t>
        </is>
      </c>
      <c r="E4949" s="2" t="n">
        <v>1980</v>
      </c>
      <c r="F4949" s="2" t="inlineStr">
        <is>
          <t>телефильм</t>
        </is>
      </c>
      <c r="G4949" s="2" t="inlineStr">
        <is>
          <t>Ленфильм</t>
        </is>
      </c>
      <c r="H4949" s="2" t="n">
        <v>270</v>
      </c>
      <c r="I4949" s="2" t="inlineStr"/>
      <c r="J4949" s="2" t="inlineStr"/>
      <c r="K4949" s="3" t="inlineStr">
        <is>
          <t>Телефильм. По мотивам одноименного очерка Татьяны Тэсс. У девочки умирает мама и она остается с новорожденной сестренкой и отцом, оба безутешные в своем горе... Со временем в доме появляется женщина, которая очень любит ее папу и, вероятно, сможет заменить умершую мать.</t>
        </is>
      </c>
      <c r="L4949" s="2" t="inlineStr">
        <is>
          <t>Кино_СССР сводный каталог.xlsx: список телефильмов</t>
        </is>
      </c>
      <c r="M4949" s="2">
        <f>HYPERLINK("https://ru.wikipedia.org/w/index.php?search=%D0%A1%D0%B2%D0%B5%D1%82%20%D0%B2%20%D0%BE%D0%BA%D0%BD%D0%B5%201980%20%D1%84%D0%B8%D0%BB%D1%8C%D0%BC","искать")</f>
        <v/>
      </c>
      <c r="N4949" s="3" t="n"/>
      <c r="O4949" s="2" t="n"/>
      <c r="P4949" s="2" t="n"/>
    </row>
    <row r="4950">
      <c r="A4950" s="2" t="n">
        <v>4949</v>
      </c>
      <c r="B4950" s="2" t="inlineStr">
        <is>
          <t>короткая</t>
        </is>
      </c>
      <c r="C4950" s="2" t="n">
        <v>8531</v>
      </c>
      <c r="D4950" s="3" t="inlineStr">
        <is>
          <t>Цель</t>
        </is>
      </c>
      <c r="E4950" s="2" t="n">
        <v>1980</v>
      </c>
      <c r="F4950" s="2" t="inlineStr">
        <is>
          <t>телефильм</t>
        </is>
      </c>
      <c r="G4950" s="2" t="n"/>
      <c r="H4950" s="2" t="n">
        <v>270</v>
      </c>
      <c r="I4950" s="2" t="inlineStr"/>
      <c r="J4950" s="2" t="inlineStr"/>
      <c r="K4950" s="3" t="inlineStr">
        <is>
          <t>მიზანი Действие телефильма происходит в Батуми в 1918 году. По заданию командования Красной Армии в город приезжает большевик-подпольщик Андро. Герой успешно организовывает взрыв на английском морском транспорте, где находится оружие, предназначенное для армии Деникина.</t>
        </is>
      </c>
      <c r="L4950" s="2" t="inlineStr">
        <is>
          <t>Кино_СССР сводный каталог.xlsx: список телефильмов</t>
        </is>
      </c>
      <c r="M4950" s="2">
        <f>HYPERLINK("https://ru.wikipedia.org/w/index.php?search=%D0%A6%D0%B5%D0%BB%D1%8C%201980%20%D1%84%D0%B8%D0%BB%D1%8C%D0%BC","искать")</f>
        <v/>
      </c>
      <c r="N4950" s="3" t="n"/>
      <c r="O4950" s="2" t="n"/>
      <c r="P4950" s="2" t="n"/>
    </row>
    <row r="4951">
      <c r="A4951" s="2" t="n">
        <v>4950</v>
      </c>
      <c r="B4951" s="2" t="inlineStr">
        <is>
          <t>короткая</t>
        </is>
      </c>
      <c r="C4951" s="2" t="n">
        <v>8924</v>
      </c>
      <c r="D4951" s="3" t="inlineStr">
        <is>
          <t>Первый день</t>
        </is>
      </c>
      <c r="E4951" s="2" t="n">
        <v>1936</v>
      </c>
      <c r="F4951" s="2" t="inlineStr">
        <is>
          <t>кинофильм</t>
        </is>
      </c>
      <c r="G4951" s="2" t="n"/>
      <c r="H4951" s="2" t="n">
        <v>270</v>
      </c>
      <c r="I4951" s="2" t="inlineStr"/>
      <c r="J4951" s="2" t="inlineStr"/>
      <c r="K4951" s="3" t="inlineStr">
        <is>
          <t>По мотивам рассказа А.И.Куприна «Белый пудель». Авторы фильма заменили старого шарманщика девушкой-революционеркой, распространяющей прокламации во время цирковых номеров пуделя. Документов, запрещающих фильм к прокату, разыскать не удалось, но фильм на экраны не вышел.</t>
        </is>
      </c>
      <c r="L4951" s="2" t="inlineStr">
        <is>
          <t>Кино_СССР сводный каталог.xlsx: список фильмов (доп.)</t>
        </is>
      </c>
      <c r="M4951" s="2">
        <f>HYPERLINK("https://ru.wikipedia.org/w/index.php?search=%D0%9F%D0%B5%D1%80%D0%B2%D1%8B%D0%B9%20%D0%B4%D0%B5%D0%BD%D1%8C%201936%20%D1%84%D0%B8%D0%BB%D1%8C%D0%BC","искать")</f>
        <v/>
      </c>
      <c r="N4951" s="3" t="n"/>
      <c r="O4951" s="2" t="n"/>
      <c r="P4951" s="2" t="n"/>
    </row>
    <row r="4952">
      <c r="A4952" s="2" t="n">
        <v>4951</v>
      </c>
      <c r="B4952" s="2" t="inlineStr">
        <is>
          <t>короткая</t>
        </is>
      </c>
      <c r="C4952" s="2" t="n">
        <v>9679</v>
      </c>
      <c r="D4952" s="3" t="inlineStr">
        <is>
          <t>Сукины дети</t>
        </is>
      </c>
      <c r="E4952" s="2" t="n">
        <v>1990</v>
      </c>
      <c r="F4952" s="2" t="inlineStr">
        <is>
          <t>кинофильм</t>
        </is>
      </c>
      <c r="G4952" s="2" t="n"/>
      <c r="H4952" s="2" t="n">
        <v>270</v>
      </c>
      <c r="I4952" s="2" t="inlineStr"/>
      <c r="J4952" s="2" t="inlineStr"/>
      <c r="K4952" s="3" t="inlineStr">
        <is>
          <t>Актеры известной столичной труппы забаррикадировались в здании театра и обьявили голодовку,пригрозив даже начать акции самосожжения.А все из-за того,что им велели отречься от своего главного режиссера,оставшегося за границей.Не выдержав голодовки,умирает один из актеров</t>
        </is>
      </c>
      <c r="L4952" s="2" t="inlineStr">
        <is>
          <t>https://gosfilmofond.ru/films/241125/</t>
        </is>
      </c>
      <c r="M4952" s="2">
        <f>HYPERLINK("https://ru.wikipedia.org/w/index.php?search=%D0%A1%D1%83%D0%BA%D0%B8%D0%BD%D1%8B%20%D0%B4%D0%B5%D1%82%D0%B8%201990%20%D1%84%D0%B8%D0%BB%D1%8C%D0%BC","искать")</f>
        <v/>
      </c>
      <c r="N4952" s="3" t="n"/>
      <c r="O4952" s="2" t="n"/>
      <c r="P4952" s="2" t="n"/>
    </row>
    <row r="4953">
      <c r="A4953" s="2" t="n">
        <v>4952</v>
      </c>
      <c r="B4953" s="2" t="inlineStr">
        <is>
          <t>короткая</t>
        </is>
      </c>
      <c r="C4953" s="2" t="n">
        <v>9860</v>
      </c>
      <c r="D4953" s="3" t="inlineStr">
        <is>
          <t>Клоун</t>
        </is>
      </c>
      <c r="E4953" s="2" t="n">
        <v>1969</v>
      </c>
      <c r="F4953" s="2" t="inlineStr">
        <is>
          <t>кинофильм</t>
        </is>
      </c>
      <c r="G4953" s="2" t="inlineStr">
        <is>
          <t>Арменфильм</t>
        </is>
      </c>
      <c r="H4953" s="2" t="n">
        <v>270</v>
      </c>
      <c r="I4953" s="2" t="inlineStr"/>
      <c r="J4953" s="2" t="inlineStr"/>
      <c r="K4953" s="3" t="inlineStr">
        <is>
          <t>По одноименному рассказу М.Манвеляна.
К психиатру на прием приходит пациент, жалующийся на бессонницу, депрессию. Врач советует ему сходить в цирк, где выступает великолепный клоун, заражающий всех смехом и оптимизмом. Но оказывается, что пациент и есть тот самый клоун.</t>
        </is>
      </c>
      <c r="L4953" s="2" t="inlineStr">
        <is>
          <t>https://www.kino-teatr.ru/short/movie/sov/14146/annot/</t>
        </is>
      </c>
      <c r="M4953" s="2">
        <f>HYPERLINK("https://ru.wikipedia.org/w/index.php?search=%D0%9A%D0%BB%D0%BE%D1%83%D0%BD%201969%20%D1%84%D0%B8%D0%BB%D1%8C%D0%BC","искать")</f>
        <v/>
      </c>
      <c r="N4953" s="3" t="n"/>
      <c r="O4953" s="2" t="n"/>
      <c r="P4953" s="2" t="n"/>
    </row>
    <row r="4954">
      <c r="A4954" s="2" t="n">
        <v>4953</v>
      </c>
      <c r="B4954" s="2" t="inlineStr">
        <is>
          <t>короткая</t>
        </is>
      </c>
      <c r="C4954" s="2" t="n">
        <v>10752</v>
      </c>
      <c r="D4954" s="3" t="inlineStr">
        <is>
          <t>Лика</t>
        </is>
      </c>
      <c r="E4954" s="2" t="n">
        <v>1978</v>
      </c>
      <c r="F4954" s="2" t="inlineStr">
        <is>
          <t>фильм-спектакль</t>
        </is>
      </c>
      <c r="G4954" s="2" t="inlineStr">
        <is>
          <t>Главная редакция литературно-драматических программ ЦТ</t>
        </is>
      </c>
      <c r="H4954" s="2" t="n">
        <v>270</v>
      </c>
      <c r="I4954" s="2" t="inlineStr"/>
      <c r="J4954" s="2" t="inlineStr"/>
      <c r="K4954" s="3" t="inlineStr">
        <is>
          <t>По пьесе Армена Зурабова.
Героиня спектакля Лика уходит от мужа. К ней презжает старшая сестра Нина в надежде помочь сохранить семью. В споре сестер проявляются две несовместимые позиции. Лика хочет счастья, основанного на взаимной любви, Нина готова поступиться многим.</t>
        </is>
      </c>
      <c r="L4954" s="2" t="inlineStr">
        <is>
          <t>https://www.kino-teatr.ru/teatr/movie/13162/annot/</t>
        </is>
      </c>
      <c r="M4954" s="2">
        <f>HYPERLINK("https://ru.wikipedia.org/w/index.php?search=%D0%9B%D0%B8%D0%BA%D0%B0%201978%20%D1%84%D0%B8%D0%BB%D1%8C%D0%BC","искать")</f>
        <v/>
      </c>
      <c r="N4954" s="3" t="n"/>
      <c r="O4954" s="2" t="n"/>
      <c r="P4954" s="2" t="n"/>
    </row>
    <row r="4955">
      <c r="A4955" s="2" t="n">
        <v>4954</v>
      </c>
      <c r="B4955" s="2" t="inlineStr">
        <is>
          <t>короткая</t>
        </is>
      </c>
      <c r="C4955" s="2" t="n">
        <v>10758</v>
      </c>
      <c r="D4955" s="3" t="inlineStr">
        <is>
          <t>Мораль пани Дульской</t>
        </is>
      </c>
      <c r="E4955" s="2" t="n">
        <v>1978</v>
      </c>
      <c r="F4955" s="2" t="inlineStr">
        <is>
          <t>фильм-спектакль</t>
        </is>
      </c>
      <c r="G4955" s="2" t="inlineStr">
        <is>
          <t>Главная редакция литературно-драматических программ ЦТ</t>
        </is>
      </c>
      <c r="H4955" s="2" t="n">
        <v>270</v>
      </c>
      <c r="I4955" s="2" t="inlineStr"/>
      <c r="J4955" s="2" t="inlineStr"/>
      <c r="K4955" s="3" t="inlineStr">
        <is>
          <t>По пьесе Габриэли Запольской.
В доме Дульских все лгут друг другу. Старший сын Збышек, который не принимает моральные принципы своей матери, оказывается таким же, как и его родственники. Он отказывается от обещания жениться на горничной Ганке, и девушке приходится уйти.</t>
        </is>
      </c>
      <c r="L4955" s="2" t="inlineStr">
        <is>
          <t>https://www.kino-teatr.ru/teatr/movie/16543/annot/</t>
        </is>
      </c>
      <c r="M4955" s="2">
        <f>HYPERLINK("https://ru.wikipedia.org/w/index.php?search=%D0%9C%D0%BE%D1%80%D0%B0%D0%BB%D1%8C%20%D0%BF%D0%B0%D0%BD%D0%B8%20%D0%94%D1%83%D0%BB%D1%8C%D1%81%D0%BA%D0%BE%D0%B9%201978%20%D1%84%D0%B8%D0%BB%D1%8C%D0%BC","искать")</f>
        <v/>
      </c>
      <c r="N4955" s="3" t="n"/>
      <c r="O4955" s="2" t="n"/>
      <c r="P4955" s="2" t="n"/>
    </row>
    <row r="4956">
      <c r="A4956" s="2" t="n">
        <v>4955</v>
      </c>
      <c r="B4956" s="2" t="inlineStr">
        <is>
          <t>короткая</t>
        </is>
      </c>
      <c r="C4956" s="2" t="n">
        <v>12316</v>
      </c>
      <c r="D4956" s="3" t="inlineStr">
        <is>
          <t>Притча о Мыши</t>
        </is>
      </c>
      <c r="E4956" s="2" t="n">
        <v>1991</v>
      </c>
      <c r="F4956" s="2" t="inlineStr">
        <is>
          <t>мультфильм</t>
        </is>
      </c>
      <c r="G4956" s="2" t="inlineStr">
        <is>
          <t>Союзмультфильм</t>
        </is>
      </c>
      <c r="H4956" s="2" t="n">
        <v>270</v>
      </c>
      <c r="I4956" s="2" t="inlineStr"/>
      <c r="J4956" s="2" t="inlineStr"/>
      <c r="K4956" s="3" t="inlineStr">
        <is>
          <t>Фильм по мотивам сказки северо-американских индейцев. В аллегорической форме он рассказывает о духовном прозрении. Героиня фильма - Мышь, благодаря встрече с Енотом, Лягушкой, Бизоном, Медведем, изменилась духовно. А встреча с Орлом преобразила ее сущность.Для взрослых.</t>
        </is>
      </c>
      <c r="L4956" s="2" t="inlineStr">
        <is>
          <t>2026-10_мультфильмы_список_владельца.xlsx; https://animator.ru/db/?p=show_film&amp;fid=3433</t>
        </is>
      </c>
      <c r="M4956" s="2">
        <f>HYPERLINK("https://ru.wikipedia.org/w/index.php?search=%D0%9F%D1%80%D0%B8%D1%82%D1%87%D0%B0%20%D0%BE%20%D0%9C%D1%8B%D1%88%D0%B8%201991%20%D1%84%D0%B8%D0%BB%D1%8C%D0%BC","искать")</f>
        <v/>
      </c>
      <c r="N4956" s="3" t="n"/>
      <c r="O4956" s="2" t="n"/>
      <c r="P4956" s="2" t="n"/>
    </row>
    <row r="4957">
      <c r="A4957" s="2" t="n">
        <v>4956</v>
      </c>
      <c r="B4957" s="2" t="inlineStr">
        <is>
          <t>короткая</t>
        </is>
      </c>
      <c r="C4957" s="2" t="n">
        <v>7396</v>
      </c>
      <c r="D4957" s="3" t="inlineStr">
        <is>
          <t>Всадники</t>
        </is>
      </c>
      <c r="E4957" s="2" t="n">
        <v>1972</v>
      </c>
      <c r="F4957" s="2" t="inlineStr">
        <is>
          <t>телефильм</t>
        </is>
      </c>
      <c r="G4957" s="2" t="n"/>
      <c r="H4957" s="2" t="n">
        <v>271</v>
      </c>
      <c r="I4957" s="2" t="inlineStr"/>
      <c r="J4957" s="2" t="inlineStr"/>
      <c r="K4957" s="3" t="inlineStr">
        <is>
          <t>В июне 1941 года подростки Боря и Вилька помогают эвакуировать в тыл породистых скаковых лошадей. С огромным трудом они пробиваются по военным дорогам к своим, но неожиданно попадают в окружение. Здесь создадется партизанский отряд, и юные бойцы находят в нем свое место.</t>
        </is>
      </c>
      <c r="L4957" s="2" t="inlineStr">
        <is>
          <t>Кино_СССР сводный каталог.xlsx: список телефильмов</t>
        </is>
      </c>
      <c r="M4957" s="2">
        <f>HYPERLINK("https://ru.wikipedia.org/w/index.php?search=%D0%92%D1%81%D0%B0%D0%B4%D0%BD%D0%B8%D0%BA%D0%B8%201972%20%D1%84%D0%B8%D0%BB%D1%8C%D0%BC","искать")</f>
        <v/>
      </c>
      <c r="N4957" s="3" t="n"/>
      <c r="O4957" s="2" t="n"/>
      <c r="P4957" s="2" t="n"/>
    </row>
    <row r="4958">
      <c r="A4958" s="2" t="n">
        <v>4957</v>
      </c>
      <c r="B4958" s="2" t="inlineStr">
        <is>
          <t>короткая</t>
        </is>
      </c>
      <c r="C4958" s="2" t="n">
        <v>10361</v>
      </c>
      <c r="D4958" s="3" t="inlineStr">
        <is>
          <t>Карлик Нос</t>
        </is>
      </c>
      <c r="E4958" s="2" t="n">
        <v>1970</v>
      </c>
      <c r="F4958" s="2" t="inlineStr">
        <is>
          <t>фильм-спектакль</t>
        </is>
      </c>
      <c r="G4958" s="2" t="inlineStr">
        <is>
          <t>Центральное телевидение</t>
        </is>
      </c>
      <c r="H4958" s="2" t="n">
        <v>271</v>
      </c>
      <c r="I4958" s="2" t="inlineStr"/>
      <c r="J4958" s="2" t="inlineStr"/>
      <c r="K4958" s="3" t="inlineStr">
        <is>
          <t>По мотивам сказки немецкого писателя Вильгельма Гауфа.
Про мальчика Якоба, которого злая старуха заколдовала в карлика с длинным носом. При этом она одарила его умением готовить различные блюда и разбираться в травах. Все это помогло юноше вернуть себе прежнюю внешность.</t>
        </is>
      </c>
      <c r="L4958" s="2" t="inlineStr">
        <is>
          <t>https://www.kino-teatr.ru/teatr/movie/79869/annot/</t>
        </is>
      </c>
      <c r="M4958" s="2">
        <f>HYPERLINK("https://ru.wikipedia.org/w/index.php?search=%D0%9A%D0%B0%D1%80%D0%BB%D0%B8%D0%BA%20%D0%9D%D0%BE%D1%81%201970%20%D1%84%D0%B8%D0%BB%D1%8C%D0%BC","искать")</f>
        <v/>
      </c>
      <c r="N4958" s="3" t="n"/>
      <c r="O4958" s="2" t="n"/>
      <c r="P4958" s="2" t="n"/>
    </row>
    <row r="4959">
      <c r="A4959" s="2" t="n">
        <v>4958</v>
      </c>
      <c r="B4959" s="2" t="inlineStr">
        <is>
          <t>короткая</t>
        </is>
      </c>
      <c r="C4959" s="2" t="n">
        <v>8138</v>
      </c>
      <c r="D4959" s="3" t="inlineStr">
        <is>
          <t>Подготовка к экзамену</t>
        </is>
      </c>
      <c r="E4959" s="2" t="n">
        <v>1979</v>
      </c>
      <c r="F4959" s="2" t="inlineStr">
        <is>
          <t>телефильм</t>
        </is>
      </c>
      <c r="G4959" s="2" t="n"/>
      <c r="H4959" s="2" t="n">
        <v>272</v>
      </c>
      <c r="I4959" s="2" t="inlineStr"/>
      <c r="J4959" s="2" t="inlineStr"/>
      <c r="K4959" s="3" t="inlineStr">
        <is>
          <t>Телефильм по мотивам одноименной повести Н. Дементьева. Героине фильма Кате во сне на помощь пришел благородный незнакомец. Придя утром в школу, она знакомится с новичком и решает, что он – герой ее сна. Однако поступки юноши разрушают созданный Катей романтический образ.</t>
        </is>
      </c>
      <c r="L4959" s="2" t="inlineStr">
        <is>
          <t>Кино_СССР сводный каталог.xlsx: список телефильмов</t>
        </is>
      </c>
      <c r="M4959" s="2">
        <f>HYPERLINK("https://ru.wikipedia.org/w/index.php?search=%D0%9F%D0%BE%D0%B4%D0%B3%D0%BE%D1%82%D0%BE%D0%B2%D0%BA%D0%B0%20%D0%BA%20%D1%8D%D0%BA%D0%B7%D0%B0%D0%BC%D0%B5%D0%BD%D1%83%201979%20%D1%84%D0%B8%D0%BB%D1%8C%D0%BC","искать")</f>
        <v/>
      </c>
      <c r="N4959" s="3" t="n"/>
      <c r="O4959" s="2" t="n"/>
      <c r="P4959" s="2" t="n"/>
    </row>
    <row r="4960">
      <c r="A4960" s="2" t="n">
        <v>4959</v>
      </c>
      <c r="B4960" s="2" t="inlineStr">
        <is>
          <t>короткая</t>
        </is>
      </c>
      <c r="C4960" s="2" t="n">
        <v>8505</v>
      </c>
      <c r="D4960" s="3" t="inlineStr">
        <is>
          <t>Ускорение</t>
        </is>
      </c>
      <c r="E4960" s="2" t="n">
        <v>1983</v>
      </c>
      <c r="F4960" s="2" t="inlineStr">
        <is>
          <t>телефильм</t>
        </is>
      </c>
      <c r="G4960" s="2" t="n"/>
      <c r="H4960" s="2" t="n">
        <v>272</v>
      </c>
      <c r="I4960" s="2" t="inlineStr"/>
      <c r="J4960" s="2" t="inlineStr"/>
      <c r="K4960" s="3" t="inlineStr">
        <is>
          <t>Телесериал по мотивам романа Павла Загребельного "Разгон". Герой фильма - директор НИИ, ученый-кибернетик Петро Карналь. Картина построена как ретроспектива воспоминаний героя о военной юности и спутниках жизни, поводом для которых стала встреча с журналисткой Анастасией.</t>
        </is>
      </c>
      <c r="L4960" s="2" t="inlineStr">
        <is>
          <t>Кино_СССР сводный каталог.xlsx: список телефильмов</t>
        </is>
      </c>
      <c r="M4960" s="2">
        <f>HYPERLINK("https://ru.wikipedia.org/w/index.php?search=%D0%A3%D1%81%D0%BA%D0%BE%D1%80%D0%B5%D0%BD%D0%B8%D0%B5%201983%20%D1%84%D0%B8%D0%BB%D1%8C%D0%BC","искать")</f>
        <v/>
      </c>
      <c r="N4960" s="3" t="n"/>
      <c r="O4960" s="2" t="n"/>
      <c r="P4960" s="2" t="n"/>
    </row>
    <row r="4961">
      <c r="A4961" s="2" t="n">
        <v>4960</v>
      </c>
      <c r="B4961" s="2" t="inlineStr">
        <is>
          <t>короткая</t>
        </is>
      </c>
      <c r="C4961" s="2" t="n">
        <v>10980</v>
      </c>
      <c r="D4961" s="3" t="inlineStr">
        <is>
          <t>В городе хорошая погода</t>
        </is>
      </c>
      <c r="E4961" s="2" t="n">
        <v>1983</v>
      </c>
      <c r="F4961" s="2" t="inlineStr">
        <is>
          <t>фильм-спектакль</t>
        </is>
      </c>
      <c r="G4961" s="2" t="inlineStr">
        <is>
          <t>Главная редакция литературно-драматических программ ЦТ</t>
        </is>
      </c>
      <c r="H4961" s="2" t="n">
        <v>272</v>
      </c>
      <c r="I4961" s="2" t="inlineStr"/>
      <c r="J4961" s="2" t="inlineStr"/>
      <c r="K4961" s="3" t="inlineStr">
        <is>
          <t>Производственная драма в стиле 80-х, облагороженная прекрасной игрой великолепных артистов.
О деятельности Леднёва, председателя исполкома небольшого городка. Не все ладится в работе и личной жизни героя, но в любых ситуациях проявляются его высокие нравственные качества.</t>
        </is>
      </c>
      <c r="L4961" s="2" t="inlineStr">
        <is>
          <t>https://www.kino-teatr.ru/teatr/movie/16544/annot/</t>
        </is>
      </c>
      <c r="M4961" s="2">
        <f>HYPERLINK("https://ru.wikipedia.org/w/index.php?search=%D0%92%20%D0%B3%D0%BE%D1%80%D0%BE%D0%B4%D0%B5%20%D1%85%D0%BE%D1%80%D0%BE%D1%88%D0%B0%D1%8F%20%D0%BF%D0%BE%D0%B3%D0%BE%D0%B4%D0%B0%201983%20%D1%84%D0%B8%D0%BB%D1%8C%D0%BC","искать")</f>
        <v/>
      </c>
      <c r="N4961" s="3" t="n"/>
      <c r="O4961" s="2" t="n"/>
      <c r="P4961" s="2" t="n"/>
    </row>
    <row r="4962">
      <c r="A4962" s="2" t="n">
        <v>4961</v>
      </c>
      <c r="B4962" s="2" t="inlineStr">
        <is>
          <t>короткая</t>
        </is>
      </c>
      <c r="C4962" s="2" t="n">
        <v>11034</v>
      </c>
      <c r="D4962" s="3" t="inlineStr">
        <is>
          <t>Ошибка великого Васи Осокина</t>
        </is>
      </c>
      <c r="E4962" s="2" t="n">
        <v>1984</v>
      </c>
      <c r="F4962" s="2" t="inlineStr">
        <is>
          <t>фильм-спектакль</t>
        </is>
      </c>
      <c r="G4962" s="2" t="inlineStr">
        <is>
          <t>Творческое объединение "Экран"</t>
        </is>
      </c>
      <c r="H4962" s="2" t="n">
        <v>272</v>
      </c>
      <c r="I4962" s="2" t="inlineStr"/>
      <c r="J4962" s="2" t="inlineStr"/>
      <c r="K4962" s="3" t="inlineStr">
        <is>
          <t>По пьесе Афанасия Салынского "Сладкая собачка, или Ошибка великого Васи Осокина" в постановке Государственного Центрального детского театра.
О необыкновенных приключениях юного ученого Васи Осокина и изобретенной им для совместного полета в космос шоколадной собачки Тюти.</t>
        </is>
      </c>
      <c r="L4962" s="2" t="inlineStr">
        <is>
          <t>https://www.kino-teatr.ru/teatr/movie/79871/annot/</t>
        </is>
      </c>
      <c r="M4962" s="2">
        <f>HYPERLINK("https://ru.wikipedia.org/w/index.php?search=%D0%9E%D1%88%D0%B8%D0%B1%D0%BA%D0%B0%20%D0%B2%D0%B5%D0%BB%D0%B8%D0%BA%D0%BE%D0%B3%D0%BE%20%D0%92%D0%B0%D1%81%D0%B8%20%D0%9E%D1%81%D0%BE%D0%BA%D0%B8%D0%BD%D0%B0%201984%20%D1%84%D0%B8%D0%BB%D1%8C%D0%BC","искать")</f>
        <v/>
      </c>
      <c r="N4962" s="3" t="n"/>
      <c r="O4962" s="2" t="n"/>
      <c r="P4962" s="2" t="n"/>
    </row>
    <row r="4963">
      <c r="A4963" s="2" t="n">
        <v>4962</v>
      </c>
      <c r="B4963" s="2" t="inlineStr">
        <is>
          <t>короткая</t>
        </is>
      </c>
      <c r="C4963" s="2" t="n">
        <v>11605</v>
      </c>
      <c r="D4963" s="3" t="inlineStr">
        <is>
          <t>ПО СОБСТВЕННОМУ ЖЕЛАНИЮ ("Фитиль" N 97)</t>
        </is>
      </c>
      <c r="E4963" s="2" t="n">
        <v>1970</v>
      </c>
      <c r="F4963" s="2" t="inlineStr">
        <is>
          <t>мультфильм</t>
        </is>
      </c>
      <c r="G4963" s="2" t="inlineStr">
        <is>
          <t>Союзмультфильм</t>
        </is>
      </c>
      <c r="H4963" s="2" t="n">
        <v>272</v>
      </c>
      <c r="I4963" s="2" t="inlineStr"/>
      <c r="J4963" s="2" t="inlineStr"/>
      <c r="K4963" s="3" t="inlineStr">
        <is>
          <t>Начальники двух соседних учреждений садятся в свои машины и отъезжают, но вскоре обе машины попадают в аварии. Начальники увольняют своих шоферов, правда, с хорошими характеристиками. А те, недолго думая, меняют своих хозяев. И опять авария, но на этот раз уже последняя..</t>
        </is>
      </c>
      <c r="L4963" s="2" t="inlineStr">
        <is>
          <t>https://gosfilmofond.ru/films/251995/</t>
        </is>
      </c>
      <c r="M4963" s="2">
        <f>HYPERLINK("https://ru.wikipedia.org/w/index.php?search=%D0%9F%D0%9E%20%D0%A1%D0%9E%D0%91%D0%A1%D0%A2%D0%92%D0%95%D0%9D%D0%9D%D0%9E%D0%9C%D0%A3%20%D0%96%D0%95%D0%9B%D0%90%D0%9D%D0%98%D0%AE%20%28%22%D0%A4%D0%B8%D1%82%D0%B8%D0%BB%D1%8C%22%20N%2097%29%201970%20%D1%84%D0%B8%D0%BB%D1%8C%D0%BC","искать")</f>
        <v/>
      </c>
      <c r="N4963" s="3" t="n"/>
      <c r="O4963" s="2" t="n"/>
      <c r="P4963" s="2" t="n"/>
    </row>
    <row r="4964">
      <c r="A4964" s="2" t="n">
        <v>4963</v>
      </c>
      <c r="B4964" s="2" t="inlineStr">
        <is>
          <t>короткая</t>
        </is>
      </c>
      <c r="C4964" s="2" t="n">
        <v>14423</v>
      </c>
      <c r="D4964" s="3" t="inlineStr">
        <is>
          <t>Кто там?</t>
        </is>
      </c>
      <c r="E4964" s="2" t="n">
        <v>1990</v>
      </c>
      <c r="F4964" s="2" t="inlineStr">
        <is>
          <t>мультфильм</t>
        </is>
      </c>
      <c r="G4964" s="2" t="n"/>
      <c r="H4964" s="2" t="n">
        <v>272</v>
      </c>
      <c r="I4964" s="2" t="inlineStr"/>
      <c r="J4964" s="2" t="inlineStr"/>
      <c r="K4964" s="3" t="inlineStr">
        <is>
          <t>По мотивам рассказа Д.Хармса "Вещь". Действие происходит в тридцатые годы в Советской России. В атмосфере страха и подозрительности даже обычная ситуация заставляет героев фильма вести себя странно и непредсказуемо, тем самым вызывая угнетенное состояние у главных героев.</t>
        </is>
      </c>
      <c r="L4964" s="2" t="inlineStr">
        <is>
          <t>https://animator.ru/db/?p=show_film&amp;fid=6659</t>
        </is>
      </c>
      <c r="M4964" s="2">
        <f>HYPERLINK("https://ru.wikipedia.org/w/index.php?search=%D0%9A%D1%82%D0%BE%20%D1%82%D0%B0%D0%BC%3F%201990%20%D1%84%D0%B8%D0%BB%D1%8C%D0%BC","искать")</f>
        <v/>
      </c>
      <c r="N4964" s="3" t="n"/>
      <c r="O4964" s="2" t="n"/>
      <c r="P4964" s="2" t="n"/>
    </row>
    <row r="4965">
      <c r="A4965" s="2" t="n">
        <v>4964</v>
      </c>
      <c r="B4965" s="2" t="inlineStr">
        <is>
          <t>короткая</t>
        </is>
      </c>
      <c r="C4965" s="2" t="n">
        <v>7609</v>
      </c>
      <c r="D4965" s="3" t="inlineStr">
        <is>
          <t>За Ветлугой-рекой</t>
        </is>
      </c>
      <c r="E4965" s="2" t="n">
        <v>1986</v>
      </c>
      <c r="F4965" s="2" t="inlineStr">
        <is>
          <t>телефильм</t>
        </is>
      </c>
      <c r="G4965" s="2" t="n"/>
      <c r="H4965" s="2" t="n">
        <v>273</v>
      </c>
      <c r="I4965" s="2" t="inlineStr"/>
      <c r="J4965" s="2" t="inlineStr"/>
      <c r="K4965" s="3" t="inlineStr">
        <is>
          <t>По пьесе Радия Кушнеровича «Вдовий дом». В деревню в поисках музыкального фольклора приехал руководитель ансамбля. Он услышал строчку из неизвестной песни и приложил немалые усилия, чтобы выяснить её текст. Так состоялась его встреча с Леной, которая и была автором песни..</t>
        </is>
      </c>
      <c r="L4965" s="2" t="inlineStr">
        <is>
          <t>Кино_СССР сводный каталог.xlsx: список телефильмов</t>
        </is>
      </c>
      <c r="M4965" s="2">
        <f>HYPERLINK("https://ru.wikipedia.org/w/index.php?search=%D0%97%D0%B0%20%D0%92%D0%B5%D1%82%D0%BB%D1%83%D0%B3%D0%BE%D0%B9-%D1%80%D0%B5%D0%BA%D0%BE%D0%B9%201986%20%D1%84%D0%B8%D0%BB%D1%8C%D0%BC","искать")</f>
        <v/>
      </c>
      <c r="N4965" s="3" t="n"/>
      <c r="O4965" s="2" t="n"/>
      <c r="P4965" s="2" t="n"/>
    </row>
    <row r="4966">
      <c r="A4966" s="2" t="n">
        <v>4965</v>
      </c>
      <c r="B4966" s="2" t="inlineStr">
        <is>
          <t>короткая</t>
        </is>
      </c>
      <c r="C4966" s="2" t="n">
        <v>8600</v>
      </c>
      <c r="D4966" s="3" t="inlineStr">
        <is>
          <t>Это мы, господи...</t>
        </is>
      </c>
      <c r="E4966" s="2" t="n">
        <v>1990</v>
      </c>
      <c r="F4966" s="2" t="inlineStr">
        <is>
          <t>телефильм</t>
        </is>
      </c>
      <c r="G4966" s="2" t="n"/>
      <c r="H4966" s="2" t="n">
        <v>273</v>
      </c>
      <c r="I4966" s="2" t="inlineStr"/>
      <c r="J4966" s="2" t="inlineStr"/>
      <c r="K4966" s="3" t="inlineStr">
        <is>
          <t>По повести Константина Воробьева. 1941 год. Оборона Москвы. На передовую прибывает отряд кремлевских курсантов, отборные ребята, еще не «нюхавшие пороха». Их ждут тяжелые — физические и нравственные испытания. Фильм имеет подзаголовок — «Ястребов» (фамилия главного героя).</t>
        </is>
      </c>
      <c r="L4966" s="2" t="inlineStr">
        <is>
          <t>Кино_СССР сводный каталог.xlsx: список телефильмов</t>
        </is>
      </c>
      <c r="M4966" s="2">
        <f>HYPERLINK("https://ru.wikipedia.org/w/index.php?search=%D0%AD%D1%82%D0%BE%20%D0%BC%D1%8B%2C%20%D0%B3%D0%BE%D1%81%D0%BF%D0%BE%D0%B4%D0%B8...%201990%20%D1%84%D0%B8%D0%BB%D1%8C%D0%BC","искать")</f>
        <v/>
      </c>
      <c r="N4966" s="3" t="n"/>
      <c r="O4966" s="2" t="n"/>
      <c r="P4966" s="2" t="n"/>
    </row>
    <row r="4967">
      <c r="A4967" s="2" t="n">
        <v>4966</v>
      </c>
      <c r="B4967" s="2" t="inlineStr">
        <is>
          <t>короткая</t>
        </is>
      </c>
      <c r="C4967" s="2" t="n">
        <v>8885</v>
      </c>
      <c r="D4967" s="3" t="inlineStr">
        <is>
          <t>О странностях любви</t>
        </is>
      </c>
      <c r="E4967" s="2" t="n">
        <v>1936</v>
      </c>
      <c r="F4967" s="2" t="inlineStr">
        <is>
          <t>кинофильм</t>
        </is>
      </c>
      <c r="G4967" s="2" t="n"/>
      <c r="H4967" s="2" t="n">
        <v>273</v>
      </c>
      <c r="I4967" s="2" t="inlineStr"/>
      <c r="J4967" s="2" t="inlineStr"/>
      <c r="K4967" s="3" t="inlineStr">
        <is>
          <t>Водевиль. «Интрига построена на «классическом» недоразумении: две подруги, проводящие отпуск в крымском санатории, влюбляются в молодых людей. Один из них — поэт — выдает себя за планериста, другой — планерист — выдает себя за поэта, что и рождает цепь комедийных ситуаций.</t>
        </is>
      </c>
      <c r="L4967" s="2" t="inlineStr">
        <is>
          <t>Кино_СССР сводный каталог.xlsx: список фильмов (доп.)</t>
        </is>
      </c>
      <c r="M4967" s="2">
        <f>HYPERLINK("https://ru.wikipedia.org/w/index.php?search=%D0%9E%20%D1%81%D1%82%D1%80%D0%B0%D0%BD%D0%BD%D0%BE%D1%81%D1%82%D1%8F%D1%85%20%D0%BB%D1%8E%D0%B1%D0%B2%D0%B8%201936%20%D1%84%D0%B8%D0%BB%D1%8C%D0%BC","искать")</f>
        <v/>
      </c>
      <c r="N4967" s="3" t="n"/>
      <c r="O4967" s="2" t="n"/>
      <c r="P4967" s="2" t="n"/>
    </row>
    <row r="4968">
      <c r="A4968" s="2" t="n">
        <v>4967</v>
      </c>
      <c r="B4968" s="2" t="inlineStr">
        <is>
          <t>короткая</t>
        </is>
      </c>
      <c r="C4968" s="2" t="n">
        <v>9087</v>
      </c>
      <c r="D4968" s="3" t="inlineStr">
        <is>
          <t>Тайна рукописного Корана</t>
        </is>
      </c>
      <c r="E4968" s="2" t="n">
        <v>1991</v>
      </c>
      <c r="F4968" s="2" t="inlineStr">
        <is>
          <t>кинофильм</t>
        </is>
      </c>
      <c r="G4968" s="2" t="n"/>
      <c r="H4968" s="2" t="n">
        <v>273</v>
      </c>
      <c r="I4968" s="2" t="inlineStr"/>
      <c r="J4968" s="2" t="inlineStr"/>
      <c r="K4968" s="3" t="inlineStr">
        <is>
          <t>Основан на произведении народного писателя Дагестана Ахмедхана Абу-Бакара. Отражает события, происходившие в период революции и гражданской войны в Дагестане. Главный герой ее смелый и отважный Хасан встал во главе горцев, поднявшихся на борьбу за свободу и справедливость.</t>
        </is>
      </c>
      <c r="L4968" s="2" t="inlineStr">
        <is>
          <t>Кино_СССР сводный каталог.xlsx: список фильмов (доп.)</t>
        </is>
      </c>
      <c r="M4968" s="2">
        <f>HYPERLINK("https://ru.wikipedia.org/w/index.php?search=%D0%A2%D0%B0%D0%B9%D0%BD%D0%B0%20%D1%80%D1%83%D0%BA%D0%BE%D0%BF%D0%B8%D1%81%D0%BD%D0%BE%D0%B3%D0%BE%20%D0%9A%D0%BE%D1%80%D0%B0%D0%BD%D0%B0%201991%20%D1%84%D0%B8%D0%BB%D1%8C%D0%BC","искать")</f>
        <v/>
      </c>
      <c r="N4968" s="3" t="n"/>
      <c r="O4968" s="2" t="n"/>
      <c r="P4968" s="2" t="n"/>
    </row>
    <row r="4969">
      <c r="A4969" s="2" t="n">
        <v>4968</v>
      </c>
      <c r="B4969" s="2" t="inlineStr">
        <is>
          <t>короткая</t>
        </is>
      </c>
      <c r="C4969" s="2" t="n">
        <v>10121</v>
      </c>
      <c r="D4969" s="3" t="inlineStr">
        <is>
          <t>Дети Ванюшина</t>
        </is>
      </c>
      <c r="E4969" s="2" t="n">
        <v>1964</v>
      </c>
      <c r="F4969" s="2" t="inlineStr">
        <is>
          <t>фильм-спектакль</t>
        </is>
      </c>
      <c r="G4969" s="2" t="inlineStr">
        <is>
          <t>Ленинградская студия телевидения</t>
        </is>
      </c>
      <c r="H4969" s="2" t="n">
        <v>273</v>
      </c>
      <c r="I4969" s="2" t="inlineStr"/>
      <c r="J4969" s="2" t="inlineStr"/>
      <c r="K4969" s="3" t="inlineStr">
        <is>
          <t>По одноименной пьесе Сергея Найденова.
Телеспектакль о крушении купеческой семьи Ванюшиных. Глава семьи оказывается чужим для своих детей. Семью раздирают острые противоречия, злоба, вражда, алчность. Не находя выхода из этой ситуации, Ванюшин решает наложить на себя руки.</t>
        </is>
      </c>
      <c r="L4969" s="2" t="inlineStr">
        <is>
          <t>https://www.kino-teatr.ru/teatr/movie/106409/annot/</t>
        </is>
      </c>
      <c r="M4969" s="2">
        <f>HYPERLINK("https://ru.wikipedia.org/w/index.php?search=%D0%94%D0%B5%D1%82%D0%B8%20%D0%92%D0%B0%D0%BD%D1%8E%D1%88%D0%B8%D0%BD%D0%B0%201964%20%D1%84%D0%B8%D0%BB%D1%8C%D0%BC","искать")</f>
        <v/>
      </c>
      <c r="N4969" s="3" t="n"/>
      <c r="O4969" s="2" t="n"/>
      <c r="P4969" s="2" t="n"/>
    </row>
    <row r="4970">
      <c r="A4970" s="2" t="n">
        <v>4969</v>
      </c>
      <c r="B4970" s="2" t="inlineStr">
        <is>
          <t>короткая</t>
        </is>
      </c>
      <c r="C4970" s="2" t="n">
        <v>10333</v>
      </c>
      <c r="D4970" s="3" t="inlineStr">
        <is>
          <t>Строгая девушка</t>
        </is>
      </c>
      <c r="E4970" s="2" t="n">
        <v>1969</v>
      </c>
      <c r="F4970" s="2" t="inlineStr">
        <is>
          <t>фильм-спектакль</t>
        </is>
      </c>
      <c r="G4970" s="2" t="inlineStr">
        <is>
          <t>Центральное телевидение</t>
        </is>
      </c>
      <c r="H4970" s="2" t="n">
        <v>273</v>
      </c>
      <c r="I4970" s="2" t="inlineStr"/>
      <c r="J4970" s="2" t="inlineStr"/>
      <c r="K4970" s="3" t="inlineStr">
        <is>
          <t>По одноименной пьесе Самуила Алёшина (1953-го года).
Девятиклассница Тоня осталась сиротой. Девушка приходит на завод, где когда-то работал ее отец. О том, как непросто складывалась ее трудовая биография и отношения с коллективом, о ее трудной любви рассказывает спектакль.</t>
        </is>
      </c>
      <c r="L4970" s="2" t="inlineStr">
        <is>
          <t>https://www.kino-teatr.ru/teatr/movie/17113/annot/</t>
        </is>
      </c>
      <c r="M4970" s="2">
        <f>HYPERLINK("https://ru.wikipedia.org/w/index.php?search=%D0%A1%D1%82%D1%80%D0%BE%D0%B3%D0%B0%D1%8F%20%D0%B4%D0%B5%D0%B2%D1%83%D1%88%D0%BA%D0%B0%201969%20%D1%84%D0%B8%D0%BB%D1%8C%D0%BC","искать")</f>
        <v/>
      </c>
      <c r="N4970" s="3" t="n"/>
      <c r="O4970" s="2" t="n"/>
      <c r="P4970" s="2" t="n"/>
    </row>
    <row r="4971">
      <c r="A4971" s="2" t="n">
        <v>4970</v>
      </c>
      <c r="B4971" s="2" t="inlineStr">
        <is>
          <t>короткая</t>
        </is>
      </c>
      <c r="C4971" s="2" t="n">
        <v>10598</v>
      </c>
      <c r="D4971" s="3" t="inlineStr">
        <is>
          <t>Беда от нежного сердца</t>
        </is>
      </c>
      <c r="E4971" s="2" t="n">
        <v>1975</v>
      </c>
      <c r="F4971" s="2" t="inlineStr">
        <is>
          <t>фильм-спектакль</t>
        </is>
      </c>
      <c r="G4971" s="2" t="n"/>
      <c r="H4971" s="2" t="n">
        <v>273</v>
      </c>
      <c r="I4971" s="2" t="inlineStr"/>
      <c r="J4971" s="2" t="inlineStr"/>
      <c r="K4971" s="3" t="inlineStr">
        <is>
          <t>По одноименному водевилю Владимира Соллогуба.
Сын богатого откупщика Александр, приехавший из Тамбова в Петербург, влюбляется в один вечер сразу в трех девушек. Но после ряда комедийных перипетий все кончается благополучно, и Александр выбирает себе в жены самую достойную.</t>
        </is>
      </c>
      <c r="L4971" s="2" t="inlineStr">
        <is>
          <t>https://www.kino-teatr.ru/teatr/movie/16141/annot/</t>
        </is>
      </c>
      <c r="M4971" s="2">
        <f>HYPERLINK("https://ru.wikipedia.org/w/index.php?search=%D0%91%D0%B5%D0%B4%D0%B0%20%D0%BE%D1%82%20%D0%BD%D0%B5%D0%B6%D0%BD%D0%BE%D0%B3%D0%BE%20%D1%81%D0%B5%D1%80%D0%B4%D1%86%D0%B0%201975%20%D1%84%D0%B8%D0%BB%D1%8C%D0%BC","искать")</f>
        <v/>
      </c>
      <c r="N4971" s="3" t="n"/>
      <c r="O4971" s="2" t="n"/>
      <c r="P4971" s="2" t="n"/>
    </row>
    <row r="4972">
      <c r="A4972" s="2" t="n">
        <v>4971</v>
      </c>
      <c r="B4972" s="2" t="inlineStr">
        <is>
          <t>короткая</t>
        </is>
      </c>
      <c r="C4972" s="2" t="n">
        <v>11368</v>
      </c>
      <c r="D4972" s="3" t="inlineStr">
        <is>
          <t>Город и песня</t>
        </is>
      </c>
      <c r="E4972" s="2" t="n">
        <v>1968</v>
      </c>
      <c r="F4972" s="2" t="inlineStr">
        <is>
          <t>не игровое</t>
        </is>
      </c>
      <c r="G4972" s="2" t="n"/>
      <c r="H4972" s="2" t="n">
        <v>273</v>
      </c>
      <c r="I4972" s="2" t="inlineStr"/>
      <c r="J4972" s="2" t="inlineStr"/>
      <c r="K4972" s="3" t="inlineStr">
        <is>
          <t>Фильм-концерт, снятый на фоне Ленинграда, черноморского побережья и берёзового леса. С участием артистов Ленинградского театра имени Ленинского комсомола, артистов балета Ленинградского мюзик-холла, певиц сестёр Фёдоровых, ансамбля пантомимы Ленинградского театра миниатюр.</t>
        </is>
      </c>
      <c r="L4972" s="2" t="inlineStr">
        <is>
          <t>Кино_СССР телефильмы и пропуски включить в базу.xlsx</t>
        </is>
      </c>
      <c r="M4972" s="2">
        <f>HYPERLINK("https://ru.wikipedia.org/w/index.php?search=%D0%93%D0%BE%D1%80%D0%BE%D0%B4%20%D0%B8%20%D0%BF%D0%B5%D1%81%D0%BD%D1%8F%201968%20%D1%84%D0%B8%D0%BB%D1%8C%D0%BC","искать")</f>
        <v/>
      </c>
      <c r="N4972" s="3" t="n"/>
      <c r="O4972" s="2" t="n"/>
      <c r="P4972" s="2" t="n"/>
    </row>
    <row r="4973">
      <c r="A4973" s="2" t="n">
        <v>4972</v>
      </c>
      <c r="B4973" s="2" t="inlineStr">
        <is>
          <t>короткая</t>
        </is>
      </c>
      <c r="C4973" s="2" t="n">
        <v>8459</v>
      </c>
      <c r="D4973" s="3" t="inlineStr">
        <is>
          <t>Тогда в январе...</t>
        </is>
      </c>
      <c r="E4973" s="2" t="n">
        <v>1967</v>
      </c>
      <c r="F4973" s="2" t="inlineStr">
        <is>
          <t>телефильм</t>
        </is>
      </c>
      <c r="G4973" s="2" t="n"/>
      <c r="H4973" s="2" t="n">
        <v>274</v>
      </c>
      <c r="I4973" s="2" t="inlineStr"/>
      <c r="J4973" s="2" t="inlineStr"/>
      <c r="K4973" s="3" t="inlineStr">
        <is>
          <t>Телефильм по повести Виктора Богатырёва "Посылка". Девясил - это целебный корень наподобие женьшеня. По кубанскому поверью, выкопанный в лесу под старый Новый год, он вылечивает любую болезнь. Дети с кубанского хутора Чёрный Ерик узнают о болезни Ленина и решают ему помочь.</t>
        </is>
      </c>
      <c r="L4973" s="2" t="inlineStr">
        <is>
          <t>Кино_СССР сводный каталог.xlsx: список телефильмов</t>
        </is>
      </c>
      <c r="M4973" s="2">
        <f>HYPERLINK("https://ru.wikipedia.org/w/index.php?search=%D0%A2%D0%BE%D0%B3%D0%B4%D0%B0%20%D0%B2%20%D1%8F%D0%BD%D0%B2%D0%B0%D1%80%D0%B5...%201967%20%D1%84%D0%B8%D0%BB%D1%8C%D0%BC","искать")</f>
        <v/>
      </c>
      <c r="N4973" s="3" t="n"/>
      <c r="O4973" s="2" t="n"/>
      <c r="P4973" s="2" t="n"/>
    </row>
    <row r="4974">
      <c r="A4974" s="2" t="n">
        <v>4973</v>
      </c>
      <c r="B4974" s="2" t="inlineStr">
        <is>
          <t>короткая</t>
        </is>
      </c>
      <c r="C4974" s="2" t="n">
        <v>8762</v>
      </c>
      <c r="D4974" s="3" t="inlineStr">
        <is>
          <t>Квартет</t>
        </is>
      </c>
      <c r="E4974" s="2" t="n">
        <v>1987</v>
      </c>
      <c r="F4974" s="2" t="inlineStr">
        <is>
          <t>кинофильм</t>
        </is>
      </c>
      <c r="G4974" s="2" t="n"/>
      <c r="H4974" s="2" t="n">
        <v>274</v>
      </c>
      <c r="I4974" s="2" t="inlineStr"/>
      <c r="J4974" s="2" t="inlineStr"/>
      <c r="K4974" s="3" t="inlineStr">
        <is>
          <t>Քառյակ Успех сопутствует выступлениям квартета. Но музыкантов мучает чувство неудовлетворенности. Они считают, что работая в коллективе, теряют индивидуальность. Квартет оказывается на грани распада. Однако трагическая смерть одного из них заставляет их много переосмыслить.</t>
        </is>
      </c>
      <c r="L4974" s="2" t="inlineStr">
        <is>
          <t>Кино_СССР сводный каталог.xlsx: список фильмов (доп.)</t>
        </is>
      </c>
      <c r="M4974" s="2">
        <f>HYPERLINK("https://ru.wikipedia.org/w/index.php?search=%D0%9A%D0%B2%D0%B0%D1%80%D1%82%D0%B5%D1%82%201987%20%D1%84%D0%B8%D0%BB%D1%8C%D0%BC","искать")</f>
        <v/>
      </c>
      <c r="N4974" s="3" t="n"/>
      <c r="O4974" s="2" t="n"/>
      <c r="P4974" s="2" t="n"/>
    </row>
    <row r="4975">
      <c r="A4975" s="2" t="n">
        <v>4974</v>
      </c>
      <c r="B4975" s="2" t="inlineStr">
        <is>
          <t>короткая</t>
        </is>
      </c>
      <c r="C4975" s="2" t="n">
        <v>9030</v>
      </c>
      <c r="D4975" s="3" t="inlineStr">
        <is>
          <t>Свадебное путешествие перед свадьбой</t>
        </is>
      </c>
      <c r="E4975" s="2" t="n">
        <v>1982</v>
      </c>
      <c r="F4975" s="2" t="inlineStr">
        <is>
          <t>кинофильм</t>
        </is>
      </c>
      <c r="G4975" s="2" t="n"/>
      <c r="H4975" s="2" t="n">
        <v>274</v>
      </c>
      <c r="I4975" s="2" t="inlineStr"/>
      <c r="J4975" s="2" t="inlineStr"/>
      <c r="K4975" s="3" t="inlineStr">
        <is>
          <t>Санда и Нику уже год как женаты, но тщательно скрывают это от родителей, которые мечтали о шумной и большой свадьбе. Комические ситуации, в которые попадают герои фильма, стремясь избежать традиционных излишеств, к всеобщему удовольствию заканчиваются праздником всего села.</t>
        </is>
      </c>
      <c r="L4975" s="2" t="inlineStr">
        <is>
          <t>Кино_СССР сводный каталог.xlsx: список фильмов (доп.)</t>
        </is>
      </c>
      <c r="M4975" s="2">
        <f>HYPERLINK("https://ru.wikipedia.org/w/index.php?search=%D0%A1%D0%B2%D0%B0%D0%B4%D0%B5%D0%B1%D0%BD%D0%BE%D0%B5%20%D0%BF%D1%83%D1%82%D0%B5%D1%88%D0%B5%D1%81%D1%82%D0%B2%D0%B8%D0%B5%20%D0%BF%D0%B5%D1%80%D0%B5%D0%B4%20%D1%81%D0%B2%D0%B0%D0%B4%D1%8C%D0%B1%D0%BE%D0%B9%201982%20%D1%84%D0%B8%D0%BB%D1%8C%D0%BC","искать")</f>
        <v/>
      </c>
      <c r="N4975" s="3" t="n"/>
      <c r="O4975" s="2" t="n"/>
      <c r="P4975" s="2" t="n"/>
    </row>
    <row r="4976">
      <c r="A4976" s="2" t="n">
        <v>4975</v>
      </c>
      <c r="B4976" s="2" t="inlineStr">
        <is>
          <t>короткая</t>
        </is>
      </c>
      <c r="C4976" s="2" t="n">
        <v>10873</v>
      </c>
      <c r="D4976" s="3" t="inlineStr">
        <is>
          <t>50 лет театру кукол Сергея Образцова</t>
        </is>
      </c>
      <c r="E4976" s="2" t="n">
        <v>1981</v>
      </c>
      <c r="F4976" s="2" t="inlineStr">
        <is>
          <t>фильм-спектакль</t>
        </is>
      </c>
      <c r="G4976" s="2" t="n"/>
      <c r="H4976" s="2" t="n">
        <v>274</v>
      </c>
      <c r="I4976" s="2" t="inlineStr"/>
      <c r="J4976" s="2" t="inlineStr"/>
      <c r="K4976" s="3" t="inlineStr">
        <is>
          <t>Юбилейный вечер, посвященный 50-летию основания Государственного академического театра кукол под руководством С.Образцова и 80-летию Сергея Образцова. Вечер проходил на сцене театра в сентябре 1981 года и состоял из поздравлений-капустников, и отрывков из спектаклей театра.</t>
        </is>
      </c>
      <c r="L4976" s="2" t="inlineStr">
        <is>
          <t>https://www.kino-teatr.ru/teatr/movie/111583/annot/</t>
        </is>
      </c>
      <c r="M4976" s="2">
        <f>HYPERLINK("https://ru.wikipedia.org/w/index.php?search=50%20%D0%BB%D0%B5%D1%82%20%D1%82%D0%B5%D0%B0%D1%82%D1%80%D1%83%20%D0%BA%D1%83%D0%BA%D0%BE%D0%BB%20%D0%A1%D0%B5%D1%80%D0%B3%D0%B5%D1%8F%20%D0%9E%D0%B1%D1%80%D0%B0%D0%B7%D1%86%D0%BE%D0%B2%D0%B0%201981%20%D1%84%D0%B8%D0%BB%D1%8C%D0%BC","искать")</f>
        <v/>
      </c>
      <c r="N4976" s="3" t="n"/>
      <c r="O4976" s="2" t="n"/>
      <c r="P4976" s="2" t="n"/>
    </row>
    <row r="4977">
      <c r="A4977" s="2" t="n">
        <v>4976</v>
      </c>
      <c r="B4977" s="2" t="inlineStr">
        <is>
          <t>короткая</t>
        </is>
      </c>
      <c r="C4977" s="2" t="n">
        <v>11732</v>
      </c>
      <c r="D4977" s="3" t="inlineStr">
        <is>
          <t>Дарю тебе звезду</t>
        </is>
      </c>
      <c r="E4977" s="2" t="n">
        <v>1974</v>
      </c>
      <c r="F4977" s="2" t="inlineStr">
        <is>
          <t>мультфильм</t>
        </is>
      </c>
      <c r="G4977" s="2" t="inlineStr">
        <is>
          <t>Союзмультфильм</t>
        </is>
      </c>
      <c r="H4977" s="2" t="n">
        <v>274</v>
      </c>
      <c r="I4977" s="2" t="inlineStr"/>
      <c r="J4977" s="2" t="inlineStr"/>
      <c r="K4977" s="3" t="inlineStr">
        <is>
          <t>Для взрослых. Юмористическая история семейных отношений мужчины и женщины в разные эпохи на протяжении веков
XXVIII МКФ в Каннах, 1975 -- Специальная премия Жюри конкурса короткометражных фильмов; Госпремия СССР за 1976 г режиссеру Ф.Хитруку (вместе с фильмами о Винни-Пухе)</t>
        </is>
      </c>
      <c r="L4977" s="2" t="inlineStr">
        <is>
          <t>https://animator.ru/db/?p=show_film&amp;fid=2646</t>
        </is>
      </c>
      <c r="M4977" s="2">
        <f>HYPERLINK("https://ru.wikipedia.org/w/index.php?search=%D0%94%D0%B0%D1%80%D1%8E%20%D1%82%D0%B5%D0%B1%D0%B5%20%D0%B7%D0%B2%D0%B5%D0%B7%D0%B4%D1%83%201974%20%D1%84%D0%B8%D0%BB%D1%8C%D0%BC","искать")</f>
        <v/>
      </c>
      <c r="N4977" s="3" t="n"/>
      <c r="O4977" s="2" t="n"/>
      <c r="P4977" s="2" t="n"/>
    </row>
    <row r="4978">
      <c r="A4978" s="2" t="n">
        <v>4977</v>
      </c>
      <c r="B4978" s="2" t="inlineStr">
        <is>
          <t>короткая</t>
        </is>
      </c>
      <c r="C4978" s="2" t="n">
        <v>12718</v>
      </c>
      <c r="D4978" s="3" t="inlineStr">
        <is>
          <t>Почему плачет облачко?</t>
        </is>
      </c>
      <c r="E4978" s="2" t="n">
        <v>1973</v>
      </c>
      <c r="F4978" s="2" t="inlineStr">
        <is>
          <t>мультфильм</t>
        </is>
      </c>
      <c r="G4978" s="2" t="inlineStr">
        <is>
          <t>АЗЕРБАЙДЖАНФИЛЬМ</t>
        </is>
      </c>
      <c r="H4978" s="2" t="n">
        <v>274</v>
      </c>
      <c r="I4978" s="2" t="inlineStr"/>
      <c r="J4978" s="2" t="inlineStr"/>
      <c r="K4978" s="3" t="inlineStr">
        <is>
          <t>Жило-было дерево-облачко, на котором гнездились птицы. Но однажды появилось черное чудовище и сожгло все вокруг. Заплакали птицы, слезинки упали на опавший с дерева листок, он расцвел и превратился в девушку-облако. Она пролилась живительным дождем и вновь все ожило вокруг.</t>
        </is>
      </c>
      <c r="L4978" s="2" t="inlineStr">
        <is>
          <t>https://gosfilmofond.ru/films/250594/</t>
        </is>
      </c>
      <c r="M4978" s="2">
        <f>HYPERLINK("https://ru.wikipedia.org/w/index.php?search=%D0%9F%D0%BE%D1%87%D0%B5%D0%BC%D1%83%20%D0%BF%D0%BB%D0%B0%D1%87%D0%B5%D1%82%20%D0%BE%D0%B1%D0%BB%D0%B0%D1%87%D0%BA%D0%BE%3F%201973%20%D1%84%D0%B8%D0%BB%D1%8C%D0%BC","искать")</f>
        <v/>
      </c>
      <c r="N4978" s="3" t="n"/>
      <c r="O4978" s="2" t="n"/>
      <c r="P4978" s="2" t="n"/>
    </row>
    <row r="4979">
      <c r="A4979" s="2" t="n">
        <v>4978</v>
      </c>
      <c r="B4979" s="2" t="inlineStr">
        <is>
          <t>короткая</t>
        </is>
      </c>
      <c r="C4979" s="2" t="n">
        <v>13528</v>
      </c>
      <c r="D4979" s="3" t="inlineStr">
        <is>
          <t>Большой Ух</t>
        </is>
      </c>
      <c r="E4979" s="2" t="n">
        <v>1989</v>
      </c>
      <c r="F4979" s="2" t="inlineStr">
        <is>
          <t>мультфильм</t>
        </is>
      </c>
      <c r="G4979" s="2" t="inlineStr">
        <is>
          <t>ЭКРАН</t>
        </is>
      </c>
      <c r="H4979" s="2" t="n">
        <v>274</v>
      </c>
      <c r="I4979" s="2" t="inlineStr"/>
      <c r="J4979" s="2" t="inlineStr"/>
      <c r="K4979" s="3" t="inlineStr">
        <is>
          <t>Странное существо по имени Большой Ух приземляется в самом обычном лесу. Инопланетянин любит слушать, что происходит в космосе, особенно музыку звезд. А здесь он найдет новых друзей, увидит, как в лунном свете распускается водяная лилия, и научится быть полезным для других.</t>
        </is>
      </c>
      <c r="L4979" s="2" t="inlineStr">
        <is>
          <t>2026-10_мультфильмы_список_владельца.xlsx; https://animator.ru/db/?p=show_film&amp;fid=4847</t>
        </is>
      </c>
      <c r="M4979" s="2">
        <f>HYPERLINK("https://ru.wikipedia.org/w/index.php?search=%D0%91%D0%BE%D0%BB%D1%8C%D1%88%D0%BE%D0%B9%20%D0%A3%D1%85%201989%20%D1%84%D0%B8%D0%BB%D1%8C%D0%BC","искать")</f>
        <v/>
      </c>
      <c r="N4979" s="3" t="n"/>
      <c r="O4979" s="2" t="n"/>
      <c r="P4979" s="2" t="n"/>
    </row>
    <row r="4980">
      <c r="A4980" s="2" t="n">
        <v>4979</v>
      </c>
      <c r="B4980" s="2" t="inlineStr">
        <is>
          <t>короткая</t>
        </is>
      </c>
      <c r="C4980" s="2" t="n">
        <v>7831</v>
      </c>
      <c r="D4980" s="3" t="inlineStr">
        <is>
          <t>Любочка</t>
        </is>
      </c>
      <c r="E4980" s="2" t="n">
        <v>1984</v>
      </c>
      <c r="F4980" s="2" t="inlineStr">
        <is>
          <t>телефильм</t>
        </is>
      </c>
      <c r="G4980" s="2" t="n"/>
      <c r="H4980" s="2" t="n">
        <v>275</v>
      </c>
      <c r="I4980" s="2" t="inlineStr"/>
      <c r="J4980" s="2" t="inlineStr"/>
      <c r="K4980" s="3" t="inlineStr">
        <is>
          <t>Телефильм. Выпускница музыкального училища Любочка Веткина соглашается временно поработать в детском саду. После ряда комических приключений, которые Любочка пережила вместе с малышами, она приходит к неожиданному для себя решению посвятить свою жизнь воспитанию чужих детей.</t>
        </is>
      </c>
      <c r="L4980" s="2" t="inlineStr">
        <is>
          <t>Кино_СССР сводный каталог.xlsx: список телефильмов</t>
        </is>
      </c>
      <c r="M4980" s="2">
        <f>HYPERLINK("https://ru.wikipedia.org/w/index.php?search=%D0%9B%D1%8E%D0%B1%D0%BE%D1%87%D0%BA%D0%B0%201984%20%D1%84%D0%B8%D0%BB%D1%8C%D0%BC","искать")</f>
        <v/>
      </c>
      <c r="N4980" s="3" t="n"/>
      <c r="O4980" s="2" t="n"/>
      <c r="P4980" s="2" t="inlineStr">
        <is>
          <t>Википедия: «Любочка (фильм)» — по сверке другой фильм, не предложено</t>
        </is>
      </c>
    </row>
    <row r="4981">
      <c r="A4981" s="2" t="n">
        <v>4980</v>
      </c>
      <c r="B4981" s="2" t="inlineStr">
        <is>
          <t>короткая</t>
        </is>
      </c>
      <c r="C4981" s="2" t="n">
        <v>7895</v>
      </c>
      <c r="D4981" s="3" t="inlineStr">
        <is>
          <t>Молодой пенсионер</t>
        </is>
      </c>
      <c r="E4981" s="2" t="n">
        <v>1972</v>
      </c>
      <c r="F4981" s="2" t="inlineStr">
        <is>
          <t>телефильм</t>
        </is>
      </c>
      <c r="G4981" s="2" t="n"/>
      <c r="H4981" s="2" t="n">
        <v>275</v>
      </c>
      <c r="I4981" s="2" t="inlineStr"/>
      <c r="J4981" s="2" t="inlineStr"/>
      <c r="K4981" s="3" t="inlineStr">
        <is>
          <t>Телефильм. Однажды молодой и полный жизненных сил мужчина вынужден завершить карьеру артиста балета и найти себе новое место в жизни. Судьба сводит его с талантливой молодой девушкой, мать которой уже давно искала для дочери репетитора. Начинаются полные событий приключения.</t>
        </is>
      </c>
      <c r="L4981" s="2" t="inlineStr">
        <is>
          <t>Кино_СССР сводный каталог.xlsx: список телефильмов</t>
        </is>
      </c>
      <c r="M4981" s="2">
        <f>HYPERLINK("https://ru.wikipedia.org/w/index.php?search=%D0%9C%D0%BE%D0%BB%D0%BE%D0%B4%D0%BE%D0%B9%20%D0%BF%D0%B5%D0%BD%D1%81%D0%B8%D0%BE%D0%BD%D0%B5%D1%80%201972%20%D1%84%D0%B8%D0%BB%D1%8C%D0%BC","искать")</f>
        <v/>
      </c>
      <c r="N4981" s="3" t="n"/>
      <c r="O4981" s="2" t="n"/>
      <c r="P4981" s="2" t="n"/>
    </row>
    <row r="4982">
      <c r="A4982" s="2" t="n">
        <v>4981</v>
      </c>
      <c r="B4982" s="2" t="inlineStr">
        <is>
          <t>короткая</t>
        </is>
      </c>
      <c r="C4982" s="2" t="n">
        <v>8198</v>
      </c>
      <c r="D4982" s="3" t="inlineStr">
        <is>
          <t>Призвание</t>
        </is>
      </c>
      <c r="E4982" s="2" t="n">
        <v>1975</v>
      </c>
      <c r="F4982" s="2" t="inlineStr">
        <is>
          <t>телефильм</t>
        </is>
      </c>
      <c r="G4982" s="2" t="n"/>
      <c r="H4982" s="2" t="n">
        <v>275</v>
      </c>
      <c r="I4982" s="2" t="inlineStr"/>
      <c r="J4982" s="2" t="inlineStr"/>
      <c r="K4982" s="3" t="inlineStr">
        <is>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is>
      </c>
      <c r="L4982" s="2" t="inlineStr">
        <is>
          <t>Кино_СССР сводный каталог.xlsx: список телефильмов</t>
        </is>
      </c>
      <c r="M4982" s="2">
        <f>HYPERLINK("https://ru.wikipedia.org/w/index.php?search=%D0%9F%D1%80%D0%B8%D0%B7%D0%B2%D0%B0%D0%BD%D0%B8%D0%B5%201975%20%D1%84%D0%B8%D0%BB%D1%8C%D0%BC","искать")</f>
        <v/>
      </c>
      <c r="N4982" s="3" t="n"/>
      <c r="O4982" s="2" t="n"/>
      <c r="P4982" s="2" t="n"/>
    </row>
    <row r="4983">
      <c r="A4983" s="2" t="n">
        <v>4982</v>
      </c>
      <c r="B4983" s="2" t="inlineStr">
        <is>
          <t>короткая</t>
        </is>
      </c>
      <c r="C4983" s="2" t="n">
        <v>8659</v>
      </c>
      <c r="D4983" s="3" t="inlineStr">
        <is>
          <t>Вождь на одну смену</t>
        </is>
      </c>
      <c r="E4983" s="2" t="n">
        <v>1989</v>
      </c>
      <c r="F4983" s="2" t="inlineStr">
        <is>
          <t>кинофильм</t>
        </is>
      </c>
      <c r="G4983" s="2" t="n"/>
      <c r="H4983" s="2" t="n">
        <v>275</v>
      </c>
      <c r="I4983" s="2" t="inlineStr"/>
      <c r="J4983" s="2" t="inlineStr"/>
      <c r="K4983" s="3" t="inlineStr">
        <is>
          <t>По повести Ф.Камалова «Война Красного Лиса». Писатель Баярд по просьбе своего друга, директора пионерского лагеря, соглашается на какое-то время поработать с детьми. Герой выдумывает для ребят игру в индейцев и призывает всех соблюдать клятву — жить по древним законам чести.</t>
        </is>
      </c>
      <c r="L4983" s="2" t="inlineStr">
        <is>
          <t>Кино_СССР сводный каталог.xlsx: список фильмов (доп.)</t>
        </is>
      </c>
      <c r="M4983" s="2">
        <f>HYPERLINK("https://ru.wikipedia.org/w/index.php?search=%D0%92%D0%BE%D0%B6%D0%B4%D1%8C%20%D0%BD%D0%B0%20%D0%BE%D0%B4%D0%BD%D1%83%20%D1%81%D0%BC%D0%B5%D0%BD%D1%83%201989%20%D1%84%D0%B8%D0%BB%D1%8C%D0%BC","искать")</f>
        <v/>
      </c>
      <c r="N4983" s="3" t="n"/>
      <c r="O4983" s="2" t="n"/>
      <c r="P4983" s="2" t="n"/>
    </row>
    <row r="4984">
      <c r="A4984" s="2" t="n">
        <v>4983</v>
      </c>
      <c r="B4984" s="2" t="inlineStr">
        <is>
          <t>короткая</t>
        </is>
      </c>
      <c r="C4984" s="2" t="n">
        <v>10443</v>
      </c>
      <c r="D4984" s="3" t="inlineStr">
        <is>
          <t>Записки Пиквикского клуба</t>
        </is>
      </c>
      <c r="E4984" s="2" t="n">
        <v>1972</v>
      </c>
      <c r="F4984" s="2" t="inlineStr">
        <is>
          <t>фильм-спектакль</t>
        </is>
      </c>
      <c r="G4984" s="2" t="inlineStr">
        <is>
          <t>ЦТ</t>
        </is>
      </c>
      <c r="H4984" s="2" t="n">
        <v>275</v>
      </c>
      <c r="I4984" s="2" t="inlineStr"/>
      <c r="J4984" s="2" t="inlineStr"/>
      <c r="K4984" s="3" t="inlineStr">
        <is>
          <t>Первая половина XIX века. В центре спектакля неунывающий, эксцентричный, наивный и трогательный мистер Сэмюэл Пиквик (Александр Калягин) и его друзья — забавные и милые чудаки, наблюдающие жизнь, и попадающие в силу своей искренней наивности и простодушия в нелепые ситуации.</t>
        </is>
      </c>
      <c r="L4984" s="2" t="inlineStr">
        <is>
          <t>https://ru.wikipedia.org/w/index.php?title=%D0%97%D0%B0%D0%BF%D0%B8%D1%81%D0%BA%D0%B8_%D0%9F%D0%B8%D0%BA%D0%B2%D0%B8%D0%BA%D1%81%D0%BA%D0%BE%D0%B3%D0%BE_%D0%BA%D0%BB%D1%83%D0%B1%D0%B0_%28%D1%82%D0%B5%D0%BB%D0%B5%D1%81%D0%BF%D0%B5%D0%BA%D1%82%D0%B0%D0%BA%D0%BB%D1%8C%29&amp;oldid=154882479</t>
        </is>
      </c>
      <c r="M4984" s="2">
        <f>HYPERLINK("https://ru.wikipedia.org/w/index.php?search=%D0%97%D0%B0%D0%BF%D0%B8%D1%81%D0%BA%D0%B8%20%D0%9F%D0%B8%D0%BA%D0%B2%D0%B8%D0%BA%D1%81%D0%BA%D0%BE%D0%B3%D0%BE%20%D0%BA%D0%BB%D1%83%D0%B1%D0%B0%201972%20%D1%84%D0%B8%D0%BB%D1%8C%D0%BC","искать")</f>
        <v/>
      </c>
      <c r="N4984" s="3" t="n"/>
      <c r="O4984" s="2" t="n"/>
      <c r="P4984" s="2" t="n"/>
    </row>
    <row r="4985">
      <c r="A4985" s="2" t="n">
        <v>4984</v>
      </c>
      <c r="B4985" s="2" t="inlineStr">
        <is>
          <t>короткая</t>
        </is>
      </c>
      <c r="C4985" s="2" t="n">
        <v>8095</v>
      </c>
      <c r="D4985" s="3" t="inlineStr">
        <is>
          <t>Перед самим собой</t>
        </is>
      </c>
      <c r="E4985" s="2" t="n">
        <v>1985</v>
      </c>
      <c r="F4985" s="2" t="inlineStr">
        <is>
          <t>телефильм</t>
        </is>
      </c>
      <c r="G4985" s="2" t="n"/>
      <c r="H4985" s="2" t="n">
        <v>276</v>
      </c>
      <c r="I4985" s="2" t="inlineStr"/>
      <c r="J4985" s="2" t="inlineStr"/>
      <c r="K4985" s="3" t="inlineStr">
        <is>
          <t>По мотивам повести П.Проскурина "Черные птицы". Память о молодом многообещающем композиторе Глебе Шубникове помогла его вдове и его другу Сане найти свое место в жизни... Известный музыкант и композитор Александр Евгеньевич Воробьёв достиг всевозможных государственных наград.</t>
        </is>
      </c>
      <c r="L4985" s="2" t="inlineStr">
        <is>
          <t>Кино_СССР сводный каталог.xlsx: список телефильмов</t>
        </is>
      </c>
      <c r="M4985" s="2">
        <f>HYPERLINK("https://ru.wikipedia.org/w/index.php?search=%D0%9F%D0%B5%D1%80%D0%B5%D0%B4%20%D1%81%D0%B0%D0%BC%D0%B8%D0%BC%20%D1%81%D0%BE%D0%B1%D0%BE%D0%B9%201985%20%D1%84%D0%B8%D0%BB%D1%8C%D0%BC","искать")</f>
        <v/>
      </c>
      <c r="N4985" s="3" t="n"/>
      <c r="O4985" s="2" t="n"/>
      <c r="P4985" s="2" t="n"/>
    </row>
    <row r="4986">
      <c r="A4986" s="2" t="n">
        <v>4985</v>
      </c>
      <c r="B4986" s="2" t="inlineStr">
        <is>
          <t>короткая</t>
        </is>
      </c>
      <c r="C4986" s="2" t="n">
        <v>10004</v>
      </c>
      <c r="D4986" s="3" t="inlineStr">
        <is>
          <t>Апрель</t>
        </is>
      </c>
      <c r="E4986" s="2" t="n">
        <v>1985</v>
      </c>
      <c r="F4986" s="2" t="inlineStr">
        <is>
          <t>кинофильм</t>
        </is>
      </c>
      <c r="G4986" s="2" t="inlineStr">
        <is>
          <t>Арменфильм (для студии "Дебют")</t>
        </is>
      </c>
      <c r="H4986" s="2" t="n">
        <v>276</v>
      </c>
      <c r="I4986" s="2" t="inlineStr"/>
      <c r="J4986" s="2" t="inlineStr"/>
      <c r="K4986" s="3" t="inlineStr">
        <is>
          <t>Действие фильма разворачивается в середине 80-х в горной армянской деревушке и охватывает всего один день, 24 апреля – день траура по жертвам геноцида 1915 года. Герои фильма – потомки тех, кто чудом спасся от резни, – помнят уроки истории, передают эту память детям и внукам.</t>
        </is>
      </c>
      <c r="L4986" s="2" t="inlineStr">
        <is>
          <t>https://www.kino-teatr.ru/short/movie/sov/11071/annot/</t>
        </is>
      </c>
      <c r="M4986" s="2">
        <f>HYPERLINK("https://ru.wikipedia.org/w/index.php?search=%D0%90%D0%BF%D1%80%D0%B5%D0%BB%D1%8C%201985%20%D1%84%D0%B8%D0%BB%D1%8C%D0%BC","искать")</f>
        <v/>
      </c>
      <c r="N4986" s="3" t="n"/>
      <c r="O4986" s="2" t="n"/>
      <c r="P4986" s="2" t="n"/>
    </row>
    <row r="4987">
      <c r="A4987" s="2" t="n">
        <v>4986</v>
      </c>
      <c r="B4987" s="2" t="inlineStr">
        <is>
          <t>короткая</t>
        </is>
      </c>
      <c r="C4987" s="2" t="n">
        <v>7930</v>
      </c>
      <c r="D4987" s="3" t="inlineStr">
        <is>
          <t>На исходе лета</t>
        </is>
      </c>
      <c r="E4987" s="2" t="n">
        <v>1979</v>
      </c>
      <c r="F4987" s="2" t="inlineStr">
        <is>
          <t>телефильм</t>
        </is>
      </c>
      <c r="G4987" s="2" t="n"/>
      <c r="H4987" s="2" t="n">
        <v>277</v>
      </c>
      <c r="I4987" s="2" t="inlineStr"/>
      <c r="J4987" s="2" t="inlineStr"/>
      <c r="K4987" s="3" t="inlineStr">
        <is>
          <t>Телефильм. Старик, нуждающийся в уходе и внимании, переезжает к сыну в город. Но вскоре сын и его жена отправляют старика в приют для престарелых. Однако внук, полюбивший деда и понявший всю жестокость происходящего, уходит от родителей и забирает старика к своей будущей жене.</t>
        </is>
      </c>
      <c r="L4987" s="2" t="inlineStr">
        <is>
          <t>Кино_СССР сводный каталог.xlsx: список телефильмов</t>
        </is>
      </c>
      <c r="M4987" s="2">
        <f>HYPERLINK("https://ru.wikipedia.org/w/index.php?search=%D0%9D%D0%B0%20%D0%B8%D1%81%D1%85%D0%BE%D0%B4%D0%B5%20%D0%BB%D0%B5%D1%82%D0%B0%201979%20%D1%84%D0%B8%D0%BB%D1%8C%D0%BC","искать")</f>
        <v/>
      </c>
      <c r="N4987" s="3" t="n"/>
      <c r="O4987" s="2" t="n"/>
      <c r="P4987" s="2" t="n"/>
    </row>
    <row r="4988">
      <c r="A4988" s="2" t="n">
        <v>4987</v>
      </c>
      <c r="B4988" s="2" t="inlineStr">
        <is>
          <t>короткая</t>
        </is>
      </c>
      <c r="C4988" s="2" t="n">
        <v>8036</v>
      </c>
      <c r="D4988" s="3" t="inlineStr">
        <is>
          <t>Однокашники</t>
        </is>
      </c>
      <c r="E4988" s="2" t="n">
        <v>1978</v>
      </c>
      <c r="F4988" s="2" t="inlineStr">
        <is>
          <t>телефильм</t>
        </is>
      </c>
      <c r="G4988" s="2" t="n"/>
      <c r="H4988" s="2" t="n">
        <v>277</v>
      </c>
      <c r="I4988" s="2" t="inlineStr"/>
      <c r="J4988" s="2" t="inlineStr"/>
      <c r="K4988" s="3" t="inlineStr">
        <is>
          <t>Телефильм по мотивам повести Иосифа Герасимова «Пуск». О вводе в строй нового прокатного цеха на металлургическом заводе. В основе сюжета — взаимоотношения двух товарищей по учебе в институте — руководящего работника министерства, приехавшего на пуск стана, и директора завода.</t>
        </is>
      </c>
      <c r="L4988" s="2" t="inlineStr">
        <is>
          <t>Кино_СССР сводный каталог.xlsx: список телефильмов</t>
        </is>
      </c>
      <c r="M4988" s="2">
        <f>HYPERLINK("https://ru.wikipedia.org/w/index.php?search=%D0%9E%D0%B4%D0%BD%D0%BE%D0%BA%D0%B0%D1%88%D0%BD%D0%B8%D0%BA%D0%B8%201978%20%D1%84%D0%B8%D0%BB%D1%8C%D0%BC","искать")</f>
        <v/>
      </c>
      <c r="N4988" s="3" t="n"/>
      <c r="O4988" s="2" t="n"/>
      <c r="P4988" s="2" t="n"/>
    </row>
    <row r="4989">
      <c r="A4989" s="2" t="n">
        <v>4988</v>
      </c>
      <c r="B4989" s="2" t="inlineStr">
        <is>
          <t>короткая</t>
        </is>
      </c>
      <c r="C4989" s="2" t="n">
        <v>9536</v>
      </c>
      <c r="D4989" s="3" t="inlineStr">
        <is>
          <t>Охота на сутенера</t>
        </is>
      </c>
      <c r="E4989" s="2" t="n">
        <v>1990</v>
      </c>
      <c r="F4989" s="2" t="inlineStr">
        <is>
          <t>кинофильм</t>
        </is>
      </c>
      <c r="G4989" s="2" t="n"/>
      <c r="H4989" s="2" t="n">
        <v>277</v>
      </c>
      <c r="I4989" s="2" t="inlineStr"/>
      <c r="J4989" s="2" t="inlineStr"/>
      <c r="K4989" s="3" t="inlineStr">
        <is>
          <t>Каждый зарабатывает деньги, как может. Воры обокрали квартиру нечистого на руку директора рынка. Подозрение падает на сутенера Стаса. Зная, что с него можно "снять" кругленькую сумму в валюте, директор нанимает крутых ребят, после этого жизнь Стаса превращается в кромешный ад.</t>
        </is>
      </c>
      <c r="L4989" s="2" t="inlineStr">
        <is>
          <t>Кино_СССР сводный каталог.xlsx: список фильмов (доп.)</t>
        </is>
      </c>
      <c r="M4989" s="2">
        <f>HYPERLINK("https://ru.wikipedia.org/w/index.php?search=%D0%9E%D1%85%D0%BE%D1%82%D0%B0%20%D0%BD%D0%B0%20%D1%81%D1%83%D1%82%D0%B5%D0%BD%D0%B5%D1%80%D0%B0%201990%20%D1%84%D0%B8%D0%BB%D1%8C%D0%BC","искать")</f>
        <v/>
      </c>
      <c r="N4989" s="3" t="n"/>
      <c r="O4989" s="2" t="n"/>
      <c r="P4989" s="2" t="n"/>
    </row>
    <row r="4990">
      <c r="A4990" s="2" t="n">
        <v>4989</v>
      </c>
      <c r="B4990" s="2" t="inlineStr">
        <is>
          <t>короткая</t>
        </is>
      </c>
      <c r="C4990" s="2" t="n">
        <v>10296</v>
      </c>
      <c r="D4990" s="3" t="inlineStr">
        <is>
          <t>Варшавская мелодия</t>
        </is>
      </c>
      <c r="E4990" s="2" t="n">
        <v>1969</v>
      </c>
      <c r="F4990" s="2" t="inlineStr">
        <is>
          <t>фильм-спектакль</t>
        </is>
      </c>
      <c r="G4990" s="2" t="inlineStr">
        <is>
          <t>ТОТ-ТО телефильмов</t>
        </is>
      </c>
      <c r="H4990" s="2" t="n">
        <v>277</v>
      </c>
      <c r="I4990" s="2" t="inlineStr"/>
      <c r="J4990" s="2" t="inlineStr"/>
      <c r="K4990" s="3" t="inlineStr">
        <is>
          <t>Телеспектакль поставлен по знаменитой пьесе известного драматурга Леонида ЗОРИНА в 1966 году в Театре им.Евг.Вахтангова.
Лирическая история варшавской девушки Гелены и московского парня Виктора, случайно встретившихся на концерте в консерватории в предновогодние дни 1946 года,</t>
        </is>
      </c>
      <c r="L4990" s="2" t="inlineStr">
        <is>
          <t>https://www.kino-teatr.ru/teatr/movie/10218/annot/</t>
        </is>
      </c>
      <c r="M4990" s="2">
        <f>HYPERLINK("https://ru.wikipedia.org/w/index.php?search=%D0%92%D0%B0%D1%80%D1%88%D0%B0%D0%B2%D1%81%D0%BA%D0%B0%D1%8F%20%D0%BC%D0%B5%D0%BB%D0%BE%D0%B4%D0%B8%D1%8F%201969%20%D1%84%D0%B8%D0%BB%D1%8C%D0%BC","искать")</f>
        <v/>
      </c>
      <c r="N4990" s="3" t="n"/>
      <c r="O4990" s="2" t="n"/>
      <c r="P4990" s="2" t="n"/>
    </row>
    <row r="4991">
      <c r="A4991" s="2" t="n">
        <v>4990</v>
      </c>
      <c r="B4991" s="2" t="inlineStr">
        <is>
          <t>короткая</t>
        </is>
      </c>
      <c r="C4991" s="2" t="n">
        <v>7973</v>
      </c>
      <c r="D4991" s="3" t="inlineStr">
        <is>
          <t>Нежность к ревущему зверю</t>
        </is>
      </c>
      <c r="E4991" s="2" t="n">
        <v>1982</v>
      </c>
      <c r="F4991" s="2" t="inlineStr">
        <is>
          <t>телефильм</t>
        </is>
      </c>
      <c r="G4991" s="2" t="n"/>
      <c r="H4991" s="2" t="n">
        <v>278</v>
      </c>
      <c r="I4991" s="2" t="inlineStr"/>
      <c r="J4991" s="2" t="inlineStr"/>
      <c r="K4991" s="3" t="inlineStr">
        <is>
          <t>Телесериал. Экранизация романа Александра Бахвалова. В основе сюжета рассказ-интервью, данный журналисту летчиком-испытателем Боровским. Испытания нового реактивного самолета, психология человеческой жизни, проблемы и радости жизни летчиков - все это тесно переплетено в фильме.</t>
        </is>
      </c>
      <c r="L4991" s="2" t="inlineStr">
        <is>
          <t>Кино_СССР сводный каталог.xlsx: список телефильмов</t>
        </is>
      </c>
      <c r="M4991" s="2">
        <f>HYPERLINK("https://ru.wikipedia.org/w/index.php?search=%D0%9D%D0%B5%D0%B6%D0%BD%D0%BE%D1%81%D1%82%D1%8C%20%D0%BA%20%D1%80%D0%B5%D0%B2%D1%83%D1%89%D0%B5%D0%BC%D1%83%20%D0%B7%D0%B2%D0%B5%D1%80%D1%8E%201982%20%D1%84%D0%B8%D0%BB%D1%8C%D0%BC","искать")</f>
        <v/>
      </c>
      <c r="N4991" s="3" t="n"/>
      <c r="O4991" s="2" t="n"/>
      <c r="P4991" s="2" t="n"/>
    </row>
    <row r="4992">
      <c r="A4992" s="2" t="n">
        <v>4991</v>
      </c>
      <c r="B4992" s="2" t="inlineStr">
        <is>
          <t>короткая</t>
        </is>
      </c>
      <c r="C4992" s="2" t="n">
        <v>8088</v>
      </c>
      <c r="D4992" s="3" t="inlineStr">
        <is>
          <t>Первое признание (любит—не любит)</t>
        </is>
      </c>
      <c r="E4992" s="2" t="n">
        <v>1974</v>
      </c>
      <c r="F4992" s="2" t="inlineStr">
        <is>
          <t>телефильм</t>
        </is>
      </c>
      <c r="G4992" s="2" t="inlineStr">
        <is>
          <t>Грузия-фильм</t>
        </is>
      </c>
      <c r="H4992" s="2" t="n">
        <v>278</v>
      </c>
      <c r="I4992" s="2" t="inlineStr"/>
      <c r="J4992" s="2" t="inlineStr"/>
      <c r="K4992" s="3" t="inlineStr">
        <is>
          <t>Действие фильма происходит в грузинской деревне. Замкнутый и застенчивый мальчик Антимоз любит заниматься рисованием и резьбой по дереву, а ребята лишь подсмеиваются над ним. Но вот однажды, в деревню на каникулы приехала девочка Лия. Ее очень заинтересовали увлечения Антимоза.</t>
        </is>
      </c>
      <c r="L4992" s="2" t="inlineStr">
        <is>
          <t>Кино_СССР сводный каталог.xlsx: список телефильмов</t>
        </is>
      </c>
      <c r="M4992" s="2">
        <f>HYPERLINK("https://ru.wikipedia.org/w/index.php?search=%D0%9F%D0%B5%D1%80%D0%B2%D0%BE%D0%B5%20%D0%BF%D1%80%D0%B8%D0%B7%D0%BD%D0%B0%D0%BD%D0%B8%D0%B5%20%28%D0%BB%D1%8E%D0%B1%D0%B8%D1%82%E2%80%94%D0%BD%D0%B5%20%D0%BB%D1%8E%D0%B1%D0%B8%D1%82%29%201974%20%D1%84%D0%B8%D0%BB%D1%8C%D0%BC","искать")</f>
        <v/>
      </c>
      <c r="N4992" s="3" t="n"/>
      <c r="O4992" s="2" t="n"/>
      <c r="P4992" s="2" t="n"/>
    </row>
    <row r="4993">
      <c r="A4993" s="2" t="n">
        <v>4992</v>
      </c>
      <c r="B4993" s="2" t="inlineStr">
        <is>
          <t>короткая</t>
        </is>
      </c>
      <c r="C4993" s="2" t="n">
        <v>8981</v>
      </c>
      <c r="D4993" s="3" t="inlineStr">
        <is>
          <t>Провинциалки</t>
        </is>
      </c>
      <c r="E4993" s="2" t="n">
        <v>1990</v>
      </c>
      <c r="F4993" s="2" t="inlineStr">
        <is>
          <t>кинофильм</t>
        </is>
      </c>
      <c r="G4993" s="2" t="n"/>
      <c r="H4993" s="2" t="n">
        <v>278</v>
      </c>
      <c r="I4993" s="2" t="inlineStr"/>
      <c r="J4993" s="2" t="inlineStr"/>
      <c r="K4993" s="3" t="inlineStr">
        <is>
          <t>Экранизация одноименной пьесы Ярослава Стельмаха. Мать и дочь приезжают в Киев из провинции. Дочка окончила школу с медалью — и мама мечтает увидеть ее студенткой престижного вуза. Поселившись на даче старого друга матери - известного ученого, они окунаются в "столичную жизнь".</t>
        </is>
      </c>
      <c r="L4993" s="2" t="inlineStr">
        <is>
          <t>Кино_СССР сводный каталог.xlsx: список фильмов (доп.)</t>
        </is>
      </c>
      <c r="M4993" s="2">
        <f>HYPERLINK("https://ru.wikipedia.org/w/index.php?search=%D0%9F%D1%80%D0%BE%D0%B2%D0%B8%D0%BD%D1%86%D0%B8%D0%B0%D0%BB%D0%BA%D0%B8%201990%20%D1%84%D0%B8%D0%BB%D1%8C%D0%BC","искать")</f>
        <v/>
      </c>
      <c r="N4993" s="3" t="n"/>
      <c r="O4993" s="2" t="n"/>
      <c r="P4993" s="2" t="n"/>
    </row>
    <row r="4994">
      <c r="A4994" s="2" t="n">
        <v>4993</v>
      </c>
      <c r="B4994" s="2" t="inlineStr">
        <is>
          <t>короткая</t>
        </is>
      </c>
      <c r="C4994" s="2" t="n">
        <v>9240</v>
      </c>
      <c r="D4994" s="3" t="inlineStr">
        <is>
          <t>Бешеная</t>
        </is>
      </c>
      <c r="E4994" s="2" t="n">
        <v>1988</v>
      </c>
      <c r="F4994" s="2" t="inlineStr">
        <is>
          <t>кинофильм</t>
        </is>
      </c>
      <c r="G4994" s="2" t="n"/>
      <c r="H4994" s="2" t="n">
        <v>278</v>
      </c>
      <c r="I4994" s="2" t="inlineStr"/>
      <c r="J4994" s="2" t="inlineStr"/>
      <c r="K4994" s="3" t="inlineStr">
        <is>
          <t>По мотивам повести О. Манджиева "Амуланга". Пятнадцатилетняя Айна переживает первые трудности. Впервые она почувствовала себя одинокой и незащищенной. Отец после развода уехал, мать пытается устроить свою личную жизнь. Единственный верный друг — дедушка — умирает на руках Айны.</t>
        </is>
      </c>
      <c r="L4994" s="2" t="inlineStr">
        <is>
          <t>Кино_СССР сводный каталог.xlsx: список фильмов (доп.)</t>
        </is>
      </c>
      <c r="M4994" s="2">
        <f>HYPERLINK("https://ru.wikipedia.org/w/index.php?search=%D0%91%D0%B5%D1%88%D0%B5%D0%BD%D0%B0%D1%8F%201988%20%D1%84%D0%B8%D0%BB%D1%8C%D0%BC","искать")</f>
        <v/>
      </c>
      <c r="N4994" s="3" t="n"/>
      <c r="O4994" s="2" t="n"/>
      <c r="P4994" s="2" t="n"/>
    </row>
    <row r="4995">
      <c r="A4995" s="2" t="n">
        <v>4994</v>
      </c>
      <c r="B4995" s="2" t="inlineStr">
        <is>
          <t>короткая</t>
        </is>
      </c>
      <c r="C4995" s="2" t="n">
        <v>9257</v>
      </c>
      <c r="D4995" s="3" t="inlineStr">
        <is>
          <t>Буряк помог</t>
        </is>
      </c>
      <c r="E4995" s="2" t="n">
        <v>1926</v>
      </c>
      <c r="F4995" s="2" t="inlineStr">
        <is>
          <t>кинофильм</t>
        </is>
      </c>
      <c r="G4995" s="2" t="n"/>
      <c r="H4995" s="2" t="n">
        <v>278</v>
      </c>
      <c r="I4995" s="2" t="inlineStr"/>
      <c r="J4995" s="2" t="inlineStr"/>
      <c r="K4995" s="3" t="inlineStr">
        <is>
          <t>Игровой агитфильм о развитии свёклосеяния на селе.  Дебютная режиссерская работа Арнольда Кордюма.  Лента снималась в селах Винницкой (Грижинцы, Селище, Гнивань Могилевка). Картина снималась с мая по июль 1926 года.  Информации о выходе ленты на экраны нет. Фильм не сохранился.</t>
        </is>
      </c>
      <c r="L4995" s="2" t="inlineStr">
        <is>
          <t>Кино_СССР сводный каталог.xlsx: список фильмов (доп.)</t>
        </is>
      </c>
      <c r="M4995" s="2">
        <f>HYPERLINK("https://ru.wikipedia.org/w/index.php?search=%D0%91%D1%83%D1%80%D1%8F%D0%BA%20%D0%BF%D0%BE%D0%BC%D0%BE%D0%B3%201926%20%D1%84%D0%B8%D0%BB%D1%8C%D0%BC","искать")</f>
        <v/>
      </c>
      <c r="N4995" s="3" t="n"/>
      <c r="O4995" s="2" t="n"/>
      <c r="P4995" s="2" t="n"/>
    </row>
    <row r="4996">
      <c r="A4996" s="2" t="n">
        <v>4995</v>
      </c>
      <c r="B4996" s="2" t="inlineStr">
        <is>
          <t>короткая</t>
        </is>
      </c>
      <c r="C4996" s="2" t="n">
        <v>9409</v>
      </c>
      <c r="D4996" s="3" t="inlineStr">
        <is>
          <t>Караван смерти</t>
        </is>
      </c>
      <c r="E4996" s="2" t="n">
        <v>1991</v>
      </c>
      <c r="F4996" s="2" t="inlineStr">
        <is>
          <t>кинофильм</t>
        </is>
      </c>
      <c r="G4996" s="2" t="n"/>
      <c r="H4996" s="2" t="n">
        <v>278</v>
      </c>
      <c r="I4996" s="2" t="inlineStr"/>
      <c r="J4996" s="2" t="inlineStr"/>
      <c r="K4996" s="3" t="inlineStr">
        <is>
          <t>Российский боевик, снятый по следам афганской кампании Советского Союза. Война уже закончилась. Но в приграничной зоне по-прежнему идут бои между враждующими группировками. Совершенно случайно свидетелями и участниками боевой операции становятся ничего не подозревающие туристы.</t>
        </is>
      </c>
      <c r="L4996" s="2" t="inlineStr">
        <is>
          <t>Кино_СССР сводный каталог.xlsx: список фильмов (доп.)</t>
        </is>
      </c>
      <c r="M4996" s="2">
        <f>HYPERLINK("https://ru.wikipedia.org/w/index.php?search=%D0%9A%D0%B0%D1%80%D0%B0%D0%B2%D0%B0%D0%BD%20%D1%81%D0%BC%D0%B5%D1%80%D1%82%D0%B8%201991%20%D1%84%D0%B8%D0%BB%D1%8C%D0%BC","искать")</f>
        <v/>
      </c>
      <c r="N4996" s="3" t="n"/>
      <c r="O4996" s="2" t="n"/>
      <c r="P4996" s="2" t="inlineStr">
        <is>
          <t>Википедия: «Караван смерти (фильм, 1991)» — по сверке другой фильм, не предложено</t>
        </is>
      </c>
    </row>
    <row r="4997">
      <c r="A4997" s="2" t="n">
        <v>4996</v>
      </c>
      <c r="B4997" s="2" t="inlineStr">
        <is>
          <t>короткая</t>
        </is>
      </c>
      <c r="C4997" s="2" t="n">
        <v>9444</v>
      </c>
      <c r="D4997" s="3" t="inlineStr">
        <is>
          <t>Круиз, или Разводное путешествие</t>
        </is>
      </c>
      <c r="E4997" s="2" t="n">
        <v>1991</v>
      </c>
      <c r="F4997" s="2" t="inlineStr">
        <is>
          <t>кинофильм</t>
        </is>
      </c>
      <c r="G4997" s="2" t="n"/>
      <c r="H4997" s="2" t="n">
        <v>278</v>
      </c>
      <c r="I4997" s="2" t="inlineStr"/>
      <c r="J4997" s="2" t="inlineStr"/>
      <c r="K4997" s="3" t="inlineStr">
        <is>
          <t>Пришедшие к решению о разводе супруги, уже подавшие заявление, поскольку жене на работе досталась путёвка, отправляются на лайнере в заморский круиз по Чёрному морю — своё «разводное путешествие». Однако, солнце, море и возможность побыть вдвоем возрождает потускневшие чувства.</t>
        </is>
      </c>
      <c r="L4997" s="2" t="inlineStr">
        <is>
          <t>https://ru.wikipedia.org/w/index.php?title=%D0%9A%D1%80%D1%83%D0%B8%D0%B7%2C_%D0%B8%D0%BB%D0%B8_%D0%A0%D0%B0%D0%B7%D0%B2%D0%BE%D0%B4%D0%BD%D0%BE%D0%B5_%D0%BF%D1%83%D1%82%D0%B5%D1%88%D0%B5%D1%81%D1%82%D0%B2%D0%B8%D0%B5&amp;oldid=154697858</t>
        </is>
      </c>
      <c r="M4997" s="2">
        <f>HYPERLINK("https://ru.wikipedia.org/w/index.php?search=%D0%9A%D1%80%D1%83%D0%B8%D0%B7%2C%20%D0%B8%D0%BB%D0%B8%20%D0%A0%D0%B0%D0%B7%D0%B2%D0%BE%D0%B4%D0%BD%D0%BE%D0%B5%20%D0%BF%D1%83%D1%82%D0%B5%D1%88%D0%B5%D1%81%D1%82%D0%B2%D0%B8%D0%B5%201991%20%D1%84%D0%B8%D0%BB%D1%8C%D0%BC","искать")</f>
        <v/>
      </c>
      <c r="N4997" s="3" t="n"/>
      <c r="O4997" s="2" t="n"/>
      <c r="P4997" s="2" t="n"/>
    </row>
    <row r="4998">
      <c r="A4998" s="2" t="n">
        <v>4997</v>
      </c>
      <c r="B4998" s="2" t="inlineStr">
        <is>
          <t>короткая</t>
        </is>
      </c>
      <c r="C4998" s="2" t="n">
        <v>10706</v>
      </c>
      <c r="D4998" s="3" t="inlineStr">
        <is>
          <t>Оптимистическая трагедия</t>
        </is>
      </c>
      <c r="E4998" s="2" t="n">
        <v>1977</v>
      </c>
      <c r="F4998" s="2" t="inlineStr">
        <is>
          <t>фильм-спектакль</t>
        </is>
      </c>
      <c r="G4998" s="2" t="n"/>
      <c r="H4998" s="2" t="n">
        <v>278</v>
      </c>
      <c r="I4998" s="2" t="inlineStr"/>
      <c r="J4998" s="2" t="inlineStr"/>
      <c r="K4998" s="3" t="inlineStr">
        <is>
          <t>Спектакль по одноименной пьесе Вс.Вишневского в постановке Государственного академического Малого театра Союза ССР.
1917 год.
В морской отряд, которым руководит анархист Вожак, по поручению ЦК партии направляется женщина-комиссар. Ей поручается подчинить моряков делу революции.</t>
        </is>
      </c>
      <c r="L4998" s="2" t="inlineStr">
        <is>
          <t>https://www.kino-teatr.ru/teatr/movie/80986/annot/</t>
        </is>
      </c>
      <c r="M4998" s="2">
        <f>HYPERLINK("https://ru.wikipedia.org/w/index.php?search=%D0%9E%D0%BF%D1%82%D0%B8%D0%BC%D0%B8%D1%81%D1%82%D0%B8%D1%87%D0%B5%D1%81%D0%BA%D0%B0%D1%8F%20%D1%82%D1%80%D0%B0%D0%B3%D0%B5%D0%B4%D0%B8%D1%8F%201977%20%D1%84%D0%B8%D0%BB%D1%8C%D0%BC","искать")</f>
        <v/>
      </c>
      <c r="N4998" s="3" t="n"/>
      <c r="O4998" s="2" t="n"/>
      <c r="P4998" s="2" t="n"/>
    </row>
    <row r="4999">
      <c r="A4999" s="2" t="n">
        <v>4998</v>
      </c>
      <c r="B4999" s="2" t="inlineStr">
        <is>
          <t>короткая</t>
        </is>
      </c>
      <c r="C4999" s="2" t="n">
        <v>10725</v>
      </c>
      <c r="D4999" s="3" t="inlineStr">
        <is>
          <t>Элегия</t>
        </is>
      </c>
      <c r="E4999" s="2" t="n">
        <v>1977</v>
      </c>
      <c r="F4999" s="2" t="inlineStr">
        <is>
          <t>фильм-спектакль</t>
        </is>
      </c>
      <c r="G4999" s="2" t="inlineStr">
        <is>
          <t>Творческое объединение "Экран"</t>
        </is>
      </c>
      <c r="H4999" s="2" t="n">
        <v>278</v>
      </c>
      <c r="I4999" s="2" t="inlineStr"/>
      <c r="J4999" s="2" t="inlineStr"/>
      <c r="K4999" s="3" t="inlineStr">
        <is>
          <t>Телевариант спектакля Центрального театра Советской Армии (14 лет не сходящего с афишы театра) по пьесе П. Павловского в постановке Михаила Буткевича.
История взаимоотношений русской актрисы Марии Гавриловны Савиной и Ивана Сергеевича Тургенева, раскрывается через их переписку.</t>
        </is>
      </c>
      <c r="L4999" s="2" t="inlineStr">
        <is>
          <t>https://www.kino-teatr.ru/teatr/movie/13228/annot/</t>
        </is>
      </c>
      <c r="M4999" s="2">
        <f>HYPERLINK("https://ru.wikipedia.org/w/index.php?search=%D0%AD%D0%BB%D0%B5%D0%B3%D0%B8%D1%8F%201977%20%D1%84%D0%B8%D0%BB%D1%8C%D0%BC","искать")</f>
        <v/>
      </c>
      <c r="N4999" s="3" t="n"/>
      <c r="O4999" s="2" t="n"/>
      <c r="P4999" s="2" t="n"/>
    </row>
    <row r="5000">
      <c r="A5000" s="2" t="n">
        <v>4999</v>
      </c>
      <c r="B5000" s="2" t="inlineStr">
        <is>
          <t>короткая</t>
        </is>
      </c>
      <c r="C5000" s="2" t="n">
        <v>10771</v>
      </c>
      <c r="D5000" s="3" t="inlineStr">
        <is>
          <t>Приказ номер один</t>
        </is>
      </c>
      <c r="E5000" s="2" t="n">
        <v>1978</v>
      </c>
      <c r="F5000" s="2" t="inlineStr">
        <is>
          <t>фильм-спектакль</t>
        </is>
      </c>
      <c r="G5000" s="2" t="inlineStr">
        <is>
          <t>Центральное телевидение</t>
        </is>
      </c>
      <c r="H5000" s="2" t="n">
        <v>278</v>
      </c>
      <c r="I5000" s="2" t="inlineStr"/>
      <c r="J5000" s="2" t="inlineStr"/>
      <c r="K5000" s="3" t="inlineStr">
        <is>
          <t>Новый руководитель проектного института Хабаров преодолевает сложившиеся в работе штампы и решает приступить к осуществлению проекта нового города, отвечающего требованиям сегодняшнего дня. Он терпеливо и умело убеждает каждого работника в целесообразности принятого им решения.</t>
        </is>
      </c>
      <c r="L5000" s="2" t="inlineStr">
        <is>
          <t>https://www.kino-teatr.ru/teatr/movie/104377/annot/</t>
        </is>
      </c>
      <c r="M5000" s="2">
        <f>HYPERLINK("https://ru.wikipedia.org/w/index.php?search=%D0%9F%D1%80%D0%B8%D0%BA%D0%B0%D0%B7%20%D0%BD%D0%BE%D0%BC%D0%B5%D1%80%20%D0%BE%D0%B4%D0%B8%D0%BD%201978%20%D1%84%D0%B8%D0%BB%D1%8C%D0%BC","искать")</f>
        <v/>
      </c>
      <c r="N5000" s="3" t="n"/>
      <c r="O5000" s="2" t="n"/>
      <c r="P5000" s="2" t="n"/>
    </row>
    <row r="5001">
      <c r="A5001" s="2" t="n">
        <v>5000</v>
      </c>
      <c r="B5001" s="2" t="inlineStr">
        <is>
          <t>короткая</t>
        </is>
      </c>
      <c r="C5001" s="2" t="n">
        <v>13030</v>
      </c>
      <c r="D5001" s="3" t="inlineStr">
        <is>
          <t>Бум и Пирамидон</t>
        </is>
      </c>
      <c r="E5001" s="2" t="n">
        <v>1969</v>
      </c>
      <c r="F5001" s="2" t="inlineStr">
        <is>
          <t>мультфильм</t>
        </is>
      </c>
      <c r="G5001" s="2" t="inlineStr">
        <is>
          <t>РИЖСКАЯ КИНОСТУДИЯ</t>
        </is>
      </c>
      <c r="H5001" s="2" t="n">
        <v>278</v>
      </c>
      <c r="I5001" s="2" t="inlineStr"/>
      <c r="J5001" s="2" t="inlineStr"/>
      <c r="K5001" s="3" t="inlineStr">
        <is>
          <t>Охотник Бум и его такса Пирамидон всегда приходят на помощь слабым зверятам. Необычным ружьем, стреляющим морковками и шишками, они защищают рыб и зверей от пса Каннибала, волка и щуки. А поскольку те не хотят исправляться, друзья сдают их...в музей, чтоб другим было неповадно!</t>
        </is>
      </c>
      <c r="L5001" s="2" t="inlineStr">
        <is>
          <t>https://gosfilmofond.ru/films/254732/</t>
        </is>
      </c>
      <c r="M5001" s="2">
        <f>HYPERLINK("https://ru.wikipedia.org/w/index.php?search=%D0%91%D1%83%D0%BC%20%D0%B8%20%D0%9F%D0%B8%D1%80%D0%B0%D0%BC%D0%B8%D0%B4%D0%BE%D0%BD%201969%20%D1%84%D0%B8%D0%BB%D1%8C%D0%BC","искать")</f>
        <v/>
      </c>
      <c r="N5001" s="3" t="n"/>
      <c r="O5001" s="2" t="n"/>
      <c r="P5001" s="2" t="n"/>
    </row>
    <row r="5002">
      <c r="A5002" s="2" t="n">
        <v>5001</v>
      </c>
      <c r="B5002" s="2" t="inlineStr">
        <is>
          <t>короткая</t>
        </is>
      </c>
      <c r="C5002" s="2" t="n">
        <v>7934</v>
      </c>
      <c r="D5002" s="3" t="inlineStr">
        <is>
          <t>На пороге</t>
        </is>
      </c>
      <c r="E5002" s="2" t="n">
        <v>1986</v>
      </c>
      <c r="F5002" s="2" t="inlineStr">
        <is>
          <t>телефильм</t>
        </is>
      </c>
      <c r="G5002" s="2" t="n"/>
      <c r="H5002" s="2" t="n">
        <v>279</v>
      </c>
      <c r="I5002" s="2" t="inlineStr"/>
      <c r="J5002" s="2" t="inlineStr"/>
      <c r="K5002" s="3" t="inlineStr">
        <is>
          <t>По роману В.Горбачева "За далью непогоды". Из-за некачественных изыскательских работ во время строительства заполярной ГЭС произошел обвал в тоннеле. Главный инженер Басов предлагает внести изменения в проект, отказавшись от строительства тоннеля - и отстаивает свое предложение.</t>
        </is>
      </c>
      <c r="L5002" s="2" t="inlineStr">
        <is>
          <t>Кино_СССР сводный каталог.xlsx: список телефильмов</t>
        </is>
      </c>
      <c r="M5002" s="2">
        <f>HYPERLINK("https://ru.wikipedia.org/w/index.php?search=%D0%9D%D0%B0%20%D0%BF%D0%BE%D1%80%D0%BE%D0%B3%D0%B5%201986%20%D1%84%D0%B8%D0%BB%D1%8C%D0%BC","искать")</f>
        <v/>
      </c>
      <c r="N5002" s="3" t="n"/>
      <c r="O5002" s="2" t="n"/>
      <c r="P5002" s="2" t="n"/>
    </row>
    <row r="5003">
      <c r="A5003" s="2" t="n">
        <v>5002</v>
      </c>
      <c r="B5003" s="2" t="inlineStr">
        <is>
          <t>короткая</t>
        </is>
      </c>
      <c r="C5003" s="2" t="n">
        <v>8252</v>
      </c>
      <c r="D5003" s="3" t="inlineStr">
        <is>
          <t>Пять углов</t>
        </is>
      </c>
      <c r="E5003" s="2" t="n">
        <v>1989</v>
      </c>
      <c r="F5003" s="2" t="inlineStr">
        <is>
          <t>телефильм</t>
        </is>
      </c>
      <c r="G5003" s="2" t="n"/>
      <c r="H5003" s="2" t="n">
        <v>279</v>
      </c>
      <c r="I5003" s="2" t="inlineStr"/>
      <c r="J5003" s="2" t="inlineStr"/>
      <c r="K5003" s="3" t="inlineStr">
        <is>
          <t>По одноименной пьесе Сергея Коковкина. В старом ленинградском доме встретились четыре человека. Для двоих эта встреча оказалась трагической... Из интервью с Валерием Буниным: — Главная героиня вашей последней работы, фильма «Пять углов»,— бывшая балерина. Это фильм-балет? — Нет.</t>
        </is>
      </c>
      <c r="L5003" s="2" t="inlineStr">
        <is>
          <t>Кино_СССР сводный каталог.xlsx: список телефильмов</t>
        </is>
      </c>
      <c r="M5003" s="2">
        <f>HYPERLINK("https://ru.wikipedia.org/w/index.php?search=%D0%9F%D1%8F%D1%82%D1%8C%20%D1%83%D0%B3%D0%BB%D0%BE%D0%B2%201989%20%D1%84%D0%B8%D0%BB%D1%8C%D0%BC","искать")</f>
        <v/>
      </c>
      <c r="N5003" s="3" t="n"/>
      <c r="O5003" s="2" t="n"/>
      <c r="P5003" s="2" t="n"/>
    </row>
    <row r="5004">
      <c r="A5004" s="2" t="n">
        <v>5003</v>
      </c>
      <c r="B5004" s="2" t="inlineStr">
        <is>
          <t>короткая</t>
        </is>
      </c>
      <c r="C5004" s="2" t="n">
        <v>8481</v>
      </c>
      <c r="D5004" s="3" t="inlineStr">
        <is>
          <t>Три с половиной дня из жизни Ивана Семёнова, второклассника и второгодника</t>
        </is>
      </c>
      <c r="E5004" s="2" t="n">
        <v>1966</v>
      </c>
      <c r="F5004" s="2" t="inlineStr">
        <is>
          <t>телефильм</t>
        </is>
      </c>
      <c r="G5004" s="2" t="n"/>
      <c r="H5004" s="2" t="n">
        <v>279</v>
      </c>
      <c r="I5004" s="2" t="inlineStr"/>
      <c r="J5004" s="2" t="inlineStr"/>
      <c r="K5004" s="3" t="inlineStr">
        <is>
          <t>По повести Льва Давыдычева "Многотрудная, полная невзгод и опасностей жизнь Ивана Семёнова, второклассника и второгодника". О неутомимом выдумщике второкласснике Иване Семёнове, который не любил учиться. Общими усилиями коллектива и бабушки Семёнов становится прилежным учеником.</t>
        </is>
      </c>
      <c r="L5004" s="2" t="inlineStr">
        <is>
          <t>Кино_СССР сводный каталог.xlsx: список телефильмов</t>
        </is>
      </c>
      <c r="M5004" s="2">
        <f>HYPERLINK("https://ru.wikipedia.org/w/index.php?search=%D0%A2%D1%80%D0%B8%20%D1%81%20%D0%BF%D0%BE%D0%BB%D0%BE%D0%B2%D0%B8%D0%BD%D0%BE%D0%B9%20%D0%B4%D0%BD%D1%8F%20%D0%B8%D0%B7%20%D0%B6%D0%B8%D0%B7%D0%BD%D0%B8%20%D0%98%D0%B2%D0%B0%D0%BD%D0%B0%20%D0%A1%D0%B5%D0%BC%D1%91%D0%BD%D0%BE%D0%B2%D0%B0%2C%20%D0%B2%D1%82%D0%BE%D1%80%D0%BE%D0%BA%D0%BB%D0%B0%D1%81%D1%81%D0%BD%D0%B8%D0%BA%D0%B0%20%D0%B8%20%D0%B2%D1%82%D0%BE%D1%80%D0%BE%D0%B3%D0%BE%D0%B4%D0%BD%D0%B8%D0%BA%D0%B0%201966%20%D1%84%D0%B8%D0%BB%D1%8C%D0%BC","искать")</f>
        <v/>
      </c>
      <c r="N5004" s="3" t="n"/>
      <c r="O5004" s="2" t="n"/>
      <c r="P5004" s="2" t="n"/>
    </row>
    <row r="5005">
      <c r="A5005" s="2" t="n">
        <v>5004</v>
      </c>
      <c r="B5005" s="2" t="inlineStr">
        <is>
          <t>короткая</t>
        </is>
      </c>
      <c r="C5005" s="2" t="n">
        <v>8996</v>
      </c>
      <c r="D5005" s="3" t="inlineStr">
        <is>
          <t>Пути-дорожки</t>
        </is>
      </c>
      <c r="E5005" s="2" t="n">
        <v>1971</v>
      </c>
      <c r="F5005" s="2" t="inlineStr">
        <is>
          <t>кинофильм</t>
        </is>
      </c>
      <c r="G5005" s="2" t="n"/>
      <c r="H5005" s="2" t="n">
        <v>279</v>
      </c>
      <c r="I5005" s="2" t="inlineStr"/>
      <c r="J5005" s="2" t="inlineStr"/>
      <c r="K5005" s="3" t="inlineStr">
        <is>
          <t>Новый воспитатель колонии узнаёт, что в колонии содержится преступник, совершивший нападение на его мать. История про оступившегося подростка, попавшего в Икшанскую ИВК. В фильме снимались сотрудники и воспитанники Икшанской воспитательно-трудовой колонии для несовершеннолетних.</t>
        </is>
      </c>
      <c r="L5005" s="2" t="inlineStr">
        <is>
          <t>Кино_СССР сводный каталог.xlsx: список фильмов (доп.)</t>
        </is>
      </c>
      <c r="M5005" s="2">
        <f>HYPERLINK("https://ru.wikipedia.org/w/index.php?search=%D0%9F%D1%83%D1%82%D0%B8-%D0%B4%D0%BE%D1%80%D0%BE%D0%B6%D0%BA%D0%B8%201971%20%D1%84%D0%B8%D0%BB%D1%8C%D0%BC","искать")</f>
        <v/>
      </c>
      <c r="N5005" s="3" t="n"/>
      <c r="O5005" s="2" t="n"/>
      <c r="P5005" s="2" t="n"/>
    </row>
    <row r="5006">
      <c r="A5006" s="2" t="n">
        <v>5005</v>
      </c>
      <c r="B5006" s="2" t="inlineStr">
        <is>
          <t>короткая</t>
        </is>
      </c>
      <c r="C5006" s="2" t="n">
        <v>9616</v>
      </c>
      <c r="D5006" s="3" t="inlineStr">
        <is>
          <t>Расскажи мне о себе</t>
        </is>
      </c>
      <c r="E5006" s="2" t="n">
        <v>1971</v>
      </c>
      <c r="F5006" s="2" t="inlineStr">
        <is>
          <t>кинофильм</t>
        </is>
      </c>
      <c r="G5006" s="2" t="n"/>
      <c r="H5006" s="2" t="n">
        <v>279</v>
      </c>
      <c r="I5006" s="2" t="inlineStr"/>
      <c r="J5006" s="2" t="inlineStr"/>
      <c r="K5006" s="3" t="inlineStr">
        <is>
          <t>Простая история жизни и любви женщины, потерявшей на фронте возлюбленного. После неудачного замужества и долгих лет одиночества она обретает наконец счастье, встретив человека, капитана дальнего плавания, который не только готов стать спутником ей, но и другом ее взрослому сыну.</t>
        </is>
      </c>
      <c r="L5006" s="2" t="inlineStr">
        <is>
          <t>Кино_СССР сводный каталог.xlsx: список фильмов (доп.)</t>
        </is>
      </c>
      <c r="M5006" s="2">
        <f>HYPERLINK("https://ru.wikipedia.org/w/index.php?search=%D0%A0%D0%B0%D1%81%D1%81%D0%BA%D0%B0%D0%B6%D0%B8%20%D0%BC%D0%BD%D0%B5%20%D0%BE%20%D1%81%D0%B5%D0%B1%D0%B5%201971%20%D1%84%D0%B8%D0%BB%D1%8C%D0%BC","искать")</f>
        <v/>
      </c>
      <c r="N5006" s="3" t="n"/>
      <c r="O5006" s="2" t="n"/>
      <c r="P5006" s="2" t="n"/>
    </row>
    <row r="5007">
      <c r="A5007" s="2" t="n">
        <v>5006</v>
      </c>
      <c r="B5007" s="2" t="inlineStr">
        <is>
          <t>короткая</t>
        </is>
      </c>
      <c r="C5007" s="2" t="n">
        <v>10002</v>
      </c>
      <c r="D5007" s="3" t="inlineStr">
        <is>
          <t>Три истории с телефоном</t>
        </is>
      </c>
      <c r="E5007" s="2" t="n">
        <v>1984</v>
      </c>
      <c r="F5007" s="2" t="inlineStr">
        <is>
          <t>телефильм</t>
        </is>
      </c>
      <c r="G5007" s="2" t="inlineStr">
        <is>
          <t>Грузинская студия телефильмов</t>
        </is>
      </c>
      <c r="H5007" s="2" t="n">
        <v>279</v>
      </c>
      <c r="I5007" s="2" t="inlineStr"/>
      <c r="J5007" s="2" t="inlineStr"/>
      <c r="K5007" s="3" t="inlineStr">
        <is>
          <t>სამი ამბავი ტელეფონით
Двенадцатилетняя Софико, четырнадцатилетний Ладо и шестнадцатилетняя Тамуна, когда нет родителей, проводят свое свободное время в разговорах по телефону: здесь и первая влюбленность, маленькие тайны, и ссоры... Здесь в полной мере раскрываются их характеры.</t>
        </is>
      </c>
      <c r="L5007" s="2" t="inlineStr">
        <is>
          <t>https://www.kino-teatr.ru/short/movie/sov/86220/annot/</t>
        </is>
      </c>
      <c r="M5007" s="2">
        <f>HYPERLINK("https://ru.wikipedia.org/w/index.php?search=%D0%A2%D1%80%D0%B8%20%D0%B8%D1%81%D1%82%D0%BE%D1%80%D0%B8%D0%B8%20%D1%81%20%D1%82%D0%B5%D0%BB%D0%B5%D1%84%D0%BE%D0%BD%D0%BE%D0%BC%201984%20%D1%84%D0%B8%D0%BB%D1%8C%D0%BC","искать")</f>
        <v/>
      </c>
      <c r="N5007" s="3" t="n"/>
      <c r="O5007" s="2" t="n"/>
      <c r="P5007" s="2" t="n"/>
    </row>
    <row r="5008">
      <c r="A5008" s="2" t="n">
        <v>5007</v>
      </c>
      <c r="B5008" s="2" t="inlineStr">
        <is>
          <t>короткая</t>
        </is>
      </c>
      <c r="C5008" s="2" t="n">
        <v>14392</v>
      </c>
      <c r="D5008" s="3" t="inlineStr">
        <is>
          <t>Игра с пишущей машинкой</t>
        </is>
      </c>
      <c r="E5008" s="2" t="n">
        <v>1991</v>
      </c>
      <c r="F5008" s="2" t="inlineStr">
        <is>
          <t>мультфильм</t>
        </is>
      </c>
      <c r="G5008" s="2" t="n"/>
      <c r="H5008" s="2" t="n">
        <v>279</v>
      </c>
      <c r="I5008" s="2" t="inlineStr"/>
      <c r="J5008" s="2" t="inlineStr"/>
      <c r="K5008" s="3" t="inlineStr">
        <is>
          <t>Две новеллы: "Игра с пишущей машинкой" - о том, как дети, заигравшись, не заметили, ка пришел вечер, и "Вечер как яблоня" (?) - о том, как наблюдая за ростом птенцов в гнезде, на старой яюлоне, можно постичь гармонию природы и... не заметить, как прихходит вечер и сон. Для детей</t>
        </is>
      </c>
      <c r="L5008" s="2" t="inlineStr">
        <is>
          <t>https://animator.ru/db/?p=show_film&amp;fid=6452</t>
        </is>
      </c>
      <c r="M5008" s="2">
        <f>HYPERLINK("https://ru.wikipedia.org/w/index.php?search=%D0%98%D0%B3%D1%80%D0%B0%20%D1%81%20%D0%BF%D0%B8%D1%88%D1%83%D1%89%D0%B5%D0%B9%20%D0%BC%D0%B0%D1%88%D0%B8%D0%BD%D0%BA%D0%BE%D0%B9%201991%20%D1%84%D0%B8%D0%BB%D1%8C%D0%BC","искать")</f>
        <v/>
      </c>
      <c r="N5008" s="3" t="n"/>
      <c r="O5008" s="2" t="n"/>
      <c r="P5008" s="2" t="n"/>
    </row>
    <row r="5009">
      <c r="A5009" s="2" t="n">
        <v>5008</v>
      </c>
      <c r="B5009" s="2" t="inlineStr">
        <is>
          <t>короткая</t>
        </is>
      </c>
      <c r="C5009" s="2" t="n">
        <v>7832</v>
      </c>
      <c r="D5009" s="3" t="inlineStr">
        <is>
          <t>Люди и дельфины</t>
        </is>
      </c>
      <c r="E5009" s="2" t="n">
        <v>1983</v>
      </c>
      <c r="F5009" s="2" t="inlineStr">
        <is>
          <t>телефильм</t>
        </is>
      </c>
      <c r="G5009" s="2" t="n"/>
      <c r="H5009" s="2" t="n">
        <v>280</v>
      </c>
      <c r="I5009" s="2" t="inlineStr"/>
      <c r="J5009" s="2" t="inlineStr"/>
      <c r="K5009" s="3" t="inlineStr">
        <is>
          <t>Научно-фантастический телевизионный мини-сериал о проблемах поиска учеными взаимопонимания между человеком и дельфином. Деятельность ученого Сергея Черникова, много лет посвятившего изучению дельфинов, привела к смелой гипотезе, что дельфины - "морской народ", наделенный разумом.</t>
        </is>
      </c>
      <c r="L5009" s="2" t="inlineStr">
        <is>
          <t>Кино_СССР сводный каталог.xlsx: список телефильмов</t>
        </is>
      </c>
      <c r="M5009" s="2">
        <f>HYPERLINK("https://ru.wikipedia.org/w/index.php?search=%D0%9B%D1%8E%D0%B4%D0%B8%20%D0%B8%20%D0%B4%D0%B5%D0%BB%D1%8C%D1%84%D0%B8%D0%BD%D1%8B%201983%20%D1%84%D0%B8%D0%BB%D1%8C%D0%BC","искать")</f>
        <v/>
      </c>
      <c r="N5009" s="3" t="n"/>
      <c r="O5009" s="2" t="n"/>
      <c r="P5009" s="2" t="n"/>
    </row>
    <row r="5010">
      <c r="A5010" s="2" t="n">
        <v>5009</v>
      </c>
      <c r="B5010" s="2" t="inlineStr">
        <is>
          <t>короткая</t>
        </is>
      </c>
      <c r="C5010" s="2" t="n">
        <v>7902</v>
      </c>
      <c r="D5010" s="3" t="inlineStr">
        <is>
          <t>Моя жизнь</t>
        </is>
      </c>
      <c r="E5010" s="2" t="n">
        <v>1972</v>
      </c>
      <c r="F5010" s="2" t="inlineStr">
        <is>
          <t>телефильм</t>
        </is>
      </c>
      <c r="G5010" s="2" t="n"/>
      <c r="H5010" s="2" t="n">
        <v>280</v>
      </c>
      <c r="I5010" s="2" t="inlineStr"/>
      <c r="J5010" s="2" t="inlineStr"/>
      <c r="K5010" s="3" t="inlineStr">
        <is>
          <t>Телесериал по одноименной повести А.П.Чехова. Фильм рассказывает историю жизни Полознева (Станислав Любшин). Герой пытается найти простое человеческое счастье. Он решает для себя вопрос в чём заключается это счастье — в богатстве, высоком социальном положении или в чём-то другом.</t>
        </is>
      </c>
      <c r="L5010" s="2" t="inlineStr">
        <is>
          <t>Кино_СССР сводный каталог.xlsx: список телефильмов</t>
        </is>
      </c>
      <c r="M5010" s="2">
        <f>HYPERLINK("https://ru.wikipedia.org/w/index.php?search=%D0%9C%D0%BE%D1%8F%20%D0%B6%D0%B8%D0%B7%D0%BD%D1%8C%201972%20%D1%84%D0%B8%D0%BB%D1%8C%D0%BC","искать")</f>
        <v/>
      </c>
      <c r="N5010" s="3" t="n"/>
      <c r="O5010" s="2" t="n"/>
      <c r="P5010" s="2" t="n"/>
    </row>
    <row r="5011">
      <c r="A5011" s="2" t="n">
        <v>5010</v>
      </c>
      <c r="B5011" s="2" t="inlineStr">
        <is>
          <t>короткая</t>
        </is>
      </c>
      <c r="C5011" s="2" t="n">
        <v>8316</v>
      </c>
      <c r="D5011" s="3" t="inlineStr">
        <is>
          <t>Своя земля</t>
        </is>
      </c>
      <c r="E5011" s="2" t="n">
        <v>1973</v>
      </c>
      <c r="F5011" s="2" t="inlineStr">
        <is>
          <t>телефильм</t>
        </is>
      </c>
      <c r="G5011" s="2" t="inlineStr">
        <is>
          <t>ТО «Экран»</t>
        </is>
      </c>
      <c r="H5011" s="2" t="n">
        <v>280</v>
      </c>
      <c r="I5011" s="2" t="inlineStr"/>
      <c r="J5011" s="2" t="inlineStr"/>
      <c r="K5011" s="3" t="inlineStr">
        <is>
          <t>Пятнадцатилетний, растущий без отца, мальчишка Володька в деревне слывёт ленивым и беспутным балбесом. Целыми днями он со своей собакой шатается по лесу. Любое дело он бросает незаконченным. Но бывший фронтовик Кузьма Антипин берёт Володьку с собой на сенокос, и это меняет парня.</t>
        </is>
      </c>
      <c r="L5011" s="2" t="inlineStr">
        <is>
          <t>https://ru.wikipedia.org/w/index.php?title=%D0%A1%D0%B2%D0%BE%D1%8F_%D0%B7%D0%B5%D0%BC%D0%BB%D1%8F&amp;oldid=154704285</t>
        </is>
      </c>
      <c r="M5011" s="2">
        <f>HYPERLINK("https://ru.wikipedia.org/w/index.php?search=%D0%A1%D0%B2%D0%BE%D1%8F%20%D0%B7%D0%B5%D0%BC%D0%BB%D1%8F%201973%20%D1%84%D0%B8%D0%BB%D1%8C%D0%BC","искать")</f>
        <v/>
      </c>
      <c r="N5011" s="3" t="n"/>
      <c r="O5011" s="2" t="n"/>
      <c r="P5011" s="2" t="n"/>
    </row>
    <row r="5012">
      <c r="A5012" s="2" t="n">
        <v>5011</v>
      </c>
      <c r="B5012" s="2" t="inlineStr">
        <is>
          <t>короткая</t>
        </is>
      </c>
      <c r="C5012" s="2" t="n">
        <v>8649</v>
      </c>
      <c r="D5012" s="3" t="inlineStr">
        <is>
          <t>Версия</t>
        </is>
      </c>
      <c r="E5012" s="2" t="n">
        <v>1983</v>
      </c>
      <c r="F5012" s="2" t="inlineStr">
        <is>
          <t>кинофильм</t>
        </is>
      </c>
      <c r="G5012" s="2" t="n"/>
      <c r="H5012" s="2" t="n">
        <v>280</v>
      </c>
      <c r="I5012" s="2" t="inlineStr"/>
      <c r="J5012" s="2" t="inlineStr"/>
      <c r="K5012" s="3" t="inlineStr">
        <is>
          <t>Совершено разбойное нападение на квартиру. Тяжело ранена женщина. Следователю предстоит разобраться в обстоятельствах преступления. Учебный фильм, рассказывающий о том, как строятся и проверяются версии, являющиеся важнейшей стороной следственной тактики. Снят по заказу МВД СССР.</t>
        </is>
      </c>
      <c r="L5012" s="2" t="inlineStr">
        <is>
          <t>Кино_СССР сводный каталог.xlsx: список фильмов (доп.)</t>
        </is>
      </c>
      <c r="M5012" s="2">
        <f>HYPERLINK("https://ru.wikipedia.org/w/index.php?search=%D0%92%D0%B5%D1%80%D1%81%D0%B8%D1%8F%201983%20%D1%84%D0%B8%D0%BB%D1%8C%D0%BC","искать")</f>
        <v/>
      </c>
      <c r="N5012" s="3" t="n"/>
      <c r="O5012" s="2" t="n"/>
      <c r="P5012" s="2" t="n"/>
    </row>
    <row r="5013">
      <c r="A5013" s="2" t="n">
        <v>5012</v>
      </c>
      <c r="B5013" s="2" t="inlineStr">
        <is>
          <t>короткая</t>
        </is>
      </c>
      <c r="C5013" s="2" t="n">
        <v>9107</v>
      </c>
      <c r="D5013" s="3" t="inlineStr">
        <is>
          <t>Тоска</t>
        </is>
      </c>
      <c r="E5013" s="2" t="n">
        <v>1989</v>
      </c>
      <c r="F5013" s="2" t="inlineStr">
        <is>
          <t>кинофильм</t>
        </is>
      </c>
      <c r="G5013" s="2" t="n"/>
      <c r="H5013" s="2" t="n">
        <v>280</v>
      </c>
      <c r="I5013" s="2" t="inlineStr"/>
      <c r="J5013" s="2" t="inlineStr"/>
      <c r="K5013" s="3" t="inlineStr">
        <is>
          <t>Կարոտ По одноименной повести Р. Кочара. Когда в 1915, в результате войны, часть Армении отошла к Турции, старый Аракел, оказался на чужбине. Затосковав по родным и близким, герой вернулся на свою землю и обнаружил заколоченный дом. Его семьи уже не было, вскоре приехали и за ним.</t>
        </is>
      </c>
      <c r="L5013" s="2" t="inlineStr">
        <is>
          <t>Кино_СССР сводный каталог.xlsx: список фильмов (доп.)</t>
        </is>
      </c>
      <c r="M5013" s="2">
        <f>HYPERLINK("https://ru.wikipedia.org/w/index.php?search=%D0%A2%D0%BE%D1%81%D0%BA%D0%B0%201989%20%D1%84%D0%B8%D0%BB%D1%8C%D0%BC","искать")</f>
        <v/>
      </c>
      <c r="N5013" s="3" t="n"/>
      <c r="O5013" s="2" t="n"/>
      <c r="P5013" s="2" t="n"/>
    </row>
    <row r="5014">
      <c r="A5014" s="2" t="n">
        <v>5013</v>
      </c>
      <c r="B5014" s="2" t="inlineStr">
        <is>
          <t>короткая</t>
        </is>
      </c>
      <c r="C5014" s="2" t="n">
        <v>9147</v>
      </c>
      <c r="D5014" s="3" t="inlineStr">
        <is>
          <t>Хочу жениться</t>
        </is>
      </c>
      <c r="E5014" s="2" t="n">
        <v>1983</v>
      </c>
      <c r="F5014" s="2" t="inlineStr">
        <is>
          <t>кинофильм</t>
        </is>
      </c>
      <c r="G5014" s="2" t="n"/>
      <c r="H5014" s="2" t="n">
        <v>280</v>
      </c>
      <c r="I5014" s="2" t="inlineStr"/>
      <c r="J5014" s="2" t="inlineStr"/>
      <c r="K5014" s="3" t="inlineStr">
        <is>
          <t>Действия фильма происходят в одном из провинциальных городков. Портной Шамиль любит дочь богатого купца Кямаба, а она испытывает к нему те же чувства. Однако отец ничего и слышать не хочет о простолюдине. Тогда друзья героя принялись за организацию побега невесты из дома её отца.</t>
        </is>
      </c>
      <c r="L5014" s="2" t="inlineStr">
        <is>
          <t>https://ru.wikipedia.org/w/index.php?title=%D0%A5%D0%BE%D1%87%D1%83_%D0%B6%D0%B5%D0%BD%D0%B8%D1%82%D1%8C%D1%81%D1%8F&amp;oldid=147038803</t>
        </is>
      </c>
      <c r="M5014" s="2">
        <f>HYPERLINK("https://ru.wikipedia.org/w/index.php?search=%D0%A5%D0%BE%D1%87%D1%83%20%D0%B6%D0%B5%D0%BD%D0%B8%D1%82%D1%8C%D1%81%D1%8F%201983%20%D1%84%D0%B8%D0%BB%D1%8C%D0%BC","искать")</f>
        <v/>
      </c>
      <c r="N5014" s="3" t="n"/>
      <c r="O5014" s="2" t="n"/>
      <c r="P5014" s="2" t="n"/>
    </row>
    <row r="5015">
      <c r="A5015" s="2" t="n">
        <v>5014</v>
      </c>
      <c r="B5015" s="2" t="inlineStr">
        <is>
          <t>короткая</t>
        </is>
      </c>
      <c r="C5015" s="2" t="n">
        <v>9739</v>
      </c>
      <c r="D5015" s="3" t="inlineStr">
        <is>
          <t>Царицын</t>
        </is>
      </c>
      <c r="E5015" s="2" t="n">
        <v>1942</v>
      </c>
      <c r="F5015" s="2" t="inlineStr">
        <is>
          <t>кинофильм</t>
        </is>
      </c>
      <c r="G5015" s="2" t="n"/>
      <c r="H5015" s="2" t="n">
        <v>280</v>
      </c>
      <c r="I5015" s="2" t="inlineStr"/>
      <c r="J5015" s="2" t="inlineStr"/>
      <c r="K5015" s="3" t="inlineStr">
        <is>
          <t>Историко-революционная эпопея о героической обороне Царицына в 1918 году под командованием И.В. Сталина и К.Е. Ворошилова. Первая серия — «Поход Ворошилова», вторая серия — «Оборона». Первая серия фильма вышла на экраны СССР 29 марта 1942 года. Вторая серия на экраны не выпущена.</t>
        </is>
      </c>
      <c r="L5015" s="2" t="inlineStr">
        <is>
          <t>Кино_СССР сводный каталог.xlsx: список фильмов (доп.)</t>
        </is>
      </c>
      <c r="M5015" s="2">
        <f>HYPERLINK("https://ru.wikipedia.org/w/index.php?search=%D0%A6%D0%B0%D1%80%D0%B8%D1%86%D1%8B%D0%BD%201942%20%D1%84%D0%B8%D0%BB%D1%8C%D0%BC","искать")</f>
        <v/>
      </c>
      <c r="N5015" s="3" t="n"/>
      <c r="O5015" s="2" t="n"/>
      <c r="P5015" s="2" t="n"/>
    </row>
    <row r="5016">
      <c r="A5016" s="2" t="n">
        <v>5015</v>
      </c>
      <c r="B5016" s="2" t="inlineStr">
        <is>
          <t>короткая</t>
        </is>
      </c>
      <c r="C5016" s="2" t="n">
        <v>11499</v>
      </c>
      <c r="D5016" s="3" t="inlineStr">
        <is>
          <t>Самый большой друг</t>
        </is>
      </c>
      <c r="E5016" s="2" t="n">
        <v>1968</v>
      </c>
      <c r="F5016" s="2" t="inlineStr">
        <is>
          <t>мультфильм</t>
        </is>
      </c>
      <c r="G5016" s="2" t="inlineStr">
        <is>
          <t>Союзмультфильм</t>
        </is>
      </c>
      <c r="H5016" s="2" t="n">
        <v>280</v>
      </c>
      <c r="I5016" s="2" t="inlineStr"/>
      <c r="J5016" s="2" t="inlineStr"/>
      <c r="K5016" s="3" t="inlineStr">
        <is>
          <t>У девочки были три друга - Цыпленок, Щенок, и Колокольчик. Но злой Крокодил не любил, когда кто-нибудь дружит, и потому решил съесть девочку. Друзья спасли ее. А Бегемот, который хвастался, что он самый большой друг девочки, так как был самым большим и сильным, испугался и убежал</t>
        </is>
      </c>
      <c r="L5016" s="2" t="inlineStr">
        <is>
          <t>https://gosfilmofond.ru/films/254715/</t>
        </is>
      </c>
      <c r="M5016" s="2">
        <f>HYPERLINK("https://ru.wikipedia.org/w/index.php?search=%D0%A1%D0%B0%D0%BC%D1%8B%D0%B9%20%D0%B1%D0%BE%D0%BB%D1%8C%D1%88%D0%BE%D0%B9%20%D0%B4%D1%80%D1%83%D0%B3%201968%20%D1%84%D0%B8%D0%BB%D1%8C%D0%BC","искать")</f>
        <v/>
      </c>
      <c r="N5016" s="3" t="n"/>
      <c r="O5016" s="2" t="n"/>
      <c r="P5016" s="2" t="n"/>
    </row>
    <row r="5017">
      <c r="A5017" s="2" t="n">
        <v>5016</v>
      </c>
      <c r="B5017" s="2" t="inlineStr">
        <is>
          <t>короткая</t>
        </is>
      </c>
      <c r="C5017" s="2" t="n">
        <v>11604</v>
      </c>
      <c r="D5017" s="3" t="inlineStr">
        <is>
          <t>Письмо</t>
        </is>
      </c>
      <c r="E5017" s="2" t="n">
        <v>1970</v>
      </c>
      <c r="F5017" s="2" t="inlineStr">
        <is>
          <t>мультфильм</t>
        </is>
      </c>
      <c r="G5017" s="2" t="inlineStr">
        <is>
          <t>Союзмультфильм</t>
        </is>
      </c>
      <c r="H5017" s="2" t="n">
        <v>280</v>
      </c>
      <c r="I5017" s="2" t="inlineStr"/>
      <c r="J5017" s="2" t="inlineStr"/>
      <c r="K5017" s="3" t="inlineStr">
        <is>
          <t>Живет в одном городе вместе с мамой маленький мальчик. Папа у него - моряк и надолго уезжает из дома. Давно нет писем от папы, мама скучает и беспокоится. И тогда мальчик берет на себя все заботы по дому, он ведет себя совсем как взрослый и помогает маме в трудный момент ее жизни</t>
        </is>
      </c>
      <c r="L5017" s="2" t="inlineStr">
        <is>
          <t>https://gosfilmofond.ru/films/255170/</t>
        </is>
      </c>
      <c r="M5017" s="2">
        <f>HYPERLINK("https://ru.wikipedia.org/w/index.php?search=%D0%9F%D0%B8%D1%81%D1%8C%D0%BC%D0%BE%201970%20%D1%84%D0%B8%D0%BB%D1%8C%D0%BC","искать")</f>
        <v/>
      </c>
      <c r="N5017" s="3" t="n"/>
      <c r="O5017" s="2" t="n"/>
      <c r="P5017" s="2" t="n"/>
    </row>
    <row r="5018">
      <c r="A5018" s="2" t="n">
        <v>5017</v>
      </c>
      <c r="B5018" s="2" t="inlineStr">
        <is>
          <t>короткая</t>
        </is>
      </c>
      <c r="C5018" s="2" t="n">
        <v>12732</v>
      </c>
      <c r="D5018" s="3" t="inlineStr">
        <is>
          <t>И увидела умай сон</t>
        </is>
      </c>
      <c r="E5018" s="2" t="n">
        <v>1986</v>
      </c>
      <c r="F5018" s="2" t="inlineStr">
        <is>
          <t>мультфильм</t>
        </is>
      </c>
      <c r="G5018" s="2" t="inlineStr">
        <is>
          <t>АЗЕРБАЙДЖАНФИЛЬМ</t>
        </is>
      </c>
      <c r="H5018" s="2" t="n">
        <v>280</v>
      </c>
      <c r="I5018" s="2" t="inlineStr"/>
      <c r="J5018" s="2" t="inlineStr"/>
      <c r="K5018" s="3" t="inlineStr">
        <is>
          <t>Однажды маленькая девочка Умай увидела сон:все ее игрушки обиделись на не за то, что она их бросала, грызла, кричала на них, и ушли. По дороге бедолаги попали в беду. Проснувшись, Умай бросилась к своим игрушкам, стала просить у них прощения и обещала никогда больше их не обижать</t>
        </is>
      </c>
      <c r="L5018" s="2" t="inlineStr">
        <is>
          <t>https://gosfilmofond.ru/films/250578/</t>
        </is>
      </c>
      <c r="M5018" s="2">
        <f>HYPERLINK("https://ru.wikipedia.org/w/index.php?search=%D0%98%20%D1%83%D0%B2%D0%B8%D0%B4%D0%B5%D0%BB%D0%B0%20%D1%83%D0%BC%D0%B0%D0%B9%20%D1%81%D0%BE%D0%BD%201986%20%D1%84%D0%B8%D0%BB%D1%8C%D0%BC","искать")</f>
        <v/>
      </c>
      <c r="N5018" s="3" t="n"/>
      <c r="O5018" s="2" t="n"/>
      <c r="P5018" s="2" t="n"/>
    </row>
    <row r="5019">
      <c r="A5019" s="2" t="n">
        <v>5018</v>
      </c>
      <c r="B5019" s="2" t="inlineStr">
        <is>
          <t>короткая</t>
        </is>
      </c>
      <c r="C5019" s="2" t="n">
        <v>8096</v>
      </c>
      <c r="D5019" s="3" t="inlineStr">
        <is>
          <t>Перед свадьбой</t>
        </is>
      </c>
      <c r="E5019" s="2" t="n">
        <v>1987</v>
      </c>
      <c r="F5019" s="2" t="inlineStr">
        <is>
          <t>телефильм</t>
        </is>
      </c>
      <c r="G5019" s="2" t="n"/>
      <c r="H5019" s="2" t="n">
        <v>281</v>
      </c>
      <c r="I5019" s="2" t="inlineStr"/>
      <c r="J5019" s="2" t="inlineStr"/>
      <c r="K5019" s="3" t="inlineStr">
        <is>
          <t>По мотивам рассказа Михаила Малиновского "Доверие". Экспедитор Надя вот-вот выходит замуж. План по реализации продукции летит в тартарары. Надежде выделяют молодого водителя Ивана, и за два дня, что они колесят на грузовике, у них вспыхивает роман. За кого же выйдет замуж Надежда?</t>
        </is>
      </c>
      <c r="L5019" s="2" t="inlineStr">
        <is>
          <t>Кино_СССР сводный каталог.xlsx: список телефильмов</t>
        </is>
      </c>
      <c r="M5019" s="2">
        <f>HYPERLINK("https://ru.wikipedia.org/w/index.php?search=%D0%9F%D0%B5%D1%80%D0%B5%D0%B4%20%D1%81%D0%B2%D0%B0%D0%B4%D1%8C%D0%B1%D0%BE%D0%B9%201987%20%D1%84%D0%B8%D0%BB%D1%8C%D0%BC","искать")</f>
        <v/>
      </c>
      <c r="N5019" s="3" t="n"/>
      <c r="O5019" s="2" t="n"/>
      <c r="P5019" s="2" t="n"/>
    </row>
    <row r="5020">
      <c r="A5020" s="2" t="n">
        <v>5019</v>
      </c>
      <c r="B5020" s="2" t="inlineStr">
        <is>
          <t>короткая</t>
        </is>
      </c>
      <c r="C5020" s="2" t="n">
        <v>8155</v>
      </c>
      <c r="D5020" s="3" t="inlineStr">
        <is>
          <t>Полёт начинается с земли</t>
        </is>
      </c>
      <c r="E5020" s="2" t="n">
        <v>1980</v>
      </c>
      <c r="F5020" s="2" t="inlineStr">
        <is>
          <t>телефильм</t>
        </is>
      </c>
      <c r="G5020" s="2" t="inlineStr">
        <is>
          <t>Арменфильм</t>
        </is>
      </c>
      <c r="H5020" s="2" t="n">
        <v>281</v>
      </c>
      <c r="I5020" s="2" t="inlineStr"/>
      <c r="J5020" s="2" t="inlineStr"/>
      <c r="K5020" s="3" t="inlineStr">
        <is>
          <t>Действие разворачивается в провинциальном городке, куда по приглашению фронтового друга, начальника местного аэропорта, приезжает знаменитый летчик. Многое в этом узко-семейном мирке ему чуждо и непонятно. Он самым решительным образом включается в борьбу против бесхозяйственности.</t>
        </is>
      </c>
      <c r="L5020" s="2" t="inlineStr">
        <is>
          <t>https://ru.wikipedia.org/w/index.php?title=%D0%9F%D0%BE%D0%BB%D1%91%D1%82_%D0%BD%D0%B0%D1%87%D0%B8%D0%BD%D0%B0%D0%B5%D1%82%D1%81%D1%8F_%D1%81_%D0%B7%D0%B5%D0%BC%D0%BB%D0%B8&amp;oldid=154702780</t>
        </is>
      </c>
      <c r="M5020" s="2">
        <f>HYPERLINK("https://ru.wikipedia.org/w/index.php?search=%D0%9F%D0%BE%D0%BB%D1%91%D1%82%20%D0%BD%D0%B0%D1%87%D0%B8%D0%BD%D0%B0%D0%B5%D1%82%D1%81%D1%8F%20%D1%81%20%D0%B7%D0%B5%D0%BC%D0%BB%D0%B8%201980%20%D1%84%D0%B8%D0%BB%D1%8C%D0%BC","искать")</f>
        <v/>
      </c>
      <c r="N5020" s="3" t="n"/>
      <c r="O5020" s="2" t="n"/>
      <c r="P5020" s="2" t="n"/>
    </row>
    <row r="5021">
      <c r="A5021" s="2" t="n">
        <v>5020</v>
      </c>
      <c r="B5021" s="2" t="inlineStr">
        <is>
          <t>короткая</t>
        </is>
      </c>
      <c r="C5021" s="2" t="n">
        <v>8250</v>
      </c>
      <c r="D5021" s="3" t="inlineStr">
        <is>
          <t>Путешествие мсье Перришона</t>
        </is>
      </c>
      <c r="E5021" s="2" t="n">
        <v>1986</v>
      </c>
      <c r="F5021" s="2" t="inlineStr">
        <is>
          <t>телефильм</t>
        </is>
      </c>
      <c r="G5021" s="2" t="n"/>
      <c r="H5021" s="2" t="n">
        <v>281</v>
      </c>
      <c r="I5021" s="2" t="inlineStr"/>
      <c r="J5021" s="2" t="inlineStr"/>
      <c r="K5021" s="3" t="inlineStr">
        <is>
          <t>Фильм снят по одноименному водевилю французских драматургов Эжена Лабиша и Эдуара Мартена. Двое молодых людей - Арман и Даниэль - влюбляются в дочь каретника Перришона. Они отправляются в Альпы вслед за семейством Перришонов, чтобы там решить, кому из них быть мужем милой девушки.</t>
        </is>
      </c>
      <c r="L5021" s="2" t="inlineStr">
        <is>
          <t>Кино_СССР сводный каталог.xlsx: список телефильмов</t>
        </is>
      </c>
      <c r="M5021" s="2">
        <f>HYPERLINK("https://ru.wikipedia.org/w/index.php?search=%D0%9F%D1%83%D1%82%D0%B5%D1%88%D0%B5%D1%81%D1%82%D0%B2%D0%B8%D0%B5%20%D0%BC%D1%81%D1%8C%D0%B5%20%D0%9F%D0%B5%D1%80%D1%80%D0%B8%D1%88%D0%BE%D0%BD%D0%B0%201986%20%D1%84%D0%B8%D0%BB%D1%8C%D0%BC","искать")</f>
        <v/>
      </c>
      <c r="N5021" s="3" t="n"/>
      <c r="O5021" s="2" t="n"/>
      <c r="P5021" s="2" t="n"/>
    </row>
    <row r="5022">
      <c r="A5022" s="2" t="n">
        <v>5021</v>
      </c>
      <c r="B5022" s="2" t="inlineStr">
        <is>
          <t>короткая</t>
        </is>
      </c>
      <c r="C5022" s="2" t="n">
        <v>8273</v>
      </c>
      <c r="D5022" s="3" t="inlineStr">
        <is>
          <t>Ржавчина</t>
        </is>
      </c>
      <c r="E5022" s="2" t="n">
        <v>1991</v>
      </c>
      <c r="F5022" s="2" t="inlineStr">
        <is>
          <t>телефильм</t>
        </is>
      </c>
      <c r="G5022" s="2" t="n"/>
      <c r="H5022" s="2" t="n">
        <v>281</v>
      </c>
      <c r="I5022" s="2" t="inlineStr"/>
      <c r="J5022" s="2" t="inlineStr"/>
      <c r="K5022" s="3" t="inlineStr">
        <is>
          <t>В основе сценария фильма — документальные материалы из архивов КГБ. Исследуется процесс возникновения организованной преступности, мафии. Картина повествует о событиях 1938—1987 годов. В центре сюжета — семейный клан Кругловых, перипетии их обогащения и безнаказанных преступлений.</t>
        </is>
      </c>
      <c r="L5022" s="2" t="inlineStr">
        <is>
          <t>Кино_СССР сводный каталог.xlsx: список телефильмов</t>
        </is>
      </c>
      <c r="M5022" s="2">
        <f>HYPERLINK("https://ru.wikipedia.org/w/index.php?search=%D0%A0%D0%B6%D0%B0%D0%B2%D1%87%D0%B8%D0%BD%D0%B0%201991%20%D1%84%D0%B8%D0%BB%D1%8C%D0%BC","искать")</f>
        <v/>
      </c>
      <c r="N5022" s="3" t="n"/>
      <c r="O5022" s="2" t="n"/>
      <c r="P5022" s="2" t="n"/>
    </row>
    <row r="5023">
      <c r="A5023" s="2" t="n">
        <v>5022</v>
      </c>
      <c r="B5023" s="2" t="inlineStr">
        <is>
          <t>короткая</t>
        </is>
      </c>
      <c r="C5023" s="2" t="n">
        <v>8331</v>
      </c>
      <c r="D5023" s="3" t="inlineStr">
        <is>
          <t>Семь счастливых нот</t>
        </is>
      </c>
      <c r="E5023" s="2" t="n">
        <v>1981</v>
      </c>
      <c r="F5023" s="2" t="inlineStr">
        <is>
          <t>телефильм</t>
        </is>
      </c>
      <c r="G5023" s="2" t="n"/>
      <c r="H5023" s="2" t="n">
        <v>281</v>
      </c>
      <c r="I5023" s="2" t="inlineStr"/>
      <c r="J5023" s="2" t="inlineStr"/>
      <c r="K5023" s="3" t="inlineStr">
        <is>
          <t>Телефильм-ревю. В основе фильма - лучшие хореографические номера из спектаклей Ленинградского мюзик-холла, песни звезд эстрады и романсы в исполнении популярных певцов. Концертные номера объединены сюжетной линией участия всех исполнителей в съемке музыкального комедийного фильма.</t>
        </is>
      </c>
      <c r="L5023" s="2" t="inlineStr">
        <is>
          <t>Кино_СССР сводный каталог.xlsx: список телефильмов</t>
        </is>
      </c>
      <c r="M5023" s="2">
        <f>HYPERLINK("https://ru.wikipedia.org/w/index.php?search=%D0%A1%D0%B5%D0%BC%D1%8C%20%D1%81%D1%87%D0%B0%D1%81%D1%82%D0%BB%D0%B8%D0%B2%D1%8B%D1%85%20%D0%BD%D0%BE%D1%82%201981%20%D1%84%D0%B8%D0%BB%D1%8C%D0%BC","искать")</f>
        <v/>
      </c>
      <c r="N5023" s="3" t="n"/>
      <c r="O5023" s="2" t="n"/>
      <c r="P5023" s="2" t="n"/>
    </row>
    <row r="5024">
      <c r="A5024" s="2" t="n">
        <v>5023</v>
      </c>
      <c r="B5024" s="2" t="inlineStr">
        <is>
          <t>короткая</t>
        </is>
      </c>
      <c r="C5024" s="2" t="n">
        <v>8338</v>
      </c>
      <c r="D5024" s="3" t="inlineStr">
        <is>
          <t>Середина жизни</t>
        </is>
      </c>
      <c r="E5024" s="2" t="n">
        <v>1976</v>
      </c>
      <c r="F5024" s="2" t="inlineStr">
        <is>
          <t>телефильм</t>
        </is>
      </c>
      <c r="G5024" s="2" t="n"/>
      <c r="H5024" s="2" t="n">
        <v>281</v>
      </c>
      <c r="I5024" s="2" t="inlineStr"/>
      <c r="J5024" s="2" t="inlineStr"/>
      <c r="K5024" s="3" t="inlineStr">
        <is>
          <t>Телефильм по мотивам пьесы Г. Бокарева «Испытание». Инженер НИИ автоматики Юсупов, руководитель проекта, однажды приходит к выводу, что его проект устарел. Герой находит иное, подлинно новаторское решение и начинает работу заново, хотя далеко не все согласны с его смелым решением.</t>
        </is>
      </c>
      <c r="L5024" s="2" t="inlineStr">
        <is>
          <t>Кино_СССР сводный каталог.xlsx: список телефильмов</t>
        </is>
      </c>
      <c r="M5024" s="2">
        <f>HYPERLINK("https://ru.wikipedia.org/w/index.php?search=%D0%A1%D0%B5%D1%80%D0%B5%D0%B4%D0%B8%D0%BD%D0%B0%20%D0%B6%D0%B8%D0%B7%D0%BD%D0%B8%201976%20%D1%84%D0%B8%D0%BB%D1%8C%D0%BC","искать")</f>
        <v/>
      </c>
      <c r="N5024" s="3" t="n"/>
      <c r="O5024" s="2" t="n"/>
      <c r="P5024" s="2" t="n"/>
    </row>
    <row r="5025">
      <c r="A5025" s="2" t="n">
        <v>5024</v>
      </c>
      <c r="B5025" s="2" t="inlineStr">
        <is>
          <t>короткая</t>
        </is>
      </c>
      <c r="C5025" s="2" t="n">
        <v>8550</v>
      </c>
      <c r="D5025" s="3" t="inlineStr">
        <is>
          <t>Человек со свалки</t>
        </is>
      </c>
      <c r="E5025" s="2" t="n">
        <v>1991</v>
      </c>
      <c r="F5025" s="2" t="inlineStr">
        <is>
          <t>телефильм</t>
        </is>
      </c>
      <c r="G5025" s="2" t="inlineStr">
        <is>
          <t>Петрополь, Союзтелефильм</t>
        </is>
      </c>
      <c r="H5025" s="2" t="n">
        <v>281</v>
      </c>
      <c r="I5025" s="2" t="inlineStr"/>
      <c r="J5025" s="2" t="inlineStr"/>
      <c r="K5025" s="3" t="inlineStr">
        <is>
          <t>Рабочий парень Герасим Дягилев становится боксером, чемпионом Европы. Вернувшись в родной город, он начинает спиваться, но находит в себе силы "подняться": женится и устраивается на завод. Наступает перестройка - и он среди организаторов демократического движения "Фронт спасения".</t>
        </is>
      </c>
      <c r="L5025" s="2" t="inlineStr">
        <is>
          <t>Кино_СССР сводный каталог.xlsx: список телефильмов</t>
        </is>
      </c>
      <c r="M5025" s="2">
        <f>HYPERLINK("https://ru.wikipedia.org/w/index.php?search=%D0%A7%D0%B5%D0%BB%D0%BE%D0%B2%D0%B5%D0%BA%20%D1%81%D0%BE%20%D1%81%D0%B2%D0%B0%D0%BB%D0%BA%D0%B8%201991%20%D1%84%D0%B8%D0%BB%D1%8C%D0%BC","искать")</f>
        <v/>
      </c>
      <c r="N5025" s="3" t="n"/>
      <c r="O5025" s="2" t="n"/>
      <c r="P5025" s="2" t="n"/>
    </row>
    <row r="5026">
      <c r="A5026" s="2" t="n">
        <v>5025</v>
      </c>
      <c r="B5026" s="2" t="inlineStr">
        <is>
          <t>короткая</t>
        </is>
      </c>
      <c r="C5026" s="2" t="n">
        <v>8681</v>
      </c>
      <c r="D5026" s="3" t="inlineStr">
        <is>
          <t>Голод - 33</t>
        </is>
      </c>
      <c r="E5026" s="2" t="n">
        <v>1991</v>
      </c>
      <c r="F5026" s="2" t="inlineStr">
        <is>
          <t>кинофильм</t>
        </is>
      </c>
      <c r="G5026" s="2" t="n"/>
      <c r="H5026" s="2" t="n">
        <v>281</v>
      </c>
      <c r="I5026" s="2" t="inlineStr"/>
      <c r="J5026" s="2" t="inlineStr"/>
      <c r="K5026" s="3" t="inlineStr">
        <is>
          <t>По повести Василя Барки "Желтый князь".1932-1933 годы.На Украине-страшный голод.Талантливый мальчик Андрейко постепенно теряет всех родных:кто-то умирает от голода,кого-то убивают власти.Детский,светлый мир мальчика наполняется мрачными предчувствиями,образами великанов-людоедов..</t>
        </is>
      </c>
      <c r="L5026" s="2" t="inlineStr">
        <is>
          <t>https://gosfilmofond.ru/films/250087/</t>
        </is>
      </c>
      <c r="M5026" s="2">
        <f>HYPERLINK("https://ru.wikipedia.org/w/index.php?search=%D0%93%D0%BE%D0%BB%D0%BE%D0%B4%20-%2033%201991%20%D1%84%D0%B8%D0%BB%D1%8C%D0%BC","искать")</f>
        <v/>
      </c>
      <c r="N5026" s="3" t="n"/>
      <c r="O5026" s="2" t="n"/>
      <c r="P5026" s="2" t="n"/>
    </row>
    <row r="5027">
      <c r="A5027" s="2" t="n">
        <v>5026</v>
      </c>
      <c r="B5027" s="2" t="inlineStr">
        <is>
          <t>короткая</t>
        </is>
      </c>
      <c r="C5027" s="2" t="n">
        <v>8856</v>
      </c>
      <c r="D5027" s="3" t="inlineStr">
        <is>
          <t>Мясорубка</t>
        </is>
      </c>
      <c r="E5027" s="2" t="n">
        <v>1991</v>
      </c>
      <c r="F5027" s="2" t="inlineStr">
        <is>
          <t>кинофильм</t>
        </is>
      </c>
      <c r="G5027" s="2" t="n"/>
      <c r="H5027" s="2" t="n">
        <v>281</v>
      </c>
      <c r="I5027" s="2" t="inlineStr"/>
      <c r="J5027" s="2" t="inlineStr"/>
      <c r="K5027" s="3" t="inlineStr">
        <is>
          <t>Жена модельера, не особенно обремененная одеждой, но обремененная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 Презентация фильма состоялась на 1-м «Кинотавре» в Сочи.</t>
        </is>
      </c>
      <c r="L5027" s="2" t="inlineStr">
        <is>
          <t>Кино_СССР сводный каталог.xlsx: список фильмов (доп.)</t>
        </is>
      </c>
      <c r="M5027" s="2">
        <f>HYPERLINK("https://ru.wikipedia.org/w/index.php?search=%D0%9C%D1%8F%D1%81%D0%BE%D1%80%D1%83%D0%B1%D0%BA%D0%B0%201991%20%D1%84%D0%B8%D0%BB%D1%8C%D0%BC","искать")</f>
        <v/>
      </c>
      <c r="N5027" s="3" t="n"/>
      <c r="O5027" s="2" t="n"/>
      <c r="P5027" s="2" t="n"/>
    </row>
    <row r="5028">
      <c r="A5028" s="2" t="n">
        <v>5027</v>
      </c>
      <c r="B5028" s="2" t="inlineStr">
        <is>
          <t>короткая</t>
        </is>
      </c>
      <c r="C5028" s="2" t="n">
        <v>10679</v>
      </c>
      <c r="D5028" s="3" t="inlineStr">
        <is>
          <t>Аз и Ферт</t>
        </is>
      </c>
      <c r="E5028" s="2" t="n">
        <v>1977</v>
      </c>
      <c r="F5028" s="2" t="inlineStr">
        <is>
          <t>фильм-спектакль</t>
        </is>
      </c>
      <c r="G5028" s="2" t="inlineStr">
        <is>
          <t>Центральное телевидение</t>
        </is>
      </c>
      <c r="H5028" s="2" t="n">
        <v>281</v>
      </c>
      <c r="I5028" s="2" t="inlineStr"/>
      <c r="J5028" s="2" t="inlineStr"/>
      <c r="K5028" s="3" t="inlineStr">
        <is>
          <t>По мотивам водевиля П. Федорова.
Помещик Мордашов, чтобы угодить своему будущему зятю Алексею Фурсикову, отмечает все приданое своей дочери вензелем "А.Ф.". Но жених дает отступного. Дабы не пропало добро, расчетливый отец начинает поиски жениха с подходящими инициалами Аз и Ферт.</t>
        </is>
      </c>
      <c r="L5028" s="2" t="inlineStr">
        <is>
          <t>https://www.kino-teatr.ru/teatr/movie/16408/annot/</t>
        </is>
      </c>
      <c r="M5028" s="2">
        <f>HYPERLINK("https://ru.wikipedia.org/w/index.php?search=%D0%90%D0%B7%20%D0%B8%20%D0%A4%D0%B5%D1%80%D1%82%201977%20%D1%84%D0%B8%D0%BB%D1%8C%D0%BC","искать")</f>
        <v/>
      </c>
      <c r="N5028" s="3" t="n"/>
      <c r="O5028" s="2" t="n"/>
      <c r="P5028" s="2" t="n"/>
    </row>
    <row r="5029">
      <c r="A5029" s="2" t="n">
        <v>5028</v>
      </c>
      <c r="B5029" s="2" t="inlineStr">
        <is>
          <t>короткая</t>
        </is>
      </c>
      <c r="C5029" s="2" t="n">
        <v>14096</v>
      </c>
      <c r="D5029" s="3" t="inlineStr">
        <is>
          <t>Морожены песни</t>
        </is>
      </c>
      <c r="E5029" s="2" t="n">
        <v>1987</v>
      </c>
      <c r="F5029" s="2" t="inlineStr">
        <is>
          <t>мультфильм</t>
        </is>
      </c>
      <c r="G5029" s="2" t="n"/>
      <c r="H5029" s="2" t="n">
        <v>281</v>
      </c>
      <c r="I5029" s="2" t="inlineStr"/>
      <c r="J5029" s="2" t="inlineStr"/>
      <c r="K5029" s="3" t="inlineStr">
        <is>
          <t>Сюжет из фильма Не любо - не слушай. В архангельском крае народные песни застывают на зимнем морозе, превращаясь в узоры. Прибывший в Архангельск иностранец отправляет мороженые песни за границу и устраивает концерт.
Участвует ансамбль народной музыки под управлением Б.Покровского</t>
        </is>
      </c>
      <c r="L5029" s="2" t="inlineStr">
        <is>
          <t>https://animator.ru/db/?p=show_film&amp;fid=5494</t>
        </is>
      </c>
      <c r="M5029" s="2">
        <f>HYPERLINK("https://ru.wikipedia.org/w/index.php?search=%D0%9C%D0%BE%D1%80%D0%BE%D0%B6%D0%B5%D0%BD%D1%8B%20%D0%BF%D0%B5%D1%81%D0%BD%D0%B8%201987%20%D1%84%D0%B8%D0%BB%D1%8C%D0%BC","искать")</f>
        <v/>
      </c>
      <c r="N5029" s="3" t="n"/>
      <c r="O5029" s="2" t="n"/>
      <c r="P5029" s="2" t="n"/>
    </row>
    <row r="5030">
      <c r="A5030" s="2" t="n">
        <v>5029</v>
      </c>
      <c r="B5030" s="2" t="inlineStr">
        <is>
          <t>короткая</t>
        </is>
      </c>
      <c r="C5030" s="2" t="n">
        <v>7582</v>
      </c>
      <c r="D5030" s="3" t="inlineStr">
        <is>
          <t>Жду и надеюсь</t>
        </is>
      </c>
      <c r="E5030" s="2" t="n">
        <v>1980</v>
      </c>
      <c r="F5030" s="2" t="inlineStr">
        <is>
          <t>телефильм</t>
        </is>
      </c>
      <c r="G5030" s="2" t="n"/>
      <c r="H5030" s="2" t="n">
        <v>282</v>
      </c>
      <c r="I5030" s="2" t="inlineStr"/>
      <c r="J5030" s="2" t="inlineStr"/>
      <c r="K5030" s="3" t="inlineStr">
        <is>
          <t>Телефильм по одноименной повести В. Смирнова. В 1942 году партизанский отряд, действовавший в Полесье, был окружен. Для успешного прорыва было необходимо дезинформировать противника. Герой фильма, молодой партизан, берёт эту миссию на себя, ценой собственной жизни спасая товарищей.</t>
        </is>
      </c>
      <c r="L5030" s="2" t="inlineStr">
        <is>
          <t>Кино_СССР сводный каталог.xlsx: список телефильмов</t>
        </is>
      </c>
      <c r="M5030" s="2">
        <f>HYPERLINK("https://ru.wikipedia.org/w/index.php?search=%D0%96%D0%B4%D1%83%20%D0%B8%20%D0%BD%D0%B0%D0%B4%D0%B5%D1%8E%D1%81%D1%8C%201980%20%D1%84%D0%B8%D0%BB%D1%8C%D0%BC","искать")</f>
        <v/>
      </c>
      <c r="N5030" s="3" t="n"/>
      <c r="O5030" s="2" t="n"/>
      <c r="P5030" s="2" t="n"/>
    </row>
    <row r="5031">
      <c r="A5031" s="2" t="n">
        <v>5030</v>
      </c>
      <c r="B5031" s="2" t="inlineStr">
        <is>
          <t>короткая</t>
        </is>
      </c>
      <c r="C5031" s="2" t="n">
        <v>8533</v>
      </c>
      <c r="D5031" s="3" t="inlineStr">
        <is>
          <t>Цена</t>
        </is>
      </c>
      <c r="E5031" s="2" t="n">
        <v>1969</v>
      </c>
      <c r="F5031" s="2" t="inlineStr">
        <is>
          <t>телефильм</t>
        </is>
      </c>
      <c r="G5031" s="2" t="n"/>
      <c r="H5031" s="2" t="n">
        <v>282</v>
      </c>
      <c r="I5031" s="2" t="inlineStr"/>
      <c r="J5031" s="2" t="inlineStr"/>
      <c r="K5031" s="3" t="inlineStr">
        <is>
          <t>По пьесе Артура Миллера. 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is>
      </c>
      <c r="L5031" s="2" t="inlineStr">
        <is>
          <t>Кино_СССР сводный каталог.xlsx: список телефильмов</t>
        </is>
      </c>
      <c r="M5031" s="2">
        <f>HYPERLINK("https://ru.wikipedia.org/w/index.php?search=%D0%A6%D0%B5%D0%BD%D0%B0%201969%20%D1%84%D0%B8%D0%BB%D1%8C%D0%BC","искать")</f>
        <v/>
      </c>
      <c r="N5031" s="3" t="n"/>
      <c r="O5031" s="2" t="n"/>
      <c r="P5031" s="2" t="n"/>
    </row>
    <row r="5032">
      <c r="A5032" s="2" t="n">
        <v>5031</v>
      </c>
      <c r="B5032" s="2" t="inlineStr">
        <is>
          <t>короткая</t>
        </is>
      </c>
      <c r="C5032" s="2" t="n">
        <v>9893</v>
      </c>
      <c r="D5032" s="3" t="inlineStr">
        <is>
          <t>Общая стена</t>
        </is>
      </c>
      <c r="E5032" s="2" t="n">
        <v>1972</v>
      </c>
      <c r="F5032" s="2" t="inlineStr">
        <is>
          <t>телефильм</t>
        </is>
      </c>
      <c r="G5032" s="2" t="inlineStr">
        <is>
          <t>Грузия-фильм</t>
        </is>
      </c>
      <c r="H5032" s="2" t="n">
        <v>282</v>
      </c>
      <c r="I5032" s="2" t="inlineStr"/>
      <c r="J5032" s="2" t="inlineStr"/>
      <c r="K5032" s="3" t="inlineStr">
        <is>
          <t>Телефильм. Смешная история о соседях, не замечающих друг друга.
Соседи в новом доме порой даже не подозревают, кто живёт у них за стеной. Они добрые друзья на улице, но каждый из них люто ненавидит живущего за тонкой стенкой. Что победит, когда всё выяснится – ненависть или дружба?</t>
        </is>
      </c>
      <c r="L5032" s="2" t="inlineStr">
        <is>
          <t>https://www.kino-teatr.ru/short/movie/sov/9935/annot/</t>
        </is>
      </c>
      <c r="M5032" s="2">
        <f>HYPERLINK("https://ru.wikipedia.org/w/index.php?search=%D0%9E%D0%B1%D1%89%D0%B0%D1%8F%20%D1%81%D1%82%D0%B5%D0%BD%D0%B0%201972%20%D1%84%D0%B8%D0%BB%D1%8C%D0%BC","искать")</f>
        <v/>
      </c>
      <c r="N5032" s="3" t="n"/>
      <c r="O5032" s="2" t="n"/>
      <c r="P5032" s="2" t="n"/>
    </row>
    <row r="5033">
      <c r="A5033" s="2" t="n">
        <v>5032</v>
      </c>
      <c r="B5033" s="2" t="inlineStr">
        <is>
          <t>короткая</t>
        </is>
      </c>
      <c r="C5033" s="2" t="n">
        <v>11404</v>
      </c>
      <c r="D5033" s="3" t="inlineStr">
        <is>
          <t>Непьющий воробей. Сказка для взрослых.</t>
        </is>
      </c>
      <c r="E5033" s="2" t="n">
        <v>1960</v>
      </c>
      <c r="F5033" s="2" t="inlineStr">
        <is>
          <t>мультфильм</t>
        </is>
      </c>
      <c r="G5033" s="2" t="inlineStr">
        <is>
          <t>Союзмультфильм</t>
        </is>
      </c>
      <c r="H5033" s="2" t="n">
        <v>282</v>
      </c>
      <c r="I5033" s="2" t="inlineStr"/>
      <c r="J5033" s="2" t="inlineStr"/>
      <c r="K5033" s="3" t="inlineStr">
        <is>
          <t>По басне С.Михалкова о трезвеннике Воробье, которого "друзья" на торжестве заставили пить, о том, как недопустимо спаивать трезвенников, и о том, как необходимо проявлять твердость
II Международный конкурс санитарно-просветительных фильмов в Варне (Болгария), 1965 -- Золотая медаль</t>
        </is>
      </c>
      <c r="L5033" s="2" t="inlineStr">
        <is>
          <t>https://animator.ru/db/?p=show_film&amp;fid=2062</t>
        </is>
      </c>
      <c r="M5033" s="2">
        <f>HYPERLINK("https://ru.wikipedia.org/w/index.php?search=%D0%9D%D0%B5%D0%BF%D1%8C%D1%8E%D1%89%D0%B8%D0%B9%20%D0%B2%D0%BE%D1%80%D0%BE%D0%B1%D0%B5%D0%B9.%20%D0%A1%D0%BA%D0%B0%D0%B7%D0%BA%D0%B0%20%D0%B4%D0%BB%D1%8F%20%D0%B2%D0%B7%D1%80%D0%BE%D1%81%D0%BB%D1%8B%D1%85.%201960%20%D1%84%D0%B8%D0%BB%D1%8C%D0%BC","искать")</f>
        <v/>
      </c>
      <c r="N5033" s="3" t="n"/>
      <c r="O5033" s="2" t="n"/>
      <c r="P5033" s="2" t="n"/>
    </row>
    <row r="5034">
      <c r="A5034" s="2" t="n">
        <v>5033</v>
      </c>
      <c r="B5034" s="2" t="inlineStr">
        <is>
          <t>короткая</t>
        </is>
      </c>
      <c r="C5034" s="2" t="n">
        <v>7561</v>
      </c>
      <c r="D5034" s="3" t="inlineStr">
        <is>
          <t>Друг Эмиля</t>
        </is>
      </c>
      <c r="E5034" s="2" t="n">
        <v>1989</v>
      </c>
      <c r="F5034" s="2" t="inlineStr">
        <is>
          <t>телефильм</t>
        </is>
      </c>
      <c r="G5034" s="2" t="n"/>
      <c r="H5034" s="2" t="n">
        <v>283</v>
      </c>
      <c r="I5034" s="2" t="inlineStr"/>
      <c r="J5034" s="2" t="inlineStr"/>
      <c r="K5034" s="3" t="inlineStr">
        <is>
          <t>По мотивам рассказа эстонской писательницы Леэны Крон "Шестилетка", повествующего о настоящей дружбе и любви к окружающим. Однажды маленький мальчик Эмиль встречает птицу, которая хочет стать человеком - и не просто человеком, а настоящей, цельной личностью. Они становятся друзьями.</t>
        </is>
      </c>
      <c r="L5034" s="2" t="inlineStr">
        <is>
          <t>Кино_СССР сводный каталог.xlsx: список телефильмов</t>
        </is>
      </c>
      <c r="M5034" s="2">
        <f>HYPERLINK("https://ru.wikipedia.org/w/index.php?search=%D0%94%D1%80%D1%83%D0%B3%20%D0%AD%D0%BC%D0%B8%D0%BB%D1%8F%201989%20%D1%84%D0%B8%D0%BB%D1%8C%D0%BC","искать")</f>
        <v/>
      </c>
      <c r="N5034" s="3" t="n"/>
      <c r="O5034" s="2" t="n"/>
      <c r="P5034" s="2" t="n"/>
    </row>
    <row r="5035">
      <c r="A5035" s="2" t="n">
        <v>5034</v>
      </c>
      <c r="B5035" s="2" t="inlineStr">
        <is>
          <t>короткая</t>
        </is>
      </c>
      <c r="C5035" s="2" t="n">
        <v>7656</v>
      </c>
      <c r="D5035" s="3" t="inlineStr">
        <is>
          <t>Золотые туфельки</t>
        </is>
      </c>
      <c r="E5035" s="2" t="n">
        <v>1981</v>
      </c>
      <c r="F5035" s="2" t="inlineStr">
        <is>
          <t>телефильм</t>
        </is>
      </c>
      <c r="G5035" s="2" t="inlineStr">
        <is>
          <t>Одесская к/с</t>
        </is>
      </c>
      <c r="H5035" s="2" t="n">
        <v>283</v>
      </c>
      <c r="I5035" s="2" t="inlineStr"/>
      <c r="J5035" s="2" t="inlineStr"/>
      <c r="K5035" s="3" t="inlineStr">
        <is>
          <t>Телефильм по мотивам повестей Ивана Василенко "Золотые туфельки" и "Заколдованный спектакль". Главные герои фильма - Артемий Загоруйко и его друзья - Ляся, негр Пепо и Костя, знакомые зрителю по фильму "Волшебный круг", но уже повзрослевшие, оказываются в гуще революционных событий.</t>
        </is>
      </c>
      <c r="L5035" s="2" t="inlineStr">
        <is>
          <t>Кино_СССР сводный каталог.xlsx: список телефильмов</t>
        </is>
      </c>
      <c r="M5035" s="2">
        <f>HYPERLINK("https://ru.wikipedia.org/w/index.php?search=%D0%97%D0%BE%D0%BB%D0%BE%D1%82%D1%8B%D0%B5%20%D1%82%D1%83%D1%84%D0%B5%D0%BB%D1%8C%D0%BA%D0%B8%201981%20%D1%84%D0%B8%D0%BB%D1%8C%D0%BC","искать")</f>
        <v/>
      </c>
      <c r="N5035" s="3" t="n"/>
      <c r="O5035" s="2" t="n"/>
      <c r="P5035" s="2" t="n"/>
    </row>
    <row r="5036">
      <c r="A5036" s="2" t="n">
        <v>5035</v>
      </c>
      <c r="B5036" s="2" t="inlineStr">
        <is>
          <t>короткая</t>
        </is>
      </c>
      <c r="C5036" s="2" t="n">
        <v>7765</v>
      </c>
      <c r="D5036" s="3" t="inlineStr">
        <is>
          <t>Красное и черное</t>
        </is>
      </c>
      <c r="E5036" s="2" t="n">
        <v>1976</v>
      </c>
      <c r="F5036" s="2" t="inlineStr">
        <is>
          <t>телефильм</t>
        </is>
      </c>
      <c r="G5036" s="2" t="n"/>
      <c r="H5036" s="2" t="n">
        <v>284</v>
      </c>
      <c r="I5036" s="2" t="inlineStr"/>
      <c r="J5036" s="2" t="inlineStr"/>
      <c r="K5036" s="3" t="inlineStr">
        <is>
          <t>Экранизация одноимённого романа Стендаля. 1820-е годы. Сын плотника Жюльен Сорель боготворит Наполеона и мечтает о славе. Благодаря способностям и образованию он оказывается в среде сначала провинциального, а затем и высшего дворянства, но жизнь сложилась не так, как ему хотелось бы.</t>
        </is>
      </c>
      <c r="L5036" s="2" t="inlineStr">
        <is>
          <t>Кино_СССР сводный каталог.xlsx: список телефильмов</t>
        </is>
      </c>
      <c r="M5036" s="2">
        <f>HYPERLINK("https://ru.wikipedia.org/w/index.php?search=%D0%9A%D1%80%D0%B0%D1%81%D0%BD%D0%BE%D0%B5%20%D0%B8%20%D1%87%D0%B5%D1%80%D0%BD%D0%BE%D0%B5%201976%20%D1%84%D0%B8%D0%BB%D1%8C%D0%BC","искать")</f>
        <v/>
      </c>
      <c r="N5036" s="3" t="n"/>
      <c r="O5036" s="2" t="n"/>
      <c r="P5036" s="2" t="n"/>
    </row>
    <row r="5037">
      <c r="A5037" s="2" t="n">
        <v>5036</v>
      </c>
      <c r="B5037" s="2" t="inlineStr">
        <is>
          <t>короткая</t>
        </is>
      </c>
      <c r="C5037" s="2" t="n">
        <v>7799</v>
      </c>
      <c r="D5037" s="3" t="inlineStr">
        <is>
          <t>Лётное происшествие</t>
        </is>
      </c>
      <c r="E5037" s="2" t="n">
        <v>1986</v>
      </c>
      <c r="F5037" s="2" t="inlineStr">
        <is>
          <t>телефильм</t>
        </is>
      </c>
      <c r="G5037" s="2" t="n"/>
      <c r="H5037" s="2" t="n">
        <v>284</v>
      </c>
      <c r="I5037" s="2" t="inlineStr"/>
      <c r="J5037" s="2" t="inlineStr"/>
      <c r="K5037" s="3" t="inlineStr">
        <is>
          <t>По мотивам романа Александра Старостина "Второй круг". Авиационный инженер Виктор Росанов мечтает сесть за штурвал самолета - он уверен, что только так сможет реализовать свои возможности. Руководство завода отправляет Росанова на Север и поручает подготовить к полетам новый самолет.</t>
        </is>
      </c>
      <c r="L5037" s="2" t="inlineStr">
        <is>
          <t>Кино_СССР сводный каталог.xlsx: список телефильмов</t>
        </is>
      </c>
      <c r="M5037" s="2">
        <f>HYPERLINK("https://ru.wikipedia.org/w/index.php?search=%D0%9B%D1%91%D1%82%D0%BD%D0%BE%D0%B5%20%D0%BF%D1%80%D0%BE%D0%B8%D1%81%D1%88%D0%B5%D1%81%D1%82%D0%B2%D0%B8%D0%B5%201986%20%D1%84%D0%B8%D0%BB%D1%8C%D0%BC","искать")</f>
        <v/>
      </c>
      <c r="N5037" s="3" t="n"/>
      <c r="O5037" s="2" t="n"/>
      <c r="P5037" s="2" t="n"/>
    </row>
    <row r="5038">
      <c r="A5038" s="2" t="n">
        <v>5037</v>
      </c>
      <c r="B5038" s="2" t="inlineStr">
        <is>
          <t>короткая</t>
        </is>
      </c>
      <c r="C5038" s="2" t="n">
        <v>8786</v>
      </c>
      <c r="D5038" s="3" t="inlineStr">
        <is>
          <t>Кто ты такой?</t>
        </is>
      </c>
      <c r="E5038" s="2" t="n">
        <v>1989</v>
      </c>
      <c r="F5038" s="2" t="inlineStr">
        <is>
          <t>кинофильм</t>
        </is>
      </c>
      <c r="G5038" s="2" t="n"/>
      <c r="H5038" s="2" t="n">
        <v>284</v>
      </c>
      <c r="I5038" s="2" t="inlineStr"/>
      <c r="J5038" s="2" t="inlineStr"/>
      <c r="K5038" s="3" t="inlineStr">
        <is>
          <t>Молодой врач, обслуживающий хлопкоробов, едет в город. На шоссе, при попытке обогнать автоколонну, машину останавливает ГАИ. События, происходящие далее, — точная и остроумная модель жизни, насквозь пронизанной абсурдными отношениями, нелепыми требованиями и необъяснимыми запретами..</t>
        </is>
      </c>
      <c r="L5038" s="2" t="inlineStr">
        <is>
          <t>Кино_СССР сводный каталог.xlsx: список фильмов (доп.)</t>
        </is>
      </c>
      <c r="M5038" s="2">
        <f>HYPERLINK("https://ru.wikipedia.org/w/index.php?search=%D0%9A%D1%82%D0%BE%20%D1%82%D1%8B%20%D1%82%D0%B0%D0%BA%D0%BE%D0%B9%3F%201989%20%D1%84%D0%B8%D0%BB%D1%8C%D0%BC","искать")</f>
        <v/>
      </c>
      <c r="N5038" s="3" t="n"/>
      <c r="O5038" s="2" t="n"/>
      <c r="P5038" s="2" t="n"/>
    </row>
    <row r="5039">
      <c r="A5039" s="2" t="n">
        <v>5038</v>
      </c>
      <c r="B5039" s="2" t="inlineStr">
        <is>
          <t>короткая</t>
        </is>
      </c>
      <c r="C5039" s="2" t="n">
        <v>10242</v>
      </c>
      <c r="D5039" s="3" t="inlineStr">
        <is>
          <t>Голос</t>
        </is>
      </c>
      <c r="E5039" s="2" t="n">
        <v>1968</v>
      </c>
      <c r="F5039" s="2" t="inlineStr">
        <is>
          <t>фильм-спектакль</t>
        </is>
      </c>
      <c r="G5039" s="2" t="inlineStr">
        <is>
          <t>Центральное телевидение</t>
        </is>
      </c>
      <c r="H5039" s="2" t="n">
        <v>284</v>
      </c>
      <c r="I5039" s="2" t="inlineStr"/>
      <c r="J5039" s="2" t="inlineStr"/>
      <c r="K5039" s="3" t="inlineStr">
        <is>
          <t>Моноспектакль Владимира Этуша. Постановка театра имени Вахтангова.
Необычный спектакль, нетипичная роль для великого мастера. Взволнованный рассказ пожилого итальянца-портного о том, как он, обладатель чарующего голоса, потерял свой бесценный дар в результате "научного эксперимента".</t>
        </is>
      </c>
      <c r="L5039" s="2" t="inlineStr">
        <is>
          <t>https://www.kino-teatr.ru/teatr/movie/81522/annot/</t>
        </is>
      </c>
      <c r="M5039" s="2">
        <f>HYPERLINK("https://ru.wikipedia.org/w/index.php?search=%D0%93%D0%BE%D0%BB%D0%BE%D1%81%201968%20%D1%84%D0%B8%D0%BB%D1%8C%D0%BC","искать")</f>
        <v/>
      </c>
      <c r="N5039" s="3" t="n"/>
      <c r="O5039" s="2" t="n"/>
      <c r="P5039" s="2" t="n"/>
    </row>
    <row r="5040">
      <c r="A5040" s="2" t="n">
        <v>5039</v>
      </c>
      <c r="B5040" s="2" t="inlineStr">
        <is>
          <t>короткая</t>
        </is>
      </c>
      <c r="C5040" s="2" t="n">
        <v>10773</v>
      </c>
      <c r="D5040" s="3" t="inlineStr">
        <is>
          <t>Семья Атаевых</t>
        </is>
      </c>
      <c r="E5040" s="2" t="n">
        <v>1978</v>
      </c>
      <c r="F5040" s="2" t="inlineStr">
        <is>
          <t>фильм-спектакль</t>
        </is>
      </c>
      <c r="G5040" s="2" t="n"/>
      <c r="H5040" s="2" t="n">
        <v>284</v>
      </c>
      <c r="I5040" s="2" t="inlineStr"/>
      <c r="J5040" s="2" t="inlineStr"/>
      <c r="K5040" s="3" t="inlineStr">
        <is>
          <t>События в фильме происходят в семье Хосрова Атаева и вокруг нее. Жена Хосрова Атаева Дилшад Ханум, ведущая честный и честный образ жизни, – женщина, любящая славу и деньги. Этот моральный разрыв между ними, ошибки, допущенные Дилшад, окончательно поставили крест на их семейной жизни.</t>
        </is>
      </c>
      <c r="L5040" s="2" t="inlineStr">
        <is>
          <t>https://www.kino-teatr.ru/teatr/movie/179827/annot/</t>
        </is>
      </c>
      <c r="M5040" s="2">
        <f>HYPERLINK("https://ru.wikipedia.org/w/index.php?search=%D0%A1%D0%B5%D0%BC%D1%8C%D1%8F%20%D0%90%D1%82%D0%B0%D0%B5%D0%B2%D1%8B%D1%85%201978%20%D1%84%D0%B8%D0%BB%D1%8C%D0%BC","искать")</f>
        <v/>
      </c>
      <c r="N5040" s="3" t="n"/>
      <c r="O5040" s="2" t="n"/>
      <c r="P5040" s="2" t="n"/>
    </row>
    <row r="5041">
      <c r="A5041" s="2" t="n">
        <v>5040</v>
      </c>
      <c r="B5041" s="2" t="inlineStr">
        <is>
          <t>короткая</t>
        </is>
      </c>
      <c r="C5041" s="2" t="n">
        <v>7884</v>
      </c>
      <c r="D5041" s="3" t="inlineStr">
        <is>
          <t>Мишук</t>
        </is>
      </c>
      <c r="E5041" s="2" t="n">
        <v>1975</v>
      </c>
      <c r="F5041" s="2" t="inlineStr">
        <is>
          <t>телефильм</t>
        </is>
      </c>
      <c r="G5041" s="2" t="n"/>
      <c r="H5041" s="2" t="n">
        <v>285</v>
      </c>
      <c r="I5041" s="2" t="inlineStr"/>
      <c r="J5041" s="2" t="inlineStr"/>
      <c r="K5041" s="3" t="inlineStr">
        <is>
          <t>Фильм снят по мотивам повести Яана Раннапа "Ефрейтор Йымм". О приключениях маленького медвежонка Мишука и мальчика Калле во время плавания парусника в море. Мишук был другом ребят и всей команды корабля, однако капитан корабля сказал, что медвежонка все-таки придется отдать в зоопарк.</t>
        </is>
      </c>
      <c r="L5041" s="2" t="inlineStr">
        <is>
          <t>Кино_СССР сводный каталог.xlsx: список телефильмов</t>
        </is>
      </c>
      <c r="M5041" s="2">
        <f>HYPERLINK("https://ru.wikipedia.org/w/index.php?search=%D0%9C%D0%B8%D1%88%D1%83%D0%BA%201975%20%D1%84%D0%B8%D0%BB%D1%8C%D0%BC","искать")</f>
        <v/>
      </c>
      <c r="N5041" s="3" t="n"/>
      <c r="O5041" s="2" t="n"/>
      <c r="P5041" s="2" t="n"/>
    </row>
    <row r="5042">
      <c r="A5042" s="2" t="n">
        <v>5041</v>
      </c>
      <c r="B5042" s="2" t="inlineStr">
        <is>
          <t>короткая</t>
        </is>
      </c>
      <c r="C5042" s="2" t="n">
        <v>8062</v>
      </c>
      <c r="D5042" s="3" t="inlineStr">
        <is>
          <t>От и до</t>
        </is>
      </c>
      <c r="E5042" s="2" t="n">
        <v>1976</v>
      </c>
      <c r="F5042" s="2" t="inlineStr">
        <is>
          <t>телефильм</t>
        </is>
      </c>
      <c r="G5042" s="2" t="n"/>
      <c r="H5042" s="2" t="n">
        <v>285</v>
      </c>
      <c r="I5042" s="2" t="inlineStr"/>
      <c r="J5042" s="2" t="inlineStr"/>
      <c r="K5042" s="3" t="inlineStr">
        <is>
          <t>Фильм по мотивам сатирического спектакля знаменитых эстрадных артистов Юрия Тимошенко и Ефима Березина. Тарапунька и Штепсель решили поставить свою сатиру на историческо-научную основу. "Всем приходилось сталкиваться с хамством, шкурничеством, пошлостью и другими пережитками прошлого.</t>
        </is>
      </c>
      <c r="L5042" s="2" t="inlineStr">
        <is>
          <t>Кино_СССР сводный каталог.xlsx: список телефильмов</t>
        </is>
      </c>
      <c r="M5042" s="2">
        <f>HYPERLINK("https://ru.wikipedia.org/w/index.php?search=%D0%9E%D1%82%20%D0%B8%20%D0%B4%D0%BE%201976%20%D1%84%D0%B8%D0%BB%D1%8C%D0%BC","искать")</f>
        <v/>
      </c>
      <c r="N5042" s="3" t="n"/>
      <c r="O5042" s="2" t="n"/>
      <c r="P5042" s="2" t="n"/>
    </row>
    <row r="5043">
      <c r="A5043" s="2" t="n">
        <v>5042</v>
      </c>
      <c r="B5043" s="2" t="inlineStr">
        <is>
          <t>короткая</t>
        </is>
      </c>
      <c r="C5043" s="2" t="n">
        <v>9909</v>
      </c>
      <c r="D5043" s="3" t="inlineStr">
        <is>
          <t>Вера и Фёдор</t>
        </is>
      </c>
      <c r="E5043" s="2" t="n">
        <v>1974</v>
      </c>
      <c r="F5043" s="2" t="inlineStr">
        <is>
          <t>телефильм</t>
        </is>
      </c>
      <c r="G5043" s="2" t="inlineStr">
        <is>
          <t>Новосибирсктелефильм</t>
        </is>
      </c>
      <c r="H5043" s="2" t="n">
        <v>285</v>
      </c>
      <c r="I5043" s="2" t="inlineStr"/>
      <c r="J5043" s="2" t="inlineStr"/>
      <c r="K5043" s="3" t="inlineStr">
        <is>
          <t>Молодой солдат Федор, хорошо проявивший себя во время учений, получает месяц отпуска. Он отправляется в Новосибирск к другу по детдому и знакомится там с девушкой Верой. Парень и девушка влюбляются в друг друга, и когда Федор снова уезжает в воинскую часть, Вера обещает его дождаться.</t>
        </is>
      </c>
      <c r="L5043" s="2" t="inlineStr">
        <is>
          <t>https://www.kino-teatr.ru/short/movie/sov/15047/annot/</t>
        </is>
      </c>
      <c r="M5043" s="2">
        <f>HYPERLINK("https://ru.wikipedia.org/w/index.php?search=%D0%92%D0%B5%D1%80%D0%B0%20%D0%B8%20%D0%A4%D1%91%D0%B4%D0%BE%D1%80%201974%20%D1%84%D0%B8%D0%BB%D1%8C%D0%BC","искать")</f>
        <v/>
      </c>
      <c r="N5043" s="3" t="n"/>
      <c r="O5043" s="2" t="n"/>
      <c r="P5043" s="2" t="n"/>
    </row>
    <row r="5044">
      <c r="A5044" s="2" t="n">
        <v>5043</v>
      </c>
      <c r="B5044" s="2" t="inlineStr">
        <is>
          <t>короткая</t>
        </is>
      </c>
      <c r="C5044" s="2" t="n">
        <v>7390</v>
      </c>
      <c r="D5044" s="3" t="inlineStr">
        <is>
          <t>Время жёлтой травы</t>
        </is>
      </c>
      <c r="E5044" s="2" t="n">
        <v>1991</v>
      </c>
      <c r="F5044" s="2" t="inlineStr">
        <is>
          <t>телефильм</t>
        </is>
      </c>
      <c r="G5044" s="2" t="inlineStr">
        <is>
          <t>Союзтелефильм, Таджикфильм</t>
        </is>
      </c>
      <c r="H5044" s="2" t="n">
        <v>286</v>
      </c>
      <c r="I5044" s="2" t="inlineStr"/>
      <c r="J5044" s="2" t="inlineStr"/>
      <c r="K5044" s="3" t="inlineStr">
        <is>
          <t>Люди горного селения устали от трудностей, и кто-то, может быть Бог, посылает им во спасение последнее испытание. Недалеко от кишлака они находят мертвого человека... Через это чрезвычайное для этих мест происшествие и различное к нему отношение раскрываются характеры, судьбы и обычаи.</t>
        </is>
      </c>
      <c r="L5044" s="2" t="inlineStr">
        <is>
          <t>Кино_СССР сводный каталог.xlsx: список телефильмов</t>
        </is>
      </c>
      <c r="M5044" s="2">
        <f>HYPERLINK("https://ru.wikipedia.org/w/index.php?search=%D0%92%D1%80%D0%B5%D0%BC%D1%8F%20%D0%B6%D1%91%D0%BB%D1%82%D0%BE%D0%B9%20%D1%82%D1%80%D0%B0%D0%B2%D1%8B%201991%20%D1%84%D0%B8%D0%BB%D1%8C%D0%BC","искать")</f>
        <v/>
      </c>
      <c r="N5044" s="3" t="n"/>
      <c r="O5044" s="2" t="n"/>
      <c r="P5044" s="2" t="n"/>
    </row>
    <row r="5045">
      <c r="A5045" s="2" t="n">
        <v>5044</v>
      </c>
      <c r="B5045" s="2" t="inlineStr">
        <is>
          <t>короткая</t>
        </is>
      </c>
      <c r="C5045" s="2" t="n">
        <v>8087</v>
      </c>
      <c r="D5045" s="3" t="inlineStr">
        <is>
          <t>Первое лето</t>
        </is>
      </c>
      <c r="E5045" s="2" t="n">
        <v>1974</v>
      </c>
      <c r="F5045" s="2" t="inlineStr">
        <is>
          <t>телефильм</t>
        </is>
      </c>
      <c r="G5045" s="2" t="n"/>
      <c r="H5045" s="2" t="n">
        <v>286</v>
      </c>
      <c r="I5045" s="2" t="inlineStr"/>
      <c r="J5045" s="2" t="inlineStr"/>
      <c r="K5045" s="3" t="inlineStr">
        <is>
          <t>Выпускник школы 17-летний Гайтис перед призывом на срочную службу в армию решает летом «подкачать мышцы» на стройке и приезжает в отдалённый посёлок. Первое взрослое лето принесёт возмужание в маленьком мужском коллективе строителей и первую любовь — белокурая Инга захватит его сердце.</t>
        </is>
      </c>
      <c r="L5045" s="2" t="inlineStr">
        <is>
          <t>https://ru.wikipedia.org/w/index.php?title=%D0%9F%D0%B5%D1%80%D0%B2%D0%BE%D0%B5_%D0%BB%D0%B5%D1%82%D0%BE_%28%D1%84%D0%B8%D0%BB%D1%8C%D0%BC%2C_1974%29&amp;oldid=154702300</t>
        </is>
      </c>
      <c r="M5045" s="2">
        <f>HYPERLINK("https://ru.wikipedia.org/w/index.php?search=%D0%9F%D0%B5%D1%80%D0%B2%D0%BE%D0%B5%20%D0%BB%D0%B5%D1%82%D0%BE%201974%20%D1%84%D0%B8%D0%BB%D1%8C%D0%BC","искать")</f>
        <v/>
      </c>
      <c r="N5045" s="3" t="n"/>
      <c r="O5045" s="2" t="n"/>
      <c r="P5045" s="2" t="n"/>
    </row>
    <row r="5046">
      <c r="A5046" s="2" t="n">
        <v>5045</v>
      </c>
      <c r="B5046" s="2" t="inlineStr">
        <is>
          <t>короткая</t>
        </is>
      </c>
      <c r="C5046" s="2" t="n">
        <v>8410</v>
      </c>
      <c r="D5046" s="3" t="inlineStr">
        <is>
          <t>Странный отпуск</t>
        </is>
      </c>
      <c r="E5046" s="2" t="n">
        <v>1980</v>
      </c>
      <c r="F5046" s="2" t="inlineStr">
        <is>
          <t>телефильм</t>
        </is>
      </c>
      <c r="G5046" s="2" t="inlineStr">
        <is>
          <t>к/с им. Довженко</t>
        </is>
      </c>
      <c r="H5046" s="2" t="n">
        <v>286</v>
      </c>
      <c r="I5046" s="2" t="inlineStr"/>
      <c r="J5046" s="2" t="inlineStr"/>
      <c r="K5046" s="3" t="inlineStr">
        <is>
          <t>Телесериал. Сюжет картины - о проблемах, с которыми сталкиваются новоселы. Входя в новые квартиры, они начинают ремонтировать все, до чего не дошли руки строителей. В одном из таких домов по собственному желанию проведет свой странный отпуск прораб Алексеев, устраняя строительный брак.</t>
        </is>
      </c>
      <c r="L5046" s="2" t="inlineStr">
        <is>
          <t>Кино_СССР сводный каталог.xlsx: список телефильмов</t>
        </is>
      </c>
      <c r="M5046" s="2">
        <f>HYPERLINK("https://ru.wikipedia.org/w/index.php?search=%D0%A1%D1%82%D1%80%D0%B0%D0%BD%D0%BD%D1%8B%D0%B9%20%D0%BE%D1%82%D0%BF%D1%83%D1%81%D0%BA%201980%20%D1%84%D0%B8%D0%BB%D1%8C%D0%BC","искать")</f>
        <v/>
      </c>
      <c r="N5046" s="3" t="n"/>
      <c r="O5046" s="2" t="n"/>
      <c r="P5046" s="2" t="n"/>
    </row>
    <row r="5047">
      <c r="A5047" s="2" t="n">
        <v>5046</v>
      </c>
      <c r="B5047" s="2" t="inlineStr">
        <is>
          <t>короткая</t>
        </is>
      </c>
      <c r="C5047" s="2" t="n">
        <v>9375</v>
      </c>
      <c r="D5047" s="3" t="inlineStr">
        <is>
          <t>Захочу - полюблю</t>
        </is>
      </c>
      <c r="E5047" s="2" t="n">
        <v>1990</v>
      </c>
      <c r="F5047" s="2" t="inlineStr">
        <is>
          <t>кинофильм</t>
        </is>
      </c>
      <c r="G5047" s="2" t="n"/>
      <c r="H5047" s="2" t="n">
        <v>286</v>
      </c>
      <c r="I5047" s="2" t="inlineStr"/>
      <c r="J5047" s="2" t="inlineStr"/>
      <c r="K5047" s="3" t="inlineStr">
        <is>
          <t>Молодая женщина Наталья Полонская страдает в несчастливом браке. Она не любит богатого и пожилого мужа, а замуж вышла лишь по расчету. Судьба словно освобождает Наталью, подстраивая несчастный случай, в котором муж погибает. Следом за ним кончает жизнь самоубийством и любовник женщины.</t>
        </is>
      </c>
      <c r="L5047" s="2" t="inlineStr">
        <is>
          <t>https://ru.wikipedia.org/w/index.php?title=%D0%97%D0%B0%D1%85%D0%BE%D1%87%D1%83_%E2%80%94_%D0%BF%D0%BE%D0%BB%D1%8E%D0%B1%D0%BB%D1%8E&amp;oldid=155075199</t>
        </is>
      </c>
      <c r="M5047" s="2">
        <f>HYPERLINK("https://ru.wikipedia.org/w/index.php?search=%D0%97%D0%B0%D1%85%D0%BE%D1%87%D1%83%20-%20%D0%BF%D0%BE%D0%BB%D1%8E%D0%B1%D0%BB%D1%8E%201990%20%D1%84%D0%B8%D0%BB%D1%8C%D0%BC","искать")</f>
        <v/>
      </c>
      <c r="N5047" s="3" t="n"/>
      <c r="O5047" s="2" t="n"/>
      <c r="P5047" s="2" t="n"/>
    </row>
    <row r="5048">
      <c r="A5048" s="2" t="n">
        <v>5047</v>
      </c>
      <c r="B5048" s="2" t="inlineStr">
        <is>
          <t>короткая</t>
        </is>
      </c>
      <c r="C5048" s="2" t="n">
        <v>9673</v>
      </c>
      <c r="D5048" s="3" t="inlineStr">
        <is>
          <t>Степные зори</t>
        </is>
      </c>
      <c r="E5048" s="2" t="n">
        <v>1953</v>
      </c>
      <c r="F5048" s="2" t="inlineStr">
        <is>
          <t>кинофильм</t>
        </is>
      </c>
      <c r="G5048" s="2" t="n"/>
      <c r="H5048" s="2" t="n">
        <v>286</v>
      </c>
      <c r="I5048" s="2" t="inlineStr"/>
      <c r="J5048" s="2" t="inlineStr"/>
      <c r="K5048" s="3" t="inlineStr">
        <is>
          <t>Молодежный фильм. По одноименной повести Бориса Бедного. Из жизни передовой комсомольской полеводческой бригады, в которую по распределению приезжает девушка-молодой специалист. Фильм сделан по канонам «теории бесконфликтности» и борьбы хорошего с лучшим. Картина на экраны не выпущена.</t>
        </is>
      </c>
      <c r="L5048" s="2" t="inlineStr">
        <is>
          <t>Кино_СССР сводный каталог.xlsx: список фильмов (доп.)</t>
        </is>
      </c>
      <c r="M5048" s="2">
        <f>HYPERLINK("https://ru.wikipedia.org/w/index.php?search=%D0%A1%D1%82%D0%B5%D0%BF%D0%BD%D1%8B%D0%B5%20%D0%B7%D0%BE%D1%80%D0%B8%201953%20%D1%84%D0%B8%D0%BB%D1%8C%D0%BC","искать")</f>
        <v/>
      </c>
      <c r="N5048" s="3" t="n"/>
      <c r="O5048" s="2" t="n"/>
      <c r="P5048" s="2" t="n"/>
    </row>
    <row r="5049">
      <c r="A5049" s="2" t="n">
        <v>5048</v>
      </c>
      <c r="B5049" s="2" t="inlineStr">
        <is>
          <t>короткая</t>
        </is>
      </c>
      <c r="C5049" s="2" t="n">
        <v>9940</v>
      </c>
      <c r="D5049" s="3" t="inlineStr">
        <is>
          <t>Синюшкин колодец</t>
        </is>
      </c>
      <c r="E5049" s="2" t="n">
        <v>1978</v>
      </c>
      <c r="F5049" s="2" t="inlineStr">
        <is>
          <t>телефильм</t>
        </is>
      </c>
      <c r="G5049" s="2" t="inlineStr">
        <is>
          <t>Свердловское телевидение</t>
        </is>
      </c>
      <c r="H5049" s="2" t="n">
        <v>286</v>
      </c>
      <c r="I5049" s="2" t="inlineStr"/>
      <c r="J5049" s="2" t="inlineStr"/>
      <c r="K5049" s="3" t="inlineStr">
        <is>
          <t>По одноимённому сказу П.П.Бажова. Фильм снят к 100-летию со дня рождения писателя.
Илюха-старатель мечтает найти свое счастье. В результате он выясняет, что Оно не в деньгах, а в доброте и любви.
В фильме снималась танцевальная группа Уральского народного хора (балетмейстер В.Миронов).</t>
        </is>
      </c>
      <c r="L5049" s="2" t="inlineStr">
        <is>
          <t>https://www.kino-teatr.ru/short/movie/sov/16963/annot/</t>
        </is>
      </c>
      <c r="M5049" s="2">
        <f>HYPERLINK("https://ru.wikipedia.org/w/index.php?search=%D0%A1%D0%B8%D0%BD%D1%8E%D1%88%D0%BA%D0%B8%D0%BD%20%D0%BA%D0%BE%D0%BB%D0%BE%D0%B4%D0%B5%D1%86%201978%20%D1%84%D0%B8%D0%BB%D1%8C%D0%BC","искать")</f>
        <v/>
      </c>
      <c r="N5049" s="3" t="n"/>
      <c r="O5049" s="2" t="n"/>
      <c r="P5049" s="2" t="n"/>
    </row>
    <row r="5050">
      <c r="A5050" s="2" t="n">
        <v>5049</v>
      </c>
      <c r="B5050" s="2" t="inlineStr">
        <is>
          <t>короткая</t>
        </is>
      </c>
      <c r="C5050" s="2" t="n">
        <v>10301</v>
      </c>
      <c r="D5050" s="3" t="inlineStr">
        <is>
          <t>Где-то в Москве</t>
        </is>
      </c>
      <c r="E5050" s="2" t="n">
        <v>1969</v>
      </c>
      <c r="F5050" s="2" t="inlineStr">
        <is>
          <t>фильм-спектакль</t>
        </is>
      </c>
      <c r="G5050" s="2" t="inlineStr">
        <is>
          <t>Центральное телевидение</t>
        </is>
      </c>
      <c r="H5050" s="2" t="n">
        <v>286</v>
      </c>
      <c r="I5050" s="2" t="inlineStr"/>
      <c r="J5050" s="2" t="inlineStr"/>
      <c r="K5050" s="3" t="inlineStr">
        <is>
          <t>По пьесе В.Масса и М. Червинского «Где-то в Москве».
Музыкальный фильм-спектакль.
Лейтенант возвращается с фронта в столицу и пытается разыскать медсестру, которая на фронте спасла ему жизнь. Во время поисков молодой герой встречается с разными персонажами, очерченными с мягким юмором.</t>
        </is>
      </c>
      <c r="L5050" s="2" t="inlineStr">
        <is>
          <t>https://www.kino-teatr.ru/teatr/movie/136801/annot/</t>
        </is>
      </c>
      <c r="M5050" s="2">
        <f>HYPERLINK("https://ru.wikipedia.org/w/index.php?search=%D0%93%D0%B4%D0%B5-%D1%82%D0%BE%20%D0%B2%20%D0%9C%D0%BE%D1%81%D0%BA%D0%B2%D0%B5%201969%20%D1%84%D0%B8%D0%BB%D1%8C%D0%BC","искать")</f>
        <v/>
      </c>
      <c r="N5050" s="3" t="n"/>
      <c r="O5050" s="2" t="n"/>
      <c r="P5050" s="2" t="n"/>
    </row>
    <row r="5051">
      <c r="A5051" s="2" t="n">
        <v>5050</v>
      </c>
      <c r="B5051" s="2" t="inlineStr">
        <is>
          <t>короткая</t>
        </is>
      </c>
      <c r="C5051" s="2" t="n">
        <v>11393</v>
      </c>
      <c r="D5051" s="3" t="inlineStr">
        <is>
          <t>Фердинанд великолепный</t>
        </is>
      </c>
      <c r="E5051" s="2" t="n">
        <v>1976</v>
      </c>
      <c r="F5051" s="2" t="inlineStr">
        <is>
          <t>фильм-опера/балет</t>
        </is>
      </c>
      <c r="G5051" s="2" t="n"/>
      <c r="H5051" s="2" t="n">
        <v>286</v>
      </c>
      <c r="I5051" s="2" t="inlineStr"/>
      <c r="J5051" s="2" t="inlineStr"/>
      <c r="K5051" s="3" t="inlineStr">
        <is>
          <t>Фильм-опера. По мотивам повести Людвига Ежи Керна. Молодой человек уходит на свидание, оставляя дома “за хозяина” своего пса Фердинанда. Пес идет в спальню и садится читать газету, радуясь, что он, наконец-то, сам себе господин. В этот момент в окне столовой появляются двое грабителей.</t>
        </is>
      </c>
      <c r="L5051" s="2" t="inlineStr">
        <is>
          <t>Кино_СССР телефильмы и пропуски включить в базу.xlsx</t>
        </is>
      </c>
      <c r="M5051" s="2">
        <f>HYPERLINK("https://ru.wikipedia.org/w/index.php?search=%D0%A4%D0%B5%D1%80%D0%B4%D0%B8%D0%BD%D0%B0%D0%BD%D0%B4%20%D0%B2%D0%B5%D0%BB%D0%B8%D0%BA%D0%BE%D0%BB%D0%B5%D0%BF%D0%BD%D1%8B%D0%B9%201976%20%D1%84%D0%B8%D0%BB%D1%8C%D0%BC","искать")</f>
        <v/>
      </c>
      <c r="N5051" s="3" t="n"/>
      <c r="O5051" s="2" t="n"/>
      <c r="P5051" s="2" t="n"/>
    </row>
    <row r="5052">
      <c r="A5052" s="2" t="n">
        <v>5051</v>
      </c>
      <c r="B5052" s="2" t="inlineStr">
        <is>
          <t>короткая</t>
        </is>
      </c>
      <c r="C5052" s="2" t="n">
        <v>8108</v>
      </c>
      <c r="D5052" s="3" t="inlineStr">
        <is>
          <t>Петля</t>
        </is>
      </c>
      <c r="E5052" s="2" t="n">
        <v>1983</v>
      </c>
      <c r="F5052" s="2" t="inlineStr">
        <is>
          <t>телефильм</t>
        </is>
      </c>
      <c r="G5052" s="2" t="inlineStr">
        <is>
          <t>к/с им. Довженко</t>
        </is>
      </c>
      <c r="H5052" s="2" t="n">
        <v>287</v>
      </c>
      <c r="I5052" s="2" t="inlineStr"/>
      <c r="J5052" s="2" t="inlineStr"/>
      <c r="K5052" s="3" t="inlineStr">
        <is>
          <t>В строительном карьере найден труп молодой девушки. Погибшая - секретарь начальника главка Меншутина Вера Топилина. Инспекторы Московского Уголовного розыска Васильев и Лосев расследуют причины гибели девушки. В итоге следствие выводит оперативников на крупных дельцов теневой экономики.</t>
        </is>
      </c>
      <c r="L5052" s="2" t="inlineStr">
        <is>
          <t>Кино_СССР сводный каталог.xlsx: список телефильмов</t>
        </is>
      </c>
      <c r="M5052" s="2">
        <f>HYPERLINK("https://ru.wikipedia.org/w/index.php?search=%D0%9F%D0%B5%D1%82%D0%BB%D1%8F%201983%20%D1%84%D0%B8%D0%BB%D1%8C%D0%BC","искать")</f>
        <v/>
      </c>
      <c r="N5052" s="3" t="n"/>
      <c r="O5052" s="2" t="n"/>
      <c r="P5052" s="2" t="n"/>
    </row>
    <row r="5053">
      <c r="A5053" s="2" t="n">
        <v>5052</v>
      </c>
      <c r="B5053" s="2" t="inlineStr">
        <is>
          <t>короткая</t>
        </is>
      </c>
      <c r="C5053" s="2" t="n">
        <v>8376</v>
      </c>
      <c r="D5053" s="3" t="inlineStr">
        <is>
          <t>Созвездие любви</t>
        </is>
      </c>
      <c r="E5053" s="2" t="n">
        <v>1985</v>
      </c>
      <c r="F5053" s="2" t="inlineStr">
        <is>
          <t>телефильм</t>
        </is>
      </c>
      <c r="G5053" s="2" t="n"/>
      <c r="H5053" s="2" t="n">
        <v>287</v>
      </c>
      <c r="I5053" s="2" t="inlineStr"/>
      <c r="J5053" s="2" t="inlineStr"/>
      <c r="K5053" s="3" t="inlineStr">
        <is>
          <t>Фильм-сказка для взрослых создан на основе узбекского фольклора. Люди Бека похищают невесту Фаруха. Он отправляется на поиски, тем самым нарушая предостережения доброй Феи. Фарух и его друг Шут преодолевают все трудности на пути к любви, понимая силу дружбы, справедливости, добра и зла.</t>
        </is>
      </c>
      <c r="L5053" s="2" t="inlineStr">
        <is>
          <t>Кино_СССР сводный каталог.xlsx: список телефильмов</t>
        </is>
      </c>
      <c r="M5053" s="2">
        <f>HYPERLINK("https://ru.wikipedia.org/w/index.php?search=%D0%A1%D0%BE%D0%B7%D0%B2%D0%B5%D0%B7%D0%B4%D0%B8%D0%B5%20%D0%BB%D1%8E%D0%B1%D0%B2%D0%B8%201985%20%D1%84%D0%B8%D0%BB%D1%8C%D0%BC","искать")</f>
        <v/>
      </c>
      <c r="N5053" s="3" t="n"/>
      <c r="O5053" s="2" t="n"/>
      <c r="P5053" s="2" t="n"/>
    </row>
    <row r="5054">
      <c r="A5054" s="2" t="n">
        <v>5053</v>
      </c>
      <c r="B5054" s="2" t="inlineStr">
        <is>
          <t>короткая</t>
        </is>
      </c>
      <c r="C5054" s="2" t="n">
        <v>9385</v>
      </c>
      <c r="D5054" s="3" t="inlineStr">
        <is>
          <t>И повторится всё…</t>
        </is>
      </c>
      <c r="E5054" s="2" t="n">
        <v>1989</v>
      </c>
      <c r="F5054" s="2" t="inlineStr">
        <is>
          <t>кинофильм</t>
        </is>
      </c>
      <c r="G5054" s="2" t="n"/>
      <c r="H5054" s="2" t="n">
        <v>287</v>
      </c>
      <c r="I5054" s="2" t="inlineStr"/>
      <c r="J5054" s="2" t="inlineStr"/>
      <c r="K5054" s="3" t="inlineStr">
        <is>
          <t>Եվ կրկնվելու է ամեն ինչ… По роману В.Григоряна "Дом на Пятой улице". Адвокат Мартин Саакян, не утруждая объяснениями жену, однажды - после очередной ссоры - прибывает в аэропорт с намерением уехать на какое-то время из Ленинграда и, может быть, посетить те места, где прошло его детство.</t>
        </is>
      </c>
      <c r="L5054" s="2" t="inlineStr">
        <is>
          <t>Кино_СССР сводный каталог.xlsx: список фильмов (доп.)</t>
        </is>
      </c>
      <c r="M5054" s="2">
        <f>HYPERLINK("https://ru.wikipedia.org/w/index.php?search=%D0%98%20%D0%BF%D0%BE%D0%B2%D1%82%D0%BE%D1%80%D0%B8%D1%82%D1%81%D1%8F%20%D0%B2%D1%81%D1%91%E2%80%A6%201989%20%D1%84%D0%B8%D0%BB%D1%8C%D0%BC","искать")</f>
        <v/>
      </c>
      <c r="N5054" s="3" t="n"/>
      <c r="O5054" s="2" t="n"/>
      <c r="P5054" s="2" t="n"/>
    </row>
    <row r="5055">
      <c r="A5055" s="2" t="n">
        <v>5054</v>
      </c>
      <c r="B5055" s="2" t="inlineStr">
        <is>
          <t>короткая</t>
        </is>
      </c>
      <c r="C5055" s="2" t="n">
        <v>9479</v>
      </c>
      <c r="D5055" s="3" t="inlineStr">
        <is>
          <t>Моя морячка</t>
        </is>
      </c>
      <c r="E5055" s="2" t="n">
        <v>1990</v>
      </c>
      <c r="F5055" s="2" t="inlineStr">
        <is>
          <t>кинофильм</t>
        </is>
      </c>
      <c r="G5055" s="2" t="n"/>
      <c r="H5055" s="2" t="n">
        <v>287</v>
      </c>
      <c r="I5055" s="2" t="inlineStr"/>
      <c r="J5055" s="2" t="inlineStr"/>
      <c r="K5055" s="3" t="inlineStr">
        <is>
          <t>Две наудавшиеся актрисы Люся и Таня - массовики-затейники в курортном городке. Каждый раз на проводимом ими конкурсе художественной самодеятельности некто Гудков поет песню "Моя морячка". Оказалось, что Гудков - режиссер, ставящий мюзикл "Моя морячка". На главную роль он приглашает Люсю</t>
        </is>
      </c>
      <c r="L5055" s="2" t="inlineStr">
        <is>
          <t>https://gosfilmofond.ru/films/249099/</t>
        </is>
      </c>
      <c r="M5055" s="2">
        <f>HYPERLINK("https://ru.wikipedia.org/w/index.php?search=%D0%9C%D0%BE%D1%8F%20%D0%BC%D0%BE%D1%80%D1%8F%D1%87%D0%BA%D0%B0%201990%20%D1%84%D0%B8%D0%BB%D1%8C%D0%BC","искать")</f>
        <v/>
      </c>
      <c r="N5055" s="3" t="n"/>
      <c r="O5055" s="2" t="n"/>
      <c r="P5055" s="2" t="n"/>
    </row>
    <row r="5056">
      <c r="A5056" s="2" t="n">
        <v>5055</v>
      </c>
      <c r="B5056" s="2" t="inlineStr">
        <is>
          <t>короткая</t>
        </is>
      </c>
      <c r="C5056" s="2" t="n">
        <v>9785</v>
      </c>
      <c r="D5056" s="3" t="inlineStr">
        <is>
          <t>Яков, сын Сталина</t>
        </is>
      </c>
      <c r="E5056" s="2" t="n">
        <v>1990</v>
      </c>
      <c r="F5056" s="2" t="inlineStr">
        <is>
          <t>кинофильм</t>
        </is>
      </c>
      <c r="G5056" s="2" t="n"/>
      <c r="H5056" s="2" t="n">
        <v>287</v>
      </c>
      <c r="I5056" s="2" t="inlineStr"/>
      <c r="J5056" s="2" t="inlineStr"/>
      <c r="K5056" s="3" t="inlineStr">
        <is>
          <t>Главный герой фильма — Яков Джугашвили, старший сын Сталина. В фильме показана драма и трагедия его жизни, когда во время Великой Отечественной войны в звании старшего лейтенанта РККА он попадает в плен к немцам, затем находится в лагере для военнопленных, где в конце концов и погибает.</t>
        </is>
      </c>
      <c r="L5056" s="2" t="inlineStr">
        <is>
          <t>https://ru.wikipedia.org/w/index.php?title=%D0%AF%D0%BA%D0%BE%D0%B2%2C_%D1%81%D1%8B%D0%BD_%D0%A1%D1%82%D0%B0%D0%BB%D0%B8%D0%BD%D0%B0&amp;oldid=142688764</t>
        </is>
      </c>
      <c r="M5056" s="2">
        <f>HYPERLINK("https://ru.wikipedia.org/w/index.php?search=%D0%AF%D0%BA%D0%BE%D0%B2%2C%20%D1%81%D1%8B%D0%BD%20%D0%A1%D1%82%D0%B0%D0%BB%D0%B8%D0%BD%D0%B0%201990%20%D1%84%D0%B8%D0%BB%D1%8C%D0%BC","искать")</f>
        <v/>
      </c>
      <c r="N5056" s="3" t="n"/>
      <c r="O5056" s="2" t="n"/>
      <c r="P5056" s="2" t="n"/>
    </row>
    <row r="5057">
      <c r="A5057" s="2" t="n">
        <v>5056</v>
      </c>
      <c r="B5057" s="2" t="inlineStr">
        <is>
          <t>короткая</t>
        </is>
      </c>
      <c r="C5057" s="2" t="n">
        <v>12839</v>
      </c>
      <c r="D5057" s="3" t="inlineStr">
        <is>
          <t>Распятие дьявола</t>
        </is>
      </c>
      <c r="E5057" s="2" t="n">
        <v>1967</v>
      </c>
      <c r="F5057" s="2" t="inlineStr">
        <is>
          <t>мультфильм</t>
        </is>
      </c>
      <c r="G5057" s="2" t="inlineStr">
        <is>
          <t>ГРУЗИЯ-ФИЛЬМ - АО</t>
        </is>
      </c>
      <c r="H5057" s="2" t="n">
        <v>288</v>
      </c>
      <c r="I5057" s="2" t="inlineStr"/>
      <c r="J5057" s="2" t="inlineStr"/>
      <c r="K5057" s="3" t="inlineStr">
        <is>
          <t>Не дает покоя дьяволу открытый гением человека атом. Он стремится использовать атомную энергию для разжигания войны между народами. С этой целью дьявол ищет поддержки у Бога, но тот, пытается использовать дьявола в своих не менее темных целях. Но в конечном счете побеждает гений человека</t>
        </is>
      </c>
      <c r="L5057" s="2" t="inlineStr">
        <is>
          <t>https://gosfilmofond.ru/films/254286/</t>
        </is>
      </c>
      <c r="M5057" s="2">
        <f>HYPERLINK("https://ru.wikipedia.org/w/index.php?search=%D0%A0%D0%B0%D1%81%D0%BF%D1%8F%D1%82%D0%B8%D0%B5%20%D0%B4%D1%8C%D1%8F%D0%B2%D0%BE%D0%BB%D0%B0%201967%20%D1%84%D0%B8%D0%BB%D1%8C%D0%BC","искать")</f>
        <v/>
      </c>
      <c r="N5057" s="3" t="n"/>
      <c r="O5057" s="2" t="n"/>
      <c r="P5057" s="2" t="n"/>
    </row>
    <row r="5058">
      <c r="A5058" s="2" t="n">
        <v>5057</v>
      </c>
      <c r="B5058" s="2" t="inlineStr">
        <is>
          <t>короткая</t>
        </is>
      </c>
      <c r="C5058" s="2" t="n">
        <v>14245</v>
      </c>
      <c r="D5058" s="3" t="inlineStr">
        <is>
          <t>Несс и Несси</t>
        </is>
      </c>
      <c r="E5058" s="2" t="n">
        <v>1991</v>
      </c>
      <c r="F5058" s="2" t="inlineStr">
        <is>
          <t>мультфильм</t>
        </is>
      </c>
      <c r="G5058" s="2" t="inlineStr">
        <is>
          <t>ДАУКА (DAUKA)</t>
        </is>
      </c>
      <c r="H5058" s="2" t="n">
        <v>288</v>
      </c>
      <c r="I5058" s="2" t="inlineStr"/>
      <c r="J5058" s="2" t="inlineStr"/>
      <c r="K5058" s="3" t="inlineStr">
        <is>
          <t>По мотивам сказки латышского писателя Вика.Влюбленные обитатели подводного мира Несс и Несси однажды поссорились и Природа наказала их за это, разделив скалой.С тех пор Несси обитает в озере Лох-Нес, а про Неса нет известий. Подводная стая ищет Неса и находит его в озере Инессис в Латвии</t>
        </is>
      </c>
      <c r="L5058" s="2" t="inlineStr">
        <is>
          <t>https://gosfilmofond.ru/films/255836/</t>
        </is>
      </c>
      <c r="M5058" s="2">
        <f>HYPERLINK("https://ru.wikipedia.org/w/index.php?search=%D0%9D%D0%B5%D1%81%D1%81%20%D0%B8%20%D0%9D%D0%B5%D1%81%D1%81%D0%B8%201991%20%D1%84%D0%B8%D0%BB%D1%8C%D0%BC","искать")</f>
        <v/>
      </c>
      <c r="N5058" s="3" t="n"/>
      <c r="O5058" s="2" t="n"/>
      <c r="P5058" s="2" t="n"/>
    </row>
    <row r="5059">
      <c r="A5059" s="2" t="n">
        <v>5058</v>
      </c>
      <c r="B5059" s="2" t="inlineStr">
        <is>
          <t>короткая</t>
        </is>
      </c>
      <c r="C5059" s="2" t="n">
        <v>7181</v>
      </c>
      <c r="D5059" s="3" t="inlineStr">
        <is>
          <t>13 поручений</t>
        </is>
      </c>
      <c r="E5059" s="2" t="n">
        <v>1969</v>
      </c>
      <c r="F5059" s="2" t="inlineStr">
        <is>
          <t>телефильм</t>
        </is>
      </c>
      <c r="G5059" s="2" t="inlineStr">
        <is>
          <t>Одесская к/с</t>
        </is>
      </c>
      <c r="H5059" s="2" t="n">
        <v>289</v>
      </c>
      <c r="I5059" s="2" t="inlineStr"/>
      <c r="J5059" s="2" t="inlineStr"/>
      <c r="K5059" s="3" t="inlineStr">
        <is>
          <t>Телефильм. Снабженец Чувилихин (Николай Трофимов) отправляется в Москву, чтобы выполнить поручения сослуживцев. В столичной сутолоке он теряет список, где было записано название нот, которые нужно купить для жены директора. Анатолий Степанович мечется по городу, пытаясь вспомнить мелодию.</t>
        </is>
      </c>
      <c r="L5059" s="2" t="inlineStr">
        <is>
          <t>Кино_СССР сводный каталог.xlsx: список телефильмов</t>
        </is>
      </c>
      <c r="M5059" s="2">
        <f>HYPERLINK("https://ru.wikipedia.org/w/index.php?search=13%20%D0%BF%D0%BE%D1%80%D1%83%D1%87%D0%B5%D0%BD%D0%B8%D0%B9%201969%20%D1%84%D0%B8%D0%BB%D1%8C%D0%BC","искать")</f>
        <v/>
      </c>
      <c r="N5059" s="3" t="n"/>
      <c r="O5059" s="2" t="n"/>
      <c r="P5059" s="2" t="n"/>
    </row>
    <row r="5060">
      <c r="A5060" s="2" t="n">
        <v>5059</v>
      </c>
      <c r="B5060" s="2" t="inlineStr">
        <is>
          <t>короткая</t>
        </is>
      </c>
      <c r="C5060" s="2" t="n">
        <v>7320</v>
      </c>
      <c r="D5060" s="3" t="inlineStr">
        <is>
          <t>Верить и знать</t>
        </is>
      </c>
      <c r="E5060" s="2" t="n">
        <v>1986</v>
      </c>
      <c r="F5060" s="2" t="inlineStr">
        <is>
          <t>телефильм</t>
        </is>
      </c>
      <c r="G5060" s="2" t="n"/>
      <c r="H5060" s="2" t="n">
        <v>289</v>
      </c>
      <c r="I5060" s="2" t="inlineStr"/>
      <c r="J5060" s="2" t="inlineStr"/>
      <c r="K5060" s="3" t="inlineStr">
        <is>
          <t>В центре фильма - образ колхозного бригадира Асана. Принципиальный человек, он наживает себе множество врагов в лице лодырей, пьяниц, нечестных людей. В результате наговоров Асана освобождают от должности, но это не сломило его. Он продолжает действовать так, как ему подсказывает совесть.</t>
        </is>
      </c>
      <c r="L5060" s="2" t="inlineStr">
        <is>
          <t>Кино_СССР сводный каталог.xlsx: список телефильмов</t>
        </is>
      </c>
      <c r="M5060" s="2">
        <f>HYPERLINK("https://ru.wikipedia.org/w/index.php?search=%D0%92%D0%B5%D1%80%D0%B8%D1%82%D1%8C%20%D0%B8%20%D0%B7%D0%BD%D0%B0%D1%82%D1%8C%201986%20%D1%84%D0%B8%D0%BB%D1%8C%D0%BC","искать")</f>
        <v/>
      </c>
      <c r="N5060" s="3" t="n"/>
      <c r="O5060" s="2" t="n"/>
      <c r="P5060" s="2" t="n"/>
    </row>
    <row r="5061">
      <c r="A5061" s="2" t="n">
        <v>5060</v>
      </c>
      <c r="B5061" s="2" t="inlineStr">
        <is>
          <t>короткая</t>
        </is>
      </c>
      <c r="C5061" s="2" t="n">
        <v>7442</v>
      </c>
      <c r="D5061" s="3" t="inlineStr">
        <is>
          <t>Голубая роза</t>
        </is>
      </c>
      <c r="E5061" s="2" t="n">
        <v>1988</v>
      </c>
      <c r="F5061" s="2" t="inlineStr">
        <is>
          <t>телефильм</t>
        </is>
      </c>
      <c r="G5061" s="2" t="inlineStr">
        <is>
          <t>студия «Укртелефильм»</t>
        </is>
      </c>
      <c r="H5061" s="2" t="n">
        <v>289</v>
      </c>
      <c r="I5061" s="2" t="inlineStr"/>
      <c r="J5061" s="2" t="inlineStr"/>
      <c r="K5061" s="3" t="inlineStr">
        <is>
          <t>По мотивам одноименной пьес классика украинской литературы Леси Украинки. Трагическая история любви Любы Гощинской к Оресту Груичу. Героиня фильма разрывается между всепоглощаемым чувстом и патриархальным обычаями, которые запрещают женщине самовыражаться, свободно проявлять свои желания.</t>
        </is>
      </c>
      <c r="L5061" s="2" t="inlineStr">
        <is>
          <t>Кино_СССР сводный каталог.xlsx: список телефильмов</t>
        </is>
      </c>
      <c r="M5061" s="2">
        <f>HYPERLINK("https://ru.wikipedia.org/w/index.php?search=%D0%93%D0%BE%D0%BB%D1%83%D0%B1%D0%B0%D1%8F%20%D1%80%D0%BE%D0%B7%D0%B0%201988%20%D1%84%D0%B8%D0%BB%D1%8C%D0%BC","искать")</f>
        <v/>
      </c>
      <c r="N5061" s="3" t="n"/>
      <c r="O5061" s="2" t="n"/>
      <c r="P5061" s="2" t="n"/>
    </row>
    <row r="5062">
      <c r="A5062" s="2" t="n">
        <v>5061</v>
      </c>
      <c r="B5062" s="2" t="inlineStr">
        <is>
          <t>короткая</t>
        </is>
      </c>
      <c r="C5062" s="2" t="n">
        <v>7450</v>
      </c>
      <c r="D5062" s="3" t="inlineStr">
        <is>
          <t>Гори, гори ясно...</t>
        </is>
      </c>
      <c r="E5062" s="2" t="n">
        <v>1983</v>
      </c>
      <c r="F5062" s="2" t="inlineStr">
        <is>
          <t>телефильм</t>
        </is>
      </c>
      <c r="G5062" s="2" t="n"/>
      <c r="H5062" s="2" t="n">
        <v>289</v>
      </c>
      <c r="I5062" s="2" t="inlineStr"/>
      <c r="J5062" s="2" t="inlineStr"/>
      <c r="K5062" s="3" t="inlineStr">
        <is>
          <t>Телефильм по мотивам одноименной повести Анатолия Кривоносова. Слесарю-ремонтнику спичечной фабрики Парфену Локтионову предлагают стать сменным мастером. Новая должность, с одной стороны, связана с повышенной ответственностью, а с другой - с меньшим заработком (оклад на "десятку" меньше).</t>
        </is>
      </c>
      <c r="L5062" s="2" t="inlineStr">
        <is>
          <t>Кино_СССР сводный каталог.xlsx: список телефильмов</t>
        </is>
      </c>
      <c r="M5062" s="2">
        <f>HYPERLINK("https://ru.wikipedia.org/w/index.php?search=%D0%93%D0%BE%D1%80%D0%B8%2C%20%D0%B3%D0%BE%D1%80%D0%B8%20%D1%8F%D1%81%D0%BD%D0%BE...%201983%20%D1%84%D0%B8%D0%BB%D1%8C%D0%BC","искать")</f>
        <v/>
      </c>
      <c r="N5062" s="3" t="n"/>
      <c r="O5062" s="2" t="n"/>
      <c r="P5062" s="2" t="n"/>
    </row>
    <row r="5063">
      <c r="A5063" s="2" t="n">
        <v>5062</v>
      </c>
      <c r="B5063" s="2" t="inlineStr">
        <is>
          <t>короткая</t>
        </is>
      </c>
      <c r="C5063" s="2" t="n">
        <v>7638</v>
      </c>
      <c r="D5063" s="3" t="inlineStr">
        <is>
          <t>Здравствуйте, Гульнора Рахимовна!</t>
        </is>
      </c>
      <c r="E5063" s="2" t="n">
        <v>1986</v>
      </c>
      <c r="F5063" s="2" t="inlineStr">
        <is>
          <t>телефильм</t>
        </is>
      </c>
      <c r="G5063" s="2" t="n"/>
      <c r="H5063" s="2" t="n">
        <v>289</v>
      </c>
      <c r="I5063" s="2" t="inlineStr"/>
      <c r="J5063" s="2" t="inlineStr"/>
      <c r="K5063" s="3" t="inlineStr">
        <is>
          <t>Молодая учительница музыки Гульнора Рахимовна, придя в школу, вначале встречает равнодушие к своему предмету как со стороны школьников, так и коллег по работе. Но своим желанием приобщить детей к прекрасному миру музыки завоевывает любовь и признание учеников, уважение у других педагогов.</t>
        </is>
      </c>
      <c r="L5063" s="2" t="inlineStr">
        <is>
          <t>Кино_СССР сводный каталог.xlsx: список телефильмов</t>
        </is>
      </c>
      <c r="M5063" s="2">
        <f>HYPERLINK("https://ru.wikipedia.org/w/index.php?search=%D0%97%D0%B4%D1%80%D0%B0%D0%B2%D1%81%D1%82%D0%B2%D1%83%D0%B9%D1%82%D0%B5%2C%20%D0%93%D1%83%D0%BB%D1%8C%D0%BD%D0%BE%D1%80%D0%B0%20%D0%A0%D0%B0%D1%85%D0%B8%D0%BC%D0%BE%D0%B2%D0%BD%D0%B0%21%201986%20%D1%84%D0%B8%D0%BB%D1%8C%D0%BC","искать")</f>
        <v/>
      </c>
      <c r="N5063" s="3" t="n"/>
      <c r="O5063" s="2" t="n"/>
      <c r="P5063" s="2" t="n"/>
    </row>
    <row r="5064">
      <c r="A5064" s="2" t="n">
        <v>5063</v>
      </c>
      <c r="B5064" s="2" t="inlineStr">
        <is>
          <t>короткая</t>
        </is>
      </c>
      <c r="C5064" s="2" t="n">
        <v>8151</v>
      </c>
      <c r="D5064" s="3" t="inlineStr">
        <is>
          <t>Познай себя</t>
        </is>
      </c>
      <c r="E5064" s="2" t="n">
        <v>1972</v>
      </c>
      <c r="F5064" s="2" t="inlineStr">
        <is>
          <t>телефильм</t>
        </is>
      </c>
      <c r="G5064" s="2" t="n"/>
      <c r="H5064" s="2" t="n">
        <v>289</v>
      </c>
      <c r="I5064" s="2" t="inlineStr"/>
      <c r="J5064" s="2" t="inlineStr"/>
      <c r="K5064" s="3" t="inlineStr">
        <is>
          <t>Телефильм. Экранизация пьесы "Четыре креста на солнце" (Вызов богам) белорусского драматурга Анатолия Делендика. У героини фильма Инги, выпускницы медицинского института, обнаруживают болезнь крови. Ей необходима пересадка костного мозга, но Инга боится операции и считает себя обреченной.</t>
        </is>
      </c>
      <c r="L5064" s="2" t="inlineStr">
        <is>
          <t>Кино_СССР сводный каталог.xlsx: список телефильмов</t>
        </is>
      </c>
      <c r="M5064" s="2">
        <f>HYPERLINK("https://ru.wikipedia.org/w/index.php?search=%D0%9F%D0%BE%D0%B7%D0%BD%D0%B0%D0%B9%20%D1%81%D0%B5%D0%B1%D1%8F%201972%20%D1%84%D0%B8%D0%BB%D1%8C%D0%BC","искать")</f>
        <v/>
      </c>
      <c r="N5064" s="3" t="n"/>
      <c r="O5064" s="2" t="n"/>
      <c r="P5064" s="2" t="n"/>
    </row>
    <row r="5065">
      <c r="A5065" s="2" t="n">
        <v>5064</v>
      </c>
      <c r="B5065" s="2" t="inlineStr">
        <is>
          <t>короткая</t>
        </is>
      </c>
      <c r="C5065" s="2" t="n">
        <v>9592</v>
      </c>
      <c r="D5065" s="3" t="inlineStr">
        <is>
          <t>Пришелец</t>
        </is>
      </c>
      <c r="E5065" s="2" t="n">
        <v>1989</v>
      </c>
      <c r="F5065" s="2" t="inlineStr">
        <is>
          <t>кинофильм</t>
        </is>
      </c>
      <c r="G5065" s="2" t="n"/>
      <c r="H5065" s="2" t="n">
        <v>289</v>
      </c>
      <c r="I5065" s="2" t="inlineStr"/>
      <c r="J5065" s="2" t="inlineStr"/>
      <c r="K5065" s="3" t="inlineStr">
        <is>
          <t>По мотивам произведений Тимура Пулатова. Бывший выпускник балетной школы Ахун, оставив балет, становится завсегдатаем восточного базара. Его привлекает азарт, риск и сама атмосфера рынка. Попав в поле зрения торговых воротил, герой не решается отказаться от участия в сговоре — и погибает.</t>
        </is>
      </c>
      <c r="L5065" s="2" t="inlineStr">
        <is>
          <t>Кино_СССР сводный каталог.xlsx: список фильмов (доп.)</t>
        </is>
      </c>
      <c r="M5065" s="2">
        <f>HYPERLINK("https://ru.wikipedia.org/w/index.php?search=%D0%9F%D1%80%D0%B8%D1%88%D0%B5%D0%BB%D0%B5%D1%86%201989%20%D1%84%D0%B8%D0%BB%D1%8C%D0%BC","искать")</f>
        <v/>
      </c>
      <c r="N5065" s="3" t="n"/>
      <c r="O5065" s="2" t="n"/>
      <c r="P5065" s="2" t="n"/>
    </row>
    <row r="5066">
      <c r="A5066" s="2" t="n">
        <v>5065</v>
      </c>
      <c r="B5066" s="2" t="inlineStr">
        <is>
          <t>короткая</t>
        </is>
      </c>
      <c r="C5066" s="2" t="n">
        <v>11179</v>
      </c>
      <c r="D5066" s="3" t="inlineStr">
        <is>
          <t>Первые уроки (год спустя)</t>
        </is>
      </c>
      <c r="E5066" s="2" t="n">
        <v>1987</v>
      </c>
      <c r="F5066" s="2" t="inlineStr">
        <is>
          <t>фильм-спектакль</t>
        </is>
      </c>
      <c r="G5066" s="2" t="inlineStr">
        <is>
          <t>Главная редакция литературно-драматических программ ЦТ</t>
        </is>
      </c>
      <c r="H5066" s="2" t="n">
        <v>289</v>
      </c>
      <c r="I5066" s="2" t="inlineStr"/>
      <c r="J5066" s="2" t="inlineStr"/>
      <c r="K5066" s="3" t="inlineStr">
        <is>
          <t>Из цикла "Политический театр".
По одноименной пьесе Федора Бурлацкого.
Руководитель одного из обкомов КПСС Широков, секретарь по идеологии Стрешнев и директора завода Корчнов продолжают разговор об актуальных проблемах перестройки, начатый в телеспектакле "Два взгляда из одного кабинета".</t>
        </is>
      </c>
      <c r="L5066" s="2" t="inlineStr">
        <is>
          <t>https://www.kino-teatr.ru/teatr/movie/81362/annot/</t>
        </is>
      </c>
      <c r="M5066" s="2">
        <f>HYPERLINK("https://ru.wikipedia.org/w/index.php?search=%D0%9F%D0%B5%D1%80%D0%B2%D1%8B%D0%B5%20%D1%83%D1%80%D0%BE%D0%BA%D0%B8%20%28%D0%B3%D0%BE%D0%B4%20%D1%81%D0%BF%D1%83%D1%81%D1%82%D1%8F%29%201987%20%D1%84%D0%B8%D0%BB%D1%8C%D0%BC","искать")</f>
        <v/>
      </c>
      <c r="N5066" s="3" t="n"/>
      <c r="O5066" s="2" t="n"/>
      <c r="P5066" s="2" t="n"/>
    </row>
    <row r="5067">
      <c r="A5067" s="2" t="n">
        <v>5066</v>
      </c>
      <c r="B5067" s="2" t="inlineStr">
        <is>
          <t>короткая</t>
        </is>
      </c>
      <c r="C5067" s="2" t="n">
        <v>12458</v>
      </c>
      <c r="D5067" s="3" t="inlineStr">
        <is>
          <t>Морозики-морозы</t>
        </is>
      </c>
      <c r="E5067" s="2" t="n">
        <v>1986</v>
      </c>
      <c r="F5067" s="2" t="inlineStr">
        <is>
          <t>мультфильм</t>
        </is>
      </c>
      <c r="G5067" s="2" t="inlineStr">
        <is>
          <t>КИЕВНАУЧФИЛЬМ</t>
        </is>
      </c>
      <c r="H5067" s="2" t="n">
        <v>289</v>
      </c>
      <c r="I5067" s="2" t="inlineStr"/>
      <c r="J5067" s="2" t="inlineStr"/>
      <c r="K5067" s="3" t="inlineStr">
        <is>
          <t>Далеко на севере, где рождаются маленькие дедушки-морозики случилась беда: резко упала температура в домике, где они вылуплялись из яиц. Если бы не помощь всех жителей, то не пришлось бы встретить Новый год! Но этого не случилось, морозики-морозы подросли, выучились и отправились к людям.</t>
        </is>
      </c>
      <c r="L5067" s="2" t="inlineStr">
        <is>
          <t>2026-10_мультфильмы_список_владельца.xlsx; https://animator.ru/db/?p=show_film&amp;fid=3630</t>
        </is>
      </c>
      <c r="M5067" s="2">
        <f>HYPERLINK("https://ru.wikipedia.org/w/index.php?search=%D0%9C%D0%BE%D1%80%D0%BE%D0%B7%D0%B8%D0%BA%D0%B8-%D0%BC%D0%BE%D1%80%D0%BE%D0%B7%D1%8B%201986%20%D1%84%D0%B8%D0%BB%D1%8C%D0%BC","искать")</f>
        <v/>
      </c>
      <c r="N5067" s="3" t="n"/>
      <c r="O5067" s="2" t="n"/>
      <c r="P5067" s="2" t="n"/>
    </row>
    <row r="5068">
      <c r="A5068" s="2" t="n">
        <v>5067</v>
      </c>
      <c r="B5068" s="2" t="inlineStr">
        <is>
          <t>короткая</t>
        </is>
      </c>
      <c r="C5068" s="2" t="n">
        <v>13031</v>
      </c>
      <c r="D5068" s="3" t="inlineStr">
        <is>
          <t>Заячья капуста</t>
        </is>
      </c>
      <c r="E5068" s="2" t="n">
        <v>1970</v>
      </c>
      <c r="F5068" s="2" t="inlineStr">
        <is>
          <t>мультфильм</t>
        </is>
      </c>
      <c r="G5068" s="2" t="inlineStr">
        <is>
          <t>РИЖСКАЯ КИНОСТУДИЯ</t>
        </is>
      </c>
      <c r="H5068" s="2" t="n">
        <v>289</v>
      </c>
      <c r="I5068" s="2" t="inlineStr"/>
      <c r="J5068" s="2" t="inlineStr"/>
      <c r="K5068" s="3" t="inlineStr">
        <is>
          <t>Однажды Хозяин угостил Зайца кислой капустой. Угощение понравилось косому, и он отправился в Ригу, хотя денег на билет у него не было, закупать семена кислой капусты. Но вместо капусты Заяц приобрел и вырастил кислицу. С тех пор безбилетников называют зайцами, а кислицу - заячьей капустой</t>
        </is>
      </c>
      <c r="L5068" s="2" t="inlineStr">
        <is>
          <t>https://gosfilmofond.ru/films/255150/</t>
        </is>
      </c>
      <c r="M5068" s="2">
        <f>HYPERLINK("https://ru.wikipedia.org/w/index.php?search=%D0%97%D0%B0%D1%8F%D1%87%D1%8C%D1%8F%20%D0%BA%D0%B0%D0%BF%D1%83%D1%81%D1%82%D0%B0%201970%20%D1%84%D0%B8%D0%BB%D1%8C%D0%BC","искать")</f>
        <v/>
      </c>
      <c r="N5068" s="3" t="n"/>
      <c r="O5068" s="2" t="n"/>
      <c r="P5068" s="2" t="n"/>
    </row>
    <row r="5069">
      <c r="A5069" s="2" t="n">
        <v>5068</v>
      </c>
      <c r="B5069" s="2" t="inlineStr">
        <is>
          <t>короткая</t>
        </is>
      </c>
      <c r="C5069" s="2" t="n">
        <v>7224</v>
      </c>
      <c r="D5069" s="3" t="inlineStr">
        <is>
          <t>Ассоль</t>
        </is>
      </c>
      <c r="E5069" s="2" t="n">
        <v>1982</v>
      </c>
      <c r="F5069" s="2" t="inlineStr">
        <is>
          <t>телефильм</t>
        </is>
      </c>
      <c r="G5069" s="2" t="inlineStr">
        <is>
          <t>Творческое объединение «Экран» и Главная редакция литературно-драматических программ ЦТ</t>
        </is>
      </c>
      <c r="H5069" s="2" t="n">
        <v>290</v>
      </c>
      <c r="I5069" s="2" t="inlineStr"/>
      <c r="J5069" s="2" t="inlineStr"/>
      <c r="K5069" s="3" t="inlineStr">
        <is>
          <t>В небольшой рыбацкой деревне отшельником жил отставной моряк Лонгрен с дочерью. Овдовев, он один растил маленькую Ассоль. С детских лет она ждала человека, который приедет за ней на корабле под алыми парусами. Над Ассоль смеялась вся деревня, но однажды настал день, когда её мечта сбылась.</t>
        </is>
      </c>
      <c r="L5069" s="2" t="inlineStr">
        <is>
          <t>https://ru.wikipedia.org/w/index.php?title=%D0%90%D1%81%D1%81%D0%BE%D0%BB%D1%8C_%28%D1%82%D0%B5%D0%BB%D0%B5%D1%84%D0%B8%D0%BB%D1%8C%D0%BC%29&amp;oldid=152643605</t>
        </is>
      </c>
      <c r="M5069" s="2">
        <f>HYPERLINK("https://ru.wikipedia.org/w/index.php?search=%D0%90%D1%81%D1%81%D0%BE%D0%BB%D1%8C%201982%20%D1%84%D0%B8%D0%BB%D1%8C%D0%BC","искать")</f>
        <v/>
      </c>
      <c r="N5069" s="3" t="n"/>
      <c r="O5069" s="2" t="n"/>
      <c r="P5069" s="2" t="n"/>
    </row>
    <row r="5070">
      <c r="A5070" s="2" t="n">
        <v>5069</v>
      </c>
      <c r="B5070" s="2" t="inlineStr">
        <is>
          <t>короткая</t>
        </is>
      </c>
      <c r="C5070" s="2" t="n">
        <v>7276</v>
      </c>
      <c r="D5070" s="3" t="inlineStr">
        <is>
          <t>Будем ждать, возвращайся</t>
        </is>
      </c>
      <c r="E5070" s="2" t="n">
        <v>1981</v>
      </c>
      <c r="F5070" s="2" t="inlineStr">
        <is>
          <t>телефильм</t>
        </is>
      </c>
      <c r="G5070" s="2" t="inlineStr">
        <is>
          <t>к/с им. Довженко</t>
        </is>
      </c>
      <c r="H5070" s="2" t="n">
        <v>290</v>
      </c>
      <c r="I5070" s="2" t="inlineStr"/>
      <c r="J5070" s="2" t="inlineStr"/>
      <c r="K5070" s="3" t="inlineStr">
        <is>
          <t>Телефильм. История девушки, недавно окончившей школу, и работающей киномехаником. Ее представления о жизни взяты из фильмов с Гретой Гарбо, романтической литературы и советов ее практичной подружки. Эта "гремучая смесь" не дает ей услышать себя и заставляет совершать необдуманные поступки.</t>
        </is>
      </c>
      <c r="L5070" s="2" t="inlineStr">
        <is>
          <t>Кино_СССР сводный каталог.xlsx: список телефильмов</t>
        </is>
      </c>
      <c r="M5070" s="2">
        <f>HYPERLINK("https://ru.wikipedia.org/w/index.php?search=%D0%91%D1%83%D0%B4%D0%B5%D0%BC%20%D0%B6%D0%B4%D0%B0%D1%82%D1%8C%2C%20%D0%B2%D0%BE%D0%B7%D0%B2%D1%80%D0%B0%D1%89%D0%B0%D0%B9%D1%81%D1%8F%201981%20%D1%84%D0%B8%D0%BB%D1%8C%D0%BC","искать")</f>
        <v/>
      </c>
      <c r="N5070" s="3" t="n"/>
      <c r="O5070" s="2" t="n"/>
      <c r="P5070" s="2" t="n"/>
    </row>
    <row r="5071">
      <c r="A5071" s="2" t="n">
        <v>5070</v>
      </c>
      <c r="B5071" s="2" t="inlineStr">
        <is>
          <t>короткая</t>
        </is>
      </c>
      <c r="C5071" s="2" t="n">
        <v>7411</v>
      </c>
      <c r="D5071" s="3" t="inlineStr">
        <is>
          <t>Встречная полоса</t>
        </is>
      </c>
      <c r="E5071" s="2" t="n">
        <v>1986</v>
      </c>
      <c r="F5071" s="2" t="inlineStr">
        <is>
          <t>телефильм</t>
        </is>
      </c>
      <c r="G5071" s="2" t="inlineStr">
        <is>
          <t>Главная редакция литературно-драматических программ ЦТ</t>
        </is>
      </c>
      <c r="H5071" s="2" t="n">
        <v>290</v>
      </c>
      <c r="I5071" s="2" t="inlineStr"/>
      <c r="J5071" s="2" t="inlineStr"/>
      <c r="K5071" s="3" t="inlineStr">
        <is>
          <t>По пьесе Александра Борина. В результате автомобильной катастрофы гибнут жена и сестра профессора Беляева, находившегося за рулем своих "Жигулей". Суд приговаривает Беляева к трем годам лишения свободы, а водителя самосвала Терехина, ставшего невольным участником столкновения, оправдывают.</t>
        </is>
      </c>
      <c r="L5071" s="2" t="inlineStr">
        <is>
          <t>Кино_СССР сводный каталог.xlsx: список телефильмов</t>
        </is>
      </c>
      <c r="M5071" s="2">
        <f>HYPERLINK("https://ru.wikipedia.org/w/index.php?search=%D0%92%D1%81%D1%82%D1%80%D0%B5%D1%87%D0%BD%D0%B0%D1%8F%20%D0%BF%D0%BE%D0%BB%D0%BE%D1%81%D0%B0%201986%20%D1%84%D0%B8%D0%BB%D1%8C%D0%BC","искать")</f>
        <v/>
      </c>
      <c r="N5071" s="3" t="n"/>
      <c r="O5071" s="2" t="n"/>
      <c r="P5071" s="2" t="n"/>
    </row>
    <row r="5072">
      <c r="A5072" s="2" t="n">
        <v>5071</v>
      </c>
      <c r="B5072" s="2" t="inlineStr">
        <is>
          <t>короткая</t>
        </is>
      </c>
      <c r="C5072" s="2" t="n">
        <v>7536</v>
      </c>
      <c r="D5072" s="3" t="inlineStr">
        <is>
          <t>Дом Бернарды Альбы</t>
        </is>
      </c>
      <c r="E5072" s="2" t="n">
        <v>1981</v>
      </c>
      <c r="F5072" s="2" t="inlineStr">
        <is>
          <t>телефильм</t>
        </is>
      </c>
      <c r="G5072" s="2" t="n"/>
      <c r="H5072" s="2" t="n">
        <v>290</v>
      </c>
      <c r="I5072" s="2" t="inlineStr"/>
      <c r="J5072" s="2" t="inlineStr"/>
      <c r="K5072" s="3" t="inlineStr">
        <is>
          <t>Телефильм по мотивам одноименной пьесы испанского поэта и драматурга Федерико Гарсиа Лорки. Только что овдовевшая богатая крестьянка Бернарда Альба, велела своим дочерям восемь лет носить траур. В течение этого времени они не имеют права не только помышлять о браке, но и выходить на улицу.</t>
        </is>
      </c>
      <c r="L5072" s="2" t="inlineStr">
        <is>
          <t>Кино_СССР сводный каталог.xlsx: список телефильмов</t>
        </is>
      </c>
      <c r="M5072" s="2">
        <f>HYPERLINK("https://ru.wikipedia.org/w/index.php?search=%D0%94%D0%BE%D0%BC%20%D0%91%D0%B5%D1%80%D0%BD%D0%B0%D1%80%D0%B4%D1%8B%20%D0%90%D0%BB%D1%8C%D0%B1%D1%8B%201981%20%D1%84%D0%B8%D0%BB%D1%8C%D0%BC","искать")</f>
        <v/>
      </c>
      <c r="N5072" s="3" t="n"/>
      <c r="O5072" s="2" t="n"/>
      <c r="P5072" s="2" t="n"/>
    </row>
    <row r="5073">
      <c r="A5073" s="2" t="n">
        <v>5072</v>
      </c>
      <c r="B5073" s="2" t="inlineStr">
        <is>
          <t>короткая</t>
        </is>
      </c>
      <c r="C5073" s="2" t="n">
        <v>8351</v>
      </c>
      <c r="D5073" s="3" t="inlineStr">
        <is>
          <t>Сказки русского леса</t>
        </is>
      </c>
      <c r="E5073" s="2" t="n">
        <v>1966</v>
      </c>
      <c r="F5073" s="2" t="inlineStr">
        <is>
          <t>телефильм</t>
        </is>
      </c>
      <c r="G5073" s="2" t="n"/>
      <c r="H5073" s="2" t="n">
        <v>290</v>
      </c>
      <c r="I5073" s="2" t="inlineStr"/>
      <c r="J5073" s="2" t="inlineStr"/>
      <c r="K5073" s="3" t="inlineStr">
        <is>
          <t>Телефильм. Самые яркие звезды советского кино и эстрады в новогоднюю ночь 1966 года по независящим от них причинам оказались в лесу! Артисты не подозревают, что попали в западню, на них объявлена охота, стоят капканы и расставлены ловушки. В роли охотников — Евгений Леонов и Олег Анофриев.</t>
        </is>
      </c>
      <c r="L5073" s="2" t="inlineStr">
        <is>
          <t>Кино_СССР сводный каталог.xlsx: список телефильмов</t>
        </is>
      </c>
      <c r="M5073" s="2">
        <f>HYPERLINK("https://ru.wikipedia.org/w/index.php?search=%D0%A1%D0%BA%D0%B0%D0%B7%D0%BA%D0%B8%20%D1%80%D1%83%D1%81%D1%81%D0%BA%D0%BE%D0%B3%D0%BE%20%D0%BB%D0%B5%D1%81%D0%B0%201966%20%D1%84%D0%B8%D0%BB%D1%8C%D0%BC","искать")</f>
        <v/>
      </c>
      <c r="N5073" s="3" t="n"/>
      <c r="O5073" s="2" t="n"/>
      <c r="P5073" s="2" t="n"/>
    </row>
    <row r="5074">
      <c r="A5074" s="2" t="n">
        <v>5073</v>
      </c>
      <c r="B5074" s="2" t="inlineStr">
        <is>
          <t>короткая</t>
        </is>
      </c>
      <c r="C5074" s="2" t="n">
        <v>8432</v>
      </c>
      <c r="D5074" s="3" t="inlineStr">
        <is>
          <t>Тайна, известная всем</t>
        </is>
      </c>
      <c r="E5074" s="2" t="n">
        <v>1981</v>
      </c>
      <c r="F5074" s="2" t="inlineStr">
        <is>
          <t>телефильм</t>
        </is>
      </c>
      <c r="G5074" s="2" t="n"/>
      <c r="H5074" s="2" t="n">
        <v>290</v>
      </c>
      <c r="I5074" s="2" t="inlineStr"/>
      <c r="J5074" s="2" t="inlineStr"/>
      <c r="K5074" s="3" t="inlineStr">
        <is>
          <t>Телефильм о том, как ребята из пионерского лагеря, находящегося на Черноморском побережье, пригласили отдыхавших поблизости известных актеров принять участие в спортивном празднике. Пионеры могут все! И карнавальные костюмы сделать из подручных материалов, и артистов на праздник раздобыть!</t>
        </is>
      </c>
      <c r="L5074" s="2" t="inlineStr">
        <is>
          <t>Кино_СССР сводный каталог.xlsx: список телефильмов</t>
        </is>
      </c>
      <c r="M5074" s="2">
        <f>HYPERLINK("https://ru.wikipedia.org/w/index.php?search=%D0%A2%D0%B0%D0%B9%D0%BD%D0%B0%2C%20%D0%B8%D0%B7%D0%B2%D0%B5%D1%81%D1%82%D0%BD%D0%B0%D1%8F%20%D0%B2%D1%81%D0%B5%D0%BC%201981%20%D1%84%D0%B8%D0%BB%D1%8C%D0%BC","искать")</f>
        <v/>
      </c>
      <c r="N5074" s="3" t="n"/>
      <c r="O5074" s="2" t="n"/>
      <c r="P5074" s="2" t="n"/>
    </row>
    <row r="5075">
      <c r="A5075" s="2" t="n">
        <v>5074</v>
      </c>
      <c r="B5075" s="2" t="inlineStr">
        <is>
          <t>короткая</t>
        </is>
      </c>
      <c r="C5075" s="2" t="n">
        <v>8754</v>
      </c>
      <c r="D5075" s="3" t="inlineStr">
        <is>
          <t>Как жить... без забот</t>
        </is>
      </c>
      <c r="E5075" s="2" t="n">
        <v>1984</v>
      </c>
      <c r="F5075" s="2" t="inlineStr">
        <is>
          <t>кинофильм</t>
        </is>
      </c>
      <c r="G5075" s="2" t="n"/>
      <c r="H5075" s="2" t="n">
        <v>290</v>
      </c>
      <c r="I5075" s="2" t="inlineStr"/>
      <c r="J5075" s="2" t="inlineStr"/>
      <c r="K5075" s="3" t="inlineStr">
        <is>
          <t>Гости ждут юбиляра. Радостное ожидание прерывается неприятными телефонными звонками, отрывающими хозяйку дома от праздничных забот. Она не оплатила вовремя коммунальные платежи. Рекламный фильм, рассказывающий о возможностях безналичной оплаты коммунальных услуг через сберегательную кассу.</t>
        </is>
      </c>
      <c r="L5075" s="2" t="inlineStr">
        <is>
          <t>Кино_СССР сводный каталог.xlsx: список фильмов (доп.)</t>
        </is>
      </c>
      <c r="M5075" s="2">
        <f>HYPERLINK("https://ru.wikipedia.org/w/index.php?search=%D0%9A%D0%B0%D0%BA%20%D0%B6%D0%B8%D1%82%D1%8C...%20%D0%B1%D0%B5%D0%B7%20%D0%B7%D0%B0%D0%B1%D0%BE%D1%82%201984%20%D1%84%D0%B8%D0%BB%D1%8C%D0%BC","искать")</f>
        <v/>
      </c>
      <c r="N5075" s="3" t="n"/>
      <c r="O5075" s="2" t="n"/>
      <c r="P5075" s="2" t="n"/>
    </row>
    <row r="5076">
      <c r="A5076" s="2" t="n">
        <v>5075</v>
      </c>
      <c r="B5076" s="2" t="inlineStr">
        <is>
          <t>короткая</t>
        </is>
      </c>
      <c r="C5076" s="2" t="n">
        <v>9389</v>
      </c>
      <c r="D5076" s="3" t="inlineStr">
        <is>
          <t>Из жизни Федора Кузькина</t>
        </is>
      </c>
      <c r="E5076" s="2" t="n">
        <v>1989</v>
      </c>
      <c r="F5076" s="2" t="inlineStr">
        <is>
          <t>кинофильм</t>
        </is>
      </c>
      <c r="G5076" s="2" t="n"/>
      <c r="H5076" s="2" t="n">
        <v>290</v>
      </c>
      <c r="I5076" s="2" t="inlineStr"/>
      <c r="J5076" s="2" t="inlineStr"/>
      <c r="K5076" s="3" t="inlineStr">
        <is>
          <t>По повести Бориса Можаева "Живой". Федор Кузькин - крестьянин. Он один из тех, чья молодость пришлась на самые тяжелые годы - тридцатые и сороковые. И вот, старый Кузькин решает стать если не фермером, то уж во всяком случае - единоличником. Оказывается, что его настоящие беды еще впереди.</t>
        </is>
      </c>
      <c r="L5076" s="2" t="inlineStr">
        <is>
          <t>Кино_СССР сводный каталог.xlsx: список фильмов (доп.)</t>
        </is>
      </c>
      <c r="M5076" s="2">
        <f>HYPERLINK("https://ru.wikipedia.org/w/index.php?search=%D0%98%D0%B7%20%D0%B6%D0%B8%D0%B7%D0%BD%D0%B8%20%D0%A4%D0%B5%D0%B4%D0%BE%D1%80%D0%B0%20%D0%9A%D1%83%D0%B7%D1%8C%D0%BA%D0%B8%D0%BD%D0%B0%201989%20%D1%84%D0%B8%D0%BB%D1%8C%D0%BC","искать")</f>
        <v/>
      </c>
      <c r="N5076" s="3" t="n"/>
      <c r="O5076" s="2" t="n"/>
      <c r="P5076" s="2" t="n"/>
    </row>
    <row r="5077">
      <c r="A5077" s="2" t="n">
        <v>5076</v>
      </c>
      <c r="B5077" s="2" t="inlineStr">
        <is>
          <t>короткая</t>
        </is>
      </c>
      <c r="C5077" s="2" t="n">
        <v>10903</v>
      </c>
      <c r="D5077" s="3" t="inlineStr">
        <is>
          <t>Предел возможного</t>
        </is>
      </c>
      <c r="E5077" s="2" t="n">
        <v>1981</v>
      </c>
      <c r="F5077" s="2" t="inlineStr">
        <is>
          <t>фильм-спектакль</t>
        </is>
      </c>
      <c r="G5077" s="2" t="n"/>
      <c r="H5077" s="2" t="n">
        <v>290</v>
      </c>
      <c r="I5077" s="2" t="inlineStr"/>
      <c r="J5077" s="2" t="inlineStr"/>
      <c r="K5077" s="3" t="inlineStr">
        <is>
          <t>Спектакль Ленинградского академического театра драмы им. А. С. Пушкина (Александринский театр) по одноименному роману И. Герасимова.
История жизни Игната Матвеевича Ремеза, прошедшего путь от молодого специалиста в годы ВОВ до руководителя крупного промышленного предприятия в мирное время.</t>
        </is>
      </c>
      <c r="L5077" s="2" t="inlineStr">
        <is>
          <t>https://www.kino-teatr.ru/teatr/movie/81659/annot/</t>
        </is>
      </c>
      <c r="M5077" s="2">
        <f>HYPERLINK("https://ru.wikipedia.org/w/index.php?search=%D0%9F%D1%80%D0%B5%D0%B4%D0%B5%D0%BB%20%D0%B2%D0%BE%D0%B7%D0%BC%D0%BE%D0%B6%D0%BD%D0%BE%D0%B3%D0%BE%201981%20%D1%84%D0%B8%D0%BB%D1%8C%D0%BC","искать")</f>
        <v/>
      </c>
      <c r="N5077" s="3" t="n"/>
      <c r="O5077" s="2" t="n"/>
      <c r="P5077" s="2" t="n"/>
    </row>
    <row r="5078">
      <c r="A5078" s="2" t="n">
        <v>5077</v>
      </c>
      <c r="B5078" s="2" t="inlineStr">
        <is>
          <t>короткая</t>
        </is>
      </c>
      <c r="C5078" s="2" t="n">
        <v>10922</v>
      </c>
      <c r="D5078" s="3" t="inlineStr">
        <is>
          <t>Уходя, оглянись...</t>
        </is>
      </c>
      <c r="E5078" s="2" t="n">
        <v>1981</v>
      </c>
      <c r="F5078" s="2" t="inlineStr">
        <is>
          <t>фильм-спектакль</t>
        </is>
      </c>
      <c r="G5078" s="2" t="inlineStr">
        <is>
          <t>ТО "Экран"</t>
        </is>
      </c>
      <c r="H5078" s="2" t="n">
        <v>290</v>
      </c>
      <c r="I5078" s="2" t="inlineStr"/>
      <c r="J5078" s="2" t="inlineStr"/>
      <c r="K5078" s="3" t="inlineStr">
        <is>
          <t>Телеспектакль по одноименной пьесе Э.Володарского.
В основе - спектакль МХАТ (постановка Е.Радомысленского).
О жизни рабочей семьи Крохиных. Действие охватывает первые послевоенные и 80-е годы.
Премьера во МХАТе состоялась в 1976 году, на телевидении фильм-спектакль был записан в 1981 году</t>
        </is>
      </c>
      <c r="L5078" s="2" t="inlineStr">
        <is>
          <t>https://www.kino-teatr.ru/teatr/movie/7505/annot/</t>
        </is>
      </c>
      <c r="M5078" s="2">
        <f>HYPERLINK("https://ru.wikipedia.org/w/index.php?search=%D0%A3%D1%85%D0%BE%D0%B4%D1%8F%2C%20%D0%BE%D0%B3%D0%BB%D1%8F%D0%BD%D0%B8%D1%81%D1%8C...%201981%20%D1%84%D0%B8%D0%BB%D1%8C%D0%BC","искать")</f>
        <v/>
      </c>
      <c r="N5078" s="3" t="n"/>
      <c r="O5078" s="2" t="n"/>
      <c r="P5078" s="2" t="n"/>
    </row>
    <row r="5079">
      <c r="A5079" s="2" t="n">
        <v>5078</v>
      </c>
      <c r="B5079" s="2" t="inlineStr">
        <is>
          <t>короткая</t>
        </is>
      </c>
      <c r="C5079" s="2" t="n">
        <v>11311</v>
      </c>
      <c r="D5079" s="3" t="inlineStr">
        <is>
          <t>Мудромер</t>
        </is>
      </c>
      <c r="E5079" s="2" t="n">
        <v>1990</v>
      </c>
      <c r="F5079" s="2" t="inlineStr">
        <is>
          <t>фильм-спектакль</t>
        </is>
      </c>
      <c r="G5079" s="2" t="inlineStr">
        <is>
          <t>Главная редакция литературно-художественных программ ЦТ</t>
        </is>
      </c>
      <c r="H5079" s="2" t="n">
        <v>290</v>
      </c>
      <c r="I5079" s="2" t="inlineStr"/>
      <c r="J5079" s="2" t="inlineStr"/>
      <c r="K5079" s="3" t="inlineStr">
        <is>
          <t>По одноименной пьесе Николая Матуковского в постановке Белорусского государственного академического театра имени Янки Купалы.
В министерство приходит изобретатель и предлагает аппарат, измеряющий степень глупости. На фоне этого в министерстве происходят различные бюрократические перипетии.</t>
        </is>
      </c>
      <c r="L5079" s="2" t="inlineStr">
        <is>
          <t>https://www.kino-teatr.ru/teatr/movie/81005/annot/</t>
        </is>
      </c>
      <c r="M5079" s="2">
        <f>HYPERLINK("https://ru.wikipedia.org/w/index.php?search=%D0%9C%D1%83%D0%B4%D1%80%D0%BE%D0%BC%D0%B5%D1%80%201990%20%D1%84%D0%B8%D0%BB%D1%8C%D0%BC","искать")</f>
        <v/>
      </c>
      <c r="N5079" s="3" t="n"/>
      <c r="O5079" s="2" t="n"/>
      <c r="P5079" s="2" t="n"/>
    </row>
    <row r="5080">
      <c r="A5080" s="2" t="n">
        <v>5079</v>
      </c>
      <c r="B5080" s="2" t="inlineStr">
        <is>
          <t>короткая</t>
        </is>
      </c>
      <c r="C5080" s="2" t="n">
        <v>7787</v>
      </c>
      <c r="D5080" s="3" t="inlineStr">
        <is>
          <t>Лев Гурыч Синичкин</t>
        </is>
      </c>
      <c r="E5080" s="2" t="n">
        <v>1974</v>
      </c>
      <c r="F5080" s="2" t="inlineStr">
        <is>
          <t>телефильм</t>
        </is>
      </c>
      <c r="G5080" s="2" t="n"/>
      <c r="H5080" s="2" t="n">
        <v>291</v>
      </c>
      <c r="I5080" s="2" t="inlineStr"/>
      <c r="J5080" s="2" t="inlineStr"/>
      <c r="K5080" s="3" t="inlineStr">
        <is>
          <t>Телефильм. Экранизация старого русского водевиля Д.Ленского (предыдущая киноверсия 1956г. - "На подмостках сцены" К.Юдина). Старый актер мечтает о главной роли для своей юной талантливой дочери. Однако ей противостоит могущественная примадонна труппы с ужасным характером и большими связями.</t>
        </is>
      </c>
      <c r="L5080" s="2" t="inlineStr">
        <is>
          <t>Кино_СССР сводный каталог.xlsx: список телефильмов</t>
        </is>
      </c>
      <c r="M5080" s="2">
        <f>HYPERLINK("https://ru.wikipedia.org/w/index.php?search=%D0%9B%D0%B5%D0%B2%20%D0%93%D1%83%D1%80%D1%8B%D1%87%20%D0%A1%D0%B8%D0%BD%D0%B8%D1%87%D0%BA%D0%B8%D0%BD%201974%20%D1%84%D0%B8%D0%BB%D1%8C%D0%BC","искать")</f>
        <v/>
      </c>
      <c r="N5080" s="3" t="n"/>
      <c r="O5080" s="2" t="n"/>
      <c r="P5080" s="2" t="n"/>
    </row>
    <row r="5081">
      <c r="A5081" s="2" t="n">
        <v>5080</v>
      </c>
      <c r="B5081" s="2" t="inlineStr">
        <is>
          <t>короткая</t>
        </is>
      </c>
      <c r="C5081" s="2" t="n">
        <v>7968</v>
      </c>
      <c r="D5081" s="3" t="inlineStr">
        <is>
          <t>Не хочу быть прохожим</t>
        </is>
      </c>
      <c r="E5081" s="2" t="n">
        <v>1987</v>
      </c>
      <c r="F5081" s="2" t="inlineStr">
        <is>
          <t>телефильм</t>
        </is>
      </c>
      <c r="G5081" s="2" t="n"/>
      <c r="H5081" s="2" t="n">
        <v>291</v>
      </c>
      <c r="I5081" s="2" t="inlineStr"/>
      <c r="J5081" s="2" t="inlineStr"/>
      <c r="K5081" s="3" t="inlineStr">
        <is>
          <t>По мотивам одноименной повести Наримана Джумаева. Окончив восемь классов Ашхабадской школы, Байрам Овезов наперекор матери принимает решение вернуться в шахтерский город Гаурдак, где живет его дед и где работал его отец. Байрам поступает на учебу в ПТУ, чтобы унаследовать профессию горняка.</t>
        </is>
      </c>
      <c r="L5081" s="2" t="inlineStr">
        <is>
          <t>Кино_СССР сводный каталог.xlsx: список телефильмов</t>
        </is>
      </c>
      <c r="M5081" s="2">
        <f>HYPERLINK("https://ru.wikipedia.org/w/index.php?search=%D0%9D%D0%B5%20%D1%85%D0%BE%D1%87%D1%83%20%D0%B1%D1%8B%D1%82%D1%8C%20%D0%BF%D1%80%D0%BE%D1%85%D0%BE%D0%B6%D0%B8%D0%BC%201987%20%D1%84%D0%B8%D0%BB%D1%8C%D0%BC","искать")</f>
        <v/>
      </c>
      <c r="N5081" s="3" t="n"/>
      <c r="O5081" s="2" t="n"/>
      <c r="P5081" s="2" t="n"/>
    </row>
    <row r="5082">
      <c r="A5082" s="2" t="n">
        <v>5081</v>
      </c>
      <c r="B5082" s="2" t="inlineStr">
        <is>
          <t>короткая</t>
        </is>
      </c>
      <c r="C5082" s="2" t="n">
        <v>8115</v>
      </c>
      <c r="D5082" s="3" t="inlineStr">
        <is>
          <t>Плач перепёлки</t>
        </is>
      </c>
      <c r="E5082" s="2" t="n">
        <v>1990</v>
      </c>
      <c r="F5082" s="2" t="inlineStr">
        <is>
          <t>телефильм</t>
        </is>
      </c>
      <c r="G5082" s="2" t="n"/>
      <c r="H5082" s="2" t="n">
        <v>291</v>
      </c>
      <c r="I5082" s="2" t="inlineStr"/>
      <c r="J5082" s="2" t="inlineStr"/>
      <c r="K5082" s="3" t="inlineStr">
        <is>
          <t>Телесериал по мотивам романов Ивана Чигринова "Плач перепелки", "Оправдание крови", "Свои и чужие". Фильм о первых месяцах Великой Отечественной войны. Герои фильма - веремейковцы, жители небольшой деревни, что затерялась среди белорусских лесов. Летом 1941 года эхо войны докатилось и сюда.</t>
        </is>
      </c>
      <c r="L5082" s="2" t="inlineStr">
        <is>
          <t>Кино_СССР сводный каталог.xlsx: список телефильмов</t>
        </is>
      </c>
      <c r="M5082" s="2">
        <f>HYPERLINK("https://ru.wikipedia.org/w/index.php?search=%D0%9F%D0%BB%D0%B0%D1%87%20%D0%BF%D0%B5%D1%80%D0%B5%D0%BF%D1%91%D0%BB%D0%BA%D0%B8%201990%20%D1%84%D0%B8%D0%BB%D1%8C%D0%BC","искать")</f>
        <v/>
      </c>
      <c r="N5082" s="3" t="n"/>
      <c r="O5082" s="2" t="n"/>
      <c r="P5082" s="2" t="n"/>
    </row>
    <row r="5083">
      <c r="A5083" s="2" t="n">
        <v>5082</v>
      </c>
      <c r="B5083" s="2" t="inlineStr">
        <is>
          <t>короткая</t>
        </is>
      </c>
      <c r="C5083" s="2" t="n">
        <v>8126</v>
      </c>
      <c r="D5083" s="3" t="inlineStr">
        <is>
          <t>Побег</t>
        </is>
      </c>
      <c r="E5083" s="2" t="n">
        <v>1988</v>
      </c>
      <c r="F5083" s="2" t="inlineStr">
        <is>
          <t>телефильм</t>
        </is>
      </c>
      <c r="G5083" s="2" t="n"/>
      <c r="H5083" s="2" t="n">
        <v>291</v>
      </c>
      <c r="I5083" s="2" t="inlineStr"/>
      <c r="J5083" s="2" t="inlineStr"/>
      <c r="K5083" s="3" t="inlineStr">
        <is>
          <t>По мотивам романа Лейфа Пандуро "Датчанин Ферн". Показана жизнь человека, потерявшего память после автомобильной аварии. Человек как бы рождается заново. Но новая жизнь не приносит герою счастья. Прекрасно воспитанный, с хорошими манерами он спрашивает своего друга "Каким я был человеком?".</t>
        </is>
      </c>
      <c r="L5083" s="2" t="inlineStr">
        <is>
          <t>Кино_СССР сводный каталог.xlsx: список телефильмов</t>
        </is>
      </c>
      <c r="M5083" s="2">
        <f>HYPERLINK("https://ru.wikipedia.org/w/index.php?search=%D0%9F%D0%BE%D0%B1%D0%B5%D0%B3%201988%20%D1%84%D0%B8%D0%BB%D1%8C%D0%BC","искать")</f>
        <v/>
      </c>
      <c r="N5083" s="3" t="n"/>
      <c r="O5083" s="2" t="n"/>
      <c r="P5083" s="2" t="n"/>
    </row>
    <row r="5084">
      <c r="A5084" s="2" t="n">
        <v>5083</v>
      </c>
      <c r="B5084" s="2" t="inlineStr">
        <is>
          <t>короткая</t>
        </is>
      </c>
      <c r="C5084" s="2" t="n">
        <v>8262</v>
      </c>
      <c r="D5084" s="3" t="inlineStr">
        <is>
          <t>Рассказ бывалого пилота</t>
        </is>
      </c>
      <c r="E5084" s="2" t="n">
        <v>1984</v>
      </c>
      <c r="F5084" s="2" t="inlineStr">
        <is>
          <t>телефильм</t>
        </is>
      </c>
      <c r="G5084" s="2" t="n"/>
      <c r="H5084" s="2" t="n">
        <v>291</v>
      </c>
      <c r="I5084" s="2" t="inlineStr"/>
      <c r="J5084" s="2" t="inlineStr"/>
      <c r="K5084" s="3" t="inlineStr">
        <is>
          <t>Телефильм. По вине неземного злодея рейсовый самолет землян застревает в облаках. Таинственный пришелец, замысливший разобщить пассажиров, предлагает каждому свой способ спасения. Но пассажиры отвергают его предложения, и совместными усилиями находят блестящий выход из создавшейся ситуации.</t>
        </is>
      </c>
      <c r="L5084" s="2" t="inlineStr">
        <is>
          <t>Кино_СССР сводный каталог.xlsx: список телефильмов</t>
        </is>
      </c>
      <c r="M5084" s="2">
        <f>HYPERLINK("https://ru.wikipedia.org/w/index.php?search=%D0%A0%D0%B0%D1%81%D1%81%D0%BA%D0%B0%D0%B7%20%D0%B1%D1%8B%D0%B2%D0%B0%D0%BB%D0%BE%D0%B3%D0%BE%20%D0%BF%D0%B8%D0%BB%D0%BE%D1%82%D0%B0%201984%20%D1%84%D0%B8%D0%BB%D1%8C%D0%BC","искать")</f>
        <v/>
      </c>
      <c r="N5084" s="3" t="n"/>
      <c r="O5084" s="2" t="n"/>
      <c r="P5084" s="2" t="n"/>
    </row>
    <row r="5085">
      <c r="A5085" s="2" t="n">
        <v>5084</v>
      </c>
      <c r="B5085" s="2" t="inlineStr">
        <is>
          <t>короткая</t>
        </is>
      </c>
      <c r="C5085" s="2" t="n">
        <v>8336</v>
      </c>
      <c r="D5085" s="3" t="inlineStr">
        <is>
          <t>Серебристая нить</t>
        </is>
      </c>
      <c r="E5085" s="2" t="n">
        <v>1984</v>
      </c>
      <c r="F5085" s="2" t="inlineStr">
        <is>
          <t>телефильм</t>
        </is>
      </c>
      <c r="G5085" s="2" t="n"/>
      <c r="H5085" s="2" t="n">
        <v>291</v>
      </c>
      <c r="I5085" s="2" t="inlineStr"/>
      <c r="J5085" s="2" t="inlineStr"/>
      <c r="K5085" s="3" t="inlineStr">
        <is>
          <t>«Белое золото» (хлопок) проходит долгий путь от хлопкового поля до текстильного комбината, и на этом пути люди отдают серебристой нити свою заботу, труд и любовь. История любви таджика Султана Асоева — механизатора на хлопковых полях, и русской девушки — знатной ткачихи Светланы Гончаровой.</t>
        </is>
      </c>
      <c r="L5085" s="2" t="inlineStr">
        <is>
          <t>https://ru.wikipedia.org/w/index.php?title=%D0%A1%D0%B5%D1%80%D0%B5%D0%B1%D1%80%D0%B8%D1%81%D1%82%D0%B0%D1%8F_%D0%BD%D0%B8%D1%82%D1%8C&amp;oldid=154704505</t>
        </is>
      </c>
      <c r="M5085" s="2">
        <f>HYPERLINK("https://ru.wikipedia.org/w/index.php?search=%D0%A1%D0%B5%D1%80%D0%B5%D0%B1%D1%80%D0%B8%D1%81%D1%82%D0%B0%D1%8F%20%D0%BD%D0%B8%D1%82%D1%8C%201984%20%D1%84%D0%B8%D0%BB%D1%8C%D0%BC","искать")</f>
        <v/>
      </c>
      <c r="N5085" s="3" t="n"/>
      <c r="O5085" s="2" t="n"/>
      <c r="P5085" s="2" t="n"/>
    </row>
    <row r="5086">
      <c r="A5086" s="2" t="n">
        <v>5085</v>
      </c>
      <c r="B5086" s="2" t="inlineStr">
        <is>
          <t>короткая</t>
        </is>
      </c>
      <c r="C5086" s="2" t="n">
        <v>8597</v>
      </c>
      <c r="D5086" s="3" t="inlineStr">
        <is>
          <t>Это было за Нарвской заставой</t>
        </is>
      </c>
      <c r="E5086" s="2" t="n">
        <v>1981</v>
      </c>
      <c r="F5086" s="2" t="inlineStr">
        <is>
          <t>телефильм</t>
        </is>
      </c>
      <c r="G5086" s="2" t="n"/>
      <c r="H5086" s="2" t="n">
        <v>291</v>
      </c>
      <c r="I5086" s="2" t="inlineStr"/>
      <c r="J5086" s="2" t="inlineStr"/>
      <c r="K5086" s="3" t="inlineStr">
        <is>
          <t>По мотивам оперетты Г.Свиридова “Огоньки”. В Петербурге за Нарвской заставой большое волнение - появился революционер Нечаев, который будет настраивать рабочих на борьбу. Ни околоточный, ни филер, ни владелец кабака - никто не знает, как он выглядит. Но все решительно настроены поймать его.</t>
        </is>
      </c>
      <c r="L5086" s="2" t="inlineStr">
        <is>
          <t>Кино_СССР сводный каталог.xlsx: список телефильмов</t>
        </is>
      </c>
      <c r="M5086" s="2">
        <f>HYPERLINK("https://ru.wikipedia.org/w/index.php?search=%D0%AD%D1%82%D0%BE%20%D0%B1%D1%8B%D0%BB%D0%BE%20%D0%B7%D0%B0%20%D0%9D%D0%B0%D1%80%D0%B2%D1%81%D0%BA%D0%BE%D0%B9%20%D0%B7%D0%B0%D1%81%D1%82%D0%B0%D0%B2%D0%BE%D0%B9%201981%20%D1%84%D0%B8%D0%BB%D1%8C%D0%BC","искать")</f>
        <v/>
      </c>
      <c r="N5086" s="3" t="n"/>
      <c r="O5086" s="2" t="n"/>
      <c r="P5086" s="2" t="n"/>
    </row>
    <row r="5087">
      <c r="A5087" s="2" t="n">
        <v>5086</v>
      </c>
      <c r="B5087" s="2" t="inlineStr">
        <is>
          <t>короткая</t>
        </is>
      </c>
      <c r="C5087" s="2" t="n">
        <v>9111</v>
      </c>
      <c r="D5087" s="3" t="inlineStr">
        <is>
          <t>Три лимона для любимой</t>
        </is>
      </c>
      <c r="E5087" s="2" t="n">
        <v>1987</v>
      </c>
      <c r="F5087" s="2" t="inlineStr">
        <is>
          <t>кинофильм</t>
        </is>
      </c>
      <c r="G5087" s="2" t="n"/>
      <c r="H5087" s="2" t="n">
        <v>291</v>
      </c>
      <c r="I5087" s="2" t="inlineStr"/>
      <c r="J5087" s="2" t="inlineStr"/>
      <c r="K5087" s="3" t="inlineStr">
        <is>
          <t>По рассказу Николая Березовского с использованием фрагментов рассказа О.Генри "Персики". По дороге едет машина. Девушка причесывается глядя в зеркало. Это - Маша. Рядом ее муж Гриша читает ей книгу. Через несколько минут у Маши начинаются схватки. Гриша отвозит жену в роддом. Майский парад.</t>
        </is>
      </c>
      <c r="L5087" s="2" t="inlineStr">
        <is>
          <t>Кино_СССР сводный каталог.xlsx: список фильмов (доп.)</t>
        </is>
      </c>
      <c r="M5087" s="2">
        <f>HYPERLINK("https://ru.wikipedia.org/w/index.php?search=%D0%A2%D1%80%D0%B8%20%D0%BB%D0%B8%D0%BC%D0%BE%D0%BD%D0%B0%20%D0%B4%D0%BB%D1%8F%20%D0%BB%D1%8E%D0%B1%D0%B8%D0%BC%D0%BE%D0%B9%201987%20%D1%84%D0%B8%D0%BB%D1%8C%D0%BC","искать")</f>
        <v/>
      </c>
      <c r="N5087" s="3" t="n"/>
      <c r="O5087" s="2" t="n"/>
      <c r="P5087" s="2" t="n"/>
    </row>
    <row r="5088">
      <c r="A5088" s="2" t="n">
        <v>5087</v>
      </c>
      <c r="B5088" s="2" t="inlineStr">
        <is>
          <t>короткая</t>
        </is>
      </c>
      <c r="C5088" s="2" t="n">
        <v>9261</v>
      </c>
      <c r="D5088" s="3" t="inlineStr">
        <is>
          <t>В полосе прибоя</t>
        </is>
      </c>
      <c r="E5088" s="2" t="n">
        <v>1990</v>
      </c>
      <c r="F5088" s="2" t="inlineStr">
        <is>
          <t>кинофильм</t>
        </is>
      </c>
      <c r="G5088" s="2" t="n"/>
      <c r="H5088" s="2" t="n">
        <v>291</v>
      </c>
      <c r="I5088" s="2" t="inlineStr"/>
      <c r="J5088" s="2" t="inlineStr"/>
      <c r="K5088" s="3" t="inlineStr">
        <is>
          <t>По мотивам повести Анатолия Ромова "При невыясненных обстоятельствах". Осень 1989 года. Во время нападения на инкассаторов убивают милиционера приморского городка. Майор Ровнин, друг погибшего, прибывает из Москвы, чтобы расследовать дело. Помощь московского специалиста явно кому-то мешает.</t>
        </is>
      </c>
      <c r="L5088" s="2" t="inlineStr">
        <is>
          <t>Кино_СССР сводный каталог.xlsx: список фильмов (доп.)</t>
        </is>
      </c>
      <c r="M5088" s="2">
        <f>HYPERLINK("https://ru.wikipedia.org/w/index.php?search=%D0%92%20%D0%BF%D0%BE%D0%BB%D0%BE%D1%81%D0%B5%20%D0%BF%D1%80%D0%B8%D0%B1%D0%BE%D1%8F%201990%20%D1%84%D0%B8%D0%BB%D1%8C%D0%BC","искать")</f>
        <v/>
      </c>
      <c r="N5088" s="3" t="n"/>
      <c r="O5088" s="2" t="n"/>
      <c r="P5088" s="2" t="n"/>
    </row>
    <row r="5089">
      <c r="A5089" s="2" t="n">
        <v>5088</v>
      </c>
      <c r="B5089" s="2" t="inlineStr">
        <is>
          <t>короткая</t>
        </is>
      </c>
      <c r="C5089" s="2" t="n">
        <v>10112</v>
      </c>
      <c r="D5089" s="3" t="inlineStr">
        <is>
          <t>Очарованный странник</t>
        </is>
      </c>
      <c r="E5089" s="2" t="n">
        <v>1963</v>
      </c>
      <c r="F5089" s="2" t="inlineStr">
        <is>
          <t>фильм-спектакль</t>
        </is>
      </c>
      <c r="G5089" s="2" t="inlineStr">
        <is>
          <t>Ленинградское ТВ</t>
        </is>
      </c>
      <c r="H5089" s="2" t="n">
        <v>291</v>
      </c>
      <c r="I5089" s="2" t="inlineStr"/>
      <c r="J5089" s="2" t="inlineStr"/>
      <c r="K5089" s="3" t="inlineStr">
        <is>
          <t>Телеспектакль по повести Н.Лескова.
История жизни простого русского мужика Ивана Флягина, с честью вынесшего все тяготы и испытания судьбы, рассказанная им самим случайным попутчикам, поражает своей простотой и искренностью, граничащей с исповедью.
Руководитель цыганского хора - С. Сорокин.</t>
        </is>
      </c>
      <c r="L5089" s="2" t="inlineStr">
        <is>
          <t>https://www.kino-teatr.ru/teatr/movie/9082/annot/</t>
        </is>
      </c>
      <c r="M5089" s="2">
        <f>HYPERLINK("https://ru.wikipedia.org/w/index.php?search=%D0%9E%D1%87%D0%B0%D1%80%D0%BE%D0%B2%D0%B0%D0%BD%D0%BD%D1%8B%D0%B9%20%D1%81%D1%82%D1%80%D0%B0%D0%BD%D0%BD%D0%B8%D0%BA%201963%20%D1%84%D0%B8%D0%BB%D1%8C%D0%BC","искать")</f>
        <v/>
      </c>
      <c r="N5089" s="3" t="n"/>
      <c r="O5089" s="2" t="n"/>
      <c r="P5089" s="2" t="n"/>
    </row>
    <row r="5090">
      <c r="A5090" s="2" t="n">
        <v>5089</v>
      </c>
      <c r="B5090" s="2" t="inlineStr">
        <is>
          <t>короткая</t>
        </is>
      </c>
      <c r="C5090" s="2" t="n">
        <v>14289</v>
      </c>
      <c r="D5090" s="3" t="inlineStr">
        <is>
          <t>Утенок Тим</t>
        </is>
      </c>
      <c r="E5090" s="2" t="n">
        <v>1970</v>
      </c>
      <c r="F5090" s="2" t="inlineStr">
        <is>
          <t>мультфильм</t>
        </is>
      </c>
      <c r="G5090" s="2" t="inlineStr">
        <is>
          <t>КИЕВНАУЧФИЛЬМ</t>
        </is>
      </c>
      <c r="H5090" s="2" t="n">
        <v>291</v>
      </c>
      <c r="I5090" s="2" t="inlineStr"/>
      <c r="J5090" s="2" t="inlineStr"/>
      <c r="K5090" s="3" t="inlineStr">
        <is>
          <t>По мотивам одноименной сказки Э.Блайтона. Маленький утенок Тим очень любопытен. И когда мама выводит все утиное семейство на прогулку, внимание Тима всегда что-нибудь отвлекает. Однажды Тим спас от хитрой лисы котенка Черныша, и они очень подружились. Вдвоем им удалось перехитрить даже лису</t>
        </is>
      </c>
      <c r="L5090" s="2" t="inlineStr">
        <is>
          <t>https://gosfilmofond.ru/films/255181/</t>
        </is>
      </c>
      <c r="M5090" s="2">
        <f>HYPERLINK("https://ru.wikipedia.org/w/index.php?search=%D0%A3%D1%82%D0%B5%D0%BD%D0%BE%D0%BA%20%D0%A2%D0%B8%D0%BC%201970%20%D1%84%D0%B8%D0%BB%D1%8C%D0%BC","искать")</f>
        <v/>
      </c>
      <c r="N5090" s="3" t="n"/>
      <c r="O5090" s="2" t="n"/>
      <c r="P5090" s="2" t="n"/>
    </row>
    <row r="5091">
      <c r="A5091" s="2" t="n">
        <v>5090</v>
      </c>
      <c r="B5091" s="2" t="inlineStr">
        <is>
          <t>короткая</t>
        </is>
      </c>
      <c r="C5091" s="2" t="n">
        <v>8282</v>
      </c>
      <c r="D5091" s="3" t="inlineStr">
        <is>
          <t>Рождённая революцией</t>
        </is>
      </c>
      <c r="E5091" s="2" t="n">
        <v>1974</v>
      </c>
      <c r="F5091" s="2" t="inlineStr">
        <is>
          <t>телефильм</t>
        </is>
      </c>
      <c r="G5091" s="2" t="n"/>
      <c r="H5091" s="2" t="n">
        <v>292</v>
      </c>
      <c r="I5091" s="2" t="inlineStr"/>
      <c r="J5091" s="2" t="inlineStr"/>
      <c r="K5091" s="3" t="inlineStr">
        <is>
          <t>Сериал рассказывает о первых днях и последующей деятельности советских правоохранительных органов от лица главного героя — сотрудника петроградской милиции Николая Кондратьева в период с 1917 по 1970-е годы. Молодой рабочий Путиловского завода Кондратьев по зову долга идёт работать в «угро».</t>
        </is>
      </c>
      <c r="L5091" s="2" t="inlineStr">
        <is>
          <t>Кино_СССР сводный каталог.xlsx: список телефильмов</t>
        </is>
      </c>
      <c r="M5091" s="2">
        <f>HYPERLINK("https://ru.wikipedia.org/w/index.php?search=%D0%A0%D0%BE%D0%B6%D0%B4%D1%91%D0%BD%D0%BD%D0%B0%D1%8F%20%D1%80%D0%B5%D0%B2%D0%BE%D0%BB%D1%8E%D1%86%D0%B8%D0%B5%D0%B9%201974%20%D1%84%D0%B8%D0%BB%D1%8C%D0%BC","искать")</f>
        <v/>
      </c>
      <c r="N5091" s="3" t="n"/>
      <c r="O5091" s="2" t="n"/>
      <c r="P5091" s="2" t="n"/>
    </row>
    <row r="5092">
      <c r="A5092" s="2" t="n">
        <v>5091</v>
      </c>
      <c r="B5092" s="2" t="inlineStr">
        <is>
          <t>короткая</t>
        </is>
      </c>
      <c r="C5092" s="2" t="n">
        <v>8697</v>
      </c>
      <c r="D5092" s="3" t="inlineStr">
        <is>
          <t>День любви</t>
        </is>
      </c>
      <c r="E5092" s="2" t="n">
        <v>1990</v>
      </c>
      <c r="F5092" s="2" t="inlineStr">
        <is>
          <t>кинофильм</t>
        </is>
      </c>
      <c r="G5092" s="2" t="n"/>
      <c r="H5092" s="2" t="n">
        <v>292</v>
      </c>
      <c r="I5092" s="2" t="inlineStr"/>
      <c r="J5092" s="2" t="inlineStr"/>
      <c r="K5092" s="3" t="inlineStr">
        <is>
          <t>Чтобы показать, кто в городе является хозяином, члены банды "Моталка" устраивают "день любви" - массовые изнасилования. Одной из жертв становится королева красоты Кристина. Отец Кристины - немец, приехавший в город в командировку, и ее отчим совершают справедливое возмездие над надругателями</t>
        </is>
      </c>
      <c r="L5092" s="2" t="inlineStr">
        <is>
          <t>https://gosfilmofond.ru/films/249533/</t>
        </is>
      </c>
      <c r="M5092" s="2">
        <f>HYPERLINK("https://ru.wikipedia.org/w/index.php?search=%D0%94%D0%B5%D0%BD%D1%8C%20%D0%BB%D1%8E%D0%B1%D0%B2%D0%B8%201990%20%D1%84%D0%B8%D0%BB%D1%8C%D0%BC","искать")</f>
        <v/>
      </c>
      <c r="N5092" s="3" t="n"/>
      <c r="O5092" s="2" t="n"/>
      <c r="P5092" s="2" t="n"/>
    </row>
    <row r="5093">
      <c r="A5093" s="2" t="n">
        <v>5092</v>
      </c>
      <c r="B5093" s="2" t="inlineStr">
        <is>
          <t>короткая</t>
        </is>
      </c>
      <c r="C5093" s="2" t="n">
        <v>8812</v>
      </c>
      <c r="D5093" s="3" t="inlineStr">
        <is>
          <t>Майя и Пайя</t>
        </is>
      </c>
      <c r="E5093" s="2" t="n">
        <v>1990</v>
      </c>
      <c r="F5093" s="2" t="inlineStr">
        <is>
          <t>кинофильм</t>
        </is>
      </c>
      <c r="G5093" s="2" t="n"/>
      <c r="H5093" s="2" t="n">
        <v>292</v>
      </c>
      <c r="I5093" s="2" t="inlineStr"/>
      <c r="J5093" s="2" t="inlineStr"/>
      <c r="K5093" s="3" t="inlineStr">
        <is>
          <t>Сказка о чудесных приключениях в подземном царстве двух сестёр: доброй, трудолюбивой и честной сироте Майе и избалованной, ленивой, завистливой и мстительной дочери свирепой мачехи Пайе. В подземном царстве их ждут всевозможные испытания, и в итоге каждая из них получает награду по заслугам.</t>
        </is>
      </c>
      <c r="L5093" s="2" t="inlineStr">
        <is>
          <t>https://ru.wikipedia.org/w/index.php?title=%D0%9C%D0%B0%D0%B9%D1%8F_%D0%B8_%D0%9F%D0%B0%D0%B9%D1%8F_%28%D1%84%D0%B8%D0%BB%D1%8C%D0%BC%29&amp;oldid=154699031</t>
        </is>
      </c>
      <c r="M5093" s="2">
        <f>HYPERLINK("https://ru.wikipedia.org/w/index.php?search=%D0%9C%D0%B0%D0%B9%D1%8F%20%D0%B8%20%D0%9F%D0%B0%D0%B9%D1%8F%201990%20%D1%84%D0%B8%D0%BB%D1%8C%D0%BC","искать")</f>
        <v/>
      </c>
      <c r="N5093" s="3" t="n"/>
      <c r="O5093" s="2" t="n"/>
      <c r="P5093" s="2" t="n"/>
    </row>
    <row r="5094">
      <c r="A5094" s="2" t="n">
        <v>5093</v>
      </c>
      <c r="B5094" s="2" t="inlineStr">
        <is>
          <t>короткая</t>
        </is>
      </c>
      <c r="C5094" s="2" t="n">
        <v>8902</v>
      </c>
      <c r="D5094" s="3" t="inlineStr">
        <is>
          <t>Осенний ветер</t>
        </is>
      </c>
      <c r="E5094" s="2" t="n">
        <v>1986</v>
      </c>
      <c r="F5094" s="2" t="inlineStr">
        <is>
          <t>кинофильм</t>
        </is>
      </c>
      <c r="G5094" s="2" t="n"/>
      <c r="H5094" s="2" t="n">
        <v>292</v>
      </c>
      <c r="I5094" s="2" t="inlineStr"/>
      <c r="J5094" s="2" t="inlineStr"/>
      <c r="K5094" s="3" t="inlineStr">
        <is>
          <t>По мотивам пьесы французского драматурга Жана Поля Венцеля "Далеко от Агонданжа". Действие происходит во Франции. Жорж и Мари на старости лет купили дом в сельской местности вдали от родного города. Но это не принесло им счастья. Медленно и монотонно протекал остаток жизни одиноких стариков.</t>
        </is>
      </c>
      <c r="L5094" s="2" t="inlineStr">
        <is>
          <t>Кино_СССР сводный каталог.xlsx: список фильмов (доп.)</t>
        </is>
      </c>
      <c r="M5094" s="2">
        <f>HYPERLINK("https://ru.wikipedia.org/w/index.php?search=%D0%9E%D1%81%D0%B5%D0%BD%D0%BD%D0%B8%D0%B9%20%D0%B2%D0%B5%D1%82%D0%B5%D1%80%201986%20%D1%84%D0%B8%D0%BB%D1%8C%D0%BC","искать")</f>
        <v/>
      </c>
      <c r="N5094" s="3" t="n"/>
      <c r="O5094" s="2" t="n"/>
      <c r="P5094" s="2" t="n"/>
    </row>
    <row r="5095">
      <c r="A5095" s="2" t="n">
        <v>5094</v>
      </c>
      <c r="B5095" s="2" t="inlineStr">
        <is>
          <t>короткая</t>
        </is>
      </c>
      <c r="C5095" s="2" t="n">
        <v>9069</v>
      </c>
      <c r="D5095" s="3" t="inlineStr">
        <is>
          <t>Стена</t>
        </is>
      </c>
      <c r="E5095" s="2" t="n">
        <v>1990</v>
      </c>
      <c r="F5095" s="2" t="inlineStr">
        <is>
          <t>кинофильм</t>
        </is>
      </c>
      <c r="G5095" s="2" t="n"/>
      <c r="H5095" s="2" t="n">
        <v>292</v>
      </c>
      <c r="I5095" s="2" t="inlineStr"/>
      <c r="J5095" s="2" t="inlineStr"/>
      <c r="K5095" s="3" t="inlineStr">
        <is>
          <t>Фильм "Стена" - перенесенная на грузинскую почву экранизация знаменитой экзистенциалистской повести Жана-Поля Сартра с тем же названием. Действие происходит в Грузии во время гражданской войны двадцатых годов. Чекисты пытаются узнать у Александра, где скрывается Леван, враг советской власти.</t>
        </is>
      </c>
      <c r="L5095" s="2" t="inlineStr">
        <is>
          <t>Кино_СССР сводный каталог.xlsx: список фильмов (доп.)</t>
        </is>
      </c>
      <c r="M5095" s="2">
        <f>HYPERLINK("https://ru.wikipedia.org/w/index.php?search=%D0%A1%D1%82%D0%B5%D0%BD%D0%B0%201990%20%D1%84%D0%B8%D0%BB%D1%8C%D0%BC","искать")</f>
        <v/>
      </c>
      <c r="N5095" s="3" t="n"/>
      <c r="O5095" s="2" t="n"/>
      <c r="P5095" s="2" t="n"/>
    </row>
    <row r="5096">
      <c r="A5096" s="2" t="n">
        <v>5095</v>
      </c>
      <c r="B5096" s="2" t="inlineStr">
        <is>
          <t>короткая</t>
        </is>
      </c>
      <c r="C5096" s="2" t="n">
        <v>11362</v>
      </c>
      <c r="D5096" s="3" t="inlineStr">
        <is>
          <t>Волшебный цветок</t>
        </is>
      </c>
      <c r="E5096" s="2" t="n">
        <v>1974</v>
      </c>
      <c r="F5096" s="2" t="inlineStr">
        <is>
          <t>фильм-опера/балет</t>
        </is>
      </c>
      <c r="G5096" s="2" t="n"/>
      <c r="H5096" s="2" t="n">
        <v>292</v>
      </c>
      <c r="I5096" s="2" t="inlineStr"/>
      <c r="J5096" s="2" t="inlineStr"/>
      <c r="K5096" s="3" t="inlineStr">
        <is>
          <t>Фильм-балет по мотивам классической поэмы Мирзо Бедиля "Комде и Модан". История трагической любви индийской танцовщицы Комде и таджикского певца и музыканта Модана. Танцовщица Комде - и лик и стать, Лишь дерзкой кисти гения понять. И в танце, так изяшна, так легка, Игривей озорного мотылька.</t>
        </is>
      </c>
      <c r="L5096" s="2" t="inlineStr">
        <is>
          <t>Кино_СССР телефильмы и пропуски включить в базу.xlsx</t>
        </is>
      </c>
      <c r="M5096" s="2">
        <f>HYPERLINK("https://ru.wikipedia.org/w/index.php?search=%D0%92%D0%BE%D0%BB%D1%88%D0%B5%D0%B1%D0%BD%D1%8B%D0%B9%20%D1%86%D0%B2%D0%B5%D1%82%D0%BE%D0%BA%201974%20%D1%84%D0%B8%D0%BB%D1%8C%D0%BC","искать")</f>
        <v/>
      </c>
      <c r="N5096" s="3" t="n"/>
      <c r="O5096" s="2" t="n"/>
      <c r="P5096" s="2" t="n"/>
    </row>
    <row r="5097">
      <c r="A5097" s="2" t="n">
        <v>5096</v>
      </c>
      <c r="B5097" s="2" t="inlineStr">
        <is>
          <t>короткая</t>
        </is>
      </c>
      <c r="C5097" s="2" t="n">
        <v>12660</v>
      </c>
      <c r="D5097" s="3" t="inlineStr">
        <is>
          <t>Аленкин цыпленок</t>
        </is>
      </c>
      <c r="E5097" s="2" t="n">
        <v>1974</v>
      </c>
      <c r="F5097" s="2" t="inlineStr">
        <is>
          <t>мультфильм</t>
        </is>
      </c>
      <c r="G5097" s="2" t="inlineStr">
        <is>
          <t>БЕЛАРУСЬФИЛЬМ НАЦИОНАЛЬНАЯ КИНОСТУДИЯ - ГП</t>
        </is>
      </c>
      <c r="H5097" s="2" t="n">
        <v>292</v>
      </c>
      <c r="I5097" s="2" t="inlineStr"/>
      <c r="J5097" s="2" t="inlineStr"/>
      <c r="K5097" s="3" t="inlineStr">
        <is>
          <t>Однажды у девочки по имени Аленка появился новый питомец - цыпленок. Он оказался непоседой и сразу же отправился гулять по двору, не подозревая об опасностях, которые подстерегали его на каждом шагу. Даже под крылышком мамы-наседки не укрыться от зла, если у тебя нет надежных, верных друзей.</t>
        </is>
      </c>
      <c r="L5097" s="2" t="inlineStr">
        <is>
          <t>2026-10_мультфильмы_список_владельца.xlsx; https://animator.ru/db/?p=show_film&amp;fid=3853</t>
        </is>
      </c>
      <c r="M5097" s="2">
        <f>HYPERLINK("https://ru.wikipedia.org/w/index.php?search=%D0%90%D0%BB%D0%B5%D0%BD%D0%BA%D0%B8%D0%BD%20%D1%86%D1%8B%D0%BF%D0%BB%D0%B5%D0%BD%D0%BE%D0%BA%201974%20%D1%84%D0%B8%D0%BB%D1%8C%D0%BC","искать")</f>
        <v/>
      </c>
      <c r="N5097" s="3" t="n"/>
      <c r="O5097" s="2" t="n"/>
      <c r="P5097" s="2" t="n"/>
    </row>
    <row r="5098">
      <c r="A5098" s="2" t="n">
        <v>5097</v>
      </c>
      <c r="B5098" s="2" t="inlineStr">
        <is>
          <t>короткая</t>
        </is>
      </c>
      <c r="C5098" s="2" t="n">
        <v>7824</v>
      </c>
      <c r="D5098" s="3" t="inlineStr">
        <is>
          <t>Льдина в тёплом море</t>
        </is>
      </c>
      <c r="E5098" s="2" t="n">
        <v>1983</v>
      </c>
      <c r="F5098" s="2" t="inlineStr">
        <is>
          <t>телефильм</t>
        </is>
      </c>
      <c r="G5098" s="2" t="n"/>
      <c r="H5098" s="2" t="n">
        <v>293</v>
      </c>
      <c r="I5098" s="2" t="inlineStr"/>
      <c r="J5098" s="2" t="inlineStr"/>
      <c r="K5098" s="3" t="inlineStr">
        <is>
          <t>Телефильм по мотивам повести Д. Алибекова "Зимние приключения". Старый ремонтник судоверфи усто-Назар вышел на работу после болезни. Там уже приготовились провожать старика на пенсию. Но усто-Назар смог убедить начальство в своей работоспособности, и поручили ему отремонтировать старый катер.</t>
        </is>
      </c>
      <c r="L5098" s="2" t="inlineStr">
        <is>
          <t>Кино_СССР сводный каталог.xlsx: список телефильмов</t>
        </is>
      </c>
      <c r="M5098" s="2">
        <f>HYPERLINK("https://ru.wikipedia.org/w/index.php?search=%D0%9B%D1%8C%D0%B4%D0%B8%D0%BD%D0%B0%20%D0%B2%20%D1%82%D1%91%D0%BF%D0%BB%D0%BE%D0%BC%20%D0%BC%D0%BE%D1%80%D0%B5%201983%20%D1%84%D0%B8%D0%BB%D1%8C%D0%BC","искать")</f>
        <v/>
      </c>
      <c r="N5098" s="3" t="n"/>
      <c r="O5098" s="2" t="n"/>
      <c r="P5098" s="2" t="n"/>
    </row>
    <row r="5099">
      <c r="A5099" s="2" t="n">
        <v>5098</v>
      </c>
      <c r="B5099" s="2" t="inlineStr">
        <is>
          <t>короткая</t>
        </is>
      </c>
      <c r="C5099" s="2" t="n">
        <v>8057</v>
      </c>
      <c r="D5099" s="3" t="inlineStr">
        <is>
          <t>Остров</t>
        </is>
      </c>
      <c r="E5099" s="2" t="n">
        <v>1989</v>
      </c>
      <c r="F5099" s="2" t="inlineStr">
        <is>
          <t>телефильм</t>
        </is>
      </c>
      <c r="G5099" s="2" t="n"/>
      <c r="H5099" s="2" t="n">
        <v>293</v>
      </c>
      <c r="I5099" s="2" t="inlineStr"/>
      <c r="J5099" s="2" t="inlineStr"/>
      <c r="K5099" s="3" t="inlineStr">
        <is>
          <t>События происходят на безлюдном острове, куда ранним утром теплоход высадил влюбленных Сашу и Риту. Здесь же появляются: чудаковатый Жора, молодой "Дед Мороз" и "Рыжий", который оказывается бывшим мужем Риты. Между Сашей и "Рыжим" возникает ссора, перешедшая в драку, где побеждает бывший муж.</t>
        </is>
      </c>
      <c r="L5099" s="2" t="inlineStr">
        <is>
          <t>Кино_СССР сводный каталог.xlsx: список телефильмов</t>
        </is>
      </c>
      <c r="M5099" s="2">
        <f>HYPERLINK("https://ru.wikipedia.org/w/index.php?search=%D0%9E%D1%81%D1%82%D1%80%D0%BE%D0%B2%201989%20%D1%84%D0%B8%D0%BB%D1%8C%D0%BC","искать")</f>
        <v/>
      </c>
      <c r="N5099" s="3" t="n"/>
      <c r="O5099" s="2" t="n"/>
      <c r="P5099" s="2" t="n"/>
    </row>
    <row r="5100">
      <c r="A5100" s="2" t="n">
        <v>5099</v>
      </c>
      <c r="B5100" s="2" t="inlineStr">
        <is>
          <t>короткая</t>
        </is>
      </c>
      <c r="C5100" s="2" t="n">
        <v>8685</v>
      </c>
      <c r="D5100" s="3" t="inlineStr">
        <is>
          <t>Грань</t>
        </is>
      </c>
      <c r="E5100" s="2" t="n">
        <v>1989</v>
      </c>
      <c r="F5100" s="2" t="inlineStr">
        <is>
          <t>кинофильм</t>
        </is>
      </c>
      <c r="G5100" s="2" t="inlineStr">
        <is>
          <t>КАТАРСИС (Казахстан)</t>
        </is>
      </c>
      <c r="H5100" s="2" t="n">
        <v>293</v>
      </c>
      <c r="I5100" s="2" t="inlineStr"/>
      <c r="J5100" s="2" t="inlineStr"/>
      <c r="K5100" s="3" t="inlineStr">
        <is>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is>
      </c>
      <c r="L5100" s="2" t="inlineStr">
        <is>
          <t>Кино_СССР сводный каталог.xlsx: список фильмов (доп.)</t>
        </is>
      </c>
      <c r="M5100" s="2">
        <f>HYPERLINK("https://ru.wikipedia.org/w/index.php?search=%D0%93%D1%80%D0%B0%D0%BD%D1%8C%201989%20%D1%84%D0%B8%D0%BB%D1%8C%D0%BC","искать")</f>
        <v/>
      </c>
      <c r="N5100" s="3" t="n"/>
      <c r="O5100" s="2" t="n"/>
      <c r="P5100" s="2" t="n"/>
    </row>
    <row r="5101">
      <c r="A5101" s="2" t="n">
        <v>5100</v>
      </c>
      <c r="B5101" s="2" t="inlineStr">
        <is>
          <t>короткая</t>
        </is>
      </c>
      <c r="C5101" s="2" t="n">
        <v>8836</v>
      </c>
      <c r="D5101" s="3" t="inlineStr">
        <is>
          <t>Миленький ты мой...</t>
        </is>
      </c>
      <c r="E5101" s="2" t="n">
        <v>1991</v>
      </c>
      <c r="F5101" s="2" t="inlineStr">
        <is>
          <t>кинофильм</t>
        </is>
      </c>
      <c r="G5101" s="2" t="n"/>
      <c r="H5101" s="2" t="n">
        <v>293</v>
      </c>
      <c r="I5101" s="2" t="inlineStr"/>
      <c r="J5101" s="2" t="inlineStr"/>
      <c r="K5101" s="3" t="inlineStr">
        <is>
          <t>Попытки спившегося сорокалетнего актера Александра Никитина вернуться к творческой жизни терпят неудачу. От Александра ушла жена, но появились "друзья" для вечного запоя и похмелья. И в этой его странной жизни появляется ангел-спаситель в образе милой театралки из провинции - Жени Сундуковой.</t>
        </is>
      </c>
      <c r="L5101" s="2" t="inlineStr">
        <is>
          <t>Кино_СССР сводный каталог.xlsx: список фильмов (доп.)</t>
        </is>
      </c>
      <c r="M5101" s="2">
        <f>HYPERLINK("https://ru.wikipedia.org/w/index.php?search=%D0%9C%D0%B8%D0%BB%D0%B5%D0%BD%D1%8C%D0%BA%D0%B8%D0%B9%20%D1%82%D1%8B%20%D0%BC%D0%BE%D0%B9...%201991%20%D1%84%D0%B8%D0%BB%D1%8C%D0%BC","искать")</f>
        <v/>
      </c>
      <c r="N5101" s="3" t="n"/>
      <c r="O5101" s="2" t="n"/>
      <c r="P5101" s="2" t="n"/>
    </row>
    <row r="5102">
      <c r="A5102" s="2" t="n">
        <v>5101</v>
      </c>
      <c r="B5102" s="2" t="inlineStr">
        <is>
          <t>короткая</t>
        </is>
      </c>
      <c r="C5102" s="2" t="n">
        <v>14431</v>
      </c>
      <c r="D5102" s="3" t="inlineStr">
        <is>
          <t>Проклятая книга</t>
        </is>
      </c>
      <c r="E5102" s="2" t="n">
        <v>1990</v>
      </c>
      <c r="F5102" s="2" t="inlineStr">
        <is>
          <t>мультфильм</t>
        </is>
      </c>
      <c r="G5102" s="2" t="inlineStr">
        <is>
          <t>СОЮЗТЕЛЕФИЛЬМ</t>
        </is>
      </c>
      <c r="H5102" s="2" t="n">
        <v>293</v>
      </c>
      <c r="I5102" s="2" t="inlineStr"/>
      <c r="J5102" s="2" t="inlineStr"/>
      <c r="K5102" s="3" t="inlineStr">
        <is>
          <t>По мотивам одноименного рассказа Г.Честертона. Экстрасенс профессор Опеншоу настолько отрывается от реальной жизни, что путает военную тревогу с сигналом из потустороннего мира. Пастор Браун, со свойственной ему иронией, возвращает увлекшегося профессора к истинным проблемам сегодняшнего дня.</t>
        </is>
      </c>
      <c r="L5102" s="2" t="inlineStr">
        <is>
          <t>https://animator.ru/db/?p=show_film&amp;fid=6674</t>
        </is>
      </c>
      <c r="M5102" s="2">
        <f>HYPERLINK("https://ru.wikipedia.org/w/index.php?search=%D0%9F%D1%80%D0%BE%D0%BA%D0%BB%D1%8F%D1%82%D0%B0%D1%8F%20%D0%BA%D0%BD%D0%B8%D0%B3%D0%B0%201990%20%D1%84%D0%B8%D0%BB%D1%8C%D0%BC","искать")</f>
        <v/>
      </c>
      <c r="N5102" s="3" t="n"/>
      <c r="O5102" s="2" t="n"/>
      <c r="P5102" s="2" t="n"/>
    </row>
    <row r="5103">
      <c r="A5103" s="2" t="n">
        <v>5102</v>
      </c>
      <c r="B5103" s="2" t="inlineStr">
        <is>
          <t>короткая</t>
        </is>
      </c>
      <c r="C5103" s="2" t="n">
        <v>7459</v>
      </c>
      <c r="D5103" s="3" t="inlineStr">
        <is>
          <t>Гостья из будущего</t>
        </is>
      </c>
      <c r="E5103" s="2" t="n">
        <v>1984</v>
      </c>
      <c r="F5103" s="2" t="inlineStr">
        <is>
          <t>телефильм</t>
        </is>
      </c>
      <c r="G5103" s="2" t="n"/>
      <c r="H5103" s="2" t="n">
        <v>294</v>
      </c>
      <c r="I5103" s="2" t="inlineStr"/>
      <c r="J5103" s="2" t="inlineStr"/>
      <c r="K5103" s="3" t="inlineStr">
        <is>
          <t>Телесериал. Борьба с космическими пиратами, захватывающее путешествие во времени, знакомство с девочкой из будущего Алисой Селезнёвой — вот к чему привёл обычный поход за кефиром мальчика Колю из 6-Б класса. Фильм поставлен по мотивам фантастического романа Кира Булычёва "Сто лет тому вперёд".</t>
        </is>
      </c>
      <c r="L5103" s="2" t="inlineStr">
        <is>
          <t>Кино_СССР сводный каталог.xlsx: список телефильмов</t>
        </is>
      </c>
      <c r="M5103" s="2">
        <f>HYPERLINK("https://ru.wikipedia.org/w/index.php?search=%D0%93%D0%BE%D1%81%D1%82%D1%8C%D1%8F%20%D0%B8%D0%B7%20%D0%B1%D1%83%D0%B4%D1%83%D1%89%D0%B5%D0%B3%D0%BE%201984%20%D1%84%D0%B8%D0%BB%D1%8C%D0%BC","искать")</f>
        <v/>
      </c>
      <c r="N5103" s="3" t="n"/>
      <c r="O5103" s="2" t="n"/>
      <c r="P5103" s="2" t="n"/>
    </row>
    <row r="5104">
      <c r="A5104" s="2" t="n">
        <v>5103</v>
      </c>
      <c r="B5104" s="2" t="inlineStr">
        <is>
          <t>короткая</t>
        </is>
      </c>
      <c r="C5104" s="2" t="n">
        <v>7491</v>
      </c>
      <c r="D5104" s="3" t="inlineStr">
        <is>
          <t>Дезертир</t>
        </is>
      </c>
      <c r="E5104" s="2" t="n">
        <v>1989</v>
      </c>
      <c r="F5104" s="2" t="inlineStr">
        <is>
          <t>телефильм</t>
        </is>
      </c>
      <c r="G5104" s="2" t="n"/>
      <c r="H5104" s="2" t="n">
        <v>294</v>
      </c>
      <c r="I5104" s="2" t="inlineStr"/>
      <c r="J5104" s="2" t="inlineStr"/>
      <c r="K5104" s="3" t="inlineStr">
        <is>
          <t>По мотивам рассказа Булата Фидарова "У большака". Эта драматическая история происходит в Северной Осетии в годы Великой Отечественной войны. Во время боя с фашистами лейтенант Сослан был контужен и попал в плен. Домой приходит похоронка. Но он бежал из плена и прячется на чердаке родного дома.</t>
        </is>
      </c>
      <c r="L5104" s="2" t="inlineStr">
        <is>
          <t>Кино_СССР сводный каталог.xlsx: список телефильмов</t>
        </is>
      </c>
      <c r="M5104" s="2">
        <f>HYPERLINK("https://ru.wikipedia.org/w/index.php?search=%D0%94%D0%B5%D0%B7%D0%B5%D1%80%D1%82%D0%B8%D1%80%201989%20%D1%84%D0%B8%D0%BB%D1%8C%D0%BC","искать")</f>
        <v/>
      </c>
      <c r="N5104" s="3" t="n"/>
      <c r="O5104" s="2" t="n"/>
      <c r="P5104" s="2" t="n"/>
    </row>
    <row r="5105">
      <c r="A5105" s="2" t="n">
        <v>5104</v>
      </c>
      <c r="B5105" s="2" t="inlineStr">
        <is>
          <t>короткая</t>
        </is>
      </c>
      <c r="C5105" s="2" t="n">
        <v>7795</v>
      </c>
      <c r="D5105" s="3" t="inlineStr">
        <is>
          <t>Лес, в который ты никогда не войдёшь</t>
        </is>
      </c>
      <c r="E5105" s="2" t="n">
        <v>1978</v>
      </c>
      <c r="F5105" s="2" t="inlineStr">
        <is>
          <t>телефильм</t>
        </is>
      </c>
      <c r="G5105" s="2" t="n"/>
      <c r="H5105" s="2" t="n">
        <v>294</v>
      </c>
      <c r="I5105" s="2" t="inlineStr"/>
      <c r="J5105" s="2" t="inlineStr"/>
      <c r="K5105" s="3" t="inlineStr">
        <is>
          <t>Телефильм. Десятиклассники одной из городских школ приехали на двухнедельную практику в соседний леспромхоз. Вначале ребята чувствовали себя туристами. Но участие в посадке леса под руководством лесничего Юрия - настоящего энтузиаста своего дела, пробудило в них чувство любви к родной природе.</t>
        </is>
      </c>
      <c r="L5105" s="2" t="inlineStr">
        <is>
          <t>Кино_СССР сводный каталог.xlsx: список телефильмов</t>
        </is>
      </c>
      <c r="M5105" s="2">
        <f>HYPERLINK("https://ru.wikipedia.org/w/index.php?search=%D0%9B%D0%B5%D1%81%2C%20%D0%B2%20%D0%BA%D0%BE%D1%82%D0%BE%D1%80%D1%8B%D0%B9%20%D1%82%D1%8B%20%D0%BD%D0%B8%D0%BA%D0%BE%D0%B3%D0%B4%D0%B0%20%D0%BD%D0%B5%20%D0%B2%D0%BE%D0%B9%D0%B4%D1%91%D1%88%D1%8C%201978%20%D1%84%D0%B8%D0%BB%D1%8C%D0%BC","искать")</f>
        <v/>
      </c>
      <c r="N5105" s="3" t="n"/>
      <c r="O5105" s="2" t="n"/>
      <c r="P5105" s="2" t="n"/>
    </row>
    <row r="5106">
      <c r="A5106" s="2" t="n">
        <v>5105</v>
      </c>
      <c r="B5106" s="2" t="inlineStr">
        <is>
          <t>короткая</t>
        </is>
      </c>
      <c r="C5106" s="2" t="n">
        <v>8387</v>
      </c>
      <c r="D5106" s="3" t="inlineStr">
        <is>
          <t>Софья Петровна</t>
        </is>
      </c>
      <c r="E5106" s="2" t="n">
        <v>1989</v>
      </c>
      <c r="F5106" s="2" t="inlineStr">
        <is>
          <t>телефильм</t>
        </is>
      </c>
      <c r="G5106" s="2" t="inlineStr">
        <is>
          <t>Мосфильм</t>
        </is>
      </c>
      <c r="H5106" s="2" t="n">
        <v>294</v>
      </c>
      <c r="I5106" s="2" t="inlineStr"/>
      <c r="J5106" s="2" t="inlineStr"/>
      <c r="K5106" s="3" t="inlineStr">
        <is>
          <t>По одноименной повести Лидии Чуковской. Ленинград. Середина 30-х годов. Женщина с пустыми от горя глазами поднесла к пламени уголок письма. Бумага, уже успевшая отсыреть, вспыхнула не сразу, сопротивляясь, дымила. Строчка за строчкой обращались в пепел... «Милая мамочка... как-то ты поживаешь.</t>
        </is>
      </c>
      <c r="L5106" s="2" t="inlineStr">
        <is>
          <t>Кино_СССР сводный каталог.xlsx: список телефильмов</t>
        </is>
      </c>
      <c r="M5106" s="2">
        <f>HYPERLINK("https://ru.wikipedia.org/w/index.php?search=%D0%A1%D0%BE%D1%84%D1%8C%D1%8F%20%D0%9F%D0%B5%D1%82%D1%80%D0%BE%D0%B2%D0%BD%D0%B0%201989%20%D1%84%D0%B8%D0%BB%D1%8C%D0%BC","искать")</f>
        <v/>
      </c>
      <c r="N5106" s="3" t="n"/>
      <c r="O5106" s="2" t="n"/>
      <c r="P5106" s="2" t="n"/>
    </row>
    <row r="5107">
      <c r="A5107" s="2" t="n">
        <v>5106</v>
      </c>
      <c r="B5107" s="2" t="inlineStr">
        <is>
          <t>короткая</t>
        </is>
      </c>
      <c r="C5107" s="2" t="n">
        <v>8740</v>
      </c>
      <c r="D5107" s="3" t="inlineStr">
        <is>
          <t>Зять из провинции</t>
        </is>
      </c>
      <c r="E5107" s="2" t="n">
        <v>1987</v>
      </c>
      <c r="F5107" s="2" t="inlineStr">
        <is>
          <t>кинофильм</t>
        </is>
      </c>
      <c r="G5107" s="2" t="inlineStr">
        <is>
          <t>Казахфильм</t>
        </is>
      </c>
      <c r="H5107" s="2" t="n">
        <v>294</v>
      </c>
      <c r="I5107" s="2" t="inlineStr"/>
      <c r="J5107" s="2" t="inlineStr"/>
      <c r="K5107" s="3" t="inlineStr">
        <is>
          <t>Парень из аула по имени Есен женится на городской девушке, у которой родственники имеют определенное положение в обществе и входят в городскую элиту. Зятя новая семья и их друзья радушно принимают в свой клан и открывают перед ним двери в "другую жизнь", но Есену не нравится такой образ жизни.</t>
        </is>
      </c>
      <c r="L5107" s="2" t="inlineStr">
        <is>
          <t>Кино_СССР сводный каталог.xlsx: список фильмов (доп.)</t>
        </is>
      </c>
      <c r="M5107" s="2">
        <f>HYPERLINK("https://ru.wikipedia.org/w/index.php?search=%D0%97%D1%8F%D1%82%D1%8C%20%D0%B8%D0%B7%20%D0%BF%D1%80%D0%BE%D0%B2%D0%B8%D0%BD%D1%86%D0%B8%D0%B8%201987%20%D1%84%D0%B8%D0%BB%D1%8C%D0%BC","искать")</f>
        <v/>
      </c>
      <c r="N5107" s="3" t="n"/>
      <c r="O5107" s="2" t="n"/>
      <c r="P5107" s="2" t="n"/>
    </row>
    <row r="5108">
      <c r="A5108" s="2" t="n">
        <v>5107</v>
      </c>
      <c r="B5108" s="2" t="inlineStr">
        <is>
          <t>короткая</t>
        </is>
      </c>
      <c r="C5108" s="2" t="n">
        <v>9593</v>
      </c>
      <c r="D5108" s="3" t="inlineStr">
        <is>
          <t>Пробуждение</t>
        </is>
      </c>
      <c r="E5108" s="2" t="n">
        <v>1989</v>
      </c>
      <c r="F5108" s="2" t="inlineStr">
        <is>
          <t>кинофильм</t>
        </is>
      </c>
      <c r="G5108" s="2" t="n"/>
      <c r="H5108" s="2" t="n">
        <v>294</v>
      </c>
      <c r="I5108" s="2" t="inlineStr"/>
      <c r="J5108" s="2" t="inlineStr"/>
      <c r="K5108" s="3" t="inlineStr">
        <is>
          <t>По мотивам пьесы Атанаса Шкемы. Казис, руководитель антисталинской группировки в Вильнюсе, оказывается в застенках НКВД. Его допрашивает бывший одноклассник Пиюс. Когда-то они оба любили Эляну, которая стала женой Казиса. А теперь Пиюс вырвал у судьбы шанс - и готов уничтожить счастливую пару.</t>
        </is>
      </c>
      <c r="L5108" s="2" t="inlineStr">
        <is>
          <t>Кино_СССР сводный каталог.xlsx: список фильмов (доп.)</t>
        </is>
      </c>
      <c r="M5108" s="2">
        <f>HYPERLINK("https://ru.wikipedia.org/w/index.php?search=%D0%9F%D1%80%D0%BE%D0%B1%D1%83%D0%B6%D0%B4%D0%B5%D0%BD%D0%B8%D0%B5%201989%20%D1%84%D0%B8%D0%BB%D1%8C%D0%BC","искать")</f>
        <v/>
      </c>
      <c r="N5108" s="3" t="n"/>
      <c r="O5108" s="2" t="n"/>
      <c r="P5108" s="2" t="n"/>
    </row>
    <row r="5109">
      <c r="A5109" s="2" t="n">
        <v>5108</v>
      </c>
      <c r="B5109" s="2" t="inlineStr">
        <is>
          <t>короткая</t>
        </is>
      </c>
      <c r="C5109" s="2" t="n">
        <v>10439</v>
      </c>
      <c r="D5109" s="3" t="inlineStr">
        <is>
          <t>Доктор Жуков, на выезд!</t>
        </is>
      </c>
      <c r="E5109" s="2" t="n">
        <v>1972</v>
      </c>
      <c r="F5109" s="2" t="inlineStr">
        <is>
          <t>фильм-спектакль</t>
        </is>
      </c>
      <c r="G5109" s="2" t="inlineStr">
        <is>
          <t>Главная редакция литературно-драматических программ ЦТ, Подборки фильмов, отечественные фильмы про врачей</t>
        </is>
      </c>
      <c r="H5109" s="2" t="n">
        <v>294</v>
      </c>
      <c r="I5109" s="2" t="inlineStr"/>
      <c r="J5109" s="2" t="inlineStr"/>
      <c r="K5109" s="3" t="inlineStr">
        <is>
          <t>Молодой врач Георгий Жуков делает первые шаги в медицине. Подчас ему приходится трудно: не всегда легко установить верный диагноз, найти быстрое решение в острой ситуации, выбрать верный тон в разговоре с больными. Но рядом с ним - опытные врачи и верные товарищи, которые всегда готовы помочь.</t>
        </is>
      </c>
      <c r="L5109" s="2" t="inlineStr">
        <is>
          <t>https://www.kino-teatr.ru/teatr/movie/16365/annot/</t>
        </is>
      </c>
      <c r="M5109" s="2">
        <f>HYPERLINK("https://ru.wikipedia.org/w/index.php?search=%D0%94%D0%BE%D0%BA%D1%82%D0%BE%D1%80%20%D0%96%D1%83%D0%BA%D0%BE%D0%B2%2C%20%D0%BD%D0%B0%20%D0%B2%D1%8B%D0%B5%D0%B7%D0%B4%21%201972%20%D1%84%D0%B8%D0%BB%D1%8C%D0%BC","искать")</f>
        <v/>
      </c>
      <c r="N5109" s="3" t="n"/>
      <c r="O5109" s="2" t="n"/>
      <c r="P5109" s="2" t="n"/>
    </row>
    <row r="5110">
      <c r="A5110" s="2" t="n">
        <v>5109</v>
      </c>
      <c r="B5110" s="2" t="inlineStr">
        <is>
          <t>короткая</t>
        </is>
      </c>
      <c r="C5110" s="2" t="n">
        <v>10694</v>
      </c>
      <c r="D5110" s="3" t="inlineStr">
        <is>
          <t>Лунев сегодня и завтра</t>
        </is>
      </c>
      <c r="E5110" s="2" t="n">
        <v>1977</v>
      </c>
      <c r="F5110" s="2" t="inlineStr">
        <is>
          <t>фильм-спектакль</t>
        </is>
      </c>
      <c r="G5110" s="2" t="n"/>
      <c r="H5110" s="2" t="n">
        <v>294</v>
      </c>
      <c r="I5110" s="2" t="inlineStr"/>
      <c r="J5110" s="2" t="inlineStr"/>
      <c r="K5110" s="3" t="inlineStr">
        <is>
          <t>По одноименной пьесе Симона Соловейчика.
Учитель математики Иван Лунев предлагает новый способ обучения детей. Это нововведение дало блестящие результаты. Однако находятся у него и противники...
Прообразом главного героя телеспектакля послужил известный педагог средней школы Донецка И.Шаталов.</t>
        </is>
      </c>
      <c r="L5110" s="2" t="inlineStr">
        <is>
          <t>https://www.kino-teatr.ru/teatr/movie/104718/annot/</t>
        </is>
      </c>
      <c r="M5110" s="2">
        <f>HYPERLINK("https://ru.wikipedia.org/w/index.php?search=%D0%9B%D1%83%D0%BD%D0%B5%D0%B2%20%D1%81%D0%B5%D0%B3%D0%BE%D0%B4%D0%BD%D1%8F%20%D0%B8%20%D0%B7%D0%B0%D0%B2%D1%82%D1%80%D0%B0%201977%20%D1%84%D0%B8%D0%BB%D1%8C%D0%BC","искать")</f>
        <v/>
      </c>
      <c r="N5110" s="3" t="n"/>
      <c r="O5110" s="2" t="n"/>
      <c r="P5110" s="2" t="n"/>
    </row>
    <row r="5111">
      <c r="A5111" s="2" t="n">
        <v>5110</v>
      </c>
      <c r="B5111" s="2" t="inlineStr">
        <is>
          <t>короткая</t>
        </is>
      </c>
      <c r="C5111" s="2" t="n">
        <v>10897</v>
      </c>
      <c r="D5111" s="3" t="inlineStr">
        <is>
          <t>Охотник</t>
        </is>
      </c>
      <c r="E5111" s="2" t="n">
        <v>1981</v>
      </c>
      <c r="F5111" s="2" t="inlineStr">
        <is>
          <t>фильм-спектакль</t>
        </is>
      </c>
      <c r="G5111" s="2" t="inlineStr">
        <is>
          <t>Центральное телевидение</t>
        </is>
      </c>
      <c r="H5111" s="2" t="n">
        <v>294</v>
      </c>
      <c r="I5111" s="2" t="inlineStr"/>
      <c r="J5111" s="2" t="inlineStr"/>
      <c r="K5111" s="3" t="inlineStr">
        <is>
          <t>По сатирической пьесе Сергея Михалкова.
Кандидат наук Невидимский одержим желанием получить докторскую степень. Однажды, представившись бывшим одноклассником, к нему приходит некто Шапкин с просьбой прочесть рукопись. Невидимский решает использовать эту работу для своей докторской диссертации.</t>
        </is>
      </c>
      <c r="L5111" s="2" t="inlineStr">
        <is>
          <t>https://www.kino-teatr.ru/teatr/movie/16806/annot/</t>
        </is>
      </c>
      <c r="M5111" s="2">
        <f>HYPERLINK("https://ru.wikipedia.org/w/index.php?search=%D0%9E%D1%85%D0%BE%D1%82%D0%BD%D0%B8%D0%BA%201981%20%D1%84%D0%B8%D0%BB%D1%8C%D0%BC","искать")</f>
        <v/>
      </c>
      <c r="N5111" s="3" t="n"/>
      <c r="O5111" s="2" t="n"/>
      <c r="P5111" s="2" t="n"/>
    </row>
    <row r="5112">
      <c r="A5112" s="2" t="n">
        <v>5111</v>
      </c>
      <c r="B5112" s="2" t="inlineStr">
        <is>
          <t>короткая</t>
        </is>
      </c>
      <c r="C5112" s="2" t="n">
        <v>7344</v>
      </c>
      <c r="D5112" s="3" t="inlineStr">
        <is>
          <t>Вилюс Каралюс</t>
        </is>
      </c>
      <c r="E5112" s="2" t="n">
        <v>1988</v>
      </c>
      <c r="F5112" s="2" t="inlineStr">
        <is>
          <t>телефильм</t>
        </is>
      </c>
      <c r="G5112" s="2" t="n"/>
      <c r="H5112" s="2" t="n">
        <v>295</v>
      </c>
      <c r="I5112" s="2" t="inlineStr"/>
      <c r="J5112" s="2" t="inlineStr"/>
      <c r="K5112" s="3" t="inlineStr">
        <is>
          <t>По одноимённому роману Евы Симонайтите. Фильм рассказывает о жизни деревни Малой Литвы в конце XIX начале XX века. Старый Каралюс перед смертью завещал своим сыновьям жить дружно и не забывать о своих литовских корнях. Но для Вилюса Каралюса главное - жить богато. Он женится на красавице Грете.</t>
        </is>
      </c>
      <c r="L5112" s="2" t="inlineStr">
        <is>
          <t>Кино_СССР сводный каталог.xlsx: список телефильмов</t>
        </is>
      </c>
      <c r="M5112" s="2">
        <f>HYPERLINK("https://ru.wikipedia.org/w/index.php?search=%D0%92%D0%B8%D0%BB%D1%8E%D1%81%20%D0%9A%D0%B0%D1%80%D0%B0%D0%BB%D1%8E%D1%81%201988%20%D1%84%D0%B8%D0%BB%D1%8C%D0%BC","искать")</f>
        <v/>
      </c>
      <c r="N5112" s="3" t="n"/>
      <c r="O5112" s="2" t="n"/>
      <c r="P5112" s="2" t="n"/>
    </row>
    <row r="5113">
      <c r="A5113" s="2" t="n">
        <v>5112</v>
      </c>
      <c r="B5113" s="2" t="inlineStr">
        <is>
          <t>короткая</t>
        </is>
      </c>
      <c r="C5113" s="2" t="n">
        <v>7646</v>
      </c>
      <c r="D5113" s="3" t="inlineStr">
        <is>
          <t>Зима - не полевой сезон</t>
        </is>
      </c>
      <c r="E5113" s="2" t="n">
        <v>1972</v>
      </c>
      <c r="F5113" s="2" t="inlineStr">
        <is>
          <t>телефильм</t>
        </is>
      </c>
      <c r="G5113" s="2" t="n"/>
      <c r="H5113" s="2" t="n">
        <v>295</v>
      </c>
      <c r="I5113" s="2" t="inlineStr"/>
      <c r="J5113" s="2" t="inlineStr"/>
      <c r="K5113" s="3" t="inlineStr">
        <is>
          <t>Кариев не может защитить кандидатскую диссертацию, так как не имеет для своей идеи необходимого теоретического обоснования. Молодые геологи – Куров, Мухамедов и Сараев, работавшие в геологической партии под руководством Кариева, помогают ему, проявив способность решать крупные научные проблемы.</t>
        </is>
      </c>
      <c r="L5113" s="2" t="inlineStr">
        <is>
          <t>Кино_СССР сводный каталог.xlsx: список телефильмов</t>
        </is>
      </c>
      <c r="M5113" s="2">
        <f>HYPERLINK("https://ru.wikipedia.org/w/index.php?search=%D0%97%D0%B8%D0%BC%D0%B0%20-%20%D0%BD%D0%B5%20%D0%BF%D0%BE%D0%BB%D0%B5%D0%B2%D0%BE%D0%B9%20%D1%81%D0%B5%D0%B7%D0%BE%D0%BD%201972%20%D1%84%D0%B8%D0%BB%D1%8C%D0%BC","искать")</f>
        <v/>
      </c>
      <c r="N5113" s="3" t="n"/>
      <c r="O5113" s="2" t="n"/>
      <c r="P5113" s="2" t="n"/>
    </row>
    <row r="5114">
      <c r="A5114" s="2" t="n">
        <v>5113</v>
      </c>
      <c r="B5114" s="2" t="inlineStr">
        <is>
          <t>короткая</t>
        </is>
      </c>
      <c r="C5114" s="2" t="n">
        <v>8385</v>
      </c>
      <c r="D5114" s="3" t="inlineStr">
        <is>
          <t>Соседи</t>
        </is>
      </c>
      <c r="E5114" s="2" t="n">
        <v>1979</v>
      </c>
      <c r="F5114" s="2" t="inlineStr">
        <is>
          <t>телефильм</t>
        </is>
      </c>
      <c r="G5114" s="2" t="n"/>
      <c r="H5114" s="2" t="n">
        <v>295</v>
      </c>
      <c r="I5114" s="2" t="inlineStr"/>
      <c r="J5114" s="2" t="inlineStr"/>
      <c r="K5114" s="3" t="inlineStr">
        <is>
          <t>Телефильм состоит из трех новелл, повествующих о забавных случаях из жизни соседей одной белорусской деревушки. В новелле "Попугай, яблоко и…" деревенского мальчишку Сашку несправедливо обвиняют в краже попугая и велосипедного колеса. "Лесник и…" рассказывает о невезучем леснике Никите Тыркиче.</t>
        </is>
      </c>
      <c r="L5114" s="2" t="inlineStr">
        <is>
          <t>Кино_СССР сводный каталог.xlsx: список телефильмов</t>
        </is>
      </c>
      <c r="M5114" s="2">
        <f>HYPERLINK("https://ru.wikipedia.org/w/index.php?search=%D0%A1%D0%BE%D1%81%D0%B5%D0%B4%D0%B8%201979%20%D1%84%D0%B8%D0%BB%D1%8C%D0%BC","искать")</f>
        <v/>
      </c>
      <c r="N5114" s="3" t="n"/>
      <c r="O5114" s="2" t="n"/>
      <c r="P5114" s="2" t="n"/>
    </row>
    <row r="5115">
      <c r="A5115" s="2" t="n">
        <v>5114</v>
      </c>
      <c r="B5115" s="2" t="inlineStr">
        <is>
          <t>короткая</t>
        </is>
      </c>
      <c r="C5115" s="2" t="n">
        <v>8541</v>
      </c>
      <c r="D5115" s="3" t="inlineStr">
        <is>
          <t>Чародейная ночь</t>
        </is>
      </c>
      <c r="E5115" s="2" t="n">
        <v>1989</v>
      </c>
      <c r="F5115" s="2" t="inlineStr">
        <is>
          <t>телефильм</t>
        </is>
      </c>
      <c r="G5115" s="2" t="n"/>
      <c r="H5115" s="2" t="n">
        <v>295</v>
      </c>
      <c r="I5115" s="2" t="inlineStr"/>
      <c r="J5115" s="2" t="inlineStr"/>
      <c r="K5115" s="3" t="inlineStr">
        <is>
          <t>Телефильм по пьесе Славомира Мрожека. Двое командировочных, давно вместе работающие и постоянно вместе разъезжающие, поселяются в один номер гостиницы. Это им обоим неприятно, но уже привычно. Слегка пикируясь, кому где спать, кому первому умыться и т.д., они, уставшие успокаиваются и засыпают.</t>
        </is>
      </c>
      <c r="L5115" s="2" t="inlineStr">
        <is>
          <t>Кино_СССР сводный каталог.xlsx: список телефильмов</t>
        </is>
      </c>
      <c r="M5115" s="2">
        <f>HYPERLINK("https://ru.wikipedia.org/w/index.php?search=%D0%A7%D0%B0%D1%80%D0%BE%D0%B4%D0%B5%D0%B9%D0%BD%D0%B0%D1%8F%20%D0%BD%D0%BE%D1%87%D1%8C%201989%20%D1%84%D0%B8%D0%BB%D1%8C%D0%BC","искать")</f>
        <v/>
      </c>
      <c r="N5115" s="3" t="n"/>
      <c r="O5115" s="2" t="n"/>
      <c r="P5115" s="2" t="n"/>
    </row>
    <row r="5116">
      <c r="A5116" s="2" t="n">
        <v>5115</v>
      </c>
      <c r="B5116" s="2" t="inlineStr">
        <is>
          <t>короткая</t>
        </is>
      </c>
      <c r="C5116" s="2" t="n">
        <v>8553</v>
      </c>
      <c r="D5116" s="3" t="inlineStr">
        <is>
          <t>Чёрная крыша</t>
        </is>
      </c>
      <c r="E5116" s="2" t="n">
        <v>1982</v>
      </c>
      <c r="F5116" s="2" t="inlineStr">
        <is>
          <t>телефильм</t>
        </is>
      </c>
      <c r="G5116" s="2" t="n"/>
      <c r="H5116" s="2" t="n">
        <v>295</v>
      </c>
      <c r="I5116" s="2" t="inlineStr"/>
      <c r="J5116" s="2" t="inlineStr"/>
      <c r="K5116" s="3" t="inlineStr">
        <is>
          <t>Фильм снят по пьесе "Леа" эстонского драматурга Юхана Смуула(1922-1971). Бывший жених девушки Леа, Эско Трахтер, отказавшийся от бедной невесты ради выгодного брака, служит у немцев.. «Леа Вийрес. Светлая, милая, человечная. Она хочет, но никак не может замкнуться в тесной сектантской скорлупе.</t>
        </is>
      </c>
      <c r="L5116" s="2" t="inlineStr">
        <is>
          <t>Кино_СССР сводный каталог.xlsx: список телефильмов</t>
        </is>
      </c>
      <c r="M5116" s="2">
        <f>HYPERLINK("https://ru.wikipedia.org/w/index.php?search=%D0%A7%D1%91%D1%80%D0%BD%D0%B0%D1%8F%20%D0%BA%D1%80%D1%8B%D1%88%D0%B0%201982%20%D1%84%D0%B8%D0%BB%D1%8C%D0%BC","искать")</f>
        <v/>
      </c>
      <c r="N5116" s="3" t="n"/>
      <c r="O5116" s="2" t="n"/>
      <c r="P5116" s="2" t="n"/>
    </row>
    <row r="5117">
      <c r="A5117" s="2" t="n">
        <v>5116</v>
      </c>
      <c r="B5117" s="2" t="inlineStr">
        <is>
          <t>короткая</t>
        </is>
      </c>
      <c r="C5117" s="2" t="n">
        <v>9301</v>
      </c>
      <c r="D5117" s="3" t="inlineStr">
        <is>
          <t>Гашим</t>
        </is>
      </c>
      <c r="E5117" s="2" t="n">
        <v>1929</v>
      </c>
      <c r="F5117" s="2" t="inlineStr">
        <is>
          <t>кинофильм</t>
        </is>
      </c>
      <c r="G5117" s="2" t="n"/>
      <c r="H5117" s="2" t="n">
        <v>295</v>
      </c>
      <c r="I5117" s="2" t="inlineStr"/>
      <c r="J5117" s="2" t="inlineStr"/>
      <c r="K5117" s="3" t="inlineStr">
        <is>
          <t>Главный герой - азербайджанский солдат Гашим, оказавшись в большевистской тюрьме в Армении, начинает понимать, что его враги не армяне, а богатые люди, которые настраивают друг против друга армян и азербайджанцев. Фильм был запрещен к прокату из-за "серьезных идейно-художественных недостатков".</t>
        </is>
      </c>
      <c r="L5117" s="2" t="inlineStr">
        <is>
          <t>Кино_СССР сводный каталог.xlsx: список фильмов (доп.)</t>
        </is>
      </c>
      <c r="M5117" s="2">
        <f>HYPERLINK("https://ru.wikipedia.org/w/index.php?search=%D0%93%D0%B0%D1%88%D0%B8%D0%BC%201929%20%D1%84%D0%B8%D0%BB%D1%8C%D0%BC","искать")</f>
        <v/>
      </c>
      <c r="N5117" s="3" t="n"/>
      <c r="O5117" s="2" t="n"/>
      <c r="P5117" s="2" t="n"/>
    </row>
    <row r="5118">
      <c r="A5118" s="2" t="n">
        <v>5117</v>
      </c>
      <c r="B5118" s="2" t="inlineStr">
        <is>
          <t>короткая</t>
        </is>
      </c>
      <c r="C5118" s="2" t="n">
        <v>9457</v>
      </c>
      <c r="D5118" s="3" t="inlineStr">
        <is>
          <t>Лошади в океане</t>
        </is>
      </c>
      <c r="E5118" s="2" t="n">
        <v>1989</v>
      </c>
      <c r="F5118" s="2" t="inlineStr">
        <is>
          <t>кинофильм</t>
        </is>
      </c>
      <c r="G5118" s="2" t="n"/>
      <c r="H5118" s="2" t="n">
        <v>295</v>
      </c>
      <c r="I5118" s="2" t="inlineStr"/>
      <c r="J5118" s="2" t="inlineStr"/>
      <c r="K5118" s="3" t="inlineStr">
        <is>
          <t>Режиссер детского театра Костров попадает в тюрьму по ложному обвинению. Его помещают в камеру к несовершеннолетним. С большим трудом ему удается установить в камере законы нормального общежития и нарушить принятую в зоне иерархию. Вскоре Кострова оправдывают. Однако домой он так и не вернется.</t>
        </is>
      </c>
      <c r="L5118" s="2" t="inlineStr">
        <is>
          <t>Кино_СССР сводный каталог.xlsx: список фильмов (доп.)</t>
        </is>
      </c>
      <c r="M5118" s="2">
        <f>HYPERLINK("https://ru.wikipedia.org/w/index.php?search=%D0%9B%D0%BE%D1%88%D0%B0%D0%B4%D0%B8%20%D0%B2%20%D0%BE%D0%BA%D0%B5%D0%B0%D0%BD%D0%B5%201989%20%D1%84%D0%B8%D0%BB%D1%8C%D0%BC","искать")</f>
        <v/>
      </c>
      <c r="N5118" s="3" t="n"/>
      <c r="O5118" s="2" t="n"/>
      <c r="P5118" s="2" t="n"/>
    </row>
    <row r="5119">
      <c r="A5119" s="2" t="n">
        <v>5118</v>
      </c>
      <c r="B5119" s="2" t="inlineStr">
        <is>
          <t>короткая</t>
        </is>
      </c>
      <c r="C5119" s="2" t="n">
        <v>9800</v>
      </c>
      <c r="D5119" s="3" t="inlineStr">
        <is>
          <t>Полесская хроника (1981, 1982, 1984)</t>
        </is>
      </c>
      <c r="E5119" s="2" t="n">
        <v>1981</v>
      </c>
      <c r="F5119" s="2" t="inlineStr">
        <is>
          <t>телефильм</t>
        </is>
      </c>
      <c r="G5119" s="2" t="inlineStr">
        <is>
          <t>Беларусьфильм</t>
        </is>
      </c>
      <c r="H5119" s="2" t="n">
        <v>295</v>
      </c>
      <c r="I5119" s="2" t="inlineStr"/>
      <c r="J5119" s="2" t="inlineStr"/>
      <c r="K5119" s="3" t="inlineStr">
        <is>
          <t>В 20-е годы в глухие места полесских болот пришла Советская власть. Однако зажиточные хозяева деревушки Курени не собирались отдавать свои земли крестьянам. Банды запугивали людей. Но крестьяне сами сделали первый шаг: всей деревней они вышли прокладывать гать через болото-дорогу к новой жизни.</t>
        </is>
      </c>
      <c r="L5119" s="2" t="inlineStr">
        <is>
          <t>https://www.kino-teatr.ru/kino/movie/sov/3635/annot/</t>
        </is>
      </c>
      <c r="M5119" s="2">
        <f>HYPERLINK("https://ru.wikipedia.org/w/index.php?search=%D0%9F%D0%BE%D0%BB%D0%B5%D1%81%D1%81%D0%BA%D0%B0%D1%8F%20%D1%85%D1%80%D0%BE%D0%BD%D0%B8%D0%BA%D0%B0%20%281981%2C%201982%2C%201984%29%201981%20%D1%84%D0%B8%D0%BB%D1%8C%D0%BC","искать")</f>
        <v/>
      </c>
      <c r="N5119" s="3" t="n"/>
      <c r="O5119" s="2" t="n"/>
      <c r="P5119" s="2" t="n"/>
    </row>
    <row r="5120">
      <c r="A5120" s="2" t="n">
        <v>5119</v>
      </c>
      <c r="B5120" s="2" t="inlineStr">
        <is>
          <t>короткая</t>
        </is>
      </c>
      <c r="C5120" s="2" t="n">
        <v>10183</v>
      </c>
      <c r="D5120" s="3" t="inlineStr">
        <is>
          <t>Бедная Лиза</t>
        </is>
      </c>
      <c r="E5120" s="2" t="n">
        <v>1967</v>
      </c>
      <c r="F5120" s="2" t="inlineStr">
        <is>
          <t>фильм-спектакль</t>
        </is>
      </c>
      <c r="G5120" s="2" t="n"/>
      <c r="H5120" s="2" t="n">
        <v>295</v>
      </c>
      <c r="I5120" s="2" t="inlineStr"/>
      <c r="J5120" s="2" t="inlineStr"/>
      <c r="K5120" s="3" t="inlineStr">
        <is>
          <t>Телеспектакль по одноименной повести Н.Карамзина из цикла "Литературный театр".
Злодей Эраст полюбил прекрасную селянку Лизу, обесчестил, предал и сбежал. Трагическая развязка не за горами.
В телеспектакле звучит "Элегическое трио" С.Рахманинова в исполнении И.Гусельникова, В.Кудрейко, С.Рябова</t>
        </is>
      </c>
      <c r="L5120" s="2" t="inlineStr">
        <is>
          <t>https://www.kino-teatr.ru/teatr/movie/81413/annot/</t>
        </is>
      </c>
      <c r="M5120" s="2">
        <f>HYPERLINK("https://ru.wikipedia.org/w/index.php?search=%D0%91%D0%B5%D0%B4%D0%BD%D0%B0%D1%8F%20%D0%9B%D0%B8%D0%B7%D0%B0%201967%20%D1%84%D0%B8%D0%BB%D1%8C%D0%BC","искать")</f>
        <v/>
      </c>
      <c r="N5120" s="3" t="n"/>
      <c r="O5120" s="2" t="n"/>
      <c r="P5120" s="2" t="n"/>
    </row>
    <row r="5121">
      <c r="A5121" s="2" t="n">
        <v>5120</v>
      </c>
      <c r="B5121" s="2" t="inlineStr">
        <is>
          <t>короткая</t>
        </is>
      </c>
      <c r="C5121" s="2" t="n">
        <v>10315</v>
      </c>
      <c r="D5121" s="3" t="inlineStr">
        <is>
          <t>Лена Костенецкая</t>
        </is>
      </c>
      <c r="E5121" s="2" t="n">
        <v>1969</v>
      </c>
      <c r="F5121" s="2" t="inlineStr">
        <is>
          <t>фильм-спектакль</t>
        </is>
      </c>
      <c r="G5121" s="2" t="inlineStr">
        <is>
          <t>Центральное телевидение</t>
        </is>
      </c>
      <c r="H5121" s="2" t="n">
        <v>295</v>
      </c>
      <c r="I5121" s="2" t="inlineStr"/>
      <c r="J5121" s="2" t="inlineStr"/>
      <c r="K5121" s="3" t="inlineStr">
        <is>
          <t>По мотивам романа Александра Фадеева "Последний из удэге". Дальний Восток, 1920-е годы. Гражданская война развела семьи по разные стороны баррикад. Как разобраться в этой ситуации молодой девушке, которая воспитывается у богатой тетушки, в то время, когда ее отец возглавляет партизанский отряд.</t>
        </is>
      </c>
      <c r="L5121" s="2" t="inlineStr">
        <is>
          <t>https://www.kino-teatr.ru/teatr/movie/104716/annot/</t>
        </is>
      </c>
      <c r="M5121" s="2">
        <f>HYPERLINK("https://ru.wikipedia.org/w/index.php?search=%D0%9B%D0%B5%D0%BD%D0%B0%20%D0%9A%D0%BE%D1%81%D1%82%D0%B5%D0%BD%D0%B5%D1%86%D0%BA%D0%B0%D1%8F%201969%20%D1%84%D0%B8%D0%BB%D1%8C%D0%BC","искать")</f>
        <v/>
      </c>
      <c r="N5121" s="3" t="n"/>
      <c r="O5121" s="2" t="n"/>
      <c r="P5121" s="2" t="n"/>
    </row>
    <row r="5122">
      <c r="A5122" s="2" t="n">
        <v>5121</v>
      </c>
      <c r="B5122" s="2" t="inlineStr">
        <is>
          <t>короткая</t>
        </is>
      </c>
      <c r="C5122" s="2" t="n">
        <v>11094</v>
      </c>
      <c r="D5122" s="3" t="inlineStr">
        <is>
          <t>БДТ тридцать лет спустя</t>
        </is>
      </c>
      <c r="E5122" s="2" t="n">
        <v>1986</v>
      </c>
      <c r="F5122" s="2" t="inlineStr">
        <is>
          <t>фильм-спектакль</t>
        </is>
      </c>
      <c r="G5122" s="2" t="inlineStr">
        <is>
          <t>Главная редакция литературно-драматических программ ЦТ</t>
        </is>
      </c>
      <c r="H5122" s="2" t="n">
        <v>295</v>
      </c>
      <c r="I5122" s="2" t="inlineStr"/>
      <c r="J5122" s="2" t="inlineStr"/>
      <c r="K5122" s="3" t="inlineStr">
        <is>
          <t>Спектакль БДТ, посвященный 30-летию творческой деятельности Г.А.Товстоногова. Замечательный спектакль-капустник в котором представлены сценки из спектаклей БДТ разных лет: "Ревизор", "Смерть Тарелкина", "Этот пылкий влюбленный", "История лошади", "На всякого мудреца довольно простоты" и другие.</t>
        </is>
      </c>
      <c r="L5122" s="2" t="inlineStr">
        <is>
          <t>https://www.kino-teatr.ru/teatr/movie/102099/annot/</t>
        </is>
      </c>
      <c r="M5122" s="2">
        <f>HYPERLINK("https://ru.wikipedia.org/w/index.php?search=%D0%91%D0%94%D0%A2%20%D1%82%D1%80%D0%B8%D0%B4%D1%86%D0%B0%D1%82%D1%8C%20%D0%BB%D0%B5%D1%82%20%D1%81%D0%BF%D1%83%D1%81%D1%82%D1%8F%201986%20%D1%84%D0%B8%D0%BB%D1%8C%D0%BC","искать")</f>
        <v/>
      </c>
      <c r="N5122" s="3" t="n"/>
      <c r="O5122" s="2" t="n"/>
      <c r="P5122" s="2" t="n"/>
    </row>
    <row r="5123">
      <c r="A5123" s="2" t="n">
        <v>5122</v>
      </c>
      <c r="B5123" s="2" t="inlineStr">
        <is>
          <t>короткая</t>
        </is>
      </c>
      <c r="C5123" s="2" t="n">
        <v>11774</v>
      </c>
      <c r="D5123" s="3" t="inlineStr">
        <is>
          <t>Конёк-Горбунок (1975)</t>
        </is>
      </c>
      <c r="E5123" s="2" t="n">
        <v>1975</v>
      </c>
      <c r="F5123" s="2" t="inlineStr">
        <is>
          <t>мультфильм</t>
        </is>
      </c>
      <c r="G5123" s="2" t="inlineStr">
        <is>
          <t>Союзмультфильм</t>
        </is>
      </c>
      <c r="H5123" s="2" t="n">
        <v>295</v>
      </c>
      <c r="I5123" s="2" t="inlineStr"/>
      <c r="J5123" s="2" t="inlineStr"/>
      <c r="K5123" s="3" t="inlineStr">
        <is>
          <t>О приключениях Иванушки-дурачка, которому в наследство достался чудесный Конек-Горбунок.С помощью своего верного друга Иванушка ловит жар-птицу, привозит старому царю прекрасную царь-девицу.Перехитрив всех своих недругов он превращается в Ивана-царевича и весело празднует свадьбу с царь-девицей</t>
        </is>
      </c>
      <c r="L5123" s="2" t="inlineStr">
        <is>
          <t>https://gosfilmofond.ru/films/249091/</t>
        </is>
      </c>
      <c r="M5123" s="2">
        <f>HYPERLINK("https://ru.wikipedia.org/w/index.php?search=%D0%9A%D0%BE%D0%BD%D1%91%D0%BA-%D0%93%D0%BE%D1%80%D0%B1%D1%83%D0%BD%D0%BE%D0%BA%20%281975%29%201975%20%D1%84%D0%B8%D0%BB%D1%8C%D0%BC","искать")</f>
        <v/>
      </c>
      <c r="N5123" s="3" t="n"/>
      <c r="O5123" s="2" t="n"/>
      <c r="P5123" s="2" t="n"/>
    </row>
    <row r="5124">
      <c r="A5124" s="2" t="n">
        <v>5123</v>
      </c>
      <c r="B5124" s="2" t="inlineStr">
        <is>
          <t>короткая</t>
        </is>
      </c>
      <c r="C5124" s="2" t="n">
        <v>8406</v>
      </c>
      <c r="D5124" s="3" t="inlineStr">
        <is>
          <t>Столкновение</t>
        </is>
      </c>
      <c r="E5124" s="2" t="n">
        <v>1984</v>
      </c>
      <c r="F5124" s="2" t="inlineStr">
        <is>
          <t>телефильм</t>
        </is>
      </c>
      <c r="G5124" s="2" t="n"/>
      <c r="H5124" s="2" t="n">
        <v>296</v>
      </c>
      <c r="I5124" s="2" t="inlineStr"/>
      <c r="J5124" s="2" t="inlineStr"/>
      <c r="K5124" s="3" t="inlineStr">
        <is>
          <t>Телефильм снят по мотивам романа Миколаса Слуцкиса "На исходе дня". Ответственный работник Казюкенас тяжело заболел. Ему приходится лечь в больницу и довериться известному хирургу Наримантасу. Больной и врач-старые знакомые. В юности они были неразлучными друзьями, но что-то разрушило их дружбу.</t>
        </is>
      </c>
      <c r="L5124" s="2" t="inlineStr">
        <is>
          <t>Кино_СССР сводный каталог.xlsx: список телефильмов</t>
        </is>
      </c>
      <c r="M5124" s="2">
        <f>HYPERLINK("https://ru.wikipedia.org/w/index.php?search=%D0%A1%D1%82%D0%BE%D0%BB%D0%BA%D0%BD%D0%BE%D0%B2%D0%B5%D0%BD%D0%B8%D0%B5%201984%20%D1%84%D0%B8%D0%BB%D1%8C%D0%BC","искать")</f>
        <v/>
      </c>
      <c r="N5124" s="3" t="n"/>
      <c r="O5124" s="2" t="n"/>
      <c r="P5124" s="2" t="n"/>
    </row>
    <row r="5125">
      <c r="A5125" s="2" t="n">
        <v>5124</v>
      </c>
      <c r="B5125" s="2" t="inlineStr">
        <is>
          <t>короткая</t>
        </is>
      </c>
      <c r="C5125" s="2" t="n">
        <v>8427</v>
      </c>
      <c r="D5125" s="3" t="inlineStr">
        <is>
          <t>Таежный моряк</t>
        </is>
      </c>
      <c r="E5125" s="2" t="n">
        <v>1983</v>
      </c>
      <c r="F5125" s="2" t="inlineStr">
        <is>
          <t>телефильм</t>
        </is>
      </c>
      <c r="G5125" s="2" t="n"/>
      <c r="H5125" s="2" t="n">
        <v>296</v>
      </c>
      <c r="I5125" s="2" t="inlineStr"/>
      <c r="J5125" s="2" t="inlineStr"/>
      <c r="K5125" s="3" t="inlineStr">
        <is>
          <t>Фильм снят по повести Валерия Поволяева "Таежный моряк. Далеко на Севере работает бригада газовиков, возглавляемая бригадиром Геной Морозовым. Во время вынужденной стоянки в поселке строителей-дорожников он знакомится с красавицей Любой, за которой ухаживал начальник дорожного участка Ростовцев.</t>
        </is>
      </c>
      <c r="L5125" s="2" t="inlineStr">
        <is>
          <t>Кино_СССР сводный каталог.xlsx: список телефильмов</t>
        </is>
      </c>
      <c r="M5125" s="2">
        <f>HYPERLINK("https://ru.wikipedia.org/w/index.php?search=%D0%A2%D0%B0%D0%B5%D0%B6%D0%BD%D1%8B%D0%B9%20%D0%BC%D0%BE%D1%80%D1%8F%D0%BA%201983%20%D1%84%D0%B8%D0%BB%D1%8C%D0%BC","искать")</f>
        <v/>
      </c>
      <c r="N5125" s="3" t="n"/>
      <c r="O5125" s="2" t="n"/>
      <c r="P5125" s="2" t="n"/>
    </row>
    <row r="5126">
      <c r="A5126" s="2" t="n">
        <v>5125</v>
      </c>
      <c r="B5126" s="2" t="inlineStr">
        <is>
          <t>короткая</t>
        </is>
      </c>
      <c r="C5126" s="2" t="n">
        <v>8975</v>
      </c>
      <c r="D5126" s="3" t="inlineStr">
        <is>
          <t>Призывники</t>
        </is>
      </c>
      <c r="E5126" s="2" t="n">
        <v>1987</v>
      </c>
      <c r="F5126" s="2" t="inlineStr">
        <is>
          <t>кинофильм</t>
        </is>
      </c>
      <c r="G5126" s="2" t="n"/>
      <c r="H5126" s="2" t="n">
        <v>296</v>
      </c>
      <c r="I5126" s="2" t="inlineStr"/>
      <c r="J5126" s="2" t="inlineStr"/>
      <c r="K5126" s="3" t="inlineStr">
        <is>
          <t>Фильм в комедийном жанре рассказывает о трёх закадычных друзьях - Поэте, Артисте и Чемпионе, которые буквально в один день получают повестки в армию и как из беспечных подростков они взрослеют на глазах и готовятся вступить во взрослую жизнь. Небольшой провинциальный город в белорусском Полесье.</t>
        </is>
      </c>
      <c r="L5126" s="2" t="inlineStr">
        <is>
          <t>Кино_СССР сводный каталог.xlsx: список фильмов (доп.)</t>
        </is>
      </c>
      <c r="M5126" s="2">
        <f>HYPERLINK("https://ru.wikipedia.org/w/index.php?search=%D0%9F%D1%80%D0%B8%D0%B7%D1%8B%D0%B2%D0%BD%D0%B8%D0%BA%D0%B8%201987%20%D1%84%D0%B8%D0%BB%D1%8C%D0%BC","искать")</f>
        <v/>
      </c>
      <c r="N5126" s="3" t="n"/>
      <c r="O5126" s="2" t="n"/>
      <c r="P5126" s="2" t="n"/>
    </row>
    <row r="5127">
      <c r="A5127" s="2" t="n">
        <v>5126</v>
      </c>
      <c r="B5127" s="2" t="inlineStr">
        <is>
          <t>короткая</t>
        </is>
      </c>
      <c r="C5127" s="2" t="n">
        <v>9710</v>
      </c>
      <c r="D5127" s="3" t="inlineStr">
        <is>
          <t>Улыбка</t>
        </is>
      </c>
      <c r="E5127" s="2" t="n">
        <v>1991</v>
      </c>
      <c r="F5127" s="2" t="inlineStr">
        <is>
          <t>кинофильм</t>
        </is>
      </c>
      <c r="G5127" s="2" t="n"/>
      <c r="H5127" s="2" t="n">
        <v>296</v>
      </c>
      <c r="I5127" s="2" t="inlineStr"/>
      <c r="J5127" s="2" t="inlineStr"/>
      <c r="K5127" s="3" t="inlineStr">
        <is>
          <t>По книге Дмитрия Лазарева. 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is>
      </c>
      <c r="L5127" s="2" t="inlineStr">
        <is>
          <t>Кино_СССР сводный каталог.xlsx: список фильмов (доп.)</t>
        </is>
      </c>
      <c r="M5127" s="2">
        <f>HYPERLINK("https://ru.wikipedia.org/w/index.php?search=%D0%A3%D0%BB%D1%8B%D0%B1%D0%BA%D0%B0%201991%20%D1%84%D0%B8%D0%BB%D1%8C%D0%BC","искать")</f>
        <v/>
      </c>
      <c r="N5127" s="3" t="n"/>
      <c r="O5127" s="2" t="n"/>
      <c r="P5127" s="2" t="n"/>
    </row>
    <row r="5128">
      <c r="A5128" s="2" t="n">
        <v>5127</v>
      </c>
      <c r="B5128" s="2" t="inlineStr">
        <is>
          <t>короткая</t>
        </is>
      </c>
      <c r="C5128" s="2" t="n">
        <v>9725</v>
      </c>
      <c r="D5128" s="3" t="inlineStr">
        <is>
          <t>Франка - жена Хама</t>
        </is>
      </c>
      <c r="E5128" s="2" t="n">
        <v>1990</v>
      </c>
      <c r="F5128" s="2" t="inlineStr">
        <is>
          <t>кинофильм</t>
        </is>
      </c>
      <c r="G5128" s="2" t="n"/>
      <c r="H5128" s="2" t="n">
        <v>296</v>
      </c>
      <c r="I5128" s="2" t="inlineStr"/>
      <c r="J5128" s="2" t="inlineStr"/>
      <c r="K5128" s="3" t="inlineStr">
        <is>
          <t>По мотивам повести Элизы Ожешко "Хам". Действие фильма происходит в начале ХХ века в белорусском селе. Красавица Франка, дочь польского чинуши, выходит замуж за белорусского рыбака и не может принять счастливую судьбу: до замужества ей пришлось побывать и прачкой в богатых домах, и проституткой.</t>
        </is>
      </c>
      <c r="L5128" s="2" t="inlineStr">
        <is>
          <t>Кино_СССР сводный каталог.xlsx: список фильмов (доп.)</t>
        </is>
      </c>
      <c r="M5128" s="2">
        <f>HYPERLINK("https://ru.wikipedia.org/w/index.php?search=%D0%A4%D1%80%D0%B0%D0%BD%D0%BA%D0%B0%20-%20%D0%B6%D0%B5%D0%BD%D0%B0%20%D0%A5%D0%B0%D0%BC%D0%B0%201990%20%D1%84%D0%B8%D0%BB%D1%8C%D0%BC","искать")</f>
        <v/>
      </c>
      <c r="N5128" s="3" t="n"/>
      <c r="O5128" s="2" t="n"/>
      <c r="P5128" s="2" t="n"/>
    </row>
    <row r="5129">
      <c r="A5129" s="2" t="n">
        <v>5128</v>
      </c>
      <c r="B5129" s="2" t="inlineStr">
        <is>
          <t>короткая</t>
        </is>
      </c>
      <c r="C5129" s="2" t="n">
        <v>9984</v>
      </c>
      <c r="D5129" s="3" t="inlineStr">
        <is>
          <t>Кузнец</t>
        </is>
      </c>
      <c r="E5129" s="2" t="n">
        <v>1982</v>
      </c>
      <c r="F5129" s="2" t="inlineStr">
        <is>
          <t>телефильм</t>
        </is>
      </c>
      <c r="G5129" s="2" t="inlineStr">
        <is>
          <t>Грузия-фильм, по заказу государственного комитета СССР по телевидению и радиовещанию</t>
        </is>
      </c>
      <c r="H5129" s="2" t="n">
        <v>296</v>
      </c>
      <c r="I5129" s="2" t="inlineStr"/>
      <c r="J5129" s="2" t="inlineStr"/>
      <c r="K5129" s="3" t="inlineStr">
        <is>
          <t>Добросовестно трудился кузнец Кола, пока в его кунице не появились новые сотрудники: бухгалтер, кассир, директор и секретарь. Оставшись однажды без металла, Кола так и не смог дождаться, когда же его сослуживцы на своих бесконечных заседаниях примут решение - где взять сырье. Кола уходит от них.</t>
        </is>
      </c>
      <c r="L5129" s="2" t="inlineStr">
        <is>
          <t>https://www.kino-teatr.ru/short/movie/sov/83597/annot/</t>
        </is>
      </c>
      <c r="M5129" s="2">
        <f>HYPERLINK("https://ru.wikipedia.org/w/index.php?search=%D0%9A%D1%83%D0%B7%D0%BD%D0%B5%D1%86%201982%20%D1%84%D0%B8%D0%BB%D1%8C%D0%BC","искать")</f>
        <v/>
      </c>
      <c r="N5129" s="3" t="n"/>
      <c r="O5129" s="2" t="n"/>
      <c r="P5129" s="2" t="n"/>
    </row>
    <row r="5130">
      <c r="A5130" s="2" t="n">
        <v>5129</v>
      </c>
      <c r="B5130" s="2" t="inlineStr">
        <is>
          <t>короткая</t>
        </is>
      </c>
      <c r="C5130" s="2" t="n">
        <v>10082</v>
      </c>
      <c r="D5130" s="3" t="inlineStr">
        <is>
          <t>Сердца должны гореть</t>
        </is>
      </c>
      <c r="E5130" s="2" t="n">
        <v>1960</v>
      </c>
      <c r="F5130" s="2" t="inlineStr">
        <is>
          <t>фильм-спектакль</t>
        </is>
      </c>
      <c r="G5130" s="2" t="inlineStr">
        <is>
          <t>Главная редакция литературно-драматических программ ЦТ</t>
        </is>
      </c>
      <c r="H5130" s="2" t="n">
        <v>296</v>
      </c>
      <c r="I5130" s="2" t="inlineStr"/>
      <c r="J5130" s="2" t="inlineStr"/>
      <c r="K5130" s="3" t="inlineStr">
        <is>
          <t>Действие происходит на строительстве крупной электростанции в Сибири. Производственный конфликт между начальником строительства Кротовым и главным инженером Юрьевым осложняется личными взаимоотношениями - Елена, жена Кротова, искренне полюбила Юрьева, человека принципиального, честного, доброго.</t>
        </is>
      </c>
      <c r="L5130" s="2" t="inlineStr">
        <is>
          <t>https://www.kino-teatr.ru/teatr/movie/79299/annot/</t>
        </is>
      </c>
      <c r="M5130" s="2">
        <f>HYPERLINK("https://ru.wikipedia.org/w/index.php?search=%D0%A1%D0%B5%D1%80%D0%B4%D1%86%D0%B0%20%D0%B4%D0%BE%D0%BB%D0%B6%D0%BD%D1%8B%20%D0%B3%D0%BE%D1%80%D0%B5%D1%82%D1%8C%201960%20%D1%84%D0%B8%D0%BB%D1%8C%D0%BC","искать")</f>
        <v/>
      </c>
      <c r="N5130" s="3" t="n"/>
      <c r="O5130" s="2" t="n"/>
      <c r="P5130" s="2" t="n"/>
    </row>
    <row r="5131">
      <c r="A5131" s="2" t="n">
        <v>5130</v>
      </c>
      <c r="B5131" s="2" t="inlineStr">
        <is>
          <t>короткая</t>
        </is>
      </c>
      <c r="C5131" s="2" t="n">
        <v>10342</v>
      </c>
      <c r="D5131" s="3" t="inlineStr">
        <is>
          <t>Христиане</t>
        </is>
      </c>
      <c r="E5131" s="2" t="n">
        <v>1969</v>
      </c>
      <c r="F5131" s="2" t="inlineStr">
        <is>
          <t>фильм-спектакль</t>
        </is>
      </c>
      <c r="G5131" s="2" t="inlineStr">
        <is>
          <t>Центральное телевидение</t>
        </is>
      </c>
      <c r="H5131" s="2" t="n">
        <v>296</v>
      </c>
      <c r="I5131" s="2" t="inlineStr"/>
      <c r="J5131" s="2" t="inlineStr"/>
      <c r="K5131" s="3" t="inlineStr">
        <is>
          <t>По мотивам одноименного судебного очерка Л. Андреева.
О судопроизводстве в дореволюционной России. На одном судебном заседании свидетельница Караулова, занимающаяся проституцией, отказалась принять присягу. "Я не считаю себя христианкой," - заявила она. Этот казус вызвал большое волнение в зале.</t>
        </is>
      </c>
      <c r="L5131" s="2" t="inlineStr">
        <is>
          <t>https://www.kino-teatr.ru/teatr/movie/103596/annot/</t>
        </is>
      </c>
      <c r="M5131" s="2">
        <f>HYPERLINK("https://ru.wikipedia.org/w/index.php?search=%D0%A5%D1%80%D0%B8%D1%81%D1%82%D0%B8%D0%B0%D0%BD%D0%B5%201969%20%D1%84%D0%B8%D0%BB%D1%8C%D0%BC","искать")</f>
        <v/>
      </c>
      <c r="N5131" s="3" t="n"/>
      <c r="O5131" s="2" t="n"/>
      <c r="P5131" s="2" t="n"/>
    </row>
    <row r="5132">
      <c r="A5132" s="2" t="n">
        <v>5131</v>
      </c>
      <c r="B5132" s="2" t="inlineStr">
        <is>
          <t>короткая</t>
        </is>
      </c>
      <c r="C5132" s="2" t="n">
        <v>12754</v>
      </c>
      <c r="D5132" s="3" t="inlineStr">
        <is>
          <t>Скрипка в джунглях</t>
        </is>
      </c>
      <c r="E5132" s="2" t="n">
        <v>1970</v>
      </c>
      <c r="F5132" s="2" t="inlineStr">
        <is>
          <t>мультфильм</t>
        </is>
      </c>
      <c r="G5132" s="2" t="inlineStr">
        <is>
          <t>АРМЕНФИЛЬМ</t>
        </is>
      </c>
      <c r="H5132" s="2" t="n">
        <v>296</v>
      </c>
      <c r="I5132" s="2" t="inlineStr"/>
      <c r="J5132" s="2" t="inlineStr"/>
      <c r="K5132" s="3" t="inlineStr">
        <is>
          <t>Волей случая скрипач оказывается один в непоходимых джунглях. Дикие звери готовы разорвать это беззащитное существо. Трясущейся рукой берет скрипач свою скрипку и начинает играть. Нежная возвышенная музыка покоряет всех обитателей джунглей. Благодарные звери показывают музыканту путь из зарослей</t>
        </is>
      </c>
      <c r="L5132" s="2" t="inlineStr">
        <is>
          <t>https://gosfilmofond.ru/films/254768/</t>
        </is>
      </c>
      <c r="M5132" s="2">
        <f>HYPERLINK("https://ru.wikipedia.org/w/index.php?search=%D0%A1%D0%BA%D1%80%D0%B8%D0%BF%D0%BA%D0%B0%20%D0%B2%20%D0%B4%D0%B6%D1%83%D0%BD%D0%B3%D0%BB%D1%8F%D1%85%201970%20%D1%84%D0%B8%D0%BB%D1%8C%D0%BC","искать")</f>
        <v/>
      </c>
      <c r="N5132" s="3" t="n"/>
      <c r="O5132" s="2" t="n"/>
      <c r="P5132" s="2" t="n"/>
    </row>
    <row r="5133">
      <c r="A5133" s="2" t="n">
        <v>5132</v>
      </c>
      <c r="B5133" s="2" t="inlineStr">
        <is>
          <t>короткая</t>
        </is>
      </c>
      <c r="C5133" s="2" t="n">
        <v>7803</v>
      </c>
      <c r="D5133" s="3" t="inlineStr">
        <is>
          <t>Лето в Заборье</t>
        </is>
      </c>
      <c r="E5133" s="2" t="n">
        <v>1979</v>
      </c>
      <c r="F5133" s="2" t="inlineStr">
        <is>
          <t>телефильм</t>
        </is>
      </c>
      <c r="G5133" s="2" t="n"/>
      <c r="H5133" s="2" t="n">
        <v>297</v>
      </c>
      <c r="I5133" s="2" t="inlineStr"/>
      <c r="J5133" s="2" t="inlineStr"/>
      <c r="K5133" s="3" t="inlineStr">
        <is>
          <t>Замечательная история том, как мальчишки, приехавшие на время летних каникул в лесничество, вырастили журавленка, волчат и других лесных зверюшек. Ребята научились любить ценить и уважать как саму природу, так и её обитателей, а также осознали ответственность человека за сохранность флоры и фауны</t>
        </is>
      </c>
      <c r="L5133" s="2" t="inlineStr">
        <is>
          <t>Кино_СССР сводный каталог.xlsx: список телефильмов</t>
        </is>
      </c>
      <c r="M5133" s="2">
        <f>HYPERLINK("https://ru.wikipedia.org/w/index.php?search=%D0%9B%D0%B5%D1%82%D0%BE%20%D0%B2%20%D0%97%D0%B0%D0%B1%D0%BE%D1%80%D1%8C%D0%B5%201979%20%D1%84%D0%B8%D0%BB%D1%8C%D0%BC","искать")</f>
        <v/>
      </c>
      <c r="N5133" s="3" t="n"/>
      <c r="O5133" s="2" t="n"/>
      <c r="P5133" s="2" t="n"/>
    </row>
    <row r="5134">
      <c r="A5134" s="2" t="n">
        <v>5133</v>
      </c>
      <c r="B5134" s="2" t="inlineStr">
        <is>
          <t>короткая</t>
        </is>
      </c>
      <c r="C5134" s="2" t="n">
        <v>7989</v>
      </c>
      <c r="D5134" s="3" t="inlineStr">
        <is>
          <t>Непохожая</t>
        </is>
      </c>
      <c r="E5134" s="2" t="n">
        <v>1985</v>
      </c>
      <c r="F5134" s="2" t="inlineStr">
        <is>
          <t>телефильм</t>
        </is>
      </c>
      <c r="G5134" s="2" t="n"/>
      <c r="H5134" s="2" t="n">
        <v>297</v>
      </c>
      <c r="I5134" s="2" t="inlineStr"/>
      <c r="J5134" s="2" t="inlineStr"/>
      <c r="K5134" s="3" t="inlineStr">
        <is>
          <t>Лиде Карякиной 15 лет. В школе у неё постоянные конфликты, не все ладно дома. Девочка решает оставить школу и пойти работать. Поработав в разных местах, Лида понимает, что её призвание — воспитывать детей…
«…Почему так: сначала детей учат разговаривать, а потом — молчать? Нет, ну правда, почему?»</t>
        </is>
      </c>
      <c r="L5134" s="2" t="inlineStr">
        <is>
          <t>https://ru.wikipedia.org/w/index.php?title=%D0%9D%D0%B5%D0%BF%D0%BE%D1%85%D0%BE%D0%B6%D0%B0%D1%8F&amp;oldid=153726608</t>
        </is>
      </c>
      <c r="M5134" s="2">
        <f>HYPERLINK("https://ru.wikipedia.org/w/index.php?search=%D0%9D%D0%B5%D0%BF%D0%BE%D1%85%D0%BE%D0%B6%D0%B0%D1%8F%201985%20%D1%84%D0%B8%D0%BB%D1%8C%D0%BC","искать")</f>
        <v/>
      </c>
      <c r="N5134" s="3" t="n"/>
      <c r="O5134" s="2" t="n"/>
      <c r="P5134" s="2" t="n"/>
    </row>
    <row r="5135">
      <c r="A5135" s="2" t="n">
        <v>5134</v>
      </c>
      <c r="B5135" s="2" t="inlineStr">
        <is>
          <t>короткая</t>
        </is>
      </c>
      <c r="C5135" s="2" t="n">
        <v>9435</v>
      </c>
      <c r="D5135" s="3" t="inlineStr">
        <is>
          <t>Кошкодав Сильвер</t>
        </is>
      </c>
      <c r="E5135" s="2" t="n">
        <v>1989</v>
      </c>
      <c r="F5135" s="2" t="inlineStr">
        <is>
          <t>кинофильм</t>
        </is>
      </c>
      <c r="G5135" s="2" t="n"/>
      <c r="H5135" s="2" t="n">
        <v>297</v>
      </c>
      <c r="I5135" s="2" t="inlineStr"/>
      <c r="J5135" s="2" t="inlineStr"/>
      <c r="K5135" s="3" t="inlineStr">
        <is>
          <t>По мотивам одноименного рассказа Виктора Конецкого. Герой фильма — пациент психиатрической больницы, вообразивший себя в брюхе кашалота, в которое он сам себя заточил, чтобы уйти от суеты и пошлости современного мира, чтобы не бороться со злом, чтобы жить в своем собственном, придуманном им мире.</t>
        </is>
      </c>
      <c r="L5135" s="2" t="inlineStr">
        <is>
          <t>Кино_СССР сводный каталог.xlsx: список фильмов (доп.)</t>
        </is>
      </c>
      <c r="M5135" s="2">
        <f>HYPERLINK("https://ru.wikipedia.org/w/index.php?search=%D0%9A%D0%BE%D1%88%D0%BA%D0%BE%D0%B4%D0%B0%D0%B2%20%D0%A1%D0%B8%D0%BB%D1%8C%D0%B2%D0%B5%D1%80%201989%20%D1%84%D0%B8%D0%BB%D1%8C%D0%BC","искать")</f>
        <v/>
      </c>
      <c r="N5135" s="3" t="n"/>
      <c r="O5135" s="2" t="n"/>
      <c r="P5135" s="2" t="n"/>
    </row>
    <row r="5136">
      <c r="A5136" s="2" t="n">
        <v>5135</v>
      </c>
      <c r="B5136" s="2" t="inlineStr">
        <is>
          <t>короткая</t>
        </is>
      </c>
      <c r="C5136" s="2" t="n">
        <v>10253</v>
      </c>
      <c r="D5136" s="3" t="inlineStr">
        <is>
          <t>Ма-аленькая!</t>
        </is>
      </c>
      <c r="E5136" s="2" t="n">
        <v>1968</v>
      </c>
      <c r="F5136" s="2" t="inlineStr">
        <is>
          <t>фильм-спектакль</t>
        </is>
      </c>
      <c r="G5136" s="2" t="inlineStr">
        <is>
          <t>Центральное ТВ</t>
        </is>
      </c>
      <c r="H5136" s="2" t="n">
        <v>297</v>
      </c>
      <c r="I5136" s="2" t="inlineStr"/>
      <c r="J5136" s="2" t="inlineStr"/>
      <c r="K5136" s="3" t="inlineStr">
        <is>
          <t>Фильм-спектакль по мотивам одноименного рассказа Максима Горького.
Молоденькая девушка живет на поселении в далекой сибирской деревне у пожилой четы. По сердцу пришлась она двум старикам. Когда девушка неожиданно умирает, они отправляются за многие версты в святые места молить о спасении её души.</t>
        </is>
      </c>
      <c r="L5136" s="2" t="inlineStr">
        <is>
          <t>https://www.kino-teatr.ru/teatr/movie/80907/annot/</t>
        </is>
      </c>
      <c r="M5136" s="2">
        <f>HYPERLINK("https://ru.wikipedia.org/w/index.php?search=%D0%9C%D0%B0-%D0%B0%D0%BB%D0%B5%D0%BD%D1%8C%D0%BA%D0%B0%D1%8F%21%201968%20%D1%84%D0%B8%D0%BB%D1%8C%D0%BC","искать")</f>
        <v/>
      </c>
      <c r="N5136" s="3" t="n"/>
      <c r="O5136" s="2" t="n"/>
      <c r="P5136" s="2" t="n"/>
    </row>
    <row r="5137">
      <c r="A5137" s="2" t="n">
        <v>5136</v>
      </c>
      <c r="B5137" s="2" t="inlineStr">
        <is>
          <t>короткая</t>
        </is>
      </c>
      <c r="C5137" s="2" t="n">
        <v>10473</v>
      </c>
      <c r="D5137" s="3" t="inlineStr">
        <is>
          <t>Теория невероятности</t>
        </is>
      </c>
      <c r="E5137" s="2" t="n">
        <v>1972</v>
      </c>
      <c r="F5137" s="2" t="inlineStr">
        <is>
          <t>фильм-спектакль</t>
        </is>
      </c>
      <c r="G5137" s="2" t="inlineStr">
        <is>
          <t>Главная редакция литературно-драматических программ ЦТ</t>
        </is>
      </c>
      <c r="H5137" s="2" t="n">
        <v>297</v>
      </c>
      <c r="I5137" s="2" t="inlineStr"/>
      <c r="J5137" s="2" t="inlineStr"/>
      <c r="K5137" s="3" t="inlineStr">
        <is>
          <t>По одноименной пьесе М.Анчарова в постановке Московского театра имени М.Н.Ермоловой.
Герой пьесы, физик Аносов, после неудавшегося научного эксперимента отправляется в "страну" своего детства - Благушу, некогда окраинный район Москвы. Воспоминания помогают герою найти силы для продолжения работы.</t>
        </is>
      </c>
      <c r="L5137" s="2" t="inlineStr">
        <is>
          <t>https://www.kino-teatr.ru/teatr/movie/79300/annot/</t>
        </is>
      </c>
      <c r="M5137" s="2">
        <f>HYPERLINK("https://ru.wikipedia.org/w/index.php?search=%D0%A2%D0%B5%D0%BE%D1%80%D0%B8%D1%8F%20%D0%BD%D0%B5%D0%B2%D0%B5%D1%80%D0%BE%D1%8F%D1%82%D0%BD%D0%BE%D1%81%D1%82%D0%B8%201972%20%D1%84%D0%B8%D0%BB%D1%8C%D0%BC","искать")</f>
        <v/>
      </c>
      <c r="N5137" s="3" t="n"/>
      <c r="O5137" s="2" t="n"/>
      <c r="P5137" s="2" t="n"/>
    </row>
    <row r="5138">
      <c r="A5138" s="2" t="n">
        <v>5137</v>
      </c>
      <c r="B5138" s="2" t="inlineStr">
        <is>
          <t>короткая</t>
        </is>
      </c>
      <c r="C5138" s="2" t="n">
        <v>10593</v>
      </c>
      <c r="D5138" s="3" t="inlineStr">
        <is>
          <t>Театр Клары Газуль</t>
        </is>
      </c>
      <c r="E5138" s="2" t="n">
        <v>1974</v>
      </c>
      <c r="F5138" s="2" t="inlineStr">
        <is>
          <t>фильм-спектакль</t>
        </is>
      </c>
      <c r="G5138" s="2" t="inlineStr">
        <is>
          <t>Главная редакция литературно-драматических программ ЦТ</t>
        </is>
      </c>
      <c r="H5138" s="2" t="n">
        <v>297</v>
      </c>
      <c r="I5138" s="2" t="inlineStr"/>
      <c r="J5138" s="2" t="inlineStr"/>
      <c r="K5138" s="3" t="inlineStr">
        <is>
          <t>Музыкальная фантазия по пьесам французского писателя П.Мериме "Женщина-дьявол" и "Карета святых даров".
Труппа бродячих актеров театра Клары Газуль, путешествуя по Гранадскому королевству, высмеивает в своих представлениях человеческие пороки, лживость вельмож и монахов времен разгула Инквизиции.</t>
        </is>
      </c>
      <c r="L5138" s="2" t="inlineStr">
        <is>
          <t>https://www.kino-teatr.ru/teatr/movie/17592/annot/</t>
        </is>
      </c>
      <c r="M5138" s="2">
        <f>HYPERLINK("https://ru.wikipedia.org/w/index.php?search=%D0%A2%D0%B5%D0%B0%D1%82%D1%80%20%D0%9A%D0%BB%D0%B0%D1%80%D1%8B%20%D0%93%D0%B0%D0%B7%D1%83%D0%BB%D1%8C%201974%20%D1%84%D0%B8%D0%BB%D1%8C%D0%BC","искать")</f>
        <v/>
      </c>
      <c r="N5138" s="3" t="n"/>
      <c r="O5138" s="2" t="n"/>
      <c r="P5138" s="2" t="n"/>
    </row>
    <row r="5139">
      <c r="A5139" s="2" t="n">
        <v>5138</v>
      </c>
      <c r="B5139" s="2" t="inlineStr">
        <is>
          <t>короткая</t>
        </is>
      </c>
      <c r="C5139" s="2" t="n">
        <v>11726</v>
      </c>
      <c r="D5139" s="3" t="inlineStr">
        <is>
          <t>Ваня Датский</t>
        </is>
      </c>
      <c r="E5139" s="2" t="n">
        <v>1974</v>
      </c>
      <c r="F5139" s="2" t="inlineStr">
        <is>
          <t>мультфильм</t>
        </is>
      </c>
      <c r="G5139" s="2" t="inlineStr">
        <is>
          <t>Союзмультфильм</t>
        </is>
      </c>
      <c r="H5139" s="2" t="n">
        <v>297</v>
      </c>
      <c r="I5139" s="2" t="inlineStr"/>
      <c r="J5139" s="2" t="inlineStr"/>
      <c r="K5139" s="3" t="inlineStr">
        <is>
          <t>По сказке Б.Шергина о поморском мальчике, который уплыл за море и до зрелых лет прожил в чужих краях в довольстве и счастии, но все же вернулся на родную землю, к матери, что ждала его долгие годы.
Входил в программу фильмов "Союзмультфильма", получившей первую премию на VIII ВКФ в Кишиневе, 1975</t>
        </is>
      </c>
      <c r="L5139" s="2" t="inlineStr">
        <is>
          <t>https://animator.ru/db/?p=show_film&amp;fid=2640</t>
        </is>
      </c>
      <c r="M5139" s="2">
        <f>HYPERLINK("https://ru.wikipedia.org/w/index.php?search=%D0%92%D0%B0%D0%BD%D1%8F%20%D0%94%D0%B0%D1%82%D1%81%D0%BA%D0%B8%D0%B9%201974%20%D1%84%D0%B8%D0%BB%D1%8C%D0%BC","искать")</f>
        <v/>
      </c>
      <c r="N5139" s="3" t="n"/>
      <c r="O5139" s="2" t="n"/>
      <c r="P5139" s="2" t="n"/>
    </row>
    <row r="5140">
      <c r="A5140" s="2" t="n">
        <v>5139</v>
      </c>
      <c r="B5140" s="2" t="inlineStr">
        <is>
          <t>короткая</t>
        </is>
      </c>
      <c r="C5140" s="2" t="n">
        <v>13152</v>
      </c>
      <c r="D5140" s="3" t="inlineStr">
        <is>
          <t>Бевенджик</t>
        </is>
      </c>
      <c r="E5140" s="2" t="n">
        <v>1975</v>
      </c>
      <c r="F5140" s="2" t="inlineStr">
        <is>
          <t>мультфильм</t>
        </is>
      </c>
      <c r="G5140" s="2" t="inlineStr">
        <is>
          <t>ТУРКМЕНФИЛЬМ</t>
        </is>
      </c>
      <c r="H5140" s="2" t="n">
        <v>297</v>
      </c>
      <c r="I5140" s="2" t="inlineStr"/>
      <c r="J5140" s="2" t="inlineStr"/>
      <c r="K5140" s="3" t="inlineStr">
        <is>
          <t>Жил на свете злой и надменный Пузырь-Бевенджик, который жадно глотал все, что попадалось ему на глаза: ворону, высиживающую яйцо, ягнят с пастушкой, целый уараван, лепешки, что бабушка внучатам напекла...Но однажды Козленок острыми ножками пронзил ненасытного Пузыря, и его жерьвы вышли на свободу</t>
        </is>
      </c>
      <c r="L5140" s="2" t="inlineStr">
        <is>
          <t>https://gosfilmofond.ru/films/250602/</t>
        </is>
      </c>
      <c r="M5140" s="2">
        <f>HYPERLINK("https://ru.wikipedia.org/w/index.php?search=%D0%91%D0%B5%D0%B2%D0%B5%D0%BD%D0%B4%D0%B6%D0%B8%D0%BA%201975%20%D1%84%D0%B8%D0%BB%D1%8C%D0%BC","искать")</f>
        <v/>
      </c>
      <c r="N5140" s="3" t="n"/>
      <c r="O5140" s="2" t="n"/>
      <c r="P5140" s="2" t="n"/>
    </row>
    <row r="5141">
      <c r="A5141" s="2" t="n">
        <v>5140</v>
      </c>
      <c r="B5141" s="2" t="inlineStr">
        <is>
          <t>короткая</t>
        </is>
      </c>
      <c r="C5141" s="2" t="n">
        <v>7378</v>
      </c>
      <c r="D5141" s="3" t="inlineStr">
        <is>
          <t>Вот и лето прошло...</t>
        </is>
      </c>
      <c r="E5141" s="2" t="n">
        <v>1972</v>
      </c>
      <c r="F5141" s="2" t="inlineStr">
        <is>
          <t>телефильм</t>
        </is>
      </c>
      <c r="G5141" s="2" t="inlineStr">
        <is>
          <t>«Беларусьфильм»</t>
        </is>
      </c>
      <c r="H5141" s="2" t="n">
        <v>298</v>
      </c>
      <c r="I5141" s="2" t="inlineStr"/>
      <c r="J5141" s="2" t="inlineStr"/>
      <c r="K5141" s="3" t="inlineStr">
        <is>
          <t>Темка прощается с детским садом и воспитательницей — завтра он пойдет в первый класс. Для него начнется школьная жизнь, но ему нужно еще завершить много дел. Тема укладывает кирпичом лужу во дворе, признается дворнику, что разбил стекло, навещает больного дружка. Настоящая жизнь только начинается.</t>
        </is>
      </c>
      <c r="L5141" s="2" t="inlineStr">
        <is>
          <t>Кино_СССР сводный каталог.xlsx: список телефильмов</t>
        </is>
      </c>
      <c r="M5141" s="2">
        <f>HYPERLINK("https://ru.wikipedia.org/w/index.php?search=%D0%92%D0%BE%D1%82%20%D0%B8%20%D0%BB%D0%B5%D1%82%D0%BE%20%D0%BF%D1%80%D0%BE%D1%88%D0%BB%D0%BE...%201972%20%D1%84%D0%B8%D0%BB%D1%8C%D0%BC","искать")</f>
        <v/>
      </c>
      <c r="N5141" s="3" t="n"/>
      <c r="O5141" s="2" t="n"/>
      <c r="P5141" s="2" t="n"/>
    </row>
    <row r="5142">
      <c r="A5142" s="2" t="n">
        <v>5141</v>
      </c>
      <c r="B5142" s="2" t="inlineStr">
        <is>
          <t>короткая</t>
        </is>
      </c>
      <c r="C5142" s="2" t="n">
        <v>7801</v>
      </c>
      <c r="D5142" s="3" t="inlineStr">
        <is>
          <t>Лето в веснушках</t>
        </is>
      </c>
      <c r="E5142" s="2" t="n">
        <v>1988</v>
      </c>
      <c r="F5142" s="2" t="inlineStr">
        <is>
          <t>телефильм</t>
        </is>
      </c>
      <c r="G5142" s="2" t="n"/>
      <c r="H5142" s="2" t="n">
        <v>298</v>
      </c>
      <c r="I5142" s="2" t="inlineStr"/>
      <c r="J5142" s="2" t="inlineStr"/>
      <c r="K5142" s="3" t="inlineStr">
        <is>
          <t>Фильм поставлен по мотивам повести Бронюса Бушмы "Хорёк в силках". Одно лето из жизни десятилетнего мальчика Адулиса Бабарскаса, который живет в деревне с матерью и старшим братом Раполасом. Адулис благосклонен к дружбе брата с соседкой Живиле. В фильме мир взрослых людей показан глазами мальчика.</t>
        </is>
      </c>
      <c r="L5142" s="2" t="inlineStr">
        <is>
          <t>Кино_СССР сводный каталог.xlsx: список телефильмов</t>
        </is>
      </c>
      <c r="M5142" s="2">
        <f>HYPERLINK("https://ru.wikipedia.org/w/index.php?search=%D0%9B%D0%B5%D1%82%D0%BE%20%D0%B2%20%D0%B2%D0%B5%D1%81%D0%BD%D1%83%D1%88%D0%BA%D0%B0%D1%85%201988%20%D1%84%D0%B8%D0%BB%D1%8C%D0%BC","искать")</f>
        <v/>
      </c>
      <c r="N5142" s="3" t="n"/>
      <c r="O5142" s="2" t="n"/>
      <c r="P5142" s="2" t="n"/>
    </row>
    <row r="5143">
      <c r="A5143" s="2" t="n">
        <v>5142</v>
      </c>
      <c r="B5143" s="2" t="inlineStr">
        <is>
          <t>короткая</t>
        </is>
      </c>
      <c r="C5143" s="2" t="n">
        <v>7916</v>
      </c>
      <c r="D5143" s="3" t="inlineStr">
        <is>
          <t>Мы - ваши дети</t>
        </is>
      </c>
      <c r="E5143" s="2" t="n">
        <v>1987</v>
      </c>
      <c r="F5143" s="2" t="inlineStr">
        <is>
          <t>телефильм</t>
        </is>
      </c>
      <c r="G5143" s="2" t="n"/>
      <c r="H5143" s="2" t="n">
        <v>298</v>
      </c>
      <c r="I5143" s="2" t="inlineStr"/>
      <c r="J5143" s="2" t="inlineStr"/>
      <c r="K5143" s="3" t="inlineStr">
        <is>
          <t>Драма по мотивам пьесы Г. Никитина и О. Пыжовой «Иван». Директор сельского ПТУ, Демидова, старается сделать все возможное, чтобы воспитать учеников широко образованными людьми. Искренне преданная работе, она, однако, не хочет видеть своего сына среди учеников ПТУ, но он все же поступает в училище.</t>
        </is>
      </c>
      <c r="L5143" s="2" t="inlineStr">
        <is>
          <t>Кино_СССР сводный каталог.xlsx: список телефильмов</t>
        </is>
      </c>
      <c r="M5143" s="2">
        <f>HYPERLINK("https://ru.wikipedia.org/w/index.php?search=%D0%9C%D1%8B%20-%20%D0%B2%D0%B0%D1%88%D0%B8%20%D0%B4%D0%B5%D1%82%D0%B8%201987%20%D1%84%D0%B8%D0%BB%D1%8C%D0%BC","искать")</f>
        <v/>
      </c>
      <c r="N5143" s="3" t="n"/>
      <c r="O5143" s="2" t="n"/>
      <c r="P5143" s="2" t="n"/>
    </row>
    <row r="5144">
      <c r="A5144" s="2" t="n">
        <v>5143</v>
      </c>
      <c r="B5144" s="2" t="inlineStr">
        <is>
          <t>короткая</t>
        </is>
      </c>
      <c r="C5144" s="2" t="n">
        <v>8405</v>
      </c>
      <c r="D5144" s="3" t="inlineStr">
        <is>
          <t>Сто первый</t>
        </is>
      </c>
      <c r="E5144" s="2" t="n">
        <v>1982</v>
      </c>
      <c r="F5144" s="2" t="inlineStr">
        <is>
          <t>телефильм</t>
        </is>
      </c>
      <c r="G5144" s="2" t="n"/>
      <c r="H5144" s="2" t="n">
        <v>298</v>
      </c>
      <c r="I5144" s="2" t="inlineStr"/>
      <c r="J5144" s="2" t="inlineStr"/>
      <c r="K5144" s="3" t="inlineStr">
        <is>
          <t>История «сына полка» Вовы Диденко, деревенского мальчика, ставшего во время Великой Отечественной войны воспитанником взвода разведки. Военная закалка помогла ему после войны проявить твердость характера и добиться зачисления в уже сформированную роту подготовительного класса суворовского училища.</t>
        </is>
      </c>
      <c r="L5144" s="2" t="inlineStr">
        <is>
          <t>https://ru.wikipedia.org/w/index.php?title=%D0%A1%D1%82%D0%BE_%D0%BF%D0%B5%D1%80%D0%B2%D1%8B%D0%B9&amp;oldid=149105281</t>
        </is>
      </c>
      <c r="M5144" s="2">
        <f>HYPERLINK("https://ru.wikipedia.org/w/index.php?search=%D0%A1%D1%82%D0%BE%20%D0%BF%D0%B5%D1%80%D0%B2%D1%8B%D0%B9%201982%20%D1%84%D0%B8%D0%BB%D1%8C%D0%BC","искать")</f>
        <v/>
      </c>
      <c r="N5144" s="3" t="n"/>
      <c r="O5144" s="2" t="n"/>
      <c r="P5144" s="2" t="n"/>
    </row>
    <row r="5145">
      <c r="A5145" s="2" t="n">
        <v>5144</v>
      </c>
      <c r="B5145" s="2" t="inlineStr">
        <is>
          <t>короткая</t>
        </is>
      </c>
      <c r="C5145" s="2" t="n">
        <v>8452</v>
      </c>
      <c r="D5145" s="3" t="inlineStr">
        <is>
          <t>Тётя Маруся</t>
        </is>
      </c>
      <c r="E5145" s="2" t="n">
        <v>1985</v>
      </c>
      <c r="F5145" s="2" t="inlineStr">
        <is>
          <t>телефильм</t>
        </is>
      </c>
      <c r="G5145" s="2" t="n"/>
      <c r="H5145" s="2" t="n">
        <v>298</v>
      </c>
      <c r="I5145" s="2" t="inlineStr"/>
      <c r="J5145" s="2" t="inlineStr"/>
      <c r="K5145" s="3" t="inlineStr">
        <is>
          <t>По мотивам одноименной повести Галины Поповой. Простая русская женщина, потеряв мужа и сына, оказалась в чужой семье и воспитала чужого ребенка. ...Мария более тридцати лет живет в семье Алимовых. Когда-то судьба свела ее с Ларисой Алимовой, которая из-за болезни не могла растить своего сына Петю.</t>
        </is>
      </c>
      <c r="L5145" s="2" t="inlineStr">
        <is>
          <t>Кино_СССР сводный каталог.xlsx: список телефильмов</t>
        </is>
      </c>
      <c r="M5145" s="2">
        <f>HYPERLINK("https://ru.wikipedia.org/w/index.php?search=%D0%A2%D1%91%D1%82%D1%8F%20%D0%9C%D0%B0%D1%80%D1%83%D1%81%D1%8F%201985%20%D1%84%D0%B8%D0%BB%D1%8C%D0%BC","искать")</f>
        <v/>
      </c>
      <c r="N5145" s="3" t="n"/>
      <c r="O5145" s="2" t="n"/>
      <c r="P5145" s="2" t="n"/>
    </row>
    <row r="5146">
      <c r="A5146" s="2" t="n">
        <v>5145</v>
      </c>
      <c r="B5146" s="2" t="inlineStr">
        <is>
          <t>короткая</t>
        </is>
      </c>
      <c r="C5146" s="2" t="n">
        <v>8919</v>
      </c>
      <c r="D5146" s="3" t="inlineStr">
        <is>
          <t>Паспорт</t>
        </is>
      </c>
      <c r="E5146" s="2" t="n">
        <v>1990</v>
      </c>
      <c r="F5146" s="2" t="inlineStr">
        <is>
          <t>кинофильм</t>
        </is>
      </c>
      <c r="G5146" s="2" t="n"/>
      <c r="H5146" s="2" t="n">
        <v>298</v>
      </c>
      <c r="I5146" s="2" t="inlineStr"/>
      <c r="J5146" s="2" t="inlineStr"/>
      <c r="K5146" s="3" t="inlineStr">
        <is>
          <t>История рассказывает о приключениях таксиста Мераба Папашвили, который вместо родного брата, хормейстера детского хора Якова, случайно оказался в Израиле. Пребывание там практически с первого дня стало для него поисками пути для возвращения домой. Путь этот полон приключений и комедийных ситуаций.</t>
        </is>
      </c>
      <c r="L5146" s="2" t="inlineStr">
        <is>
          <t>Кино_СССР сводный каталог.xlsx: список фильмов (доп.)</t>
        </is>
      </c>
      <c r="M5146" s="2">
        <f>HYPERLINK("https://ru.wikipedia.org/w/index.php?search=%D0%9F%D0%B0%D1%81%D0%BF%D0%BE%D1%80%D1%82%201990%20%D1%84%D0%B8%D0%BB%D1%8C%D0%BC","искать")</f>
        <v/>
      </c>
      <c r="N5146" s="3" t="n"/>
      <c r="O5146" s="2" t="n"/>
      <c r="P5146" s="2" t="n"/>
    </row>
    <row r="5147">
      <c r="A5147" s="2" t="n">
        <v>5146</v>
      </c>
      <c r="B5147" s="2" t="inlineStr">
        <is>
          <t>короткая</t>
        </is>
      </c>
      <c r="C5147" s="2" t="n">
        <v>9025</v>
      </c>
      <c r="D5147" s="3" t="inlineStr">
        <is>
          <t>Савраска</t>
        </is>
      </c>
      <c r="E5147" s="2" t="n">
        <v>1989</v>
      </c>
      <c r="F5147" s="2" t="inlineStr">
        <is>
          <t>кинофильм</t>
        </is>
      </c>
      <c r="G5147" s="2" t="n"/>
      <c r="H5147" s="2" t="n">
        <v>298</v>
      </c>
      <c r="I5147" s="2" t="inlineStr"/>
      <c r="J5147" s="2" t="inlineStr"/>
      <c r="K5147" s="3" t="inlineStr">
        <is>
          <t>В южном портовом городе живет мальчик Парамон Саврасов. Внешне жизнь Савраски, как называли его друзья, проходит довольно-таки обыкновенно: школьные дела, домашние обязанности. Приближение 8 Марта нарушает обычный ритм жизни. Савраска решил раздобыть денег на подарок маме и однокласснице Серафиме.</t>
        </is>
      </c>
      <c r="L5147" s="2" t="inlineStr">
        <is>
          <t>Кино_СССР сводный каталог.xlsx: список фильмов (доп.)</t>
        </is>
      </c>
      <c r="M5147" s="2">
        <f>HYPERLINK("https://ru.wikipedia.org/w/index.php?search=%D0%A1%D0%B0%D0%B2%D1%80%D0%B0%D1%81%D0%BA%D0%B0%201989%20%D1%84%D0%B8%D0%BB%D1%8C%D0%BC","искать")</f>
        <v/>
      </c>
      <c r="N5147" s="3" t="n"/>
      <c r="O5147" s="2" t="n"/>
      <c r="P5147" s="2" t="n"/>
    </row>
    <row r="5148">
      <c r="A5148" s="2" t="n">
        <v>5147</v>
      </c>
      <c r="B5148" s="2" t="inlineStr">
        <is>
          <t>короткая</t>
        </is>
      </c>
      <c r="C5148" s="2" t="n">
        <v>9647</v>
      </c>
      <c r="D5148" s="3" t="inlineStr">
        <is>
          <t>Славный малый</t>
        </is>
      </c>
      <c r="E5148" s="2" t="n">
        <v>1942</v>
      </c>
      <c r="F5148" s="2" t="inlineStr">
        <is>
          <t>кинофильм</t>
        </is>
      </c>
      <c r="G5148" s="2" t="n"/>
      <c r="H5148" s="2" t="n">
        <v>298</v>
      </c>
      <c r="I5148" s="2" t="inlineStr"/>
      <c r="J5148" s="2" t="inlineStr"/>
      <c r="K5148" s="3" t="inlineStr">
        <is>
          <t>История любви деревенской девушки (Екатерина Сипавина) и французского лётчика (Виктор Добровольский), спасённого партизанами в новгородских лесах. Находясь во вражеском тылу в лесном партизанском отряде, герои мужественно сражаются с врагом и находят время для романтических отношений и творчества.</t>
        </is>
      </c>
      <c r="L5148" s="2" t="inlineStr">
        <is>
          <t>https://ru.wikipedia.org/w/index.php?title=%D0%A1%D0%BB%D0%B0%D0%B2%D0%BD%D1%8B%D0%B9_%D0%BC%D0%B0%D0%BB%D1%8B%D0%B9&amp;oldid=152420867</t>
        </is>
      </c>
      <c r="M5148" s="2">
        <f>HYPERLINK("https://ru.wikipedia.org/w/index.php?search=%D0%A1%D0%BB%D0%B0%D0%B2%D0%BD%D1%8B%D0%B9%20%D0%BC%D0%B0%D0%BB%D1%8B%D0%B9%201942%20%D1%84%D0%B8%D0%BB%D1%8C%D0%BC","искать")</f>
        <v/>
      </c>
      <c r="N5148" s="3" t="n"/>
      <c r="O5148" s="2" t="n"/>
      <c r="P5148" s="2" t="n"/>
    </row>
    <row r="5149">
      <c r="A5149" s="2" t="n">
        <v>5148</v>
      </c>
      <c r="B5149" s="2" t="inlineStr">
        <is>
          <t>короткая</t>
        </is>
      </c>
      <c r="C5149" s="2" t="n">
        <v>9759</v>
      </c>
      <c r="D5149" s="3" t="inlineStr">
        <is>
          <t>Чудо-женщина</t>
        </is>
      </c>
      <c r="E5149" s="2" t="n">
        <v>1990</v>
      </c>
      <c r="F5149" s="2" t="inlineStr">
        <is>
          <t>кинофильм</t>
        </is>
      </c>
      <c r="G5149" s="2" t="n"/>
      <c r="H5149" s="2" t="n">
        <v>298</v>
      </c>
      <c r="I5149" s="2" t="inlineStr"/>
      <c r="J5149" s="2" t="inlineStr"/>
      <c r="K5149" s="3" t="inlineStr">
        <is>
          <t>По пьесе Шарафа Башбекова "Железная женщина". Железная девушка Аломат в прямом смысле слова - железная. Стирка, кухня, полевые работы, танцы - все это "зашито" в память электронной подруги молодого программиста, который отдает ее на время своему другу, Кучкару, тяжело переживающему развод с женой.</t>
        </is>
      </c>
      <c r="L5149" s="2" t="inlineStr">
        <is>
          <t>Кино_СССР сводный каталог.xlsx: список фильмов (доп.)</t>
        </is>
      </c>
      <c r="M5149" s="2">
        <f>HYPERLINK("https://ru.wikipedia.org/w/index.php?search=%D0%A7%D1%83%D0%B4%D0%BE-%D0%B6%D0%B5%D0%BD%D1%89%D0%B8%D0%BD%D0%B0%201990%20%D1%84%D0%B8%D0%BB%D1%8C%D0%BC","искать")</f>
        <v/>
      </c>
      <c r="N5149" s="3" t="n"/>
      <c r="O5149" s="2" t="n"/>
      <c r="P5149" s="2" t="n"/>
    </row>
    <row r="5150">
      <c r="A5150" s="2" t="n">
        <v>5149</v>
      </c>
      <c r="B5150" s="2" t="inlineStr">
        <is>
          <t>короткая</t>
        </is>
      </c>
      <c r="C5150" s="2" t="n">
        <v>9787</v>
      </c>
      <c r="D5150" s="3" t="inlineStr">
        <is>
          <t>Яр</t>
        </is>
      </c>
      <c r="E5150" s="2" t="n">
        <v>1991</v>
      </c>
      <c r="F5150" s="2" t="inlineStr">
        <is>
          <t>кинофильм</t>
        </is>
      </c>
      <c r="G5150" s="2" t="n"/>
      <c r="H5150" s="2" t="n">
        <v>298</v>
      </c>
      <c r="I5150" s="2" t="inlineStr"/>
      <c r="J5150" s="2" t="inlineStr"/>
      <c r="K5150" s="3" t="inlineStr">
        <is>
          <t>Историческая мелодрама по повести Сергея Есенина. После появления пришлого мастера оружейного дела на затерянную в лесах деревню обрушиваются несчастья: мрет скот, появляются волки, трагически накаляются страсти. Чувствуя, что скоро начнется "охота на ведьм", оружейник пытается покинуть эти места.</t>
        </is>
      </c>
      <c r="L5150" s="2" t="inlineStr">
        <is>
          <t>Кино_СССР сводный каталог.xlsx: список фильмов (доп.)</t>
        </is>
      </c>
      <c r="M5150" s="2">
        <f>HYPERLINK("https://ru.wikipedia.org/w/index.php?search=%D0%AF%D1%80%201991%20%D1%84%D0%B8%D0%BB%D1%8C%D0%BC","искать")</f>
        <v/>
      </c>
      <c r="N5150" s="3" t="n"/>
      <c r="O5150" s="2" t="n"/>
      <c r="P5150" s="2" t="n"/>
    </row>
    <row r="5151">
      <c r="A5151" s="2" t="n">
        <v>5150</v>
      </c>
      <c r="B5151" s="2" t="inlineStr">
        <is>
          <t>короткая</t>
        </is>
      </c>
      <c r="C5151" s="2" t="n">
        <v>11052</v>
      </c>
      <c r="D5151" s="3" t="inlineStr">
        <is>
          <t>Будьте здоровы</t>
        </is>
      </c>
      <c r="E5151" s="2" t="n">
        <v>1985</v>
      </c>
      <c r="F5151" s="2" t="inlineStr">
        <is>
          <t>фильм-спектакль</t>
        </is>
      </c>
      <c r="G5151" s="2" t="n"/>
      <c r="H5151" s="2" t="n">
        <v>298</v>
      </c>
      <c r="I5151" s="2" t="inlineStr"/>
      <c r="J5151" s="2" t="inlineStr"/>
      <c r="K5151" s="3" t="inlineStr">
        <is>
          <t>Комедийно-детективная история по пьесе Пьера Шено.
Спектакль Театра им. Вахтангова.
Умирает известный писатель Стефан Буасьер. Многие хотят поправить свои дела за счет его кончины. Но усопший неожиданно оживает. Родные стараются скрыть факт его воскрешения, для чего идут на всевозможные ухищрения.</t>
        </is>
      </c>
      <c r="L5151" s="2" t="inlineStr">
        <is>
          <t>https://www.kino-teatr.ru/teatr/movie/10725/annot/</t>
        </is>
      </c>
      <c r="M5151" s="2">
        <f>HYPERLINK("https://ru.wikipedia.org/w/index.php?search=%D0%91%D1%83%D0%B4%D1%8C%D1%82%D0%B5%20%D0%B7%D0%B4%D0%BE%D1%80%D0%BE%D0%B2%D1%8B%201985%20%D1%84%D0%B8%D0%BB%D1%8C%D0%BC","искать")</f>
        <v/>
      </c>
      <c r="N5151" s="3" t="n"/>
      <c r="O5151" s="2" t="n"/>
      <c r="P5151" s="2" t="n"/>
    </row>
    <row r="5152">
      <c r="A5152" s="2" t="n">
        <v>5151</v>
      </c>
      <c r="B5152" s="2" t="inlineStr">
        <is>
          <t>короткая</t>
        </is>
      </c>
      <c r="C5152" s="2" t="n">
        <v>12339</v>
      </c>
      <c r="D5152" s="3" t="inlineStr">
        <is>
          <t>Вокруг света поневоле</t>
        </is>
      </c>
      <c r="E5152" s="2" t="n">
        <v>1973</v>
      </c>
      <c r="F5152" s="2" t="inlineStr">
        <is>
          <t>мультфильм</t>
        </is>
      </c>
      <c r="G5152" s="2" t="inlineStr">
        <is>
          <t>КИЕВНАУЧФИЛЬМ</t>
        </is>
      </c>
      <c r="H5152" s="2" t="n">
        <v>298</v>
      </c>
      <c r="I5152" s="2" t="inlineStr"/>
      <c r="J5152" s="2" t="inlineStr"/>
      <c r="K5152" s="3" t="inlineStr">
        <is>
          <t>О бедном маленьком мужичке, который сам того не ожидая стал путешественником. Но он не покупает дорогие билеты, не снимает номера в роскошных отелях, а просто попадает туда, куда его заносит судьба. Заночевав в пушке, наш герой не мог и подумать, что вместе со снарядом отправится в далекие страны.</t>
        </is>
      </c>
      <c r="L5152" s="2" t="inlineStr">
        <is>
          <t>2026-10_мультфильмы_список_владельца.xlsx; https://animator.ru/db/?p=show_film&amp;fid=3506</t>
        </is>
      </c>
      <c r="M5152" s="2">
        <f>HYPERLINK("https://ru.wikipedia.org/w/index.php?search=%D0%92%D0%BE%D0%BA%D1%80%D1%83%D0%B3%20%D1%81%D0%B2%D0%B5%D1%82%D0%B0%20%D0%BF%D0%BE%D0%BD%D0%B5%D0%B2%D0%BE%D0%BB%D0%B5%201973%20%D1%84%D0%B8%D0%BB%D1%8C%D0%BC","искать")</f>
        <v/>
      </c>
      <c r="N5152" s="3" t="n"/>
      <c r="O5152" s="2" t="n"/>
      <c r="P5152" s="2" t="n"/>
    </row>
    <row r="5153">
      <c r="A5153" s="2" t="n">
        <v>5152</v>
      </c>
      <c r="B5153" s="2" t="inlineStr">
        <is>
          <t>короткая</t>
        </is>
      </c>
      <c r="C5153" s="2" t="n">
        <v>7571</v>
      </c>
      <c r="D5153" s="3" t="inlineStr">
        <is>
          <t>Его отпуск</t>
        </is>
      </c>
      <c r="E5153" s="2" t="n">
        <v>1981</v>
      </c>
      <c r="F5153" s="2" t="inlineStr">
        <is>
          <t>телефильм</t>
        </is>
      </c>
      <c r="G5153" s="2" t="n"/>
      <c r="H5153" s="2" t="n">
        <v>299</v>
      </c>
      <c r="I5153" s="2" t="inlineStr"/>
      <c r="J5153" s="2" t="inlineStr"/>
      <c r="K5153" s="3" t="inlineStr">
        <is>
          <t>Телефильм. Цех крупного минского завода. Рабочий-передовик Кораблев устанавливает, что причина постоянных проблем с производством продукции в некачественных деталях смежников. Кораблев берет отпуск, едет в другой город на завод "Красный луг" и устраивается на работу, скрывая истинный мотив приезда.</t>
        </is>
      </c>
      <c r="L5153" s="2" t="inlineStr">
        <is>
          <t>Кино_СССР сводный каталог.xlsx: список телефильмов</t>
        </is>
      </c>
      <c r="M5153" s="2">
        <f>HYPERLINK("https://ru.wikipedia.org/w/index.php?search=%D0%95%D0%B3%D0%BE%20%D0%BE%D1%82%D0%BF%D1%83%D1%81%D0%BA%201981%20%D1%84%D0%B8%D0%BB%D1%8C%D0%BC","искать")</f>
        <v/>
      </c>
      <c r="N5153" s="3" t="n"/>
      <c r="O5153" s="2" t="n"/>
      <c r="P5153" s="2" t="n"/>
    </row>
    <row r="5154">
      <c r="A5154" s="2" t="n">
        <v>5153</v>
      </c>
      <c r="B5154" s="2" t="inlineStr">
        <is>
          <t>короткая</t>
        </is>
      </c>
      <c r="C5154" s="2" t="n">
        <v>8926</v>
      </c>
      <c r="D5154" s="3" t="inlineStr">
        <is>
          <t>Перелет воробьев</t>
        </is>
      </c>
      <c r="E5154" s="2" t="n">
        <v>1980</v>
      </c>
      <c r="F5154" s="2" t="inlineStr">
        <is>
          <t>кинофильм</t>
        </is>
      </c>
      <c r="G5154" s="2" t="n"/>
      <c r="H5154" s="2" t="n">
        <v>299</v>
      </c>
      <c r="I5154" s="2" t="inlineStr"/>
      <c r="J5154" s="2" t="inlineStr"/>
      <c r="K5154" s="3" t="inlineStr">
        <is>
          <t>Весь фильм – это одно путешествие. Путешествие в пассажирском вагоне второго класса по советской Грузии. Люди ютятся на тесных сиденьях, кое-кто пытается устроиться на лежачих местах – полках. Главным «развлечением» становится элегантный блондин, который уверяет, что он – актер и объездил весь мир.</t>
        </is>
      </c>
      <c r="L5154" s="2" t="inlineStr">
        <is>
          <t>Кино_СССР сводный каталог.xlsx: список фильмов (доп.)</t>
        </is>
      </c>
      <c r="M5154" s="2">
        <f>HYPERLINK("https://ru.wikipedia.org/w/index.php?search=%D0%9F%D0%B5%D1%80%D0%B5%D0%BB%D0%B5%D1%82%20%D0%B2%D0%BE%D1%80%D0%BE%D0%B1%D1%8C%D0%B5%D0%B2%201980%20%D1%84%D0%B8%D0%BB%D1%8C%D0%BC","искать")</f>
        <v/>
      </c>
      <c r="N5154" s="3" t="n"/>
      <c r="O5154" s="2" t="n"/>
      <c r="P5154" s="2" t="n"/>
    </row>
    <row r="5155">
      <c r="A5155" s="2" t="n">
        <v>5154</v>
      </c>
      <c r="B5155" s="2" t="inlineStr">
        <is>
          <t>короткая</t>
        </is>
      </c>
      <c r="C5155" s="2" t="n">
        <v>10644</v>
      </c>
      <c r="D5155" s="3" t="inlineStr">
        <is>
          <t>Доктор философии</t>
        </is>
      </c>
      <c r="E5155" s="2" t="n">
        <v>1976</v>
      </c>
      <c r="F5155" s="2" t="inlineStr">
        <is>
          <t>фильм-спектакль</t>
        </is>
      </c>
      <c r="G5155" s="2" t="inlineStr">
        <is>
          <t>Главная редакция литературно-драматических программ ЦТ</t>
        </is>
      </c>
      <c r="H5155" s="2" t="n">
        <v>299</v>
      </c>
      <c r="I5155" s="2" t="inlineStr"/>
      <c r="J5155" s="2" t="inlineStr"/>
      <c r="K5155" s="3" t="inlineStr">
        <is>
          <t>По пьесе Бранислава Нушича.
Наследник большого состояния возвращается домой с дипломом доктора философии, полученным за границей, где на самом деле учился под его именем управляющий отца. Кроме диплома молодой служащий успел обзавестись женой и ребенком, которые не замедлили появиться вслед за ним.</t>
        </is>
      </c>
      <c r="L5155" s="2" t="inlineStr">
        <is>
          <t>https://www.kino-teatr.ru/teatr/movie/1921/annot/</t>
        </is>
      </c>
      <c r="M5155" s="2">
        <f>HYPERLINK("https://ru.wikipedia.org/w/index.php?search=%D0%94%D0%BE%D0%BA%D1%82%D0%BE%D1%80%20%D1%84%D0%B8%D0%BB%D0%BE%D1%81%D0%BE%D1%84%D0%B8%D0%B8%201976%20%D1%84%D0%B8%D0%BB%D1%8C%D0%BC","искать")</f>
        <v/>
      </c>
      <c r="N5155" s="3" t="n"/>
      <c r="O5155" s="2" t="n"/>
      <c r="P5155" s="2" t="n"/>
    </row>
    <row r="5156">
      <c r="A5156" s="2" t="n">
        <v>5155</v>
      </c>
      <c r="B5156" s="2" t="inlineStr">
        <is>
          <t>короткая</t>
        </is>
      </c>
      <c r="C5156" s="2" t="n">
        <v>10998</v>
      </c>
      <c r="D5156" s="3" t="inlineStr">
        <is>
          <t>Мотылёк</t>
        </is>
      </c>
      <c r="E5156" s="2" t="n">
        <v>1983</v>
      </c>
      <c r="F5156" s="2" t="inlineStr">
        <is>
          <t>фильм-спектакль</t>
        </is>
      </c>
      <c r="G5156" s="2" t="n"/>
      <c r="H5156" s="2" t="n">
        <v>299</v>
      </c>
      <c r="I5156" s="2" t="inlineStr"/>
      <c r="J5156" s="2" t="inlineStr"/>
      <c r="K5156" s="3" t="inlineStr">
        <is>
          <t>Спектакль Узбекского драматического театра имени Хамзы поставлен по одноименной пьесе узбекского драматурга Уйгуна (1905-1990).
В этом спектакле показано, как простая девушка обманывается ложной любовью, как мотылек, и в итоге лишается возможностей настоящей любви, родственников и даже образования.</t>
        </is>
      </c>
      <c r="L5156" s="2" t="inlineStr">
        <is>
          <t>https://www.kino-teatr.ru/teatr/movie/190939/annot/</t>
        </is>
      </c>
      <c r="M5156" s="2">
        <f>HYPERLINK("https://ru.wikipedia.org/w/index.php?search=%D0%9C%D0%BE%D1%82%D1%8B%D0%BB%D1%91%D0%BA%201983%20%D1%84%D0%B8%D0%BB%D1%8C%D0%BC","искать")</f>
        <v/>
      </c>
      <c r="N5156" s="3" t="n"/>
      <c r="O5156" s="2" t="n"/>
      <c r="P5156" s="2" t="n"/>
    </row>
    <row r="5157">
      <c r="A5157" s="2" t="n">
        <v>5156</v>
      </c>
      <c r="B5157" s="2" t="inlineStr">
        <is>
          <t>короткая</t>
        </is>
      </c>
      <c r="C5157" s="2" t="n">
        <v>11356</v>
      </c>
      <c r="D5157" s="3" t="inlineStr">
        <is>
          <t>Ануш</t>
        </is>
      </c>
      <c r="E5157" s="2" t="n">
        <v>1983</v>
      </c>
      <c r="F5157" s="2" t="inlineStr">
        <is>
          <t>фильм-опера/балет</t>
        </is>
      </c>
      <c r="G5157" s="2" t="n"/>
      <c r="H5157" s="2" t="n">
        <v>299</v>
      </c>
      <c r="I5157" s="2" t="inlineStr"/>
      <c r="J5157" s="2" t="inlineStr"/>
      <c r="K5157" s="3" t="inlineStr">
        <is>
          <t>Экранизация оперы А.Тиграняна, по мотивам поэмы Ов.Туманяна. История трагической любви девушки Ануш и пастуха Саро. В утесы бьет разъяренный Дэв-Бед пеной мутных волн, И виден над ним зеленый Саро надмогильный холм. Там слезы безумная льет, Возлюбленная его, И стонет она и зовет К себе Саро своего.</t>
        </is>
      </c>
      <c r="L5157" s="2" t="inlineStr">
        <is>
          <t>Кино_СССР телефильмы и пропуски включить в базу.xlsx</t>
        </is>
      </c>
      <c r="M5157" s="2">
        <f>HYPERLINK("https://ru.wikipedia.org/w/index.php?search=%D0%90%D0%BD%D1%83%D1%88%201983%20%D1%84%D0%B8%D0%BB%D1%8C%D0%BC","искать")</f>
        <v/>
      </c>
      <c r="N5157" s="3" t="n"/>
      <c r="O5157" s="2" t="n"/>
      <c r="P5157" s="2" t="n"/>
    </row>
    <row r="5158">
      <c r="A5158" s="2" t="n">
        <v>5157</v>
      </c>
      <c r="B5158" s="2" t="inlineStr"/>
      <c r="C5158" s="2" t="n">
        <v>7187</v>
      </c>
      <c r="D5158" s="3" t="inlineStr">
        <is>
          <t>Аварийное положение</t>
        </is>
      </c>
      <c r="E5158" s="2" t="n">
        <v>1973</v>
      </c>
      <c r="F5158" s="2" t="inlineStr">
        <is>
          <t>телефильм</t>
        </is>
      </c>
      <c r="G5158" s="2" t="inlineStr">
        <is>
          <t>ТО «Экран»</t>
        </is>
      </c>
      <c r="H5158" s="2" t="n">
        <v>300</v>
      </c>
      <c r="I5158" s="2" t="inlineStr"/>
      <c r="J5158" s="2" t="inlineStr"/>
      <c r="K5158" s="3" t="inlineStr">
        <is>
          <t>Зимой на селе вновь разошелся грипп. Директор интерната выступает с предложением к сельскому шоферу Кузьмичу подменить на время в 6 "А" классе слегших преподавателей. Кузьмич не мудрствуя, берет на себя ответственное поручение, и решает сделать из интерната образцово-показательное учебное заведение.</t>
        </is>
      </c>
      <c r="L5158" s="2" t="inlineStr">
        <is>
          <t>Кино_СССР сводный каталог.xlsx: список телефильмов</t>
        </is>
      </c>
      <c r="M5158" s="2">
        <f>HYPERLINK("https://ru.wikipedia.org/w/index.php?search=%D0%90%D0%B2%D0%B0%D1%80%D0%B8%D0%B9%D0%BD%D0%BE%D0%B5%20%D0%BF%D0%BE%D0%BB%D0%BE%D0%B6%D0%B5%D0%BD%D0%B8%D0%B5%201973%20%D1%84%D0%B8%D0%BB%D1%8C%D0%BC","искать")</f>
        <v/>
      </c>
      <c r="N5158" s="3" t="n"/>
      <c r="O5158" s="2" t="n"/>
      <c r="P5158" s="2" t="n"/>
    </row>
    <row r="5159">
      <c r="A5159" s="2" t="n">
        <v>5158</v>
      </c>
      <c r="B5159" s="2" t="inlineStr"/>
      <c r="C5159" s="2" t="n">
        <v>7869</v>
      </c>
      <c r="D5159" s="3" t="inlineStr">
        <is>
          <t>Место встречи изменить нельзя</t>
        </is>
      </c>
      <c r="E5159" s="2" t="n">
        <v>1979</v>
      </c>
      <c r="F5159" s="2" t="inlineStr">
        <is>
          <t>телефильм</t>
        </is>
      </c>
      <c r="G5159" s="2" t="n"/>
      <c r="H5159" s="2" t="n">
        <v>300</v>
      </c>
      <c r="I5159" s="2" t="inlineStr"/>
      <c r="J5159" s="2" t="inlineStr"/>
      <c r="K5159" s="3" t="inlineStr">
        <is>
          <t>Лето 1945 года. Отгремел салют Великой Победы и страна постепенно возвращается к мирной жизни. Из "огня да в полымя" попадает молоденький командир разведроты Володя Шарапов, придя по распределению в МУР, в отдел по борьбе с бандитизмом. В городе лютует банда "Чёрная кошка", наводя ужас на москвичей.</t>
        </is>
      </c>
      <c r="L5159" s="2" t="inlineStr">
        <is>
          <t>Кино_СССР сводный каталог.xlsx: список телефильмов</t>
        </is>
      </c>
      <c r="M5159" s="2">
        <f>HYPERLINK("https://ru.wikipedia.org/w/index.php?search=%D0%9C%D0%B5%D1%81%D1%82%D0%BE%20%D0%B2%D1%81%D1%82%D1%80%D0%B5%D1%87%D0%B8%20%D0%B8%D0%B7%D0%BC%D0%B5%D0%BD%D0%B8%D1%82%D1%8C%20%D0%BD%D0%B5%D0%BB%D1%8C%D0%B7%D1%8F%201979%20%D1%84%D0%B8%D0%BB%D1%8C%D0%BC","искать")</f>
        <v/>
      </c>
      <c r="N5159" s="3" t="n"/>
      <c r="O5159" s="2" t="n"/>
      <c r="P5159" s="2" t="n"/>
    </row>
    <row r="5160">
      <c r="A5160" s="2" t="n">
        <v>5159</v>
      </c>
      <c r="B5160" s="2" t="inlineStr"/>
      <c r="C5160" s="2" t="n">
        <v>8274</v>
      </c>
      <c r="D5160" s="3" t="inlineStr">
        <is>
          <t>Ритмы Апшерона</t>
        </is>
      </c>
      <c r="E5160" s="2" t="n">
        <v>1970</v>
      </c>
      <c r="F5160" s="2" t="inlineStr">
        <is>
          <t>телефильм</t>
        </is>
      </c>
      <c r="G5160" s="2" t="n"/>
      <c r="H5160" s="2" t="n">
        <v>300</v>
      </c>
      <c r="I5160" s="2" t="inlineStr"/>
      <c r="J5160" s="2" t="inlineStr"/>
      <c r="K5160" s="3" t="inlineStr">
        <is>
          <t>Телефильм. Музыкальное ревю. Произведения азербайджанских композиторов исполняют М.Магомаев, Р.Бейрутов, З.Ханларова, О.Агаев, Ф.Керимова, П.Бюль-Бюль-оглы, вокальный квартет "Гая" и инструментальный квартет п/у Р.Бабаева. В концерте также принимают участие Государственный ансамбль песни и танца Аз.</t>
        </is>
      </c>
      <c r="L5160" s="2" t="inlineStr">
        <is>
          <t>Кино_СССР сводный каталог.xlsx: список телефильмов</t>
        </is>
      </c>
      <c r="M5160" s="2">
        <f>HYPERLINK("https://ru.wikipedia.org/w/index.php?search=%D0%A0%D0%B8%D1%82%D0%BC%D1%8B%20%D0%90%D0%BF%D1%88%D0%B5%D1%80%D0%BE%D0%BD%D0%B0%201970%20%D1%84%D0%B8%D0%BB%D1%8C%D0%BC","искать")</f>
        <v/>
      </c>
      <c r="N5160" s="3" t="n"/>
      <c r="O5160" s="2" t="n"/>
      <c r="P5160" s="2" t="n"/>
    </row>
    <row r="5161">
      <c r="A5161" s="2" t="n">
        <v>5160</v>
      </c>
      <c r="B5161" s="2" t="inlineStr"/>
      <c r="C5161" s="2" t="n">
        <v>8294</v>
      </c>
      <c r="D5161" s="3" t="inlineStr">
        <is>
          <t>С вечера до полудня</t>
        </is>
      </c>
      <c r="E5161" s="2" t="n">
        <v>1981</v>
      </c>
      <c r="F5161" s="2" t="inlineStr">
        <is>
          <t>телефильм</t>
        </is>
      </c>
      <c r="G5161" s="2" t="n"/>
      <c r="H5161" s="2" t="n">
        <v>300</v>
      </c>
      <c r="I5161" s="2" t="inlineStr"/>
      <c r="J5161" s="2" t="inlineStr"/>
      <c r="K5161" s="3" t="inlineStr">
        <is>
          <t>Телефильм. Экранизация пьесы Виктора Розова. События двух дней многое изменили в жизни семьи писателя Жаркова. Все смешалось в доме Андрея Константиновича. Его сын Ким тоскует по ушедшей от него и уехавшей за границу жене, внук Альберт ждет встречи с матерью, параллельно решая проблемы первой любви.</t>
        </is>
      </c>
      <c r="L5161" s="2" t="inlineStr">
        <is>
          <t>Кино_СССР сводный каталог.xlsx: список телефильмов</t>
        </is>
      </c>
      <c r="M5161" s="2">
        <f>HYPERLINK("https://ru.wikipedia.org/w/index.php?search=%D0%A1%20%D0%B2%D0%B5%D1%87%D0%B5%D1%80%D0%B0%20%D0%B4%D0%BE%20%D0%BF%D0%BE%D0%BB%D1%83%D0%B4%D0%BD%D1%8F%201981%20%D1%84%D0%B8%D0%BB%D1%8C%D0%BC","искать")</f>
        <v/>
      </c>
      <c r="N5161" s="3" t="n"/>
      <c r="O5161" s="2" t="n"/>
      <c r="P5161" s="2" t="n"/>
    </row>
    <row r="5162">
      <c r="A5162" s="2" t="n">
        <v>5161</v>
      </c>
      <c r="B5162" s="2" t="inlineStr"/>
      <c r="C5162" s="2" t="n">
        <v>9359</v>
      </c>
      <c r="D5162" s="3" t="inlineStr">
        <is>
          <t>Живая мишень</t>
        </is>
      </c>
      <c r="E5162" s="2" t="n">
        <v>1990</v>
      </c>
      <c r="F5162" s="2" t="inlineStr">
        <is>
          <t>кинофильм</t>
        </is>
      </c>
      <c r="G5162" s="2" t="n"/>
      <c r="H5162" s="2" t="n">
        <v>300</v>
      </c>
      <c r="I5162" s="2" t="inlineStr"/>
      <c r="J5162" s="2" t="inlineStr"/>
      <c r="K5162" s="3" t="inlineStr">
        <is>
          <t>По мотивам повести Г. Орешкина "Горький туман" 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t>
        </is>
      </c>
      <c r="L5162" s="2" t="inlineStr">
        <is>
          <t>Кино_СССР сводный каталог.xlsx: список фильмов (доп.)</t>
        </is>
      </c>
      <c r="M5162" s="2">
        <f>HYPERLINK("https://ru.wikipedia.org/w/index.php?search=%D0%96%D0%B8%D0%B2%D0%B0%D1%8F%20%D0%BC%D0%B8%D1%88%D0%B5%D0%BD%D1%8C%201990%20%D1%84%D0%B8%D0%BB%D1%8C%D0%BC","искать")</f>
        <v/>
      </c>
      <c r="N5162" s="3" t="n"/>
      <c r="O5162" s="2" t="n"/>
      <c r="P5162" s="2" t="n"/>
    </row>
    <row r="5163">
      <c r="A5163" s="2" t="n">
        <v>5162</v>
      </c>
      <c r="B5163" s="2" t="inlineStr"/>
      <c r="C5163" s="2" t="n">
        <v>7265</v>
      </c>
      <c r="D5163" s="3" t="inlineStr">
        <is>
          <t>Большое приключение</t>
        </is>
      </c>
      <c r="E5163" s="2" t="n">
        <v>1985</v>
      </c>
      <c r="F5163" s="2" t="inlineStr">
        <is>
          <t>телефильм</t>
        </is>
      </c>
      <c r="G5163" s="2" t="inlineStr">
        <is>
          <t>Беларусьфильм</t>
        </is>
      </c>
      <c r="H5163" s="2" t="n">
        <v>301</v>
      </c>
      <c r="I5163" s="2" t="inlineStr"/>
      <c r="J5163" s="2" t="inlineStr"/>
      <c r="K5163" s="3" t="inlineStr">
        <is>
          <t>Телефильм. 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is>
      </c>
      <c r="L5163" s="2" t="inlineStr">
        <is>
          <t>Кино_СССР сводный каталог.xlsx: список телефильмов</t>
        </is>
      </c>
      <c r="M5163" s="2">
        <f>HYPERLINK("https://ru.wikipedia.org/w/index.php?search=%D0%91%D0%BE%D0%BB%D1%8C%D1%88%D0%BE%D0%B5%20%D0%BF%D1%80%D0%B8%D0%BA%D0%BB%D1%8E%D1%87%D0%B5%D0%BD%D0%B8%D0%B5%201985%20%D1%84%D0%B8%D0%BB%D1%8C%D0%BC","искать")</f>
        <v/>
      </c>
      <c r="N5163" s="3" t="n"/>
      <c r="O5163" s="2" t="n"/>
      <c r="P5163" s="2" t="n"/>
    </row>
    <row r="5164">
      <c r="A5164" s="2" t="n">
        <v>5163</v>
      </c>
      <c r="B5164" s="2" t="inlineStr"/>
      <c r="C5164" s="2" t="n">
        <v>7391</v>
      </c>
      <c r="D5164" s="3" t="inlineStr">
        <is>
          <t>Время зимних туманов</t>
        </is>
      </c>
      <c r="E5164" s="2" t="n">
        <v>1982</v>
      </c>
      <c r="F5164" s="2" t="inlineStr">
        <is>
          <t>телефильм</t>
        </is>
      </c>
      <c r="G5164" s="2" t="n"/>
      <c r="H5164" s="2" t="n">
        <v>301</v>
      </c>
      <c r="I5164" s="2" t="inlineStr"/>
      <c r="J5164" s="2" t="inlineStr"/>
      <c r="K5164" s="3" t="inlineStr">
        <is>
          <t>По мотивам повести Саттора Турсуна "Лук Рустама". Вернувшись домой после службы в армии, Нур Раджабов узнает, что его жена ушла от него к директору совхоза Наимову. Отношения Раджабова с Ниамовым и его родней еще больше осложнились после того, как Нур встретил и полюбил Амину - невесту брата Наимова.</t>
        </is>
      </c>
      <c r="L5164" s="2" t="inlineStr">
        <is>
          <t>Кино_СССР сводный каталог.xlsx: список телефильмов</t>
        </is>
      </c>
      <c r="M5164" s="2">
        <f>HYPERLINK("https://ru.wikipedia.org/w/index.php?search=%D0%92%D1%80%D0%B5%D0%BC%D1%8F%20%D0%B7%D0%B8%D0%BC%D0%BD%D0%B8%D1%85%20%D1%82%D1%83%D0%BC%D0%B0%D0%BD%D0%BE%D0%B2%201982%20%D1%84%D0%B8%D0%BB%D1%8C%D0%BC","искать")</f>
        <v/>
      </c>
      <c r="N5164" s="3" t="n"/>
      <c r="O5164" s="2" t="n"/>
      <c r="P5164" s="2" t="n"/>
    </row>
    <row r="5165">
      <c r="A5165" s="2" t="n">
        <v>5164</v>
      </c>
      <c r="B5165" s="2" t="inlineStr"/>
      <c r="C5165" s="2" t="n">
        <v>7568</v>
      </c>
      <c r="D5165" s="3" t="inlineStr">
        <is>
          <t>Дымка</t>
        </is>
      </c>
      <c r="E5165" s="2" t="n">
        <v>1985</v>
      </c>
      <c r="F5165" s="2" t="inlineStr">
        <is>
          <t>телефильм</t>
        </is>
      </c>
      <c r="G5165" s="2" t="n"/>
      <c r="H5165" s="2" t="n">
        <v>301</v>
      </c>
      <c r="I5165" s="2" t="inlineStr"/>
      <c r="J5165" s="2" t="inlineStr"/>
      <c r="K5165" s="3" t="inlineStr">
        <is>
          <t>По мотивам одноименной повести Виля Джемса. Дымку - прекрасного жеребца - заприметил в диком табуне молодой ковбой Джери. Но на Дымку есть виды и у хозяина ранчо, который хочет подарить жеребца своей возлюбленной. В борьбе с хозяином на стороне ковбоя верные друзья: циркачка, собака-бассет и пантера.</t>
        </is>
      </c>
      <c r="L5165" s="2" t="inlineStr">
        <is>
          <t>Кино_СССР сводный каталог.xlsx: список телефильмов</t>
        </is>
      </c>
      <c r="M5165" s="2">
        <f>HYPERLINK("https://ru.wikipedia.org/w/index.php?search=%D0%94%D1%8B%D0%BC%D0%BA%D0%B0%201985%20%D1%84%D0%B8%D0%BB%D1%8C%D0%BC","искать")</f>
        <v/>
      </c>
      <c r="N5165" s="3" t="n"/>
      <c r="O5165" s="2" t="n"/>
      <c r="P5165" s="2" t="n"/>
    </row>
    <row r="5166">
      <c r="A5166" s="2" t="n">
        <v>5165</v>
      </c>
      <c r="B5166" s="2" t="inlineStr"/>
      <c r="C5166" s="2" t="n">
        <v>7918</v>
      </c>
      <c r="D5166" s="3" t="inlineStr">
        <is>
          <t>Мы - хлопцы живучие</t>
        </is>
      </c>
      <c r="E5166" s="2" t="n">
        <v>1974</v>
      </c>
      <c r="F5166" s="2" t="inlineStr">
        <is>
          <t>телефильм</t>
        </is>
      </c>
      <c r="G5166" s="2" t="n"/>
      <c r="H5166" s="2" t="n">
        <v>301</v>
      </c>
      <c r="I5166" s="2" t="inlineStr"/>
      <c r="J5166" s="2" t="inlineStr"/>
      <c r="K5166" s="3" t="inlineStr">
        <is>
          <t>Телефильм по одноименной повести белорусского детского писателя Ивана Серкова. Заканчивается война. В освобожденном от немцев белорусском селе Поколюбичи остались одни женщины да старики, поэтому подросткам приходится работать наравне со взрослыми. Мальчишек Саньку и Ивана постоянно тянет на подвиги.</t>
        </is>
      </c>
      <c r="L5166" s="2" t="inlineStr">
        <is>
          <t>Кино_СССР сводный каталог.xlsx: список телефильмов</t>
        </is>
      </c>
      <c r="M5166" s="2">
        <f>HYPERLINK("https://ru.wikipedia.org/w/index.php?search=%D0%9C%D1%8B%20-%20%D1%85%D0%BB%D0%BE%D0%BF%D1%86%D1%8B%20%D0%B6%D0%B8%D0%B2%D1%83%D1%87%D0%B8%D0%B5%201974%20%D1%84%D0%B8%D0%BB%D1%8C%D0%BC","искать")</f>
        <v/>
      </c>
      <c r="N5166" s="3" t="n"/>
      <c r="O5166" s="2" t="n"/>
      <c r="P5166" s="2" t="n"/>
    </row>
    <row r="5167">
      <c r="A5167" s="2" t="n">
        <v>5166</v>
      </c>
      <c r="B5167" s="2" t="inlineStr"/>
      <c r="C5167" s="2" t="n">
        <v>8098</v>
      </c>
      <c r="D5167" s="3" t="inlineStr">
        <is>
          <t>Передай дальше...</t>
        </is>
      </c>
      <c r="E5167" s="2" t="n">
        <v>1988</v>
      </c>
      <c r="F5167" s="2" t="inlineStr">
        <is>
          <t>телефильм</t>
        </is>
      </c>
      <c r="G5167" s="2" t="n"/>
      <c r="H5167" s="2" t="n">
        <v>301</v>
      </c>
      <c r="I5167" s="2" t="inlineStr"/>
      <c r="J5167" s="2" t="inlineStr"/>
      <c r="K5167" s="3" t="inlineStr">
        <is>
          <t>Телефильм по одноименной повести Бориса Рахманина. Действие происходит в первые послевоенные годы. Воспитаннику детского дома, 12-летнему Костику, сообщают, что в Одессе отыскалась его тетя Клавдия. Он едет в Одессу, чтобы повидаться с ней. Но произошла ошибка - Клавдия была лишь подругой его матери.</t>
        </is>
      </c>
      <c r="L5167" s="2" t="inlineStr">
        <is>
          <t>Кино_СССР сводный каталог.xlsx: список телефильмов</t>
        </is>
      </c>
      <c r="M5167" s="2">
        <f>HYPERLINK("https://ru.wikipedia.org/w/index.php?search=%D0%9F%D0%B5%D1%80%D0%B5%D0%B4%D0%B0%D0%B9%20%D0%B4%D0%B0%D0%BB%D1%8C%D1%88%D0%B5...%201988%20%D1%84%D0%B8%D0%BB%D1%8C%D0%BC","искать")</f>
        <v/>
      </c>
      <c r="N5167" s="3" t="n"/>
      <c r="O5167" s="2" t="n"/>
      <c r="P5167" s="2" t="n"/>
    </row>
    <row r="5168">
      <c r="A5168" s="2" t="n">
        <v>5167</v>
      </c>
      <c r="B5168" s="2" t="inlineStr"/>
      <c r="C5168" s="2" t="n">
        <v>8690</v>
      </c>
      <c r="D5168" s="3" t="inlineStr">
        <is>
          <t>Далёкое и близкое</t>
        </is>
      </c>
      <c r="E5168" s="2" t="n">
        <v>1957</v>
      </c>
      <c r="F5168" s="2" t="inlineStr">
        <is>
          <t>кинофильм</t>
        </is>
      </c>
      <c r="G5168" s="2" t="n"/>
      <c r="H5168" s="2" t="n">
        <v>301</v>
      </c>
      <c r="I5168" s="2" t="inlineStr"/>
      <c r="J5168" s="2" t="inlineStr"/>
      <c r="K5168" s="3" t="inlineStr">
        <is>
          <t>Рассказ о далеком и близком трёх друзей - Сани, Ивана, Олега - охватывает значительный промежуток времени: предвоенные, военные и послевоенные годы. Многое случилось в их жизни за это время. Здесь и борьба с непримиримыми врагами нового строя в деревне, тяжелые годы войны, сложная послевоенная жизнь.</t>
        </is>
      </c>
      <c r="L5168" s="2" t="inlineStr">
        <is>
          <t>Кино_СССР сводный каталог.xlsx: список фильмов (доп.)</t>
        </is>
      </c>
      <c r="M5168" s="2">
        <f>HYPERLINK("https://ru.wikipedia.org/w/index.php?search=%D0%94%D0%B0%D0%BB%D1%91%D0%BA%D0%BE%D0%B5%20%D0%B8%20%D0%B1%D0%BB%D0%B8%D0%B7%D0%BA%D0%BE%D0%B5%201957%20%D1%84%D0%B8%D0%BB%D1%8C%D0%BC","искать")</f>
        <v/>
      </c>
      <c r="N5168" s="3" t="n"/>
      <c r="O5168" s="2" t="n"/>
      <c r="P5168" s="2" t="n"/>
    </row>
    <row r="5169">
      <c r="A5169" s="2" t="n">
        <v>5168</v>
      </c>
      <c r="B5169" s="2" t="inlineStr"/>
      <c r="C5169" s="2" t="n">
        <v>8873</v>
      </c>
      <c r="D5169" s="3" t="inlineStr">
        <is>
          <t>Нелюдь</t>
        </is>
      </c>
      <c r="E5169" s="2" t="n">
        <v>1990</v>
      </c>
      <c r="F5169" s="2" t="inlineStr">
        <is>
          <t>кинофильм</t>
        </is>
      </c>
      <c r="G5169" s="2" t="n"/>
      <c r="H5169" s="2" t="n">
        <v>301</v>
      </c>
      <c r="I5169" s="2" t="inlineStr"/>
      <c r="J5169" s="2" t="inlineStr"/>
      <c r="K5169" s="3" t="inlineStr">
        <is>
          <t>Преступники похитили сына Зои Михайловны Шерстобитовой, председателя горисполкома областного центра. Недавнее обладание властью и благополучие сменяются беспомощностью и страхом. Не прекращается череда проверок, издевательских звонков, унизительных просьб о помощи к сослуживцам по "теневому бизнесу".</t>
        </is>
      </c>
      <c r="L5169" s="2" t="inlineStr">
        <is>
          <t>Кино_СССР сводный каталог.xlsx: список фильмов (доп.)</t>
        </is>
      </c>
      <c r="M5169" s="2">
        <f>HYPERLINK("https://ru.wikipedia.org/w/index.php?search=%D0%9D%D0%B5%D0%BB%D1%8E%D0%B4%D1%8C%201990%20%D1%84%D0%B8%D0%BB%D1%8C%D0%BC","искать")</f>
        <v/>
      </c>
      <c r="N5169" s="3" t="n"/>
      <c r="O5169" s="2" t="n"/>
      <c r="P5169" s="2" t="n"/>
    </row>
    <row r="5170">
      <c r="A5170" s="2" t="n">
        <v>5169</v>
      </c>
      <c r="B5170" s="2" t="inlineStr"/>
      <c r="C5170" s="2" t="n">
        <v>10872</v>
      </c>
      <c r="D5170" s="3" t="inlineStr">
        <is>
          <t>Я, ты и другие</t>
        </is>
      </c>
      <c r="E5170" s="2" t="n">
        <v>1980</v>
      </c>
      <c r="F5170" s="2" t="inlineStr">
        <is>
          <t>фильм-спектакль</t>
        </is>
      </c>
      <c r="G5170" s="2" t="inlineStr">
        <is>
          <t>Центральное телевидение</t>
        </is>
      </c>
      <c r="H5170" s="2" t="n">
        <v>301</v>
      </c>
      <c r="I5170" s="2" t="inlineStr"/>
      <c r="J5170" s="2" t="inlineStr"/>
      <c r="K5170" s="3" t="inlineStr">
        <is>
          <t>Телеспектакль по повести Игоря Минутко «Старая липа в московском дворе».
Паренёк из интеллигентной семьи, Костя Пчёлкин (Пчёлка) подвергается периодической травле дворовыми пацанами, в компании которых вдруг появляется Лена Макарова - девушка длинноволосого красавчика с гитарой Дмитрия Мухина (Муха).</t>
        </is>
      </c>
      <c r="L5170" s="2" t="inlineStr">
        <is>
          <t>https://www.kino-teatr.ru/teatr/movie/127751/annot/</t>
        </is>
      </c>
      <c r="M5170" s="2">
        <f>HYPERLINK("https://ru.wikipedia.org/w/index.php?search=%D0%AF%2C%20%D1%82%D1%8B%20%D0%B8%20%D0%B4%D1%80%D1%83%D0%B3%D0%B8%D0%B5%201980%20%D1%84%D0%B8%D0%BB%D1%8C%D0%BC","искать")</f>
        <v/>
      </c>
      <c r="N5170" s="3" t="n"/>
      <c r="O5170" s="2" t="n"/>
      <c r="P5170" s="2" t="n"/>
    </row>
    <row r="5171">
      <c r="A5171" s="2" t="n">
        <v>5170</v>
      </c>
      <c r="B5171" s="2" t="inlineStr"/>
      <c r="C5171" s="2" t="n">
        <v>11171</v>
      </c>
      <c r="D5171" s="3" t="inlineStr">
        <is>
          <t>Мораль Леонардо</t>
        </is>
      </c>
      <c r="E5171" s="2" t="n">
        <v>1987</v>
      </c>
      <c r="F5171" s="2" t="inlineStr">
        <is>
          <t>фильм-спектакль</t>
        </is>
      </c>
      <c r="G5171" s="2" t="inlineStr">
        <is>
          <t>Главная редакция литературно-драматических программ ЦТ</t>
        </is>
      </c>
      <c r="H5171" s="2" t="n">
        <v>301</v>
      </c>
      <c r="I5171" s="2" t="inlineStr"/>
      <c r="J5171" s="2" t="inlineStr"/>
      <c r="K5171" s="3" t="inlineStr">
        <is>
          <t>Из цикла "Политический театр".
В центре повествования - история взаимоотношений американского физика, "отца водородной бомбы", именуемого в спектакле Тэдди, и его дочери, которая обвиняет отца в антигуманной деятельности, в том, что он предал мораль великих ученых прошлого.
Ведущий - Федор Бурлацкий.</t>
        </is>
      </c>
      <c r="L5171" s="2" t="inlineStr">
        <is>
          <t>https://www.kino-teatr.ru/teatr/movie/81361/annot/</t>
        </is>
      </c>
      <c r="M5171" s="2">
        <f>HYPERLINK("https://ru.wikipedia.org/w/index.php?search=%D0%9C%D0%BE%D1%80%D0%B0%D0%BB%D1%8C%20%D0%9B%D0%B5%D0%BE%D0%BD%D0%B0%D1%80%D0%B4%D0%BE%201987%20%D1%84%D0%B8%D0%BB%D1%8C%D0%BC","искать")</f>
        <v/>
      </c>
      <c r="N5171" s="3" t="n"/>
      <c r="O5171" s="2" t="n"/>
      <c r="P5171" s="2" t="n"/>
    </row>
    <row r="5172">
      <c r="A5172" s="2" t="n">
        <v>5171</v>
      </c>
      <c r="B5172" s="2" t="inlineStr"/>
      <c r="C5172" s="2" t="n">
        <v>7401</v>
      </c>
      <c r="D5172" s="3" t="inlineStr">
        <is>
          <t>Всего три недели...</t>
        </is>
      </c>
      <c r="E5172" s="2" t="n">
        <v>1971</v>
      </c>
      <c r="F5172" s="2" t="inlineStr">
        <is>
          <t>телефильм</t>
        </is>
      </c>
      <c r="G5172" s="2" t="inlineStr">
        <is>
          <t>к/с им. Довженко</t>
        </is>
      </c>
      <c r="H5172" s="2" t="n">
        <v>302</v>
      </c>
      <c r="I5172" s="2" t="inlineStr"/>
      <c r="J5172" s="2" t="inlineStr"/>
      <c r="K5172" s="3" t="inlineStr">
        <is>
          <t>В райком пришло анонимное письмо, в которой критикуется работа председателя колхоза «Луч» Игоря Кирилловича Сивко. Для расследования приезжает работник райкома Евгений Иванович Лященко, который является старым приятелем Сивко. Лященко пытается разобраться в ситуации и выяснить правду о работе колхоза.</t>
        </is>
      </c>
      <c r="L5172" s="2" t="inlineStr">
        <is>
          <t>https://ru.wikipedia.org/w/index.php?title=%D0%92%D1%81%D0%B5%D0%B3%D0%BE_%D1%82%D1%80%D0%B8_%D0%BD%D0%B5%D0%B4%D0%B5%D0%BB%D0%B8%E2%80%A6&amp;oldid=150610910</t>
        </is>
      </c>
      <c r="M5172" s="2">
        <f>HYPERLINK("https://ru.wikipedia.org/w/index.php?search=%D0%92%D1%81%D0%B5%D0%B3%D0%BE%20%D1%82%D1%80%D0%B8%20%D0%BD%D0%B5%D0%B4%D0%B5%D0%BB%D0%B8...%201971%20%D1%84%D0%B8%D0%BB%D1%8C%D0%BC","искать")</f>
        <v/>
      </c>
      <c r="N5172" s="3" t="n"/>
      <c r="O5172" s="2" t="n"/>
      <c r="P5172" s="2" t="n"/>
    </row>
    <row r="5173">
      <c r="A5173" s="2" t="n">
        <v>5172</v>
      </c>
      <c r="B5173" s="2" t="inlineStr"/>
      <c r="C5173" s="2" t="n">
        <v>7545</v>
      </c>
      <c r="D5173" s="3" t="inlineStr">
        <is>
          <t>Домовой</t>
        </is>
      </c>
      <c r="E5173" s="2" t="n">
        <v>1981</v>
      </c>
      <c r="F5173" s="2" t="inlineStr">
        <is>
          <t>телефильм</t>
        </is>
      </c>
      <c r="G5173" s="2" t="n"/>
      <c r="H5173" s="2" t="n">
        <v>302</v>
      </c>
      <c r="I5173" s="2" t="inlineStr"/>
      <c r="J5173" s="2" t="inlineStr"/>
      <c r="K5173" s="3" t="inlineStr">
        <is>
          <t>По одноименной пьесе эстонского писателя и драматурга Эдуарда Вильде. Действие происходит в Таллине в 1913 году. Герой - писатель Тийт вынужден приписать авторство своего романа школьному другу Людвигу. Но затем в результате шантажа ему удается войти в богатую семью и жениться на родственнице Людвига.</t>
        </is>
      </c>
      <c r="L5173" s="2" t="inlineStr">
        <is>
          <t>Кино_СССР сводный каталог.xlsx: список телефильмов</t>
        </is>
      </c>
      <c r="M5173" s="2">
        <f>HYPERLINK("https://ru.wikipedia.org/w/index.php?search=%D0%94%D0%BE%D0%BC%D0%BE%D0%B2%D0%BE%D0%B9%201981%20%D1%84%D0%B8%D0%BB%D1%8C%D0%BC","искать")</f>
        <v/>
      </c>
      <c r="N5173" s="3" t="n"/>
      <c r="O5173" s="2" t="n"/>
      <c r="P5173" s="2" t="n"/>
    </row>
    <row r="5174">
      <c r="A5174" s="2" t="n">
        <v>5173</v>
      </c>
      <c r="B5174" s="2" t="inlineStr"/>
      <c r="C5174" s="2" t="n">
        <v>7697</v>
      </c>
      <c r="D5174" s="3" t="inlineStr">
        <is>
          <t>Казначейша</t>
        </is>
      </c>
      <c r="E5174" s="2" t="n">
        <v>1980</v>
      </c>
      <c r="F5174" s="2" t="inlineStr">
        <is>
          <t>телефильм</t>
        </is>
      </c>
      <c r="G5174" s="2" t="n"/>
      <c r="H5174" s="2" t="n">
        <v>302</v>
      </c>
      <c r="I5174" s="2" t="inlineStr"/>
      <c r="J5174" s="2" t="inlineStr"/>
      <c r="K5174" s="3" t="inlineStr">
        <is>
          <t>Этот телефильм-опера создан по произведению Бориса Асафьева "Казначейша", который, в свою очередь, переложил на язык оперы поэму М.Ю.Лермонтова "Тамбовская казначейша". Действие происходит в начале XIX века в провинциальном Тамбове. Спокойную, размеренную жизнь городка нарушает приезд уланского полка.</t>
        </is>
      </c>
      <c r="L5174" s="2" t="inlineStr">
        <is>
          <t>Кино_СССР сводный каталог.xlsx: список телефильмов</t>
        </is>
      </c>
      <c r="M5174" s="2">
        <f>HYPERLINK("https://ru.wikipedia.org/w/index.php?search=%D0%9A%D0%B0%D0%B7%D0%BD%D0%B0%D1%87%D0%B5%D0%B9%D1%88%D0%B0%201980%20%D1%84%D0%B8%D0%BB%D1%8C%D0%BC","искать")</f>
        <v/>
      </c>
      <c r="N5174" s="3" t="n"/>
      <c r="O5174" s="2" t="n"/>
      <c r="P5174" s="2" t="n"/>
    </row>
    <row r="5175">
      <c r="A5175" s="2" t="n">
        <v>5174</v>
      </c>
      <c r="B5175" s="2" t="inlineStr"/>
      <c r="C5175" s="2" t="n">
        <v>7737</v>
      </c>
      <c r="D5175" s="3" t="inlineStr">
        <is>
          <t>Когда уходят киты</t>
        </is>
      </c>
      <c r="E5175" s="2" t="n">
        <v>1981</v>
      </c>
      <c r="F5175" s="2" t="inlineStr">
        <is>
          <t>телефильм</t>
        </is>
      </c>
      <c r="G5175" s="2" t="n"/>
      <c r="H5175" s="2" t="n">
        <v>302</v>
      </c>
      <c r="I5175" s="2" t="inlineStr"/>
      <c r="J5175" s="2" t="inlineStr"/>
      <c r="K5175" s="3" t="inlineStr">
        <is>
          <t>Поэтический рассказ на основе фольклора народов Севера о жизни одного из чукотских стойбищ, о верной любви красавицы Тинтин и охотника Гилгила. Когда уходят киты?.. Когда человека покидают его друзья, близкие, те, которым он доверял, на которых опирался, надеялся, те, кто помогал ему в трудные минуты.</t>
        </is>
      </c>
      <c r="L5175" s="2" t="inlineStr">
        <is>
          <t>Кино_СССР сводный каталог.xlsx: список телефильмов</t>
        </is>
      </c>
      <c r="M5175" s="2">
        <f>HYPERLINK("https://ru.wikipedia.org/w/index.php?search=%D0%9A%D0%BE%D0%B3%D0%B4%D0%B0%20%D1%83%D1%85%D0%BE%D0%B4%D1%8F%D1%82%20%D0%BA%D0%B8%D1%82%D1%8B%201981%20%D1%84%D0%B8%D0%BB%D1%8C%D0%BC","искать")</f>
        <v/>
      </c>
      <c r="N5175" s="3" t="n"/>
      <c r="O5175" s="2" t="n"/>
      <c r="P5175" s="2" t="n"/>
    </row>
    <row r="5176">
      <c r="A5176" s="2" t="n">
        <v>5175</v>
      </c>
      <c r="B5176" s="2" t="inlineStr"/>
      <c r="C5176" s="2" t="n">
        <v>7748</v>
      </c>
      <c r="D5176" s="3" t="inlineStr">
        <is>
          <t>Компаньоны</t>
        </is>
      </c>
      <c r="E5176" s="2" t="n">
        <v>1983</v>
      </c>
      <c r="F5176" s="2" t="inlineStr">
        <is>
          <t>телефильм</t>
        </is>
      </c>
      <c r="G5176" s="2" t="n"/>
      <c r="H5176" s="2" t="n">
        <v>302</v>
      </c>
      <c r="I5176" s="2" t="inlineStr"/>
      <c r="J5176" s="2" t="inlineStr"/>
      <c r="K5176" s="3" t="inlineStr">
        <is>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is>
      </c>
      <c r="L5176" s="2" t="inlineStr">
        <is>
          <t>Кино_СССР сводный каталог.xlsx: список телефильмов</t>
        </is>
      </c>
      <c r="M5176" s="2">
        <f>HYPERLINK("https://ru.wikipedia.org/w/index.php?search=%D0%9A%D0%BE%D0%BC%D0%BF%D0%B0%D0%BD%D1%8C%D0%BE%D0%BD%D1%8B%201983%20%D1%84%D0%B8%D0%BB%D1%8C%D0%BC","искать")</f>
        <v/>
      </c>
      <c r="N5176" s="3" t="n"/>
      <c r="O5176" s="2" t="n"/>
      <c r="P5176" s="2" t="n"/>
    </row>
    <row r="5177">
      <c r="A5177" s="2" t="n">
        <v>5176</v>
      </c>
      <c r="B5177" s="2" t="inlineStr"/>
      <c r="C5177" s="2" t="n">
        <v>7966</v>
      </c>
      <c r="D5177" s="3" t="inlineStr">
        <is>
          <t>Не сошлись характерами</t>
        </is>
      </c>
      <c r="E5177" s="2" t="n">
        <v>1989</v>
      </c>
      <c r="F5177" s="2" t="inlineStr">
        <is>
          <t>телефильм</t>
        </is>
      </c>
      <c r="G5177" s="2" t="n"/>
      <c r="H5177" s="2" t="n">
        <v>302</v>
      </c>
      <c r="I5177" s="2" t="inlineStr"/>
      <c r="J5177" s="2" t="inlineStr"/>
      <c r="K5177" s="3" t="inlineStr">
        <is>
          <t>Психолог Наталья Юрьевна по роду своей служебной деятельности разбирается в запутанных семейно-бытовых драмах своих клиентов, находя нужные слова и аргументы. Сохранять чужие семьи - ее работа. Однако, волею случая именно на долю Натальи Юрьевны выпадает пережить предательство, ревность и одиночество.</t>
        </is>
      </c>
      <c r="L5177" s="2" t="inlineStr">
        <is>
          <t>Кино_СССР сводный каталог.xlsx: список телефильмов</t>
        </is>
      </c>
      <c r="M5177" s="2">
        <f>HYPERLINK("https://ru.wikipedia.org/w/index.php?search=%D0%9D%D0%B5%20%D1%81%D0%BE%D1%88%D0%BB%D0%B8%D1%81%D1%8C%20%D1%85%D0%B0%D1%80%D0%B0%D0%BA%D1%82%D0%B5%D1%80%D0%B0%D0%BC%D0%B8%201989%20%D1%84%D0%B8%D0%BB%D1%8C%D0%BC","искать")</f>
        <v/>
      </c>
      <c r="N5177" s="3" t="n"/>
      <c r="O5177" s="2" t="n"/>
      <c r="P5177" s="2" t="n"/>
    </row>
    <row r="5178">
      <c r="A5178" s="2" t="n">
        <v>5177</v>
      </c>
      <c r="B5178" s="2" t="inlineStr"/>
      <c r="C5178" s="2" t="n">
        <v>9158</v>
      </c>
      <c r="D5178" s="3" t="inlineStr">
        <is>
          <t>Чёрный принц Аджуба</t>
        </is>
      </c>
      <c r="E5178" s="2" t="n">
        <v>1989</v>
      </c>
      <c r="F5178" s="2" t="inlineStr">
        <is>
          <t>кинофильм</t>
        </is>
      </c>
      <c r="G5178" s="2" t="inlineStr">
        <is>
          <t>к/с им. Горького</t>
        </is>
      </c>
      <c r="H5178" s="2" t="n">
        <v>302</v>
      </c>
      <c r="I5178" s="2" t="inlineStr"/>
      <c r="J5178" s="2" t="inlineStr"/>
      <c r="K5178" s="3" t="inlineStr">
        <is>
          <t>У правителя сказочной страны Бахаристан родился долгожданный наследник. Добрый волшебник Амир-Баба подарил новорожденному принцу меч, способный пронзить даже гранит. Меч воткнули в основание фонтана и Амир-Баба предсказал, что оружие сможет вытащить только сын султана, когда достигнет совершеннолетия.</t>
        </is>
      </c>
      <c r="L5178" s="2" t="inlineStr">
        <is>
          <t>Кино_СССР сводный каталог.xlsx: список фильмов (доп.)</t>
        </is>
      </c>
      <c r="M5178" s="2">
        <f>HYPERLINK("https://ru.wikipedia.org/w/index.php?search=%D0%A7%D1%91%D1%80%D0%BD%D1%8B%D0%B9%20%D0%BF%D1%80%D0%B8%D0%BD%D1%86%20%D0%90%D0%B4%D0%B6%D1%83%D0%B1%D0%B0%201989%20%D1%84%D0%B8%D0%BB%D1%8C%D0%BC","искать")</f>
        <v/>
      </c>
      <c r="N5178" s="3" t="n"/>
      <c r="O5178" s="2" t="n"/>
      <c r="P5178" s="2" t="n"/>
    </row>
    <row r="5179">
      <c r="A5179" s="2" t="n">
        <v>5178</v>
      </c>
      <c r="B5179" s="2" t="inlineStr"/>
      <c r="C5179" s="2" t="n">
        <v>9227</v>
      </c>
      <c r="D5179" s="3" t="inlineStr">
        <is>
          <t>Бейбарс</t>
        </is>
      </c>
      <c r="E5179" s="2" t="n">
        <v>1989</v>
      </c>
      <c r="F5179" s="2" t="inlineStr">
        <is>
          <t>кинофильм</t>
        </is>
      </c>
      <c r="G5179" s="2" t="n"/>
      <c r="H5179" s="2" t="n">
        <v>302</v>
      </c>
      <c r="I5179" s="2" t="inlineStr"/>
      <c r="J5179" s="2" t="inlineStr"/>
      <c r="K5179" s="3" t="inlineStr">
        <is>
          <t>По мотивам повести Мориса Симашко "Емшан". XIII век. На фоне походов крестоносцев и татаро-монгольских орд в страны Востока, восстания мамлюков и захвата ими власти в Египте картина повествует о судьбе реально существовавшего египетского султана Бейбарса, его детстве, юности и пути к верховной власти.</t>
        </is>
      </c>
      <c r="L5179" s="2" t="inlineStr">
        <is>
          <t>Кино_СССР сводный каталог.xlsx: список фильмов (доп.)</t>
        </is>
      </c>
      <c r="M5179" s="2">
        <f>HYPERLINK("https://ru.wikipedia.org/w/index.php?search=%D0%91%D0%B5%D0%B9%D0%B1%D0%B0%D1%80%D1%81%201989%20%D1%84%D0%B8%D0%BB%D1%8C%D0%BC","искать")</f>
        <v/>
      </c>
      <c r="N5179" s="3" t="n"/>
      <c r="O5179" s="2" t="n"/>
      <c r="P5179" s="2" t="n"/>
    </row>
    <row r="5180">
      <c r="A5180" s="2" t="n">
        <v>5179</v>
      </c>
      <c r="B5180" s="2" t="inlineStr"/>
      <c r="C5180" s="2" t="n">
        <v>9423</v>
      </c>
      <c r="D5180" s="3" t="inlineStr">
        <is>
          <t>Колоброд</t>
        </is>
      </c>
      <c r="E5180" s="2" t="n">
        <v>1989</v>
      </c>
      <c r="F5180" s="2" t="inlineStr">
        <is>
          <t>кинофильм</t>
        </is>
      </c>
      <c r="G5180" s="2" t="inlineStr">
        <is>
          <t>Мосфильм, Экспериментальное молодёжное творческое объединение</t>
        </is>
      </c>
      <c r="H5180" s="2" t="n">
        <v>302</v>
      </c>
      <c r="I5180" s="2" t="inlineStr"/>
      <c r="J5180" s="2" t="inlineStr"/>
      <c r="K5180" s="3" t="inlineStr">
        <is>
          <t>По мотивам рассказа В.Кононенко «Поймать рыбу». В деревне, куда Семен часто приезжает передохнуть от городской суеты, все только и говорят о большой рыбине-чудище, поймав которую, счастливчик обретает некий чудесный дар. Кто-то ее даже видел, но прошел мимо. А вот зачем она Семену — он и сам не знает.</t>
        </is>
      </c>
      <c r="L5180" s="2" t="inlineStr">
        <is>
          <t>Кино_СССР сводный каталог.xlsx: список фильмов (доп.)</t>
        </is>
      </c>
      <c r="M5180" s="2">
        <f>HYPERLINK("https://ru.wikipedia.org/w/index.php?search=%D0%9A%D0%BE%D0%BB%D0%BE%D0%B1%D1%80%D0%BE%D0%B4%201989%20%D1%84%D0%B8%D0%BB%D1%8C%D0%BC","искать")</f>
        <v/>
      </c>
      <c r="N5180" s="3" t="n"/>
      <c r="O5180" s="2" t="n"/>
      <c r="P5180" s="2" t="n"/>
    </row>
    <row r="5181">
      <c r="A5181" s="2" t="n">
        <v>5180</v>
      </c>
      <c r="B5181" s="2" t="inlineStr"/>
      <c r="C5181" s="2" t="n">
        <v>9600</v>
      </c>
      <c r="D5181" s="3" t="inlineStr">
        <is>
          <t>Прости нас, первая любовь</t>
        </is>
      </c>
      <c r="E5181" s="2" t="n">
        <v>1984</v>
      </c>
      <c r="F5181" s="2" t="inlineStr">
        <is>
          <t>кинофильм</t>
        </is>
      </c>
      <c r="G5181" s="2" t="n"/>
      <c r="H5181" s="2" t="n">
        <v>302</v>
      </c>
      <c r="I5181" s="2" t="inlineStr"/>
      <c r="J5181" s="2" t="inlineStr"/>
      <c r="K5181" s="3" t="inlineStr">
        <is>
          <t>Отслужив положенный срок в десантных войсках, Константин возвращется домой, где, как он уверен, его ждут друзья и любимая девушка. Но попав в первый же день своего приезда на пикник, герой знакомится с преуспевающим тридцатипятилетним Аликом - женихом Лены, которая обещала Косте ждать его возвращения.</t>
        </is>
      </c>
      <c r="L5181" s="2" t="inlineStr">
        <is>
          <t>Кино_СССР сводный каталог.xlsx: список фильмов (доп.)</t>
        </is>
      </c>
      <c r="M5181" s="2">
        <f>HYPERLINK("https://ru.wikipedia.org/w/index.php?search=%D0%9F%D1%80%D0%BE%D1%81%D1%82%D0%B8%20%D0%BD%D0%B0%D1%81%2C%20%D0%BF%D0%B5%D1%80%D0%B2%D0%B0%D1%8F%20%D0%BB%D1%8E%D0%B1%D0%BE%D0%B2%D1%8C%201984%20%D1%84%D0%B8%D0%BB%D1%8C%D0%BC","искать")</f>
        <v/>
      </c>
      <c r="N5181" s="3" t="n"/>
      <c r="O5181" s="2" t="n"/>
      <c r="P5181" s="2" t="n"/>
    </row>
    <row r="5182">
      <c r="A5182" s="2" t="n">
        <v>5181</v>
      </c>
      <c r="B5182" s="2" t="inlineStr"/>
      <c r="C5182" s="2" t="n">
        <v>9961</v>
      </c>
      <c r="D5182" s="3" t="inlineStr">
        <is>
          <t>Всё гораздо проще</t>
        </is>
      </c>
      <c r="E5182" s="2" t="n">
        <v>1981</v>
      </c>
      <c r="F5182" s="2" t="inlineStr">
        <is>
          <t>кинофильм</t>
        </is>
      </c>
      <c r="G5182" s="2" t="inlineStr">
        <is>
          <t>Ленфильм</t>
        </is>
      </c>
      <c r="H5182" s="2" t="n">
        <v>302</v>
      </c>
      <c r="I5182" s="2" t="inlineStr"/>
      <c r="J5182" s="2" t="inlineStr"/>
      <c r="K5182" s="3" t="inlineStr">
        <is>
          <t>По заказу Правления Гострудсберкасс СССР.
Геолог возвращается домой из командировки и выясняет, что за неуплату у него отключили газ, свет, отопление и воду. Его не было год, он не мог оплатить коммунальные услуги. Оказывается, это можно было сделать по безналичному расчёту через сберегательную кассу.</t>
        </is>
      </c>
      <c r="L5182" s="2" t="inlineStr">
        <is>
          <t>https://www.kino-teatr.ru/short/movie/sov/195018/annot/</t>
        </is>
      </c>
      <c r="M5182" s="2">
        <f>HYPERLINK("https://ru.wikipedia.org/w/index.php?search=%D0%92%D1%81%D1%91%20%D0%B3%D0%BE%D1%80%D0%B0%D0%B7%D0%B4%D0%BE%20%D0%BF%D1%80%D0%BE%D1%89%D0%B5%201981%20%D1%84%D0%B8%D0%BB%D1%8C%D0%BC","искать")</f>
        <v/>
      </c>
      <c r="N5182" s="3" t="n"/>
      <c r="O5182" s="2" t="n"/>
      <c r="P5182" s="2" t="n"/>
    </row>
    <row r="5183">
      <c r="A5183" s="2" t="n">
        <v>5182</v>
      </c>
      <c r="B5183" s="2" t="inlineStr"/>
      <c r="C5183" s="2" t="n">
        <v>7506</v>
      </c>
      <c r="D5183" s="3" t="inlineStr">
        <is>
          <t>Деревянная пушка</t>
        </is>
      </c>
      <c r="E5183" s="2" t="n">
        <v>1987</v>
      </c>
      <c r="F5183" s="2" t="inlineStr">
        <is>
          <t>телефильм</t>
        </is>
      </c>
      <c r="G5183" s="2" t="n"/>
      <c r="H5183" s="2" t="n">
        <v>303</v>
      </c>
      <c r="I5183" s="2" t="inlineStr"/>
      <c r="J5183" s="2" t="inlineStr"/>
      <c r="K5183" s="3" t="inlineStr">
        <is>
          <t>Действие фильма происходит в Молдавии во время Великой Отечественной войны. Над хутором, где живут дед Давид и его невестка Мария, пролегла трасса немецкого почтового самолета. Мария соорудила деревянную "пушку", стрелявшую камнями, надеясь сбить самолет. Но при первом же испытании "пушка" развалилась.</t>
        </is>
      </c>
      <c r="L5183" s="2" t="inlineStr">
        <is>
          <t>Кино_СССР сводный каталог.xlsx: список телефильмов</t>
        </is>
      </c>
      <c r="M5183" s="2">
        <f>HYPERLINK("https://ru.wikipedia.org/w/index.php?search=%D0%94%D0%B5%D1%80%D0%B5%D0%B2%D1%8F%D0%BD%D0%BD%D0%B0%D1%8F%20%D0%BF%D1%83%D1%88%D0%BA%D0%B0%201987%20%D1%84%D0%B8%D0%BB%D1%8C%D0%BC","искать")</f>
        <v/>
      </c>
      <c r="N5183" s="3" t="n"/>
      <c r="O5183" s="2" t="n"/>
      <c r="P5183" s="2" t="n"/>
    </row>
    <row r="5184">
      <c r="A5184" s="2" t="n">
        <v>5183</v>
      </c>
      <c r="B5184" s="2" t="inlineStr"/>
      <c r="C5184" s="2" t="n">
        <v>7876</v>
      </c>
      <c r="D5184" s="3" t="inlineStr">
        <is>
          <t>Мир вашему дому</t>
        </is>
      </c>
      <c r="E5184" s="2" t="n">
        <v>1981</v>
      </c>
      <c r="F5184" s="2" t="inlineStr">
        <is>
          <t>телефильм</t>
        </is>
      </c>
      <c r="G5184" s="2" t="n"/>
      <c r="H5184" s="2" t="n">
        <v>303</v>
      </c>
      <c r="I5184" s="2" t="inlineStr"/>
      <c r="J5184" s="2" t="inlineStr"/>
      <c r="K5184" s="3" t="inlineStr">
        <is>
          <t>По мотивам документальной повести Якова Нальского "В горах восточной Бухары". Действие фильма происходит весной 1923 года. Начальник особого отдела одного из фронтов - старый революционер Вацлав Калиновский - решает забросить своего сотрудника в ставку самого опасного из главарей - басмача Рустам-бека.</t>
        </is>
      </c>
      <c r="L5184" s="2" t="inlineStr">
        <is>
          <t>Кино_СССР сводный каталог.xlsx: список телефильмов</t>
        </is>
      </c>
      <c r="M5184" s="2">
        <f>HYPERLINK("https://ru.wikipedia.org/w/index.php?search=%D0%9C%D0%B8%D1%80%20%D0%B2%D0%B0%D1%88%D0%B5%D0%BC%D1%83%20%D0%B4%D0%BE%D0%BC%D1%83%201981%20%D1%84%D0%B8%D0%BB%D1%8C%D0%BC","искать")</f>
        <v/>
      </c>
      <c r="N5184" s="3" t="n"/>
      <c r="O5184" s="2" t="n"/>
      <c r="P5184" s="2" t="n"/>
    </row>
    <row r="5185">
      <c r="A5185" s="2" t="n">
        <v>5184</v>
      </c>
      <c r="B5185" s="2" t="inlineStr"/>
      <c r="C5185" s="2" t="n">
        <v>7886</v>
      </c>
      <c r="D5185" s="3" t="inlineStr">
        <is>
          <t>Мнимый больной</t>
        </is>
      </c>
      <c r="E5185" s="2" t="n">
        <v>1979</v>
      </c>
      <c r="F5185" s="2" t="inlineStr">
        <is>
          <t>телефильм</t>
        </is>
      </c>
      <c r="G5185" s="2" t="n"/>
      <c r="H5185" s="2" t="n">
        <v>303</v>
      </c>
      <c r="I5185" s="2" t="inlineStr"/>
      <c r="J5185" s="2" t="inlineStr"/>
      <c r="K5185" s="3" t="inlineStr">
        <is>
          <t>По одноименной пьесе Ж.-Б.Мольера. Мнительный человек - беда для окружающих. Если он болен, то смертельно. Если на него косо посмотрели, значит сглазили. Если жена весела, значит - влюбилась в соседа. И вот один такой господин, глава большого семейства, решает проверить, как относятся к нему домочадцы.</t>
        </is>
      </c>
      <c r="L5185" s="2" t="inlineStr">
        <is>
          <t>Кино_СССР сводный каталог.xlsx: список телефильмов</t>
        </is>
      </c>
      <c r="M5185" s="2">
        <f>HYPERLINK("https://ru.wikipedia.org/w/index.php?search=%D0%9C%D0%BD%D0%B8%D0%BC%D1%8B%D0%B9%20%D0%B1%D0%BE%D0%BB%D1%8C%D0%BD%D0%BE%D0%B9%201979%20%D1%84%D0%B8%D0%BB%D1%8C%D0%BC","искать")</f>
        <v/>
      </c>
      <c r="N5185" s="3" t="n"/>
      <c r="O5185" s="2" t="n"/>
      <c r="P5185" s="2" t="n"/>
    </row>
    <row r="5186">
      <c r="A5186" s="2" t="n">
        <v>5185</v>
      </c>
      <c r="B5186" s="2" t="inlineStr"/>
      <c r="C5186" s="2" t="n">
        <v>7931</v>
      </c>
      <c r="D5186" s="3" t="inlineStr">
        <is>
          <t>На крутизне</t>
        </is>
      </c>
      <c r="E5186" s="2" t="n">
        <v>1976</v>
      </c>
      <c r="F5186" s="2" t="inlineStr">
        <is>
          <t>телефильм</t>
        </is>
      </c>
      <c r="G5186" s="2" t="n"/>
      <c r="H5186" s="2" t="n">
        <v>303</v>
      </c>
      <c r="I5186" s="2" t="inlineStr"/>
      <c r="J5186" s="2" t="inlineStr"/>
      <c r="K5186" s="3" t="inlineStr">
        <is>
          <t>О строительстве ЛЭП-500 в горах Таджикистана. Инженером Ольгой Богуславской вносится предложение, направленное на экономию строительных материалов и сокращения сроков строительства. Ее предложение поддерживается, но затем начальник участка Махкамов, боясь возможной ответственности, меняет свою позицию.</t>
        </is>
      </c>
      <c r="L5186" s="2" t="inlineStr">
        <is>
          <t>Кино_СССР сводный каталог.xlsx: список телефильмов</t>
        </is>
      </c>
      <c r="M5186" s="2">
        <f>HYPERLINK("https://ru.wikipedia.org/w/index.php?search=%D0%9D%D0%B0%20%D0%BA%D1%80%D1%83%D1%82%D0%B8%D0%B7%D0%BD%D0%B5%201976%20%D1%84%D0%B8%D0%BB%D1%8C%D0%BC","искать")</f>
        <v/>
      </c>
      <c r="N5186" s="3" t="n"/>
      <c r="O5186" s="2" t="n"/>
      <c r="P5186" s="2" t="n"/>
    </row>
    <row r="5187">
      <c r="A5187" s="2" t="n">
        <v>5186</v>
      </c>
      <c r="B5187" s="2" t="inlineStr"/>
      <c r="C5187" s="2" t="n">
        <v>8083</v>
      </c>
      <c r="D5187" s="3" t="inlineStr">
        <is>
          <t>Пастух из Тушетии</t>
        </is>
      </c>
      <c r="E5187" s="2" t="n">
        <v>1978</v>
      </c>
      <c r="F5187" s="2" t="inlineStr">
        <is>
          <t>телефильм</t>
        </is>
      </c>
      <c r="G5187" s="2" t="n"/>
      <c r="H5187" s="2" t="n">
        <v>303</v>
      </c>
      <c r="I5187" s="2" t="inlineStr"/>
      <c r="J5187" s="2" t="inlineStr"/>
      <c r="K5187" s="3" t="inlineStr">
        <is>
          <t>თუში მეცხვარე Действие фильма - практически документальное, персонажи, за исключением главного героя, — местные жители. На основе документального материала показана повседневная жизнь тушских пастухов. При этом фильм поэтично изображает и демонстрирует нравственную гармонию, чистоту и силу духа героев.</t>
        </is>
      </c>
      <c r="L5187" s="2" t="inlineStr">
        <is>
          <t>Кино_СССР сводный каталог.xlsx: список телефильмов</t>
        </is>
      </c>
      <c r="M5187" s="2">
        <f>HYPERLINK("https://ru.wikipedia.org/w/index.php?search=%D0%9F%D0%B0%D1%81%D1%82%D1%83%D1%85%20%D0%B8%D0%B7%20%D0%A2%D1%83%D1%88%D0%B5%D1%82%D0%B8%D0%B8%201978%20%D1%84%D0%B8%D0%BB%D1%8C%D0%BC","искать")</f>
        <v/>
      </c>
      <c r="N5187" s="3" t="n"/>
      <c r="O5187" s="2" t="n"/>
      <c r="P5187" s="2" t="n"/>
    </row>
    <row r="5188">
      <c r="A5188" s="2" t="n">
        <v>5187</v>
      </c>
      <c r="B5188" s="2" t="inlineStr"/>
      <c r="C5188" s="2" t="n">
        <v>8401</v>
      </c>
      <c r="D5188" s="3" t="inlineStr">
        <is>
          <t>Старые письма</t>
        </is>
      </c>
      <c r="E5188" s="2" t="n">
        <v>1981</v>
      </c>
      <c r="F5188" s="2" t="inlineStr">
        <is>
          <t>телефильм</t>
        </is>
      </c>
      <c r="G5188" s="2" t="n"/>
      <c r="H5188" s="2" t="n">
        <v>303</v>
      </c>
      <c r="I5188" s="2" t="inlineStr"/>
      <c r="J5188" s="2" t="inlineStr"/>
      <c r="K5188" s="3" t="inlineStr">
        <is>
          <t>Телефильм. Вернувшись с фронта, Иван Лукич узнал, что жена изменила ему. Он ушел от нее и дочери. Позже Иван пытался разыскать их, но не получилось. Прошли годы. У него - другая семья, взрослые дети и внук. И совершено случайно он встречает Лизу, свою дочь, которая уверена, что ее отец погиб на фронте.</t>
        </is>
      </c>
      <c r="L5188" s="2" t="inlineStr">
        <is>
          <t>Кино_СССР сводный каталог.xlsx: список телефильмов</t>
        </is>
      </c>
      <c r="M5188" s="2">
        <f>HYPERLINK("https://ru.wikipedia.org/w/index.php?search=%D0%A1%D1%82%D0%B0%D1%80%D1%8B%D0%B5%20%D0%BF%D0%B8%D1%81%D1%8C%D0%BC%D0%B0%201981%20%D1%84%D0%B8%D0%BB%D1%8C%D0%BC","искать")</f>
        <v/>
      </c>
      <c r="N5188" s="3" t="n"/>
      <c r="O5188" s="2" t="n"/>
      <c r="P5188" s="2" t="n"/>
    </row>
    <row r="5189">
      <c r="A5189" s="2" t="n">
        <v>5188</v>
      </c>
      <c r="B5189" s="2" t="inlineStr"/>
      <c r="C5189" s="2" t="n">
        <v>8423</v>
      </c>
      <c r="D5189" s="3" t="inlineStr">
        <is>
          <t>Сюжет для двух рассказов</t>
        </is>
      </c>
      <c r="E5189" s="2" t="n">
        <v>1991</v>
      </c>
      <c r="F5189" s="2" t="inlineStr">
        <is>
          <t>телефильм</t>
        </is>
      </c>
      <c r="G5189" s="2" t="n"/>
      <c r="H5189" s="2" t="n">
        <v>303</v>
      </c>
      <c r="I5189" s="2" t="inlineStr"/>
      <c r="J5189" s="2" t="inlineStr"/>
      <c r="K5189" s="3" t="inlineStr">
        <is>
          <t>Телефильм. По рассказам А. П. Чехова «После театра» и «Володя». Фильм состоит из двух отдельных сюжетов, посвящённых первому становлению в человеке любовных переживаний. Первый сюжет "После театра" - о юной девушке Наденьке, которую одолевают сложные чувства, вызванные в ней любовью двух молодых людей.</t>
        </is>
      </c>
      <c r="L5189" s="2" t="inlineStr">
        <is>
          <t>Кино_СССР сводный каталог.xlsx: список телефильмов</t>
        </is>
      </c>
      <c r="M5189" s="2">
        <f>HYPERLINK("https://ru.wikipedia.org/w/index.php?search=%D0%A1%D1%8E%D0%B6%D0%B5%D1%82%20%D0%B4%D0%BB%D1%8F%20%D0%B4%D0%B2%D1%83%D1%85%20%D1%80%D0%B0%D1%81%D1%81%D0%BA%D0%B0%D0%B7%D0%BE%D0%B2%201991%20%D1%84%D0%B8%D0%BB%D1%8C%D0%BC","искать")</f>
        <v/>
      </c>
      <c r="N5189" s="3" t="n"/>
      <c r="O5189" s="2" t="n"/>
      <c r="P5189" s="2" t="n"/>
    </row>
    <row r="5190">
      <c r="A5190" s="2" t="n">
        <v>5189</v>
      </c>
      <c r="B5190" s="2" t="inlineStr"/>
      <c r="C5190" s="2" t="n">
        <v>8980</v>
      </c>
      <c r="D5190" s="3" t="inlineStr">
        <is>
          <t>Причуды зелёного лета</t>
        </is>
      </c>
      <c r="E5190" s="2" t="n">
        <v>1989</v>
      </c>
      <c r="F5190" s="2" t="inlineStr">
        <is>
          <t>кинофильм</t>
        </is>
      </c>
      <c r="G5190" s="2" t="n"/>
      <c r="H5190" s="2" t="n">
        <v>303</v>
      </c>
      <c r="I5190" s="2" t="inlineStr"/>
      <c r="J5190" s="2" t="inlineStr"/>
      <c r="K5190" s="3" t="inlineStr">
        <is>
          <t>По мотивам произведений В. Шевчука. Украина. Обычная деревушка близ Одессы. Жаркая летняя пора. Деревня живет своей обычной жизнью. Кто-то обрабатывает приусадебные участки, кто-то флиртует, кое-кто из женщин не может справиться с пьяным супругом, стараясь никоим образом не показывать этого окружающим.</t>
        </is>
      </c>
      <c r="L5190" s="2" t="inlineStr">
        <is>
          <t>Кино_СССР сводный каталог.xlsx: список фильмов (доп.)</t>
        </is>
      </c>
      <c r="M5190" s="2">
        <f>HYPERLINK("https://ru.wikipedia.org/w/index.php?search=%D0%9F%D1%80%D0%B8%D1%87%D1%83%D0%B4%D1%8B%20%D0%B7%D0%B5%D0%BB%D1%91%D0%BD%D0%BE%D0%B3%D0%BE%20%D0%BB%D0%B5%D1%82%D0%B0%201989%20%D1%84%D0%B8%D0%BB%D1%8C%D0%BC","искать")</f>
        <v/>
      </c>
      <c r="N5190" s="3" t="n"/>
      <c r="O5190" s="2" t="n"/>
      <c r="P5190" s="2" t="n"/>
    </row>
    <row r="5191">
      <c r="A5191" s="2" t="n">
        <v>5190</v>
      </c>
      <c r="B5191" s="2" t="inlineStr"/>
      <c r="C5191" s="2" t="n">
        <v>9061</v>
      </c>
      <c r="D5191" s="3" t="inlineStr">
        <is>
          <t>Сороковой день</t>
        </is>
      </c>
      <c r="E5191" s="2" t="n">
        <v>1988</v>
      </c>
      <c r="F5191" s="2" t="inlineStr">
        <is>
          <t>кинофильм</t>
        </is>
      </c>
      <c r="G5191" s="2" t="n"/>
      <c r="H5191" s="2" t="n">
        <v>303</v>
      </c>
      <c r="I5191" s="2" t="inlineStr"/>
      <c r="J5191" s="2" t="inlineStr"/>
      <c r="K5191" s="3" t="inlineStr">
        <is>
          <t>По мотивам произведений Сергея Есина. Погиб человек. Прямо возле своего дома – попал под машину. На сороковой день собираются родные и близкие почтить его память. Знакомая ситуация – дележ наследства. Каждому дано право проявить свои лучшие и худшие качества. Не все выходят с честью из этого положения.</t>
        </is>
      </c>
      <c r="L5191" s="2" t="inlineStr">
        <is>
          <t>Кино_СССР сводный каталог.xlsx: список фильмов (доп.)</t>
        </is>
      </c>
      <c r="M5191" s="2">
        <f>HYPERLINK("https://ru.wikipedia.org/w/index.php?search=%D0%A1%D0%BE%D1%80%D0%BE%D0%BA%D0%BE%D0%B2%D0%BE%D0%B9%20%D0%B4%D0%B5%D0%BD%D1%8C%201988%20%D1%84%D0%B8%D0%BB%D1%8C%D0%BC","искать")</f>
        <v/>
      </c>
      <c r="N5191" s="3" t="n"/>
      <c r="O5191" s="2" t="n"/>
      <c r="P5191" s="2" t="n"/>
    </row>
    <row r="5192">
      <c r="A5192" s="2" t="n">
        <v>5191</v>
      </c>
      <c r="B5192" s="2" t="inlineStr"/>
      <c r="C5192" s="2" t="n">
        <v>9474</v>
      </c>
      <c r="D5192" s="3" t="inlineStr">
        <is>
          <t>Милый Эп</t>
        </is>
      </c>
      <c r="E5192" s="2" t="n">
        <v>1991</v>
      </c>
      <c r="F5192" s="2" t="inlineStr">
        <is>
          <t>кинофильм</t>
        </is>
      </c>
      <c r="G5192" s="2" t="n"/>
      <c r="H5192" s="2" t="n">
        <v>303</v>
      </c>
      <c r="I5192" s="2" t="inlineStr"/>
      <c r="J5192" s="2" t="inlineStr"/>
      <c r="K5192" s="3" t="inlineStr">
        <is>
          <t>В основе фильма лежит повесть Геннадия Михасенко «Милый Эп», которая впервые была опубликована в 1974 году в журнале «Юность». Действие повести перенесено в современность, при этом тексты диалогов оставлены без изменения. Главный герой фильма Аскольд Эпов становится взрослым и переживает первую любовь.</t>
        </is>
      </c>
      <c r="L5192" s="2" t="inlineStr">
        <is>
          <t>https://ru.wikipedia.org/w/index.php?title=%D0%9C%D0%B8%D0%BB%D1%8B%D0%B9_%D0%AD%D0%BF_%28%D1%84%D0%B8%D0%BB%D1%8C%D0%BC%29&amp;oldid=142591837</t>
        </is>
      </c>
      <c r="M5192" s="2">
        <f>HYPERLINK("https://ru.wikipedia.org/w/index.php?search=%D0%9C%D0%B8%D0%BB%D1%8B%D0%B9%20%D0%AD%D0%BF%201991%20%D1%84%D0%B8%D0%BB%D1%8C%D0%BC","искать")</f>
        <v/>
      </c>
      <c r="N5192" s="3" t="n"/>
      <c r="O5192" s="2" t="n"/>
      <c r="P5192" s="2" t="n"/>
    </row>
    <row r="5193">
      <c r="A5193" s="2" t="n">
        <v>5192</v>
      </c>
      <c r="B5193" s="2" t="inlineStr"/>
      <c r="C5193" s="2" t="n">
        <v>9575</v>
      </c>
      <c r="D5193" s="3" t="inlineStr">
        <is>
          <t>Последняя ночь</t>
        </is>
      </c>
      <c r="E5193" s="2" t="n">
        <v>1933</v>
      </c>
      <c r="F5193" s="2" t="inlineStr">
        <is>
          <t>кинофильм</t>
        </is>
      </c>
      <c r="G5193" s="2" t="n"/>
      <c r="H5193" s="2" t="n">
        <v>303</v>
      </c>
      <c r="I5193" s="2" t="inlineStr"/>
      <c r="J5193" s="2" t="inlineStr"/>
      <c r="K5193" s="3" t="inlineStr">
        <is>
          <t>Историко-революционный фильм о борьбе большевистского подполья с интервентами в годы гражданской войны в Одессе, об участии детей в подпольной работе. Последний режиссерский опыт в игровом кино видного организатора кинопроизводства, директора фильма «Броненосец «Потемкин» М.Капчинского. Фильм запрещен.</t>
        </is>
      </c>
      <c r="L5193" s="2" t="inlineStr">
        <is>
          <t>Кино_СССР сводный каталог.xlsx: список фильмов (доп.)</t>
        </is>
      </c>
      <c r="M5193" s="2">
        <f>HYPERLINK("https://ru.wikipedia.org/w/index.php?search=%D0%9F%D0%BE%D1%81%D0%BB%D0%B5%D0%B4%D0%BD%D1%8F%D1%8F%20%D0%BD%D0%BE%D1%87%D1%8C%201933%20%D1%84%D0%B8%D0%BB%D1%8C%D0%BC","искать")</f>
        <v/>
      </c>
      <c r="N5193" s="3" t="n"/>
      <c r="O5193" s="2" t="n"/>
      <c r="P5193" s="2" t="n"/>
    </row>
    <row r="5194">
      <c r="A5194" s="2" t="n">
        <v>5193</v>
      </c>
      <c r="B5194" s="2" t="inlineStr"/>
      <c r="C5194" s="2" t="n">
        <v>12601</v>
      </c>
      <c r="D5194" s="3" t="inlineStr">
        <is>
          <t>Человек, который умел творить чудеса</t>
        </is>
      </c>
      <c r="E5194" s="2" t="n">
        <v>1969</v>
      </c>
      <c r="F5194" s="2" t="inlineStr">
        <is>
          <t>мультфильм</t>
        </is>
      </c>
      <c r="G5194" s="2" t="inlineStr">
        <is>
          <t>КИЕВНАУЧФИЛЬМ</t>
        </is>
      </c>
      <c r="H5194" s="2" t="n">
        <v>303</v>
      </c>
      <c r="I5194" s="2" t="inlineStr"/>
      <c r="J5194" s="2" t="inlineStr"/>
      <c r="K5194" s="3" t="inlineStr">
        <is>
          <t>По мотивам одноименного рассказа Герберта Уэллса.
Героем поразительных событий становится мистер Фодерингей, человечек заурядный и ничтожный. Он неожиданно открывает в себе дар творить чудеса. Но его обывательские запросы не приводит ни к чему хорошему, и он в конце- концов отказывается от своего дара.</t>
        </is>
      </c>
      <c r="L5194" s="2" t="inlineStr">
        <is>
          <t>https://gosfilmofond.ru/films/254780/</t>
        </is>
      </c>
      <c r="M5194" s="2">
        <f>HYPERLINK("https://ru.wikipedia.org/w/index.php?search=%D0%A7%D0%B5%D0%BB%D0%BE%D0%B2%D0%B5%D0%BA%2C%20%D0%BA%D0%BE%D1%82%D0%BE%D1%80%D1%8B%D0%B9%20%D1%83%D0%BC%D0%B5%D0%BB%20%D1%82%D0%B2%D0%BE%D1%80%D0%B8%D1%82%D1%8C%20%D1%87%D1%83%D0%B4%D0%B5%D1%81%D0%B0%201969%20%D1%84%D0%B8%D0%BB%D1%8C%D0%BC","искать")</f>
        <v/>
      </c>
      <c r="N5194" s="3" t="n"/>
      <c r="O5194" s="2" t="n"/>
      <c r="P5194" s="2" t="n"/>
    </row>
    <row r="5195">
      <c r="A5195" s="2" t="n">
        <v>5194</v>
      </c>
      <c r="B5195" s="2" t="inlineStr"/>
      <c r="C5195" s="2" t="n">
        <v>8188</v>
      </c>
      <c r="D5195" s="3" t="inlineStr">
        <is>
          <t>Прекрасная Елена</t>
        </is>
      </c>
      <c r="E5195" s="2" t="n">
        <v>1986</v>
      </c>
      <c r="F5195" s="2" t="inlineStr">
        <is>
          <t>фильм-опера/балет</t>
        </is>
      </c>
      <c r="G5195" s="2" t="n"/>
      <c r="H5195" s="2" t="n">
        <v>304</v>
      </c>
      <c r="I5195" s="2" t="inlineStr"/>
      <c r="J5195" s="2" t="inlineStr"/>
      <c r="K5195" s="3" t="inlineStr">
        <is>
          <t>Музыкальный фильм по оперетте Жака Оффенбаха, в основе либретто которой лежит древнегреческий миф о жене царя Менелая Елене Прекрасной. В обмен на золотое яблоко, отданное Парисом богине Афродите, она пообещала ему любовь самой красивой женщины… В храме Зевса готовятся отметить годовщину смерти Адониса.</t>
        </is>
      </c>
      <c r="L5195" s="2" t="inlineStr">
        <is>
          <t>Кино_СССР сводный каталог.xlsx: список телефильмов</t>
        </is>
      </c>
      <c r="M5195" s="2">
        <f>HYPERLINK("https://ru.wikipedia.org/w/index.php?search=%D0%9F%D1%80%D0%B5%D0%BA%D1%80%D0%B0%D1%81%D0%BD%D0%B0%D1%8F%20%D0%95%D0%BB%D0%B5%D0%BD%D0%B0%201986%20%D1%84%D0%B8%D0%BB%D1%8C%D0%BC","искать")</f>
        <v/>
      </c>
      <c r="N5195" s="3" t="n"/>
      <c r="O5195" s="2" t="n"/>
      <c r="P5195" s="2" t="n"/>
    </row>
    <row r="5196">
      <c r="A5196" s="2" t="n">
        <v>5195</v>
      </c>
      <c r="B5196" s="2" t="inlineStr"/>
      <c r="C5196" s="2" t="n">
        <v>8506</v>
      </c>
      <c r="D5196" s="3" t="inlineStr">
        <is>
          <t>Учитель музыки</t>
        </is>
      </c>
      <c r="E5196" s="2" t="n">
        <v>1983</v>
      </c>
      <c r="F5196" s="2" t="inlineStr">
        <is>
          <t>телефильм</t>
        </is>
      </c>
      <c r="G5196" s="2" t="n"/>
      <c r="H5196" s="2" t="n">
        <v>304</v>
      </c>
      <c r="I5196" s="2" t="inlineStr"/>
      <c r="J5196" s="2" t="inlineStr"/>
      <c r="K5196" s="3" t="inlineStr">
        <is>
          <t>Картина повествует о молодом учителе музыки, который прибыл в отдалённую горную деревню. Он начинает преподавать в местной школе уроки музыки, где знакомит детей с музыкальным миром и заставляет поверить, что у каждого человека есть своя музыка, отражающая индивидуальный характер жизни каждого человека.</t>
        </is>
      </c>
      <c r="L5196" s="2" t="inlineStr">
        <is>
          <t>https://ru.wikipedia.org/w/index.php?title=%D0%A3%D1%87%D0%B8%D1%82%D0%B5%D0%BB%D1%8C_%D0%BC%D1%83%D0%B7%D1%8B%D0%BA%D0%B8_%28%D1%84%D0%B8%D0%BB%D1%8C%D0%BC%2C_1983%29&amp;oldid=155624374</t>
        </is>
      </c>
      <c r="M5196" s="2">
        <f>HYPERLINK("https://ru.wikipedia.org/w/index.php?search=%D0%A3%D1%87%D0%B8%D1%82%D0%B5%D0%BB%D1%8C%20%D0%BC%D1%83%D0%B7%D1%8B%D0%BA%D0%B8%201983%20%D1%84%D0%B8%D0%BB%D1%8C%D0%BC","искать")</f>
        <v/>
      </c>
      <c r="N5196" s="3" t="n"/>
      <c r="O5196" s="2" t="n"/>
      <c r="P5196" s="2" t="n"/>
    </row>
    <row r="5197">
      <c r="A5197" s="2" t="n">
        <v>5196</v>
      </c>
      <c r="B5197" s="2" t="inlineStr"/>
      <c r="C5197" s="2" t="n">
        <v>9109</v>
      </c>
      <c r="D5197" s="3" t="inlineStr">
        <is>
          <t>Тревога</t>
        </is>
      </c>
      <c r="E5197" s="2" t="n">
        <v>1980</v>
      </c>
      <c r="F5197" s="2" t="inlineStr">
        <is>
          <t>кинофильм</t>
        </is>
      </c>
      <c r="G5197" s="2" t="n"/>
      <c r="H5197" s="2" t="n">
        <v>304</v>
      </c>
      <c r="I5197" s="2" t="inlineStr"/>
      <c r="J5197" s="2" t="inlineStr"/>
      <c r="K5197" s="3" t="inlineStr">
        <is>
          <t>По мотивам повести Е.Воеводина “Татьянин день”. От причала по каналу Грибоедова отправляется экскурсионный катер. Экскурсию ведет молодая женщина. Какой-то военный, по его словам, шесть раз прослушавший лекцию, говорит ей, что все это скучно и не ее это дело. Он зовет ее уехать с ним. Они разговорились.</t>
        </is>
      </c>
      <c r="L5197" s="2" t="inlineStr">
        <is>
          <t>Кино_СССР сводный каталог.xlsx: список фильмов (доп.)</t>
        </is>
      </c>
      <c r="M5197" s="2">
        <f>HYPERLINK("https://ru.wikipedia.org/w/index.php?search=%D0%A2%D1%80%D0%B5%D0%B2%D0%BE%D0%B3%D0%B0%201980%20%D1%84%D0%B8%D0%BB%D1%8C%D0%BC","искать")</f>
        <v/>
      </c>
      <c r="N5197" s="3" t="n"/>
      <c r="O5197" s="2" t="n"/>
      <c r="P5197" s="2" t="n"/>
    </row>
    <row r="5198">
      <c r="A5198" s="2" t="n">
        <v>5197</v>
      </c>
      <c r="B5198" s="2" t="inlineStr"/>
      <c r="C5198" s="2" t="n">
        <v>9384</v>
      </c>
      <c r="D5198" s="3" t="inlineStr">
        <is>
          <t>И вся любовь</t>
        </is>
      </c>
      <c r="E5198" s="2" t="n">
        <v>1989</v>
      </c>
      <c r="F5198" s="2" t="inlineStr">
        <is>
          <t>кинофильм</t>
        </is>
      </c>
      <c r="G5198" s="2" t="inlineStr">
        <is>
          <t>Мосфильм</t>
        </is>
      </c>
      <c r="H5198" s="2" t="n">
        <v>304</v>
      </c>
      <c r="I5198" s="2" t="inlineStr"/>
      <c r="J5198" s="2" t="inlineStr"/>
      <c r="K5198" s="3" t="inlineStr">
        <is>
          <t>Выпускница сельхозтехникума Валя Диденко, став передовиком производства, а затем и народным депутатом, полюбила своего покровителя - председателя колхоза. Однако счастью не суждено было состояться. Сознательно нарушавший давно устаревшие инструкции, председатель был обвинен в махинациях и отдан под суд.</t>
        </is>
      </c>
      <c r="L5198" s="2" t="inlineStr">
        <is>
          <t>Кино_СССР сводный каталог.xlsx: список фильмов (доп.)</t>
        </is>
      </c>
      <c r="M5198" s="2">
        <f>HYPERLINK("https://ru.wikipedia.org/w/index.php?search=%D0%98%20%D0%B2%D1%81%D1%8F%20%D0%BB%D1%8E%D0%B1%D0%BE%D0%B2%D1%8C%201989%20%D1%84%D0%B8%D0%BB%D1%8C%D0%BC","искать")</f>
        <v/>
      </c>
      <c r="N5198" s="3" t="n"/>
      <c r="O5198" s="2" t="n"/>
      <c r="P5198" s="2" t="n"/>
    </row>
    <row r="5199">
      <c r="A5199" s="2" t="n">
        <v>5198</v>
      </c>
      <c r="B5199" s="2" t="inlineStr"/>
      <c r="C5199" s="2" t="n">
        <v>9494</v>
      </c>
      <c r="D5199" s="3" t="inlineStr">
        <is>
          <t>Не будите спящую собаку</t>
        </is>
      </c>
      <c r="E5199" s="2" t="n">
        <v>1991</v>
      </c>
      <c r="F5199" s="2" t="inlineStr">
        <is>
          <t>кинофильм</t>
        </is>
      </c>
      <c r="G5199" s="2" t="n"/>
      <c r="H5199" s="2" t="n">
        <v>304</v>
      </c>
      <c r="I5199" s="2" t="inlineStr"/>
      <c r="J5199" s="2" t="inlineStr"/>
      <c r="K5199" s="3" t="inlineStr">
        <is>
          <t>Один из лучших отечественных фильмов об аферистах. 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(Павлов), нахапавший в свое время миллион и теперь наслаждающийся прелестями перестройки.</t>
        </is>
      </c>
      <c r="L5199" s="2" t="inlineStr">
        <is>
          <t>Кино_СССР сводный каталог.xlsx: список фильмов (доп.)</t>
        </is>
      </c>
      <c r="M5199" s="2">
        <f>HYPERLINK("https://ru.wikipedia.org/w/index.php?search=%D0%9D%D0%B5%20%D0%B1%D1%83%D0%B4%D0%B8%D1%82%D0%B5%20%D1%81%D0%BF%D1%8F%D1%89%D1%83%D1%8E%20%D1%81%D0%BE%D0%B1%D0%B0%D0%BA%D1%83%201991%20%D1%84%D0%B8%D0%BB%D1%8C%D0%BC","искать")</f>
        <v/>
      </c>
      <c r="N5199" s="3" t="n"/>
      <c r="O5199" s="2" t="n"/>
      <c r="P5199" s="2" t="n"/>
    </row>
    <row r="5200">
      <c r="A5200" s="2" t="n">
        <v>5199</v>
      </c>
      <c r="B5200" s="2" t="inlineStr"/>
      <c r="C5200" s="2" t="n">
        <v>10445</v>
      </c>
      <c r="D5200" s="3" t="inlineStr">
        <is>
          <t>К бабушке, к дедушке</t>
        </is>
      </c>
      <c r="E5200" s="2" t="n">
        <v>1972</v>
      </c>
      <c r="F5200" s="2" t="inlineStr">
        <is>
          <t>фильм-спектакль</t>
        </is>
      </c>
      <c r="G5200" s="2" t="inlineStr">
        <is>
          <t>ЦТ</t>
        </is>
      </c>
      <c r="H5200" s="2" t="n">
        <v>304</v>
      </c>
      <c r="I5200" s="2" t="inlineStr"/>
      <c r="J5200" s="2" t="inlineStr"/>
      <c r="K5200" s="3" t="inlineStr">
        <is>
          <t>По одноименной пьесе Галины Карпенко.
Вы отправитесь вместе с Шурой и Макаром к бабушке и дедушке. Это их первое самостоятельное путешествие. А какое путешествие без приключений? Придётся вам за них поволноваться, пока они доберутся до деревни Крутые Горки и постучат в дверь: "Дедушка, бабушка, это мы".</t>
        </is>
      </c>
      <c r="L5200" s="2" t="inlineStr">
        <is>
          <t>https://www.kino-teatr.ru/teatr/movie/124689/annot/</t>
        </is>
      </c>
      <c r="M5200" s="2">
        <f>HYPERLINK("https://ru.wikipedia.org/w/index.php?search=%D0%9A%20%D0%B1%D0%B0%D0%B1%D1%83%D1%88%D0%BA%D0%B5%2C%20%D0%BA%20%D0%B4%D0%B5%D0%B4%D1%83%D1%88%D0%BA%D0%B5%201972%20%D1%84%D0%B8%D0%BB%D1%8C%D0%BC","искать")</f>
        <v/>
      </c>
      <c r="N5200" s="3" t="n"/>
      <c r="O5200" s="2" t="n"/>
      <c r="P5200" s="2" t="n"/>
    </row>
    <row r="5201">
      <c r="A5201" s="2" t="n">
        <v>5200</v>
      </c>
      <c r="B5201" s="2" t="inlineStr"/>
      <c r="C5201" s="2" t="n">
        <v>13196</v>
      </c>
      <c r="D5201" s="3" t="inlineStr">
        <is>
          <t>Храбрый воробей</t>
        </is>
      </c>
      <c r="E5201" s="2" t="n">
        <v>1968</v>
      </c>
      <c r="F5201" s="2" t="inlineStr">
        <is>
          <t>мультфильм</t>
        </is>
      </c>
      <c r="G5201" s="2" t="inlineStr">
        <is>
          <t>УЗБЕКФИЛЬМ</t>
        </is>
      </c>
      <c r="H5201" s="2" t="n">
        <v>304</v>
      </c>
      <c r="I5201" s="2" t="inlineStr"/>
      <c r="J5201" s="2" t="inlineStr"/>
      <c r="K5201" s="3" t="inlineStr">
        <is>
          <t>Воробей радуется счастью влюбленных - Али и Гюли. Когда Али уходит рубить лес, он ему помогает. Когда же случается беда, и сборщик налогов похищает девушку, чтобы продать ее хану, воробей предупреждает Али и бесстрашно вступает в бой с похитителем. Подоспевший Али сбрасывает сборщика налогов в пропасть.</t>
        </is>
      </c>
      <c r="L5201" s="2" t="inlineStr">
        <is>
          <t>https://gosfilmofond.ru/films/254723/</t>
        </is>
      </c>
      <c r="M5201" s="2">
        <f>HYPERLINK("https://ru.wikipedia.org/w/index.php?search=%D0%A5%D1%80%D0%B0%D0%B1%D1%80%D1%8B%D0%B9%20%D0%B2%D0%BE%D1%80%D0%BE%D0%B1%D0%B5%D0%B9%201968%20%D1%84%D0%B8%D0%BB%D1%8C%D0%BC","искать")</f>
        <v/>
      </c>
      <c r="N5201" s="3" t="n"/>
      <c r="O5201" s="2" t="n"/>
      <c r="P5201" s="2" t="n"/>
    </row>
    <row r="5202">
      <c r="A5202" s="2" t="n">
        <v>5201</v>
      </c>
      <c r="B5202" s="2" t="inlineStr"/>
      <c r="C5202" s="2" t="n">
        <v>7264</v>
      </c>
      <c r="D5202" s="3" t="inlineStr">
        <is>
          <t>Большие перегоны</t>
        </is>
      </c>
      <c r="E5202" s="2" t="n">
        <v>1971</v>
      </c>
      <c r="F5202" s="2" t="inlineStr">
        <is>
          <t>телефильм</t>
        </is>
      </c>
      <c r="G5202" s="2" t="inlineStr">
        <is>
          <t>«Беларусьфильм», Творческое объединение «Телефильм»</t>
        </is>
      </c>
      <c r="H5202" s="2" t="n">
        <v>305</v>
      </c>
      <c r="I5202" s="2" t="inlineStr"/>
      <c r="J5202" s="2" t="inlineStr"/>
      <c r="K5202" s="3" t="inlineStr">
        <is>
          <t>Игорь Шилов, помощник машиниста электропоезда, вспоминает о своем пути в профессию… Не поступив в столичный институт, Игорь решает остаться в Минске, чтобы помогать матери. Герой устраивается кочегаром в поездную бригаду старого машиниста Касьяна Кузьмича, настоящего человека и чуткого старшего товарища.</t>
        </is>
      </c>
      <c r="L5202" s="2" t="inlineStr">
        <is>
          <t>Кино_СССР сводный каталог.xlsx: список телефильмов</t>
        </is>
      </c>
      <c r="M5202" s="2">
        <f>HYPERLINK("https://ru.wikipedia.org/w/index.php?search=%D0%91%D0%BE%D0%BB%D1%8C%D1%88%D0%B8%D0%B5%20%D0%BF%D0%B5%D1%80%D0%B5%D0%B3%D0%BE%D0%BD%D1%8B%201971%20%D1%84%D0%B8%D0%BB%D1%8C%D0%BC","искать")</f>
        <v/>
      </c>
      <c r="N5202" s="3" t="n"/>
      <c r="O5202" s="2" t="n"/>
      <c r="P5202" s="2" t="n"/>
    </row>
    <row r="5203">
      <c r="A5203" s="2" t="n">
        <v>5202</v>
      </c>
      <c r="B5203" s="2" t="inlineStr"/>
      <c r="C5203" s="2" t="n">
        <v>7436</v>
      </c>
      <c r="D5203" s="3" t="inlineStr">
        <is>
          <t>Генеральная репетиция</t>
        </is>
      </c>
      <c r="E5203" s="2" t="n">
        <v>1988</v>
      </c>
      <c r="F5203" s="2" t="inlineStr">
        <is>
          <t>телефильм</t>
        </is>
      </c>
      <c r="G5203" s="2" t="n"/>
      <c r="H5203" s="2" t="n">
        <v>305</v>
      </c>
      <c r="I5203" s="2" t="inlineStr"/>
      <c r="J5203" s="2" t="inlineStr"/>
      <c r="K5203" s="3" t="inlineStr">
        <is>
          <t>По мотивам повести Василия Авенариуса "Гоголь-гимназист". Николай Васильевич Гоголь, уже состоявшийся как писатель, вспоминает о лицейских проказах юного Никоши Гоголя с друзьями в Нежинском лицее и его педагогах; о домашнем любительском театре отца писателя Василия Гоголя в имении Васильевка на Украине.</t>
        </is>
      </c>
      <c r="L5203" s="2" t="inlineStr">
        <is>
          <t>Кино_СССР сводный каталог.xlsx: список телефильмов</t>
        </is>
      </c>
      <c r="M5203" s="2">
        <f>HYPERLINK("https://ru.wikipedia.org/w/index.php?search=%D0%93%D0%B5%D0%BD%D0%B5%D1%80%D0%B0%D0%BB%D1%8C%D0%BD%D0%B0%D1%8F%20%D1%80%D0%B5%D0%BF%D0%B5%D1%82%D0%B8%D1%86%D0%B8%D1%8F%201988%20%D1%84%D0%B8%D0%BB%D1%8C%D0%BC","искать")</f>
        <v/>
      </c>
      <c r="N5203" s="3" t="n"/>
      <c r="O5203" s="2" t="n"/>
      <c r="P5203" s="2" t="n"/>
    </row>
    <row r="5204">
      <c r="A5204" s="2" t="n">
        <v>5203</v>
      </c>
      <c r="B5204" s="2" t="inlineStr"/>
      <c r="C5204" s="2" t="n">
        <v>7505</v>
      </c>
      <c r="D5204" s="3" t="inlineStr">
        <is>
          <t>День рождения</t>
        </is>
      </c>
      <c r="E5204" s="2" t="n">
        <v>1977</v>
      </c>
      <c r="F5204" s="2" t="inlineStr">
        <is>
          <t>телефильм</t>
        </is>
      </c>
      <c r="G5204" s="2" t="n"/>
      <c r="H5204" s="2" t="n">
        <v>305</v>
      </c>
      <c r="I5204" s="2" t="inlineStr"/>
      <c r="J5204" s="2" t="inlineStr"/>
      <c r="K5204" s="3" t="inlineStr">
        <is>
          <t>Телефильм. Казалось бы, ничем не связаны две сюжетные линии фильма: учитель Мустафа Эфендиев приезжает в Баку из отдаленного района республики, а маляр Али маниев празднует день рождения своего сына. Но после случайной встречи двух героев фильма, Али приглашает к себе домой незнакомого прохожего Мустафу.</t>
        </is>
      </c>
      <c r="L5204" s="2" t="inlineStr">
        <is>
          <t>Кино_СССР сводный каталог.xlsx: список телефильмов</t>
        </is>
      </c>
      <c r="M5204" s="2">
        <f>HYPERLINK("https://ru.wikipedia.org/w/index.php?search=%D0%94%D0%B5%D0%BD%D1%8C%20%D1%80%D0%BE%D0%B6%D0%B4%D0%B5%D0%BD%D0%B8%D1%8F%201977%20%D1%84%D0%B8%D0%BB%D1%8C%D0%BC","искать")</f>
        <v/>
      </c>
      <c r="N5204" s="3" t="n"/>
      <c r="O5204" s="2" t="n"/>
      <c r="P5204" s="2" t="n"/>
    </row>
    <row r="5205">
      <c r="A5205" s="2" t="n">
        <v>5204</v>
      </c>
      <c r="B5205" s="2" t="inlineStr"/>
      <c r="C5205" s="2" t="n">
        <v>7636</v>
      </c>
      <c r="D5205" s="3" t="inlineStr">
        <is>
          <t>Здесь проходит граница</t>
        </is>
      </c>
      <c r="E5205" s="2" t="n">
        <v>1974</v>
      </c>
      <c r="F5205" s="2" t="inlineStr">
        <is>
          <t>телефильм</t>
        </is>
      </c>
      <c r="G5205" s="2" t="n"/>
      <c r="H5205" s="2" t="n">
        <v>305</v>
      </c>
      <c r="I5205" s="2" t="inlineStr"/>
      <c r="J5205" s="2" t="inlineStr"/>
      <c r="K5205" s="3" t="inlineStr">
        <is>
          <t>Пограничник с огромным стажем - Яков Корешников - руководит операцией по задержанию группы иностранных агентов. Еще в 20-е годы он участвовал в ликвидации банды басмачей. Тогда он впервые встретился с изменником Абзалом. В годы Великой Отечественной войны Корешникову вновь пришлось столкнуться с Абзалом.</t>
        </is>
      </c>
      <c r="L5205" s="2" t="inlineStr">
        <is>
          <t>Кино_СССР сводный каталог.xlsx: список телефильмов</t>
        </is>
      </c>
      <c r="M5205" s="2">
        <f>HYPERLINK("https://ru.wikipedia.org/w/index.php?search=%D0%97%D0%B4%D0%B5%D1%81%D1%8C%20%D0%BF%D1%80%D0%BE%D1%85%D0%BE%D0%B4%D0%B8%D1%82%20%D0%B3%D1%80%D0%B0%D0%BD%D0%B8%D1%86%D0%B0%201974%20%D1%84%D0%B8%D0%BB%D1%8C%D0%BC","искать")</f>
        <v/>
      </c>
      <c r="N5205" s="3" t="n"/>
      <c r="O5205" s="2" t="n"/>
      <c r="P5205" s="2" t="n"/>
    </row>
    <row r="5206">
      <c r="A5206" s="2" t="n">
        <v>5205</v>
      </c>
      <c r="B5206" s="2" t="inlineStr"/>
      <c r="C5206" s="2" t="n">
        <v>8580</v>
      </c>
      <c r="D5206" s="3" t="inlineStr">
        <is>
          <t>Шесть снежных дней</t>
        </is>
      </c>
      <c r="E5206" s="2" t="n">
        <v>1986</v>
      </c>
      <c r="F5206" s="2" t="inlineStr">
        <is>
          <t>телефильм</t>
        </is>
      </c>
      <c r="G5206" s="2" t="n"/>
      <c r="H5206" s="2" t="n">
        <v>305</v>
      </c>
      <c r="I5206" s="2" t="inlineStr"/>
      <c r="J5206" s="2" t="inlineStr"/>
      <c r="K5206" s="3" t="inlineStr">
        <is>
          <t>Зимние каникулы Нико проводил в горах у бабушки. Однажды от отправился в гости к родственнику, живущему на отдаленной ферме. Внезапно начавшийся снегопад отрезал мальчика от остальных людей. Шесть дней, которые Нико пережил в экстремальных условиях на ферме, многому научили его, закалили волю и характер.</t>
        </is>
      </c>
      <c r="L5206" s="2" t="inlineStr">
        <is>
          <t>Кино_СССР сводный каталог.xlsx: список телефильмов</t>
        </is>
      </c>
      <c r="M5206" s="2">
        <f>HYPERLINK("https://ru.wikipedia.org/w/index.php?search=%D0%A8%D0%B5%D1%81%D1%82%D1%8C%20%D1%81%D0%BD%D0%B5%D0%B6%D0%BD%D1%8B%D1%85%20%D0%B4%D0%BD%D0%B5%D0%B9%201986%20%D1%84%D0%B8%D0%BB%D1%8C%D0%BC","искать")</f>
        <v/>
      </c>
      <c r="N5206" s="3" t="n"/>
      <c r="O5206" s="2" t="n"/>
      <c r="P5206" s="2" t="n"/>
    </row>
    <row r="5207">
      <c r="A5207" s="2" t="n">
        <v>5206</v>
      </c>
      <c r="B5207" s="2" t="inlineStr"/>
      <c r="C5207" s="2" t="n">
        <v>8598</v>
      </c>
      <c r="D5207" s="3" t="inlineStr">
        <is>
          <t>Это было прошлым летом</t>
        </is>
      </c>
      <c r="E5207" s="2" t="n">
        <v>1988</v>
      </c>
      <c r="F5207" s="2" t="inlineStr">
        <is>
          <t>телефильм</t>
        </is>
      </c>
      <c r="G5207" s="2" t="n"/>
      <c r="H5207" s="2" t="n">
        <v>305</v>
      </c>
      <c r="I5207" s="2" t="inlineStr"/>
      <c r="J5207" s="2" t="inlineStr"/>
      <c r="K5207" s="3" t="inlineStr">
        <is>
          <t>Драма о молодых биологах, вступивших в борьбу с чиновничьим беспределом. После окончания института биологи Чернов и Бочкин едут в тундру, чтобы организовать там государственный заказник. Их благое начинание сталкивается с сопротивлением со стороны местных чиновников, которые препятствуют работе биологов.</t>
        </is>
      </c>
      <c r="L5207" s="2" t="inlineStr">
        <is>
          <t>Кино_СССР сводный каталог.xlsx: список телефильмов</t>
        </is>
      </c>
      <c r="M5207" s="2">
        <f>HYPERLINK("https://ru.wikipedia.org/w/index.php?search=%D0%AD%D1%82%D0%BE%20%D0%B1%D1%8B%D0%BB%D0%BE%20%D0%BF%D1%80%D0%BE%D1%88%D0%BB%D1%8B%D0%BC%20%D0%BB%D0%B5%D1%82%D0%BE%D0%BC%201988%20%D1%84%D0%B8%D0%BB%D1%8C%D0%BC","искать")</f>
        <v/>
      </c>
      <c r="N5207" s="3" t="n"/>
      <c r="O5207" s="2" t="n"/>
      <c r="P5207" s="2" t="n"/>
    </row>
    <row r="5208">
      <c r="A5208" s="2" t="n">
        <v>5207</v>
      </c>
      <c r="B5208" s="2" t="inlineStr"/>
      <c r="C5208" s="2" t="n">
        <v>8871</v>
      </c>
      <c r="D5208" s="3" t="inlineStr">
        <is>
          <t>Недолгий танец любви</t>
        </is>
      </c>
      <c r="E5208" s="2" t="n">
        <v>1988</v>
      </c>
      <c r="F5208" s="2" t="inlineStr">
        <is>
          <t>кинофильм</t>
        </is>
      </c>
      <c r="G5208" s="2" t="n"/>
      <c r="H5208" s="2" t="n">
        <v>305</v>
      </c>
      <c r="I5208" s="2" t="inlineStr"/>
      <c r="J5208" s="2" t="inlineStr"/>
      <c r="K5208" s="3" t="inlineStr">
        <is>
          <t>Бывший моряк Ион Форцу, великолепно исполнив на смотре художественной самодеятельности народный танец «чокырлия», вывел из устойчивого состояния удовлетворенности танцоров фольклорного ансамбля «Плай» и самого Стефана Дуку, их руководителя. И теперь Дука решает сделать этот номер гвоздем своей программы.</t>
        </is>
      </c>
      <c r="L5208" s="2" t="inlineStr">
        <is>
          <t>Кино_СССР сводный каталог.xlsx: список фильмов (доп.)</t>
        </is>
      </c>
      <c r="M5208" s="2">
        <f>HYPERLINK("https://ru.wikipedia.org/w/index.php?search=%D0%9D%D0%B5%D0%B4%D0%BE%D0%BB%D0%B3%D0%B8%D0%B9%20%D1%82%D0%B0%D0%BD%D0%B5%D1%86%20%D0%BB%D1%8E%D0%B1%D0%B2%D0%B8%201988%20%D1%84%D0%B8%D0%BB%D1%8C%D0%BC","искать")</f>
        <v/>
      </c>
      <c r="N5208" s="3" t="n"/>
      <c r="O5208" s="2" t="n"/>
      <c r="P5208" s="2" t="n"/>
    </row>
    <row r="5209">
      <c r="A5209" s="2" t="n">
        <v>5208</v>
      </c>
      <c r="B5209" s="2" t="inlineStr"/>
      <c r="C5209" s="2" t="n">
        <v>10496</v>
      </c>
      <c r="D5209" s="3" t="inlineStr">
        <is>
          <t>Дон Паскуале</t>
        </is>
      </c>
      <c r="E5209" s="2" t="n">
        <v>1973</v>
      </c>
      <c r="F5209" s="2" t="inlineStr">
        <is>
          <t>фильм-спектакль</t>
        </is>
      </c>
      <c r="G5209" s="2" t="inlineStr">
        <is>
          <t>Центральное телевидение</t>
        </is>
      </c>
      <c r="H5209" s="2" t="n">
        <v>305</v>
      </c>
      <c r="I5209" s="2" t="inlineStr"/>
      <c r="J5209" s="2" t="inlineStr"/>
      <c r="K5209" s="3" t="inlineStr">
        <is>
          <t>"Дон Паскуале" - одна из последних опер Гаэтано Доницетти.
Традиционные персонажи-маски: старик, задумавший жениться на молодой красавице; энергичная девушка, способная постоять за свое счастье; менее расторопный, но бесконечно влюбленный юноша; изобретательный помощник молодых влюбленных (он же доктор).</t>
        </is>
      </c>
      <c r="L5209" s="2" t="inlineStr">
        <is>
          <t>https://www.kino-teatr.ru/teatr/movie/82213/annot/</t>
        </is>
      </c>
      <c r="M5209" s="2">
        <f>HYPERLINK("https://ru.wikipedia.org/w/index.php?search=%D0%94%D0%BE%D0%BD%20%D0%9F%D0%B0%D1%81%D0%BA%D1%83%D0%B0%D0%BB%D0%B5%201973%20%D1%84%D0%B8%D0%BB%D1%8C%D0%BC","искать")</f>
        <v/>
      </c>
      <c r="N5209" s="3" t="n"/>
      <c r="O5209" s="2" t="n"/>
      <c r="P5209" s="2" t="n"/>
    </row>
    <row r="5210">
      <c r="A5210" s="2" t="n">
        <v>5209</v>
      </c>
      <c r="B5210" s="2" t="inlineStr"/>
      <c r="C5210" s="2" t="n">
        <v>10972</v>
      </c>
      <c r="D5210" s="3" t="inlineStr">
        <is>
          <t>Старым казачьим способом</t>
        </is>
      </c>
      <c r="E5210" s="2" t="n">
        <v>1982</v>
      </c>
      <c r="F5210" s="2" t="inlineStr">
        <is>
          <t>фильм-спектакль</t>
        </is>
      </c>
      <c r="G5210" s="2" t="inlineStr">
        <is>
          <t>Главная редакция литературно-драматических программ ЦТ</t>
        </is>
      </c>
      <c r="H5210" s="2" t="n">
        <v>305</v>
      </c>
      <c r="I5210" s="2" t="inlineStr"/>
      <c r="J5210" s="2" t="inlineStr"/>
      <c r="K5210" s="3" t="inlineStr">
        <is>
          <t>Комедия А. Софронова в постановке Московского драматического театра имени Н.В. Гоголя.
Действие спектакля происходит в винодельческом совхозе.
"Старый казачий способ" - это, с одной стороны, технология приготовления донского вина, а с другой стороны - секрет того, как добиться взаимности любимой девушки.</t>
        </is>
      </c>
      <c r="L5210" s="2" t="inlineStr">
        <is>
          <t>https://www.kino-teatr.ru/teatr/movie/92364/annot/</t>
        </is>
      </c>
      <c r="M5210" s="2">
        <f>HYPERLINK("https://ru.wikipedia.org/w/index.php?search=%D0%A1%D1%82%D0%B0%D1%80%D1%8B%D0%BC%20%D0%BA%D0%B0%D0%B7%D0%B0%D1%87%D1%8C%D0%B8%D0%BC%20%D1%81%D0%BF%D0%BE%D1%81%D0%BE%D0%B1%D0%BE%D0%BC%201982%20%D1%84%D0%B8%D0%BB%D1%8C%D0%BC","искать")</f>
        <v/>
      </c>
      <c r="N5210" s="3" t="n"/>
      <c r="O5210" s="2" t="n"/>
      <c r="P5210" s="2" t="n"/>
    </row>
    <row r="5211">
      <c r="A5211" s="2" t="n">
        <v>5210</v>
      </c>
      <c r="B5211" s="2" t="inlineStr"/>
      <c r="C5211" s="2" t="n">
        <v>11148</v>
      </c>
      <c r="D5211" s="3" t="inlineStr">
        <is>
          <t>Дай сердцу волю, заведёт в неволю</t>
        </is>
      </c>
      <c r="E5211" s="2" t="n">
        <v>1987</v>
      </c>
      <c r="F5211" s="2" t="inlineStr">
        <is>
          <t>фильм-спектакль</t>
        </is>
      </c>
      <c r="G5211" s="2" t="n"/>
      <c r="H5211" s="2" t="n">
        <v>305</v>
      </c>
      <c r="I5211" s="2" t="inlineStr"/>
      <c r="J5211" s="2" t="inlineStr"/>
      <c r="K5211" s="3" t="inlineStr">
        <is>
          <t>Спектакль Харьковского драматического театра им. Т. Шевченко.
По одноименной пьесе украинского драматурга М.Кропивницкого.
События происходят в украинской деревне в конце XVIII века. В центре сюжета - любовный треугольник: так в крестьянскую девушку Одарку влюбляются сын старшины Микита и работник Семен.</t>
        </is>
      </c>
      <c r="L5211" s="2" t="inlineStr">
        <is>
          <t>https://www.kino-teatr.ru/teatr/movie/179846/annot/</t>
        </is>
      </c>
      <c r="M5211" s="2">
        <f>HYPERLINK("https://ru.wikipedia.org/w/index.php?search=%D0%94%D0%B0%D0%B9%20%D1%81%D0%B5%D1%80%D0%B4%D1%86%D1%83%20%D0%B2%D0%BE%D0%BB%D1%8E%2C%20%D0%B7%D0%B0%D0%B2%D0%B5%D0%B4%D1%91%D1%82%20%D0%B2%20%D0%BD%D0%B5%D0%B2%D0%BE%D0%BB%D1%8E%201987%20%D1%84%D0%B8%D0%BB%D1%8C%D0%BC","искать")</f>
        <v/>
      </c>
      <c r="N5211" s="3" t="n"/>
      <c r="O5211" s="2" t="n"/>
      <c r="P5211" s="2" t="n"/>
    </row>
    <row r="5212">
      <c r="A5212" s="2" t="n">
        <v>5211</v>
      </c>
      <c r="B5212" s="2" t="inlineStr"/>
      <c r="C5212" s="2" t="n">
        <v>11973</v>
      </c>
      <c r="D5212" s="3" t="inlineStr">
        <is>
          <t>Ворона и лисица. Кукушка и петух</t>
        </is>
      </c>
      <c r="E5212" s="2" t="n">
        <v>1953</v>
      </c>
      <c r="F5212" s="2" t="inlineStr">
        <is>
          <t>мультфильм</t>
        </is>
      </c>
      <c r="G5212" s="2" t="inlineStr">
        <is>
          <t>Союзмультфильм</t>
        </is>
      </c>
      <c r="H5212" s="2" t="n">
        <v>305</v>
      </c>
      <c r="I5212" s="2" t="inlineStr"/>
      <c r="J5212" s="2" t="inlineStr"/>
      <c r="K5212" s="3" t="inlineStr">
        <is>
          <t>В основу фильма положены басни Ивана Крылова. Хитрая и льстивая Лисица, вскружив своими похвалами голову Вороне, сумела выманить у глупой птицы кусочек сыра...Неумеренные восторги, которые Кукушка расточала по поводу петушиного пения, были тотчас же вознаграждены восторгами Петуха по поводу пения Кукушки</t>
        </is>
      </c>
      <c r="L5212" s="2" t="inlineStr">
        <is>
          <t>https://gosfilmofond.ru/films/250801/</t>
        </is>
      </c>
      <c r="M5212" s="2">
        <f>HYPERLINK("https://ru.wikipedia.org/w/index.php?search=%D0%92%D0%BE%D1%80%D0%BE%D0%BD%D0%B0%20%D0%B8%20%D0%BB%D0%B8%D1%81%D0%B8%D1%86%D0%B0.%20%D0%9A%D1%83%D0%BA%D1%83%D1%88%D0%BA%D0%B0%20%D0%B8%20%D0%BF%D0%B5%D1%82%D1%83%D1%85%201953%20%D1%84%D0%B8%D0%BB%D1%8C%D0%BC","искать")</f>
        <v/>
      </c>
      <c r="N5212" s="3" t="n"/>
      <c r="O5212" s="2" t="n"/>
      <c r="P5212" s="2" t="n"/>
    </row>
    <row r="5213">
      <c r="A5213" s="2" t="n">
        <v>5212</v>
      </c>
      <c r="B5213" s="2" t="inlineStr"/>
      <c r="C5213" s="2" t="n">
        <v>7335</v>
      </c>
      <c r="D5213" s="3" t="inlineStr">
        <is>
          <t>Вечный муж</t>
        </is>
      </c>
      <c r="E5213" s="2" t="n">
        <v>1990</v>
      </c>
      <c r="F5213" s="2" t="inlineStr">
        <is>
          <t>телефильм</t>
        </is>
      </c>
      <c r="G5213" s="2" t="inlineStr">
        <is>
          <t>Киностудия «Беларусьфильм»; Студия «Диалог»</t>
        </is>
      </c>
      <c r="H5213" s="2" t="n">
        <v>306</v>
      </c>
      <c r="I5213" s="2" t="inlineStr"/>
      <c r="J5213" s="2" t="inlineStr"/>
      <c r="K5213" s="3" t="inlineStr">
        <is>
          <t>По одноименной повести Ф.М.Достоевского, главы «Вельчининов», «Лиза», «На кладбище», «Павелъ Павловичъ женится», «Высшiя причины». К Вельчанинову неожиданно приходит Трусоцкий, с которым они девять лет назад общались. Выясняется, что совсем недавно у Трусоцкого умерла жена, оставив его с 9-летней дочерью.</t>
        </is>
      </c>
      <c r="L5213" s="2" t="inlineStr">
        <is>
          <t>Кино_СССР сводный каталог.xlsx: список телефильмов</t>
        </is>
      </c>
      <c r="M5213" s="2">
        <f>HYPERLINK("https://ru.wikipedia.org/w/index.php?search=%D0%92%D0%B5%D1%87%D0%BD%D1%8B%D0%B9%20%D0%BC%D1%83%D0%B6%201990%20%D1%84%D0%B8%D0%BB%D1%8C%D0%BC","искать")</f>
        <v/>
      </c>
      <c r="N5213" s="3" t="n"/>
      <c r="O5213" s="2" t="n"/>
      <c r="P5213" s="2" t="n"/>
    </row>
    <row r="5214">
      <c r="A5214" s="2" t="n">
        <v>5213</v>
      </c>
      <c r="B5214" s="2" t="inlineStr"/>
      <c r="C5214" s="2" t="n">
        <v>7612</v>
      </c>
      <c r="D5214" s="3" t="inlineStr">
        <is>
          <t>За горами, за лесами</t>
        </is>
      </c>
      <c r="E5214" s="2" t="n">
        <v>1973</v>
      </c>
      <c r="F5214" s="2" t="inlineStr">
        <is>
          <t>телефильм</t>
        </is>
      </c>
      <c r="G5214" s="2" t="n"/>
      <c r="H5214" s="2" t="n">
        <v>306</v>
      </c>
      <c r="I5214" s="2" t="inlineStr"/>
      <c r="J5214" s="2" t="inlineStr"/>
      <c r="K5214" s="3" t="inlineStr">
        <is>
          <t>О двух художниках-антиподах. Один художник - Вавила де Мазила - имеет собственную мастерскую, учеников и малюет "картины" на потребу толпе. Другой художник, Ерёма, отправляется в Тридесятое Царство искать Чудо-Камень, чтобы запечатлеть на нём прекрасный образ. В дороге с ним происходят разные приключения.</t>
        </is>
      </c>
      <c r="L5214" s="2" t="inlineStr">
        <is>
          <t>Кино_СССР сводный каталог.xlsx: список телефильмов</t>
        </is>
      </c>
      <c r="M5214" s="2">
        <f>HYPERLINK("https://ru.wikipedia.org/w/index.php?search=%D0%97%D0%B0%20%D0%B3%D0%BE%D1%80%D0%B0%D0%BC%D0%B8%2C%20%D0%B7%D0%B0%20%D0%BB%D0%B5%D1%81%D0%B0%D0%BC%D0%B8%201973%20%D1%84%D0%B8%D0%BB%D1%8C%D0%BC","искать")</f>
        <v/>
      </c>
      <c r="N5214" s="3" t="n"/>
      <c r="O5214" s="2" t="n"/>
      <c r="P5214" s="2" t="n"/>
    </row>
    <row r="5215">
      <c r="A5215" s="2" t="n">
        <v>5214</v>
      </c>
      <c r="B5215" s="2" t="inlineStr"/>
      <c r="C5215" s="2" t="n">
        <v>7771</v>
      </c>
      <c r="D5215" s="3" t="inlineStr">
        <is>
          <t>Красный петух плимутрок</t>
        </is>
      </c>
      <c r="E5215" s="2" t="n">
        <v>1975</v>
      </c>
      <c r="F5215" s="2" t="inlineStr">
        <is>
          <t>телефильм</t>
        </is>
      </c>
      <c r="G5215" s="2" t="n"/>
      <c r="H5215" s="2" t="n">
        <v>306</v>
      </c>
      <c r="I5215" s="2" t="inlineStr"/>
      <c r="J5215" s="2" t="inlineStr"/>
      <c r="K5215" s="3" t="inlineStr">
        <is>
          <t>Телефильм по мотивам одноименного рассказа Г.Немченко. Валя очень озабочен раздорами между отцом, матерью и бабушкой. Что он только не придумывал, чтобы в его семье было всем хорошо и весело. А теперь он решил приобрести петуха и научить его танцевать так, как танцевал петух его односельчанина Никодимыча.</t>
        </is>
      </c>
      <c r="L5215" s="2" t="inlineStr">
        <is>
          <t>Кино_СССР сводный каталог.xlsx: список телефильмов</t>
        </is>
      </c>
      <c r="M5215" s="2">
        <f>HYPERLINK("https://ru.wikipedia.org/w/index.php?search=%D0%9A%D1%80%D0%B0%D1%81%D0%BD%D1%8B%D0%B9%20%D0%BF%D0%B5%D1%82%D1%83%D1%85%20%D0%BF%D0%BB%D0%B8%D0%BC%D1%83%D1%82%D1%80%D0%BE%D0%BA%201975%20%D1%84%D0%B8%D0%BB%D1%8C%D0%BC","искать")</f>
        <v/>
      </c>
      <c r="N5215" s="3" t="n"/>
      <c r="O5215" s="2" t="n"/>
      <c r="P5215" s="2" t="n"/>
    </row>
    <row r="5216">
      <c r="A5216" s="2" t="n">
        <v>5215</v>
      </c>
      <c r="B5216" s="2" t="inlineStr"/>
      <c r="C5216" s="2" t="n">
        <v>7898</v>
      </c>
      <c r="D5216" s="3" t="inlineStr">
        <is>
          <t>Морской Волк</t>
        </is>
      </c>
      <c r="E5216" s="2" t="n">
        <v>1990</v>
      </c>
      <c r="F5216" s="2" t="inlineStr">
        <is>
          <t>телефильм</t>
        </is>
      </c>
      <c r="G5216" s="2" t="n"/>
      <c r="H5216" s="2" t="n">
        <v>306</v>
      </c>
      <c r="I5216" s="2" t="inlineStr"/>
      <c r="J5216" s="2" t="inlineStr"/>
      <c r="K5216" s="3" t="inlineStr">
        <is>
          <t>Сериал по мотивам одноимённого романа Джека Лондона. Молодой литератор Хэмфри Ван-Вейден решил навестить друга. На пароме "Мартинес" он отплавает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t>
        </is>
      </c>
      <c r="L5216" s="2" t="inlineStr">
        <is>
          <t>Кино_СССР сводный каталог.xlsx: список телефильмов</t>
        </is>
      </c>
      <c r="M5216" s="2">
        <f>HYPERLINK("https://ru.wikipedia.org/w/index.php?search=%D0%9C%D0%BE%D1%80%D1%81%D0%BA%D0%BE%D0%B9%20%D0%92%D0%BE%D0%BB%D0%BA%201990%20%D1%84%D0%B8%D0%BB%D1%8C%D0%BC","искать")</f>
        <v/>
      </c>
      <c r="N5216" s="3" t="n"/>
      <c r="O5216" s="2" t="n"/>
      <c r="P5216" s="2" t="n"/>
    </row>
    <row r="5217">
      <c r="A5217" s="2" t="n">
        <v>5216</v>
      </c>
      <c r="B5217" s="2" t="inlineStr"/>
      <c r="C5217" s="2" t="n">
        <v>8486</v>
      </c>
      <c r="D5217" s="3" t="inlineStr">
        <is>
          <t>Тростинка на ветру</t>
        </is>
      </c>
      <c r="E5217" s="2" t="n">
        <v>1980</v>
      </c>
      <c r="F5217" s="2" t="inlineStr">
        <is>
          <t>телефильм</t>
        </is>
      </c>
      <c r="G5217" s="2" t="inlineStr">
        <is>
          <t>Ленфильм</t>
        </is>
      </c>
      <c r="H5217" s="2" t="n">
        <v>306</v>
      </c>
      <c r="I5217" s="2" t="inlineStr"/>
      <c r="J5217" s="2" t="inlineStr"/>
      <c r="K5217" s="3" t="inlineStr">
        <is>
          <t>По повести Георгия Маркова Варя только что окончила школу. Родители разводятся, любимая бабка донимает приставаниями о смысле жизни. Мишка - хороший парень - очень любит Варьку, но многого не понимает. Не получив документов, она уезжает в город к сестре. Здесь-то и начнется настоящая жизнь, думается Варе.</t>
        </is>
      </c>
      <c r="L5217" s="2" t="inlineStr">
        <is>
          <t>Кино_СССР сводный каталог.xlsx: список телефильмов</t>
        </is>
      </c>
      <c r="M5217" s="2">
        <f>HYPERLINK("https://ru.wikipedia.org/w/index.php?search=%D0%A2%D1%80%D0%BE%D1%81%D1%82%D0%B8%D0%BD%D0%BA%D0%B0%20%D0%BD%D0%B0%20%D0%B2%D0%B5%D1%82%D1%80%D1%83%201980%20%D1%84%D0%B8%D0%BB%D1%8C%D0%BC","искать")</f>
        <v/>
      </c>
      <c r="N5217" s="3" t="n"/>
      <c r="O5217" s="2" t="n"/>
      <c r="P5217" s="2" t="n"/>
    </row>
    <row r="5218">
      <c r="A5218" s="2" t="n">
        <v>5217</v>
      </c>
      <c r="B5218" s="2" t="inlineStr"/>
      <c r="C5218" s="2" t="n">
        <v>8826</v>
      </c>
      <c r="D5218" s="3" t="inlineStr">
        <is>
          <t>Маэстро с ниточкой</t>
        </is>
      </c>
      <c r="E5218" s="2" t="n">
        <v>1991</v>
      </c>
      <c r="F5218" s="2" t="inlineStr">
        <is>
          <t>кинофильм</t>
        </is>
      </c>
      <c r="G5218" s="2" t="n"/>
      <c r="H5218" s="2" t="n">
        <v>306</v>
      </c>
      <c r="I5218" s="2" t="inlineStr"/>
      <c r="J5218" s="2" t="inlineStr"/>
      <c r="K5218" s="3" t="inlineStr">
        <is>
          <t>Живет в деревне одинокий старик - Иван Макаров, злой и колючий. Все его богатство - дом и гармонь. Да есть еще мечта - поехать в Москву и выступить по телевидению: вдруг сын, который давно забыл про него увидит и отзовется? Но в Москве вместо сына, он находит бездомного подростка Сергея по кличке "Обруч".</t>
        </is>
      </c>
      <c r="L5218" s="2" t="inlineStr">
        <is>
          <t>Кино_СССР сводный каталог.xlsx: список фильмов (доп.)</t>
        </is>
      </c>
      <c r="M5218" s="2">
        <f>HYPERLINK("https://ru.wikipedia.org/w/index.php?search=%D0%9C%D0%B0%D1%8D%D1%81%D1%82%D1%80%D0%BE%20%D1%81%20%D0%BD%D0%B8%D1%82%D0%BE%D1%87%D0%BA%D0%BE%D0%B9%201991%20%D1%84%D0%B8%D0%BB%D1%8C%D0%BC","искать")</f>
        <v/>
      </c>
      <c r="N5218" s="3" t="n"/>
      <c r="O5218" s="2" t="n"/>
      <c r="P5218" s="2" t="n"/>
    </row>
    <row r="5219">
      <c r="A5219" s="2" t="n">
        <v>5218</v>
      </c>
      <c r="B5219" s="2" t="inlineStr"/>
      <c r="C5219" s="2" t="n">
        <v>10138</v>
      </c>
      <c r="D5219" s="3" t="inlineStr">
        <is>
          <t>Вашингтонская история</t>
        </is>
      </c>
      <c r="E5219" s="2" t="n">
        <v>1965</v>
      </c>
      <c r="F5219" s="2" t="inlineStr">
        <is>
          <t>фильм-спектакль</t>
        </is>
      </c>
      <c r="G5219" s="2" t="inlineStr">
        <is>
          <t>Главная редакция литературно-драматических программ ЦТ, Гостелерадио СССР</t>
        </is>
      </c>
      <c r="H5219" s="2" t="n">
        <v>306</v>
      </c>
      <c r="I5219" s="2" t="inlineStr"/>
      <c r="J5219" s="2" t="inlineStr"/>
      <c r="K5219" s="3" t="inlineStr">
        <is>
          <t>Спектакль по мотивам романа Джея Дайса "Вашингтонская история".
Служащая одного из отделов Госдепартамента США Фэйс Вэнс получает вызов в комиссию по расследованию антиамериканской деятельности. И вполне благополучная, спокойная жизнь начинает рушиться.
Но Фэйс не опускает руки, она борется за свои права.</t>
        </is>
      </c>
      <c r="L5219" s="2" t="inlineStr">
        <is>
          <t>https://www.kino-teatr.ru/teatr/movie/13897/annot/</t>
        </is>
      </c>
      <c r="M5219" s="2">
        <f>HYPERLINK("https://ru.wikipedia.org/w/index.php?search=%D0%92%D0%B0%D1%88%D0%B8%D0%BD%D0%B3%D1%82%D0%BE%D0%BD%D1%81%D0%BA%D0%B0%D1%8F%20%D0%B8%D1%81%D1%82%D0%BE%D1%80%D0%B8%D1%8F%201965%20%D1%84%D0%B8%D0%BB%D1%8C%D0%BC","искать")</f>
        <v/>
      </c>
      <c r="N5219" s="3" t="n"/>
      <c r="O5219" s="2" t="n"/>
      <c r="P5219" s="2" t="n"/>
    </row>
    <row r="5220">
      <c r="A5220" s="2" t="n">
        <v>5219</v>
      </c>
      <c r="B5220" s="2" t="inlineStr"/>
      <c r="C5220" s="2" t="n">
        <v>10447</v>
      </c>
      <c r="D5220" s="3" t="inlineStr">
        <is>
          <t>Легкий заработок</t>
        </is>
      </c>
      <c r="E5220" s="2" t="n">
        <v>1972</v>
      </c>
      <c r="F5220" s="2" t="inlineStr">
        <is>
          <t>фильм-спектакль</t>
        </is>
      </c>
      <c r="G5220" s="2" t="inlineStr">
        <is>
          <t>Главная редакция программ для молодёжи ЦТ</t>
        </is>
      </c>
      <c r="H5220" s="2" t="n">
        <v>306</v>
      </c>
      <c r="I5220" s="2" t="inlineStr"/>
      <c r="J5220" s="2" t="inlineStr"/>
      <c r="K5220" s="3" t="inlineStr">
        <is>
          <t>По одноименному рассказу Ивэна Хантера.
Молодой коммивояжер Джер Толбот поступает работать в издательство «Домашняя Библия». Издатель Мэтьюз придумывает бесчестные приемы продажи Библии с целью максимальной наживы. Толбот, понимая, что его хозяин наживается на горе простых людей, порывает с издательством.</t>
        </is>
      </c>
      <c r="L5220" s="2" t="inlineStr">
        <is>
          <t>https://www.kino-teatr.ru/teatr/movie/89102/annot/</t>
        </is>
      </c>
      <c r="M5220" s="2">
        <f>HYPERLINK("https://ru.wikipedia.org/w/index.php?search=%D0%9B%D0%B5%D0%B3%D0%BA%D0%B8%D0%B9%20%D0%B7%D0%B0%D1%80%D0%B0%D0%B1%D0%BE%D1%82%D0%BE%D0%BA%201972%20%D1%84%D0%B8%D0%BB%D1%8C%D0%BC","искать")</f>
        <v/>
      </c>
      <c r="N5220" s="3" t="n"/>
      <c r="O5220" s="2" t="n"/>
      <c r="P5220" s="2" t="n"/>
    </row>
    <row r="5221">
      <c r="A5221" s="2" t="n">
        <v>5220</v>
      </c>
      <c r="B5221" s="2" t="inlineStr"/>
      <c r="C5221" s="2" t="n">
        <v>10942</v>
      </c>
      <c r="D5221" s="3" t="inlineStr">
        <is>
          <t>Кафедра</t>
        </is>
      </c>
      <c r="E5221" s="2" t="n">
        <v>1982</v>
      </c>
      <c r="F5221" s="2" t="inlineStr">
        <is>
          <t>фильм-спектакль</t>
        </is>
      </c>
      <c r="G5221" s="2" t="inlineStr">
        <is>
          <t>Гл. ред. лит-драм программ  ЦТ</t>
        </is>
      </c>
      <c r="H5221" s="2" t="n">
        <v>306</v>
      </c>
      <c r="I5221" s="2" t="inlineStr"/>
      <c r="J5221" s="2" t="inlineStr"/>
      <c r="K5221" s="3" t="inlineStr">
        <is>
          <t>По одноименной пьесе В.Врублевской.
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is>
      </c>
      <c r="L5221" s="2" t="inlineStr">
        <is>
          <t>https://www.kino-teatr.ru/teatr/movie/81343/annot/</t>
        </is>
      </c>
      <c r="M5221" s="2">
        <f>HYPERLINK("https://ru.wikipedia.org/w/index.php?search=%D0%9A%D0%B0%D1%84%D0%B5%D0%B4%D1%80%D0%B0%201982%20%D1%84%D0%B8%D0%BB%D1%8C%D0%BC","искать")</f>
        <v/>
      </c>
      <c r="N5221" s="3" t="n"/>
      <c r="O5221" s="2" t="n"/>
      <c r="P5221" s="2" t="inlineStr">
        <is>
          <t>Википедия: «Кафедра (фильм)» — по сверке другой фильм, не предложено</t>
        </is>
      </c>
    </row>
    <row r="5222">
      <c r="A5222" s="2" t="n">
        <v>5221</v>
      </c>
      <c r="B5222" s="2" t="inlineStr"/>
      <c r="C5222" s="2" t="n">
        <v>11072</v>
      </c>
      <c r="D5222" s="3" t="inlineStr">
        <is>
          <t>Последнее свидание</t>
        </is>
      </c>
      <c r="E5222" s="2" t="n">
        <v>1985</v>
      </c>
      <c r="F5222" s="2" t="inlineStr">
        <is>
          <t>фильм-спектакль</t>
        </is>
      </c>
      <c r="G5222" s="2" t="inlineStr">
        <is>
          <t>Главная редакция литературно-драматических программ ЦТ</t>
        </is>
      </c>
      <c r="H5222" s="2" t="n">
        <v>306</v>
      </c>
      <c r="I5222" s="2" t="inlineStr"/>
      <c r="J5222" s="2" t="inlineStr"/>
      <c r="K5222" s="3" t="inlineStr">
        <is>
          <t>По одноименной пьесе А. Галина в постановке Центрального академического театра Советской Армии.
Константину Ивановичу Ермолаеву, много лет водившему локомотивы, в связи с пенсионным возрастом предложили работу диспетчера. Он не хочет смириться с этим и едет к своему фронтовому другу Панкратову за советом.</t>
        </is>
      </c>
      <c r="L5222" s="2" t="inlineStr">
        <is>
          <t>https://www.kino-teatr.ru/teatr/movie/104345/annot/</t>
        </is>
      </c>
      <c r="M5222" s="2">
        <f>HYPERLINK("https://ru.wikipedia.org/w/index.php?search=%D0%9F%D0%BE%D1%81%D0%BB%D0%B5%D0%B4%D0%BD%D0%B5%D0%B5%20%D1%81%D0%B2%D0%B8%D0%B4%D0%B0%D0%BD%D0%B8%D0%B5%201985%20%D1%84%D0%B8%D0%BB%D1%8C%D0%BC","искать")</f>
        <v/>
      </c>
      <c r="N5222" s="3" t="n"/>
      <c r="O5222" s="2" t="n"/>
      <c r="P5222" s="2" t="n"/>
    </row>
    <row r="5223">
      <c r="A5223" s="2" t="n">
        <v>5222</v>
      </c>
      <c r="B5223" s="2" t="inlineStr"/>
      <c r="C5223" s="2" t="n">
        <v>13517</v>
      </c>
      <c r="D5223" s="3" t="inlineStr">
        <is>
          <t>Охотник</t>
        </is>
      </c>
      <c r="E5223" s="2" t="n">
        <v>1991</v>
      </c>
      <c r="F5223" s="2" t="inlineStr">
        <is>
          <t>мультфильм</t>
        </is>
      </c>
      <c r="G5223" s="2" t="inlineStr">
        <is>
          <t>Пилот</t>
        </is>
      </c>
      <c r="H5223" s="2" t="n">
        <v>306</v>
      </c>
      <c r="I5223" s="2" t="inlineStr"/>
      <c r="J5223" s="2" t="inlineStr"/>
      <c r="K5223" s="3" t="inlineStr">
        <is>
          <t>О глупом охотнике и его командирше-жене, которые потерпели на охоте полную неудачу. Для взрослых.
4-й Международный показ в Лос-Анжелесе, 1991 -- Первая премия в категории фильмов до 5 минут и Специальный приз имени Джима Хенсона; 16-й МФ анимационных фильмов "Синанима92" в Эшпиньо (Португалия) -- Диплом.</t>
        </is>
      </c>
      <c r="L5223" s="2" t="inlineStr">
        <is>
          <t>https://animator.ru/db/?p=show_film&amp;fid=4808</t>
        </is>
      </c>
      <c r="M5223" s="2">
        <f>HYPERLINK("https://ru.wikipedia.org/w/index.php?search=%D0%9E%D1%85%D0%BE%D1%82%D0%BD%D0%B8%D0%BA%201991%20%D1%84%D0%B8%D0%BB%D1%8C%D0%BC","искать")</f>
        <v/>
      </c>
      <c r="N5223" s="3" t="n"/>
      <c r="O5223" s="2" t="n"/>
      <c r="P5223" s="2" t="n"/>
    </row>
    <row r="5224">
      <c r="A5224" s="2" t="n">
        <v>5223</v>
      </c>
      <c r="B5224" s="2" t="inlineStr"/>
      <c r="C5224" s="2" t="n">
        <v>7307</v>
      </c>
      <c r="D5224" s="3" t="inlineStr">
        <is>
          <t>Вам телеграмма...</t>
        </is>
      </c>
      <c r="E5224" s="2" t="n">
        <v>1983</v>
      </c>
      <c r="F5224" s="2" t="inlineStr">
        <is>
          <t>телефильм</t>
        </is>
      </c>
      <c r="G5224" s="2" t="inlineStr">
        <is>
          <t>Молдова-фильм</t>
        </is>
      </c>
      <c r="H5224" s="2" t="n">
        <v>307</v>
      </c>
      <c r="I5224" s="2" t="inlineStr"/>
      <c r="J5224" s="2" t="inlineStr"/>
      <c r="K5224" s="3" t="inlineStr">
        <is>
          <t>Телефильм. Анна работает разносчицей телеграмм. У нее не складывается личная жизнь с мужем Сергеем. Единственное, что их связывает - подрастающий сын Антошка. Как в сказке Анна получает телеграмму от любящего ее одноклассника Алехина с предложением переехать жить к нему в только что полученную им квартиру.</t>
        </is>
      </c>
      <c r="L5224" s="2" t="inlineStr">
        <is>
          <t>Кино_СССР сводный каталог.xlsx: список телефильмов</t>
        </is>
      </c>
      <c r="M5224" s="2">
        <f>HYPERLINK("https://ru.wikipedia.org/w/index.php?search=%D0%92%D0%B0%D0%BC%20%D1%82%D0%B5%D0%BB%D0%B5%D0%B3%D1%80%D0%B0%D0%BC%D0%BC%D0%B0...%201983%20%D1%84%D0%B8%D0%BB%D1%8C%D0%BC","искать")</f>
        <v/>
      </c>
      <c r="N5224" s="3" t="n"/>
      <c r="O5224" s="2" t="n"/>
      <c r="P5224" s="2" t="n"/>
    </row>
    <row r="5225">
      <c r="A5225" s="2" t="n">
        <v>5224</v>
      </c>
      <c r="B5225" s="2" t="inlineStr"/>
      <c r="C5225" s="2" t="n">
        <v>7776</v>
      </c>
      <c r="D5225" s="3" t="inlineStr">
        <is>
          <t>Крутой поворот</t>
        </is>
      </c>
      <c r="E5225" s="2" t="n">
        <v>1979</v>
      </c>
      <c r="F5225" s="2" t="inlineStr">
        <is>
          <t>телефильм</t>
        </is>
      </c>
      <c r="G5225" s="2" t="n"/>
      <c r="H5225" s="2" t="n">
        <v>307</v>
      </c>
      <c r="I5225" s="2" t="inlineStr"/>
      <c r="J5225" s="2" t="inlineStr"/>
      <c r="K5225" s="3" t="inlineStr">
        <is>
          <t>По повести Сергея Высоцкого. 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is>
      </c>
      <c r="L5225" s="2" t="inlineStr">
        <is>
          <t>Кино_СССР сводный каталог.xlsx: список телефильмов</t>
        </is>
      </c>
      <c r="M5225" s="2">
        <f>HYPERLINK("https://ru.wikipedia.org/w/index.php?search=%D0%9A%D1%80%D1%83%D1%82%D0%BE%D0%B9%20%D0%BF%D0%BE%D0%B2%D0%BE%D1%80%D0%BE%D1%82%201979%20%D1%84%D0%B8%D0%BB%D1%8C%D0%BC","искать")</f>
        <v/>
      </c>
      <c r="N5225" s="3" t="n"/>
      <c r="O5225" s="2" t="n"/>
      <c r="P5225" s="2" t="n"/>
    </row>
    <row r="5226">
      <c r="A5226" s="2" t="n">
        <v>5225</v>
      </c>
      <c r="B5226" s="2" t="inlineStr"/>
      <c r="C5226" s="2" t="n">
        <v>8052</v>
      </c>
      <c r="D5226" s="3" t="inlineStr">
        <is>
          <t>Осенние утренники</t>
        </is>
      </c>
      <c r="E5226" s="2" t="n">
        <v>1985</v>
      </c>
      <c r="F5226" s="2" t="inlineStr">
        <is>
          <t>телефильм</t>
        </is>
      </c>
      <c r="G5226" s="2" t="n"/>
      <c r="H5226" s="2" t="n">
        <v>307</v>
      </c>
      <c r="I5226" s="2" t="inlineStr"/>
      <c r="J5226" s="2" t="inlineStr"/>
      <c r="K5226" s="3" t="inlineStr">
        <is>
          <t>Киноповесть о повседневной жизни людей в сельской местности, их работе в колхозе и отношении к своему делу. В отличие от тех, кто выполняет свои обязанности по командам партийного руководства, доярка Прасковья Лихолетова относится к тем людям, которые не проходят мимо бесхозяйственности и несправедливости.</t>
        </is>
      </c>
      <c r="L5226" s="2" t="inlineStr">
        <is>
          <t>Кино_СССР сводный каталог.xlsx: список телефильмов</t>
        </is>
      </c>
      <c r="M5226" s="2">
        <f>HYPERLINK("https://ru.wikipedia.org/w/index.php?search=%D0%9E%D1%81%D0%B5%D0%BD%D0%BD%D0%B8%D0%B5%20%D1%83%D1%82%D1%80%D0%B5%D0%BD%D0%BD%D0%B8%D0%BA%D0%B8%201985%20%D1%84%D0%B8%D0%BB%D1%8C%D0%BC","искать")</f>
        <v/>
      </c>
      <c r="N5226" s="3" t="n"/>
      <c r="O5226" s="2" t="n"/>
      <c r="P5226" s="2" t="n"/>
    </row>
    <row r="5227">
      <c r="A5227" s="2" t="n">
        <v>5226</v>
      </c>
      <c r="B5227" s="2" t="inlineStr"/>
      <c r="C5227" s="2" t="n">
        <v>8253</v>
      </c>
      <c r="D5227" s="3" t="inlineStr">
        <is>
          <t>Радости земные</t>
        </is>
      </c>
      <c r="E5227" s="2" t="n">
        <v>1988</v>
      </c>
      <c r="F5227" s="2" t="inlineStr">
        <is>
          <t>телефильм</t>
        </is>
      </c>
      <c r="G5227" s="2" t="n"/>
      <c r="H5227" s="2" t="n">
        <v>307</v>
      </c>
      <c r="I5227" s="2" t="inlineStr"/>
      <c r="J5227" s="2" t="inlineStr"/>
      <c r="K5227" s="3" t="inlineStr">
        <is>
          <t>Телефильм по одноименному роману Иосифа Герасимова о молодом солдате Василии Лемехове, вернувшемся после госпиталя и встретившего в Кишиневе молодую женщину Наташу. У нее есть сын Марк от бывшего мужа - Сергея. Молодые люди сближаются, но Сергей начинает ревновать, даже хочет убить Василия и похищает сына.</t>
        </is>
      </c>
      <c r="L5227" s="2" t="inlineStr">
        <is>
          <t>Кино_СССР сводный каталог.xlsx: список телефильмов</t>
        </is>
      </c>
      <c r="M5227" s="2">
        <f>HYPERLINK("https://ru.wikipedia.org/w/index.php?search=%D0%A0%D0%B0%D0%B4%D0%BE%D1%81%D1%82%D0%B8%20%D0%B7%D0%B5%D0%BC%D0%BD%D1%8B%D0%B5%201988%20%D1%84%D0%B8%D0%BB%D1%8C%D0%BC","искать")</f>
        <v/>
      </c>
      <c r="N5227" s="3" t="n"/>
      <c r="O5227" s="2" t="n"/>
      <c r="P5227" s="2" t="n"/>
    </row>
    <row r="5228">
      <c r="A5228" s="2" t="n">
        <v>5227</v>
      </c>
      <c r="B5228" s="2" t="inlineStr"/>
      <c r="C5228" s="2" t="n">
        <v>8855</v>
      </c>
      <c r="D5228" s="3" t="inlineStr">
        <is>
          <t>Мы везём с собой кота</t>
        </is>
      </c>
      <c r="E5228" s="2" t="n">
        <v>1989</v>
      </c>
      <c r="F5228" s="2" t="inlineStr">
        <is>
          <t>кинофильм</t>
        </is>
      </c>
      <c r="G5228" s="2" t="n"/>
      <c r="H5228" s="2" t="n">
        <v>307</v>
      </c>
      <c r="I5228" s="2" t="inlineStr"/>
      <c r="J5228" s="2" t="inlineStr"/>
      <c r="K5228" s="3" t="inlineStr">
        <is>
          <t>«Мы везем с собой кота…», эту весёлую «Песенку друзей» пели дети, больные костным туберкулёзом, когда их под обстрелом гитлеровцев эвакуировали из санатория в далёком 1941 году. Этот фильм – подлинный урок мужества и милосердия, фильм-воспоминание и напоминание о страшных годах Великой Отечественной войны.</t>
        </is>
      </c>
      <c r="L5228" s="2" t="inlineStr">
        <is>
          <t>Кино_СССР сводный каталог.xlsx: список фильмов (доп.)</t>
        </is>
      </c>
      <c r="M5228" s="2">
        <f>HYPERLINK("https://ru.wikipedia.org/w/index.php?search=%D0%9C%D1%8B%20%D0%B2%D0%B5%D0%B7%D1%91%D0%BC%20%D1%81%20%D1%81%D0%BE%D0%B1%D0%BE%D0%B9%20%D0%BA%D0%BE%D1%82%D0%B0%201989%20%D1%84%D0%B8%D0%BB%D1%8C%D0%BC","искать")</f>
        <v/>
      </c>
      <c r="N5228" s="3" t="n"/>
      <c r="O5228" s="2" t="n"/>
      <c r="P5228" s="2" t="n"/>
    </row>
    <row r="5229">
      <c r="A5229" s="2" t="n">
        <v>5228</v>
      </c>
      <c r="B5229" s="2" t="inlineStr"/>
      <c r="C5229" s="2" t="n">
        <v>8876</v>
      </c>
      <c r="D5229" s="3" t="inlineStr">
        <is>
          <t>Новая Шахерезада</t>
        </is>
      </c>
      <c r="E5229" s="2" t="n">
        <v>1990</v>
      </c>
      <c r="F5229" s="2" t="inlineStr">
        <is>
          <t>кинофильм</t>
        </is>
      </c>
      <c r="G5229" s="2" t="n"/>
      <c r="H5229" s="2" t="n">
        <v>307</v>
      </c>
      <c r="I5229" s="2" t="inlineStr"/>
      <c r="J5229" s="2" t="inlineStr"/>
      <c r="K5229" s="3" t="inlineStr">
        <is>
          <t>Марина познакомилась на курорте с обаятельным мужчиной, который подарил ей незабываемые два часа любви, которые оставались у него до вылета из аэропорта. Прошло время и Марина приезжает в Ленинград в гости к своему принцу, но того не оказывается дома. Скитаясь по незнакомому городу, она попадает в милицию.</t>
        </is>
      </c>
      <c r="L5229" s="2" t="inlineStr">
        <is>
          <t>Кино_СССР сводный каталог.xlsx: список фильмов (доп.)</t>
        </is>
      </c>
      <c r="M5229" s="2">
        <f>HYPERLINK("https://ru.wikipedia.org/w/index.php?search=%D0%9D%D0%BE%D0%B2%D0%B0%D1%8F%20%D0%A8%D0%B0%D1%85%D0%B5%D1%80%D0%B5%D0%B7%D0%B0%D0%B4%D0%B0%201990%20%D1%84%D0%B8%D0%BB%D1%8C%D0%BC","искать")</f>
        <v/>
      </c>
      <c r="N5229" s="3" t="n"/>
      <c r="O5229" s="2" t="n"/>
      <c r="P5229" s="2" t="n"/>
    </row>
    <row r="5230">
      <c r="A5230" s="2" t="n">
        <v>5229</v>
      </c>
      <c r="B5230" s="2" t="inlineStr"/>
      <c r="C5230" s="2" t="n">
        <v>9090</v>
      </c>
      <c r="D5230" s="3" t="inlineStr">
        <is>
          <t>Там, где горы белые…</t>
        </is>
      </c>
      <c r="E5230" s="2" t="n">
        <v>1973</v>
      </c>
      <c r="F5230" s="2" t="inlineStr">
        <is>
          <t>кинофильм</t>
        </is>
      </c>
      <c r="G5230" s="2" t="n"/>
      <c r="H5230" s="2" t="n">
        <v>307</v>
      </c>
      <c r="I5230" s="2" t="inlineStr"/>
      <c r="J5230" s="2" t="inlineStr"/>
      <c r="K5230" s="3" t="inlineStr">
        <is>
          <t>Судьба особенно не жаловала старого Мырзагали, а он не любил людей. Но свою белую верблюдицу, ариану, он берег и души в ней не чаял. А когда заболел и слег в больницу, Ариане подрезали жилки глаз, чтобы она приняла местного самца и больше не смотрела в сторону белых гор. Родив, Ариана окончательно ослепла.</t>
        </is>
      </c>
      <c r="L5230" s="2" t="inlineStr">
        <is>
          <t>Кино_СССР сводный каталог.xlsx: список фильмов (доп.)</t>
        </is>
      </c>
      <c r="M5230" s="2">
        <f>HYPERLINK("https://ru.wikipedia.org/w/index.php?search=%D0%A2%D0%B0%D0%BC%2C%20%D0%B3%D0%B4%D0%B5%20%D0%B3%D0%BE%D1%80%D1%8B%20%D0%B1%D0%B5%D0%BB%D1%8B%D0%B5%E2%80%A6%201973%20%D1%84%D0%B8%D0%BB%D1%8C%D0%BC","искать")</f>
        <v/>
      </c>
      <c r="N5230" s="3" t="n"/>
      <c r="O5230" s="2" t="n"/>
      <c r="P5230" s="2" t="n"/>
    </row>
    <row r="5231">
      <c r="A5231" s="2" t="n">
        <v>5230</v>
      </c>
      <c r="B5231" s="2" t="inlineStr"/>
      <c r="C5231" s="2" t="n">
        <v>10244</v>
      </c>
      <c r="D5231" s="3" t="inlineStr">
        <is>
          <t>Дон Кихот ведёт бой</t>
        </is>
      </c>
      <c r="E5231" s="2" t="n">
        <v>1968</v>
      </c>
      <c r="F5231" s="2" t="inlineStr">
        <is>
          <t>фильм-спектакль</t>
        </is>
      </c>
      <c r="G5231" s="2" t="inlineStr">
        <is>
          <t>Ленинградское телевидение</t>
        </is>
      </c>
      <c r="H5231" s="2" t="n">
        <v>307</v>
      </c>
      <c r="I5231" s="2" t="inlineStr"/>
      <c r="J5231" s="2" t="inlineStr"/>
      <c r="K5231" s="3" t="inlineStr">
        <is>
          <t>По пьесе В.Коростылева.
О первой русской экспедиции на Северный полюс. Полярный исследователь Егор Седой, не найдя поддержки у министров царского правительства, организует экспедицию на частные пожертвования заинтересованных лиц. На пути к полюсу, конечной цели Седого, он, обманутый поставщиками, погибает.</t>
        </is>
      </c>
      <c r="L5231" s="2" t="inlineStr">
        <is>
          <t>https://www.kino-teatr.ru/teatr/movie/108976/annot/</t>
        </is>
      </c>
      <c r="M5231" s="2">
        <f>HYPERLINK("https://ru.wikipedia.org/w/index.php?search=%D0%94%D0%BE%D0%BD%20%D0%9A%D0%B8%D1%85%D0%BE%D1%82%20%D0%B2%D0%B5%D0%B4%D1%91%D1%82%20%D0%B1%D0%BE%D0%B9%201968%20%D1%84%D0%B8%D0%BB%D1%8C%D0%BC","искать")</f>
        <v/>
      </c>
      <c r="N5231" s="3" t="n"/>
      <c r="O5231" s="2" t="n"/>
      <c r="P5231" s="2" t="n"/>
    </row>
    <row r="5232">
      <c r="A5232" s="2" t="n">
        <v>5231</v>
      </c>
      <c r="B5232" s="2" t="inlineStr"/>
      <c r="C5232" s="2" t="n">
        <v>11389</v>
      </c>
      <c r="D5232" s="3" t="inlineStr">
        <is>
          <t>Лирическое настроение</t>
        </is>
      </c>
      <c r="E5232" s="2" t="n">
        <v>1974</v>
      </c>
      <c r="F5232" s="2" t="inlineStr">
        <is>
          <t>не игровое</t>
        </is>
      </c>
      <c r="G5232" s="2" t="n"/>
      <c r="H5232" s="2" t="n">
        <v>307</v>
      </c>
      <c r="I5232" s="2" t="inlineStr"/>
      <c r="J5232" s="2" t="inlineStr"/>
      <c r="K5232" s="3" t="inlineStr">
        <is>
          <t>Фильм-концерт из песен Станислава Пожлакова в исполнении Эдиты Пьехи, Эдуарда Хиля, Валентины Беловой, Нины Косты, Герты Юхиной, Виталия Каратаева. Композитор Станислав Пожлаков снят во время прогулок по городу - на набережных Невы, у Исаакиевского собора и в студии звукозаписи во время работы с оркестром.</t>
        </is>
      </c>
      <c r="L5232" s="2" t="inlineStr">
        <is>
          <t>Кино_СССР телефильмы и пропуски включить в базу.xlsx</t>
        </is>
      </c>
      <c r="M5232" s="2">
        <f>HYPERLINK("https://ru.wikipedia.org/w/index.php?search=%D0%9B%D0%B8%D1%80%D0%B8%D1%87%D0%B5%D1%81%D0%BA%D0%BE%D0%B5%20%D0%BD%D0%B0%D1%81%D1%82%D1%80%D0%BE%D0%B5%D0%BD%D0%B8%D0%B5%201974%20%D1%84%D0%B8%D0%BB%D1%8C%D0%BC","искать")</f>
        <v/>
      </c>
      <c r="N5232" s="3" t="n"/>
      <c r="O5232" s="2" t="n"/>
      <c r="P5232" s="2" t="n"/>
    </row>
    <row r="5233">
      <c r="A5233" s="2" t="n">
        <v>5232</v>
      </c>
      <c r="B5233" s="2" t="inlineStr"/>
      <c r="C5233" s="2" t="n">
        <v>13524</v>
      </c>
      <c r="D5233" s="3" t="inlineStr">
        <is>
          <t>Бюро находок. ч.4</t>
        </is>
      </c>
      <c r="E5233" s="2" t="n">
        <v>1984</v>
      </c>
      <c r="F5233" s="2" t="inlineStr">
        <is>
          <t>мультфильм</t>
        </is>
      </c>
      <c r="G5233" s="2" t="inlineStr">
        <is>
          <t>СОЮЗТЕЛЕФИЛЬМ</t>
        </is>
      </c>
      <c r="H5233" s="2" t="n">
        <v>307</v>
      </c>
      <c r="I5233" s="2" t="inlineStr"/>
      <c r="J5233" s="2" t="inlineStr"/>
      <c r="K5233" s="3" t="inlineStr">
        <is>
          <t>Мульт четвертый
О приключениях бездомного пса Тишки, который попав в Бюро находок, становится опытным "детективом". Сорока, укравшая у пса Тишки медаль, организовала школу "сорочьих наук", в которой решила обучать первоклассников "искусству" обмана. Но Тишка и его друг попугай разыскали и наказали сороку.</t>
        </is>
      </c>
      <c r="L5233" s="2" t="inlineStr">
        <is>
          <t>2026-10_мультфильмы_список_владельца.xlsx; https://animator.ru/db/?p=show_film&amp;fid=4843</t>
        </is>
      </c>
      <c r="M5233" s="2">
        <f>HYPERLINK("https://ru.wikipedia.org/w/index.php?search=%D0%91%D1%8E%D1%80%D0%BE%20%D0%BD%D0%B0%D1%85%D0%BE%D0%B4%D0%BE%D0%BA.%20%D1%87.4%201984%20%D1%84%D0%B8%D0%BB%D1%8C%D0%BC","искать")</f>
        <v/>
      </c>
      <c r="N5233" s="3" t="n"/>
      <c r="O5233" s="2" t="n"/>
      <c r="P5233" s="2" t="n"/>
    </row>
    <row r="5234">
      <c r="A5234" s="2" t="n">
        <v>5233</v>
      </c>
      <c r="B5234" s="2" t="inlineStr"/>
      <c r="C5234" s="2" t="n">
        <v>7333</v>
      </c>
      <c r="D5234" s="3" t="inlineStr">
        <is>
          <t>Вечерницы</t>
        </is>
      </c>
      <c r="E5234" s="2" t="n">
        <v>1986</v>
      </c>
      <c r="F5234" s="2" t="inlineStr">
        <is>
          <t>телефильм</t>
        </is>
      </c>
      <c r="G5234" s="2" t="n"/>
      <c r="H5234" s="2" t="n">
        <v>308</v>
      </c>
      <c r="I5234" s="2" t="inlineStr"/>
      <c r="J5234" s="2" t="inlineStr"/>
      <c r="K5234" s="3" t="inlineStr">
        <is>
          <t>Телефильм по мотивам классических украинских водевилей. Четверо друзей отправляются в парк развлечений, где обнаруживают необычный аттракцион, работающий как машина времени и переносящий всех желающих в прошлое, в сюжеты старых водевилей... В фильме участвуют артисты Государственного академического хора им.</t>
        </is>
      </c>
      <c r="L5234" s="2" t="inlineStr">
        <is>
          <t>Кино_СССР сводный каталог.xlsx: список телефильмов</t>
        </is>
      </c>
      <c r="M5234" s="2">
        <f>HYPERLINK("https://ru.wikipedia.org/w/index.php?search=%D0%92%D0%B5%D1%87%D0%B5%D1%80%D0%BD%D0%B8%D1%86%D1%8B%201986%20%D1%84%D0%B8%D0%BB%D1%8C%D0%BC","искать")</f>
        <v/>
      </c>
      <c r="N5234" s="3" t="n"/>
      <c r="O5234" s="2" t="n"/>
      <c r="P5234" s="2" t="n"/>
    </row>
    <row r="5235">
      <c r="A5235" s="2" t="n">
        <v>5234</v>
      </c>
      <c r="B5235" s="2" t="inlineStr"/>
      <c r="C5235" s="2" t="n">
        <v>7526</v>
      </c>
      <c r="D5235" s="3" t="inlineStr">
        <is>
          <t>Документ "Р"</t>
        </is>
      </c>
      <c r="E5235" s="2" t="n">
        <v>1985</v>
      </c>
      <c r="F5235" s="2" t="inlineStr">
        <is>
          <t>телефильм</t>
        </is>
      </c>
      <c r="G5235" s="2" t="inlineStr">
        <is>
          <t>Беларусьфильм</t>
        </is>
      </c>
      <c r="H5235" s="2" t="n">
        <v>308</v>
      </c>
      <c r="I5235" s="2" t="inlineStr"/>
      <c r="J5235" s="2" t="inlineStr"/>
      <c r="K5235" s="3" t="inlineStr">
        <is>
          <t>Телевизионный фильм по одноименному роману Ирвинга Уоллеса (в переводе Ю. Зараховича). Действие происходит в канун ХХI века. Реакционные и агрессивные круги США стремятся установить в стране диктатуру, готовят убийство президента и введение в стране чрезвычайного положения. Заговор возглавляет директор ФБР.</t>
        </is>
      </c>
      <c r="L5235" s="2" t="inlineStr">
        <is>
          <t>Кино_СССР сводный каталог.xlsx: список телефильмов</t>
        </is>
      </c>
      <c r="M5235" s="2">
        <f>HYPERLINK("https://ru.wikipedia.org/w/index.php?search=%D0%94%D0%BE%D0%BA%D1%83%D0%BC%D0%B5%D0%BD%D1%82%20%22%D0%A0%22%201985%20%D1%84%D0%B8%D0%BB%D1%8C%D0%BC","искать")</f>
        <v/>
      </c>
      <c r="N5235" s="3" t="n"/>
      <c r="O5235" s="2" t="n"/>
      <c r="P5235" s="2" t="n"/>
    </row>
    <row r="5236">
      <c r="A5236" s="2" t="n">
        <v>5235</v>
      </c>
      <c r="B5236" s="2" t="inlineStr"/>
      <c r="C5236" s="2" t="n">
        <v>7751</v>
      </c>
      <c r="D5236" s="3" t="inlineStr">
        <is>
          <t>Конфликтная ситуация</t>
        </is>
      </c>
      <c r="E5236" s="2" t="n">
        <v>1981</v>
      </c>
      <c r="F5236" s="2" t="inlineStr">
        <is>
          <t>телефильм</t>
        </is>
      </c>
      <c r="G5236" s="2" t="n"/>
      <c r="H5236" s="2" t="n">
        <v>308</v>
      </c>
      <c r="I5236" s="2" t="inlineStr"/>
      <c r="J5236" s="2" t="inlineStr"/>
      <c r="K5236" s="3" t="inlineStr">
        <is>
          <t>Телефильм. Когда-то Сергей Алтынцев и Юрий Воскобойников были друзьями, вместе учились в школе, вместе окончили институт. Потом Юрий уехал на Урал, а Сергей остался в Москве. Вначале они переписывались, и Юрий подкинул Сереге одну из своих замечательных идей, которую не смог реализовать на уральском заводе.</t>
        </is>
      </c>
      <c r="L5236" s="2" t="inlineStr">
        <is>
          <t>Кино_СССР сводный каталог.xlsx: список телефильмов</t>
        </is>
      </c>
      <c r="M5236" s="2">
        <f>HYPERLINK("https://ru.wikipedia.org/w/index.php?search=%D0%9A%D0%BE%D0%BD%D1%84%D0%BB%D0%B8%D0%BA%D1%82%D0%BD%D0%B0%D1%8F%20%D1%81%D0%B8%D1%82%D1%83%D0%B0%D1%86%D0%B8%D1%8F%201981%20%D1%84%D0%B8%D0%BB%D1%8C%D0%BC","искать")</f>
        <v/>
      </c>
      <c r="N5236" s="3" t="n"/>
      <c r="O5236" s="2" t="n"/>
      <c r="P5236" s="2" t="n"/>
    </row>
    <row r="5237">
      <c r="A5237" s="2" t="n">
        <v>5236</v>
      </c>
      <c r="B5237" s="2" t="inlineStr"/>
      <c r="C5237" s="2" t="n">
        <v>7959</v>
      </c>
      <c r="D5237" s="3" t="inlineStr">
        <is>
          <t>Не было бы счастья...</t>
        </is>
      </c>
      <c r="E5237" s="2" t="n">
        <v>1983</v>
      </c>
      <c r="F5237" s="2" t="inlineStr">
        <is>
          <t>телефильм</t>
        </is>
      </c>
      <c r="G5237" s="2" t="n"/>
      <c r="H5237" s="2" t="n">
        <v>308</v>
      </c>
      <c r="I5237" s="2" t="inlineStr"/>
      <c r="J5237" s="2" t="inlineStr"/>
      <c r="K5237" s="3" t="inlineStr">
        <is>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 .</t>
        </is>
      </c>
      <c r="L5237" s="2" t="inlineStr">
        <is>
          <t>Кино_СССР сводный каталог.xlsx: список телефильмов</t>
        </is>
      </c>
      <c r="M5237" s="2">
        <f>HYPERLINK("https://ru.wikipedia.org/w/index.php?search=%D0%9D%D0%B5%20%D0%B1%D1%8B%D0%BB%D0%BE%20%D0%B1%D1%8B%20%D1%81%D1%87%D0%B0%D1%81%D1%82%D1%8C%D1%8F...%201983%20%D1%84%D0%B8%D0%BB%D1%8C%D0%BC","искать")</f>
        <v/>
      </c>
      <c r="N5237" s="3" t="n"/>
      <c r="O5237" s="2" t="n"/>
      <c r="P5237" s="2" t="n"/>
    </row>
    <row r="5238">
      <c r="A5238" s="2" t="n">
        <v>5237</v>
      </c>
      <c r="B5238" s="2" t="inlineStr"/>
      <c r="C5238" s="2" t="n">
        <v>8581</v>
      </c>
      <c r="D5238" s="3" t="inlineStr">
        <is>
          <t>Школа</t>
        </is>
      </c>
      <c r="E5238" s="2" t="n">
        <v>1980</v>
      </c>
      <c r="F5238" s="2" t="inlineStr">
        <is>
          <t>телефильм</t>
        </is>
      </c>
      <c r="G5238" s="2" t="inlineStr">
        <is>
          <t>Одесская к/с</t>
        </is>
      </c>
      <c r="H5238" s="2" t="n">
        <v>308</v>
      </c>
      <c r="I5238" s="2" t="inlineStr"/>
      <c r="J5238" s="2" t="inlineStr"/>
      <c r="K5238" s="3" t="inlineStr">
        <is>
          <t>Телесериал по мотивам одноименной повести Аркадия Гайдара. Действие фильма происходит в годы гражданской войны. Пятнадцатилетний подросток из провинции, став бойцом Красной Армии, успешно проходит начало большого пути школы мужества.. Первая серия — "Беглец" Вторая серия — "Чубук" Третья серия — "Запевала".</t>
        </is>
      </c>
      <c r="L5238" s="2" t="inlineStr">
        <is>
          <t>Кино_СССР сводный каталог.xlsx: список телефильмов</t>
        </is>
      </c>
      <c r="M5238" s="2">
        <f>HYPERLINK("https://ru.wikipedia.org/w/index.php?search=%D0%A8%D0%BA%D0%BE%D0%BB%D0%B0%201980%20%D1%84%D0%B8%D0%BB%D1%8C%D0%BC","искать")</f>
        <v/>
      </c>
      <c r="N5238" s="3" t="n"/>
      <c r="O5238" s="2" t="n"/>
      <c r="P5238" s="2" t="n"/>
    </row>
    <row r="5239">
      <c r="A5239" s="2" t="n">
        <v>5238</v>
      </c>
      <c r="B5239" s="2" t="inlineStr"/>
      <c r="C5239" s="2" t="n">
        <v>8655</v>
      </c>
      <c r="D5239" s="3" t="inlineStr">
        <is>
          <t>Взгляд змия</t>
        </is>
      </c>
      <c r="E5239" s="2" t="n">
        <v>1990</v>
      </c>
      <c r="F5239" s="2" t="inlineStr">
        <is>
          <t>кинофильм</t>
        </is>
      </c>
      <c r="G5239" s="2" t="n"/>
      <c r="H5239" s="2" t="n">
        <v>308</v>
      </c>
      <c r="I5239" s="2" t="inlineStr"/>
      <c r="J5239" s="2" t="inlineStr"/>
      <c r="K5239" s="3" t="inlineStr">
        <is>
          <t>По одноименному роману С.-Т.Кондротаса. История жизни разбойника Мейжиса, действие происходит в тридцатые годы. Осиротев в детстве, он вынужден наняться батраком к своему единственному родственнику. Несправедливое жестокое наказание хозяина за безобидную детскую провинность сыграло роковую роль в его жизни.</t>
        </is>
      </c>
      <c r="L5239" s="2" t="inlineStr">
        <is>
          <t>Кино_СССР сводный каталог.xlsx: список фильмов (доп.)</t>
        </is>
      </c>
      <c r="M5239" s="2">
        <f>HYPERLINK("https://ru.wikipedia.org/w/index.php?search=%D0%92%D0%B7%D0%B3%D0%BB%D1%8F%D0%B4%20%D0%B7%D0%BC%D0%B8%D1%8F%201990%20%D1%84%D0%B8%D0%BB%D1%8C%D0%BC","искать")</f>
        <v/>
      </c>
      <c r="N5239" s="3" t="n"/>
      <c r="O5239" s="2" t="n"/>
      <c r="P5239" s="2" t="n"/>
    </row>
    <row r="5240">
      <c r="A5240" s="2" t="n">
        <v>5239</v>
      </c>
      <c r="B5240" s="2" t="inlineStr"/>
      <c r="C5240" s="2" t="n">
        <v>9685</v>
      </c>
      <c r="D5240" s="3" t="inlineStr">
        <is>
          <t>Там, где нас нет</t>
        </is>
      </c>
      <c r="E5240" s="2" t="n">
        <v>1986</v>
      </c>
      <c r="F5240" s="2" t="inlineStr">
        <is>
          <t>кинофильм</t>
        </is>
      </c>
      <c r="G5240" s="2" t="n"/>
      <c r="H5240" s="2" t="n">
        <v>308</v>
      </c>
      <c r="I5240" s="2" t="inlineStr"/>
      <c r="J5240" s="2" t="inlineStr"/>
      <c r="K5240" s="3" t="inlineStr">
        <is>
          <t>Широкоформатный фильм. Приехав с отцом-профессором в Таллин, балерина Наташа влюбляется в руководителя рок-ансамбля Энна Лайда - и проводит с ним три дня. Уехав в Ленинград, чтобы продолжить работу над главной ролью в балете 'Ромео и Джульетта', Наташа начинает тосковать по возлюбленному и зовет его к себе.</t>
        </is>
      </c>
      <c r="L5240" s="2" t="inlineStr">
        <is>
          <t>Кино_СССР сводный каталог.xlsx: список фильмов (доп.)</t>
        </is>
      </c>
      <c r="M5240" s="2">
        <f>HYPERLINK("https://ru.wikipedia.org/w/index.php?search=%D0%A2%D0%B0%D0%BC%2C%20%D0%B3%D0%B4%D0%B5%20%D0%BD%D0%B0%D1%81%20%D0%BD%D0%B5%D1%82%201986%20%D1%84%D0%B8%D0%BB%D1%8C%D0%BC","искать")</f>
        <v/>
      </c>
      <c r="N5240" s="3" t="n"/>
      <c r="O5240" s="2" t="n"/>
      <c r="P5240" s="2" t="n"/>
    </row>
    <row r="5241">
      <c r="A5241" s="2" t="n">
        <v>5240</v>
      </c>
      <c r="B5241" s="2" t="inlineStr"/>
      <c r="C5241" s="2" t="n">
        <v>11374</v>
      </c>
      <c r="D5241" s="3" t="inlineStr">
        <is>
          <t>Испанский час</t>
        </is>
      </c>
      <c r="E5241" s="2" t="n">
        <v>1988</v>
      </c>
      <c r="F5241" s="2" t="inlineStr">
        <is>
          <t>фильм-опера/балет</t>
        </is>
      </c>
      <c r="G5241" s="2" t="inlineStr">
        <is>
          <t>Лентелефильм</t>
        </is>
      </c>
      <c r="H5241" s="2" t="n">
        <v>308</v>
      </c>
      <c r="I5241" s="2" t="inlineStr"/>
      <c r="J5241" s="2" t="inlineStr"/>
      <c r="K5241" s="3" t="inlineStr">
        <is>
          <t>Комическая опера на музыку Мориса Равеля. У Рамиро неприятность — сломались старинные дедовские часы, фамильная драгоценность. Погонщик мулов надеется на мастерство многоопытного Торквемады. Однако часовщик не может заняться клиентом: сегодня четверг — день, когда он осматривает и регулирует городские часы.</t>
        </is>
      </c>
      <c r="L5241" s="2" t="inlineStr">
        <is>
          <t>Кино_СССР телефильмы и пропуски включить в базу.xlsx</t>
        </is>
      </c>
      <c r="M5241" s="2">
        <f>HYPERLINK("https://ru.wikipedia.org/w/index.php?search=%D0%98%D1%81%D0%BF%D0%B0%D0%BD%D1%81%D0%BA%D0%B8%D0%B9%20%D1%87%D0%B0%D1%81%201988%20%D1%84%D0%B8%D0%BB%D1%8C%D0%BC","искать")</f>
        <v/>
      </c>
      <c r="N5241" s="3" t="n"/>
      <c r="O5241" s="2" t="n"/>
      <c r="P5241" s="2" t="n"/>
    </row>
    <row r="5242">
      <c r="A5242" s="2" t="n">
        <v>5241</v>
      </c>
      <c r="B5242" s="2" t="inlineStr"/>
      <c r="C5242" s="2" t="n">
        <v>12746</v>
      </c>
      <c r="D5242" s="3" t="inlineStr">
        <is>
          <t>Лентяй</t>
        </is>
      </c>
      <c r="E5242" s="2" t="n">
        <v>1975</v>
      </c>
      <c r="F5242" s="2" t="inlineStr">
        <is>
          <t>мультфильм</t>
        </is>
      </c>
      <c r="G5242" s="2" t="inlineStr">
        <is>
          <t>АРМЕНФИЛЬМ</t>
        </is>
      </c>
      <c r="H5242" s="2" t="n">
        <v>308</v>
      </c>
      <c r="I5242" s="2" t="inlineStr"/>
      <c r="J5242" s="2" t="inlineStr"/>
      <c r="K5242" s="3" t="inlineStr">
        <is>
          <t>В веселой поучительной форме рассказывается как косари вышли в поле на работу и среди них оказался ленивый крестьянин, который вместо того, чтобы работать как все, предпочитал спать, видя радужные сны. Но кончается эта история тем, что трудолюбивые косари получают дорогие награды, а лентяй остается ни с чем</t>
        </is>
      </c>
      <c r="L5242" s="2" t="inlineStr">
        <is>
          <t>https://gosfilmofond.ru/films/255624/</t>
        </is>
      </c>
      <c r="M5242" s="2">
        <f>HYPERLINK("https://ru.wikipedia.org/w/index.php?search=%D0%9B%D0%B5%D0%BD%D1%82%D1%8F%D0%B9%201975%20%D1%84%D0%B8%D0%BB%D1%8C%D0%BC","искать")</f>
        <v/>
      </c>
      <c r="N5242" s="3" t="n"/>
      <c r="O5242" s="2" t="n"/>
      <c r="P5242" s="2" t="n"/>
    </row>
    <row r="5243">
      <c r="A5243" s="2" t="n">
        <v>5242</v>
      </c>
      <c r="B5243" s="2" t="inlineStr"/>
      <c r="C5243" s="2" t="n">
        <v>7317</v>
      </c>
      <c r="D5243" s="3" t="inlineStr">
        <is>
          <t>Великий укротитель</t>
        </is>
      </c>
      <c r="E5243" s="2" t="n">
        <v>1974</v>
      </c>
      <c r="F5243" s="2" t="inlineStr">
        <is>
          <t>телефильм</t>
        </is>
      </c>
      <c r="G5243" s="2" t="inlineStr">
        <is>
          <t>Беларусьфильм</t>
        </is>
      </c>
      <c r="H5243" s="2" t="n">
        <v>309</v>
      </c>
      <c r="I5243" s="2" t="inlineStr"/>
      <c r="J5243" s="2" t="inlineStr"/>
      <c r="K5243" s="3" t="inlineStr">
        <is>
          <t>Телефильм. В одном провинциальном городке живет Савва Куликов. Он хороший экономист и у него есть одно замечательное хобби — он дрессирует животных: собаку, кошку, попугая. В один прекрасный день в его руки попала обезьянка-шимпанзе. Савва выдрессировал ее, и однажды выступил со своей новой подругой в цирке.</t>
        </is>
      </c>
      <c r="L5243" s="2" t="inlineStr">
        <is>
          <t>Кино_СССР сводный каталог.xlsx: список телефильмов</t>
        </is>
      </c>
      <c r="M5243" s="2">
        <f>HYPERLINK("https://ru.wikipedia.org/w/index.php?search=%D0%92%D0%B5%D0%BB%D0%B8%D0%BA%D0%B8%D0%B9%20%D1%83%D0%BA%D1%80%D0%BE%D1%82%D0%B8%D1%82%D0%B5%D0%BB%D1%8C%201974%20%D1%84%D0%B8%D0%BB%D1%8C%D0%BC","искать")</f>
        <v/>
      </c>
      <c r="N5243" s="3" t="n"/>
      <c r="O5243" s="2" t="n"/>
      <c r="P5243" s="2" t="n"/>
    </row>
    <row r="5244">
      <c r="A5244" s="2" t="n">
        <v>5243</v>
      </c>
      <c r="B5244" s="2" t="inlineStr"/>
      <c r="C5244" s="2" t="n">
        <v>7602</v>
      </c>
      <c r="D5244" s="3" t="inlineStr">
        <is>
          <t>Жизнь под клёном</t>
        </is>
      </c>
      <c r="E5244" s="2" t="n">
        <v>1988</v>
      </c>
      <c r="F5244" s="2" t="inlineStr">
        <is>
          <t>телефильм</t>
        </is>
      </c>
      <c r="G5244" s="2" t="n"/>
      <c r="H5244" s="2" t="n">
        <v>309</v>
      </c>
      <c r="I5244" s="2" t="inlineStr"/>
      <c r="J5244" s="2" t="inlineStr"/>
      <c r="K5244" s="3" t="inlineStr">
        <is>
          <t>Фильм снят по мотивам повести Ромуальдаса Гранаускаса. От большой деревни Будряй осталась лишь одна усадьба, в которой доживает последние дни старушка Кайрене... Бессмысленно гибнут муж и сын Кайрене, распадается семья, разваливается хозяйство. Последним ударом стало выселение жителей деревни на новое место.</t>
        </is>
      </c>
      <c r="L5244" s="2" t="inlineStr">
        <is>
          <t>Кино_СССР сводный каталог.xlsx: список телефильмов</t>
        </is>
      </c>
      <c r="M5244" s="2">
        <f>HYPERLINK("https://ru.wikipedia.org/w/index.php?search=%D0%96%D0%B8%D0%B7%D0%BD%D1%8C%20%D0%BF%D0%BE%D0%B4%20%D0%BA%D0%BB%D1%91%D0%BD%D0%BE%D0%BC%201988%20%D1%84%D0%B8%D0%BB%D1%8C%D0%BC","искать")</f>
        <v/>
      </c>
      <c r="N5244" s="3" t="n"/>
      <c r="O5244" s="2" t="n"/>
      <c r="P5244" s="2" t="n"/>
    </row>
    <row r="5245">
      <c r="A5245" s="2" t="n">
        <v>5244</v>
      </c>
      <c r="B5245" s="2" t="inlineStr"/>
      <c r="C5245" s="2" t="n">
        <v>7655</v>
      </c>
      <c r="D5245" s="3" t="inlineStr">
        <is>
          <t>Золотые литавры</t>
        </is>
      </c>
      <c r="E5245" s="2" t="n">
        <v>1971</v>
      </c>
      <c r="F5245" s="2" t="inlineStr">
        <is>
          <t>телефильм</t>
        </is>
      </c>
      <c r="G5245" s="2" t="inlineStr">
        <is>
          <t>Укртелефильм</t>
        </is>
      </c>
      <c r="H5245" s="2" t="n">
        <v>309</v>
      </c>
      <c r="I5245" s="2" t="inlineStr"/>
      <c r="J5245" s="2" t="inlineStr"/>
      <c r="K5245" s="3" t="inlineStr">
        <is>
          <t>Телефильм по мотивам новеллы О.Гончара "Подсолнухи"- лирическое повествование о селе конца 60-х- начала 70-х годов прошлого века, об его людях, их душевной красоте и трудовых буднях. В одно из живописных украинских сел приезжает скульптор, чтобы создать портрет Героя Социалистического Труда Меланьи Чобитько.</t>
        </is>
      </c>
      <c r="L5245" s="2" t="inlineStr">
        <is>
          <t>Кино_СССР сводный каталог.xlsx: список телефильмов</t>
        </is>
      </c>
      <c r="M5245" s="2">
        <f>HYPERLINK("https://ru.wikipedia.org/w/index.php?search=%D0%97%D0%BE%D0%BB%D0%BE%D1%82%D1%8B%D0%B5%20%D0%BB%D0%B8%D1%82%D0%B0%D0%B2%D1%80%D1%8B%201971%20%D1%84%D0%B8%D0%BB%D1%8C%D0%BC","искать")</f>
        <v/>
      </c>
      <c r="N5245" s="3" t="n"/>
      <c r="O5245" s="2" t="n"/>
      <c r="P5245" s="2" t="n"/>
    </row>
    <row r="5246">
      <c r="A5246" s="2" t="n">
        <v>5245</v>
      </c>
      <c r="B5246" s="2" t="inlineStr"/>
      <c r="C5246" s="2" t="n">
        <v>7676</v>
      </c>
      <c r="D5246" s="3" t="inlineStr">
        <is>
          <t>Идеальный пейзаж в пустыне</t>
        </is>
      </c>
      <c r="E5246" s="2" t="n">
        <v>1988</v>
      </c>
      <c r="F5246" s="2" t="inlineStr">
        <is>
          <t>телефильм</t>
        </is>
      </c>
      <c r="G5246" s="2" t="n"/>
      <c r="H5246" s="2" t="n">
        <v>309</v>
      </c>
      <c r="I5246" s="2" t="inlineStr"/>
      <c r="J5246" s="2" t="inlineStr"/>
      <c r="K5246" s="3" t="inlineStr">
        <is>
          <t>Молодой биолог Туран мечтает создать на чердаке своего дома оранжерею. Понимая, что реализация этой идеи требует больших затрат, он решает подработать. Туран согласился на предложение своего друга заняться "собачьим бизнесом" - вылавливать потерявшихся собак, а потом возвращать их за вознаграждение хозяевам.</t>
        </is>
      </c>
      <c r="L5246" s="2" t="inlineStr">
        <is>
          <t>Кино_СССР сводный каталог.xlsx: список телефильмов</t>
        </is>
      </c>
      <c r="M5246" s="2">
        <f>HYPERLINK("https://ru.wikipedia.org/w/index.php?search=%D0%98%D0%B4%D0%B5%D0%B0%D0%BB%D1%8C%D0%BD%D1%8B%D0%B9%20%D0%BF%D0%B5%D0%B9%D0%B7%D0%B0%D0%B6%20%D0%B2%20%D0%BF%D1%83%D1%81%D1%82%D1%8B%D0%BD%D0%B5%201988%20%D1%84%D0%B8%D0%BB%D1%8C%D0%BC","искать")</f>
        <v/>
      </c>
      <c r="N5246" s="3" t="n"/>
      <c r="O5246" s="2" t="n"/>
      <c r="P5246" s="2" t="n"/>
    </row>
    <row r="5247">
      <c r="A5247" s="2" t="n">
        <v>5246</v>
      </c>
      <c r="B5247" s="2" t="inlineStr"/>
      <c r="C5247" s="2" t="n">
        <v>7999</v>
      </c>
      <c r="D5247" s="3" t="inlineStr">
        <is>
          <t>Никто не заменит тебя</t>
        </is>
      </c>
      <c r="E5247" s="2" t="n">
        <v>1982</v>
      </c>
      <c r="F5247" s="2" t="inlineStr">
        <is>
          <t>телефильм</t>
        </is>
      </c>
      <c r="G5247" s="2" t="inlineStr">
        <is>
          <t>Свердловская к/с</t>
        </is>
      </c>
      <c r="H5247" s="2" t="n">
        <v>309</v>
      </c>
      <c r="I5247" s="2" t="inlineStr"/>
      <c r="J5247" s="2" t="inlineStr"/>
      <c r="K5247" s="3" t="inlineStr">
        <is>
          <t>Телефильм. Алексей Голенищев — скрипач в оркестре цирка. Он очень любит своего маленького сына Игоря и мечтает, что он станет известным музыкантом. Алексей отдает все свободное время занятиям музыкой с мальчиком. Но теща считает своего зятя неудачником и настраивает свою дочь против него. Супруги расстаются.</t>
        </is>
      </c>
      <c r="L5247" s="2" t="inlineStr">
        <is>
          <t>Кино_СССР сводный каталог.xlsx: список телефильмов</t>
        </is>
      </c>
      <c r="M5247" s="2">
        <f>HYPERLINK("https://ru.wikipedia.org/w/index.php?search=%D0%9D%D0%B8%D0%BA%D1%82%D0%BE%20%D0%BD%D0%B5%20%D0%B7%D0%B0%D0%BC%D0%B5%D0%BD%D0%B8%D1%82%20%D1%82%D0%B5%D0%B1%D1%8F%201982%20%D1%84%D0%B8%D0%BB%D1%8C%D0%BC","искать")</f>
        <v/>
      </c>
      <c r="N5247" s="3" t="n"/>
      <c r="O5247" s="2" t="n"/>
      <c r="P5247" s="2" t="n"/>
    </row>
    <row r="5248">
      <c r="A5248" s="2" t="n">
        <v>5247</v>
      </c>
      <c r="B5248" s="2" t="inlineStr"/>
      <c r="C5248" s="2" t="n">
        <v>8893</v>
      </c>
      <c r="D5248" s="3" t="inlineStr">
        <is>
          <t>Ожог</t>
        </is>
      </c>
      <c r="E5248" s="2" t="n">
        <v>1983</v>
      </c>
      <c r="F5248" s="2" t="inlineStr">
        <is>
          <t>кинофильм</t>
        </is>
      </c>
      <c r="G5248" s="2" t="n"/>
      <c r="H5248" s="2" t="n">
        <v>309</v>
      </c>
      <c r="I5248" s="2" t="inlineStr"/>
      <c r="J5248" s="2" t="inlineStr"/>
      <c r="K5248" s="3" t="inlineStr">
        <is>
          <t>Молодой корреспондент Олег собирается написать книгу о пожарных. Для этого он приезжает в пожарную часть, которой руководит майор Виктор Громов. Чтобы побольше узнать о людях этой мужественной и благородной профессии Олег выезжает с командой на тушения пожаров, а также знакомится с семьями офицеров-пожарных.</t>
        </is>
      </c>
      <c r="L5248" s="2" t="inlineStr">
        <is>
          <t>Кино_СССР сводный каталог.xlsx: список фильмов (доп.)</t>
        </is>
      </c>
      <c r="M5248" s="2">
        <f>HYPERLINK("https://ru.wikipedia.org/w/index.php?search=%D0%9E%D0%B6%D0%BE%D0%B3%201983%20%D1%84%D0%B8%D0%BB%D1%8C%D0%BC","искать")</f>
        <v/>
      </c>
      <c r="N5248" s="3" t="n"/>
      <c r="O5248" s="2" t="n"/>
      <c r="P5248" s="2" t="n"/>
    </row>
    <row r="5249">
      <c r="A5249" s="2" t="n">
        <v>5248</v>
      </c>
      <c r="B5249" s="2" t="inlineStr"/>
      <c r="C5249" s="2" t="n">
        <v>8976</v>
      </c>
      <c r="D5249" s="3" t="inlineStr">
        <is>
          <t>Приказ</t>
        </is>
      </c>
      <c r="E5249" s="2" t="n">
        <v>1987</v>
      </c>
      <c r="F5249" s="2" t="inlineStr">
        <is>
          <t>кинофильм</t>
        </is>
      </c>
      <c r="G5249" s="2" t="n"/>
      <c r="H5249" s="2" t="n">
        <v>309</v>
      </c>
      <c r="I5249" s="2" t="inlineStr"/>
      <c r="J5249" s="2" t="inlineStr"/>
      <c r="K5249" s="3" t="inlineStr">
        <is>
          <t>В одном из районов Заполярья идут большие воинские учения. Командующий округом приказывает установить временный радиомаяк в бухте "Крестовой". Но самолет с десантом в назначенное место долететь не может из-за непогоды, и тогда начальник связи майор Лесников посылает туда трех морских пехотинцев на вездеходе.</t>
        </is>
      </c>
      <c r="L5249" s="2" t="inlineStr">
        <is>
          <t>Кино_СССР сводный каталог.xlsx: список фильмов (доп.)</t>
        </is>
      </c>
      <c r="M5249" s="2">
        <f>HYPERLINK("https://ru.wikipedia.org/w/index.php?search=%D0%9F%D1%80%D0%B8%D0%BA%D0%B0%D0%B7%201987%20%D1%84%D0%B8%D0%BB%D1%8C%D0%BC","искать")</f>
        <v/>
      </c>
      <c r="N5249" s="3" t="n"/>
      <c r="O5249" s="2" t="n"/>
      <c r="P5249" s="2" t="n"/>
    </row>
    <row r="5250">
      <c r="A5250" s="2" t="n">
        <v>5249</v>
      </c>
      <c r="B5250" s="2" t="inlineStr"/>
      <c r="C5250" s="2" t="n">
        <v>9128</v>
      </c>
      <c r="D5250" s="3" t="inlineStr">
        <is>
          <t>Ултуган</t>
        </is>
      </c>
      <c r="E5250" s="2" t="n">
        <v>1990</v>
      </c>
      <c r="F5250" s="2" t="inlineStr">
        <is>
          <t>кинофильм</t>
        </is>
      </c>
      <c r="G5250" s="2" t="n"/>
      <c r="H5250" s="2" t="n">
        <v>309</v>
      </c>
      <c r="I5250" s="2" t="inlineStr"/>
      <c r="J5250" s="2" t="inlineStr"/>
      <c r="K5250" s="3" t="inlineStr">
        <is>
          <t>Однообразна и убога жизнь поселка, от которого давно ушло море: остовы ржавеющих рыболовецких траулеров, постепенно спивающееся мужское население.. Ежедневное одиночество и безысходность приводят Ултуган к мысли покончить с жизнью. Внезапно возникшее чувство к бывшему капитану согревает озябшую душу женщины.</t>
        </is>
      </c>
      <c r="L5250" s="2" t="inlineStr">
        <is>
          <t>Кино_СССР сводный каталог.xlsx: список фильмов (доп.)</t>
        </is>
      </c>
      <c r="M5250" s="2">
        <f>HYPERLINK("https://ru.wikipedia.org/w/index.php?search=%D0%A3%D0%BB%D1%82%D1%83%D0%B3%D0%B0%D0%BD%201990%20%D1%84%D0%B8%D0%BB%D1%8C%D0%BC","искать")</f>
        <v/>
      </c>
      <c r="N5250" s="3" t="n"/>
      <c r="O5250" s="2" t="n"/>
      <c r="P5250" s="2" t="n"/>
    </row>
    <row r="5251">
      <c r="A5251" s="2" t="n">
        <v>5250</v>
      </c>
      <c r="B5251" s="2" t="inlineStr"/>
      <c r="C5251" s="2" t="n">
        <v>9402</v>
      </c>
      <c r="D5251" s="3" t="inlineStr">
        <is>
          <t>Июнь, начало лета</t>
        </is>
      </c>
      <c r="E5251" s="2" t="n">
        <v>1969</v>
      </c>
      <c r="F5251" s="2" t="inlineStr">
        <is>
          <t>кинофильм</t>
        </is>
      </c>
      <c r="G5251" s="2" t="n"/>
      <c r="H5251" s="2" t="n">
        <v>309</v>
      </c>
      <c r="I5251" s="2" t="inlineStr"/>
      <c r="J5251" s="2" t="inlineStr"/>
      <c r="K5251" s="3" t="inlineStr">
        <is>
          <t>Современный фильм, действие которого происходит в маленьком городке, где жизнь на виду и все друг друга знают до мелочей. Это рассказ о судьбах нескольких обитателей - инженера, ксендза, врача, школьницы... Инженеру, например, предстоит построить новое промышленное предприятие на месте, давно обжитом людьми.</t>
        </is>
      </c>
      <c r="L5251" s="2" t="inlineStr">
        <is>
          <t>Кино_СССР сводный каталог.xlsx: список фильмов (доп.)</t>
        </is>
      </c>
      <c r="M5251" s="2">
        <f>HYPERLINK("https://ru.wikipedia.org/w/index.php?search=%D0%98%D1%8E%D0%BD%D1%8C%2C%20%D0%BD%D0%B0%D1%87%D0%B0%D0%BB%D0%BE%20%D0%BB%D0%B5%D1%82%D0%B0%201969%20%D1%84%D0%B8%D0%BB%D1%8C%D0%BC","искать")</f>
        <v/>
      </c>
      <c r="N5251" s="3" t="n"/>
      <c r="O5251" s="2" t="n"/>
      <c r="P5251" s="2" t="n"/>
    </row>
    <row r="5252">
      <c r="A5252" s="2" t="n">
        <v>5251</v>
      </c>
      <c r="B5252" s="2" t="inlineStr"/>
      <c r="C5252" s="2" t="n">
        <v>9977</v>
      </c>
      <c r="D5252" s="3" t="inlineStr">
        <is>
          <t>Твой брат Валентин</t>
        </is>
      </c>
      <c r="E5252" s="2" t="n">
        <v>1981</v>
      </c>
      <c r="F5252" s="2" t="inlineStr">
        <is>
          <t>телефильм</t>
        </is>
      </c>
      <c r="G5252" s="2" t="inlineStr">
        <is>
          <t>ТО Экран</t>
        </is>
      </c>
      <c r="H5252" s="2" t="n">
        <v>309</v>
      </c>
      <c r="I5252" s="2" t="inlineStr"/>
      <c r="J5252" s="2" t="inlineStr"/>
      <c r="K5252" s="3" t="inlineStr">
        <is>
          <t>Фильм снят по мотивам рассказа К.Ваншенкина "Там, где Семеновский полк".
В основе сюжета - последний день жизни профессора Суханова. Читая лекцию студентам, он цитирует стихи Пушкина, Дельвига, мысли и настроение которых возвращают его к воспоминаниям о жизни и погибшем в годы войны брате-близнеце Валентине.</t>
        </is>
      </c>
      <c r="L5252" s="2" t="inlineStr">
        <is>
          <t>https://www.kino-teatr.ru/short/movie/sov/7082/annot/</t>
        </is>
      </c>
      <c r="M5252" s="2">
        <f>HYPERLINK("https://ru.wikipedia.org/w/index.php?search=%D0%A2%D0%B2%D0%BE%D0%B9%20%D0%B1%D1%80%D0%B0%D1%82%20%D0%92%D0%B0%D0%BB%D0%B5%D0%BD%D1%82%D0%B8%D0%BD%201981%20%D1%84%D0%B8%D0%BB%D1%8C%D0%BC","искать")</f>
        <v/>
      </c>
      <c r="N5252" s="3" t="n"/>
      <c r="O5252" s="2" t="n"/>
      <c r="P5252" s="2" t="n"/>
    </row>
    <row r="5253">
      <c r="A5253" s="2" t="n">
        <v>5252</v>
      </c>
      <c r="B5253" s="2" t="inlineStr"/>
      <c r="C5253" s="2" t="n">
        <v>11155</v>
      </c>
      <c r="D5253" s="3" t="inlineStr">
        <is>
          <t>И снова Крижевский</t>
        </is>
      </c>
      <c r="E5253" s="2" t="n">
        <v>1987</v>
      </c>
      <c r="F5253" s="2" t="inlineStr">
        <is>
          <t>фильм-спектакль</t>
        </is>
      </c>
      <c r="G5253" s="2" t="inlineStr">
        <is>
          <t>Главная редакция литературно-драматических программ ЦТ</t>
        </is>
      </c>
      <c r="H5253" s="2" t="n">
        <v>309</v>
      </c>
      <c r="I5253" s="2" t="inlineStr"/>
      <c r="J5253" s="2" t="inlineStr"/>
      <c r="K5253" s="3" t="inlineStr">
        <is>
          <t>Из цикла "Какие мы?".
Директор завода, секретарь комсомольской организации и учительница собрались, чтобы обсудить проступок токаря Крижевского. Придя на завод сразу после окончания школы, молодой человек прогулял несколько дней и, выполняя важный заказ, допустил брак. Но только ли Крижевский в этом виноват?</t>
        </is>
      </c>
      <c r="L5253" s="2" t="inlineStr">
        <is>
          <t>https://www.kino-teatr.ru/teatr/movie/15453/annot/</t>
        </is>
      </c>
      <c r="M5253" s="2">
        <f>HYPERLINK("https://ru.wikipedia.org/w/index.php?search=%D0%98%20%D1%81%D0%BD%D0%BE%D0%B2%D0%B0%20%D0%9A%D1%80%D0%B8%D0%B6%D0%B5%D0%B2%D1%81%D0%BA%D0%B8%D0%B9%201987%20%D1%84%D0%B8%D0%BB%D1%8C%D0%BC","искать")</f>
        <v/>
      </c>
      <c r="N5253" s="3" t="n"/>
      <c r="O5253" s="2" t="n"/>
      <c r="P5253" s="2" t="n"/>
    </row>
    <row r="5254">
      <c r="A5254" s="2" t="n">
        <v>5253</v>
      </c>
      <c r="B5254" s="2" t="inlineStr"/>
      <c r="C5254" s="2" t="n">
        <v>11364</v>
      </c>
      <c r="D5254" s="3" t="inlineStr">
        <is>
          <t>Вот снова этот двор</t>
        </is>
      </c>
      <c r="E5254" s="2" t="n">
        <v>1986</v>
      </c>
      <c r="F5254" s="2" t="inlineStr">
        <is>
          <t>не игровое</t>
        </is>
      </c>
      <c r="G5254" s="2" t="inlineStr">
        <is>
          <t>Лентелефильм</t>
        </is>
      </c>
      <c r="H5254" s="2" t="n">
        <v>309</v>
      </c>
      <c r="I5254" s="2" t="inlineStr"/>
      <c r="J5254" s="2" t="inlineStr"/>
      <c r="K5254" s="3" t="inlineStr">
        <is>
          <t>Фильм-концерт. По Невскому проспекту, по набережным и улицам города, заглядывая в старые дворы, ходит пожилой человек. Он вспоминает свою юность, глядя на молодежь, танцующую прямо на улицах. Он садится в трамвай и словно едет в свое прошлое по Ленинграду. В его «прогулках» принимают участие артисты эстрады.</t>
        </is>
      </c>
      <c r="L5254" s="2" t="inlineStr">
        <is>
          <t>Кино_СССР телефильмы и пропуски включить в базу.xlsx</t>
        </is>
      </c>
      <c r="M5254" s="2">
        <f>HYPERLINK("https://ru.wikipedia.org/w/index.php?search=%D0%92%D0%BE%D1%82%20%D1%81%D0%BD%D0%BE%D0%B2%D0%B0%20%D1%8D%D1%82%D0%BE%D1%82%20%D0%B4%D0%B2%D0%BE%D1%80%201986%20%D1%84%D0%B8%D0%BB%D1%8C%D0%BC","искать")</f>
        <v/>
      </c>
      <c r="N5254" s="3" t="n"/>
      <c r="O5254" s="2" t="n"/>
      <c r="P5254" s="2" t="n"/>
    </row>
    <row r="5255">
      <c r="A5255" s="2" t="n">
        <v>5254</v>
      </c>
      <c r="B5255" s="2" t="inlineStr"/>
      <c r="C5255" s="2" t="n">
        <v>11517</v>
      </c>
      <c r="D5255" s="3" t="inlineStr">
        <is>
          <t>Крокодил Гена</t>
        </is>
      </c>
      <c r="E5255" s="2" t="n">
        <v>1969</v>
      </c>
      <c r="F5255" s="2" t="inlineStr">
        <is>
          <t>мультфильм</t>
        </is>
      </c>
      <c r="G5255" s="2" t="inlineStr">
        <is>
          <t>Союзмультфильм</t>
        </is>
      </c>
      <c r="H5255" s="2" t="n">
        <v>309</v>
      </c>
      <c r="I5255" s="2" t="inlineStr"/>
      <c r="J5255" s="2" t="inlineStr"/>
      <c r="K5255" s="3" t="inlineStr">
        <is>
          <t>Добрый крокодил днем служил в зоопарке ... крокодилом, а по вечерам очень скучал в одиночестве. И наконец дал объявление о том, что ищет друзей. По этому объявлению пришла к нему девочка с собачкой и Чебурашка - существо неизвестной породы, но очень обаятельное и доброе. И началась у них совсем другая жизнь.</t>
        </is>
      </c>
      <c r="L5255" s="2" t="inlineStr">
        <is>
          <t>https://animator.ru/db/?p=show_film&amp;fid=2288</t>
        </is>
      </c>
      <c r="M5255" s="2">
        <f>HYPERLINK("https://ru.wikipedia.org/w/index.php?search=%D0%9A%D1%80%D0%BE%D0%BA%D0%BE%D0%B4%D0%B8%D0%BB%20%D0%93%D0%B5%D0%BD%D0%B0%201969%20%D1%84%D0%B8%D0%BB%D1%8C%D0%BC","искать")</f>
        <v/>
      </c>
      <c r="N5255" s="3" t="n"/>
      <c r="O5255" s="2" t="n"/>
      <c r="P5255" s="2" t="n"/>
    </row>
    <row r="5256">
      <c r="A5256" s="2" t="n">
        <v>5255</v>
      </c>
      <c r="B5256" s="2" t="inlineStr"/>
      <c r="C5256" s="2" t="n">
        <v>12737</v>
      </c>
      <c r="D5256" s="3" t="inlineStr">
        <is>
          <t>И эхом отзовется</t>
        </is>
      </c>
      <c r="E5256" s="2" t="n">
        <v>1987</v>
      </c>
      <c r="F5256" s="2" t="inlineStr">
        <is>
          <t>мультфильм</t>
        </is>
      </c>
      <c r="G5256" s="2" t="inlineStr">
        <is>
          <t>АЗЕРБАЙДЖАНФИЛЬМ</t>
        </is>
      </c>
      <c r="H5256" s="2" t="n">
        <v>309</v>
      </c>
      <c r="I5256" s="2" t="inlineStr"/>
      <c r="J5256" s="2" t="inlineStr"/>
      <c r="K5256" s="3" t="inlineStr">
        <is>
          <t>По мотивам Рассказа Г.Тищенко "Наследие". XXI век. Во время извержения подводного вулкана происходит разгерметизация бактериологического оружия на одном из затонувших кораблей. На Землю обрушивается страшная эпидемия. Ценой неимоверных усилий и жертв удается очистить мировой окуан и спасти земную цивилизацию</t>
        </is>
      </c>
      <c r="L5256" s="2" t="inlineStr">
        <is>
          <t>https://gosfilmofond.ru/films/250579/</t>
        </is>
      </c>
      <c r="M5256" s="2">
        <f>HYPERLINK("https://ru.wikipedia.org/w/index.php?search=%D0%98%20%D1%8D%D1%85%D0%BE%D0%BC%20%D0%BE%D1%82%D0%B7%D0%BE%D0%B2%D0%B5%D1%82%D1%81%D1%8F%201987%20%D1%84%D0%B8%D0%BB%D1%8C%D0%BC","искать")</f>
        <v/>
      </c>
      <c r="N5256" s="3" t="n"/>
      <c r="O5256" s="2" t="n"/>
      <c r="P5256" s="2" t="n"/>
    </row>
    <row r="5257">
      <c r="A5257" s="2" t="n">
        <v>5256</v>
      </c>
      <c r="B5257" s="2" t="inlineStr"/>
      <c r="C5257" s="2" t="n">
        <v>7358</v>
      </c>
      <c r="D5257" s="3" t="inlineStr">
        <is>
          <t>Возраст тревог</t>
        </is>
      </c>
      <c r="E5257" s="2" t="n">
        <v>1972</v>
      </c>
      <c r="F5257" s="2" t="inlineStr">
        <is>
          <t>телефильм</t>
        </is>
      </c>
      <c r="G5257" s="2" t="n"/>
      <c r="H5257" s="2" t="n">
        <v>310</v>
      </c>
      <c r="I5257" s="2" t="inlineStr"/>
      <c r="J5257" s="2" t="inlineStr"/>
      <c r="K5257" s="3" t="inlineStr">
        <is>
          <t>У девятиклассника Анвара, казалось бы, все благополучно и в семье, и в школе. Но не находил мальчик общего языка с отцом, и этим воспользовался нечистый на руку человек. Анвар, вовлеченный в вымогательство, не смог примирить свою совесть с грязным делом. Только трагическая гибель мальчика выявила преступника.</t>
        </is>
      </c>
      <c r="L5257" s="2" t="inlineStr">
        <is>
          <t>Кино_СССР сводный каталог.xlsx: список телефильмов</t>
        </is>
      </c>
      <c r="M5257" s="2">
        <f>HYPERLINK("https://ru.wikipedia.org/w/index.php?search=%D0%92%D0%BE%D0%B7%D1%80%D0%B0%D1%81%D1%82%20%D1%82%D1%80%D0%B5%D0%B2%D0%BE%D0%B3%201972%20%D1%84%D0%B8%D0%BB%D1%8C%D0%BC","искать")</f>
        <v/>
      </c>
      <c r="N5257" s="3" t="n"/>
      <c r="O5257" s="2" t="n"/>
      <c r="P5257" s="2" t="n"/>
    </row>
    <row r="5258">
      <c r="A5258" s="2" t="n">
        <v>5257</v>
      </c>
      <c r="B5258" s="2" t="inlineStr"/>
      <c r="C5258" s="2" t="n">
        <v>7514</v>
      </c>
      <c r="D5258" s="3" t="inlineStr">
        <is>
          <t>Дикий пляж</t>
        </is>
      </c>
      <c r="E5258" s="2" t="n">
        <v>1990</v>
      </c>
      <c r="F5258" s="2" t="inlineStr">
        <is>
          <t>телефильм</t>
        </is>
      </c>
      <c r="G5258" s="2" t="n"/>
      <c r="H5258" s="2" t="n">
        <v>310</v>
      </c>
      <c r="I5258" s="2" t="inlineStr"/>
      <c r="J5258" s="2" t="inlineStr"/>
      <c r="K5258" s="3" t="inlineStr">
        <is>
          <t>На пустынном пляже южного городка собирается компания мужчин.Один из них, Володя привел свою подругу Лену.Все постепенно напиваются и насилуют девушку.Пытаясь отомстить, Лена сталкивает мужчин между собой и они начинают драться.Володя, страдая, что не смог выручить из беды подругу, кончает жизнь самоубийством</t>
        </is>
      </c>
      <c r="L5258" s="2" t="inlineStr">
        <is>
          <t>https://gosfilmofond.ru/films/249583/</t>
        </is>
      </c>
      <c r="M5258" s="2">
        <f>HYPERLINK("https://ru.wikipedia.org/w/index.php?search=%D0%94%D0%B8%D0%BA%D0%B8%D0%B9%20%D0%BF%D0%BB%D1%8F%D0%B6%201990%20%D1%84%D0%B8%D0%BB%D1%8C%D0%BC","искать")</f>
        <v/>
      </c>
      <c r="N5258" s="3" t="n"/>
      <c r="O5258" s="2" t="n"/>
      <c r="P5258" s="2" t="n"/>
    </row>
    <row r="5259">
      <c r="A5259" s="2" t="n">
        <v>5258</v>
      </c>
      <c r="B5259" s="2" t="inlineStr"/>
      <c r="C5259" s="2" t="n">
        <v>7516</v>
      </c>
      <c r="D5259" s="3" t="inlineStr">
        <is>
          <t>Дневник, письмо и первоклассница</t>
        </is>
      </c>
      <c r="E5259" s="2" t="n">
        <v>1984</v>
      </c>
      <c r="F5259" s="2" t="inlineStr">
        <is>
          <t>телефильм</t>
        </is>
      </c>
      <c r="G5259" s="2" t="n"/>
      <c r="H5259" s="2" t="n">
        <v>310</v>
      </c>
      <c r="I5259" s="2" t="inlineStr"/>
      <c r="J5259" s="2" t="inlineStr"/>
      <c r="K5259" s="3" t="inlineStr">
        <is>
          <t>Телефильм по мотивам одноименного рассказа Латифа Махмудова. Пятиклассники Улугбег и Мирвали успехами в учебе не отличались. И когда учитель попросил Улугбека передать письмо его отцу, мальчик счел за лучшее это поручение не выполнять. Он же помог первокласснице Умиде исправить в дневнике единицу на четверку.</t>
        </is>
      </c>
      <c r="L5259" s="2" t="inlineStr">
        <is>
          <t>Кино_СССР сводный каталог.xlsx: список телефильмов</t>
        </is>
      </c>
      <c r="M5259" s="2">
        <f>HYPERLINK("https://ru.wikipedia.org/w/index.php?search=%D0%94%D0%BD%D0%B5%D0%B2%D0%BD%D0%B8%D0%BA%2C%20%D0%BF%D0%B8%D1%81%D1%8C%D0%BC%D0%BE%20%D0%B8%20%D0%BF%D0%B5%D1%80%D0%B2%D0%BE%D0%BA%D0%BB%D0%B0%D1%81%D1%81%D0%BD%D0%B8%D1%86%D0%B0%201984%20%D1%84%D0%B8%D0%BB%D1%8C%D0%BC","искать")</f>
        <v/>
      </c>
      <c r="N5259" s="3" t="n"/>
      <c r="O5259" s="2" t="n"/>
      <c r="P5259" s="2" t="n"/>
    </row>
    <row r="5260">
      <c r="A5260" s="2" t="n">
        <v>5259</v>
      </c>
      <c r="B5260" s="2" t="inlineStr"/>
      <c r="C5260" s="2" t="n">
        <v>7586</v>
      </c>
      <c r="D5260" s="3" t="inlineStr">
        <is>
          <t>Железный дождь</t>
        </is>
      </c>
      <c r="E5260" s="2" t="n">
        <v>1987</v>
      </c>
      <c r="F5260" s="2" t="inlineStr">
        <is>
          <t>телефильм</t>
        </is>
      </c>
      <c r="G5260" s="2" t="n"/>
      <c r="H5260" s="2" t="n">
        <v>310</v>
      </c>
      <c r="I5260" s="2" t="inlineStr"/>
      <c r="J5260" s="2" t="inlineStr"/>
      <c r="K5260" s="3" t="inlineStr">
        <is>
          <t>По мотивам произведений В.Курочкина. По нашей земле идет фашистская техника, фашистские солдаты. В яме на земле у подножия склона сидит старик. Вот также он сидел и тогда, и фашисты хотели убить его, да автомат заел. Махнул фашист рукой и оставил его жить. Его воспоминания прерваны приездом женщины и мужчины.</t>
        </is>
      </c>
      <c r="L5260" s="2" t="inlineStr">
        <is>
          <t>Кино_СССР сводный каталог.xlsx: список телефильмов</t>
        </is>
      </c>
      <c r="M5260" s="2">
        <f>HYPERLINK("https://ru.wikipedia.org/w/index.php?search=%D0%96%D0%B5%D0%BB%D0%B5%D0%B7%D0%BD%D1%8B%D0%B9%20%D0%B4%D0%BE%D0%B6%D0%B4%D1%8C%201987%20%D1%84%D0%B8%D0%BB%D1%8C%D0%BC","искать")</f>
        <v/>
      </c>
      <c r="N5260" s="3" t="n"/>
      <c r="O5260" s="2" t="n"/>
      <c r="P5260" s="2" t="n"/>
    </row>
    <row r="5261">
      <c r="A5261" s="2" t="n">
        <v>5260</v>
      </c>
      <c r="B5261" s="2" t="inlineStr"/>
      <c r="C5261" s="2" t="n">
        <v>7595</v>
      </c>
      <c r="D5261" s="3" t="inlineStr">
        <is>
          <t>Живи и помни</t>
        </is>
      </c>
      <c r="E5261" s="2" t="n">
        <v>1978</v>
      </c>
      <c r="F5261" s="2" t="inlineStr">
        <is>
          <t>телефильм</t>
        </is>
      </c>
      <c r="G5261" s="2" t="n"/>
      <c r="H5261" s="2" t="n">
        <v>310</v>
      </c>
      <c r="I5261" s="2" t="inlineStr"/>
      <c r="J5261" s="2" t="inlineStr"/>
      <c r="K5261" s="3" t="inlineStr">
        <is>
          <t>По одноименной повести Валентина Распутина. Зима 1945 года. Деревня Атамановка на берегу Ангары. Тридцать дворов. И вот в один из этих дворов приходит горе - дезертирует с войны муж Настены Андрей Гуськов. Его судьба - это своеобразный тупик. Обратной дороги нет. Гуськов укрывается в зимовье на берегу Ангары.</t>
        </is>
      </c>
      <c r="L5261" s="2" t="inlineStr">
        <is>
          <t>Кино_СССР сводный каталог.xlsx: список телефильмов</t>
        </is>
      </c>
      <c r="M5261" s="2">
        <f>HYPERLINK("https://ru.wikipedia.org/w/index.php?search=%D0%96%D0%B8%D0%B2%D0%B8%20%D0%B8%20%D0%BF%D0%BE%D0%BC%D0%BD%D0%B8%201978%20%D1%84%D0%B8%D0%BB%D1%8C%D0%BC","искать")</f>
        <v/>
      </c>
      <c r="N5261" s="3" t="n"/>
      <c r="O5261" s="2" t="n"/>
      <c r="P5261" s="2" t="n"/>
    </row>
    <row r="5262">
      <c r="A5262" s="2" t="n">
        <v>5261</v>
      </c>
      <c r="B5262" s="2" t="inlineStr"/>
      <c r="C5262" s="2" t="n">
        <v>7614</v>
      </c>
      <c r="D5262" s="3" t="inlineStr">
        <is>
          <t>За пределами боли</t>
        </is>
      </c>
      <c r="E5262" s="2" t="n">
        <v>1989</v>
      </c>
      <c r="F5262" s="2" t="inlineStr">
        <is>
          <t>телефильм</t>
        </is>
      </c>
      <c r="G5262" s="2" t="n"/>
      <c r="H5262" s="2" t="n">
        <v>310</v>
      </c>
      <c r="I5262" s="2" t="inlineStr"/>
      <c r="J5262" s="2" t="inlineStr"/>
      <c r="K5262" s="3" t="inlineStr">
        <is>
          <t>По мотивам повести Осипа Турянского. Действие происходит в годы Первой мировой войны. Небольшая группа людей - остатки побежденной в боях армии - заблудилась в горах. Мороз, снег, голод и смерть - вот что их поджидает. Семеро из них, представители разных национальностей, пытаются найти выход из этой ситуации.</t>
        </is>
      </c>
      <c r="L5262" s="2" t="inlineStr">
        <is>
          <t>Кино_СССР сводный каталог.xlsx: список телефильмов</t>
        </is>
      </c>
      <c r="M5262" s="2">
        <f>HYPERLINK("https://ru.wikipedia.org/w/index.php?search=%D0%97%D0%B0%20%D0%BF%D1%80%D0%B5%D0%B4%D0%B5%D0%BB%D0%B0%D0%BC%D0%B8%20%D0%B1%D0%BE%D0%BB%D0%B8%201989%20%D1%84%D0%B8%D0%BB%D1%8C%D0%BC","искать")</f>
        <v/>
      </c>
      <c r="N5262" s="3" t="n"/>
      <c r="O5262" s="2" t="n"/>
      <c r="P5262" s="2" t="n"/>
    </row>
    <row r="5263">
      <c r="A5263" s="2" t="n">
        <v>5262</v>
      </c>
      <c r="B5263" s="2" t="inlineStr"/>
      <c r="C5263" s="2" t="n">
        <v>8482</v>
      </c>
      <c r="D5263" s="3" t="inlineStr">
        <is>
          <t>Трое в лодке, не считая собаки</t>
        </is>
      </c>
      <c r="E5263" s="2" t="n">
        <v>1979</v>
      </c>
      <c r="F5263" s="2" t="inlineStr">
        <is>
          <t>телефильм</t>
        </is>
      </c>
      <c r="G5263" s="2" t="inlineStr">
        <is>
          <t>Ленфильм</t>
        </is>
      </c>
      <c r="H5263" s="2" t="n">
        <v>310</v>
      </c>
      <c r="I5263" s="2" t="inlineStr"/>
      <c r="J5263" s="2" t="inlineStr"/>
      <c r="K5263" s="3" t="inlineStr">
        <is>
          <t>Телефильм по мотивам одноименной всемирно известной остроумнейшей повести английского писателя Джерома К. Джерома. Путешествие трёх друзей с фокстерьером Монмаранси, оказавшееся незабываемым для героев фильма, наверняка запомнится и вам - столько в этой истории неожиданных поворотов, юмора, актерского блеска.</t>
        </is>
      </c>
      <c r="L5263" s="2" t="inlineStr">
        <is>
          <t>Кино_СССР сводный каталог.xlsx: список телефильмов</t>
        </is>
      </c>
      <c r="M5263" s="2">
        <f>HYPERLINK("https://ru.wikipedia.org/w/index.php?search=%D0%A2%D1%80%D0%BE%D0%B5%20%D0%B2%20%D0%BB%D0%BE%D0%B4%D0%BA%D0%B5%2C%20%D0%BD%D0%B5%20%D1%81%D1%87%D0%B8%D1%82%D0%B0%D1%8F%20%D1%81%D0%BE%D0%B1%D0%B0%D0%BA%D0%B8%201979%20%D1%84%D0%B8%D0%BB%D1%8C%D0%BC","искать")</f>
        <v/>
      </c>
      <c r="N5263" s="3" t="n"/>
      <c r="O5263" s="2" t="n"/>
      <c r="P5263" s="2" t="n"/>
    </row>
    <row r="5264">
      <c r="A5264" s="2" t="n">
        <v>5263</v>
      </c>
      <c r="B5264" s="2" t="inlineStr"/>
      <c r="C5264" s="2" t="n">
        <v>8785</v>
      </c>
      <c r="D5264" s="3" t="inlineStr">
        <is>
          <t>Кто нанимает, тот и платит</t>
        </is>
      </c>
      <c r="E5264" s="2" t="n">
        <v>1989</v>
      </c>
      <c r="F5264" s="2" t="inlineStr">
        <is>
          <t>кинофильм</t>
        </is>
      </c>
      <c r="G5264" s="2" t="n"/>
      <c r="H5264" s="2" t="n">
        <v>310</v>
      </c>
      <c r="I5264" s="2" t="inlineStr"/>
      <c r="J5264" s="2" t="inlineStr"/>
      <c r="K5264" s="3" t="inlineStr">
        <is>
          <t>В самый разгар деревенской свадьбы, в три часа ночи музыканты заявляют жениху, что прекращают играть, так как их время истекло. Жених уговаривает музыкантов продолжить за 100 рублей в час. Утром музыканты уезжают домой на своей машине, а жених, чтобы покрыть денежные траты везет в грузовике свиней на ярмарку.</t>
        </is>
      </c>
      <c r="L5264" s="2" t="inlineStr">
        <is>
          <t>Кино_СССР сводный каталог.xlsx: список фильмов (доп.)</t>
        </is>
      </c>
      <c r="M5264" s="2">
        <f>HYPERLINK("https://ru.wikipedia.org/w/index.php?search=%D0%9A%D1%82%D0%BE%20%D0%BD%D0%B0%D0%BD%D0%B8%D0%BC%D0%B0%D0%B5%D1%82%2C%20%D1%82%D0%BE%D1%82%20%D0%B8%20%D0%BF%D0%BB%D0%B0%D1%82%D0%B8%D1%82%201989%20%D1%84%D0%B8%D0%BB%D1%8C%D0%BC","искать")</f>
        <v/>
      </c>
      <c r="N5264" s="3" t="n"/>
      <c r="O5264" s="2" t="n"/>
      <c r="P5264" s="2" t="n"/>
    </row>
    <row r="5265">
      <c r="A5265" s="2" t="n">
        <v>5264</v>
      </c>
      <c r="B5265" s="2" t="inlineStr"/>
      <c r="C5265" s="2" t="n">
        <v>9051</v>
      </c>
      <c r="D5265" s="3" t="inlineStr">
        <is>
          <t>Снайпер</t>
        </is>
      </c>
      <c r="E5265" s="2" t="n">
        <v>1991</v>
      </c>
      <c r="F5265" s="2" t="inlineStr">
        <is>
          <t>кинофильм</t>
        </is>
      </c>
      <c r="G5265" s="2" t="n"/>
      <c r="H5265" s="2" t="n">
        <v>310</v>
      </c>
      <c r="I5265" s="2" t="inlineStr"/>
      <c r="J5265" s="2" t="inlineStr"/>
      <c r="K5265" s="3" t="inlineStr">
        <is>
          <t>Позади у американца Джея Бенсона вьетнамская война, на которой он был отличным снайпером. Вернувшись домой и женившись на очаровательной Люси, герой открывает школу по стрельбе. Для полного счастья ему не хватает только денег. Первое предложение богатого клиента сулит хороший заработок - и Джей принимает его.</t>
        </is>
      </c>
      <c r="L5265" s="2" t="inlineStr">
        <is>
          <t>Кино_СССР сводный каталог.xlsx: список фильмов (доп.)</t>
        </is>
      </c>
      <c r="M5265" s="2">
        <f>HYPERLINK("https://ru.wikipedia.org/w/index.php?search=%D0%A1%D0%BD%D0%B0%D0%B9%D0%BF%D0%B5%D1%80%201991%20%D1%84%D0%B8%D0%BB%D1%8C%D0%BC","искать")</f>
        <v/>
      </c>
      <c r="N5265" s="3" t="n"/>
      <c r="O5265" s="2" t="n"/>
      <c r="P5265" s="2" t="n"/>
    </row>
    <row r="5266">
      <c r="A5266" s="2" t="n">
        <v>5265</v>
      </c>
      <c r="B5266" s="2" t="inlineStr"/>
      <c r="C5266" s="2" t="n">
        <v>9163</v>
      </c>
      <c r="D5266" s="3" t="inlineStr">
        <is>
          <t>Чтобы быть счастливым!</t>
        </is>
      </c>
      <c r="E5266" s="2" t="n">
        <v>1973</v>
      </c>
      <c r="F5266" s="2" t="inlineStr">
        <is>
          <t>кинофильм</t>
        </is>
      </c>
      <c r="G5266" s="2" t="n"/>
      <c r="H5266" s="2" t="n">
        <v>310</v>
      </c>
      <c r="I5266" s="2" t="inlineStr"/>
      <c r="J5266" s="2" t="inlineStr"/>
      <c r="K5266" s="3" t="inlineStr">
        <is>
          <t>Человек идет босиком по дороге под дождем. Один из проезжавших шоферов пожалел его и довез до города. На остановке автобуса он толкнул девушку, та упала. В тот момент, когда он помогал ей дойти до скамейки, приехала его подружка. Увидев его с другой, она села в автобус и уехала. Парень представляется девушке.</t>
        </is>
      </c>
      <c r="L5266" s="2" t="inlineStr">
        <is>
          <t>Кино_СССР сводный каталог.xlsx: список фильмов (доп.)</t>
        </is>
      </c>
      <c r="M5266" s="2">
        <f>HYPERLINK("https://ru.wikipedia.org/w/index.php?search=%D0%A7%D1%82%D0%BE%D0%B1%D1%8B%20%D0%B1%D1%8B%D1%82%D1%8C%20%D1%81%D1%87%D0%B0%D1%81%D1%82%D0%BB%D0%B8%D0%B2%D1%8B%D0%BC%21%201973%20%D1%84%D0%B8%D0%BB%D1%8C%D0%BC","искать")</f>
        <v/>
      </c>
      <c r="N5266" s="3" t="n"/>
      <c r="O5266" s="2" t="n"/>
      <c r="P5266" s="2" t="n"/>
    </row>
    <row r="5267">
      <c r="A5267" s="2" t="n">
        <v>5266</v>
      </c>
      <c r="B5267" s="2" t="inlineStr"/>
      <c r="C5267" s="2" t="n">
        <v>7447</v>
      </c>
      <c r="D5267" s="3" t="inlineStr">
        <is>
          <t>Голубой патруль</t>
        </is>
      </c>
      <c r="E5267" s="2" t="n">
        <v>1974</v>
      </c>
      <c r="F5267" s="2" t="inlineStr">
        <is>
          <t>телефильм</t>
        </is>
      </c>
      <c r="G5267" s="2" t="n"/>
      <c r="H5267" s="2" t="n">
        <v>311</v>
      </c>
      <c r="I5267" s="2" t="inlineStr"/>
      <c r="J5267" s="2" t="inlineStr"/>
      <c r="K5267" s="3" t="inlineStr">
        <is>
          <t>В деревню, которая расположена на берегу лимана, приезжают новая учительница географии и её брат, инспектор, тут же назначенный начальником рыбнадзора. Несмотря на сопротивление местных односельчан, инспектору рыбнадзора вместе с учительницей и сельскими ребятами удаётся привлечь к ответственности браконьеров.</t>
        </is>
      </c>
      <c r="L5267" s="2" t="inlineStr">
        <is>
          <t>https://ru.wikipedia.org/w/index.php?title=%D0%93%D0%BE%D0%BB%D1%83%D0%B1%D0%BE%D0%B9_%D0%BF%D0%B0%D1%82%D1%80%D1%83%D0%BB%D1%8C_%28%D1%84%D0%B8%D0%BB%D1%8C%D0%BC%29&amp;oldid=152174210</t>
        </is>
      </c>
      <c r="M5267" s="2">
        <f>HYPERLINK("https://ru.wikipedia.org/w/index.php?search=%D0%93%D0%BE%D0%BB%D1%83%D0%B1%D0%BE%D0%B9%20%D0%BF%D0%B0%D1%82%D1%80%D1%83%D0%BB%D1%8C%201974%20%D1%84%D0%B8%D0%BB%D1%8C%D0%BC","искать")</f>
        <v/>
      </c>
      <c r="N5267" s="3" t="n"/>
      <c r="O5267" s="2" t="n"/>
      <c r="P5267" s="2" t="n"/>
    </row>
    <row r="5268">
      <c r="A5268" s="2" t="n">
        <v>5267</v>
      </c>
      <c r="B5268" s="2" t="inlineStr"/>
      <c r="C5268" s="2" t="n">
        <v>7547</v>
      </c>
      <c r="D5268" s="3" t="inlineStr">
        <is>
          <t>Дон Сезар де Базан</t>
        </is>
      </c>
      <c r="E5268" s="2" t="n">
        <v>1989</v>
      </c>
      <c r="F5268" s="2" t="inlineStr">
        <is>
          <t>телефильм</t>
        </is>
      </c>
      <c r="G5268" s="2" t="n"/>
      <c r="H5268" s="2" t="n">
        <v>311</v>
      </c>
      <c r="I5268" s="2" t="inlineStr"/>
      <c r="J5268" s="2" t="inlineStr"/>
      <c r="K5268" s="3" t="inlineStr">
        <is>
          <t>Телефильм. Музыкальная комедия по мотивам одноименной пьесы Филиппа Дюмануара и Адольфа Д`Эннери. Испания XVIII век. История любви обедневшего графа и уличной танцовщицы, участие в которой, к несчастью, принимал сам король… Последняя работа в кино Юрия Богатырёва. На экраны фильм вышел уже после смерти актёра.</t>
        </is>
      </c>
      <c r="L5268" s="2" t="inlineStr">
        <is>
          <t>Кино_СССР сводный каталог.xlsx: список телефильмов</t>
        </is>
      </c>
      <c r="M5268" s="2">
        <f>HYPERLINK("https://ru.wikipedia.org/w/index.php?search=%D0%94%D0%BE%D0%BD%20%D0%A1%D0%B5%D0%B7%D0%B0%D1%80%20%D0%B4%D0%B5%20%D0%91%D0%B0%D0%B7%D0%B0%D0%BD%201989%20%D1%84%D0%B8%D0%BB%D1%8C%D0%BC","искать")</f>
        <v/>
      </c>
      <c r="N5268" s="3" t="n"/>
      <c r="O5268" s="2" t="n"/>
      <c r="P5268" s="2" t="n"/>
    </row>
    <row r="5269">
      <c r="A5269" s="2" t="n">
        <v>5268</v>
      </c>
      <c r="B5269" s="2" t="inlineStr"/>
      <c r="C5269" s="2" t="n">
        <v>8529</v>
      </c>
      <c r="D5269" s="3" t="inlineStr">
        <is>
          <t>Хочу сделать признание</t>
        </is>
      </c>
      <c r="E5269" s="2" t="n">
        <v>1989</v>
      </c>
      <c r="F5269" s="2" t="inlineStr">
        <is>
          <t>телефильм</t>
        </is>
      </c>
      <c r="G5269" s="2" t="n"/>
      <c r="H5269" s="2" t="n">
        <v>311</v>
      </c>
      <c r="I5269" s="2" t="inlineStr"/>
      <c r="J5269" s="2" t="inlineStr"/>
      <c r="K5269" s="3" t="inlineStr">
        <is>
          <t>Мелодрама по мотивам повести Ю.Мушкетика "Боль". Николай вместе с женой, которую нежно любит, приезжает в деревню к матери. Невестка дарит ей шаль и называет красавицей. "Ну что ты! - отвечает она. - Я и в молодости красавицей не была!" После ряда событий Николай решает остаться в деревне и работать в колхозе.</t>
        </is>
      </c>
      <c r="L5269" s="2" t="inlineStr">
        <is>
          <t>Кино_СССР сводный каталог.xlsx: список телефильмов</t>
        </is>
      </c>
      <c r="M5269" s="2">
        <f>HYPERLINK("https://ru.wikipedia.org/w/index.php?search=%D0%A5%D0%BE%D1%87%D1%83%20%D1%81%D0%B4%D0%B5%D0%BB%D0%B0%D1%82%D1%8C%20%D0%BF%D1%80%D0%B8%D0%B7%D0%BD%D0%B0%D0%BD%D0%B8%D0%B5%201989%20%D1%84%D0%B8%D0%BB%D1%8C%D0%BC","искать")</f>
        <v/>
      </c>
      <c r="N5269" s="3" t="n"/>
      <c r="O5269" s="2" t="n"/>
      <c r="P5269" s="2" t="n"/>
    </row>
    <row r="5270">
      <c r="A5270" s="2" t="n">
        <v>5269</v>
      </c>
      <c r="B5270" s="2" t="inlineStr"/>
      <c r="C5270" s="2" t="n">
        <v>8988</v>
      </c>
      <c r="D5270" s="3" t="inlineStr">
        <is>
          <t>Проснуться в Шанхае</t>
        </is>
      </c>
      <c r="E5270" s="2" t="n">
        <v>1991</v>
      </c>
      <c r="F5270" s="2" t="inlineStr">
        <is>
          <t>кинофильм</t>
        </is>
      </c>
      <c r="G5270" s="2" t="n"/>
      <c r="H5270" s="2" t="n">
        <v>311</v>
      </c>
      <c r="I5270" s="2" t="inlineStr"/>
      <c r="J5270" s="2" t="inlineStr"/>
      <c r="K5270" s="3" t="inlineStr">
        <is>
          <t>Эту историю, случившуюся в трущобах одесской окраины, можно назвать историей первой любви. Старшеклассники Виталий и Лена познакомились случайно. Подражая своим родителям, герои вдруг поняли, что даже недобрые отношения близких людей не могут помешать их чувству... В фильме снимались непрофессиональные актеры.</t>
        </is>
      </c>
      <c r="L5270" s="2" t="inlineStr">
        <is>
          <t>Кино_СССР сводный каталог.xlsx: список фильмов (доп.)</t>
        </is>
      </c>
      <c r="M5270" s="2">
        <f>HYPERLINK("https://ru.wikipedia.org/w/index.php?search=%D0%9F%D1%80%D0%BE%D1%81%D0%BD%D1%83%D1%82%D1%8C%D1%81%D1%8F%20%D0%B2%20%D0%A8%D0%B0%D0%BD%D1%85%D0%B0%D0%B5%201991%20%D1%84%D0%B8%D0%BB%D1%8C%D0%BC","искать")</f>
        <v/>
      </c>
      <c r="N5270" s="3" t="n"/>
      <c r="O5270" s="2" t="n"/>
      <c r="P5270" s="2" t="n"/>
    </row>
    <row r="5271">
      <c r="A5271" s="2" t="n">
        <v>5270</v>
      </c>
      <c r="B5271" s="2" t="inlineStr"/>
      <c r="C5271" s="2" t="n">
        <v>9186</v>
      </c>
      <c r="D5271" s="3" t="inlineStr">
        <is>
          <t>Эхо в пуще</t>
        </is>
      </c>
      <c r="E5271" s="2" t="n">
        <v>1977</v>
      </c>
      <c r="F5271" s="2" t="inlineStr">
        <is>
          <t>кинофильм</t>
        </is>
      </c>
      <c r="G5271" s="2" t="n"/>
      <c r="H5271" s="2" t="n">
        <v>311</v>
      </c>
      <c r="I5271" s="2" t="inlineStr"/>
      <c r="J5271" s="2" t="inlineStr"/>
      <c r="K5271" s="3" t="inlineStr">
        <is>
          <t>«Вслушайтесь в тревожный отголосок далекого 1924 года… Сквозь плач январской метели и шум настороженной пущи услышите шаги первых белорусских коммунаров – бывшие батраки в панском фольварке начали жить коммуной….», - так начинается фильм “Эхо в пуще”. События фильма развиваются на границе Белоруссии с Польшей.</t>
        </is>
      </c>
      <c r="L5271" s="2" t="inlineStr">
        <is>
          <t>Кино_СССР сводный каталог.xlsx: список фильмов (доп.)</t>
        </is>
      </c>
      <c r="M5271" s="2">
        <f>HYPERLINK("https://ru.wikipedia.org/w/index.php?search=%D0%AD%D1%85%D0%BE%20%D0%B2%20%D0%BF%D1%83%D1%89%D0%B5%201977%20%D1%84%D0%B8%D0%BB%D1%8C%D0%BC","искать")</f>
        <v/>
      </c>
      <c r="N5271" s="3" t="n"/>
      <c r="O5271" s="2" t="n"/>
      <c r="P5271" s="2" t="n"/>
    </row>
    <row r="5272">
      <c r="A5272" s="2" t="n">
        <v>5271</v>
      </c>
      <c r="B5272" s="2" t="inlineStr"/>
      <c r="C5272" s="2" t="n">
        <v>9229</v>
      </c>
      <c r="D5272" s="3" t="inlineStr">
        <is>
          <t>Белая роза</t>
        </is>
      </c>
      <c r="E5272" s="2" t="n">
        <v>1943</v>
      </c>
      <c r="F5272" s="2" t="inlineStr">
        <is>
          <t>кинофильм</t>
        </is>
      </c>
      <c r="G5272" s="2" t="n"/>
      <c r="H5272" s="2" t="n">
        <v>311</v>
      </c>
      <c r="I5272" s="2" t="inlineStr"/>
      <c r="J5272" s="2" t="inlineStr"/>
      <c r="K5272" s="3" t="inlineStr">
        <is>
          <t>О любви молодой колхозницы и раненого офицера. Джакпана выделила из трех соперничавших джигитов и полюбила прекрасная Сабира. Но Джакпан - фронтовик и боится только одного, что, погибнув, разобьет сердце красавицы, и поэтому скрывает от любимой свои чувства. Документов, запрещающих фильм, разыскать не удалось.</t>
        </is>
      </c>
      <c r="L5272" s="2" t="inlineStr">
        <is>
          <t>Кино_СССР сводный каталог.xlsx: список фильмов (доп.)</t>
        </is>
      </c>
      <c r="M5272" s="2">
        <f>HYPERLINK("https://ru.wikipedia.org/w/index.php?search=%D0%91%D0%B5%D0%BB%D0%B0%D1%8F%20%D1%80%D0%BE%D0%B7%D0%B0%201943%20%D1%84%D0%B8%D0%BB%D1%8C%D0%BC","искать")</f>
        <v/>
      </c>
      <c r="N5272" s="3" t="n"/>
      <c r="O5272" s="2" t="n"/>
      <c r="P5272" s="2" t="n"/>
    </row>
    <row r="5273">
      <c r="A5273" s="2" t="n">
        <v>5272</v>
      </c>
      <c r="B5273" s="2" t="inlineStr"/>
      <c r="C5273" s="2" t="n">
        <v>9591</v>
      </c>
      <c r="D5273" s="3" t="inlineStr">
        <is>
          <t>Пришелец</t>
        </is>
      </c>
      <c r="E5273" s="2" t="n">
        <v>1979</v>
      </c>
      <c r="F5273" s="2" t="inlineStr">
        <is>
          <t>кинофильм</t>
        </is>
      </c>
      <c r="G5273" s="2" t="n"/>
      <c r="H5273" s="2" t="n">
        <v>311</v>
      </c>
      <c r="I5273" s="2" t="inlineStr"/>
      <c r="J5273" s="2" t="inlineStr"/>
      <c r="K5273" s="3" t="inlineStr">
        <is>
          <t>По повести Евгения Шатько «Пришелец-73». Колхозный механизатор Ефим Тишкин с похмелья махнул в другую галактику на планету Рюм. Одновременно инопланетянин с планеты Рюм Глоуз попадает на Землю в обыкновенное украинское село и влюбляется в жену Тишкина. Дело в том, что Тишкин и Глоуз похожи, как две капли воды.</t>
        </is>
      </c>
      <c r="L5273" s="2" t="inlineStr">
        <is>
          <t>Кино_СССР сводный каталог.xlsx: список фильмов (доп.)</t>
        </is>
      </c>
      <c r="M5273" s="2">
        <f>HYPERLINK("https://ru.wikipedia.org/w/index.php?search=%D0%9F%D1%80%D0%B8%D1%88%D0%B5%D0%BB%D0%B5%D1%86%201979%20%D1%84%D0%B8%D0%BB%D1%8C%D0%BC","искать")</f>
        <v/>
      </c>
      <c r="N5273" s="3" t="n"/>
      <c r="O5273" s="2" t="n"/>
      <c r="P5273" s="2" t="n"/>
    </row>
    <row r="5274">
      <c r="A5274" s="2" t="n">
        <v>5273</v>
      </c>
      <c r="B5274" s="2" t="inlineStr"/>
      <c r="C5274" s="2" t="n">
        <v>10947</v>
      </c>
      <c r="D5274" s="3" t="inlineStr">
        <is>
          <t>Мегрэ колеблется</t>
        </is>
      </c>
      <c r="E5274" s="2" t="n">
        <v>1982</v>
      </c>
      <c r="F5274" s="2" t="inlineStr">
        <is>
          <t>фильм-спектакль</t>
        </is>
      </c>
      <c r="G5274" s="2" t="inlineStr">
        <is>
          <t>Главная редакция литературно-драматических программ ЦТ</t>
        </is>
      </c>
      <c r="H5274" s="2" t="n">
        <v>311</v>
      </c>
      <c r="I5274" s="2" t="inlineStr"/>
      <c r="J5274" s="2" t="inlineStr"/>
      <c r="K5274" s="3" t="inlineStr">
        <is>
          <t>По одноименному роману Жоржа Сименона.
Комиссар Мегрэ получает письмо, в котором говорится о готовящемся убийстве. Письмо написано на почтовой бумаге редкого качества, и сразу удается узнать, что такой бумагой пользуется известный парижский адвокат Эмиль Парандон. Мегрэ отправляется с визитом в семью адвоката.</t>
        </is>
      </c>
      <c r="L5274" s="2" t="inlineStr">
        <is>
          <t>https://www.kino-teatr.ru/teatr/movie/8516/annot/</t>
        </is>
      </c>
      <c r="M5274" s="2">
        <f>HYPERLINK("https://ru.wikipedia.org/w/index.php?search=%D0%9C%D0%B5%D0%B3%D1%80%D1%8D%20%D0%BA%D0%BE%D0%BB%D0%B5%D0%B1%D0%BB%D0%B5%D1%82%D1%81%D1%8F%201982%20%D1%84%D0%B8%D0%BB%D1%8C%D0%BC","искать")</f>
        <v/>
      </c>
      <c r="N5274" s="3" t="n"/>
      <c r="O5274" s="2" t="n"/>
      <c r="P5274" s="2" t="n"/>
    </row>
    <row r="5275">
      <c r="A5275" s="2" t="n">
        <v>5274</v>
      </c>
      <c r="B5275" s="2" t="inlineStr"/>
      <c r="C5275" s="2" t="n">
        <v>11331</v>
      </c>
      <c r="D5275" s="3" t="inlineStr">
        <is>
          <t>Элоиза и Абеляр</t>
        </is>
      </c>
      <c r="E5275" s="2" t="n">
        <v>1990</v>
      </c>
      <c r="F5275" s="2" t="inlineStr">
        <is>
          <t>фильм-спектакль</t>
        </is>
      </c>
      <c r="G5275" s="2" t="inlineStr">
        <is>
          <t>Литовское телевидение</t>
        </is>
      </c>
      <c r="H5275" s="2" t="n">
        <v>311</v>
      </c>
      <c r="I5275" s="2" t="inlineStr"/>
      <c r="J5275" s="2" t="inlineStr"/>
      <c r="K5275" s="3" t="inlineStr">
        <is>
          <t>Спектакль поставлен по пьесе Костаса Остраускаса и рассказывает историю любви французского философа Средневековья Пьера Абеляра. Сюжетная линия спектакля переплетается в разных временах, иногда действие происходит здесь и сейчас, иногда на все события смотрим словно со стороны, через призму прошедшего времени.</t>
        </is>
      </c>
      <c r="L5275" s="2" t="inlineStr">
        <is>
          <t>https://www.kino-teatr.ru/teatr/movie/95673/annot/</t>
        </is>
      </c>
      <c r="M5275" s="2">
        <f>HYPERLINK("https://ru.wikipedia.org/w/index.php?search=%D0%AD%D0%BB%D0%BE%D0%B8%D0%B7%D0%B0%20%D0%B8%20%D0%90%D0%B1%D0%B5%D0%BB%D1%8F%D1%80%201990%20%D1%84%D0%B8%D0%BB%D1%8C%D0%BC","искать")</f>
        <v/>
      </c>
      <c r="N5275" s="3" t="n"/>
      <c r="O5275" s="2" t="n"/>
      <c r="P5275" s="2" t="n"/>
    </row>
    <row r="5276">
      <c r="A5276" s="2" t="n">
        <v>5275</v>
      </c>
      <c r="B5276" s="2" t="inlineStr"/>
      <c r="C5276" s="2" t="n">
        <v>11524</v>
      </c>
      <c r="D5276" s="3" t="inlineStr">
        <is>
          <t>Рисунок на песке</t>
        </is>
      </c>
      <c r="E5276" s="2" t="n">
        <v>1969</v>
      </c>
      <c r="F5276" s="2" t="inlineStr">
        <is>
          <t>мультфильм</t>
        </is>
      </c>
      <c r="G5276" s="2" t="inlineStr">
        <is>
          <t>Союзмультфильм</t>
        </is>
      </c>
      <c r="H5276" s="2" t="n">
        <v>311</v>
      </c>
      <c r="I5276" s="2" t="inlineStr"/>
      <c r="J5276" s="2" t="inlineStr"/>
      <c r="K5276" s="3" t="inlineStr">
        <is>
          <t>Мальчик рисует на песке на берегу моря человечков, дом, деревья. И уходит домой. А разбушевавшееся море вот-вот готово слизнуть рисунок. И тогда человечки, ожив, сами спасают от волн и дом, и конуру с собакой, перенеся рисунок на ближайшую скалу...А утром мальчик с радостью видит там свой сохранившийся рисунок</t>
        </is>
      </c>
      <c r="L5276" s="2" t="inlineStr">
        <is>
          <t>https://gosfilmofond.ru/films/254765/</t>
        </is>
      </c>
      <c r="M5276" s="2">
        <f>HYPERLINK("https://ru.wikipedia.org/w/index.php?search=%D0%A0%D0%B8%D1%81%D1%83%D0%BD%D0%BE%D0%BA%20%D0%BD%D0%B0%20%D0%BF%D0%B5%D1%81%D0%BA%D0%B5%201969%20%D1%84%D0%B8%D0%BB%D1%8C%D0%BC","искать")</f>
        <v/>
      </c>
      <c r="N5276" s="3" t="n"/>
      <c r="O5276" s="2" t="n"/>
      <c r="P5276" s="2" t="n"/>
    </row>
    <row r="5277">
      <c r="A5277" s="2" t="n">
        <v>5276</v>
      </c>
      <c r="B5277" s="2" t="inlineStr"/>
      <c r="C5277" s="2" t="n">
        <v>12403</v>
      </c>
      <c r="D5277" s="3" t="inlineStr">
        <is>
          <t>Как казаки кулеш варили</t>
        </is>
      </c>
      <c r="E5277" s="2" t="n">
        <v>1967</v>
      </c>
      <c r="F5277" s="2" t="inlineStr">
        <is>
          <t>мультфильм</t>
        </is>
      </c>
      <c r="G5277" s="2" t="inlineStr">
        <is>
          <t>КИЕВНАУЧФИЛЬМ</t>
        </is>
      </c>
      <c r="H5277" s="2" t="n">
        <v>311</v>
      </c>
      <c r="I5277" s="2" t="inlineStr"/>
      <c r="J5277" s="2" t="inlineStr"/>
      <c r="K5277" s="3" t="inlineStr">
        <is>
          <t>Три казака-запорожца - Тур, Грай и Око собрались варить кулеш. Око поехал в степь искать табак для себя и друзей. Его схватили татары. Грай и Тур устремились на выручку казаку. Долго пришлось им ехать по степи, затем плыть по морю до татарского города Кафы. Там они разыскали друга и помогли ему бежать из плена</t>
        </is>
      </c>
      <c r="L5277" s="2" t="inlineStr">
        <is>
          <t>https://gosfilmofond.ru/films/254264/</t>
        </is>
      </c>
      <c r="M5277" s="2">
        <f>HYPERLINK("https://ru.wikipedia.org/w/index.php?search=%D0%9A%D0%B0%D0%BA%20%D0%BA%D0%B0%D0%B7%D0%B0%D0%BA%D0%B8%20%D0%BA%D1%83%D0%BB%D0%B5%D1%88%20%D0%B2%D0%B0%D1%80%D0%B8%D0%BB%D0%B8%201967%20%D1%84%D0%B8%D0%BB%D1%8C%D0%BC","искать")</f>
        <v/>
      </c>
      <c r="N5277" s="3" t="n"/>
      <c r="O5277" s="2" t="n"/>
      <c r="P5277" s="2" t="n"/>
    </row>
    <row r="5278">
      <c r="A5278" s="2" t="n">
        <v>5277</v>
      </c>
      <c r="B5278" s="2" t="inlineStr"/>
      <c r="C5278" s="2" t="n">
        <v>7585</v>
      </c>
      <c r="D5278" s="3" t="inlineStr">
        <is>
          <t>Железные игры</t>
        </is>
      </c>
      <c r="E5278" s="2" t="n">
        <v>1979</v>
      </c>
      <c r="F5278" s="2" t="inlineStr">
        <is>
          <t>телефильм</t>
        </is>
      </c>
      <c r="G5278" s="2" t="n"/>
      <c r="H5278" s="2" t="n">
        <v>312</v>
      </c>
      <c r="I5278" s="2" t="inlineStr"/>
      <c r="J5278" s="2" t="inlineStr"/>
      <c r="K5278" s="3" t="inlineStr">
        <is>
          <t>Известный штангист Николай Басаргин, мечтая завершить свою карьеру установлением рекорда, пока переживает полосу явных поражений. Тем временем тренер Милютин, поставив крест на отслужившем свое спортсмене, принимается тренировать Володю Кроля. От чрезмерно интенсивных нагрузок молодой спортсмен получает травму.</t>
        </is>
      </c>
      <c r="L5278" s="2" t="inlineStr">
        <is>
          <t>Кино_СССР сводный каталог.xlsx: список телефильмов</t>
        </is>
      </c>
      <c r="M5278" s="2">
        <f>HYPERLINK("https://ru.wikipedia.org/w/index.php?search=%D0%96%D0%B5%D0%BB%D0%B5%D0%B7%D0%BD%D1%8B%D0%B5%20%D0%B8%D0%B3%D1%80%D1%8B%201979%20%D1%84%D0%B8%D0%BB%D1%8C%D0%BC","искать")</f>
        <v/>
      </c>
      <c r="N5278" s="3" t="n"/>
      <c r="O5278" s="2" t="n"/>
      <c r="P5278" s="2" t="n"/>
    </row>
    <row r="5279">
      <c r="A5279" s="2" t="n">
        <v>5278</v>
      </c>
      <c r="B5279" s="2" t="inlineStr"/>
      <c r="C5279" s="2" t="n">
        <v>8212</v>
      </c>
      <c r="D5279" s="3" t="inlineStr">
        <is>
          <t>Приключения Электроника</t>
        </is>
      </c>
      <c r="E5279" s="2" t="n">
        <v>1979</v>
      </c>
      <c r="F5279" s="2" t="inlineStr">
        <is>
          <t>телефильм</t>
        </is>
      </c>
      <c r="G5279" s="2" t="n"/>
      <c r="H5279" s="2" t="n">
        <v>312</v>
      </c>
      <c r="I5279" s="2" t="inlineStr"/>
      <c r="J5279" s="2" t="inlineStr"/>
      <c r="K5279" s="3" t="inlineStr">
        <is>
          <t>Телефильм по одноименной книге Евгения Велтистова. Этот детский музыкальный фильм об удивительных приключениях мальчика и его двойника - электронного робота, желающего непременно узнать, что значит «быть человеком». - в начале восьмидесятых годов был несомненным рекордсменом по популярности у юных телезрителей.</t>
        </is>
      </c>
      <c r="L5279" s="2" t="inlineStr">
        <is>
          <t>Кино_СССР сводный каталог.xlsx: список телефильмов</t>
        </is>
      </c>
      <c r="M5279" s="2">
        <f>HYPERLINK("https://ru.wikipedia.org/w/index.php?search=%D0%9F%D1%80%D0%B8%D0%BA%D0%BB%D1%8E%D1%87%D0%B5%D0%BD%D0%B8%D1%8F%20%D0%AD%D0%BB%D0%B5%D0%BA%D1%82%D1%80%D0%BE%D0%BD%D0%B8%D0%BA%D0%B0%201979%20%D1%84%D0%B8%D0%BB%D1%8C%D0%BC","искать")</f>
        <v/>
      </c>
      <c r="N5279" s="3" t="n"/>
      <c r="O5279" s="2" t="n"/>
      <c r="P5279" s="2" t="n"/>
    </row>
    <row r="5280">
      <c r="A5280" s="2" t="n">
        <v>5279</v>
      </c>
      <c r="B5280" s="2" t="inlineStr"/>
      <c r="C5280" s="2" t="n">
        <v>8799</v>
      </c>
      <c r="D5280" s="3" t="inlineStr">
        <is>
          <t>Лицом к стене</t>
        </is>
      </c>
      <c r="E5280" s="2" t="n">
        <v>1989</v>
      </c>
      <c r="F5280" s="2" t="inlineStr">
        <is>
          <t>кинофильм</t>
        </is>
      </c>
      <c r="G5280" s="2" t="n"/>
      <c r="H5280" s="2" t="n">
        <v>312</v>
      </c>
      <c r="I5280" s="2" t="inlineStr"/>
      <c r="J5280" s="2" t="inlineStr"/>
      <c r="K5280" s="3" t="inlineStr">
        <is>
          <t>Молодому юристу в первый день службы поручают закончить дело, которое до этого вел его предшественник, умерший накануне. Однако блестяще распутав дело и засвидетельствовав связи преступников с прокуратурой, герой принимает неожиданное для профессионала решение - покончить с мирской жизнью и постричься в монахи.</t>
        </is>
      </c>
      <c r="L5280" s="2" t="inlineStr">
        <is>
          <t>Кино_СССР сводный каталог.xlsx: список фильмов (доп.)</t>
        </is>
      </c>
      <c r="M5280" s="2">
        <f>HYPERLINK("https://ru.wikipedia.org/w/index.php?search=%D0%9B%D0%B8%D1%86%D0%BE%D0%BC%20%D0%BA%20%D1%81%D1%82%D0%B5%D0%BD%D0%B5%201989%20%D1%84%D0%B8%D0%BB%D1%8C%D0%BC","искать")</f>
        <v/>
      </c>
      <c r="N5280" s="3" t="n"/>
      <c r="O5280" s="2" t="n"/>
      <c r="P5280" s="2" t="n"/>
    </row>
    <row r="5281">
      <c r="A5281" s="2" t="n">
        <v>5280</v>
      </c>
      <c r="B5281" s="2" t="inlineStr"/>
      <c r="C5281" s="2" t="n">
        <v>8817</v>
      </c>
      <c r="D5281" s="3" t="inlineStr">
        <is>
          <t>Мама, я жив!</t>
        </is>
      </c>
      <c r="E5281" s="2" t="n">
        <v>1976</v>
      </c>
      <c r="F5281" s="2" t="inlineStr">
        <is>
          <t>кинофильм</t>
        </is>
      </c>
      <c r="G5281" s="2" t="n"/>
      <c r="H5281" s="2" t="n">
        <v>312</v>
      </c>
      <c r="I5281" s="2" t="inlineStr"/>
      <c r="J5281" s="2" t="inlineStr"/>
      <c r="K5281" s="3" t="inlineStr">
        <is>
          <t>О судьбе четырех немецких военнопленных в СССР, которые в плену согласились получить подготовку, чтобы быть использованными против германского вермахта. У каждого из этих солдат своя история, свой мотив, почему он идет на такой шаг. Их товарищи относятся к ним с презрением, а в Красной Армии они поначалу чужие.</t>
        </is>
      </c>
      <c r="L5281" s="2" t="inlineStr">
        <is>
          <t>Кино_СССР сводный каталог.xlsx: список фильмов (доп.)</t>
        </is>
      </c>
      <c r="M5281" s="2">
        <f>HYPERLINK("https://ru.wikipedia.org/w/index.php?search=%D0%9C%D0%B0%D0%BC%D0%B0%2C%20%D1%8F%20%D0%B6%D0%B8%D0%B2%21%201976%20%D1%84%D0%B8%D0%BB%D1%8C%D0%BC","искать")</f>
        <v/>
      </c>
      <c r="N5281" s="3" t="n"/>
      <c r="O5281" s="2" t="n"/>
      <c r="P5281" s="2" t="n"/>
    </row>
    <row r="5282">
      <c r="A5282" s="2" t="n">
        <v>5281</v>
      </c>
      <c r="B5282" s="2" t="inlineStr"/>
      <c r="C5282" s="2" t="n">
        <v>9643</v>
      </c>
      <c r="D5282" s="3" t="inlineStr">
        <is>
          <t>Синее небо</t>
        </is>
      </c>
      <c r="E5282" s="2" t="n">
        <v>1971</v>
      </c>
      <c r="F5282" s="2" t="inlineStr">
        <is>
          <t>кинофильм</t>
        </is>
      </c>
      <c r="G5282" s="2" t="n"/>
      <c r="H5282" s="2" t="n">
        <v>312</v>
      </c>
      <c r="I5282" s="2" t="inlineStr"/>
      <c r="J5282" s="2" t="inlineStr"/>
      <c r="K5282" s="3" t="inlineStr">
        <is>
          <t>Фильм посвящен тем, кто возвращает потерявшим зрение синее небо и все краски земли, - врачам-офтальмологам, их смелым экспериментам и научным поискам. Действие происходит в стенах научного Института глазных болезней им. В.П.Филатова. Главный герой, уже утративший надежду что-то увидеть, снова увидел синее небо.</t>
        </is>
      </c>
      <c r="L5282" s="2" t="inlineStr">
        <is>
          <t>Кино_СССР сводный каталог.xlsx: список фильмов (доп.)</t>
        </is>
      </c>
      <c r="M5282" s="2">
        <f>HYPERLINK("https://ru.wikipedia.org/w/index.php?search=%D0%A1%D0%B8%D0%BD%D0%B5%D0%B5%20%D0%BD%D0%B5%D0%B1%D0%BE%201971%20%D1%84%D0%B8%D0%BB%D1%8C%D0%BC","искать")</f>
        <v/>
      </c>
      <c r="N5282" s="3" t="n"/>
      <c r="O5282" s="2" t="n"/>
      <c r="P5282" s="2" t="n"/>
    </row>
    <row r="5283">
      <c r="A5283" s="2" t="n">
        <v>5282</v>
      </c>
      <c r="B5283" s="2" t="inlineStr"/>
      <c r="C5283" s="2" t="n">
        <v>10509</v>
      </c>
      <c r="D5283" s="3" t="inlineStr">
        <is>
          <t>Он пришёл</t>
        </is>
      </c>
      <c r="E5283" s="2" t="n">
        <v>1973</v>
      </c>
      <c r="F5283" s="2" t="inlineStr">
        <is>
          <t>фильм-спектакль</t>
        </is>
      </c>
      <c r="G5283" s="2" t="inlineStr">
        <is>
          <t>Главная редакция литературно-драматических программ</t>
        </is>
      </c>
      <c r="H5283" s="2" t="n">
        <v>312</v>
      </c>
      <c r="I5283" s="2" t="inlineStr"/>
      <c r="J5283" s="2" t="inlineStr"/>
      <c r="K5283" s="3" t="inlineStr">
        <is>
          <t>По мотивам пьесы Джона Бойнтона Пристли "Он пришёл".
В респектабельной английской семье появляется человек, выдающий себя за инспектора полиции. Показывая членам семьи фотографию бросившейся под поезд девушки, он выясняет, что все они способны на аморальные поступки, которые могли бы привести ее к самоубийству.</t>
        </is>
      </c>
      <c r="L5283" s="2" t="inlineStr">
        <is>
          <t>https://www.kino-teatr.ru/teatr/movie/30952/annot/</t>
        </is>
      </c>
      <c r="M5283" s="2">
        <f>HYPERLINK("https://ru.wikipedia.org/w/index.php?search=%D0%9E%D0%BD%20%D0%BF%D1%80%D0%B8%D1%88%D1%91%D0%BB%201973%20%D1%84%D0%B8%D0%BB%D1%8C%D0%BC","искать")</f>
        <v/>
      </c>
      <c r="N5283" s="3" t="n"/>
      <c r="O5283" s="2" t="n"/>
      <c r="P5283" s="2" t="n"/>
    </row>
    <row r="5284">
      <c r="A5284" s="2" t="n">
        <v>5283</v>
      </c>
      <c r="B5284" s="2" t="inlineStr"/>
      <c r="C5284" s="2" t="n">
        <v>10812</v>
      </c>
      <c r="D5284" s="3" t="inlineStr">
        <is>
          <t>Мужчины</t>
        </is>
      </c>
      <c r="E5284" s="2" t="n">
        <v>1979</v>
      </c>
      <c r="F5284" s="2" t="inlineStr">
        <is>
          <t>фильм-спектакль</t>
        </is>
      </c>
      <c r="G5284" s="2" t="n"/>
      <c r="H5284" s="2" t="n">
        <v>312</v>
      </c>
      <c r="I5284" s="2" t="inlineStr"/>
      <c r="J5284" s="2" t="inlineStr"/>
      <c r="K5284" s="3" t="inlineStr">
        <is>
          <t>Телеспектакль рассказывает про ленивых мужчин, которые не хотят смотреть телевизор. Некоторые из них живут за счет женщин, а другие хотят жениться на трудящихся женщинах, решив тем самым житейские проблемы. Но под влиянием советской атмосферы эти паразиты перевоспитываются и становятся на верный жизненный путь"</t>
        </is>
      </c>
      <c r="L5284" s="2" t="inlineStr">
        <is>
          <t>https://www.kino-teatr.ru/teatr/movie/97519/annot/</t>
        </is>
      </c>
      <c r="M5284" s="2">
        <f>HYPERLINK("https://ru.wikipedia.org/w/index.php?search=%D0%9C%D1%83%D0%B6%D1%87%D0%B8%D0%BD%D1%8B%201979%20%D1%84%D0%B8%D0%BB%D1%8C%D0%BC","искать")</f>
        <v/>
      </c>
      <c r="N5284" s="3" t="n"/>
      <c r="O5284" s="2" t="n"/>
      <c r="P5284" s="2" t="n"/>
    </row>
    <row r="5285">
      <c r="A5285" s="2" t="n">
        <v>5284</v>
      </c>
      <c r="B5285" s="2" t="inlineStr"/>
      <c r="C5285" s="2" t="n">
        <v>7476</v>
      </c>
      <c r="D5285" s="3" t="inlineStr">
        <is>
          <t>Два дня из жизни Виктора Кингисеппа</t>
        </is>
      </c>
      <c r="E5285" s="2" t="n">
        <v>1980</v>
      </c>
      <c r="F5285" s="2" t="inlineStr">
        <is>
          <t>телефильм</t>
        </is>
      </c>
      <c r="G5285" s="2" t="n"/>
      <c r="H5285" s="2" t="n">
        <v>313</v>
      </c>
      <c r="I5285" s="2" t="inlineStr"/>
      <c r="J5285" s="2" t="inlineStr"/>
      <c r="K5285" s="3" t="inlineStr">
        <is>
          <t>Фильм о профессиональном эстонском революционере, об одном из создателей и лидеров коммунистической партии Эстонии Викторе Кингисеппе (1888 - 1922). Создатели картины рисуют личность революционера и большевика, досконально изображая два дня из его жизни в период Октябрьского восстания - 23 и 27 октября 1917 года</t>
        </is>
      </c>
      <c r="L5285" s="2" t="inlineStr">
        <is>
          <t>Кино_СССР сводный каталог.xlsx: список телефильмов</t>
        </is>
      </c>
      <c r="M5285" s="2">
        <f>HYPERLINK("https://ru.wikipedia.org/w/index.php?search=%D0%94%D0%B2%D0%B0%20%D0%B4%D0%BD%D1%8F%20%D0%B8%D0%B7%20%D0%B6%D0%B8%D0%B7%D0%BD%D0%B8%20%D0%92%D0%B8%D0%BA%D1%82%D0%BE%D1%80%D0%B0%20%D0%9A%D0%B8%D0%BD%D0%B3%D0%B8%D1%81%D0%B5%D0%BF%D0%BF%D0%B0%201980%20%D1%84%D0%B8%D0%BB%D1%8C%D0%BC","искать")</f>
        <v/>
      </c>
      <c r="N5285" s="3" t="n"/>
      <c r="O5285" s="2" t="n"/>
      <c r="P5285" s="2" t="n"/>
    </row>
    <row r="5286">
      <c r="A5286" s="2" t="n">
        <v>5285</v>
      </c>
      <c r="B5286" s="2" t="inlineStr"/>
      <c r="C5286" s="2" t="n">
        <v>8104</v>
      </c>
      <c r="D5286" s="3" t="inlineStr">
        <is>
          <t>Песни над облаками</t>
        </is>
      </c>
      <c r="E5286" s="2" t="n">
        <v>1976</v>
      </c>
      <c r="F5286" s="2" t="inlineStr">
        <is>
          <t>телефильм</t>
        </is>
      </c>
      <c r="G5286" s="2" t="n"/>
      <c r="H5286" s="2" t="n">
        <v>313</v>
      </c>
      <c r="I5286" s="2" t="inlineStr"/>
      <c r="J5286" s="2" t="inlineStr"/>
      <c r="K5286" s="3" t="inlineStr">
        <is>
          <t>Бравый джигит Махмут (Спартак Мишулин) решил съездить на малую родину на Северном Кавказе из Москвы, где у него дела не очень ладятся на работе в цирке. Цель приезда уважительная: повидать знакомых и, главное, выдать замуж сестру-красавицу Нафисат (Ия Нинидзе), которая работает в полеводческой бригаде в колхозе.</t>
        </is>
      </c>
      <c r="L5286" s="2" t="inlineStr">
        <is>
          <t>Кино_СССР сводный каталог.xlsx: список телефильмов</t>
        </is>
      </c>
      <c r="M5286" s="2">
        <f>HYPERLINK("https://ru.wikipedia.org/w/index.php?search=%D0%9F%D0%B5%D1%81%D0%BD%D0%B8%20%D0%BD%D0%B0%D0%B4%20%D0%BE%D0%B1%D0%BB%D0%B0%D0%BA%D0%B0%D0%BC%D0%B8%201976%20%D1%84%D0%B8%D0%BB%D1%8C%D0%BC","искать")</f>
        <v/>
      </c>
      <c r="N5286" s="3" t="n"/>
      <c r="O5286" s="2" t="n"/>
      <c r="P5286" s="2" t="n"/>
    </row>
    <row r="5287">
      <c r="A5287" s="2" t="n">
        <v>5286</v>
      </c>
      <c r="B5287" s="2" t="inlineStr"/>
      <c r="C5287" s="2" t="n">
        <v>8184</v>
      </c>
      <c r="D5287" s="3" t="inlineStr">
        <is>
          <t>Праздник ожидания праздника</t>
        </is>
      </c>
      <c r="E5287" s="2" t="n">
        <v>1989</v>
      </c>
      <c r="F5287" s="2" t="inlineStr">
        <is>
          <t>телефильм</t>
        </is>
      </c>
      <c r="G5287" s="2" t="n"/>
      <c r="H5287" s="2" t="n">
        <v>313</v>
      </c>
      <c r="I5287" s="2" t="inlineStr"/>
      <c r="J5287" s="2" t="inlineStr"/>
      <c r="K5287" s="3" t="inlineStr">
        <is>
          <t>Детский телесериал. По рассказам Фазиля Искандера. Мальчик Чик приезжает из Москвы в грузинский город, где сталкивается с детскими, но достаточно серьезными проблемами... 1-я серия - "Чаепитие и любовь к морю" 2-я серия - "Возмездие, или Животные в городе" 3-я серия - "Великий поход за мастикой, или Слава Чика".</t>
        </is>
      </c>
      <c r="L5287" s="2" t="inlineStr">
        <is>
          <t>Кино_СССР сводный каталог.xlsx: список телефильмов</t>
        </is>
      </c>
      <c r="M5287" s="2">
        <f>HYPERLINK("https://ru.wikipedia.org/w/index.php?search=%D0%9F%D1%80%D0%B0%D0%B7%D0%B4%D0%BD%D0%B8%D0%BA%20%D0%BE%D0%B6%D0%B8%D0%B4%D0%B0%D0%BD%D0%B8%D1%8F%20%D0%BF%D1%80%D0%B0%D0%B7%D0%B4%D0%BD%D0%B8%D0%BA%D0%B0%201989%20%D1%84%D0%B8%D0%BB%D1%8C%D0%BC","искать")</f>
        <v/>
      </c>
      <c r="N5287" s="3" t="n"/>
      <c r="O5287" s="2" t="n"/>
      <c r="P5287" s="2" t="n"/>
    </row>
    <row r="5288">
      <c r="A5288" s="2" t="n">
        <v>5287</v>
      </c>
      <c r="B5288" s="2" t="inlineStr"/>
      <c r="C5288" s="2" t="n">
        <v>8289</v>
      </c>
      <c r="D5288" s="3" t="inlineStr">
        <is>
          <t>Рыжий, честный, влюблённый</t>
        </is>
      </c>
      <c r="E5288" s="2" t="n">
        <v>1984</v>
      </c>
      <c r="F5288" s="2" t="inlineStr">
        <is>
          <t>телефильм</t>
        </is>
      </c>
      <c r="G5288" s="2" t="n"/>
      <c r="H5288" s="2" t="n">
        <v>313</v>
      </c>
      <c r="I5288" s="2" t="inlineStr"/>
      <c r="J5288" s="2" t="inlineStr"/>
      <c r="K5288" s="3" t="inlineStr">
        <is>
          <t>Ирина Мирошниченко, Альберт Филозов, Татьяна Пельтцер, Екатерина Васильева в фильме, снятом по мотивам сказки Яна Экхольма "Тутта Карлссон, Первая и Единственная, Людвиг Четырнадцатый и др." Музыкальная сказка об удивительной дружбе лисенка Людвига Четырнадцатого и очаровательной Тутты, совсем-совсем не лисенка.</t>
        </is>
      </c>
      <c r="L5288" s="2" t="inlineStr">
        <is>
          <t>Кино_СССР сводный каталог.xlsx: список телефильмов</t>
        </is>
      </c>
      <c r="M5288" s="2">
        <f>HYPERLINK("https://ru.wikipedia.org/w/index.php?search=%D0%A0%D1%8B%D0%B6%D0%B8%D0%B9%2C%20%D1%87%D0%B5%D1%81%D1%82%D0%BD%D1%8B%D0%B9%2C%20%D0%B2%D0%BB%D1%8E%D0%B1%D0%BB%D1%91%D0%BD%D0%BD%D1%8B%D0%B9%201984%20%D1%84%D0%B8%D0%BB%D1%8C%D0%BC","искать")</f>
        <v/>
      </c>
      <c r="N5288" s="3" t="n"/>
      <c r="O5288" s="2" t="n"/>
      <c r="P5288" s="2" t="n"/>
    </row>
    <row r="5289">
      <c r="A5289" s="2" t="n">
        <v>5288</v>
      </c>
      <c r="B5289" s="2" t="inlineStr"/>
      <c r="C5289" s="2" t="n">
        <v>8850</v>
      </c>
      <c r="D5289" s="3" t="inlineStr">
        <is>
          <t>Муж собаки Баскервилей</t>
        </is>
      </c>
      <c r="E5289" s="2" t="n">
        <v>1990</v>
      </c>
      <c r="F5289" s="2" t="inlineStr">
        <is>
          <t>кинофильм</t>
        </is>
      </c>
      <c r="G5289" s="2" t="n"/>
      <c r="H5289" s="2" t="n">
        <v>313</v>
      </c>
      <c r="I5289" s="2" t="inlineStr"/>
      <c r="J5289" s="2" t="inlineStr"/>
      <c r="K5289" s="3" t="inlineStr">
        <is>
          <t>Собака Баскервилей — это Ася, красивая, хоть и несчастливая сирота, воспитанная опасным преступником по звериным законам. Муж собаки Баскервилей — это опытный мотогонщик Данила, встрявший в крупную переделку со спортивной мафией. Ася спасёт его от неминуемой гибели и подарит неповторимые мгновения большой любви.</t>
        </is>
      </c>
      <c r="L5289" s="2" t="inlineStr">
        <is>
          <t>Кино_СССР сводный каталог.xlsx: список фильмов (доп.)</t>
        </is>
      </c>
      <c r="M5289" s="2">
        <f>HYPERLINK("https://ru.wikipedia.org/w/index.php?search=%D0%9C%D1%83%D0%B6%20%D1%81%D0%BE%D0%B1%D0%B0%D0%BA%D0%B8%20%D0%91%D0%B0%D1%81%D0%BA%D0%B5%D1%80%D0%B2%D0%B8%D0%BB%D0%B5%D0%B9%201990%20%D1%84%D0%B8%D0%BB%D1%8C%D0%BC","искать")</f>
        <v/>
      </c>
      <c r="N5289" s="3" t="n"/>
      <c r="O5289" s="2" t="n"/>
      <c r="P5289" s="2" t="n"/>
    </row>
    <row r="5290">
      <c r="A5290" s="2" t="n">
        <v>5289</v>
      </c>
      <c r="B5290" s="2" t="inlineStr"/>
      <c r="C5290" s="2" t="n">
        <v>9124</v>
      </c>
      <c r="D5290" s="3" t="inlineStr">
        <is>
          <t>Украденное счастье</t>
        </is>
      </c>
      <c r="E5290" s="2" t="n">
        <v>1984</v>
      </c>
      <c r="F5290" s="2" t="inlineStr">
        <is>
          <t>кинофильм</t>
        </is>
      </c>
      <c r="G5290" s="2" t="n"/>
      <c r="H5290" s="2" t="n">
        <v>313</v>
      </c>
      <c r="I5290" s="2" t="inlineStr"/>
      <c r="J5290" s="2" t="inlineStr"/>
      <c r="K5290" s="3" t="inlineStr">
        <is>
          <t>Драма И.Франко перерастает в трагедию высокого напряжения, трагическую притчу о том, что на чужом несчастье своего счастья не построишь, так же как нельзя зло преодолеть злом. Действие происходит в конце позапрошлого века в прикарпатскому селе... Любили друг друга, клялись в вечной верности Михаил Гурман и Анна.</t>
        </is>
      </c>
      <c r="L5290" s="2" t="inlineStr">
        <is>
          <t>Кино_СССР сводный каталог.xlsx: список фильмов (доп.)</t>
        </is>
      </c>
      <c r="M5290" s="2">
        <f>HYPERLINK("https://ru.wikipedia.org/w/index.php?search=%D0%A3%D0%BA%D1%80%D0%B0%D0%B4%D0%B5%D0%BD%D0%BD%D0%BE%D0%B5%20%D1%81%D1%87%D0%B0%D1%81%D1%82%D1%8C%D0%B5%201984%20%D1%84%D0%B8%D0%BB%D1%8C%D0%BC","искать")</f>
        <v/>
      </c>
      <c r="N5290" s="3" t="n"/>
      <c r="O5290" s="2" t="n"/>
      <c r="P5290" s="2" t="n"/>
    </row>
    <row r="5291">
      <c r="A5291" s="2" t="n">
        <v>5290</v>
      </c>
      <c r="B5291" s="2" t="inlineStr"/>
      <c r="C5291" s="2" t="n">
        <v>9188</v>
      </c>
      <c r="D5291" s="3" t="inlineStr">
        <is>
          <t>Я есть</t>
        </is>
      </c>
      <c r="E5291" s="2" t="n">
        <v>1989</v>
      </c>
      <c r="F5291" s="2" t="inlineStr">
        <is>
          <t>кинофильм</t>
        </is>
      </c>
      <c r="G5291" s="2" t="n"/>
      <c r="H5291" s="2" t="n">
        <v>313</v>
      </c>
      <c r="I5291" s="2" t="inlineStr"/>
      <c r="J5291" s="2" t="inlineStr"/>
      <c r="K5291" s="3" t="inlineStr">
        <is>
          <t>Поэтическая повесть. Импровизация по мотивам повести А.Маркявичюса "Привидения из подземелья". В старом районе Вильнюса живёт мальчик Йонукас, необыкновенный фантазёр. Живёт с бабушкой, тоскует по маме, которая постоянно пропадает из дома. Отца у него нет и не было.Бабушка нежно иронизирует: "Ты от святого духа.</t>
        </is>
      </c>
      <c r="L5291" s="2" t="inlineStr">
        <is>
          <t>Кино_СССР сводный каталог.xlsx: список фильмов (доп.)</t>
        </is>
      </c>
      <c r="M5291" s="2">
        <f>HYPERLINK("https://ru.wikipedia.org/w/index.php?search=%D0%AF%20%D0%B5%D1%81%D1%82%D1%8C%201989%20%D1%84%D0%B8%D0%BB%D1%8C%D0%BC","искать")</f>
        <v/>
      </c>
      <c r="N5291" s="3" t="n"/>
      <c r="O5291" s="2" t="n"/>
      <c r="P5291" s="2" t="n"/>
    </row>
    <row r="5292">
      <c r="A5292" s="2" t="n">
        <v>5291</v>
      </c>
      <c r="B5292" s="2" t="inlineStr"/>
      <c r="C5292" s="2" t="n">
        <v>9370</v>
      </c>
      <c r="D5292" s="3" t="inlineStr">
        <is>
          <t>Замри - умри - воскресни</t>
        </is>
      </c>
      <c r="E5292" s="2" t="n">
        <v>1989</v>
      </c>
      <c r="F5292" s="2" t="inlineStr">
        <is>
          <t>кинофильм</t>
        </is>
      </c>
      <c r="G5292" s="2" t="inlineStr">
        <is>
          <t>Ленфильм</t>
        </is>
      </c>
      <c r="H5292" s="2" t="n">
        <v>313</v>
      </c>
      <c r="I5292" s="2" t="inlineStr"/>
      <c r="J5292" s="2" t="inlineStr"/>
      <c r="K5292" s="3" t="inlineStr">
        <is>
          <t>Автобиографическая повесть, события которой происходят в 1947 году в небольшом шахтерском городке Сучаны, напоминающем арестантскую зону. Подростки Валерка и Галия живут в одном бараке. Они не столько мечтают о будущей счастливой жизни, сколько просто любят все, к чему привык глаз в этом Богом забытом городишке.</t>
        </is>
      </c>
      <c r="L5292" s="2" t="inlineStr">
        <is>
          <t>Кино_СССР сводный каталог.xlsx: список фильмов (доп.)</t>
        </is>
      </c>
      <c r="M5292" s="2">
        <f>HYPERLINK("https://ru.wikipedia.org/w/index.php?search=%D0%97%D0%B0%D0%BC%D1%80%D0%B8%20-%20%D1%83%D0%BC%D1%80%D0%B8%20-%20%D0%B2%D0%BE%D1%81%D0%BA%D1%80%D0%B5%D1%81%D0%BD%D0%B8%201989%20%D1%84%D0%B8%D0%BB%D1%8C%D0%BC","искать")</f>
        <v/>
      </c>
      <c r="N5292" s="3" t="n"/>
      <c r="O5292" s="2" t="n"/>
      <c r="P5292" s="2" t="n"/>
    </row>
    <row r="5293">
      <c r="A5293" s="2" t="n">
        <v>5292</v>
      </c>
      <c r="B5293" s="2" t="inlineStr"/>
      <c r="C5293" s="2" t="n">
        <v>9393</v>
      </c>
      <c r="D5293" s="3" t="inlineStr">
        <is>
          <t>Имя</t>
        </is>
      </c>
      <c r="E5293" s="2" t="n">
        <v>1988</v>
      </c>
      <c r="F5293" s="2" t="inlineStr">
        <is>
          <t>кинофильм</t>
        </is>
      </c>
      <c r="G5293" s="2" t="n"/>
      <c r="H5293" s="2" t="n">
        <v>313</v>
      </c>
      <c r="I5293" s="2" t="inlineStr"/>
      <c r="J5293" s="2" t="inlineStr"/>
      <c r="K5293" s="3" t="inlineStr">
        <is>
          <t>Из солдатских историй, рассказанных после войны... Главный герой попадает в штрафной батальон… Фильм о психологии людей военного поколения, которое было вдохновлено идеями всеобщего коммунистического счастья и в то же время и отравлено страхом, унижено массовым попранием справедливости и личностного достоинства.</t>
        </is>
      </c>
      <c r="L5293" s="2" t="inlineStr">
        <is>
          <t>Кино_СССР сводный каталог.xlsx: список фильмов (доп.)</t>
        </is>
      </c>
      <c r="M5293" s="2">
        <f>HYPERLINK("https://ru.wikipedia.org/w/index.php?search=%D0%98%D0%BC%D1%8F%201988%20%D1%84%D0%B8%D0%BB%D1%8C%D0%BC","искать")</f>
        <v/>
      </c>
      <c r="N5293" s="3" t="n"/>
      <c r="O5293" s="2" t="n"/>
      <c r="P5293" s="2" t="n"/>
    </row>
    <row r="5294">
      <c r="A5294" s="2" t="n">
        <v>5293</v>
      </c>
      <c r="B5294" s="2" t="inlineStr"/>
      <c r="C5294" s="2" t="n">
        <v>10124</v>
      </c>
      <c r="D5294" s="3" t="inlineStr">
        <is>
          <t>Нас много - ты и я</t>
        </is>
      </c>
      <c r="E5294" s="2" t="n">
        <v>1964</v>
      </c>
      <c r="F5294" s="2" t="inlineStr">
        <is>
          <t>фильм-спектакль</t>
        </is>
      </c>
      <c r="G5294" s="2" t="inlineStr">
        <is>
          <t>Центральное телевидение</t>
        </is>
      </c>
      <c r="H5294" s="2" t="n">
        <v>313</v>
      </c>
      <c r="I5294" s="2" t="inlineStr"/>
      <c r="J5294" s="2" t="inlineStr"/>
      <c r="K5294" s="3" t="inlineStr">
        <is>
          <t>По повести Станислава Славича.
По оккупированной гитлеровцами советской территории пробираются два беглеца. Их цель - найти партизанский отряд или перейти линию фронта. Один из них - шестнадцатилетний юноша Степан, местный житель. Другой - бежавший из плена советский офицер, которого Степан чудом спас от смерти.</t>
        </is>
      </c>
      <c r="L5294" s="2" t="inlineStr">
        <is>
          <t>https://www.kino-teatr.ru/teatr/movie/136351/annot/</t>
        </is>
      </c>
      <c r="M5294" s="2">
        <f>HYPERLINK("https://ru.wikipedia.org/w/index.php?search=%D0%9D%D0%B0%D1%81%20%D0%BC%D0%BD%D0%BE%D0%B3%D0%BE%20-%20%D1%82%D1%8B%20%D0%B8%20%D1%8F%201964%20%D1%84%D0%B8%D0%BB%D1%8C%D0%BC","искать")</f>
        <v/>
      </c>
      <c r="N5294" s="3" t="n"/>
      <c r="O5294" s="2" t="n"/>
      <c r="P5294" s="2" t="n"/>
    </row>
    <row r="5295">
      <c r="A5295" s="2" t="n">
        <v>5294</v>
      </c>
      <c r="B5295" s="2" t="inlineStr"/>
      <c r="C5295" s="2" t="n">
        <v>11490</v>
      </c>
      <c r="D5295" s="3" t="inlineStr">
        <is>
          <t>Случилось это зимой</t>
        </is>
      </c>
      <c r="E5295" s="2" t="n">
        <v>1968</v>
      </c>
      <c r="F5295" s="2" t="inlineStr">
        <is>
          <t>мультфильм</t>
        </is>
      </c>
      <c r="G5295" s="2" t="inlineStr">
        <is>
          <t>Союзмультфильм</t>
        </is>
      </c>
      <c r="H5295" s="2" t="n">
        <v>313</v>
      </c>
      <c r="I5295" s="2" t="inlineStr"/>
      <c r="J5295" s="2" t="inlineStr"/>
      <c r="K5295" s="3" t="inlineStr">
        <is>
          <t>Пошел однажды охотник в лес, а ружье дома забыл. Встретил он там диких зверей, и с трудом удалось ему убежать от волков и медведя. До самого дома преследовал охотника медведь и даже пытался извлечь его из-под одеяла...Открыл глаза незадачливый охотник и увидел перед собой жену. Оказывется, все это ему приснилось</t>
        </is>
      </c>
      <c r="L5295" s="2" t="inlineStr">
        <is>
          <t>https://gosfilmofond.ru/films/254716/</t>
        </is>
      </c>
      <c r="M5295" s="2">
        <f>HYPERLINK("https://ru.wikipedia.org/w/index.php?search=%D0%A1%D0%BB%D1%83%D1%87%D0%B8%D0%BB%D0%BE%D1%81%D1%8C%20%D1%8D%D1%82%D0%BE%20%D0%B7%D0%B8%D0%BC%D0%BE%D0%B9%201968%20%D1%84%D0%B8%D0%BB%D1%8C%D0%BC","искать")</f>
        <v/>
      </c>
      <c r="N5295" s="3" t="n"/>
      <c r="O5295" s="2" t="n"/>
      <c r="P5295" s="2" t="n"/>
    </row>
    <row r="5296">
      <c r="A5296" s="2" t="n">
        <v>5295</v>
      </c>
      <c r="B5296" s="2" t="inlineStr"/>
      <c r="C5296" s="2" t="n">
        <v>7551</v>
      </c>
      <c r="D5296" s="3" t="inlineStr">
        <is>
          <t>Дорога в Кара-Кийик</t>
        </is>
      </c>
      <c r="E5296" s="2" t="n">
        <v>1975</v>
      </c>
      <c r="F5296" s="2" t="inlineStr">
        <is>
          <t>телефильм</t>
        </is>
      </c>
      <c r="G5296" s="2" t="n"/>
      <c r="H5296" s="2" t="n">
        <v>314</v>
      </c>
      <c r="I5296" s="2" t="inlineStr"/>
      <c r="J5296" s="2" t="inlineStr"/>
      <c r="K5296" s="3" t="inlineStr">
        <is>
          <t>Действие фильма разворачивается вокруг главного героя Толена Мамытбекова. Он человек трудной, неудавшейся судьбы, бывший уголовник, пытающийся в свои сорок лет начать новую жизнь. В этом помогают ему друзья-геологи и простая сельская женщина Шакен, нуждающаяся в верном друге и по­мощнике. Мамытбеков — детдомовец.</t>
        </is>
      </c>
      <c r="L5296" s="2" t="inlineStr">
        <is>
          <t>Кино_СССР сводный каталог.xlsx: список телефильмов</t>
        </is>
      </c>
      <c r="M5296" s="2">
        <f>HYPERLINK("https://ru.wikipedia.org/w/index.php?search=%D0%94%D0%BE%D1%80%D0%BE%D0%B3%D0%B0%20%D0%B2%20%D0%9A%D0%B0%D1%80%D0%B0-%D0%9A%D0%B8%D0%B9%D0%B8%D0%BA%201975%20%D1%84%D0%B8%D0%BB%D1%8C%D0%BC","искать")</f>
        <v/>
      </c>
      <c r="N5296" s="3" t="n"/>
      <c r="O5296" s="2" t="n"/>
      <c r="P5296" s="2" t="n"/>
    </row>
    <row r="5297">
      <c r="A5297" s="2" t="n">
        <v>5296</v>
      </c>
      <c r="B5297" s="2" t="inlineStr"/>
      <c r="C5297" s="2" t="n">
        <v>7720</v>
      </c>
      <c r="D5297" s="3" t="inlineStr">
        <is>
          <t>Картина</t>
        </is>
      </c>
      <c r="E5297" s="2" t="n">
        <v>1985</v>
      </c>
      <c r="F5297" s="2" t="inlineStr">
        <is>
          <t>телефильм</t>
        </is>
      </c>
      <c r="G5297" s="2" t="n"/>
      <c r="H5297" s="2" t="n">
        <v>314</v>
      </c>
      <c r="I5297" s="2" t="inlineStr"/>
      <c r="J5297" s="2" t="inlineStr"/>
      <c r="K5297" s="3" t="inlineStr">
        <is>
          <t>По инициативе председателя исполкома города Лыкова, Сергея Лосева, в одном из красивейших архитектурных сооружений города - Доме Кислых - создается краеведческий музей. В музее открывается выставка картин художника Астахова, посвятившего свои полотна родному городу. По мотивам одноименного романа Даниила Гранина.</t>
        </is>
      </c>
      <c r="L5297" s="2" t="inlineStr">
        <is>
          <t>Кино_СССР сводный каталог.xlsx: список телефильмов</t>
        </is>
      </c>
      <c r="M5297" s="2">
        <f>HYPERLINK("https://ru.wikipedia.org/w/index.php?search=%D0%9A%D0%B0%D1%80%D1%82%D0%B8%D0%BD%D0%B0%201985%20%D1%84%D0%B8%D0%BB%D1%8C%D0%BC","искать")</f>
        <v/>
      </c>
      <c r="N5297" s="3" t="n"/>
      <c r="O5297" s="2" t="n"/>
      <c r="P5297" s="2" t="n"/>
    </row>
    <row r="5298">
      <c r="A5298" s="2" t="n">
        <v>5297</v>
      </c>
      <c r="B5298" s="2" t="inlineStr"/>
      <c r="C5298" s="2" t="n">
        <v>7746</v>
      </c>
      <c r="D5298" s="3" t="inlineStr">
        <is>
          <t>Комендант Пушкин</t>
        </is>
      </c>
      <c r="E5298" s="2" t="n">
        <v>1986</v>
      </c>
      <c r="F5298" s="2" t="inlineStr">
        <is>
          <t>телефильм</t>
        </is>
      </c>
      <c r="G5298" s="2" t="n"/>
      <c r="H5298" s="2" t="n">
        <v>314</v>
      </c>
      <c r="I5298" s="2" t="inlineStr"/>
      <c r="J5298" s="2" t="inlineStr"/>
      <c r="K5298" s="3" t="inlineStr">
        <is>
          <t>По мотивам рассказа Бориса Лавренева. 1919 год. Войска Юденича, наступающие на революционный Петроград, взяли Павловск. В одно мгновение Александр Семёнович Пушкин превратился из коменданта укрепленного района, большевика, стойкого командира матросского батальона, заслужившего доверие, в коменданта Детского Села.</t>
        </is>
      </c>
      <c r="L5298" s="2" t="inlineStr">
        <is>
          <t>Кино_СССР сводный каталог.xlsx: список телефильмов</t>
        </is>
      </c>
      <c r="M5298" s="2">
        <f>HYPERLINK("https://ru.wikipedia.org/w/index.php?search=%D0%9A%D0%BE%D0%BC%D0%B5%D0%BD%D0%B4%D0%B0%D0%BD%D1%82%20%D0%9F%D1%83%D1%88%D0%BA%D0%B8%D0%BD%201986%20%D1%84%D0%B8%D0%BB%D1%8C%D0%BC","искать")</f>
        <v/>
      </c>
      <c r="N5298" s="3" t="n"/>
      <c r="O5298" s="2" t="n"/>
      <c r="P5298" s="2" t="n"/>
    </row>
    <row r="5299">
      <c r="A5299" s="2" t="n">
        <v>5298</v>
      </c>
      <c r="B5299" s="2" t="inlineStr"/>
      <c r="C5299" s="2" t="n">
        <v>7937</v>
      </c>
      <c r="D5299" s="3" t="inlineStr">
        <is>
          <t>Навеки - 19</t>
        </is>
      </c>
      <c r="E5299" s="2" t="n">
        <v>1989</v>
      </c>
      <c r="F5299" s="2" t="inlineStr">
        <is>
          <t>телефильм</t>
        </is>
      </c>
      <c r="G5299" s="2" t="n"/>
      <c r="H5299" s="2" t="n">
        <v>314</v>
      </c>
      <c r="I5299" s="2" t="inlineStr"/>
      <c r="J5299" s="2" t="inlineStr"/>
      <c r="K5299" s="3" t="inlineStr">
        <is>
          <t>По мотивам повести Григория Бакланова. Многое пережил в свои 19 лет лейтенант Володя Третьяков - трудности военных будней, гибель фронтовых друзей, ранение. В госпитале Володя встретил и полюбил девушку Сашу. Уходя на фронт, лейтенант Третьяков очень надеялся на встречу с любимой, которой не суждено было сбыться.</t>
        </is>
      </c>
      <c r="L5299" s="2" t="inlineStr">
        <is>
          <t>Кино_СССР сводный каталог.xlsx: список телефильмов</t>
        </is>
      </c>
      <c r="M5299" s="2">
        <f>HYPERLINK("https://ru.wikipedia.org/w/index.php?search=%D0%9D%D0%B0%D0%B2%D0%B5%D0%BA%D0%B8%20-%2019%201989%20%D1%84%D0%B8%D0%BB%D1%8C%D0%BC","искать")</f>
        <v/>
      </c>
      <c r="N5299" s="3" t="n"/>
      <c r="O5299" s="2" t="n"/>
      <c r="P5299" s="2" t="n"/>
    </row>
    <row r="5300">
      <c r="A5300" s="2" t="n">
        <v>5299</v>
      </c>
      <c r="B5300" s="2" t="inlineStr"/>
      <c r="C5300" s="2" t="n">
        <v>8556</v>
      </c>
      <c r="D5300" s="3" t="inlineStr">
        <is>
          <t>Чёрный треугольник</t>
        </is>
      </c>
      <c r="E5300" s="2" t="n">
        <v>1981</v>
      </c>
      <c r="F5300" s="2" t="inlineStr">
        <is>
          <t>телефильм</t>
        </is>
      </c>
      <c r="G5300" s="2" t="inlineStr">
        <is>
          <t>Мосфильм</t>
        </is>
      </c>
      <c r="H5300" s="2" t="n">
        <v>314</v>
      </c>
      <c r="I5300" s="2" t="inlineStr"/>
      <c r="J5300" s="2" t="inlineStr"/>
      <c r="K5300" s="3" t="inlineStr">
        <is>
          <t>Телесериал. Временное правительство выпустило из тюрем всех уголовников, элиту преступного мира Российской империи. В январе 1918 года происходит одно из самых громких преступлений первых лет Революции - ограбление Патриаршей ризницы Московского Кремля. Следствие ведет группа МУРа во главе с Леонидом Косачевским.</t>
        </is>
      </c>
      <c r="L5300" s="2" t="inlineStr">
        <is>
          <t>Кино_СССР сводный каталог.xlsx: список телефильмов</t>
        </is>
      </c>
      <c r="M5300" s="2">
        <f>HYPERLINK("https://ru.wikipedia.org/w/index.php?search=%D0%A7%D1%91%D1%80%D0%BD%D1%8B%D0%B9%20%D1%82%D1%80%D0%B5%D1%83%D0%B3%D0%BE%D0%BB%D1%8C%D0%BD%D0%B8%D0%BA%201981%20%D1%84%D0%B8%D0%BB%D1%8C%D0%BC","искать")</f>
        <v/>
      </c>
      <c r="N5300" s="3" t="n"/>
      <c r="O5300" s="2" t="n"/>
      <c r="P5300" s="2" t="n"/>
    </row>
    <row r="5301">
      <c r="A5301" s="2" t="n">
        <v>5300</v>
      </c>
      <c r="B5301" s="2" t="inlineStr"/>
      <c r="C5301" s="2" t="n">
        <v>8647</v>
      </c>
      <c r="D5301" s="3" t="inlineStr">
        <is>
          <t>Ведьма</t>
        </is>
      </c>
      <c r="E5301" s="2" t="n">
        <v>1990</v>
      </c>
      <c r="F5301" s="2" t="inlineStr">
        <is>
          <t>кинофильм</t>
        </is>
      </c>
      <c r="G5301" s="2" t="n"/>
      <c r="H5301" s="2" t="n">
        <v>314</v>
      </c>
      <c r="I5301" s="2" t="inlineStr"/>
      <c r="J5301" s="2" t="inlineStr"/>
      <c r="K5301" s="3" t="inlineStr">
        <is>
          <t>По мотивам повести Г. Квитки-Основьяненко. Действие фильма происходит в украинском городке Конотоп. Увидев на ярмарке лучшую городскую невесту - Олену, сотник немедленно влюбляется и решает жениться на ней, но весьма скоро понимает, что на взаимность он может рассчитывать только прибегнув к услугам нечистой силы.</t>
        </is>
      </c>
      <c r="L5301" s="2" t="inlineStr">
        <is>
          <t>Кино_СССР сводный каталог.xlsx: список фильмов (доп.)</t>
        </is>
      </c>
      <c r="M5301" s="2">
        <f>HYPERLINK("https://ru.wikipedia.org/w/index.php?search=%D0%92%D0%B5%D0%B4%D1%8C%D0%BC%D0%B0%201990%20%D1%84%D0%B8%D0%BB%D1%8C%D0%BC","искать")</f>
        <v/>
      </c>
      <c r="N5301" s="3" t="n"/>
      <c r="O5301" s="2" t="n"/>
      <c r="P5301" s="2" t="n"/>
    </row>
    <row r="5302">
      <c r="A5302" s="2" t="n">
        <v>5301</v>
      </c>
      <c r="B5302" s="2" t="inlineStr"/>
      <c r="C5302" s="2" t="n">
        <v>9209</v>
      </c>
      <c r="D5302" s="3" t="inlineStr">
        <is>
          <t>Ау! Ограбление поезда</t>
        </is>
      </c>
      <c r="E5302" s="2" t="n">
        <v>1991</v>
      </c>
      <c r="F5302" s="2" t="inlineStr">
        <is>
          <t>кинофильм</t>
        </is>
      </c>
      <c r="G5302" s="2" t="n"/>
      <c r="H5302" s="2" t="n">
        <v>314</v>
      </c>
      <c r="I5302" s="2" t="inlineStr"/>
      <c r="J5302" s="2" t="inlineStr"/>
      <c r="K5302" s="3" t="inlineStr">
        <is>
          <t>Следователь по особо важным делам выезжает на место событий, где в горном южном районе страны коррупция и преступность приняли новые изощренные формы. Под видом случайного ограбления поезда угоняются отдельные вагоны, груженные отходами металлургического производства - а по существу обогащенная золотоносная руда.</t>
        </is>
      </c>
      <c r="L5302" s="2" t="inlineStr">
        <is>
          <t>Кино_СССР сводный каталог.xlsx: список фильмов (доп.)</t>
        </is>
      </c>
      <c r="M5302" s="2">
        <f>HYPERLINK("https://ru.wikipedia.org/w/index.php?search=%D0%90%D1%83%21%20%D0%9E%D0%B3%D1%80%D0%B0%D0%B1%D0%BB%D0%B5%D0%BD%D0%B8%D0%B5%20%D0%BF%D0%BE%D0%B5%D0%B7%D0%B4%D0%B0%201991%20%D1%84%D0%B8%D0%BB%D1%8C%D0%BC","искать")</f>
        <v/>
      </c>
      <c r="N5302" s="3" t="n"/>
      <c r="O5302" s="2" t="n"/>
      <c r="P5302" s="2" t="n"/>
    </row>
    <row r="5303">
      <c r="A5303" s="2" t="n">
        <v>5302</v>
      </c>
      <c r="B5303" s="2" t="inlineStr"/>
      <c r="C5303" s="2" t="n">
        <v>9264</v>
      </c>
      <c r="D5303" s="3" t="inlineStr">
        <is>
          <t>Вам что, наша власть не нравится?!</t>
        </is>
      </c>
      <c r="E5303" s="2" t="n">
        <v>1988</v>
      </c>
      <c r="F5303" s="2" t="inlineStr">
        <is>
          <t>кинофильм</t>
        </is>
      </c>
      <c r="G5303" s="2" t="n"/>
      <c r="H5303" s="2" t="n">
        <v>314</v>
      </c>
      <c r="I5303" s="2" t="inlineStr"/>
      <c r="J5303" s="2" t="inlineStr"/>
      <c r="K5303" s="3" t="inlineStr">
        <is>
          <t>По повести Бориса Можаева «Полтора квадратных метра». Это психологический гротеск о жильцах коммунальной квартиры, в основе которого лежит, казалось бы, бытовой анекдот: главный герой, Павел Семенович Полубояринов, вынужден перенести дверь своей комнаты, захватив таким образом часть площади коммунальной квартиры.</t>
        </is>
      </c>
      <c r="L5303" s="2" t="inlineStr">
        <is>
          <t>Кино_СССР сводный каталог.xlsx: список фильмов (доп.)</t>
        </is>
      </c>
      <c r="M5303" s="2">
        <f>HYPERLINK("https://ru.wikipedia.org/w/index.php?search=%D0%92%D0%B0%D0%BC%20%D1%87%D1%82%D0%BE%2C%20%D0%BD%D0%B0%D1%88%D0%B0%20%D0%B2%D0%BB%D0%B0%D1%81%D1%82%D1%8C%20%D0%BD%D0%B5%20%D0%BD%D1%80%D0%B0%D0%B2%D0%B8%D1%82%D1%81%D1%8F%3F%21%201988%20%D1%84%D0%B8%D0%BB%D1%8C%D0%BC","искать")</f>
        <v/>
      </c>
      <c r="N5303" s="3" t="n"/>
      <c r="O5303" s="2" t="n"/>
      <c r="P5303" s="2" t="n"/>
    </row>
    <row r="5304">
      <c r="A5304" s="2" t="n">
        <v>5303</v>
      </c>
      <c r="B5304" s="2" t="inlineStr"/>
      <c r="C5304" s="2" t="n">
        <v>9753</v>
      </c>
      <c r="D5304" s="3" t="inlineStr">
        <is>
          <t>Чёрный коридор</t>
        </is>
      </c>
      <c r="E5304" s="2" t="n">
        <v>1988</v>
      </c>
      <c r="F5304" s="2" t="inlineStr">
        <is>
          <t>кинофильм</t>
        </is>
      </c>
      <c r="G5304" s="2" t="n"/>
      <c r="H5304" s="2" t="n">
        <v>314</v>
      </c>
      <c r="I5304" s="2" t="inlineStr"/>
      <c r="J5304" s="2" t="inlineStr"/>
      <c r="K5304" s="3" t="inlineStr">
        <is>
          <t>По повести В.Тендрякова "60 свечей". Учитель истории в день своего юбилея получает анонимное письмо, в котором его называют "очагом общественной заразы" и угрожают убийством. Страх и вопрос "за что?" напоминают ему о том, что почти забыто. Впервые такой страх он пережил, когда отрекся от своего школьного учителя.</t>
        </is>
      </c>
      <c r="L5304" s="2" t="inlineStr">
        <is>
          <t>Кино_СССР сводный каталог.xlsx: список фильмов (доп.)</t>
        </is>
      </c>
      <c r="M5304" s="2">
        <f>HYPERLINK("https://ru.wikipedia.org/w/index.php?search=%D0%A7%D1%91%D1%80%D0%BD%D1%8B%D0%B9%20%D0%BA%D0%BE%D1%80%D0%B8%D0%B4%D0%BE%D1%80%201988%20%D1%84%D0%B8%D0%BB%D1%8C%D0%BC","искать")</f>
        <v/>
      </c>
      <c r="N5304" s="3" t="n"/>
      <c r="O5304" s="2" t="n"/>
      <c r="P5304" s="2" t="n"/>
    </row>
    <row r="5305">
      <c r="A5305" s="2" t="n">
        <v>5304</v>
      </c>
      <c r="B5305" s="2" t="inlineStr"/>
      <c r="C5305" s="2" t="n">
        <v>7196</v>
      </c>
      <c r="D5305" s="3" t="inlineStr">
        <is>
          <t>Айгюн</t>
        </is>
      </c>
      <c r="E5305" s="2" t="n">
        <v>1960</v>
      </c>
      <c r="F5305" s="2" t="inlineStr">
        <is>
          <t>телефильм</t>
        </is>
      </c>
      <c r="G5305" s="2" t="n"/>
      <c r="H5305" s="2" t="n">
        <v>315</v>
      </c>
      <c r="I5305" s="2" t="inlineStr"/>
      <c r="J5305" s="2" t="inlineStr"/>
      <c r="K5305" s="3" t="inlineStr">
        <is>
          <t>Первый художественный фильм Азербайджанского телевидения. По одноименной поэме Самеда Вургуна. Айгюн и Амирхан были красивой влюблённой парой. Амирхан пристрастился к алкоголю, этот шаг разрушил крепкую семью, что стало причиной страдания. Вдруг Амирхан бросил пить и у него появился шанс на воссоединение с семьёй.</t>
        </is>
      </c>
      <c r="L5305" s="2" t="inlineStr">
        <is>
          <t>Кино_СССР сводный каталог.xlsx: список телефильмов</t>
        </is>
      </c>
      <c r="M5305" s="2">
        <f>HYPERLINK("https://ru.wikipedia.org/w/index.php?search=%D0%90%D0%B9%D0%B3%D1%8E%D0%BD%201960%20%D1%84%D0%B8%D0%BB%D1%8C%D0%BC","искать")</f>
        <v/>
      </c>
      <c r="N5305" s="3" t="n"/>
      <c r="O5305" s="2" t="n"/>
      <c r="P5305" s="2" t="n"/>
    </row>
    <row r="5306">
      <c r="A5306" s="2" t="n">
        <v>5305</v>
      </c>
      <c r="B5306" s="2" t="inlineStr"/>
      <c r="C5306" s="2" t="n">
        <v>7406</v>
      </c>
      <c r="D5306" s="3" t="inlineStr">
        <is>
          <t>Встреча перед разлукой</t>
        </is>
      </c>
      <c r="E5306" s="2" t="n">
        <v>1985</v>
      </c>
      <c r="F5306" s="2" t="inlineStr">
        <is>
          <t>телефильм</t>
        </is>
      </c>
      <c r="G5306" s="2" t="inlineStr">
        <is>
          <t>ТО «Экран»</t>
        </is>
      </c>
      <c r="H5306" s="2" t="n">
        <v>315</v>
      </c>
      <c r="I5306" s="2" t="inlineStr"/>
      <c r="J5306" s="2" t="inlineStr"/>
      <c r="K5306" s="3" t="inlineStr">
        <is>
          <t>Телефильм по мотивам повести В. Тельпугова «Парашютисты». В основе сюжета - история молодых людей Жени, Ивана и Володи, оказавшихся 22 июня 1941 года на оккупированной фашистами территории. Спустя восемь дней, пройдя через тяжёлые испытания, они пробиваются к советским войскам. Впереди у них - долгие вёрсты войны.</t>
        </is>
      </c>
      <c r="L5306" s="2" t="inlineStr">
        <is>
          <t>Кино_СССР сводный каталог.xlsx: список телефильмов</t>
        </is>
      </c>
      <c r="M5306" s="2">
        <f>HYPERLINK("https://ru.wikipedia.org/w/index.php?search=%D0%92%D1%81%D1%82%D1%80%D0%B5%D1%87%D0%B0%20%D0%BF%D0%B5%D1%80%D0%B5%D0%B4%20%D1%80%D0%B0%D0%B7%D0%BB%D1%83%D0%BA%D0%BE%D0%B9%201985%20%D1%84%D0%B8%D0%BB%D1%8C%D0%BC","искать")</f>
        <v/>
      </c>
      <c r="N5306" s="3" t="n"/>
      <c r="O5306" s="2" t="n"/>
      <c r="P5306" s="2" t="n"/>
    </row>
    <row r="5307">
      <c r="A5307" s="2" t="n">
        <v>5306</v>
      </c>
      <c r="B5307" s="2" t="inlineStr"/>
      <c r="C5307" s="2" t="n">
        <v>8045</v>
      </c>
      <c r="D5307" s="3" t="inlineStr">
        <is>
          <t>Опасный поворот</t>
        </is>
      </c>
      <c r="E5307" s="2" t="n">
        <v>1972</v>
      </c>
      <c r="F5307" s="2" t="inlineStr">
        <is>
          <t>телефильм</t>
        </is>
      </c>
      <c r="G5307" s="2" t="n"/>
      <c r="H5307" s="2" t="n">
        <v>315</v>
      </c>
      <c r="I5307" s="2" t="inlineStr"/>
      <c r="J5307" s="2" t="inlineStr"/>
      <c r="K5307" s="3" t="inlineStr">
        <is>
          <t>Трехсерийный телефильм В.Басова по одноимённой пьесе Дж.Пристли. Издатель Роберт Кэплен и его жена Фреда тепло принимают в своем загородном доме друзей и родственников. Эта "миленькая маленькая компания", по словам одной гостьи, весело беседует и обменивается сплетнями. Пока темой разговора не становится "правда".</t>
        </is>
      </c>
      <c r="L5307" s="2" t="inlineStr">
        <is>
          <t>Кино_СССР сводный каталог.xlsx: список телефильмов</t>
        </is>
      </c>
      <c r="M5307" s="2">
        <f>HYPERLINK("https://ru.wikipedia.org/w/index.php?search=%D0%9E%D0%BF%D0%B0%D1%81%D0%BD%D1%8B%D0%B9%20%D0%BF%D0%BE%D0%B2%D0%BE%D1%80%D0%BE%D1%82%201972%20%D1%84%D0%B8%D0%BB%D1%8C%D0%BC","искать")</f>
        <v/>
      </c>
      <c r="N5307" s="3" t="n"/>
      <c r="O5307" s="2" t="n"/>
      <c r="P5307" s="2" t="n"/>
    </row>
    <row r="5308">
      <c r="A5308" s="2" t="n">
        <v>5307</v>
      </c>
      <c r="B5308" s="2" t="inlineStr"/>
      <c r="C5308" s="2" t="n">
        <v>8225</v>
      </c>
      <c r="D5308" s="3" t="inlineStr">
        <is>
          <t>Продавец воздуха</t>
        </is>
      </c>
      <c r="E5308" s="2" t="n">
        <v>1967</v>
      </c>
      <c r="F5308" s="2" t="inlineStr">
        <is>
          <t>телефильм</t>
        </is>
      </c>
      <c r="G5308" s="2" t="n"/>
      <c r="H5308" s="2" t="n">
        <v>315</v>
      </c>
      <c r="I5308" s="2" t="inlineStr"/>
      <c r="J5308" s="2" t="inlineStr"/>
      <c r="K5308" s="3" t="inlineStr">
        <is>
          <t>Телефильм по мотивам одноименной повести Александра Беляева. Советский геолог Виктор Клименко со своим проводником и помощником, якутом Николой попадают в ловушку к предприимчивым дельцам. Они собираются законсервировать весь воздух, чтобы монопольно продавать его, наживаться и диктовать свою волю остальному миру.</t>
        </is>
      </c>
      <c r="L5308" s="2" t="inlineStr">
        <is>
          <t>Кино_СССР сводный каталог.xlsx: список телефильмов</t>
        </is>
      </c>
      <c r="M5308" s="2">
        <f>HYPERLINK("https://ru.wikipedia.org/w/index.php?search=%D0%9F%D1%80%D0%BE%D0%B4%D0%B0%D0%B2%D0%B5%D1%86%20%D0%B2%D0%BE%D0%B7%D0%B4%D1%83%D1%85%D0%B0%201967%20%D1%84%D0%B8%D0%BB%D1%8C%D0%BC","искать")</f>
        <v/>
      </c>
      <c r="N5308" s="3" t="n"/>
      <c r="O5308" s="2" t="n"/>
      <c r="P5308" s="2" t="n"/>
    </row>
    <row r="5309">
      <c r="A5309" s="2" t="n">
        <v>5308</v>
      </c>
      <c r="B5309" s="2" t="inlineStr"/>
      <c r="C5309" s="2" t="n">
        <v>8414</v>
      </c>
      <c r="D5309" s="3" t="inlineStr">
        <is>
          <t>Страховой агент</t>
        </is>
      </c>
      <c r="E5309" s="2" t="n">
        <v>1985</v>
      </c>
      <c r="F5309" s="2" t="inlineStr">
        <is>
          <t>телефильм</t>
        </is>
      </c>
      <c r="G5309" s="2" t="n"/>
      <c r="H5309" s="2" t="n">
        <v>315</v>
      </c>
      <c r="I5309" s="2" t="inlineStr"/>
      <c r="J5309" s="2" t="inlineStr"/>
      <c r="K5309" s="3" t="inlineStr">
        <is>
          <t>История об одном дне из жизни Виссариона Булкина - страхового агента. Энергичный в работе, он испытывает чувство неуверенности в личной жизни - любимой девушке не может признаться в своих чувствах, никак не может сдать экзамены в Литературный институт. Преодолеть чувство неуверенности помогает Булкину его Двойник.</t>
        </is>
      </c>
      <c r="L5309" s="2" t="inlineStr">
        <is>
          <t>Кино_СССР сводный каталог.xlsx: список телефильмов</t>
        </is>
      </c>
      <c r="M5309" s="2">
        <f>HYPERLINK("https://ru.wikipedia.org/w/index.php?search=%D0%A1%D1%82%D1%80%D0%B0%D1%85%D0%BE%D0%B2%D0%BE%D0%B9%20%D0%B0%D0%B3%D0%B5%D0%BD%D1%82%201985%20%D1%84%D0%B8%D0%BB%D1%8C%D0%BC","искать")</f>
        <v/>
      </c>
      <c r="N5309" s="3" t="n"/>
      <c r="O5309" s="2" t="n"/>
      <c r="P5309" s="2" t="n"/>
    </row>
    <row r="5310">
      <c r="A5310" s="2" t="n">
        <v>5309</v>
      </c>
      <c r="B5310" s="2" t="inlineStr"/>
      <c r="C5310" s="2" t="n">
        <v>8584</v>
      </c>
      <c r="D5310" s="3" t="inlineStr">
        <is>
          <t>Штрихи к портрету В. И. Ленина</t>
        </is>
      </c>
      <c r="E5310" s="2" t="n">
        <v>1967</v>
      </c>
      <c r="F5310" s="2" t="inlineStr">
        <is>
          <t>телефильм</t>
        </is>
      </c>
      <c r="G5310" s="2" t="n"/>
      <c r="H5310" s="2" t="n">
        <v>315</v>
      </c>
      <c r="I5310" s="2" t="inlineStr"/>
      <c r="J5310" s="2" t="inlineStr"/>
      <c r="K5310" s="3" t="inlineStr">
        <is>
          <t>Цикл фильмов о В.И.Ленине. Фильм первый: "Поимённое голосование". Фильм рассказывает о проходившем в марте 1918 года Чрезвычайном четвёртом Всероссийском съезде Советов, на котором был ратифицирован Брест-Литовский мирный договор, о выступлении В.И.Ленина на съезде. Фильм второй : "Полтора часа в кабинете Ленина".</t>
        </is>
      </c>
      <c r="L5310" s="2" t="inlineStr">
        <is>
          <t>Кино_СССР сводный каталог.xlsx: список телефильмов</t>
        </is>
      </c>
      <c r="M5310" s="2">
        <f>HYPERLINK("https://ru.wikipedia.org/w/index.php?search=%D0%A8%D1%82%D1%80%D0%B8%D1%85%D0%B8%20%D0%BA%20%D0%BF%D0%BE%D1%80%D1%82%D1%80%D0%B5%D1%82%D1%83%20%D0%92.%20%D0%98.%20%D0%9B%D0%B5%D0%BD%D0%B8%D0%BD%D0%B0%201967%20%D1%84%D0%B8%D0%BB%D1%8C%D0%BC","искать")</f>
        <v/>
      </c>
      <c r="N5310" s="3" t="n"/>
      <c r="O5310" s="2" t="n"/>
      <c r="P5310" s="2" t="n"/>
    </row>
    <row r="5311">
      <c r="A5311" s="2" t="n">
        <v>5310</v>
      </c>
      <c r="B5311" s="2" t="inlineStr"/>
      <c r="C5311" s="2" t="n">
        <v>8860</v>
      </c>
      <c r="D5311" s="3" t="inlineStr">
        <is>
          <t>Назугум</t>
        </is>
      </c>
      <c r="E5311" s="2" t="n">
        <v>1991</v>
      </c>
      <c r="F5311" s="2" t="inlineStr">
        <is>
          <t>кинофильм</t>
        </is>
      </c>
      <c r="G5311" s="2" t="n"/>
      <c r="H5311" s="2" t="n">
        <v>315</v>
      </c>
      <c r="I5311" s="2" t="inlineStr"/>
      <c r="J5311" s="2" t="inlineStr"/>
      <c r="K5311" s="3" t="inlineStr">
        <is>
          <t>В 1826 году, после жестокого подавления восстания уйгуров - жителей Кашгара - против маньчжуро-китайцев, маньчжурский хан Дуван зверски уничтожил повстанцев, посадил в темницы, сотни из них были сосланы из Кашгара в Илийскую долину. Среди повстанцев была Назугум, своими героическими стихами поднимавшая дух народа.</t>
        </is>
      </c>
      <c r="L5311" s="2" t="inlineStr">
        <is>
          <t>Кино_СССР сводный каталог.xlsx: список фильмов (доп.)</t>
        </is>
      </c>
      <c r="M5311" s="2">
        <f>HYPERLINK("https://ru.wikipedia.org/w/index.php?search=%D0%9D%D0%B0%D0%B7%D1%83%D0%B3%D1%83%D0%BC%201991%20%D1%84%D0%B8%D0%BB%D1%8C%D0%BC","искать")</f>
        <v/>
      </c>
      <c r="N5311" s="3" t="n"/>
      <c r="O5311" s="2" t="n"/>
      <c r="P5311" s="2" t="n"/>
    </row>
    <row r="5312">
      <c r="A5312" s="2" t="n">
        <v>5311</v>
      </c>
      <c r="B5312" s="2" t="inlineStr"/>
      <c r="C5312" s="2" t="n">
        <v>8973</v>
      </c>
      <c r="D5312" s="3" t="inlineStr">
        <is>
          <t>Приближение</t>
        </is>
      </c>
      <c r="E5312" s="2" t="n">
        <v>1989</v>
      </c>
      <c r="F5312" s="2" t="inlineStr">
        <is>
          <t>кинофильм</t>
        </is>
      </c>
      <c r="G5312" s="2" t="n"/>
      <c r="H5312" s="2" t="n">
        <v>315</v>
      </c>
      <c r="I5312" s="2" t="inlineStr"/>
      <c r="J5312" s="2" t="inlineStr"/>
      <c r="K5312" s="3" t="inlineStr">
        <is>
          <t>Полнокровная, интересная жизнь давно покинула дом, где живут мать, отец, сын и дочь. Бытовые мелочи, «дежурные разговоры» за обедом — это все, что их связывает. Ситуация меняется, когда становится известно, что семье по наследству переходит деревенский дом и, возможно, предстоит вступить в борьбу с сонаследниками.</t>
        </is>
      </c>
      <c r="L5312" s="2" t="inlineStr">
        <is>
          <t>Кино_СССР сводный каталог.xlsx: список фильмов (доп.)</t>
        </is>
      </c>
      <c r="M5312" s="2">
        <f>HYPERLINK("https://ru.wikipedia.org/w/index.php?search=%D0%9F%D1%80%D0%B8%D0%B1%D0%BB%D0%B8%D0%B6%D0%B5%D0%BD%D0%B8%D0%B5%201989%20%D1%84%D0%B8%D0%BB%D1%8C%D0%BC","искать")</f>
        <v/>
      </c>
      <c r="N5312" s="3" t="n"/>
      <c r="O5312" s="2" t="n"/>
      <c r="P5312" s="2" t="n"/>
    </row>
    <row r="5313">
      <c r="A5313" s="2" t="n">
        <v>5312</v>
      </c>
      <c r="B5313" s="2" t="inlineStr"/>
      <c r="C5313" s="2" t="n">
        <v>9371</v>
      </c>
      <c r="D5313" s="3" t="inlineStr">
        <is>
          <t>Западня</t>
        </is>
      </c>
      <c r="E5313" s="2" t="n">
        <v>1989</v>
      </c>
      <c r="F5313" s="2" t="inlineStr">
        <is>
          <t>кинофильм</t>
        </is>
      </c>
      <c r="G5313" s="2" t="n"/>
      <c r="H5313" s="2" t="n">
        <v>315</v>
      </c>
      <c r="I5313" s="2" t="inlineStr"/>
      <c r="J5313" s="2" t="inlineStr"/>
      <c r="K5313" s="3" t="inlineStr">
        <is>
          <t>По повести А.Бусуйока. История, рассказанная в «Западне», удивляет своей уникальностью. В центре повествования — сельский учитель, покидающий в 1944 году родную Бессарабию, к которой с боями приближается Красная Армия. У мягкого, интеллигентного Себастиана Раду есть все основания избегать встречи с освободителями.</t>
        </is>
      </c>
      <c r="L5313" s="2" t="inlineStr">
        <is>
          <t>Кино_СССР сводный каталог.xlsx: список фильмов (доп.)</t>
        </is>
      </c>
      <c r="M5313" s="2">
        <f>HYPERLINK("https://ru.wikipedia.org/w/index.php?search=%D0%97%D0%B0%D0%BF%D0%B0%D0%B4%D0%BD%D1%8F%201989%20%D1%84%D0%B8%D0%BB%D1%8C%D0%BC","искать")</f>
        <v/>
      </c>
      <c r="N5313" s="3" t="n"/>
      <c r="O5313" s="2" t="n"/>
      <c r="P5313" s="2" t="n"/>
    </row>
    <row r="5314">
      <c r="A5314" s="2" t="n">
        <v>5313</v>
      </c>
      <c r="B5314" s="2" t="inlineStr"/>
      <c r="C5314" s="2" t="n">
        <v>11307</v>
      </c>
      <c r="D5314" s="3" t="inlineStr">
        <is>
          <t>Лебединая песня</t>
        </is>
      </c>
      <c r="E5314" s="2" t="n">
        <v>1990</v>
      </c>
      <c r="F5314" s="2" t="inlineStr">
        <is>
          <t>фильм-спектакль</t>
        </is>
      </c>
      <c r="G5314" s="2" t="inlineStr">
        <is>
          <t>Главная редакция литературно-художественных программ ЦТ</t>
        </is>
      </c>
      <c r="H5314" s="2" t="n">
        <v>315</v>
      </c>
      <c r="I5314" s="2" t="inlineStr"/>
      <c r="J5314" s="2" t="inlineStr"/>
      <c r="K5314" s="3" t="inlineStr">
        <is>
          <t>Бенефис Олега Борисова.
В основу сюжета телеспектакля положен драматический этюд А. Чехова "Лебединая песня" о судьбе старого актера. По ходу спектакля актер вспоминает некоторые свои роли в различных постановках по произведениям Островского, Грибоедова, Шекспира, Гоголя, читает стихи Пушкина, поёт песню Окуджавы.</t>
        </is>
      </c>
      <c r="L5314" s="2" t="inlineStr">
        <is>
          <t>https://www.kino-teatr.ru/teatr/movie/16431/annot/</t>
        </is>
      </c>
      <c r="M5314" s="2">
        <f>HYPERLINK("https://ru.wikipedia.org/w/index.php?search=%D0%9B%D0%B5%D0%B1%D0%B5%D0%B4%D0%B8%D0%BD%D0%B0%D1%8F%20%D0%BF%D0%B5%D1%81%D0%BD%D1%8F%201990%20%D1%84%D0%B8%D0%BB%D1%8C%D0%BC","искать")</f>
        <v/>
      </c>
      <c r="N5314" s="3" t="n"/>
      <c r="O5314" s="2" t="n"/>
      <c r="P5314" s="2" t="n"/>
    </row>
    <row r="5315">
      <c r="A5315" s="2" t="n">
        <v>5314</v>
      </c>
      <c r="B5315" s="2" t="inlineStr"/>
      <c r="C5315" s="2" t="n">
        <v>7839</v>
      </c>
      <c r="D5315" s="3" t="inlineStr">
        <is>
          <t>Макар-следопыт</t>
        </is>
      </c>
      <c r="E5315" s="2" t="n">
        <v>1984</v>
      </c>
      <c r="F5315" s="2" t="inlineStr">
        <is>
          <t>телефильм</t>
        </is>
      </c>
      <c r="G5315" s="2" t="n"/>
      <c r="H5315" s="2" t="n">
        <v>316</v>
      </c>
      <c r="I5315" s="2" t="inlineStr"/>
      <c r="J5315" s="2" t="inlineStr"/>
      <c r="K5315" s="3" t="inlineStr">
        <is>
          <t>Минисериал по мотивам повести Л.Остроумова "Макар-следопыт". О приключениях деревенского паренька Макара и его друзей, вступивших в отчаянную схватку с белогвардейцами и победивших их благодаря мужеству, смекалке и дружбе. А неизменным помощником отважного Макара выступает очень преданная и сообразительная овчарка.</t>
        </is>
      </c>
      <c r="L5315" s="2" t="inlineStr">
        <is>
          <t>Кино_СССР сводный каталог.xlsx: список телефильмов</t>
        </is>
      </c>
      <c r="M5315" s="2">
        <f>HYPERLINK("https://ru.wikipedia.org/w/index.php?search=%D0%9C%D0%B0%D0%BA%D0%B0%D1%80-%D1%81%D0%BB%D0%B5%D0%B4%D0%BE%D0%BF%D1%8B%D1%82%201984%20%D1%84%D0%B8%D0%BB%D1%8C%D0%BC","искать")</f>
        <v/>
      </c>
      <c r="N5315" s="3" t="n"/>
      <c r="O5315" s="2" t="n"/>
      <c r="P5315" s="2" t="n"/>
    </row>
    <row r="5316">
      <c r="A5316" s="2" t="n">
        <v>5315</v>
      </c>
      <c r="B5316" s="2" t="inlineStr"/>
      <c r="C5316" s="2" t="n">
        <v>8012</v>
      </c>
      <c r="D5316" s="3" t="inlineStr">
        <is>
          <t>Ночь без края</t>
        </is>
      </c>
      <c r="E5316" s="2" t="n">
        <v>1989</v>
      </c>
      <c r="F5316" s="2" t="inlineStr">
        <is>
          <t>телефильм</t>
        </is>
      </c>
      <c r="G5316" s="2" t="n"/>
      <c r="H5316" s="2" t="n">
        <v>316</v>
      </c>
      <c r="I5316" s="2" t="inlineStr"/>
      <c r="J5316" s="2" t="inlineStr"/>
      <c r="K5316" s="3" t="inlineStr">
        <is>
          <t>Случается так, что малейшая ошибка, следствие всего лишь единственного неверного шага, может преследовать человека всю жизнь. Именно так случилось с героиней телефильма «Ночь без края». Роковую роль в нравственном падении Зибейды сыграли зловещие 30-е годы... Действие охватывает несколько десятилетий жизни Зибейды.</t>
        </is>
      </c>
      <c r="L5316" s="2" t="inlineStr">
        <is>
          <t>Кино_СССР сводный каталог.xlsx: список телефильмов</t>
        </is>
      </c>
      <c r="M5316" s="2">
        <f>HYPERLINK("https://ru.wikipedia.org/w/index.php?search=%D0%9D%D0%BE%D1%87%D1%8C%20%D0%B1%D0%B5%D0%B7%20%D0%BA%D1%80%D0%B0%D1%8F%201989%20%D1%84%D0%B8%D0%BB%D1%8C%D0%BC","искать")</f>
        <v/>
      </c>
      <c r="N5316" s="3" t="n"/>
      <c r="O5316" s="2" t="n"/>
      <c r="P5316" s="2" t="n"/>
    </row>
    <row r="5317">
      <c r="A5317" s="2" t="n">
        <v>5316</v>
      </c>
      <c r="B5317" s="2" t="inlineStr"/>
      <c r="C5317" s="2" t="n">
        <v>8071</v>
      </c>
      <c r="D5317" s="3" t="inlineStr">
        <is>
          <t>Отцы и дети</t>
        </is>
      </c>
      <c r="E5317" s="2" t="n">
        <v>1983</v>
      </c>
      <c r="F5317" s="2" t="inlineStr">
        <is>
          <t>телефильм</t>
        </is>
      </c>
      <c r="G5317" s="2" t="n"/>
      <c r="H5317" s="2" t="n">
        <v>316</v>
      </c>
      <c r="I5317" s="2" t="inlineStr"/>
      <c r="J5317" s="2" t="inlineStr"/>
      <c r="K5317" s="3" t="inlineStr">
        <is>
          <t>Телесериал по одноименному роману И. Тургенева. К сорокатрехлетнему помещику Кирсанову приезжает сын Аркадий, только что окончивший университет. C ним - самоуверенный молодой человек, начинающий доктор, Евгений Васильевич Базаров. Старший брат отца, Павел Петрович, и Базаров очень быстро ощущают взаимную антипатию.</t>
        </is>
      </c>
      <c r="L5317" s="2" t="inlineStr">
        <is>
          <t>Кино_СССР сводный каталог.xlsx: список телефильмов</t>
        </is>
      </c>
      <c r="M5317" s="2">
        <f>HYPERLINK("https://ru.wikipedia.org/w/index.php?search=%D0%9E%D1%82%D1%86%D1%8B%20%D0%B8%20%D0%B4%D0%B5%D1%82%D0%B8%201983%20%D1%84%D0%B8%D0%BB%D1%8C%D0%BC","искать")</f>
        <v/>
      </c>
      <c r="N5317" s="3" t="n"/>
      <c r="O5317" s="2" t="n"/>
      <c r="P5317" s="2" t="n"/>
    </row>
    <row r="5318">
      <c r="A5318" s="2" t="n">
        <v>5317</v>
      </c>
      <c r="B5318" s="2" t="inlineStr"/>
      <c r="C5318" s="2" t="n">
        <v>8172</v>
      </c>
      <c r="D5318" s="3" t="inlineStr">
        <is>
          <t>Последняя инспекция</t>
        </is>
      </c>
      <c r="E5318" s="2" t="n">
        <v>1985</v>
      </c>
      <c r="F5318" s="2" t="inlineStr">
        <is>
          <t>телефильм</t>
        </is>
      </c>
      <c r="G5318" s="2" t="n"/>
      <c r="H5318" s="2" t="n">
        <v>316</v>
      </c>
      <c r="I5318" s="2" t="inlineStr"/>
      <c r="J5318" s="2" t="inlineStr"/>
      <c r="K5318" s="3" t="inlineStr">
        <is>
          <t>По мотивам книги-воспоминаний М. Табакина "100 дней". Действие фильма происходит в 1927 году в Узбекистане. Из Москвы в Ташкент направлена группа сотрудников Центророзыска для оказания помощи местной милиции в борьбе с бандитизмом. При этом они участвуют в борьбе с остатками басмачества и белогвардейского подполья.</t>
        </is>
      </c>
      <c r="L5318" s="2" t="inlineStr">
        <is>
          <t>Кино_СССР сводный каталог.xlsx: список телефильмов</t>
        </is>
      </c>
      <c r="M5318" s="2">
        <f>HYPERLINK("https://ru.wikipedia.org/w/index.php?search=%D0%9F%D0%BE%D1%81%D0%BB%D0%B5%D0%B4%D0%BD%D1%8F%D1%8F%20%D0%B8%D0%BD%D1%81%D0%BF%D0%B5%D0%BA%D1%86%D0%B8%D1%8F%201985%20%D1%84%D0%B8%D0%BB%D1%8C%D0%BC","искать")</f>
        <v/>
      </c>
      <c r="N5318" s="3" t="n"/>
      <c r="O5318" s="2" t="n"/>
      <c r="P5318" s="2" t="n"/>
    </row>
    <row r="5319">
      <c r="A5319" s="2" t="n">
        <v>5318</v>
      </c>
      <c r="B5319" s="2" t="inlineStr"/>
      <c r="C5319" s="2" t="n">
        <v>9638</v>
      </c>
      <c r="D5319" s="3" t="inlineStr">
        <is>
          <t>Семнадцать левых сапог</t>
        </is>
      </c>
      <c r="E5319" s="2" t="n">
        <v>1991</v>
      </c>
      <c r="F5319" s="2" t="inlineStr">
        <is>
          <t>кинофильм</t>
        </is>
      </c>
      <c r="G5319" s="2" t="n"/>
      <c r="H5319" s="2" t="n">
        <v>316</v>
      </c>
      <c r="I5319" s="2" t="inlineStr"/>
      <c r="J5319" s="2" t="inlineStr"/>
      <c r="K5319" s="3" t="inlineStr">
        <is>
          <t>Киноверсия ("За что?") в двух сериях. По роману Вацлава Михальского "Семнадцать левых сапог". В провинциальном городе при больнице работает сторожем Адам Степанович, настоящее имя которого - Алексей Зыков. Вышло так, что пришлось ему после войны жить двумя жизнями, в одной из которых он воевал, попал в плен, бежал.</t>
        </is>
      </c>
      <c r="L5319" s="2" t="inlineStr">
        <is>
          <t>Кино_СССР сводный каталог.xlsx: список фильмов (доп.)</t>
        </is>
      </c>
      <c r="M5319" s="2">
        <f>HYPERLINK("https://ru.wikipedia.org/w/index.php?search=%D0%A1%D0%B5%D0%BC%D0%BD%D0%B0%D0%B4%D1%86%D0%B0%D1%82%D1%8C%20%D0%BB%D0%B5%D0%B2%D1%8B%D1%85%20%D1%81%D0%B0%D0%BF%D0%BE%D0%B3%201991%20%D1%84%D0%B8%D0%BB%D1%8C%D0%BC","искать")</f>
        <v/>
      </c>
      <c r="N5319" s="3" t="n"/>
      <c r="O5319" s="2" t="n"/>
      <c r="P5319" s="2" t="n"/>
    </row>
    <row r="5320">
      <c r="A5320" s="2" t="n">
        <v>5319</v>
      </c>
      <c r="B5320" s="2" t="inlineStr"/>
      <c r="C5320" s="2" t="n">
        <v>14335</v>
      </c>
      <c r="D5320" s="3" t="inlineStr">
        <is>
          <t>Приключения волшебного глобуса или проделки ведьмы</t>
        </is>
      </c>
      <c r="E5320" s="2" t="n">
        <v>1991</v>
      </c>
      <c r="F5320" s="2" t="inlineStr">
        <is>
          <t>мультфильм</t>
        </is>
      </c>
      <c r="G5320" s="2" t="inlineStr">
        <is>
          <t>Союзмультфильм</t>
        </is>
      </c>
      <c r="H5320" s="2" t="n">
        <v>316</v>
      </c>
      <c r="I5320" s="2" t="inlineStr"/>
      <c r="J5320" s="2" t="inlineStr"/>
      <c r="K5320" s="3" t="inlineStr">
        <is>
          <t>Мультфильм о путешествии с помощью волшебного глобуса по сказкам народов мира на материале фильмов прошлых лет: "Мальчик из Неаполя", "Ореховый прутик", "Горе не беда!", "Золушка"."Если глобус в добрых руках - то исчезнет беда и страх - и не будут глаза в слезах! И чтобы к нам не пришла беда - берегите его всегда!"</t>
        </is>
      </c>
      <c r="L5320" s="2" t="inlineStr">
        <is>
          <t>2026-10_мультфильмы_список_владельца.xlsx; https://animator.ru/db/?p=show_film&amp;fid=5904</t>
        </is>
      </c>
      <c r="M5320" s="2">
        <f>HYPERLINK("https://ru.wikipedia.org/w/index.php?search=%D0%9F%D1%80%D0%B8%D0%BA%D0%BB%D1%8E%D1%87%D0%B5%D0%BD%D0%B8%D1%8F%20%D0%B2%D0%BE%D0%BB%D1%88%D0%B5%D0%B1%D0%BD%D0%BE%D0%B3%D0%BE%20%D0%B3%D0%BB%D0%BE%D0%B1%D1%83%D1%81%D0%B0%20%D0%B8%D0%BB%D0%B8%20%D0%BF%D1%80%D0%BE%D0%B4%D0%B5%D0%BB%D0%BA%D0%B8%20%D0%B2%D0%B5%D0%B4%D1%8C%D0%BC%D1%8B%201991%20%D1%84%D0%B8%D0%BB%D1%8C%D0%BC","искать")</f>
        <v/>
      </c>
      <c r="N5320" s="3" t="n"/>
      <c r="O5320" s="2" t="n"/>
      <c r="P5320" s="2" t="n"/>
    </row>
    <row r="5321">
      <c r="A5321" s="2" t="n">
        <v>5320</v>
      </c>
      <c r="B5321" s="2" t="inlineStr"/>
      <c r="C5321" s="2" t="n">
        <v>7535</v>
      </c>
      <c r="D5321" s="3" t="inlineStr">
        <is>
          <t>Долгое эхо в горах</t>
        </is>
      </c>
      <c r="E5321" s="2" t="n">
        <v>1985</v>
      </c>
      <c r="F5321" s="2" t="inlineStr">
        <is>
          <t>телефильм</t>
        </is>
      </c>
      <c r="G5321" s="2" t="n"/>
      <c r="H5321" s="2" t="n">
        <v>317</v>
      </c>
      <c r="I5321" s="2" t="inlineStr"/>
      <c r="J5321" s="2" t="inlineStr"/>
      <c r="K5321" s="3" t="inlineStr">
        <is>
          <t>По мотивам повести Е.Березикова "Не бойся кобры". В родной кишлак приезжает Бахрам Халилов - молодой ученый-гидролог, автор проекта водохранилища. Ему приходится преодолевать не только производственные трудности, но и сопротивление односельчан, которые не могут смириться с мыслью, что родное селение будет затоплено.</t>
        </is>
      </c>
      <c r="L5321" s="2" t="inlineStr">
        <is>
          <t>Кино_СССР сводный каталог.xlsx: список телефильмов</t>
        </is>
      </c>
      <c r="M5321" s="2">
        <f>HYPERLINK("https://ru.wikipedia.org/w/index.php?search=%D0%94%D0%BE%D0%BB%D0%B3%D0%BE%D0%B5%20%D1%8D%D1%85%D0%BE%20%D0%B2%20%D0%B3%D0%BE%D1%80%D0%B0%D1%85%201985%20%D1%84%D0%B8%D0%BB%D1%8C%D0%BC","искать")</f>
        <v/>
      </c>
      <c r="N5321" s="3" t="n"/>
      <c r="O5321" s="2" t="n"/>
      <c r="P5321" s="2" t="n"/>
    </row>
    <row r="5322">
      <c r="A5322" s="2" t="n">
        <v>5321</v>
      </c>
      <c r="B5322" s="2" t="inlineStr"/>
      <c r="C5322" s="2" t="n">
        <v>7807</v>
      </c>
      <c r="D5322" s="3" t="inlineStr">
        <is>
          <t>Летучая мышь</t>
        </is>
      </c>
      <c r="E5322" s="2" t="n">
        <v>1978</v>
      </c>
      <c r="F5322" s="2" t="inlineStr">
        <is>
          <t>телефильм</t>
        </is>
      </c>
      <c r="G5322" s="2" t="n"/>
      <c r="H5322" s="2" t="n">
        <v>317</v>
      </c>
      <c r="I5322" s="2" t="inlineStr"/>
      <c r="J5322" s="2" t="inlineStr"/>
      <c r="K5322" s="3" t="inlineStr">
        <is>
          <t>Телефильм. Одно из классических творений короля вальса Иоганна Штрауса. Грандиозный костюмированный бал, море шуток, веселья и... Музыка! Блестящий мюзикл Иоганна Штрауса по мотивам либретто Н. Эрдмана и М. Вольпина. Жена (Максакова), узнает о том, что муж (Юрий Соломин) изменяет ей и волочится за другими женщинами.</t>
        </is>
      </c>
      <c r="L5322" s="2" t="inlineStr">
        <is>
          <t>Кино_СССР сводный каталог.xlsx: список телефильмов</t>
        </is>
      </c>
      <c r="M5322" s="2">
        <f>HYPERLINK("https://ru.wikipedia.org/w/index.php?search=%D0%9B%D0%B5%D1%82%D1%83%D1%87%D0%B0%D1%8F%20%D0%BC%D1%8B%D1%88%D1%8C%201978%20%D1%84%D0%B8%D0%BB%D1%8C%D0%BC","искать")</f>
        <v/>
      </c>
      <c r="N5322" s="3" t="n"/>
      <c r="O5322" s="2" t="n"/>
      <c r="P5322" s="2" t="n"/>
    </row>
    <row r="5323">
      <c r="A5323" s="2" t="n">
        <v>5322</v>
      </c>
      <c r="B5323" s="2" t="inlineStr"/>
      <c r="C5323" s="2" t="n">
        <v>8896</v>
      </c>
      <c r="D5323" s="3" t="inlineStr">
        <is>
          <t>Он научился летать</t>
        </is>
      </c>
      <c r="E5323" s="2" t="n">
        <v>1991</v>
      </c>
      <c r="F5323" s="2" t="inlineStr">
        <is>
          <t>кинофильм</t>
        </is>
      </c>
      <c r="G5323" s="2" t="n"/>
      <c r="H5323" s="2" t="n">
        <v>317</v>
      </c>
      <c r="I5323" s="2" t="inlineStr"/>
      <c r="J5323" s="2" t="inlineStr"/>
      <c r="K5323" s="3" t="inlineStr">
        <is>
          <t>Фильм рассказывает о выдающемся солисте балета Андрисе Лиепа. В нем Вы увидите отрывки из спектаклей "Баядерка", "Весна священная", "Лебединое озеро", поставленные на сцене Мариинского театра Санкт-Петербурга. Вы увидите уникальные кадры, запечатлевшие сложный путь артиста: спектакли, репетиции, воспоминания, мечты.</t>
        </is>
      </c>
      <c r="L5323" s="2" t="inlineStr">
        <is>
          <t>Кино_СССР сводный каталог.xlsx: список фильмов (доп.)</t>
        </is>
      </c>
      <c r="M5323" s="2">
        <f>HYPERLINK("https://ru.wikipedia.org/w/index.php?search=%D0%9E%D0%BD%20%D0%BD%D0%B0%D1%83%D1%87%D0%B8%D0%BB%D1%81%D1%8F%20%D0%BB%D0%B5%D1%82%D0%B0%D1%82%D1%8C%201991%20%D1%84%D0%B8%D0%BB%D1%8C%D0%BC","искать")</f>
        <v/>
      </c>
      <c r="N5323" s="3" t="n"/>
      <c r="O5323" s="2" t="n"/>
      <c r="P5323" s="2" t="n"/>
    </row>
    <row r="5324">
      <c r="A5324" s="2" t="n">
        <v>5323</v>
      </c>
      <c r="B5324" s="2" t="inlineStr"/>
      <c r="C5324" s="2" t="n">
        <v>7982</v>
      </c>
      <c r="D5324" s="3" t="inlineStr">
        <is>
          <t>Немой</t>
        </is>
      </c>
      <c r="E5324" s="2" t="n">
        <v>1985</v>
      </c>
      <c r="F5324" s="2" t="inlineStr">
        <is>
          <t>телефильм</t>
        </is>
      </c>
      <c r="G5324" s="2" t="n"/>
      <c r="H5324" s="2" t="n">
        <v>318</v>
      </c>
      <c r="I5324" s="2" t="inlineStr"/>
      <c r="J5324" s="2" t="inlineStr"/>
      <c r="K5324" s="3" t="inlineStr">
        <is>
          <t>Литовская деревня XIX века. Двое соседских мальчишек Казис и Йонас - неразлучные друзья. Не спешат обзаводиться семьями и став взрослыми. Но однажды в костёле Казис увидел Анелю и решает жениться. Друг решает помочь Казису. Йонас соглашается побыть сватом, он договаривается с родителями невесты и привозит другу жену.</t>
        </is>
      </c>
      <c r="L5324" s="2" t="inlineStr">
        <is>
          <t>Кино_СССР сводный каталог.xlsx: список телефильмов</t>
        </is>
      </c>
      <c r="M5324" s="2">
        <f>HYPERLINK("https://ru.wikipedia.org/w/index.php?search=%D0%9D%D0%B5%D0%BC%D0%BE%D0%B9%201985%20%D1%84%D0%B8%D0%BB%D1%8C%D0%BC","искать")</f>
        <v/>
      </c>
      <c r="N5324" s="3" t="n"/>
      <c r="O5324" s="2" t="n"/>
      <c r="P5324" s="2" t="n"/>
    </row>
    <row r="5325">
      <c r="A5325" s="2" t="n">
        <v>5324</v>
      </c>
      <c r="B5325" s="2" t="inlineStr"/>
      <c r="C5325" s="2" t="n">
        <v>8306</v>
      </c>
      <c r="D5325" s="3" t="inlineStr">
        <is>
          <t>Свадьба старшего брата</t>
        </is>
      </c>
      <c r="E5325" s="2" t="n">
        <v>1985</v>
      </c>
      <c r="F5325" s="2" t="inlineStr">
        <is>
          <t>телефильм</t>
        </is>
      </c>
      <c r="G5325" s="2" t="n"/>
      <c r="H5325" s="2" t="n">
        <v>318</v>
      </c>
      <c r="I5325" s="2" t="inlineStr"/>
      <c r="J5325" s="2" t="inlineStr"/>
      <c r="K5325" s="3" t="inlineStr">
        <is>
          <t>По мотивам рассказа Н.Соротокиной "Свадьба". Любовный "треугольник" сложился в семье Полозовых. У старшего брата Бориса есть любимая девушка Надя, в которую влюблен первой, чистой любовью младший брат Костя. Он и принял горячее участие в судьбе девушки, когда казалось, что разрыв между Надей и Борисом стал неизбежен.</t>
        </is>
      </c>
      <c r="L5325" s="2" t="inlineStr">
        <is>
          <t>Кино_СССР сводный каталог.xlsx: список телефильмов</t>
        </is>
      </c>
      <c r="M5325" s="2">
        <f>HYPERLINK("https://ru.wikipedia.org/w/index.php?search=%D0%A1%D0%B2%D0%B0%D0%B4%D1%8C%D0%B1%D0%B0%20%D1%81%D1%82%D0%B0%D1%80%D1%88%D0%B5%D0%B3%D0%BE%20%D0%B1%D1%80%D0%B0%D1%82%D0%B0%201985%20%D1%84%D0%B8%D0%BB%D1%8C%D0%BC","искать")</f>
        <v/>
      </c>
      <c r="N5325" s="3" t="n"/>
      <c r="O5325" s="2" t="n"/>
      <c r="P5325" s="2" t="n"/>
    </row>
    <row r="5326">
      <c r="A5326" s="2" t="n">
        <v>5325</v>
      </c>
      <c r="B5326" s="2" t="inlineStr"/>
      <c r="C5326" s="2" t="n">
        <v>8543</v>
      </c>
      <c r="D5326" s="3" t="inlineStr">
        <is>
          <t>Часовщик и курица</t>
        </is>
      </c>
      <c r="E5326" s="2" t="n">
        <v>1989</v>
      </c>
      <c r="F5326" s="2" t="inlineStr">
        <is>
          <t>телефильм</t>
        </is>
      </c>
      <c r="G5326" s="2" t="n"/>
      <c r="H5326" s="2" t="n">
        <v>318</v>
      </c>
      <c r="I5326" s="2" t="inlineStr"/>
      <c r="J5326" s="2" t="inlineStr"/>
      <c r="K5326" s="3" t="inlineStr">
        <is>
          <t>По мотивам одноименной пьесы Ивана Кочерги. В 1913 году случай сводит на маленькой железнодорожной станции молодого учителя гимназии Юркевича, его первую любовь Лиду, богатого помещика Лундышева и немца-часовщика Карфункеля. Через семь лет, в начале двадцатых, а затем еще через семь лет герои встречаются здесь вновь.</t>
        </is>
      </c>
      <c r="L5326" s="2" t="inlineStr">
        <is>
          <t>Кино_СССР сводный каталог.xlsx: список телефильмов</t>
        </is>
      </c>
      <c r="M5326" s="2">
        <f>HYPERLINK("https://ru.wikipedia.org/w/index.php?search=%D0%A7%D0%B0%D1%81%D0%BE%D0%B2%D1%89%D0%B8%D0%BA%20%D0%B8%20%D0%BA%D1%83%D1%80%D0%B8%D1%86%D0%B0%201989%20%D1%84%D0%B8%D0%BB%D1%8C%D0%BC","искать")</f>
        <v/>
      </c>
      <c r="N5326" s="3" t="n"/>
      <c r="O5326" s="2" t="n"/>
      <c r="P5326" s="2" t="n"/>
    </row>
    <row r="5327">
      <c r="A5327" s="2" t="n">
        <v>5326</v>
      </c>
      <c r="B5327" s="2" t="inlineStr"/>
      <c r="C5327" s="2" t="n">
        <v>8602</v>
      </c>
      <c r="D5327" s="3" t="inlineStr">
        <is>
          <t>Эхо любви</t>
        </is>
      </c>
      <c r="E5327" s="2" t="n">
        <v>1974</v>
      </c>
      <c r="F5327" s="2" t="inlineStr">
        <is>
          <t>телефильм</t>
        </is>
      </c>
      <c r="G5327" s="2" t="n"/>
      <c r="H5327" s="2" t="n">
        <v>318</v>
      </c>
      <c r="I5327" s="2" t="inlineStr"/>
      <c r="J5327" s="2" t="inlineStr"/>
      <c r="K5327" s="3" t="inlineStr">
        <is>
          <t>Телефильм по рассказу Чингиза Айтматова «На реке Байдамтал». Недалеко от гидропоста в горах Киргизии находят потерявшего сознание студента Нурбека Алиева. Гидролог Асия вылечивает юношу. Вскоре выясняется, что Алиев занимался выведением новых сортов пшеницы, именно по его вине сгорело опытное поле и разбился комбайн.</t>
        </is>
      </c>
      <c r="L5327" s="2" t="inlineStr">
        <is>
          <t>Кино_СССР сводный каталог.xlsx: список телефильмов</t>
        </is>
      </c>
      <c r="M5327" s="2">
        <f>HYPERLINK("https://ru.wikipedia.org/w/index.php?search=%D0%AD%D1%85%D0%BE%20%D0%BB%D1%8E%D0%B1%D0%B2%D0%B8%201974%20%D1%84%D0%B8%D0%BB%D1%8C%D0%BC","искать")</f>
        <v/>
      </c>
      <c r="N5327" s="3" t="n"/>
      <c r="O5327" s="2" t="n"/>
      <c r="P5327" s="2" t="n"/>
    </row>
    <row r="5328">
      <c r="A5328" s="2" t="n">
        <v>5327</v>
      </c>
      <c r="B5328" s="2" t="inlineStr"/>
      <c r="C5328" s="2" t="n">
        <v>8674</v>
      </c>
      <c r="D5328" s="3" t="inlineStr">
        <is>
          <t>Выстрел в степи</t>
        </is>
      </c>
      <c r="E5328" s="2" t="n">
        <v>1990</v>
      </c>
      <c r="F5328" s="2" t="inlineStr">
        <is>
          <t>кинофильм</t>
        </is>
      </c>
      <c r="G5328" s="2" t="n"/>
      <c r="H5328" s="2" t="n">
        <v>318</v>
      </c>
      <c r="I5328" s="2" t="inlineStr"/>
      <c r="J5328" s="2" t="inlineStr"/>
      <c r="K5328" s="3" t="inlineStr">
        <is>
          <t>Вернулся на родину Сагын, устроился на работу, влюбился и получил такое наставление от родных: "Главнее всего в дружбе с Алмазом быть. У кого с ним отношения добрые, тот живет. А если обидется - хоть беги. Он привык, чтоб его все уважали, соглашались всегда с ним. Если попросит что-то, тут уж отказываться не вздумай.</t>
        </is>
      </c>
      <c r="L5328" s="2" t="inlineStr">
        <is>
          <t>Кино_СССР сводный каталог.xlsx: список фильмов (доп.)</t>
        </is>
      </c>
      <c r="M5328" s="2">
        <f>HYPERLINK("https://ru.wikipedia.org/w/index.php?search=%D0%92%D1%8B%D1%81%D1%82%D1%80%D0%B5%D0%BB%20%D0%B2%20%D1%81%D1%82%D0%B5%D0%BF%D0%B8%201990%20%D1%84%D0%B8%D0%BB%D1%8C%D0%BC","искать")</f>
        <v/>
      </c>
      <c r="N5328" s="3" t="n"/>
      <c r="O5328" s="2" t="n"/>
      <c r="P5328" s="2" t="n"/>
    </row>
    <row r="5329">
      <c r="A5329" s="2" t="n">
        <v>5328</v>
      </c>
      <c r="B5329" s="2" t="inlineStr"/>
      <c r="C5329" s="2" t="n">
        <v>9507</v>
      </c>
      <c r="D5329" s="3" t="inlineStr">
        <is>
          <t>Нечистая сила</t>
        </is>
      </c>
      <c r="E5329" s="2" t="n">
        <v>1989</v>
      </c>
      <c r="F5329" s="2" t="inlineStr">
        <is>
          <t>кинофильм</t>
        </is>
      </c>
      <c r="G5329" s="2" t="n"/>
      <c r="H5329" s="2" t="n">
        <v>318</v>
      </c>
      <c r="I5329" s="2" t="inlineStr"/>
      <c r="J5329" s="2" t="inlineStr"/>
      <c r="K5329" s="3" t="inlineStr">
        <is>
          <t>Иван Денисов, младший сотрудник НИИ леса, направляется на коллективную заготовку грибов. В лесу он встречает странную старуху, получает от нее в подарок серебряный рожок и волшебную дубинку, а спустя некоторое время попадает в тюрьму как фальшивомонетчик. На этом связи Денисова с таинственной старушкой не обрываются.</t>
        </is>
      </c>
      <c r="L5329" s="2" t="inlineStr">
        <is>
          <t>Кино_СССР сводный каталог.xlsx: список фильмов (доп.)</t>
        </is>
      </c>
      <c r="M5329" s="2">
        <f>HYPERLINK("https://ru.wikipedia.org/w/index.php?search=%D0%9D%D0%B5%D1%87%D0%B8%D1%81%D1%82%D0%B0%D1%8F%20%D1%81%D0%B8%D0%BB%D0%B0%201989%20%D1%84%D0%B8%D0%BB%D1%8C%D0%BC","искать")</f>
        <v/>
      </c>
      <c r="N5329" s="3" t="n"/>
      <c r="O5329" s="2" t="n"/>
      <c r="P5329" s="2" t="n"/>
    </row>
    <row r="5330">
      <c r="A5330" s="2" t="n">
        <v>5329</v>
      </c>
      <c r="B5330" s="2" t="inlineStr"/>
      <c r="C5330" s="2" t="n">
        <v>9823</v>
      </c>
      <c r="D5330" s="3" t="inlineStr">
        <is>
          <t>Сто первый</t>
        </is>
      </c>
      <c r="E5330" s="2" t="n">
        <v>1962</v>
      </c>
      <c r="F5330" s="2" t="inlineStr">
        <is>
          <t>телефильм</t>
        </is>
      </c>
      <c r="G5330" s="2" t="inlineStr">
        <is>
          <t>Центральное телевидение</t>
        </is>
      </c>
      <c r="H5330" s="2" t="n">
        <v>318</v>
      </c>
      <c r="I5330" s="2" t="inlineStr"/>
      <c r="J5330" s="2" t="inlineStr"/>
      <c r="K5330" s="3" t="inlineStr">
        <is>
          <t>По мотивам рассказа А.Коробицина.
В погоне за сенсацией американский фотограф поджидал самоубийцу на смотровой площадке одного из небоскребов Нью-Йорка. Удача улыбнулась ему, репортаж о сотом самоубийце обошел всю Америку. Счастливый автор и не предполагал, что фортуна повернется к нему спиной и он станет сто первым.</t>
        </is>
      </c>
      <c r="L5330" s="2" t="inlineStr">
        <is>
          <t>https://www.kino-teatr.ru/short/movie/sov/107360/annot/</t>
        </is>
      </c>
      <c r="M5330" s="2">
        <f>HYPERLINK("https://ru.wikipedia.org/w/index.php?search=%D0%A1%D1%82%D0%BE%20%D0%BF%D0%B5%D1%80%D0%B2%D1%8B%D0%B9%201962%20%D1%84%D0%B8%D0%BB%D1%8C%D0%BC","искать")</f>
        <v/>
      </c>
      <c r="N5330" s="3" t="n"/>
      <c r="O5330" s="2" t="n"/>
      <c r="P5330" s="2" t="n"/>
    </row>
    <row r="5331">
      <c r="A5331" s="2" t="n">
        <v>5330</v>
      </c>
      <c r="B5331" s="2" t="inlineStr"/>
      <c r="C5331" s="2" t="n">
        <v>7286</v>
      </c>
      <c r="D5331" s="3" t="inlineStr">
        <is>
          <t>Было у отца три сына</t>
        </is>
      </c>
      <c r="E5331" s="2" t="n">
        <v>1981</v>
      </c>
      <c r="F5331" s="2" t="inlineStr">
        <is>
          <t>телефильм</t>
        </is>
      </c>
      <c r="G5331" s="2" t="inlineStr">
        <is>
          <t>Мосфильм</t>
        </is>
      </c>
      <c r="H5331" s="2" t="n">
        <v>319</v>
      </c>
      <c r="I5331" s="2" t="inlineStr"/>
      <c r="J5331" s="2" t="inlineStr"/>
      <c r="K5331" s="3" t="inlineStr">
        <is>
          <t>У отца, капитана торгового флота, было три сына : Кирилл - художник, Юрий - моряк, Герка - музыкант. Казалось бы, ничто не может помешать их дружбе. Но старший и средний братья влюблены в одну девушку - Светлану. Соперничество делает их врагами. Юрий не может простить измены, и между братьями происходит крупная ссора.</t>
        </is>
      </c>
      <c r="L5331" s="2" t="inlineStr">
        <is>
          <t>Кино_СССР сводный каталог.xlsx: список телефильмов</t>
        </is>
      </c>
      <c r="M5331" s="2">
        <f>HYPERLINK("https://ru.wikipedia.org/w/index.php?search=%D0%91%D1%8B%D0%BB%D0%BE%20%D1%83%20%D0%BE%D1%82%D1%86%D0%B0%20%D1%82%D1%80%D0%B8%20%D1%81%D1%8B%D0%BD%D0%B0%201981%20%D1%84%D0%B8%D0%BB%D1%8C%D0%BC","искать")</f>
        <v/>
      </c>
      <c r="N5331" s="3" t="n"/>
      <c r="O5331" s="2" t="n"/>
      <c r="P5331" s="2" t="n"/>
    </row>
    <row r="5332">
      <c r="A5332" s="2" t="n">
        <v>5331</v>
      </c>
      <c r="B5332" s="2" t="inlineStr"/>
      <c r="C5332" s="2" t="n">
        <v>7584</v>
      </c>
      <c r="D5332" s="3" t="inlineStr">
        <is>
          <t>Железная принцесса</t>
        </is>
      </c>
      <c r="E5332" s="2" t="n">
        <v>1988</v>
      </c>
      <c r="F5332" s="2" t="inlineStr">
        <is>
          <t>телефильм</t>
        </is>
      </c>
      <c r="G5332" s="2" t="n"/>
      <c r="H5332" s="2" t="n">
        <v>319</v>
      </c>
      <c r="I5332" s="2" t="inlineStr"/>
      <c r="J5332" s="2" t="inlineStr"/>
      <c r="K5332" s="3" t="inlineStr">
        <is>
          <t>Музыкальный фильм-сказка для детей о том, как важно беречь сердце от равнодушия и лени и раскрывает современную проблему: чтобы что-то изменить, надо, прежде всего, перестроить себя. В этом героям сказки помогает мудрый, добрый Гном, который борется с Ржавчиной и Плесенью из-за права владеть мыслями и чувствами детей.</t>
        </is>
      </c>
      <c r="L5332" s="2" t="inlineStr">
        <is>
          <t>Кино_СССР сводный каталог.xlsx: список телефильмов</t>
        </is>
      </c>
      <c r="M5332" s="2">
        <f>HYPERLINK("https://ru.wikipedia.org/w/index.php?search=%D0%96%D0%B5%D0%BB%D0%B5%D0%B7%D0%BD%D0%B0%D1%8F%20%D0%BF%D1%80%D0%B8%D0%BD%D1%86%D0%B5%D1%81%D1%81%D0%B0%201988%20%D1%84%D0%B8%D0%BB%D1%8C%D0%BC","искать")</f>
        <v/>
      </c>
      <c r="N5332" s="3" t="n"/>
      <c r="O5332" s="2" t="n"/>
      <c r="P5332" s="2" t="n"/>
    </row>
    <row r="5333">
      <c r="A5333" s="2" t="n">
        <v>5332</v>
      </c>
      <c r="B5333" s="2" t="inlineStr"/>
      <c r="C5333" s="2" t="n">
        <v>8977</v>
      </c>
      <c r="D5333" s="3" t="inlineStr">
        <is>
          <t>Приключения Арслана</t>
        </is>
      </c>
      <c r="E5333" s="2" t="n">
        <v>1988</v>
      </c>
      <c r="F5333" s="2" t="inlineStr">
        <is>
          <t>кинофильм</t>
        </is>
      </c>
      <c r="G5333" s="2" t="n"/>
      <c r="H5333" s="2" t="n">
        <v>319</v>
      </c>
      <c r="I5333" s="2" t="inlineStr"/>
      <c r="J5333" s="2" t="inlineStr"/>
      <c r="K5333" s="3" t="inlineStr">
        <is>
          <t>Многих заколдовал с помощью волшебных четок колдун Карашах: охотника Шера превратил в свирепого пса, трудолюбивого хозяина Синих гор наделил ленью, его внучку Юлдуз - себялюбием, простодушного Лешака - хитростью и коварством. Но перед добрым и отважным мальчиком Арсланом злые чары не устояли, и добро восторжествовало.</t>
        </is>
      </c>
      <c r="L5333" s="2" t="inlineStr">
        <is>
          <t>Кино_СССР сводный каталог.xlsx: список фильмов (доп.)</t>
        </is>
      </c>
      <c r="M5333" s="2">
        <f>HYPERLINK("https://ru.wikipedia.org/w/index.php?search=%D0%9F%D1%80%D0%B8%D0%BA%D0%BB%D1%8E%D1%87%D0%B5%D0%BD%D0%B8%D1%8F%20%D0%90%D1%80%D1%81%D0%BB%D0%B0%D0%BD%D0%B0%201988%20%D1%84%D0%B8%D0%BB%D1%8C%D0%BC","искать")</f>
        <v/>
      </c>
      <c r="N5333" s="3" t="n"/>
      <c r="O5333" s="2" t="n"/>
      <c r="P5333" s="2" t="n"/>
    </row>
    <row r="5334">
      <c r="A5334" s="2" t="n">
        <v>5333</v>
      </c>
      <c r="B5334" s="2" t="inlineStr"/>
      <c r="C5334" s="2" t="n">
        <v>9249</v>
      </c>
      <c r="D5334" s="3" t="inlineStr">
        <is>
          <t>Болотная street, или Средство против секса</t>
        </is>
      </c>
      <c r="E5334" s="2" t="n">
        <v>1991</v>
      </c>
      <c r="F5334" s="2" t="inlineStr">
        <is>
          <t>кинофильм</t>
        </is>
      </c>
      <c r="G5334" s="2" t="n"/>
      <c r="H5334" s="2" t="n">
        <v>319</v>
      </c>
      <c r="I5334" s="2" t="inlineStr"/>
      <c r="J5334" s="2" t="inlineStr"/>
      <c r="K5334" s="3" t="inlineStr">
        <is>
          <t>Место действия эксцентрично-эротической комедии — высотный дом, а герои — его жильцы. Вернувшийся с зоны Лева три года воздерживался от секса и мечтал о возлюбленной Фаине и от его «любовной» искры загорается чердак дома. На вызов прибывают пожарные во главе с Гришей «Сидорычем». Одного за другим пострадавших спасают.</t>
        </is>
      </c>
      <c r="L5334" s="2" t="inlineStr">
        <is>
          <t>https://ru.wikipedia.org/w/index.php?title=%D0%91%D0%BE%D0%BB%D0%BE%D1%82%D0%BD%D0%B0%D1%8F_street%2C_%D0%B8%D0%BB%D0%B8_%D0%A1%D1%80%D0%B5%D0%B4%D1%81%D1%82%D0%B2%D0%BE_%D0%BF%D1%80%D0%BE%D1%82%D0%B8%D0%B2_%D1%81%D0%B5%D0%BA%D1%81%D0%B0&amp;oldid=152957293</t>
        </is>
      </c>
      <c r="M5334" s="2">
        <f>HYPERLINK("https://ru.wikipedia.org/w/index.php?search=%D0%91%D0%BE%D0%BB%D0%BE%D1%82%D0%BD%D0%B0%D1%8F%20street%2C%20%D0%B8%D0%BB%D0%B8%20%D0%A1%D1%80%D0%B5%D0%B4%D1%81%D1%82%D0%B2%D0%BE%20%D0%BF%D1%80%D0%BE%D1%82%D0%B8%D0%B2%20%D1%81%D0%B5%D0%BA%D1%81%D0%B0%201991%20%D1%84%D0%B8%D0%BB%D1%8C%D0%BC","искать")</f>
        <v/>
      </c>
      <c r="N5334" s="3" t="n"/>
      <c r="O5334" s="2" t="n"/>
      <c r="P5334" s="2" t="n"/>
    </row>
    <row r="5335">
      <c r="A5335" s="2" t="n">
        <v>5334</v>
      </c>
      <c r="B5335" s="2" t="inlineStr"/>
      <c r="C5335" s="2" t="n">
        <v>9436</v>
      </c>
      <c r="D5335" s="3" t="inlineStr">
        <is>
          <t>Кошмар в сумасшедшем доме</t>
        </is>
      </c>
      <c r="E5335" s="2" t="n">
        <v>1990</v>
      </c>
      <c r="F5335" s="2" t="inlineStr">
        <is>
          <t>кинофильм</t>
        </is>
      </c>
      <c r="G5335" s="2" t="n"/>
      <c r="H5335" s="2" t="n">
        <v>319</v>
      </c>
      <c r="I5335" s="2" t="inlineStr"/>
      <c r="J5335" s="2" t="inlineStr"/>
      <c r="K5335" s="3" t="inlineStr">
        <is>
          <t>По мотивам сюжета пьесы Эдуардо Скарпетта. Витя проиграл в карты большие деньги - и свои, и чужие. Теперь его босс, криминальный авторитет, требует срочно вернуть долг. У Вити одна надежда - на богатого дядю в Магадане. Но дядя ни копейки не даст просто так. И Витя просит его вложить деньги в бизнес – сумасшедший дом.</t>
        </is>
      </c>
      <c r="L5335" s="2" t="inlineStr">
        <is>
          <t>Кино_СССР сводный каталог.xlsx: список фильмов (доп.)</t>
        </is>
      </c>
      <c r="M5335" s="2">
        <f>HYPERLINK("https://ru.wikipedia.org/w/index.php?search=%D0%9A%D0%BE%D1%88%D0%BC%D0%B0%D1%80%20%D0%B2%20%D1%81%D1%83%D0%BC%D0%B0%D1%81%D1%88%D0%B5%D0%B4%D1%88%D0%B5%D0%BC%20%D0%B4%D0%BE%D0%BC%D0%B5%201990%20%D1%84%D0%B8%D0%BB%D1%8C%D0%BC","искать")</f>
        <v/>
      </c>
      <c r="N5335" s="3" t="n"/>
      <c r="O5335" s="2" t="n"/>
      <c r="P5335" s="2" t="n"/>
    </row>
    <row r="5336">
      <c r="A5336" s="2" t="n">
        <v>5335</v>
      </c>
      <c r="B5336" s="2" t="inlineStr"/>
      <c r="C5336" s="2" t="n">
        <v>9459</v>
      </c>
      <c r="D5336" s="3" t="inlineStr">
        <is>
          <t>Любовь</t>
        </is>
      </c>
      <c r="E5336" s="2" t="n">
        <v>1933</v>
      </c>
      <c r="F5336" s="2" t="inlineStr">
        <is>
          <t>кинофильм</t>
        </is>
      </c>
      <c r="G5336" s="2" t="n"/>
      <c r="H5336" s="2" t="n">
        <v>319</v>
      </c>
      <c r="I5336" s="2" t="inlineStr"/>
      <c r="J5336" s="2" t="inlineStr"/>
      <c r="K5336" s="3" t="inlineStr">
        <is>
          <t>Директор совхоза «Гигант» (Василий Зайчиков) влюбляется в журналистку (Раиса Есипова). Подруга героини (Тамара Адельгейм) — против этого романа. Героиня требует от героя полной самоотдачи в любви, но он не может уделить ей достаточно внимания, так как целиком предан своему делу. Фильм был закончен в черновом варианте.</t>
        </is>
      </c>
      <c r="L5336" s="2" t="inlineStr">
        <is>
          <t>Кино_СССР сводный каталог.xlsx: список фильмов (доп.)</t>
        </is>
      </c>
      <c r="M5336" s="2">
        <f>HYPERLINK("https://ru.wikipedia.org/w/index.php?search=%D0%9B%D1%8E%D0%B1%D0%BE%D0%B2%D1%8C%201933%20%D1%84%D0%B8%D0%BB%D1%8C%D0%BC","искать")</f>
        <v/>
      </c>
      <c r="N5336" s="3" t="n"/>
      <c r="O5336" s="2" t="n"/>
      <c r="P5336" s="2" t="n"/>
    </row>
    <row r="5337">
      <c r="A5337" s="2" t="n">
        <v>5336</v>
      </c>
      <c r="B5337" s="2" t="inlineStr"/>
      <c r="C5337" s="2" t="n">
        <v>9852</v>
      </c>
      <c r="D5337" s="3" t="inlineStr">
        <is>
          <t>Серенада</t>
        </is>
      </c>
      <c r="E5337" s="2" t="n">
        <v>1968</v>
      </c>
      <c r="F5337" s="2" t="inlineStr">
        <is>
          <t>телефильм</t>
        </is>
      </c>
      <c r="G5337" s="2" t="inlineStr">
        <is>
          <t>Тбилисское телевидение</t>
        </is>
      </c>
      <c r="H5337" s="2" t="n">
        <v>319</v>
      </c>
      <c r="I5337" s="2" t="inlineStr"/>
      <c r="J5337" s="2" t="inlineStr"/>
      <c r="K5337" s="3" t="inlineStr">
        <is>
          <t>Авторы перенесли действие рассказа Михаила Зощенко в современную Грузию.
Кладовщик Зозо и "перспективный рабочий" Рамаз на протяжении всего фильма дерутся из-за табельщицы Лали. При этом слабый, которого безбожно лупцуют и который, конечно, побиваем в каждой драке, становится инициатором каждой следующей. И побеждает.</t>
        </is>
      </c>
      <c r="L5337" s="2" t="inlineStr">
        <is>
          <t>https://www.kino-teatr.ru/short/movie/sov/15824/annot/</t>
        </is>
      </c>
      <c r="M5337" s="2">
        <f>HYPERLINK("https://ru.wikipedia.org/w/index.php?search=%D0%A1%D0%B5%D1%80%D0%B5%D0%BD%D0%B0%D0%B4%D0%B0%201968%20%D1%84%D0%B8%D0%BB%D1%8C%D0%BC","искать")</f>
        <v/>
      </c>
      <c r="N5337" s="3" t="n"/>
      <c r="O5337" s="2" t="n"/>
      <c r="P5337" s="2" t="n"/>
    </row>
    <row r="5338">
      <c r="A5338" s="2" t="n">
        <v>5337</v>
      </c>
      <c r="B5338" s="2" t="inlineStr"/>
      <c r="C5338" s="2" t="n">
        <v>11130</v>
      </c>
      <c r="D5338" s="3" t="inlineStr">
        <is>
          <t>Равняется четырем Франциям</t>
        </is>
      </c>
      <c r="E5338" s="2" t="n">
        <v>1986</v>
      </c>
      <c r="F5338" s="2" t="inlineStr">
        <is>
          <t>фильм-спектакль</t>
        </is>
      </c>
      <c r="G5338" s="2" t="inlineStr">
        <is>
          <t>Творческое объединение "Экран"</t>
        </is>
      </c>
      <c r="H5338" s="2" t="n">
        <v>319</v>
      </c>
      <c r="I5338" s="2" t="inlineStr"/>
      <c r="J5338" s="2" t="inlineStr"/>
      <c r="K5338" s="3" t="inlineStr">
        <is>
          <t>По одноименной пьесе Александра Мишарина в постановке Московского драматического театра на Малой Бронной.
В экстремальных условиях проходит заседание бюро крайкома партии. Терпит бедствие сухогруз "Челюскинец". Под угрозой жизнь команды. В затянувшемся до утра заседании раскрываются подлинные характеры его участников.</t>
        </is>
      </c>
      <c r="L5338" s="2" t="inlineStr">
        <is>
          <t>https://www.kino-teatr.ru/teatr/movie/5901/annot/</t>
        </is>
      </c>
      <c r="M5338" s="2">
        <f>HYPERLINK("https://ru.wikipedia.org/w/index.php?search=%D0%A0%D0%B0%D0%B2%D0%BD%D1%8F%D0%B5%D1%82%D1%81%D1%8F%20%D1%87%D0%B5%D1%82%D1%8B%D1%80%D0%B5%D0%BC%20%D0%A4%D1%80%D0%B0%D0%BD%D1%86%D0%B8%D1%8F%D0%BC%201986%20%D1%84%D0%B8%D0%BB%D1%8C%D0%BC","искать")</f>
        <v/>
      </c>
      <c r="N5338" s="3" t="n"/>
      <c r="O5338" s="2" t="n"/>
      <c r="P5338" s="2" t="n"/>
    </row>
    <row r="5339">
      <c r="A5339" s="2" t="n">
        <v>5338</v>
      </c>
      <c r="B5339" s="2" t="inlineStr"/>
      <c r="C5339" s="2" t="n">
        <v>11373</v>
      </c>
      <c r="D5339" s="3" t="inlineStr">
        <is>
          <t>Запорожец за Дунаем</t>
        </is>
      </c>
      <c r="E5339" s="2" t="n">
        <v>1986</v>
      </c>
      <c r="F5339" s="2" t="inlineStr">
        <is>
          <t>фильм-опера/балет</t>
        </is>
      </c>
      <c r="G5339" s="2" t="n"/>
      <c r="H5339" s="2" t="n">
        <v>319</v>
      </c>
      <c r="I5339" s="2" t="inlineStr"/>
      <c r="J5339" s="2" t="inlineStr"/>
      <c r="K5339" s="3" t="inlineStr">
        <is>
          <t>Экранизация оперы украинского композитора Семёна Гулака-Артемовского. Тяжело живется украинскому казачеству на чужбине под турецким игом. Грустит молодая девушка Оксана - сирота, которая нашла убежище в семье запорожца Ивана Карася. Как бы она хотела вместе со своим любимым, казаком Андреем, вернуться на родную землю.</t>
        </is>
      </c>
      <c r="L5339" s="2" t="inlineStr">
        <is>
          <t>Кино_СССР телефильмы и пропуски включить в базу.xlsx</t>
        </is>
      </c>
      <c r="M5339" s="2">
        <f>HYPERLINK("https://ru.wikipedia.org/w/index.php?search=%D0%97%D0%B0%D0%BF%D0%BE%D1%80%D0%BE%D0%B6%D0%B5%D1%86%20%D0%B7%D0%B0%20%D0%94%D1%83%D0%BD%D0%B0%D0%B5%D0%BC%201986%20%D1%84%D0%B8%D0%BB%D1%8C%D0%BC","искать")</f>
        <v/>
      </c>
      <c r="N5339" s="3" t="n"/>
      <c r="O5339" s="2" t="n"/>
      <c r="P5339" s="2" t="n"/>
    </row>
    <row r="5340">
      <c r="A5340" s="2" t="n">
        <v>5339</v>
      </c>
      <c r="B5340" s="2" t="inlineStr"/>
      <c r="C5340" s="2" t="n">
        <v>12662</v>
      </c>
      <c r="D5340" s="3" t="inlineStr">
        <is>
          <t>Непоседа</t>
        </is>
      </c>
      <c r="E5340" s="2" t="n">
        <v>1983</v>
      </c>
      <c r="F5340" s="2" t="inlineStr">
        <is>
          <t>мультфильм</t>
        </is>
      </c>
      <c r="G5340" s="2" t="inlineStr">
        <is>
          <t>БЕЛАРУСЬФИЛЬМ НАЦИОНАЛЬНАЯ КИНОСТУДИЯ - ГП</t>
        </is>
      </c>
      <c r="H5340" s="2" t="n">
        <v>319</v>
      </c>
      <c r="I5340" s="2" t="inlineStr"/>
      <c r="J5340" s="2" t="inlineStr"/>
      <c r="K5340" s="3" t="inlineStr">
        <is>
          <t>Маленький кротенок впервые попадает в лес. Все здесь для него ново и интересно. Стараясь помогать обитателям леса, он все делает невпопад - осушает лужу, чтобы в ней не утонула лягушка, переносит из гнезда птенцов, чтобы их не залил дождь. Фильм учит детей слушаться старших - они подскажут им кому и как надо помогать.</t>
        </is>
      </c>
      <c r="L5340" s="2" t="inlineStr">
        <is>
          <t>2026-10_мультфильмы_список_владельца.xlsx; https://animator.ru/db/?p=show_film&amp;fid=3855</t>
        </is>
      </c>
      <c r="M5340" s="2">
        <f>HYPERLINK("https://ru.wikipedia.org/w/index.php?search=%D0%9D%D0%B5%D0%BF%D0%BE%D1%81%D0%B5%D0%B4%D0%B0%201983%20%D1%84%D0%B8%D0%BB%D1%8C%D0%BC","искать")</f>
        <v/>
      </c>
      <c r="N5340" s="3" t="n"/>
      <c r="O5340" s="2" t="n"/>
      <c r="P5340" s="2" t="n"/>
    </row>
    <row r="5341">
      <c r="A5341" s="2" t="n">
        <v>5340</v>
      </c>
      <c r="B5341" s="2" t="inlineStr"/>
      <c r="C5341" s="2" t="n">
        <v>13518</v>
      </c>
      <c r="D5341" s="3" t="inlineStr">
        <is>
          <t>Песнь о вольфганге неустрашимом...</t>
        </is>
      </c>
      <c r="E5341" s="2" t="n">
        <v>1991</v>
      </c>
      <c r="F5341" s="2" t="inlineStr">
        <is>
          <t>мультфильм</t>
        </is>
      </c>
      <c r="G5341" s="2" t="inlineStr">
        <is>
          <t>CINEMA TECHNOLOGIES GROUP - ООО</t>
        </is>
      </c>
      <c r="H5341" s="2" t="n">
        <v>319</v>
      </c>
      <c r="I5341" s="2" t="inlineStr"/>
      <c r="J5341" s="2" t="inlineStr"/>
      <c r="K5341" s="3" t="inlineStr">
        <is>
          <t>Полное название фильма: "Песнь о Вольфганге неустрашимом, достославном победителе драконов" (Song on Wolvgang The Intrepid The Glorious Destroyer Of Dragons, The)
Музыка неизвестного композитора XVIII века в исполнении группы Марка Пекарского.
Пародийная история приключений рыцаря в духе старинных баллад. Для взрослых</t>
        </is>
      </c>
      <c r="L5341" s="2" t="inlineStr">
        <is>
          <t>https://animator.ru/db/?p=show_film&amp;fid=4809</t>
        </is>
      </c>
      <c r="M5341" s="2">
        <f>HYPERLINK("https://ru.wikipedia.org/w/index.php?search=%D0%9F%D0%B5%D1%81%D0%BD%D1%8C%20%D0%BE%20%D0%B2%D0%BE%D0%BB%D1%8C%D1%84%D0%B3%D0%B0%D0%BD%D0%B3%D0%B5%20%D0%BD%D0%B5%D1%83%D1%81%D1%82%D1%80%D0%B0%D1%88%D0%B8%D0%BC%D0%BE%D0%BC...%201991%20%D1%84%D0%B8%D0%BB%D1%8C%D0%BC","искать")</f>
        <v/>
      </c>
      <c r="N5341" s="3" t="n"/>
      <c r="O5341" s="2" t="n"/>
      <c r="P5341" s="2" t="n"/>
    </row>
    <row r="5342">
      <c r="A5342" s="2" t="n">
        <v>5341</v>
      </c>
      <c r="B5342" s="2" t="inlineStr"/>
      <c r="C5342" s="2" t="n">
        <v>7213</v>
      </c>
      <c r="D5342" s="3" t="inlineStr">
        <is>
          <t>Антонина Брагина</t>
        </is>
      </c>
      <c r="E5342" s="2" t="n">
        <v>1978</v>
      </c>
      <c r="F5342" s="2" t="inlineStr">
        <is>
          <t>телефильм</t>
        </is>
      </c>
      <c r="G5342" s="2" t="n"/>
      <c r="H5342" s="2" t="n">
        <v>320</v>
      </c>
      <c r="I5342" s="2" t="inlineStr"/>
      <c r="J5342" s="2" t="inlineStr"/>
      <c r="K5342" s="3" t="inlineStr">
        <is>
          <t>По мотивам романа Арнольда Каштанова "Заводской район". О жизни и работе минских автомобилестроителей. Антонина Брагина работает мастером в литейном цехе. Опытный специалист, добрый и чуткий человек, она пользуется большим уважением у товарищей по работе. Но ее личная жизнь не сложилась, муж - Степан - уходит из семьи.</t>
        </is>
      </c>
      <c r="L5342" s="2" t="inlineStr">
        <is>
          <t>Кино_СССР сводный каталог.xlsx: список телефильмов</t>
        </is>
      </c>
      <c r="M5342" s="2">
        <f>HYPERLINK("https://ru.wikipedia.org/w/index.php?search=%D0%90%D0%BD%D1%82%D0%BE%D0%BD%D0%B8%D0%BD%D0%B0%20%D0%91%D1%80%D0%B0%D0%B3%D0%B8%D0%BD%D0%B0%201978%20%D1%84%D0%B8%D0%BB%D1%8C%D0%BC","искать")</f>
        <v/>
      </c>
      <c r="N5342" s="3" t="n"/>
      <c r="O5342" s="2" t="n"/>
      <c r="P5342" s="2" t="n"/>
    </row>
    <row r="5343">
      <c r="A5343" s="2" t="n">
        <v>5342</v>
      </c>
      <c r="B5343" s="2" t="inlineStr"/>
      <c r="C5343" s="2" t="n">
        <v>7285</v>
      </c>
      <c r="D5343" s="3" t="inlineStr">
        <is>
          <t>Была не была</t>
        </is>
      </c>
      <c r="E5343" s="2" t="n">
        <v>1986</v>
      </c>
      <c r="F5343" s="2" t="inlineStr">
        <is>
          <t>телефильм</t>
        </is>
      </c>
      <c r="G5343" s="2" t="n"/>
      <c r="H5343" s="2" t="n">
        <v>320</v>
      </c>
      <c r="I5343" s="2" t="inlineStr"/>
      <c r="J5343" s="2" t="inlineStr"/>
      <c r="K5343" s="3" t="inlineStr">
        <is>
          <t>Старшеклассник Василий Серов - трудный подросток, одинаково способный и на хорошие и на плохие поступки, влюбляется в дочь директора школы Ирину Звягинцеву. Дружба с Ирой обостряет в нем чувства справедливости, благородства. Однажды Вася случайно попадает в неприятности. С приятелем Лёхой он отобрал на пляже кроссовки.</t>
        </is>
      </c>
      <c r="L5343" s="2" t="inlineStr">
        <is>
          <t>Кино_СССР сводный каталог.xlsx: список телефильмов</t>
        </is>
      </c>
      <c r="M5343" s="2">
        <f>HYPERLINK("https://ru.wikipedia.org/w/index.php?search=%D0%91%D1%8B%D0%BB%D0%B0%20%D0%BD%D0%B5%20%D0%B1%D1%8B%D0%BB%D0%B0%201986%20%D1%84%D0%B8%D0%BB%D1%8C%D0%BC","искать")</f>
        <v/>
      </c>
      <c r="N5343" s="3" t="n"/>
      <c r="O5343" s="2" t="n"/>
      <c r="P5343" s="2" t="n"/>
    </row>
    <row r="5344">
      <c r="A5344" s="2" t="n">
        <v>5343</v>
      </c>
      <c r="B5344" s="2" t="inlineStr"/>
      <c r="C5344" s="2" t="n">
        <v>7684</v>
      </c>
      <c r="D5344" s="3" t="inlineStr">
        <is>
          <t>Инспектор Гулл</t>
        </is>
      </c>
      <c r="E5344" s="2" t="n">
        <v>1979</v>
      </c>
      <c r="F5344" s="2" t="inlineStr">
        <is>
          <t>телефильм</t>
        </is>
      </c>
      <c r="G5344" s="2" t="n"/>
      <c r="H5344" s="2" t="n">
        <v>320</v>
      </c>
      <c r="I5344" s="2" t="inlineStr"/>
      <c r="J5344" s="2" t="inlineStr"/>
      <c r="K5344" s="3" t="inlineStr">
        <is>
          <t>По мотивам пьесы Дж.Б.Пристли "Он пришел" ("Инспектор пришел"). В титрах фильма - название пьесы "Он пришел". В доме Артура Берлинга, богатого промышленника, семейное торжество – помолвка. Но семейный праздник прерван неожиданным визитом инспектора Гулла. Инспектор рассказывает, что под колесами поезда погибла девушка.</t>
        </is>
      </c>
      <c r="L5344" s="2" t="inlineStr">
        <is>
          <t>Кино_СССР сводный каталог.xlsx: список телефильмов</t>
        </is>
      </c>
      <c r="M5344" s="2">
        <f>HYPERLINK("https://ru.wikipedia.org/w/index.php?search=%D0%98%D0%BD%D1%81%D0%BF%D0%B5%D0%BA%D1%82%D0%BE%D1%80%20%D0%93%D1%83%D0%BB%D0%BB%201979%20%D1%84%D0%B8%D0%BB%D1%8C%D0%BC","искать")</f>
        <v/>
      </c>
      <c r="N5344" s="3" t="n"/>
      <c r="O5344" s="2" t="n"/>
      <c r="P5344" s="2" t="n"/>
    </row>
    <row r="5345">
      <c r="A5345" s="2" t="n">
        <v>5344</v>
      </c>
      <c r="B5345" s="2" t="inlineStr"/>
      <c r="C5345" s="2" t="n">
        <v>8343</v>
      </c>
      <c r="D5345" s="3" t="inlineStr">
        <is>
          <t>Сильва</t>
        </is>
      </c>
      <c r="E5345" s="2" t="n">
        <v>1981</v>
      </c>
      <c r="F5345" s="2" t="inlineStr">
        <is>
          <t>телефильм</t>
        </is>
      </c>
      <c r="G5345" s="2" t="n"/>
      <c r="H5345" s="2" t="n">
        <v>320</v>
      </c>
      <c r="I5345" s="2" t="inlineStr"/>
      <c r="J5345" s="2" t="inlineStr"/>
      <c r="K5345" s="3" t="inlineStr">
        <is>
          <t>Телефильм. Экранизация одноименной оперетты Имре Кальмана. По мотивам либретто Л.Штейна и Б.Йенбаха. Будущий князь фон Веллергейм, а ныне просто молодой офицер по имени Эдвин и певица Сильва Вареску полюбили друг друга. Эдвин даже готов пойти наперекор воле знатных родителей и жениться - несмотря на неизбежный скандал.</t>
        </is>
      </c>
      <c r="L5345" s="2" t="inlineStr">
        <is>
          <t>Кино_СССР сводный каталог.xlsx: список телефильмов</t>
        </is>
      </c>
      <c r="M5345" s="2">
        <f>HYPERLINK("https://ru.wikipedia.org/w/index.php?search=%D0%A1%D0%B8%D0%BB%D1%8C%D0%B2%D0%B0%201981%20%D1%84%D0%B8%D0%BB%D1%8C%D0%BC","искать")</f>
        <v/>
      </c>
      <c r="N5345" s="3" t="n"/>
      <c r="O5345" s="2" t="n"/>
      <c r="P5345" s="2" t="n"/>
    </row>
    <row r="5346">
      <c r="A5346" s="2" t="n">
        <v>5345</v>
      </c>
      <c r="B5346" s="2" t="inlineStr"/>
      <c r="C5346" s="2" t="n">
        <v>10080</v>
      </c>
      <c r="D5346" s="3" t="inlineStr">
        <is>
          <t>Пенсия</t>
        </is>
      </c>
      <c r="E5346" s="2" t="n">
        <v>1960</v>
      </c>
      <c r="F5346" s="2" t="inlineStr">
        <is>
          <t>фильм-спектакль</t>
        </is>
      </c>
      <c r="G5346" s="2" t="inlineStr">
        <is>
          <t>Центральное телевидение</t>
        </is>
      </c>
      <c r="H5346" s="2" t="n">
        <v>320</v>
      </c>
      <c r="I5346" s="2" t="inlineStr"/>
      <c r="J5346" s="2" t="inlineStr"/>
      <c r="K5346" s="3" t="inlineStr">
        <is>
          <t>По одноименному рассказу Луи Мэмета.
Действие происходит в США. Рабочему завода Папу Хильдеру осталось полгода до пенсии. Неожиданно его переводят с привычного рабочего места на станок, который за год искалечил пятерых человек. И никто не мог установить причину аварий. Хильдер не выдержал напряжения и покончил с собой.</t>
        </is>
      </c>
      <c r="L5346" s="2" t="inlineStr">
        <is>
          <t>https://www.kino-teatr.ru/teatr/movie/104717/annot/</t>
        </is>
      </c>
      <c r="M5346" s="2">
        <f>HYPERLINK("https://ru.wikipedia.org/w/index.php?search=%D0%9F%D0%B5%D0%BD%D1%81%D0%B8%D1%8F%201960%20%D1%84%D0%B8%D0%BB%D1%8C%D0%BC","искать")</f>
        <v/>
      </c>
      <c r="N5346" s="3" t="n"/>
      <c r="O5346" s="2" t="n"/>
      <c r="P5346" s="2" t="n"/>
    </row>
    <row r="5347">
      <c r="A5347" s="2" t="n">
        <v>5346</v>
      </c>
      <c r="B5347" s="2" t="inlineStr"/>
      <c r="C5347" s="2" t="n">
        <v>8054</v>
      </c>
      <c r="D5347" s="3" t="inlineStr">
        <is>
          <t>Осень моего детства</t>
        </is>
      </c>
      <c r="E5347" s="2" t="n">
        <v>1977</v>
      </c>
      <c r="F5347" s="2" t="inlineStr">
        <is>
          <t>телефильм</t>
        </is>
      </c>
      <c r="G5347" s="2" t="n"/>
      <c r="H5347" s="2" t="n">
        <v>321</v>
      </c>
      <c r="I5347" s="2" t="inlineStr"/>
      <c r="J5347" s="2" t="inlineStr"/>
      <c r="K5347" s="3" t="inlineStr">
        <is>
          <t>Этот фильм - поэтический взгляд в мир детства. Бенас - ещё не взрослый, но уже не ребёнок. Как раз в этот переломный момент он знакомится с молодыми девушками Вилией и Милдой, которые приехали в его родную деревню на практику. Бенас и Вилия симпатизируют друг другу.Однажды, стоя во время дождя под деревом, они целуются.</t>
        </is>
      </c>
      <c r="L5347" s="2" t="inlineStr">
        <is>
          <t>Кино_СССР сводный каталог.xlsx: список телефильмов</t>
        </is>
      </c>
      <c r="M5347" s="2">
        <f>HYPERLINK("https://ru.wikipedia.org/w/index.php?search=%D0%9E%D1%81%D0%B5%D0%BD%D1%8C%20%D0%BC%D0%BE%D0%B5%D0%B3%D0%BE%20%D0%B4%D0%B5%D1%82%D1%81%D1%82%D0%B2%D0%B0%201977%20%D1%84%D0%B8%D0%BB%D1%8C%D0%BC","искать")</f>
        <v/>
      </c>
      <c r="N5347" s="3" t="n"/>
      <c r="O5347" s="2" t="n"/>
      <c r="P5347" s="2" t="n"/>
    </row>
    <row r="5348">
      <c r="A5348" s="2" t="n">
        <v>5347</v>
      </c>
      <c r="B5348" s="2" t="inlineStr"/>
      <c r="C5348" s="2" t="n">
        <v>8317</v>
      </c>
      <c r="D5348" s="3" t="inlineStr">
        <is>
          <t>Святая Сусанна, или Школа мастеров</t>
        </is>
      </c>
      <c r="E5348" s="2" t="n">
        <v>1983</v>
      </c>
      <c r="F5348" s="2" t="inlineStr">
        <is>
          <t>телефильм</t>
        </is>
      </c>
      <c r="G5348" s="2" t="n"/>
      <c r="H5348" s="2" t="n">
        <v>321</v>
      </c>
      <c r="I5348" s="2" t="inlineStr"/>
      <c r="J5348" s="2" t="inlineStr"/>
      <c r="K5348" s="3" t="inlineStr">
        <is>
          <t>По мотивам одноименной пьесы эстонского советского писателя и драматурга Энн Ветемаа. Остросатирическая абсурдистская комедия о закулисной жизни советской театральной труппы, пытающейся поставить спектакль и на телевидении, и в колхозе "высокой культуры" Более или менее известные актеры и режиссер столицы едут в колхоз.</t>
        </is>
      </c>
      <c r="L5348" s="2" t="inlineStr">
        <is>
          <t>Кино_СССР сводный каталог.xlsx: список телефильмов</t>
        </is>
      </c>
      <c r="M5348" s="2">
        <f>HYPERLINK("https://ru.wikipedia.org/w/index.php?search=%D0%A1%D0%B2%D1%8F%D1%82%D0%B0%D1%8F%20%D0%A1%D1%83%D1%81%D0%B0%D0%BD%D0%BD%D0%B0%2C%20%D0%B8%D0%BB%D0%B8%20%D0%A8%D0%BA%D0%BE%D0%BB%D0%B0%20%D0%BC%D0%B0%D1%81%D1%82%D0%B5%D1%80%D0%BE%D0%B2%201983%20%D1%84%D0%B8%D0%BB%D1%8C%D0%BC","искать")</f>
        <v/>
      </c>
      <c r="N5348" s="3" t="n"/>
      <c r="O5348" s="2" t="n"/>
      <c r="P5348" s="2" t="n"/>
    </row>
    <row r="5349">
      <c r="A5349" s="2" t="n">
        <v>5348</v>
      </c>
      <c r="B5349" s="2" t="inlineStr"/>
      <c r="C5349" s="2" t="n">
        <v>8475</v>
      </c>
      <c r="D5349" s="3" t="inlineStr">
        <is>
          <t>Три дня в июле</t>
        </is>
      </c>
      <c r="E5349" s="2" t="n">
        <v>1977</v>
      </c>
      <c r="F5349" s="2" t="inlineStr">
        <is>
          <t>телефильм</t>
        </is>
      </c>
      <c r="G5349" s="2" t="n"/>
      <c r="H5349" s="2" t="n">
        <v>321</v>
      </c>
      <c r="I5349" s="2" t="inlineStr"/>
      <c r="J5349" s="2" t="inlineStr"/>
      <c r="K5349" s="3" t="inlineStr">
        <is>
          <t>По рассказу А. Джакыпбекова «Салима». Встреча Алыма и Салимы воскресила в памяти их полудетскую любовь. Сейчас это разные люди. Салима счастлива: у нее семья, любимая работа. У Алыма не все ладно. Встреча с Салимой, воспоминание о детстве, ощущение дыхания юности заставило понять Алыма, что как личность он не состоялся.</t>
        </is>
      </c>
      <c r="L5349" s="2" t="inlineStr">
        <is>
          <t>Кино_СССР сводный каталог.xlsx: список телефильмов</t>
        </is>
      </c>
      <c r="M5349" s="2">
        <f>HYPERLINK("https://ru.wikipedia.org/w/index.php?search=%D0%A2%D1%80%D0%B8%20%D0%B4%D0%BD%D1%8F%20%D0%B2%20%D0%B8%D1%8E%D0%BB%D0%B5%201977%20%D1%84%D0%B8%D0%BB%D1%8C%D0%BC","искать")</f>
        <v/>
      </c>
      <c r="N5349" s="3" t="n"/>
      <c r="O5349" s="2" t="n"/>
      <c r="P5349" s="2" t="n"/>
    </row>
    <row r="5350">
      <c r="A5350" s="2" t="n">
        <v>5349</v>
      </c>
      <c r="B5350" s="2" t="inlineStr"/>
      <c r="C5350" s="2" t="n">
        <v>8760</v>
      </c>
      <c r="D5350" s="3" t="inlineStr">
        <is>
          <t>Карпатское золото</t>
        </is>
      </c>
      <c r="E5350" s="2" t="n">
        <v>1991</v>
      </c>
      <c r="F5350" s="2" t="inlineStr">
        <is>
          <t>кинофильм</t>
        </is>
      </c>
      <c r="G5350" s="2" t="n"/>
      <c r="H5350" s="2" t="n">
        <v>321</v>
      </c>
      <c r="I5350" s="2" t="inlineStr"/>
      <c r="J5350" s="2" t="inlineStr"/>
      <c r="K5350" s="3" t="inlineStr">
        <is>
          <t>О трагических событиях, происходивших в послевоенных Карпатах. Сложная судьба постигла главного героя ленты - молодого лесничего Крапивича, служившего в войсках СС, а потом в ОУН. Конец 40-х. В НКВД поступает шифровка: группа немецких диверсантов ищет карпатское золото. С целью опередить врага чекисты вербуют лесничего.</t>
        </is>
      </c>
      <c r="L5350" s="2" t="inlineStr">
        <is>
          <t>Кино_СССР сводный каталог.xlsx: список фильмов (доп.)</t>
        </is>
      </c>
      <c r="M5350" s="2">
        <f>HYPERLINK("https://ru.wikipedia.org/w/index.php?search=%D0%9A%D0%B0%D1%80%D0%BF%D0%B0%D1%82%D1%81%D0%BA%D0%BE%D0%B5%20%D0%B7%D0%BE%D0%BB%D0%BE%D1%82%D0%BE%201991%20%D1%84%D0%B8%D0%BB%D1%8C%D0%BC","искать")</f>
        <v/>
      </c>
      <c r="N5350" s="3" t="n"/>
      <c r="O5350" s="2" t="n"/>
      <c r="P5350" s="2" t="n"/>
    </row>
    <row r="5351">
      <c r="A5351" s="2" t="n">
        <v>5350</v>
      </c>
      <c r="B5351" s="2" t="inlineStr"/>
      <c r="C5351" s="2" t="n">
        <v>12401</v>
      </c>
      <c r="D5351" s="3" t="inlineStr">
        <is>
          <t>Как казаки в футбол играли</t>
        </is>
      </c>
      <c r="E5351" s="2" t="n">
        <v>1970</v>
      </c>
      <c r="F5351" s="2" t="inlineStr">
        <is>
          <t>мультфильм</t>
        </is>
      </c>
      <c r="G5351" s="2" t="inlineStr">
        <is>
          <t>КИЕВНАУЧФИЛЬМ</t>
        </is>
      </c>
      <c r="H5351" s="2" t="n">
        <v>321</v>
      </c>
      <c r="I5351" s="2" t="inlineStr"/>
      <c r="J5351" s="2" t="inlineStr"/>
      <c r="K5351" s="3" t="inlineStr">
        <is>
          <t>Первый фильм из сериала о приключениях трех друзей - запорожсих казаков. Футбольная команда запорожских казаков отправляется за границу, чтобы выиграть в матче приз-чашу. Проявив находчивость, изобретательность в матчах с рыцарями, мушкетерами и островитянами, казаки выигрывают приз и победителями возвращаются на родину</t>
        </is>
      </c>
      <c r="L5351" s="2" t="inlineStr">
        <is>
          <t>https://gosfilmofond.ru/films/255152/</t>
        </is>
      </c>
      <c r="M5351" s="2">
        <f>HYPERLINK("https://ru.wikipedia.org/w/index.php?search=%D0%9A%D0%B0%D0%BA%20%D0%BA%D0%B0%D0%B7%D0%B0%D0%BA%D0%B8%20%D0%B2%20%D1%84%D1%83%D1%82%D0%B1%D0%BE%D0%BB%20%D0%B8%D0%B3%D1%80%D0%B0%D0%BB%D0%B8%201970%20%D1%84%D0%B8%D0%BB%D1%8C%D0%BC","искать")</f>
        <v/>
      </c>
      <c r="N5351" s="3" t="n"/>
      <c r="O5351" s="2" t="n"/>
      <c r="P5351" s="2" t="n"/>
    </row>
    <row r="5352">
      <c r="A5352" s="2" t="n">
        <v>5351</v>
      </c>
      <c r="B5352" s="2" t="inlineStr"/>
      <c r="C5352" s="2" t="n">
        <v>7439</v>
      </c>
      <c r="D5352" s="3" t="inlineStr">
        <is>
          <t>Главный конструктор</t>
        </is>
      </c>
      <c r="E5352" s="2" t="n">
        <v>1980</v>
      </c>
      <c r="F5352" s="2" t="inlineStr">
        <is>
          <t>телефильм</t>
        </is>
      </c>
      <c r="G5352" s="2" t="n"/>
      <c r="H5352" s="2" t="n">
        <v>322</v>
      </c>
      <c r="I5352" s="2" t="inlineStr"/>
      <c r="J5352" s="2" t="inlineStr"/>
      <c r="K5352" s="3" t="inlineStr">
        <is>
          <t>Телефильм по книге Я. Резника «Сотворение брони». История создания в предвоенные годы советским конструктором М.И.Кошкиным танка «Т-34». В декабре 1936 года начальником танкового КБ Харьковского паровозостроительного завода (с 1937 г. – «завод №183») назначен М.И. Кошкин – человек с большим опытом организационной работы.</t>
        </is>
      </c>
      <c r="L5352" s="2" t="inlineStr">
        <is>
          <t>Кино_СССР сводный каталог.xlsx: список телефильмов</t>
        </is>
      </c>
      <c r="M5352" s="2">
        <f>HYPERLINK("https://ru.wikipedia.org/w/index.php?search=%D0%93%D0%BB%D0%B0%D0%B2%D0%BD%D1%8B%D0%B9%20%D0%BA%D0%BE%D0%BD%D1%81%D1%82%D1%80%D1%83%D0%BA%D1%82%D0%BE%D1%80%201980%20%D1%84%D0%B8%D0%BB%D1%8C%D0%BC","искать")</f>
        <v/>
      </c>
      <c r="N5352" s="3" t="n"/>
      <c r="O5352" s="2" t="n"/>
      <c r="P5352" s="2" t="n"/>
    </row>
    <row r="5353">
      <c r="A5353" s="2" t="n">
        <v>5352</v>
      </c>
      <c r="B5353" s="2" t="inlineStr"/>
      <c r="C5353" s="2" t="n">
        <v>7850</v>
      </c>
      <c r="D5353" s="3" t="inlineStr">
        <is>
          <t>Марица</t>
        </is>
      </c>
      <c r="E5353" s="2" t="n">
        <v>1985</v>
      </c>
      <c r="F5353" s="2" t="inlineStr">
        <is>
          <t>телефильм</t>
        </is>
      </c>
      <c r="G5353" s="2" t="n"/>
      <c r="H5353" s="2" t="n">
        <v>322</v>
      </c>
      <c r="I5353" s="2" t="inlineStr"/>
      <c r="J5353" s="2" t="inlineStr"/>
      <c r="K5353" s="3" t="inlineStr">
        <is>
          <t>Телефильм по одноименной оперетте Имре Кальмана. Молодая состоятельная вдова Марица – лакомый кусочек для охотников за богатыми невестами. Чтобы раз и навсегда отвадить "женихов", Марица называет женихом первое попавшееся имя . Но оказывается, что человек с таким именем уже есть, и вот он уже радостно спешит к "невесте".</t>
        </is>
      </c>
      <c r="L5353" s="2" t="inlineStr">
        <is>
          <t>Кино_СССР сводный каталог.xlsx: список телефильмов</t>
        </is>
      </c>
      <c r="M5353" s="2">
        <f>HYPERLINK("https://ru.wikipedia.org/w/index.php?search=%D0%9C%D0%B0%D1%80%D0%B8%D1%86%D0%B0%201985%20%D1%84%D0%B8%D0%BB%D1%8C%D0%BC","искать")</f>
        <v/>
      </c>
      <c r="N5353" s="3" t="n"/>
      <c r="O5353" s="2" t="n"/>
      <c r="P5353" s="2" t="n"/>
    </row>
    <row r="5354">
      <c r="A5354" s="2" t="n">
        <v>5353</v>
      </c>
      <c r="B5354" s="2" t="inlineStr"/>
      <c r="C5354" s="2" t="n">
        <v>7877</v>
      </c>
      <c r="D5354" s="3" t="inlineStr">
        <is>
          <t>Мир хижинам, война дворцам</t>
        </is>
      </c>
      <c r="E5354" s="2" t="n">
        <v>1970</v>
      </c>
      <c r="F5354" s="2" t="inlineStr">
        <is>
          <t>телефильм</t>
        </is>
      </c>
      <c r="G5354" s="2" t="n"/>
      <c r="H5354" s="2" t="n">
        <v>322</v>
      </c>
      <c r="I5354" s="2" t="inlineStr"/>
      <c r="J5354" s="2" t="inlineStr"/>
      <c r="K5354" s="3" t="inlineStr">
        <is>
          <t>Дана широкая картина революционных событий 1917—1918 годов на территории Украины. Установление Советской власти и борьба с контрреволюционными националистами показаны в преломлении судеб представителей одной семьи Драгомирецких. Среди героев фильма — реальные исторические деятели Революции и гражданской войны на Украине.</t>
        </is>
      </c>
      <c r="L5354" s="2" t="inlineStr">
        <is>
          <t>https://ru.wikipedia.org/w/index.php?title=%D0%9C%D0%B8%D1%80_%D1%85%D0%B8%D0%B6%D0%B8%D0%BD%D0%B0%D0%BC%2C_%D0%B2%D0%BE%D0%B9%D0%BD%D0%B0_%D0%B4%D0%B2%D0%BE%D1%80%D1%86%D0%B0%D0%BC_%28%D1%84%D0%B8%D0%BB%D1%8C%D0%BC%29&amp;oldid=148997515</t>
        </is>
      </c>
      <c r="M5354" s="2">
        <f>HYPERLINK("https://ru.wikipedia.org/w/index.php?search=%D0%9C%D0%B8%D1%80%20%D1%85%D0%B8%D0%B6%D0%B8%D0%BD%D0%B0%D0%BC%2C%20%D0%B2%D0%BE%D0%B9%D0%BD%D0%B0%20%D0%B4%D0%B2%D0%BE%D1%80%D1%86%D0%B0%D0%BC%201970%20%D1%84%D0%B8%D0%BB%D1%8C%D0%BC","искать")</f>
        <v/>
      </c>
      <c r="N5354" s="3" t="n"/>
      <c r="O5354" s="2" t="n"/>
      <c r="P5354" s="2" t="n"/>
    </row>
    <row r="5355">
      <c r="A5355" s="2" t="n">
        <v>5354</v>
      </c>
      <c r="B5355" s="2" t="inlineStr"/>
      <c r="C5355" s="2" t="n">
        <v>8342</v>
      </c>
      <c r="D5355" s="3" t="inlineStr">
        <is>
          <t>Сибирь</t>
        </is>
      </c>
      <c r="E5355" s="2" t="n">
        <v>1976</v>
      </c>
      <c r="F5355" s="2" t="inlineStr">
        <is>
          <t>телефильм</t>
        </is>
      </c>
      <c r="G5355" s="2" t="n"/>
      <c r="H5355" s="2" t="n">
        <v>322</v>
      </c>
      <c r="I5355" s="2" t="inlineStr"/>
      <c r="J5355" s="2" t="inlineStr"/>
      <c r="K5355" s="3" t="inlineStr">
        <is>
          <t>Телесериал по одноименному роману Георгия Маркова. 1914-й год. Молодой ученый – Иван Акимов, племянник профессора Лихачева – бежит из нарымской ссылки. Интересы дела требуют от него незамедлительной поездки в Стокгольм, чтобы уберечь для будущего России уникальные труды Лихачева об использовании богатств сибирского края.</t>
        </is>
      </c>
      <c r="L5355" s="2" t="inlineStr">
        <is>
          <t>Кино_СССР сводный каталог.xlsx: список телефильмов</t>
        </is>
      </c>
      <c r="M5355" s="2">
        <f>HYPERLINK("https://ru.wikipedia.org/w/index.php?search=%D0%A1%D0%B8%D0%B1%D0%B8%D1%80%D1%8C%201976%20%D1%84%D0%B8%D0%BB%D1%8C%D0%BC","искать")</f>
        <v/>
      </c>
      <c r="N5355" s="3" t="n"/>
      <c r="O5355" s="2" t="n"/>
      <c r="P5355" s="2" t="n"/>
    </row>
    <row r="5356">
      <c r="A5356" s="2" t="n">
        <v>5355</v>
      </c>
      <c r="B5356" s="2" t="inlineStr"/>
      <c r="C5356" s="2" t="n">
        <v>8519</v>
      </c>
      <c r="D5356" s="3" t="inlineStr">
        <is>
          <t>Фуфель</t>
        </is>
      </c>
      <c r="E5356" s="2" t="n">
        <v>1990</v>
      </c>
      <c r="F5356" s="2" t="inlineStr">
        <is>
          <t>телефильм</t>
        </is>
      </c>
      <c r="G5356" s="2" t="inlineStr">
        <is>
          <t>Укртелефильм; ВТО «Лыбидь»</t>
        </is>
      </c>
      <c r="H5356" s="2" t="n">
        <v>322</v>
      </c>
      <c r="I5356" s="2" t="inlineStr"/>
      <c r="J5356" s="2" t="inlineStr"/>
      <c r="K5356" s="3" t="inlineStr">
        <is>
          <t>Действие фильма происходит в 90-е годы, в одном из тех городов, которые было принято называть "всесоюзными здравницами". Выйдя из тюрьмы, где он сидел за изготовление "фуфелей" (копий картин), парень решает начать честную жизнь. Но мафия не хочет терять хорошего специалиста и знакомит его с танцовщицей из ночного кабаре.</t>
        </is>
      </c>
      <c r="L5356" s="2" t="inlineStr">
        <is>
          <t>Кино_СССР сводный каталог.xlsx: список телефильмов</t>
        </is>
      </c>
      <c r="M5356" s="2">
        <f>HYPERLINK("https://ru.wikipedia.org/w/index.php?search=%D0%A4%D1%83%D1%84%D0%B5%D0%BB%D1%8C%201990%20%D1%84%D0%B8%D0%BB%D1%8C%D0%BC","искать")</f>
        <v/>
      </c>
      <c r="N5356" s="3" t="n"/>
      <c r="O5356" s="2" t="n"/>
      <c r="P5356" s="2" t="n"/>
    </row>
    <row r="5357">
      <c r="A5357" s="2" t="n">
        <v>5356</v>
      </c>
      <c r="B5357" s="2" t="inlineStr"/>
      <c r="C5357" s="2" t="n">
        <v>9005</v>
      </c>
      <c r="D5357" s="3" t="inlineStr">
        <is>
          <t>Разлучница</t>
        </is>
      </c>
      <c r="E5357" s="2" t="n">
        <v>1991</v>
      </c>
      <c r="F5357" s="2" t="inlineStr">
        <is>
          <t>кинофильм</t>
        </is>
      </c>
      <c r="G5357" s="2" t="n"/>
      <c r="H5357" s="2" t="n">
        <v>322</v>
      </c>
      <c r="I5357" s="2" t="inlineStr"/>
      <c r="J5357" s="2" t="inlineStr"/>
      <c r="K5357" s="3" t="inlineStr">
        <is>
          <t>Сюжетную канву фильма составляет драматический конфликт между двумя братьями. Адиль влюбляется в девушку, которую любит его старший брат Рустем. Эля отвечает взаимностью Адилю. Сложные душевные переживания и внутренняя психологическая борьба в «треугольнике» завершается трагически: старший брат убивает свою возлюбленную.</t>
        </is>
      </c>
      <c r="L5357" s="2" t="inlineStr">
        <is>
          <t>Кино_СССР сводный каталог.xlsx: список фильмов (доп.)</t>
        </is>
      </c>
      <c r="M5357" s="2">
        <f>HYPERLINK("https://ru.wikipedia.org/w/index.php?search=%D0%A0%D0%B0%D0%B7%D0%BB%D1%83%D1%87%D0%BD%D0%B8%D1%86%D0%B0%201991%20%D1%84%D0%B8%D0%BB%D1%8C%D0%BC","искать")</f>
        <v/>
      </c>
      <c r="N5357" s="3" t="n"/>
      <c r="O5357" s="2" t="n"/>
      <c r="P5357" s="2" t="n"/>
    </row>
    <row r="5358">
      <c r="A5358" s="2" t="n">
        <v>5357</v>
      </c>
      <c r="B5358" s="2" t="inlineStr"/>
      <c r="C5358" s="2" t="n">
        <v>9791</v>
      </c>
      <c r="D5358" s="3" t="inlineStr">
        <is>
          <t>Загадка Н.Ф.И.</t>
        </is>
      </c>
      <c r="E5358" s="2" t="n">
        <v>1959</v>
      </c>
      <c r="F5358" s="2" t="inlineStr">
        <is>
          <t>телефильм</t>
        </is>
      </c>
      <c r="G5358" s="2" t="inlineStr">
        <is>
          <t>Ленфильм</t>
        </is>
      </c>
      <c r="H5358" s="2" t="n">
        <v>322</v>
      </c>
      <c r="I5358" s="2" t="inlineStr"/>
      <c r="J5358" s="2" t="inlineStr"/>
      <c r="K5358" s="3" t="inlineStr">
        <is>
          <t>Выдающийся исследователь и ученый Ираклий Андроников рассказывает в телефильме о своих поисках лермонтовских мест на Кавказе и имени женщины, которой под инициалами Н.Ф.И. Лермонтов посвятил много стихотворений. Ею оказалась Наталья Фёдоровна Иванова, в замужестве Обрескова, в которую был страстно влюблён 17-летний поэт.</t>
        </is>
      </c>
      <c r="L5358" s="2" t="inlineStr">
        <is>
          <t>https://www.kino-teatr.ru/kino/movie/sov/84274/annot/</t>
        </is>
      </c>
      <c r="M5358" s="2">
        <f>HYPERLINK("https://ru.wikipedia.org/w/index.php?search=%D0%97%D0%B0%D0%B3%D0%B0%D0%B4%D0%BA%D0%B0%20%D0%9D.%D0%A4.%D0%98.%201959%20%D1%84%D0%B8%D0%BB%D1%8C%D0%BC","искать")</f>
        <v/>
      </c>
      <c r="N5358" s="3" t="n"/>
      <c r="O5358" s="2" t="n"/>
      <c r="P5358" s="2" t="n"/>
    </row>
    <row r="5359">
      <c r="A5359" s="2" t="n">
        <v>5358</v>
      </c>
      <c r="B5359" s="2" t="inlineStr"/>
      <c r="C5359" s="2" t="n">
        <v>9983</v>
      </c>
      <c r="D5359" s="3" t="inlineStr">
        <is>
          <t>Геометрия для малышей (1981-1983)</t>
        </is>
      </c>
      <c r="E5359" s="2" t="n">
        <v>1981</v>
      </c>
      <c r="F5359" s="2" t="inlineStr">
        <is>
          <t>не игровое</t>
        </is>
      </c>
      <c r="G5359" s="2" t="inlineStr">
        <is>
          <t>Новосибирсктелефильм</t>
        </is>
      </c>
      <c r="H5359" s="2" t="n">
        <v>322</v>
      </c>
      <c r="I5359" s="2" t="inlineStr"/>
      <c r="J5359" s="2" t="inlineStr"/>
      <c r="K5359" s="3" t="inlineStr">
        <is>
          <t>Цикл короткометражных телефильмов «Геометрия для малышей» в легкой игровой форме рассказывает малышам об основных понятиях раздела математики - геометрии, науке древней и очень необходимой в жизни. На простых примерах малышам объяснят основные понятия геометрии, потому что в действительности она присутствует повсеместно.</t>
        </is>
      </c>
      <c r="L5359" s="2" t="inlineStr">
        <is>
          <t>https://www.kino-teatr.ru/short/movie/sov/175393/annot/</t>
        </is>
      </c>
      <c r="M5359" s="2">
        <f>HYPERLINK("https://ru.wikipedia.org/w/index.php?search=%D0%93%D0%B5%D0%BE%D0%BC%D0%B5%D1%82%D1%80%D0%B8%D1%8F%20%D0%B4%D0%BB%D1%8F%20%D0%BC%D0%B0%D0%BB%D1%8B%D1%88%D0%B5%D0%B9%20%281981-1983%29%201981%20%D1%84%D0%B8%D0%BB%D1%8C%D0%BC","искать")</f>
        <v/>
      </c>
      <c r="N5359" s="3" t="n"/>
      <c r="O5359" s="2" t="n"/>
      <c r="P5359" s="2" t="n"/>
    </row>
    <row r="5360">
      <c r="A5360" s="2" t="n">
        <v>5359</v>
      </c>
      <c r="B5360" s="2" t="inlineStr"/>
      <c r="C5360" s="2" t="n">
        <v>12673</v>
      </c>
      <c r="D5360" s="3" t="inlineStr">
        <is>
          <t>Про рыцаря, который никого не боялся</t>
        </is>
      </c>
      <c r="E5360" s="2" t="n">
        <v>1991</v>
      </c>
      <c r="F5360" s="2" t="inlineStr">
        <is>
          <t>мультфильм</t>
        </is>
      </c>
      <c r="G5360" s="2" t="inlineStr">
        <is>
          <t>БЕЛАРУСЬФИЛЬМ НАЦИОНАЛЬНАЯ КИНОСТУДИЯ - ГП</t>
        </is>
      </c>
      <c r="H5360" s="2" t="n">
        <v>322</v>
      </c>
      <c r="I5360" s="2" t="inlineStr"/>
      <c r="J5360" s="2" t="inlineStr"/>
      <c r="K5360" s="3" t="inlineStr">
        <is>
          <t>Не зная, что такое страх, странствуют рыцари по белу свету в поисках опасных приключений. Им нипочем ни черти, ни ведьмы, ни прочая нечистая сила. Но самое страшное всегда ожидает их в конце путешествия, когда на пороге дома их встречает разгневанная супруга. Тут есть чему испугаться.Песни в исполнении ансамбля "Песняры"</t>
        </is>
      </c>
      <c r="L5360" s="2" t="inlineStr">
        <is>
          <t>2026-10_мультфильмы_список_владельца.xlsx; https://animator.ru/db/?p=show_film&amp;fid=3868</t>
        </is>
      </c>
      <c r="M5360" s="2">
        <f>HYPERLINK("https://ru.wikipedia.org/w/index.php?search=%D0%9F%D1%80%D0%BE%20%D1%80%D1%8B%D1%86%D0%B0%D1%80%D1%8F%2C%20%D0%BA%D0%BE%D1%82%D0%BE%D1%80%D1%8B%D0%B9%20%D0%BD%D0%B8%D0%BA%D0%BE%D0%B3%D0%BE%20%D0%BD%D0%B5%20%D0%B1%D0%BE%D1%8F%D0%BB%D1%81%D1%8F%201991%20%D1%84%D0%B8%D0%BB%D1%8C%D0%BC","искать")</f>
        <v/>
      </c>
      <c r="N5360" s="3" t="n"/>
      <c r="O5360" s="2" t="n"/>
      <c r="P5360" s="2" t="n"/>
    </row>
    <row r="5361">
      <c r="A5361" s="2" t="n">
        <v>5360</v>
      </c>
      <c r="B5361" s="2" t="inlineStr"/>
      <c r="C5361" s="2" t="n">
        <v>7421</v>
      </c>
      <c r="D5361" s="3" t="inlineStr">
        <is>
          <t>Вылет задерживается</t>
        </is>
      </c>
      <c r="E5361" s="2" t="n">
        <v>1974</v>
      </c>
      <c r="F5361" s="2" t="inlineStr">
        <is>
          <t>телефильм</t>
        </is>
      </c>
      <c r="G5361" s="2" t="n"/>
      <c r="H5361" s="2" t="n">
        <v>323</v>
      </c>
      <c r="I5361" s="2" t="inlineStr"/>
      <c r="J5361" s="2" t="inlineStr"/>
      <c r="K5361" s="3" t="inlineStr">
        <is>
          <t>По мотивам пьесы Веры Пановой «Сколько лет, сколько зим!» Случайная встреча Ольги и Сергея возвращает их к минувшим дням молодости. Во время войны они любили друг друга, но, демобилизовавшись из армии, Сергей не захотел связывать себя женитьбой, полагая, что это может помешать ему закончить институт и утвердиться в жизни.</t>
        </is>
      </c>
      <c r="L5361" s="2" t="inlineStr">
        <is>
          <t>Кино_СССР сводный каталог.xlsx: список телефильмов</t>
        </is>
      </c>
      <c r="M5361" s="2">
        <f>HYPERLINK("https://ru.wikipedia.org/w/index.php?search=%D0%92%D1%8B%D0%BB%D0%B5%D1%82%20%D0%B7%D0%B0%D0%B4%D0%B5%D1%80%D0%B6%D0%B8%D0%B2%D0%B0%D0%B5%D1%82%D1%81%D1%8F%201974%20%D1%84%D0%B8%D0%BB%D1%8C%D0%BC","искать")</f>
        <v/>
      </c>
      <c r="N5361" s="3" t="n"/>
      <c r="O5361" s="2" t="n"/>
      <c r="P5361" s="2" t="n"/>
    </row>
    <row r="5362">
      <c r="A5362" s="2" t="n">
        <v>5361</v>
      </c>
      <c r="B5362" s="2" t="inlineStr"/>
      <c r="C5362" s="2" t="n">
        <v>7944</v>
      </c>
      <c r="D5362" s="3" t="inlineStr">
        <is>
          <t>Найди свой дом</t>
        </is>
      </c>
      <c r="E5362" s="2" t="n">
        <v>1982</v>
      </c>
      <c r="F5362" s="2" t="inlineStr">
        <is>
          <t>телефильм</t>
        </is>
      </c>
      <c r="G5362" s="2" t="n"/>
      <c r="H5362" s="2" t="n">
        <v>323</v>
      </c>
      <c r="I5362" s="2" t="inlineStr"/>
      <c r="J5362" s="2" t="inlineStr"/>
      <c r="K5362" s="3" t="inlineStr">
        <is>
          <t>Телефильм. Бесшабашный студент ПТУ Сеня Башкин направляется на практику в то самое село, где он воспитывался в детском доме. Парень пытается разыскать родных, и, хотя эти поиски не увенчались успехом, Сеня встречает добрых и отзывчивых людей, получает хороший жизненный урок и возвращается на учебу совсем другим человеком.</t>
        </is>
      </c>
      <c r="L5362" s="2" t="inlineStr">
        <is>
          <t>Кино_СССР сводный каталог.xlsx: список телефильмов</t>
        </is>
      </c>
      <c r="M5362" s="2">
        <f>HYPERLINK("https://ru.wikipedia.org/w/index.php?search=%D0%9D%D0%B0%D0%B9%D0%B4%D0%B8%20%D1%81%D0%B2%D0%BE%D0%B9%20%D0%B4%D0%BE%D0%BC%201982%20%D1%84%D0%B8%D0%BB%D1%8C%D0%BC","искать")</f>
        <v/>
      </c>
      <c r="N5362" s="3" t="n"/>
      <c r="O5362" s="2" t="n"/>
      <c r="P5362" s="2" t="n"/>
    </row>
    <row r="5363">
      <c r="A5363" s="2" t="n">
        <v>5362</v>
      </c>
      <c r="B5363" s="2" t="inlineStr"/>
      <c r="C5363" s="2" t="n">
        <v>8318</v>
      </c>
      <c r="D5363" s="3" t="inlineStr">
        <is>
          <t>Сеанс одновременной игры</t>
        </is>
      </c>
      <c r="E5363" s="2" t="n">
        <v>1982</v>
      </c>
      <c r="F5363" s="2" t="inlineStr">
        <is>
          <t>телефильм</t>
        </is>
      </c>
      <c r="G5363" s="2" t="n"/>
      <c r="H5363" s="2" t="n">
        <v>323</v>
      </c>
      <c r="I5363" s="2" t="inlineStr"/>
      <c r="J5363" s="2" t="inlineStr"/>
      <c r="K5363" s="3" t="inlineStr">
        <is>
          <t>Молодому шофёру такси, Фоме Багрову, подвернулось выгодное дельце: перегнать на Кавказ новую "Волгу". Обманув своего начальника, Фома оформляет несколько дней за свой счет, и отправляется в путешествие. По дороге, рискуя жизнью, он спасает от катастрофы автобус с детьми, но при этом "Волга" получает серьёзные повреждения.</t>
        </is>
      </c>
      <c r="L5363" s="2" t="inlineStr">
        <is>
          <t>Кино_СССР сводный каталог.xlsx: список телефильмов</t>
        </is>
      </c>
      <c r="M5363" s="2">
        <f>HYPERLINK("https://ru.wikipedia.org/w/index.php?search=%D0%A1%D0%B5%D0%B0%D0%BD%D1%81%20%D0%BE%D0%B4%D0%BD%D0%BE%D0%B2%D1%80%D0%B5%D0%BC%D0%B5%D0%BD%D0%BD%D0%BE%D0%B9%20%D0%B8%D0%B3%D1%80%D1%8B%201982%20%D1%84%D0%B8%D0%BB%D1%8C%D0%BC","искать")</f>
        <v/>
      </c>
      <c r="N5363" s="3" t="n"/>
      <c r="O5363" s="2" t="n"/>
      <c r="P5363" s="2" t="n"/>
    </row>
    <row r="5364">
      <c r="A5364" s="2" t="n">
        <v>5363</v>
      </c>
      <c r="B5364" s="2" t="inlineStr"/>
      <c r="C5364" s="2" t="n">
        <v>8886</v>
      </c>
      <c r="D5364" s="3" t="inlineStr">
        <is>
          <t>Оберег</t>
        </is>
      </c>
      <c r="E5364" s="2" t="n">
        <v>1991</v>
      </c>
      <c r="F5364" s="2" t="inlineStr">
        <is>
          <t>кинофильм</t>
        </is>
      </c>
      <c r="G5364" s="2" t="inlineStr">
        <is>
          <t>к/с им. Довженко</t>
        </is>
      </c>
      <c r="H5364" s="2" t="n">
        <v>323</v>
      </c>
      <c r="I5364" s="2" t="inlineStr"/>
      <c r="J5364" s="2" t="inlineStr"/>
      <c r="K5364" s="3" t="inlineStr">
        <is>
          <t>Двое братьев из далёкого полесского села перебрались в Киев в поисках лучшей доли. Один из них сразу оказывается в водовороте жизни, другой — на её обочине. После загадочной смерти первого из них, его дело продолжает другой. Однако на его пути к вершине возникает помеха — постепенно он превращается в настоящего вурдалака.</t>
        </is>
      </c>
      <c r="L5364" s="2" t="inlineStr">
        <is>
          <t>https://ru.wikipedia.org/w/index.php?title=%D0%9E%D0%B1%D0%B5%D1%80%D0%B5%D0%B3_%28%D1%84%D0%B8%D0%BB%D1%8C%D0%BC%29&amp;oldid=146986038</t>
        </is>
      </c>
      <c r="M5364" s="2">
        <f>HYPERLINK("https://ru.wikipedia.org/w/index.php?search=%D0%9E%D0%B1%D0%B5%D1%80%D0%B5%D0%B3%201991%20%D1%84%D0%B8%D0%BB%D1%8C%D0%BC","искать")</f>
        <v/>
      </c>
      <c r="N5364" s="3" t="n"/>
      <c r="O5364" s="2" t="n"/>
      <c r="P5364" s="2" t="n"/>
    </row>
    <row r="5365">
      <c r="A5365" s="2" t="n">
        <v>5364</v>
      </c>
      <c r="B5365" s="2" t="inlineStr"/>
      <c r="C5365" s="2" t="n">
        <v>9086</v>
      </c>
      <c r="D5365" s="3" t="inlineStr">
        <is>
          <t>Тайна золотого брегета</t>
        </is>
      </c>
      <c r="E5365" s="2" t="n">
        <v>1988</v>
      </c>
      <c r="F5365" s="2" t="inlineStr">
        <is>
          <t>кинофильм</t>
        </is>
      </c>
      <c r="G5365" s="2" t="n"/>
      <c r="H5365" s="2" t="n">
        <v>323</v>
      </c>
      <c r="I5365" s="2" t="inlineStr"/>
      <c r="J5365" s="2" t="inlineStr"/>
      <c r="K5365" s="3" t="inlineStr">
        <is>
          <t>Действие фильма происходит во время гражданской войны. Отряд красноармейцев попадает в засаду, откуда выбраться может только мальчик Ашот. Комиссар дает ему ответственное поручение - перебраться через горный перевал и передать часовщику золотой брегет с шифровкой. Ашот, преодолев все опасности, с честью выполняет задание.</t>
        </is>
      </c>
      <c r="L5365" s="2" t="inlineStr">
        <is>
          <t>Кино_СССР сводный каталог.xlsx: список фильмов (доп.)</t>
        </is>
      </c>
      <c r="M5365" s="2">
        <f>HYPERLINK("https://ru.wikipedia.org/w/index.php?search=%D0%A2%D0%B0%D0%B9%D0%BD%D0%B0%20%D0%B7%D0%BE%D0%BB%D0%BE%D1%82%D0%BE%D0%B3%D0%BE%20%D0%B1%D1%80%D0%B5%D0%B3%D0%B5%D1%82%D0%B0%201988%20%D1%84%D0%B8%D0%BB%D1%8C%D0%BC","искать")</f>
        <v/>
      </c>
      <c r="N5365" s="3" t="n"/>
      <c r="O5365" s="2" t="n"/>
      <c r="P5365" s="2" t="n"/>
    </row>
    <row r="5366">
      <c r="A5366" s="2" t="n">
        <v>5365</v>
      </c>
      <c r="B5366" s="2" t="inlineStr"/>
      <c r="C5366" s="2" t="n">
        <v>9369</v>
      </c>
      <c r="D5366" s="3" t="inlineStr">
        <is>
          <t>Заложница</t>
        </is>
      </c>
      <c r="E5366" s="2" t="n">
        <v>1990</v>
      </c>
      <c r="F5366" s="2" t="inlineStr">
        <is>
          <t>кинофильм</t>
        </is>
      </c>
      <c r="G5366" s="2" t="n"/>
      <c r="H5366" s="2" t="n">
        <v>323</v>
      </c>
      <c r="I5366" s="2" t="inlineStr"/>
      <c r="J5366" s="2" t="inlineStr"/>
      <c r="K5366" s="3" t="inlineStr">
        <is>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-и она начинает видеть в нем не преступника, а отчаявшегося близкого человека.</t>
        </is>
      </c>
      <c r="L5366" s="2" t="inlineStr">
        <is>
          <t>Кино_СССР сводный каталог.xlsx: список фильмов (доп.)</t>
        </is>
      </c>
      <c r="M5366" s="2">
        <f>HYPERLINK("https://ru.wikipedia.org/w/index.php?search=%D0%97%D0%B0%D0%BB%D0%BE%D0%B6%D0%BD%D0%B8%D1%86%D0%B0%201990%20%D1%84%D0%B8%D0%BB%D1%8C%D0%BC","искать")</f>
        <v/>
      </c>
      <c r="N5366" s="3" t="n"/>
      <c r="O5366" s="2" t="n"/>
      <c r="P5366" s="2" t="n"/>
    </row>
    <row r="5367">
      <c r="A5367" s="2" t="n">
        <v>5366</v>
      </c>
      <c r="B5367" s="2" t="inlineStr"/>
      <c r="C5367" s="2" t="n">
        <v>9472</v>
      </c>
      <c r="D5367" s="3" t="inlineStr">
        <is>
          <t>Метичара - зверь морской</t>
        </is>
      </c>
      <c r="E5367" s="2" t="n">
        <v>1988</v>
      </c>
      <c r="F5367" s="2" t="inlineStr">
        <is>
          <t>кинофильм</t>
        </is>
      </c>
      <c r="G5367" s="2" t="n"/>
      <c r="H5367" s="2" t="n">
        <v>323</v>
      </c>
      <c r="I5367" s="2" t="inlineStr"/>
      <c r="J5367" s="2" t="inlineStr"/>
      <c r="K5367" s="3" t="inlineStr">
        <is>
          <t>Одиннадцатилетняя Нинико живет с матерью и отчимом в отдельном добротном доме. В школу ее часто подвозят на «Волге». Однажды девочке разрешают навестить отца, который живет на берегу моря. Он ютится в перенаселенном доме, где все заботливы и внимательны друг к другу. У отца есть друг — умная и озорная дельфиниха Метичара.</t>
        </is>
      </c>
      <c r="L5367" s="2" t="inlineStr">
        <is>
          <t>Кино_СССР сводный каталог.xlsx: список фильмов (доп.)</t>
        </is>
      </c>
      <c r="M5367" s="2">
        <f>HYPERLINK("https://ru.wikipedia.org/w/index.php?search=%D0%9C%D0%B5%D1%82%D0%B8%D1%87%D0%B0%D1%80%D0%B0%20-%20%D0%B7%D0%B2%D0%B5%D1%80%D1%8C%20%D0%BC%D0%BE%D1%80%D1%81%D0%BA%D0%BE%D0%B9%201988%20%D1%84%D0%B8%D0%BB%D1%8C%D0%BC","искать")</f>
        <v/>
      </c>
      <c r="N5367" s="3" t="n"/>
      <c r="O5367" s="2" t="n"/>
      <c r="P5367" s="2" t="n"/>
    </row>
    <row r="5368">
      <c r="A5368" s="2" t="n">
        <v>5367</v>
      </c>
      <c r="B5368" s="2" t="inlineStr"/>
      <c r="C5368" s="2" t="n">
        <v>10961</v>
      </c>
      <c r="D5368" s="3" t="inlineStr">
        <is>
          <t>Проездом</t>
        </is>
      </c>
      <c r="E5368" s="2" t="n">
        <v>1982</v>
      </c>
      <c r="F5368" s="2" t="inlineStr">
        <is>
          <t>фильм-спектакль</t>
        </is>
      </c>
      <c r="G5368" s="2" t="inlineStr">
        <is>
          <t>Главная редакция литературно-драматический программ ЦТ</t>
        </is>
      </c>
      <c r="H5368" s="2" t="n">
        <v>323</v>
      </c>
      <c r="I5368" s="2" t="inlineStr"/>
      <c r="J5368" s="2" t="inlineStr"/>
      <c r="K5368" s="3" t="inlineStr">
        <is>
          <t>Из цикла "По Вашему письму".
Крупный ученый Андрей Логинов приезжает в город своей юности, всего лишь на один день, проездом. Здесь он встречает женщину, которую когда-то любил. Воспоминания о днях давно минувших, о людях там оставшихся, оказываются не таким уж простым делом.
"Думал проездом, а оно вон как обернулось...".</t>
        </is>
      </c>
      <c r="L5368" s="2" t="inlineStr">
        <is>
          <t>https://www.kino-teatr.ru/teatr/movie/9174/annot/</t>
        </is>
      </c>
      <c r="M5368" s="2">
        <f>HYPERLINK("https://ru.wikipedia.org/w/index.php?search=%D0%9F%D1%80%D0%BE%D0%B5%D0%B7%D0%B4%D0%BE%D0%BC%201982%20%D1%84%D0%B8%D0%BB%D1%8C%D0%BC","искать")</f>
        <v/>
      </c>
      <c r="N5368" s="3" t="n"/>
      <c r="O5368" s="2" t="n"/>
      <c r="P5368" s="2" t="n"/>
    </row>
    <row r="5369">
      <c r="A5369" s="2" t="n">
        <v>5368</v>
      </c>
      <c r="B5369" s="2" t="inlineStr"/>
      <c r="C5369" s="2" t="n">
        <v>11971</v>
      </c>
      <c r="D5369" s="3" t="inlineStr">
        <is>
          <t>Дом n13</t>
        </is>
      </c>
      <c r="E5369" s="2" t="n">
        <v>1945</v>
      </c>
      <c r="F5369" s="2" t="inlineStr">
        <is>
          <t>мультфильм</t>
        </is>
      </c>
      <c r="G5369" s="2" t="inlineStr">
        <is>
          <t>Союзмультфильм</t>
        </is>
      </c>
      <c r="H5369" s="2" t="n">
        <v>323</v>
      </c>
      <c r="I5369" s="2" t="inlineStr"/>
      <c r="J5369" s="2" t="inlineStr"/>
      <c r="K5369" s="3" t="inlineStr">
        <is>
          <t>На Лесной улице в доме N 13 жила молодая заячья чета. Во время приготовлеия обеда, на который было приглашено немало друзей, хозяева вклю чили разом все имеющиеся у них нагревательные приборы - плитки, чайники, кастрюли. Электропроводка по комнате не выдерживает перенапряжения и загорается. Пожар уничтожил дом и имущество</t>
        </is>
      </c>
      <c r="L5369" s="2" t="inlineStr">
        <is>
          <t>https://gosfilmofond.ru/films/250729/</t>
        </is>
      </c>
      <c r="M5369" s="2">
        <f>HYPERLINK("https://ru.wikipedia.org/w/index.php?search=%D0%94%D0%BE%D0%BC%20n13%201945%20%D1%84%D0%B8%D0%BB%D1%8C%D0%BC","искать")</f>
        <v/>
      </c>
      <c r="N5369" s="3" t="n"/>
      <c r="O5369" s="2" t="n"/>
      <c r="P5369" s="2" t="n"/>
    </row>
    <row r="5370">
      <c r="A5370" s="2" t="n">
        <v>5369</v>
      </c>
      <c r="B5370" s="2" t="inlineStr"/>
      <c r="C5370" s="2" t="n">
        <v>13233</v>
      </c>
      <c r="D5370" s="3" t="inlineStr">
        <is>
          <t>За горами, за морями</t>
        </is>
      </c>
      <c r="E5370" s="2" t="n">
        <v>1967</v>
      </c>
      <c r="F5370" s="2" t="inlineStr">
        <is>
          <t>мультфильм</t>
        </is>
      </c>
      <c r="G5370" s="2" t="inlineStr">
        <is>
          <t>ТАЛЛИННФИЛЬМ</t>
        </is>
      </c>
      <c r="H5370" s="2" t="n">
        <v>323</v>
      </c>
      <c r="I5370" s="2" t="inlineStr"/>
      <c r="J5370" s="2" t="inlineStr"/>
      <c r="K5370" s="3" t="inlineStr">
        <is>
          <t>Жил-был любопытный Аистенок. Однажды захотелось ему полететь вместе с взрослыми аистами в дальние края. В жаркой пустыне он повстречал хитрого чужестранца-грабителя и доброго маленького негритенка. Вместе с негритенком они отбирают у грабителя сокровища, которые тот унес из саркофага. И Аистенок улетает, догоняя свою стаю</t>
        </is>
      </c>
      <c r="L5370" s="2" t="inlineStr">
        <is>
          <t>https://gosfilmofond.ru/films/254262/</t>
        </is>
      </c>
      <c r="M5370" s="2">
        <f>HYPERLINK("https://ru.wikipedia.org/w/index.php?search=%D0%97%D0%B0%20%D0%B3%D0%BE%D1%80%D0%B0%D0%BC%D0%B8%2C%20%D0%B7%D0%B0%20%D0%BC%D0%BE%D1%80%D1%8F%D0%BC%D0%B8%201967%20%D1%84%D0%B8%D0%BB%D1%8C%D0%BC","искать")</f>
        <v/>
      </c>
      <c r="N5370" s="3" t="n"/>
      <c r="O5370" s="2" t="n"/>
      <c r="P5370" s="2" t="n"/>
    </row>
    <row r="5371">
      <c r="A5371" s="2" t="n">
        <v>5370</v>
      </c>
      <c r="B5371" s="2" t="inlineStr"/>
      <c r="C5371" s="2" t="n">
        <v>7478</v>
      </c>
      <c r="D5371" s="3" t="inlineStr">
        <is>
          <t>Двадцать минут с ангелом</t>
        </is>
      </c>
      <c r="E5371" s="2" t="n">
        <v>1989</v>
      </c>
      <c r="F5371" s="2" t="inlineStr">
        <is>
          <t>телефильм</t>
        </is>
      </c>
      <c r="G5371" s="2" t="inlineStr">
        <is>
          <t>Лентелефильм</t>
        </is>
      </c>
      <c r="H5371" s="2" t="n">
        <v>324</v>
      </c>
      <c r="I5371" s="2" t="inlineStr"/>
      <c r="J5371" s="2" t="inlineStr"/>
      <c r="K5371" s="3" t="inlineStr">
        <is>
          <t>По произведениям А.Вампилова. Действие фильма происходит в гостинице. В одном из номеров - влюбленная пара, в другом скрипач. В третьем - двое парней просыпаются с похмелья. Видимо изрядно приняв накануне, они встают с одним желанием - выпить. Но выпить нечего, да и не на что. И знакомых тоже нет, так что занять не у кого.</t>
        </is>
      </c>
      <c r="L5371" s="2" t="inlineStr">
        <is>
          <t>Кино_СССР сводный каталог.xlsx: список телефильмов</t>
        </is>
      </c>
      <c r="M5371" s="2">
        <f>HYPERLINK("https://ru.wikipedia.org/w/index.php?search=%D0%94%D0%B2%D0%B0%D0%B4%D1%86%D0%B0%D1%82%D1%8C%20%D0%BC%D0%B8%D0%BD%D1%83%D1%82%20%D1%81%20%D0%B0%D0%BD%D0%B3%D0%B5%D0%BB%D0%BE%D0%BC%201989%20%D1%84%D0%B8%D0%BB%D1%8C%D0%BC","искать")</f>
        <v/>
      </c>
      <c r="N5371" s="3" t="n"/>
      <c r="O5371" s="2" t="n"/>
      <c r="P5371" s="2" t="n"/>
    </row>
    <row r="5372">
      <c r="A5372" s="2" t="n">
        <v>5371</v>
      </c>
      <c r="B5372" s="2" t="inlineStr"/>
      <c r="C5372" s="2" t="n">
        <v>7539</v>
      </c>
      <c r="D5372" s="3" t="inlineStr">
        <is>
          <t>Дом на Фонтанке</t>
        </is>
      </c>
      <c r="E5372" s="2" t="n">
        <v>1972</v>
      </c>
      <c r="F5372" s="2" t="inlineStr">
        <is>
          <t>телефильм</t>
        </is>
      </c>
      <c r="G5372" s="2" t="n"/>
      <c r="H5372" s="2" t="n">
        <v>324</v>
      </c>
      <c r="I5372" s="2" t="inlineStr"/>
      <c r="J5372" s="2" t="inlineStr"/>
      <c r="K5372" s="3" t="inlineStr">
        <is>
          <t>По книге Даниила Гранина. Пожилой человек едет в электричке. Кругом - молодые лица. О чем думает этот пожилой человек, смотрящий в окно? Он - ученый, который работает в лаборатории. Опыты подходят к концу, надо запускать серию, но его открытие морально устарело. Он решает начать все с начала, несмотря на возражения коллег.</t>
        </is>
      </c>
      <c r="L5372" s="2" t="inlineStr">
        <is>
          <t>Кино_СССР сводный каталог.xlsx: список телефильмов</t>
        </is>
      </c>
      <c r="M5372" s="2">
        <f>HYPERLINK("https://ru.wikipedia.org/w/index.php?search=%D0%94%D0%BE%D0%BC%20%D0%BD%D0%B0%20%D0%A4%D0%BE%D0%BD%D1%82%D0%B0%D0%BD%D0%BA%D0%B5%201972%20%D1%84%D0%B8%D0%BB%D1%8C%D0%BC","искать")</f>
        <v/>
      </c>
      <c r="N5372" s="3" t="n"/>
      <c r="O5372" s="2" t="n"/>
      <c r="P5372" s="2" t="n"/>
    </row>
    <row r="5373">
      <c r="A5373" s="2" t="n">
        <v>5372</v>
      </c>
      <c r="B5373" s="2" t="inlineStr"/>
      <c r="C5373" s="2" t="n">
        <v>7729</v>
      </c>
      <c r="D5373" s="3" t="inlineStr">
        <is>
          <t>Клоун</t>
        </is>
      </c>
      <c r="E5373" s="2" t="n">
        <v>1980</v>
      </c>
      <c r="F5373" s="2" t="inlineStr">
        <is>
          <t>телефильм</t>
        </is>
      </c>
      <c r="G5373" s="2" t="n"/>
      <c r="H5373" s="2" t="n">
        <v>324</v>
      </c>
      <c r="I5373" s="2" t="inlineStr"/>
      <c r="J5373" s="2" t="inlineStr"/>
      <c r="K5373" s="3" t="inlineStr">
        <is>
          <t>Трагикомедия по мотивам повести Виктора Драгунского "Сегодня и ежедневно". Известный клоун Николай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Случайно он узнаёт, что его любимая собирается выйти замуж за другого.</t>
        </is>
      </c>
      <c r="L5373" s="2" t="inlineStr">
        <is>
          <t>Кино_СССР сводный каталог.xlsx: список телефильмов</t>
        </is>
      </c>
      <c r="M5373" s="2">
        <f>HYPERLINK("https://ru.wikipedia.org/w/index.php?search=%D0%9A%D0%BB%D0%BE%D1%83%D0%BD%201980%20%D1%84%D0%B8%D0%BB%D1%8C%D0%BC","искать")</f>
        <v/>
      </c>
      <c r="N5373" s="3" t="n"/>
      <c r="O5373" s="2" t="n"/>
      <c r="P5373" s="2" t="n"/>
    </row>
    <row r="5374">
      <c r="A5374" s="2" t="n">
        <v>5373</v>
      </c>
      <c r="B5374" s="2" t="inlineStr"/>
      <c r="C5374" s="2" t="n">
        <v>7814</v>
      </c>
      <c r="D5374" s="3" t="inlineStr">
        <is>
          <t>Личное оружие</t>
        </is>
      </c>
      <c r="E5374" s="2" t="n">
        <v>1991</v>
      </c>
      <c r="F5374" s="2" t="inlineStr">
        <is>
          <t>телефильм</t>
        </is>
      </c>
      <c r="G5374" s="2" t="n"/>
      <c r="H5374" s="2" t="n">
        <v>324</v>
      </c>
      <c r="I5374" s="2" t="inlineStr"/>
      <c r="J5374" s="2" t="inlineStr"/>
      <c r="K5374" s="3" t="inlineStr">
        <is>
          <t>Капитан милиции Любовь Виртанен и работник прокуратуры Прасковья Нечитайло приезжают в Лиманск для расследования убийства. Они сталкиваются с коррупцией и препятствиями со стороны местных властей, которые имеют на своём счету наркобизнес, торговлю левыми фруктами и то самое убийство, и пытаются скрыть свои преступные дела.</t>
        </is>
      </c>
      <c r="L5374" s="2" t="inlineStr">
        <is>
          <t>https://ru.wikipedia.org/w/index.php?title=%D0%9B%D0%B8%D1%87%D0%BD%D0%BE%D0%B5_%D0%BE%D1%80%D1%83%D0%B6%D0%B8%D0%B5_%28%D1%84%D0%B8%D0%BB%D1%8C%D0%BC%29&amp;oldid=154767218</t>
        </is>
      </c>
      <c r="M5374" s="2">
        <f>HYPERLINK("https://ru.wikipedia.org/w/index.php?search=%D0%9B%D0%B8%D1%87%D0%BD%D0%BE%D0%B5%20%D0%BE%D1%80%D1%83%D0%B6%D0%B8%D0%B5%201991%20%D1%84%D0%B8%D0%BB%D1%8C%D0%BC","искать")</f>
        <v/>
      </c>
      <c r="N5374" s="3" t="n"/>
      <c r="O5374" s="2" t="n"/>
      <c r="P5374" s="2" t="n"/>
    </row>
    <row r="5375">
      <c r="A5375" s="2" t="n">
        <v>5374</v>
      </c>
      <c r="B5375" s="2" t="inlineStr"/>
      <c r="C5375" s="2" t="n">
        <v>8644</v>
      </c>
      <c r="D5375" s="3" t="inlineStr">
        <is>
          <t>Ванька-Встанька</t>
        </is>
      </c>
      <c r="E5375" s="2" t="n">
        <v>1989</v>
      </c>
      <c r="F5375" s="2" t="inlineStr">
        <is>
          <t>кинофильм</t>
        </is>
      </c>
      <c r="G5375" s="2" t="n"/>
      <c r="H5375" s="2" t="n">
        <v>324</v>
      </c>
      <c r="I5375" s="2" t="inlineStr"/>
      <c r="J5375" s="2" t="inlineStr"/>
      <c r="K5375" s="3" t="inlineStr">
        <is>
          <t>Летом 1941 года мальчик Васька пытается научиться летать - делает себе крылья, прыгает с обрыва и ломает ногу. Когда начинается война, Васька лежит дома в гипсе. Старшего брата забирают в армию, среднего - работать на свиноферме. Не выдержав "позора", Васька встает на костыли и идет помогать стрелочнику на железной дороге.</t>
        </is>
      </c>
      <c r="L5375" s="2" t="inlineStr">
        <is>
          <t>Кино_СССР сводный каталог.xlsx: список фильмов (доп.)</t>
        </is>
      </c>
      <c r="M5375" s="2">
        <f>HYPERLINK("https://ru.wikipedia.org/w/index.php?search=%D0%92%D0%B0%D0%BD%D1%8C%D0%BA%D0%B0-%D0%92%D1%81%D1%82%D0%B0%D0%BD%D1%8C%D0%BA%D0%B0%201989%20%D1%84%D0%B8%D0%BB%D1%8C%D0%BC","искать")</f>
        <v/>
      </c>
      <c r="N5375" s="3" t="n"/>
      <c r="O5375" s="2" t="n"/>
      <c r="P5375" s="2" t="n"/>
    </row>
    <row r="5376">
      <c r="A5376" s="2" t="n">
        <v>5375</v>
      </c>
      <c r="B5376" s="2" t="inlineStr"/>
      <c r="C5376" s="2" t="n">
        <v>8651</v>
      </c>
      <c r="D5376" s="3" t="inlineStr">
        <is>
          <t>Веселей нас нет</t>
        </is>
      </c>
      <c r="E5376" s="2" t="n">
        <v>1940</v>
      </c>
      <c r="F5376" s="2" t="inlineStr">
        <is>
          <t>кинофильм</t>
        </is>
      </c>
      <c r="G5376" s="2" t="n"/>
      <c r="H5376" s="2" t="n">
        <v>324</v>
      </c>
      <c r="I5376" s="2" t="inlineStr"/>
      <c r="J5376" s="2" t="inlineStr"/>
      <c r="K5376" s="3" t="inlineStr">
        <is>
          <t>Молодой человек, русский по национальности, едет к невесте-узбечке в далекий приграничный кишлак, не зная, что его многочисленная семья решает сделать ему сюрприз и также отправляется в Узбекистан для знакомства с невестой и ее родителями. Цепь комических недоразумений завершается эпизодом стычки на границе с диверсантами.</t>
        </is>
      </c>
      <c r="L5376" s="2" t="inlineStr">
        <is>
          <t>Кино_СССР сводный каталог.xlsx: список фильмов (доп.)</t>
        </is>
      </c>
      <c r="M5376" s="2">
        <f>HYPERLINK("https://ru.wikipedia.org/w/index.php?search=%D0%92%D0%B5%D1%81%D0%B5%D0%BB%D0%B5%D0%B9%20%D0%BD%D0%B0%D1%81%20%D0%BD%D0%B5%D1%82%201940%20%D1%84%D0%B8%D0%BB%D1%8C%D0%BC","искать")</f>
        <v/>
      </c>
      <c r="N5376" s="3" t="n"/>
      <c r="O5376" s="2" t="n"/>
      <c r="P5376" s="2" t="n"/>
    </row>
    <row r="5377">
      <c r="A5377" s="2" t="n">
        <v>5376</v>
      </c>
      <c r="B5377" s="2" t="inlineStr"/>
      <c r="C5377" s="2" t="n">
        <v>8795</v>
      </c>
      <c r="D5377" s="3" t="inlineStr">
        <is>
          <t>Ленинград. Ноябрь</t>
        </is>
      </c>
      <c r="E5377" s="2" t="n">
        <v>1990</v>
      </c>
      <c r="F5377" s="2" t="inlineStr">
        <is>
          <t>кинофильм</t>
        </is>
      </c>
      <c r="G5377" s="2" t="n"/>
      <c r="H5377" s="2" t="n">
        <v>324</v>
      </c>
      <c r="I5377" s="2" t="inlineStr"/>
      <c r="J5377" s="2" t="inlineStr"/>
      <c r="K5377" s="3" t="inlineStr">
        <is>
          <t>Узнав о тяжелой болезни отца, Макс приезжает из Кельна в Ленинград и очень надеется на то, что отец простит ему женитьбу на немке. Но пережив войну, блокаду, смерть близких, отец не в состоянии понять сына. Похоронив отца, Макс в последний раз встречается с друзьями, в последний раз видит родной город - осенний и холодный.</t>
        </is>
      </c>
      <c r="L5377" s="2" t="inlineStr">
        <is>
          <t>Кино_СССР сводный каталог.xlsx: список фильмов (доп.)</t>
        </is>
      </c>
      <c r="M5377" s="2">
        <f>HYPERLINK("https://ru.wikipedia.org/w/index.php?search=%D0%9B%D0%B5%D0%BD%D0%B8%D0%BD%D0%B3%D1%80%D0%B0%D0%B4.%20%D0%9D%D0%BE%D1%8F%D0%B1%D1%80%D1%8C%201990%20%D1%84%D0%B8%D0%BB%D1%8C%D0%BC","искать")</f>
        <v/>
      </c>
      <c r="N5377" s="3" t="n"/>
      <c r="O5377" s="2" t="n"/>
      <c r="P5377" s="2" t="n"/>
    </row>
    <row r="5378">
      <c r="A5378" s="2" t="n">
        <v>5377</v>
      </c>
      <c r="B5378" s="2" t="inlineStr"/>
      <c r="C5378" s="2" t="n">
        <v>9023</v>
      </c>
      <c r="D5378" s="3" t="inlineStr">
        <is>
          <t>Рыжая фея</t>
        </is>
      </c>
      <c r="E5378" s="2" t="n">
        <v>1987</v>
      </c>
      <c r="F5378" s="2" t="inlineStr">
        <is>
          <t>кинофильм</t>
        </is>
      </c>
      <c r="G5378" s="2" t="n"/>
      <c r="H5378" s="2" t="n">
        <v>324</v>
      </c>
      <c r="I5378" s="2" t="inlineStr"/>
      <c r="J5378" s="2" t="inlineStr"/>
      <c r="K5378" s="3" t="inlineStr">
        <is>
          <t>Маленький больной лосенок, которого нашел Минька в лесу, вырос и превратился в сильную и красивую лосиху, Рыжую Фею. Ребенок и животное очень привыкли друг к другу, а когда Минька надолго уезжал, лосиха скучала и даже плакала о нём. А потом она исчезла. Мальчик нигде не мог ее найти. Родители торопились переехать в город .</t>
        </is>
      </c>
      <c r="L5378" s="2" t="inlineStr">
        <is>
          <t>Кино_СССР сводный каталог.xlsx: список фильмов (доп.)</t>
        </is>
      </c>
      <c r="M5378" s="2">
        <f>HYPERLINK("https://ru.wikipedia.org/w/index.php?search=%D0%A0%D1%8B%D0%B6%D0%B0%D1%8F%20%D1%84%D0%B5%D1%8F%201987%20%D1%84%D0%B8%D0%BB%D1%8C%D0%BC","искать")</f>
        <v/>
      </c>
      <c r="N5378" s="3" t="n"/>
      <c r="O5378" s="2" t="n"/>
      <c r="P5378" s="2" t="n"/>
    </row>
    <row r="5379">
      <c r="A5379" s="2" t="n">
        <v>5378</v>
      </c>
      <c r="B5379" s="2" t="inlineStr"/>
      <c r="C5379" s="2" t="n">
        <v>9295</v>
      </c>
      <c r="D5379" s="3" t="inlineStr">
        <is>
          <t>Высокий перевал</t>
        </is>
      </c>
      <c r="E5379" s="2" t="n">
        <v>1981</v>
      </c>
      <c r="F5379" s="2" t="inlineStr">
        <is>
          <t>кинофильм</t>
        </is>
      </c>
      <c r="G5379" s="2" t="n"/>
      <c r="H5379" s="2" t="n">
        <v>324</v>
      </c>
      <c r="I5379" s="2" t="inlineStr"/>
      <c r="J5379" s="2" t="inlineStr"/>
      <c r="K5379" s="3" t="inlineStr">
        <is>
          <t>В основе фильма лежит история прикарпатской семьи Петрик. Мать Ярослава (Наталия Наум) — коммунистка, а муж, сын и дочь выступают на стороне ОУН-УПА. Но ненависть и вражду между своим родным сыном Юрком (Тарас Денисенко) и усыновлённым русским мальчиком Алёшей Ярослава преодолела, выстрадав их примирение всей своей жизнью.</t>
        </is>
      </c>
      <c r="L5379" s="2" t="inlineStr">
        <is>
          <t>https://ru.wikipedia.org/w/index.php?title=%D0%92%D1%8B%D1%81%D0%BE%D0%BA%D0%B8%D0%B9_%D0%BF%D0%B5%D1%80%D0%B5%D0%B2%D0%B0%D0%BB&amp;oldid=154539028</t>
        </is>
      </c>
      <c r="M5379" s="2">
        <f>HYPERLINK("https://ru.wikipedia.org/w/index.php?search=%D0%92%D1%8B%D1%81%D0%BE%D0%BA%D0%B8%D0%B9%20%D0%BF%D0%B5%D1%80%D0%B5%D0%B2%D0%B0%D0%BB%201981%20%D1%84%D0%B8%D0%BB%D1%8C%D0%BC","искать")</f>
        <v/>
      </c>
      <c r="N5379" s="3" t="n"/>
      <c r="O5379" s="2" t="n"/>
      <c r="P5379" s="2" t="n"/>
    </row>
    <row r="5380">
      <c r="A5380" s="2" t="n">
        <v>5379</v>
      </c>
      <c r="B5380" s="2" t="inlineStr"/>
      <c r="C5380" s="2" t="n">
        <v>11014</v>
      </c>
      <c r="D5380" s="3" t="inlineStr">
        <is>
          <t>Убийце - Гонкуровская премия</t>
        </is>
      </c>
      <c r="E5380" s="2" t="n">
        <v>1983</v>
      </c>
      <c r="F5380" s="2" t="inlineStr">
        <is>
          <t>фильм-спектакль</t>
        </is>
      </c>
      <c r="G5380" s="2" t="inlineStr">
        <is>
          <t>Ленинградское телевидение</t>
        </is>
      </c>
      <c r="H5380" s="2" t="n">
        <v>324</v>
      </c>
      <c r="I5380" s="2" t="inlineStr"/>
      <c r="J5380" s="2" t="inlineStr"/>
      <c r="K5380" s="3" t="inlineStr">
        <is>
          <t>По роману Пьера Гамарра.
Никому не известный писатель Поль Дубуа получает за свой роман престижную Гонкуровскую премию. На вручение премии автор не приходит, а затем довольно скоро выясняется: убийство, описанное в романе, произошло на самом деле. Репортер Жозе Робен проводит свое расследование и вычисляет автора и убийцу.</t>
        </is>
      </c>
      <c r="L5380" s="2" t="inlineStr">
        <is>
          <t>https://www.kino-teatr.ru/teatr/movie/86186/annot/</t>
        </is>
      </c>
      <c r="M5380" s="2">
        <f>HYPERLINK("https://ru.wikipedia.org/w/index.php?search=%D0%A3%D0%B1%D0%B8%D0%B9%D1%86%D0%B5%20-%20%D0%93%D0%BE%D0%BD%D0%BA%D1%83%D1%80%D0%BE%D0%B2%D1%81%D0%BA%D0%B0%D1%8F%20%D0%BF%D1%80%D0%B5%D0%BC%D0%B8%D1%8F%201983%20%D1%84%D0%B8%D0%BB%D1%8C%D0%BC","искать")</f>
        <v/>
      </c>
      <c r="N5380" s="3" t="n"/>
      <c r="O5380" s="2" t="n"/>
      <c r="P5380" s="2" t="n"/>
    </row>
    <row r="5381">
      <c r="A5381" s="2" t="n">
        <v>5380</v>
      </c>
      <c r="B5381" s="2" t="inlineStr"/>
      <c r="C5381" s="2" t="n">
        <v>11600</v>
      </c>
      <c r="D5381" s="3" t="inlineStr">
        <is>
          <t>Мой друг Мартын</t>
        </is>
      </c>
      <c r="E5381" s="2" t="n">
        <v>1970</v>
      </c>
      <c r="F5381" s="2" t="inlineStr">
        <is>
          <t>мультфильм</t>
        </is>
      </c>
      <c r="G5381" s="2" t="inlineStr">
        <is>
          <t>Союзмультфильм</t>
        </is>
      </c>
      <c r="H5381" s="2" t="n">
        <v>324</v>
      </c>
      <c r="I5381" s="2" t="inlineStr"/>
      <c r="J5381" s="2" t="inlineStr"/>
      <c r="K5381" s="3" t="inlineStr">
        <is>
          <t>Самоуверенный, заносчивый Сережа ни с кем не дружит. Единственный его товарищ - щенок Мартын. Да и с ним обращается он грубо. Но вот щенок теряется. По всему городу разыскивает его мальчик, все безуспешно. В конце-концов добрые и отзывчивые люди помогают ему найти щенка. И Сережа понимает, как трудно быть одному без друзей</t>
        </is>
      </c>
      <c r="L5381" s="2" t="inlineStr">
        <is>
          <t>https://gosfilmofond.ru/films/255163/</t>
        </is>
      </c>
      <c r="M5381" s="2">
        <f>HYPERLINK("https://ru.wikipedia.org/w/index.php?search=%D0%9C%D0%BE%D0%B9%20%D0%B4%D1%80%D1%83%D0%B3%20%D0%9C%D0%B0%D1%80%D1%82%D1%8B%D0%BD%201970%20%D1%84%D0%B8%D0%BB%D1%8C%D0%BC","искать")</f>
        <v/>
      </c>
      <c r="N5381" s="3" t="n"/>
      <c r="O5381" s="2" t="n"/>
      <c r="P5381" s="2" t="n"/>
    </row>
    <row r="5382">
      <c r="A5382" s="2" t="n">
        <v>5381</v>
      </c>
      <c r="B5382" s="2" t="inlineStr"/>
      <c r="C5382" s="2" t="n">
        <v>7386</v>
      </c>
      <c r="D5382" s="3" t="inlineStr">
        <is>
          <t>Впереди океан</t>
        </is>
      </c>
      <c r="E5382" s="2" t="n">
        <v>1983</v>
      </c>
      <c r="F5382" s="2" t="inlineStr">
        <is>
          <t>телефильм</t>
        </is>
      </c>
      <c r="G5382" s="2" t="n"/>
      <c r="H5382" s="2" t="n">
        <v>325</v>
      </c>
      <c r="I5382" s="2" t="inlineStr"/>
      <c r="J5382" s="2" t="inlineStr"/>
      <c r="K5382" s="3" t="inlineStr">
        <is>
          <t>Бригада проходчиков сооружает тоннель на БАМе. Главный герой фильма бригадир Константин Басаргин - личность известная, авторитетная, его имя известно далеко за пределами стройки. Но слава вскружила ему голову. В забое происходит авария, вызванная землетрясением, а в это время Басаргин берет отпуск и уезжает по личным делам.</t>
        </is>
      </c>
      <c r="L5382" s="2" t="inlineStr">
        <is>
          <t>Кино_СССР сводный каталог.xlsx: список телефильмов</t>
        </is>
      </c>
      <c r="M5382" s="2">
        <f>HYPERLINK("https://ru.wikipedia.org/w/index.php?search=%D0%92%D0%BF%D0%B5%D1%80%D0%B5%D0%B4%D0%B8%20%D0%BE%D0%BA%D0%B5%D0%B0%D0%BD%201983%20%D1%84%D0%B8%D0%BB%D1%8C%D0%BC","искать")</f>
        <v/>
      </c>
      <c r="N5382" s="3" t="n"/>
      <c r="O5382" s="2" t="n"/>
      <c r="P5382" s="2" t="n"/>
    </row>
    <row r="5383">
      <c r="A5383" s="2" t="n">
        <v>5382</v>
      </c>
      <c r="B5383" s="2" t="inlineStr"/>
      <c r="C5383" s="2" t="n">
        <v>7445</v>
      </c>
      <c r="D5383" s="3" t="inlineStr">
        <is>
          <t>Голубой карбункул</t>
        </is>
      </c>
      <c r="E5383" s="2" t="n">
        <v>1979</v>
      </c>
      <c r="F5383" s="2" t="inlineStr">
        <is>
          <t>телефильм</t>
        </is>
      </c>
      <c r="G5383" s="2" t="n"/>
      <c r="H5383" s="2" t="n">
        <v>325</v>
      </c>
      <c r="I5383" s="2" t="inlineStr"/>
      <c r="J5383" s="2" t="inlineStr"/>
      <c r="K5383" s="3" t="inlineStr">
        <is>
          <t>Телефильм создан в жанре музыкального детектива-комедии по мотивам рассказов Артура Конан Дойля о Шерлоке Холмсе и докторе Ватсоне. В основе история о бриллианте, носящем имя «Голубой карбункул». Здесь есть все – таинственные обстоятельства «Ограбления века», любовные интриги, сверкающие драгоценности, колоритнейшие фигуры.</t>
        </is>
      </c>
      <c r="L5383" s="2" t="inlineStr">
        <is>
          <t>Кино_СССР сводный каталог.xlsx: список телефильмов</t>
        </is>
      </c>
      <c r="M5383" s="2">
        <f>HYPERLINK("https://ru.wikipedia.org/w/index.php?search=%D0%93%D0%BE%D0%BB%D1%83%D0%B1%D0%BE%D0%B9%20%D0%BA%D0%B0%D1%80%D0%B1%D1%83%D0%BD%D0%BA%D1%83%D0%BB%201979%20%D1%84%D0%B8%D0%BB%D1%8C%D0%BC","искать")</f>
        <v/>
      </c>
      <c r="N5383" s="3" t="n"/>
      <c r="O5383" s="2" t="n"/>
      <c r="P5383" s="2" t="n"/>
    </row>
    <row r="5384">
      <c r="A5384" s="2" t="n">
        <v>5383</v>
      </c>
      <c r="B5384" s="2" t="inlineStr"/>
      <c r="C5384" s="2" t="n">
        <v>7836</v>
      </c>
      <c r="D5384" s="3" t="inlineStr">
        <is>
          <t>Люся</t>
        </is>
      </c>
      <c r="E5384" s="2" t="n">
        <v>1977</v>
      </c>
      <c r="F5384" s="2" t="inlineStr">
        <is>
          <t>телефильм</t>
        </is>
      </c>
      <c r="G5384" s="2" t="n"/>
      <c r="H5384" s="2" t="n">
        <v>325</v>
      </c>
      <c r="I5384" s="2" t="inlineStr"/>
      <c r="J5384" s="2" t="inlineStr"/>
      <c r="K5384" s="3" t="inlineStr">
        <is>
          <t>Студент геологического института, Юра Лагунин, едет на практику в Центральные Кара-Кумы. Он уговаривает свою любимую девушку, Люсю, поехать вместе с ним. Но не всем под силу выдержать тяжелые условия экспедиции, а Юра оказывается человеком слабым и ненадежным. Завершается практика, молодые люди порознь возвращаются в город.</t>
        </is>
      </c>
      <c r="L5384" s="2" t="inlineStr">
        <is>
          <t>Кино_СССР сводный каталог.xlsx: список телефильмов</t>
        </is>
      </c>
      <c r="M5384" s="2">
        <f>HYPERLINK("https://ru.wikipedia.org/w/index.php?search=%D0%9B%D1%8E%D1%81%D1%8F%201977%20%D1%84%D0%B8%D0%BB%D1%8C%D0%BC","искать")</f>
        <v/>
      </c>
      <c r="N5384" s="3" t="n"/>
      <c r="O5384" s="2" t="n"/>
      <c r="P5384" s="2" t="n"/>
    </row>
    <row r="5385">
      <c r="A5385" s="2" t="n">
        <v>5384</v>
      </c>
      <c r="B5385" s="2" t="inlineStr"/>
      <c r="C5385" s="2" t="n">
        <v>8046</v>
      </c>
      <c r="D5385" s="3" t="inlineStr">
        <is>
          <t>Опасный человек</t>
        </is>
      </c>
      <c r="E5385" s="2" t="n">
        <v>1988</v>
      </c>
      <c r="F5385" s="2" t="inlineStr">
        <is>
          <t>телефильм</t>
        </is>
      </c>
      <c r="G5385" s="2" t="n"/>
      <c r="H5385" s="2" t="n">
        <v>325</v>
      </c>
      <c r="I5385" s="2" t="inlineStr"/>
      <c r="J5385" s="2" t="inlineStr"/>
      <c r="K5385" s="3" t="inlineStr">
        <is>
          <t>По мотивам рассказа Е.Каплинской "Коробки, коробочки". Жил-был снабженец Павлов. Отправили его как-то в командировку в соседний город за комплектующими деталями - золотниками. Производящий их завод отказался посодействовать. Однако Павлова голыми руками не возьмешь – про таких людей на Руси говорят, что на них мир держится.</t>
        </is>
      </c>
      <c r="L5385" s="2" t="inlineStr">
        <is>
          <t>Кино_СССР сводный каталог.xlsx: список телефильмов</t>
        </is>
      </c>
      <c r="M5385" s="2">
        <f>HYPERLINK("https://ru.wikipedia.org/w/index.php?search=%D0%9E%D0%BF%D0%B0%D1%81%D0%BD%D1%8B%D0%B9%20%D1%87%D0%B5%D0%BB%D0%BE%D0%B2%D0%B5%D0%BA%201988%20%D1%84%D0%B8%D0%BB%D1%8C%D0%BC","искать")</f>
        <v/>
      </c>
      <c r="N5385" s="3" t="n"/>
      <c r="O5385" s="2" t="n"/>
      <c r="P5385" s="2" t="n"/>
    </row>
    <row r="5386">
      <c r="A5386" s="2" t="n">
        <v>5385</v>
      </c>
      <c r="B5386" s="2" t="inlineStr"/>
      <c r="C5386" s="2" t="n">
        <v>8232</v>
      </c>
      <c r="D5386" s="3" t="inlineStr">
        <is>
          <t>Прости нас, мачеха Россия</t>
        </is>
      </c>
      <c r="E5386" s="2" t="n">
        <v>1990</v>
      </c>
      <c r="F5386" s="2" t="inlineStr">
        <is>
          <t>телефильм</t>
        </is>
      </c>
      <c r="G5386" s="2" t="n"/>
      <c r="H5386" s="2" t="n">
        <v>325</v>
      </c>
      <c r="I5386" s="2" t="inlineStr"/>
      <c r="J5386" s="2" t="inlineStr"/>
      <c r="K5386" s="3" t="inlineStr">
        <is>
          <t>Заключенный Русаков (Юозас Будрайтис) несправедливо обвинен в измене Родине. Во время хрущевской оттепели в лагерь присылают нового следователя (Людмила Гурченко) для повторного расследования. Ей удается доказать невиновность осужденного, но в это время к власти приходит Брежнев и доследование по делу Русакова прекращается.</t>
        </is>
      </c>
      <c r="L5386" s="2" t="inlineStr">
        <is>
          <t>Кино_СССР сводный каталог.xlsx: список телефильмов</t>
        </is>
      </c>
      <c r="M5386" s="2">
        <f>HYPERLINK("https://ru.wikipedia.org/w/index.php?search=%D0%9F%D1%80%D0%BE%D1%81%D1%82%D0%B8%20%D0%BD%D0%B0%D1%81%2C%20%D0%BC%D0%B0%D1%87%D0%B5%D1%85%D0%B0%20%D0%A0%D0%BE%D1%81%D1%81%D0%B8%D1%8F%201990%20%D1%84%D0%B8%D0%BB%D1%8C%D0%BC","искать")</f>
        <v/>
      </c>
      <c r="N5386" s="3" t="n"/>
      <c r="O5386" s="2" t="n"/>
      <c r="P5386" s="2" t="n"/>
    </row>
    <row r="5387">
      <c r="A5387" s="2" t="n">
        <v>5386</v>
      </c>
      <c r="B5387" s="2" t="inlineStr"/>
      <c r="C5387" s="2" t="n">
        <v>8670</v>
      </c>
      <c r="D5387" s="3" t="inlineStr">
        <is>
          <t>Все кого-то любят...</t>
        </is>
      </c>
      <c r="E5387" s="2" t="n">
        <v>1988</v>
      </c>
      <c r="F5387" s="2" t="inlineStr">
        <is>
          <t>кинофильм</t>
        </is>
      </c>
      <c r="G5387" s="2" t="inlineStr">
        <is>
          <t>Беларусьфильм, студия им. Ю. Тарича</t>
        </is>
      </c>
      <c r="H5387" s="2" t="n">
        <v>325</v>
      </c>
      <c r="I5387" s="2" t="inlineStr"/>
      <c r="J5387" s="2" t="inlineStr"/>
      <c r="K5387" s="3" t="inlineStr">
        <is>
          <t>По рассказам И.Кашафутдинова. Григорий уже много лет работает водолазом на Охотском море. Он очень тоскует по своему шестилетнему сыну Димке и решает вернуться в родной город, чтобы предложить бывшей жене Кате попробовать как-то наладить совместную жизнь. Приехав, он узнает, что у Кати новый муж, и она ждет от него ребенка.</t>
        </is>
      </c>
      <c r="L5387" s="2" t="inlineStr">
        <is>
          <t>Кино_СССР сводный каталог.xlsx: список фильмов (доп.)</t>
        </is>
      </c>
      <c r="M5387" s="2">
        <f>HYPERLINK("https://ru.wikipedia.org/w/index.php?search=%D0%92%D1%81%D0%B5%20%D0%BA%D0%BE%D0%B3%D0%BE-%D1%82%D0%BE%20%D0%BB%D1%8E%D0%B1%D1%8F%D1%82...%201988%20%D1%84%D0%B8%D0%BB%D1%8C%D0%BC","искать")</f>
        <v/>
      </c>
      <c r="N5387" s="3" t="n"/>
      <c r="O5387" s="2" t="n"/>
      <c r="P5387" s="2" t="n"/>
    </row>
    <row r="5388">
      <c r="A5388" s="2" t="n">
        <v>5387</v>
      </c>
      <c r="B5388" s="2" t="inlineStr"/>
      <c r="C5388" s="2" t="n">
        <v>9073</v>
      </c>
      <c r="D5388" s="3" t="inlineStr">
        <is>
          <t>Строгий юноша</t>
        </is>
      </c>
      <c r="E5388" s="2" t="n">
        <v>1935</v>
      </c>
      <c r="F5388" s="2" t="inlineStr">
        <is>
          <t>кинофильм</t>
        </is>
      </c>
      <c r="G5388" s="2" t="n"/>
      <c r="H5388" s="2" t="n">
        <v>325</v>
      </c>
      <c r="I5388" s="2" t="inlineStr"/>
      <c r="J5388" s="2" t="inlineStr"/>
      <c r="K5388" s="3" t="inlineStr">
        <is>
          <t>Гриша Фокин (Дмитрий Дорлиак), молодой спортсмен-комсомолец, влюбляется в женщину среднего возраста — Марию Михайловну Степанову (Ольга Жизнева) — жену крупного профессора и учёного Юлиана Николаевича Степанова (Юрий Юрьев). Основная интрига фильма крутится вокруг «любовного треугольника»: профессор Степанов — Маша — Гриша.</t>
        </is>
      </c>
      <c r="L5388" s="2" t="inlineStr">
        <is>
          <t>https://ru.wikipedia.org/w/index.php?title=%D0%A1%D1%82%D1%80%D0%BE%D0%B3%D0%B8%D0%B9_%D1%8E%D0%BD%D0%BE%D1%88%D0%B0&amp;oldid=154837265</t>
        </is>
      </c>
      <c r="M5388" s="2">
        <f>HYPERLINK("https://ru.wikipedia.org/w/index.php?search=%D0%A1%D1%82%D1%80%D0%BE%D0%B3%D0%B8%D0%B9%20%D1%8E%D0%BD%D0%BE%D1%88%D0%B0%201935%20%D1%84%D0%B8%D0%BB%D1%8C%D0%BC","искать")</f>
        <v/>
      </c>
      <c r="N5388" s="3" t="n"/>
      <c r="O5388" s="2" t="n"/>
      <c r="P5388" s="2" t="n"/>
    </row>
    <row r="5389">
      <c r="A5389" s="2" t="n">
        <v>5388</v>
      </c>
      <c r="B5389" s="2" t="inlineStr"/>
      <c r="C5389" s="2" t="n">
        <v>9696</v>
      </c>
      <c r="D5389" s="3" t="inlineStr">
        <is>
          <t>Третья планета</t>
        </is>
      </c>
      <c r="E5389" s="2" t="n">
        <v>1991</v>
      </c>
      <c r="F5389" s="2" t="inlineStr">
        <is>
          <t>кинофильм</t>
        </is>
      </c>
      <c r="G5389" s="2" t="n"/>
      <c r="H5389" s="2" t="n">
        <v>325</v>
      </c>
      <c r="I5389" s="2" t="inlineStr"/>
      <c r="J5389" s="2" t="inlineStr"/>
      <c r="K5389" s="3" t="inlineStr">
        <is>
          <t>Пятнадцатилетнюю дочь Алену, страдающую тяжелым недугом, в очередной раз без улучшений выписывают теперь уже из заграничной клиники. Ее отец решает попытать счастья в зоне - так называется место, где много лет назад произошла атомная катастрофа. Теперь там живут люди-мутанты. Они - сверхцелители, на них - последняя надежда.</t>
        </is>
      </c>
      <c r="L5389" s="2" t="inlineStr">
        <is>
          <t>Кино_СССР сводный каталог.xlsx: список фильмов (доп.)</t>
        </is>
      </c>
      <c r="M5389" s="2">
        <f>HYPERLINK("https://ru.wikipedia.org/w/index.php?search=%D0%A2%D1%80%D0%B5%D1%82%D1%8C%D1%8F%20%D0%BF%D0%BB%D0%B0%D0%BD%D0%B5%D1%82%D0%B0%201991%20%D1%84%D0%B8%D0%BB%D1%8C%D0%BC","искать")</f>
        <v/>
      </c>
      <c r="N5389" s="3" t="n"/>
      <c r="O5389" s="2" t="n"/>
      <c r="P5389" s="2" t="n"/>
    </row>
    <row r="5390">
      <c r="A5390" s="2" t="n">
        <v>5389</v>
      </c>
      <c r="B5390" s="2" t="inlineStr"/>
      <c r="C5390" s="2" t="n">
        <v>7415</v>
      </c>
      <c r="D5390" s="3" t="inlineStr">
        <is>
          <t>Второе рождение</t>
        </is>
      </c>
      <c r="E5390" s="2" t="n">
        <v>1980</v>
      </c>
      <c r="F5390" s="2" t="inlineStr">
        <is>
          <t>телефильм</t>
        </is>
      </c>
      <c r="G5390" s="2" t="n"/>
      <c r="H5390" s="2" t="n">
        <v>326</v>
      </c>
      <c r="I5390" s="2" t="inlineStr"/>
      <c r="J5390" s="2" t="inlineStr"/>
      <c r="K5390" s="3" t="inlineStr">
        <is>
          <t>Телефильм по мотивам романа Юрия Васильева "Карьера Геннадия Русанова". Хороший парень из благополучной семьи Гена Русанов учится в институте, любит девушку и уже готов жениться. Невеста счастлива и тоже ждет не дождется свадьбы. И вдруг с Геной что-то произошло. Он начинает пить водку и очень быстро опускается на самое дно.</t>
        </is>
      </c>
      <c r="L5390" s="2" t="inlineStr">
        <is>
          <t>Кино_СССР сводный каталог.xlsx: список телефильмов</t>
        </is>
      </c>
      <c r="M5390" s="2">
        <f>HYPERLINK("https://ru.wikipedia.org/w/index.php?search=%D0%92%D1%82%D0%BE%D1%80%D0%BE%D0%B5%20%D1%80%D0%BE%D0%B6%D0%B4%D0%B5%D0%BD%D0%B8%D0%B5%201980%20%D1%84%D0%B8%D0%BB%D1%8C%D0%BC","искать")</f>
        <v/>
      </c>
      <c r="N5390" s="3" t="n"/>
      <c r="O5390" s="2" t="n"/>
      <c r="P5390" s="2" t="n"/>
    </row>
    <row r="5391">
      <c r="A5391" s="2" t="n">
        <v>5390</v>
      </c>
      <c r="B5391" s="2" t="inlineStr"/>
      <c r="C5391" s="2" t="n">
        <v>8296</v>
      </c>
      <c r="D5391" s="3" t="inlineStr">
        <is>
          <t>Сабля без ножен</t>
        </is>
      </c>
      <c r="E5391" s="2" t="n">
        <v>1987</v>
      </c>
      <c r="F5391" s="2" t="inlineStr">
        <is>
          <t>телефильм</t>
        </is>
      </c>
      <c r="G5391" s="2" t="n"/>
      <c r="H5391" s="2" t="n">
        <v>326</v>
      </c>
      <c r="I5391" s="2" t="inlineStr"/>
      <c r="J5391" s="2" t="inlineStr"/>
      <c r="K5391" s="3" t="inlineStr">
        <is>
          <t>Герой трех войн генерал армии Степан Иванович Чалый работает над книгой военных мемуаров. В ходе работы он узнает, что жив его друг Андрей Лукич Трембовельский, бывший дворянин и белый офицер, затем отчаянной храбрости командир Красной Армии. Его обвиняют в злоупотреблении служебным положением, и он находится под следствием.</t>
        </is>
      </c>
      <c r="L5391" s="2" t="inlineStr">
        <is>
          <t>Кино_СССР сводный каталог.xlsx: список телефильмов</t>
        </is>
      </c>
      <c r="M5391" s="2">
        <f>HYPERLINK("https://ru.wikipedia.org/w/index.php?search=%D0%A1%D0%B0%D0%B1%D0%BB%D1%8F%20%D0%B1%D0%B5%D0%B7%20%D0%BD%D0%BE%D0%B6%D0%B5%D0%BD%201987%20%D1%84%D0%B8%D0%BB%D1%8C%D0%BC","искать")</f>
        <v/>
      </c>
      <c r="N5391" s="3" t="n"/>
      <c r="O5391" s="2" t="n"/>
      <c r="P5391" s="2" t="n"/>
    </row>
    <row r="5392">
      <c r="A5392" s="2" t="n">
        <v>5391</v>
      </c>
      <c r="B5392" s="2" t="inlineStr"/>
      <c r="C5392" s="2" t="n">
        <v>8361</v>
      </c>
      <c r="D5392" s="3" t="inlineStr">
        <is>
          <t>Слушать в отсеках</t>
        </is>
      </c>
      <c r="E5392" s="2" t="n">
        <v>1985</v>
      </c>
      <c r="F5392" s="2" t="inlineStr">
        <is>
          <t>телефильм</t>
        </is>
      </c>
      <c r="G5392" s="2" t="n"/>
      <c r="H5392" s="2" t="n">
        <v>326</v>
      </c>
      <c r="I5392" s="2" t="inlineStr"/>
      <c r="J5392" s="2" t="inlineStr"/>
      <c r="K5392" s="3" t="inlineStr">
        <is>
          <t>По одноименной повести Владимира Тюрина. Идут учения военно-морского флота. Командир подводной лодки Логинов и командир большого противолодочного корабля Золотницкий становятся условными противниками. Чувствуя ответственность за свои экипажи, командиры демонстрируют высокое мастерство, порядочность и дружескую взаимовыручку.</t>
        </is>
      </c>
      <c r="L5392" s="2" t="inlineStr">
        <is>
          <t>Кино_СССР сводный каталог.xlsx: список телефильмов</t>
        </is>
      </c>
      <c r="M5392" s="2">
        <f>HYPERLINK("https://ru.wikipedia.org/w/index.php?search=%D0%A1%D0%BB%D1%83%D1%88%D0%B0%D1%82%D1%8C%20%D0%B2%20%D0%BE%D1%82%D1%81%D0%B5%D0%BA%D0%B0%D1%85%201985%20%D1%84%D0%B8%D0%BB%D1%8C%D0%BC","искать")</f>
        <v/>
      </c>
      <c r="N5392" s="3" t="n"/>
      <c r="O5392" s="2" t="n"/>
      <c r="P5392" s="2" t="n"/>
    </row>
    <row r="5393">
      <c r="A5393" s="2" t="n">
        <v>5392</v>
      </c>
      <c r="B5393" s="2" t="inlineStr"/>
      <c r="C5393" s="2" t="n">
        <v>8645</v>
      </c>
      <c r="D5393" s="3" t="inlineStr">
        <is>
          <t>Вдвоём на грани времени</t>
        </is>
      </c>
      <c r="E5393" s="2" t="n">
        <v>1989</v>
      </c>
      <c r="F5393" s="2" t="inlineStr">
        <is>
          <t>кинофильм</t>
        </is>
      </c>
      <c r="G5393" s="2" t="n"/>
      <c r="H5393" s="2" t="n">
        <v>326</v>
      </c>
      <c r="I5393" s="2" t="inlineStr"/>
      <c r="J5393" s="2" t="inlineStr"/>
      <c r="K5393" s="3" t="inlineStr">
        <is>
          <t>После гибели отца в автомобильной катастрофе подросток Эмиль долго не может смириться с утратой. Когда мать приводит в дом Мишу, Эмиль начинает подозревать в будущем отчиме виновника смерти отца. Его подозрения вскоре оправдываются - и мальчик теперь понимает, что отец, узнав о любви Лучики и Мишу, добровольно ушел из жизни.</t>
        </is>
      </c>
      <c r="L5393" s="2" t="inlineStr">
        <is>
          <t>Кино_СССР сводный каталог.xlsx: список фильмов (доп.)</t>
        </is>
      </c>
      <c r="M5393" s="2">
        <f>HYPERLINK("https://ru.wikipedia.org/w/index.php?search=%D0%92%D0%B4%D0%B2%D0%BE%D1%91%D0%BC%20%D0%BD%D0%B0%20%D0%B3%D1%80%D0%B0%D0%BD%D0%B8%20%D0%B2%D1%80%D0%B5%D0%BC%D0%B5%D0%BD%D0%B8%201989%20%D1%84%D0%B8%D0%BB%D1%8C%D0%BC","искать")</f>
        <v/>
      </c>
      <c r="N5393" s="3" t="n"/>
      <c r="O5393" s="2" t="n"/>
      <c r="P5393" s="2" t="n"/>
    </row>
    <row r="5394">
      <c r="A5394" s="2" t="n">
        <v>5393</v>
      </c>
      <c r="B5394" s="2" t="inlineStr"/>
      <c r="C5394" s="2" t="n">
        <v>8759</v>
      </c>
      <c r="D5394" s="3" t="inlineStr">
        <is>
          <t>Караманлай</t>
        </is>
      </c>
      <c r="E5394" s="2" t="n">
        <v>1991</v>
      </c>
      <c r="F5394" s="2" t="inlineStr">
        <is>
          <t>кинофильм</t>
        </is>
      </c>
      <c r="G5394" s="2" t="n"/>
      <c r="H5394" s="2" t="n">
        <v>327</v>
      </c>
      <c r="I5394" s="2" t="inlineStr"/>
      <c r="J5394" s="2" t="inlineStr"/>
      <c r="K5394" s="3" t="inlineStr">
        <is>
          <t>Героиня фильма Набат - жертва феодальных отношений в кругу современной азиатской элиты. Заведя молодую жену, богатый и высокопоставленный начальник выгоняет из дома бывшую жену с дочерью Набат. Мать погибает в автокатастрофе, после чего девочка вынуждена зарабатывать на жизнь, танцуя для богатых гостей на домашних вечеринках.</t>
        </is>
      </c>
      <c r="L5394" s="2" t="inlineStr">
        <is>
          <t>Кино_СССР сводный каталог.xlsx: список фильмов (доп.)</t>
        </is>
      </c>
      <c r="M5394" s="2">
        <f>HYPERLINK("https://ru.wikipedia.org/w/index.php?search=%D0%9A%D0%B0%D1%80%D0%B0%D0%BC%D0%B0%D0%BD%D0%BB%D0%B0%D0%B9%201991%20%D1%84%D0%B8%D0%BB%D1%8C%D0%BC","искать")</f>
        <v/>
      </c>
      <c r="N5394" s="3" t="n"/>
      <c r="O5394" s="2" t="n"/>
      <c r="P5394" s="2" t="n"/>
    </row>
    <row r="5395">
      <c r="A5395" s="2" t="n">
        <v>5394</v>
      </c>
      <c r="B5395" s="2" t="inlineStr"/>
      <c r="C5395" s="2" t="n">
        <v>8790</v>
      </c>
      <c r="D5395" s="3" t="inlineStr">
        <is>
          <t>Лапа</t>
        </is>
      </c>
      <c r="E5395" s="2" t="n">
        <v>1991</v>
      </c>
      <c r="F5395" s="2" t="inlineStr">
        <is>
          <t>кинофильм</t>
        </is>
      </c>
      <c r="G5395" s="2" t="n"/>
      <c r="H5395" s="2" t="n">
        <v>327</v>
      </c>
      <c r="I5395" s="2" t="inlineStr"/>
      <c r="J5395" s="2" t="inlineStr"/>
      <c r="K5395" s="3" t="inlineStr">
        <is>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is>
      </c>
      <c r="L5395" s="2" t="inlineStr">
        <is>
          <t>Кино_СССР сводный каталог.xlsx: список фильмов (доп.)</t>
        </is>
      </c>
      <c r="M5395" s="2">
        <f>HYPERLINK("https://ru.wikipedia.org/w/index.php?search=%D0%9B%D0%B0%D0%BF%D0%B0%201991%20%D1%84%D0%B8%D0%BB%D1%8C%D0%BC","искать")</f>
        <v/>
      </c>
      <c r="N5395" s="3" t="n"/>
      <c r="O5395" s="2" t="n"/>
      <c r="P5395" s="2" t="n"/>
    </row>
    <row r="5396">
      <c r="A5396" s="2" t="n">
        <v>5395</v>
      </c>
      <c r="B5396" s="2" t="inlineStr"/>
      <c r="C5396" s="2" t="n">
        <v>8938</v>
      </c>
      <c r="D5396" s="3" t="inlineStr">
        <is>
          <t>Повелитель тьмы</t>
        </is>
      </c>
      <c r="E5396" s="2" t="n">
        <v>1990</v>
      </c>
      <c r="F5396" s="2" t="inlineStr">
        <is>
          <t>кинофильм</t>
        </is>
      </c>
      <c r="G5396" s="2" t="n"/>
      <c r="H5396" s="2" t="n">
        <v>327</v>
      </c>
      <c r="I5396" s="2" t="inlineStr"/>
      <c r="J5396" s="2" t="inlineStr"/>
      <c r="K5396" s="3" t="inlineStr">
        <is>
          <t>Когда у табунщика родился сын, Великий Повелитель подземного царства Эрлик-Хан предрек новорожденному, что именно он, достигнув семнадцатилетия, будет принесен в жертву во искупление людской гордыни. Но Мухамед - так назвал его отец — вырос добрым и отважным. Юноша сумел заставить Повелителя тьмы изменить свое предначертание.</t>
        </is>
      </c>
      <c r="L5396" s="2" t="inlineStr">
        <is>
          <t>Кино_СССР сводный каталог.xlsx: список фильмов (доп.)</t>
        </is>
      </c>
      <c r="M5396" s="2">
        <f>HYPERLINK("https://ru.wikipedia.org/w/index.php?search=%D0%9F%D0%BE%D0%B2%D0%B5%D0%BB%D0%B8%D1%82%D0%B5%D0%BB%D1%8C%20%D1%82%D1%8C%D0%BC%D1%8B%201990%20%D1%84%D0%B8%D0%BB%D1%8C%D0%BC","искать")</f>
        <v/>
      </c>
      <c r="N5396" s="3" t="n"/>
      <c r="O5396" s="2" t="n"/>
      <c r="P5396" s="2" t="n"/>
    </row>
    <row r="5397">
      <c r="A5397" s="2" t="n">
        <v>5396</v>
      </c>
      <c r="B5397" s="2" t="inlineStr"/>
      <c r="C5397" s="2" t="n">
        <v>7639</v>
      </c>
      <c r="D5397" s="3" t="inlineStr">
        <is>
          <t>Здравствуйте, доктор!</t>
        </is>
      </c>
      <c r="E5397" s="2" t="n">
        <v>1974</v>
      </c>
      <c r="F5397" s="2" t="inlineStr">
        <is>
          <t>телефильм</t>
        </is>
      </c>
      <c r="G5397" s="2" t="n"/>
      <c r="H5397" s="2" t="n">
        <v>328</v>
      </c>
      <c r="I5397" s="2" t="inlineStr"/>
      <c r="J5397" s="2" t="inlineStr"/>
      <c r="K5397" s="3" t="inlineStr">
        <is>
          <t>Телефильм. В глухую деревеньку на отдых приехал молодой хирург Александр. Он доволен собой, у него все удачно складывается в жизни: позади институт, готовит диссертацию, работает в известной клинике. Однако в скором времени на отдыхе успешный хирург Александр принимает решение остаться в деревне и работать в сельской больнице.</t>
        </is>
      </c>
      <c r="L5397" s="2" t="inlineStr">
        <is>
          <t>https://ru.wikipedia.org/w/index.php?title=%D0%97%D0%B4%D1%80%D0%B0%D0%B2%D1%81%D1%82%D0%B2%D1%83%D0%B9%D1%82%D0%B5%2C_%D0%B4%D0%BE%D0%BA%D1%82%D0%BE%D1%80%21&amp;oldid=154551912</t>
        </is>
      </c>
      <c r="M5397" s="2">
        <f>HYPERLINK("https://ru.wikipedia.org/w/index.php?search=%D0%97%D0%B4%D1%80%D0%B0%D0%B2%D1%81%D1%82%D0%B2%D1%83%D0%B9%D1%82%D0%B5%2C%20%D0%B4%D0%BE%D0%BA%D1%82%D0%BE%D1%80%21%201974%20%D1%84%D0%B8%D0%BB%D1%8C%D0%BC","искать")</f>
        <v/>
      </c>
      <c r="N5397" s="3" t="n"/>
      <c r="O5397" s="2" t="n"/>
      <c r="P5397" s="2" t="n"/>
    </row>
    <row r="5398">
      <c r="A5398" s="2" t="n">
        <v>5397</v>
      </c>
      <c r="B5398" s="2" t="inlineStr"/>
      <c r="C5398" s="2" t="n">
        <v>7919</v>
      </c>
      <c r="D5398" s="3" t="inlineStr">
        <is>
          <t>Мы вместе, мама</t>
        </is>
      </c>
      <c r="E5398" s="2" t="n">
        <v>1976</v>
      </c>
      <c r="F5398" s="2" t="inlineStr">
        <is>
          <t>телефильм</t>
        </is>
      </c>
      <c r="G5398" s="2" t="n"/>
      <c r="H5398" s="2" t="n">
        <v>328</v>
      </c>
      <c r="I5398" s="2" t="inlineStr"/>
      <c r="J5398" s="2" t="inlineStr"/>
      <c r="K5398" s="3" t="inlineStr">
        <is>
          <t>Телефильм. После службы в армии Максим приехал работать шофером на строительство морского порта. Там он познакомился и подружился с маленьким Пашкой, сыном учетчицы Галины, которая скоро собирается выйти замуж. Но Пашке не нравится ухажер матери, и мальчик надеется на то, что она обратит внимание на доброго и веселого Максима.</t>
        </is>
      </c>
      <c r="L5398" s="2" t="inlineStr">
        <is>
          <t>Кино_СССР сводный каталог.xlsx: список телефильмов</t>
        </is>
      </c>
      <c r="M5398" s="2">
        <f>HYPERLINK("https://ru.wikipedia.org/w/index.php?search=%D0%9C%D1%8B%20%D0%B2%D0%BC%D0%B5%D1%81%D1%82%D0%B5%2C%20%D0%BC%D0%B0%D0%BC%D0%B0%201976%20%D1%84%D0%B8%D0%BB%D1%8C%D0%BC","искать")</f>
        <v/>
      </c>
      <c r="N5398" s="3" t="n"/>
      <c r="O5398" s="2" t="n"/>
      <c r="P5398" s="2" t="n"/>
    </row>
    <row r="5399">
      <c r="A5399" s="2" t="n">
        <v>5398</v>
      </c>
      <c r="B5399" s="2" t="inlineStr"/>
      <c r="C5399" s="2" t="n">
        <v>8136</v>
      </c>
      <c r="D5399" s="3" t="inlineStr">
        <is>
          <t>Подарок</t>
        </is>
      </c>
      <c r="E5399" s="2" t="n">
        <v>1983</v>
      </c>
      <c r="F5399" s="2" t="inlineStr">
        <is>
          <t>телефильм</t>
        </is>
      </c>
      <c r="G5399" s="2" t="n"/>
      <c r="H5399" s="2" t="n">
        <v>328</v>
      </c>
      <c r="I5399" s="2" t="inlineStr"/>
      <c r="J5399" s="2" t="inlineStr"/>
      <c r="K5399" s="3" t="inlineStr">
        <is>
          <t>О первой, чистой любви двенадцатилетних мальчиков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 Неожиданная для влюбленных мальчиков развязка: Салима выходит замуж.</t>
        </is>
      </c>
      <c r="L5399" s="2" t="inlineStr">
        <is>
          <t>Кино_СССР сводный каталог.xlsx: список телефильмов</t>
        </is>
      </c>
      <c r="M5399" s="2">
        <f>HYPERLINK("https://ru.wikipedia.org/w/index.php?search=%D0%9F%D0%BE%D0%B4%D0%B0%D1%80%D0%BE%D0%BA%201983%20%D1%84%D0%B8%D0%BB%D1%8C%D0%BC","искать")</f>
        <v/>
      </c>
      <c r="N5399" s="3" t="n"/>
      <c r="O5399" s="2" t="n"/>
      <c r="P5399" s="2" t="n"/>
    </row>
    <row r="5400">
      <c r="A5400" s="2" t="n">
        <v>5399</v>
      </c>
      <c r="B5400" s="2" t="inlineStr"/>
      <c r="C5400" s="2" t="n">
        <v>8312</v>
      </c>
      <c r="D5400" s="3" t="inlineStr">
        <is>
          <t>Свечка яркая, как солнце</t>
        </is>
      </c>
      <c r="E5400" s="2" t="n">
        <v>1986</v>
      </c>
      <c r="F5400" s="2" t="inlineStr">
        <is>
          <t>телефильм</t>
        </is>
      </c>
      <c r="G5400" s="2" t="n"/>
      <c r="H5400" s="2" t="n">
        <v>328</v>
      </c>
      <c r="I5400" s="2" t="inlineStr"/>
      <c r="J5400" s="2" t="inlineStr"/>
      <c r="K5400" s="3" t="inlineStr">
        <is>
          <t>По мотивам рассказов латышской писательницы Вии Упмале. Живет в одном из сел Латвии мальчик Юрис. Как все дети он играет и шалит вместе с верным другом Марисом. Но есть у Юриса своя заветная тайна: редкий цветок "солнечная свечка", выращенный им в лесной чаще. Это сокровище он хочет подарить на свадьбу своей мамы и дяди Яниса.</t>
        </is>
      </c>
      <c r="L5400" s="2" t="inlineStr">
        <is>
          <t>Кино_СССР сводный каталог.xlsx: список телефильмов</t>
        </is>
      </c>
      <c r="M5400" s="2">
        <f>HYPERLINK("https://ru.wikipedia.org/w/index.php?search=%D0%A1%D0%B2%D0%B5%D1%87%D0%BA%D0%B0%20%D1%8F%D1%80%D0%BA%D0%B0%D1%8F%2C%20%D0%BA%D0%B0%D0%BA%20%D1%81%D0%BE%D0%BB%D0%BD%D1%86%D0%B5%201986%20%D1%84%D0%B8%D0%BB%D1%8C%D0%BC","искать")</f>
        <v/>
      </c>
      <c r="N5400" s="3" t="n"/>
      <c r="O5400" s="2" t="n"/>
      <c r="P5400" s="2" t="n"/>
    </row>
    <row r="5401">
      <c r="A5401" s="2" t="n">
        <v>5400</v>
      </c>
      <c r="B5401" s="2" t="inlineStr"/>
      <c r="C5401" s="2" t="n">
        <v>8328</v>
      </c>
      <c r="D5401" s="3" t="inlineStr">
        <is>
          <t>Семь дней Надежды</t>
        </is>
      </c>
      <c r="E5401" s="2" t="n">
        <v>1988</v>
      </c>
      <c r="F5401" s="2" t="inlineStr">
        <is>
          <t>телефильм</t>
        </is>
      </c>
      <c r="G5401" s="2" t="n"/>
      <c r="H5401" s="2" t="n">
        <v>328</v>
      </c>
      <c r="I5401" s="2" t="inlineStr"/>
      <c r="J5401" s="2" t="inlineStr"/>
      <c r="K5401" s="3" t="inlineStr">
        <is>
          <t>По мотивам пьесы М.Шатрова "Мои надежды". Молодую ткачиху Надежду Родионову, обслуживающую 12 станков, всячески поощряли на фабрике: наградили поездкой в Италию, дали новую квартиру, выдвинули кандидатом в депутаты Верховного Совета, при этом администрация фабрики закрывала глаза на то, что часть продукции Надежды была браком.</t>
        </is>
      </c>
      <c r="L5401" s="2" t="inlineStr">
        <is>
          <t>Кино_СССР сводный каталог.xlsx: список телефильмов</t>
        </is>
      </c>
      <c r="M5401" s="2">
        <f>HYPERLINK("https://ru.wikipedia.org/w/index.php?search=%D0%A1%D0%B5%D0%BC%D1%8C%20%D0%B4%D0%BD%D0%B5%D0%B9%20%D0%9D%D0%B0%D0%B4%D0%B5%D0%B6%D0%B4%D1%8B%201988%20%D1%84%D0%B8%D0%BB%D1%8C%D0%BC","искать")</f>
        <v/>
      </c>
      <c r="N5401" s="3" t="n"/>
      <c r="O5401" s="2" t="n"/>
      <c r="P5401" s="2" t="n"/>
    </row>
    <row r="5402">
      <c r="A5402" s="2" t="n">
        <v>5401</v>
      </c>
      <c r="B5402" s="2" t="inlineStr"/>
      <c r="C5402" s="2" t="n">
        <v>8369</v>
      </c>
      <c r="D5402" s="3" t="inlineStr">
        <is>
          <t>Снег в трауре</t>
        </is>
      </c>
      <c r="E5402" s="2" t="n">
        <v>1978</v>
      </c>
      <c r="F5402" s="2" t="inlineStr">
        <is>
          <t>телефильм</t>
        </is>
      </c>
      <c r="G5402" s="2" t="n"/>
      <c r="H5402" s="2" t="n">
        <v>328</v>
      </c>
      <c r="I5402" s="2" t="inlineStr"/>
      <c r="J5402" s="2" t="inlineStr"/>
      <c r="K5402" s="3" t="inlineStr">
        <is>
          <t>По мотивам одноименного романа Анри Труайя. В альпийской деревушке живут два брата — Исай и Марселин. В горах происходит крушение пассажирского самолета. Марселин уговаривает Исая подняться к месту катастрофы, чтобы собрать ценные вещи погибших. Поднявшись к обломкам самолета, братья обнаруживают тяжелораненую девушку-индуску.</t>
        </is>
      </c>
      <c r="L5402" s="2" t="inlineStr">
        <is>
          <t>Кино_СССР сводный каталог.xlsx: список телефильмов</t>
        </is>
      </c>
      <c r="M5402" s="2">
        <f>HYPERLINK("https://ru.wikipedia.org/w/index.php?search=%D0%A1%D0%BD%D0%B5%D0%B3%20%D0%B2%20%D1%82%D1%80%D0%B0%D1%83%D1%80%D0%B5%201978%20%D1%84%D0%B8%D0%BB%D1%8C%D0%BC","искать")</f>
        <v/>
      </c>
      <c r="N5402" s="3" t="n"/>
      <c r="O5402" s="2" t="n"/>
      <c r="P5402" s="2" t="n"/>
    </row>
    <row r="5403">
      <c r="A5403" s="2" t="n">
        <v>5402</v>
      </c>
      <c r="B5403" s="2" t="inlineStr"/>
      <c r="C5403" s="2" t="n">
        <v>9044</v>
      </c>
      <c r="D5403" s="3" t="inlineStr">
        <is>
          <t>Сказка о волшебном бисере</t>
        </is>
      </c>
      <c r="E5403" s="2" t="n">
        <v>1988</v>
      </c>
      <c r="F5403" s="2" t="inlineStr">
        <is>
          <t>кинофильм</t>
        </is>
      </c>
      <c r="G5403" s="2" t="n"/>
      <c r="H5403" s="2" t="n">
        <v>328</v>
      </c>
      <c r="I5403" s="2" t="inlineStr"/>
      <c r="J5403" s="2" t="inlineStr"/>
      <c r="K5403" s="3" t="inlineStr">
        <is>
          <t>По мотивам туркменских народных сказок. Юный пастух Мурад и красавица Айгуль полюбили друг друга. Но недолгим было счастье молодых. Злой дэв унес девушку и заточил в подземелье вместе с другими красавицами, горькие слезы которых превращались в серебристый бисер. Мурад с друзьями и братом Айгуль, Аманом, отправились ее спасать.</t>
        </is>
      </c>
      <c r="L5403" s="2" t="inlineStr">
        <is>
          <t>Кино_СССР сводный каталог.xlsx: список фильмов (доп.)</t>
        </is>
      </c>
      <c r="M5403" s="2">
        <f>HYPERLINK("https://ru.wikipedia.org/w/index.php?search=%D0%A1%D0%BA%D0%B0%D0%B7%D0%BA%D0%B0%20%D0%BE%20%D0%B2%D0%BE%D0%BB%D1%88%D0%B5%D0%B1%D0%BD%D0%BE%D0%BC%20%D0%B1%D0%B8%D1%81%D0%B5%D1%80%D0%B5%201988%20%D1%84%D0%B8%D0%BB%D1%8C%D0%BC","искать")</f>
        <v/>
      </c>
      <c r="N5403" s="3" t="n"/>
      <c r="O5403" s="2" t="n"/>
      <c r="P5403" s="2" t="n"/>
    </row>
    <row r="5404">
      <c r="A5404" s="2" t="n">
        <v>5403</v>
      </c>
      <c r="B5404" s="2" t="inlineStr"/>
      <c r="C5404" s="2" t="n">
        <v>9413</v>
      </c>
      <c r="D5404" s="3" t="inlineStr">
        <is>
          <t>Катафалк</t>
        </is>
      </c>
      <c r="E5404" s="2" t="n">
        <v>1990</v>
      </c>
      <c r="F5404" s="2" t="inlineStr">
        <is>
          <t>кинофильм</t>
        </is>
      </c>
      <c r="G5404" s="2" t="n"/>
      <c r="H5404" s="2" t="n">
        <v>328</v>
      </c>
      <c r="I5404" s="2" t="inlineStr"/>
      <c r="J5404" s="2" t="inlineStr"/>
      <c r="K5404" s="3" t="inlineStr">
        <is>
          <t>По мотивам рассказа Фланнери О'Коннор "Береги чужую жизнь - спасёшь свою". На берегу Черного моря в уединенном старом доме, где живут вдова партийного функционера, ожидающая собственную кончину, и слегка не от мира сего ее 18-летняя дочь, появляется молодой человек. Его визит - это сделка с матерью, желающей выдать дочь замуж.</t>
        </is>
      </c>
      <c r="L5404" s="2" t="inlineStr">
        <is>
          <t>Кино_СССР сводный каталог.xlsx: список фильмов (доп.)</t>
        </is>
      </c>
      <c r="M5404" s="2">
        <f>HYPERLINK("https://ru.wikipedia.org/w/index.php?search=%D0%9A%D0%B0%D1%82%D0%B0%D1%84%D0%B0%D0%BB%D0%BA%201990%20%D1%84%D0%B8%D0%BB%D1%8C%D0%BC","искать")</f>
        <v/>
      </c>
      <c r="N5404" s="3" t="n"/>
      <c r="O5404" s="2" t="n"/>
      <c r="P5404" s="2" t="n"/>
    </row>
    <row r="5405">
      <c r="A5405" s="2" t="n">
        <v>5404</v>
      </c>
      <c r="B5405" s="2" t="inlineStr"/>
      <c r="C5405" s="2" t="n">
        <v>9514</v>
      </c>
      <c r="D5405" s="3" t="inlineStr">
        <is>
          <t>Ноль три</t>
        </is>
      </c>
      <c r="E5405" s="2" t="n">
        <v>1964</v>
      </c>
      <c r="F5405" s="2" t="inlineStr">
        <is>
          <t>кинофильм</t>
        </is>
      </c>
      <c r="G5405" s="2" t="n"/>
      <c r="H5405" s="2" t="n">
        <v>328</v>
      </c>
      <c r="I5405" s="2" t="inlineStr"/>
      <c r="J5405" s="2" t="inlineStr"/>
      <c r="K5405" s="3" t="inlineStr">
        <is>
          <t>По одноименной повести Я.Волчека и Норы Адамян. 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их прерывает голос диспетчера: "Третья бригада на вызов" - и они разъезжаются, не успев сказать всего друг другу.</t>
        </is>
      </c>
      <c r="L5405" s="2" t="inlineStr">
        <is>
          <t>Кино_СССР сводный каталог.xlsx: список фильмов (доп.)</t>
        </is>
      </c>
      <c r="M5405" s="2">
        <f>HYPERLINK("https://ru.wikipedia.org/w/index.php?search=%D0%9D%D0%BE%D0%BB%D1%8C%20%D1%82%D1%80%D0%B8%201964%20%D1%84%D0%B8%D0%BB%D1%8C%D0%BC","искать")</f>
        <v/>
      </c>
      <c r="N5405" s="3" t="n"/>
      <c r="O5405" s="2" t="n"/>
      <c r="P5405" s="2" t="n"/>
    </row>
    <row r="5406">
      <c r="A5406" s="2" t="n">
        <v>5405</v>
      </c>
      <c r="B5406" s="2" t="inlineStr"/>
      <c r="C5406" s="2" t="n">
        <v>10335</v>
      </c>
      <c r="D5406" s="3" t="inlineStr">
        <is>
          <t>Тихая семейка</t>
        </is>
      </c>
      <c r="E5406" s="2" t="n">
        <v>1969</v>
      </c>
      <c r="F5406" s="2" t="inlineStr">
        <is>
          <t>фильм-спектакль</t>
        </is>
      </c>
      <c r="G5406" s="2" t="inlineStr">
        <is>
          <t>Центральное телевидение</t>
        </is>
      </c>
      <c r="H5406" s="2" t="n">
        <v>328</v>
      </c>
      <c r="I5406" s="2" t="inlineStr"/>
      <c r="J5406" s="2" t="inlineStr"/>
      <c r="K5406" s="3" t="inlineStr">
        <is>
          <t>Музыкальная комедия Юрия Милютина по мотивам пьесы французского драматурга Луи Вёлля.
В доме поселяется писатель, который хочет увидеть и отобразить быт рядового буржуа. Узнав об истинных целях постояльца, члены семьи решают разыграть его, заставив поверить, будто в недрах "тихой семейки" скрывается банда жуликов и гангстеров.</t>
        </is>
      </c>
      <c r="L5406" s="2" t="inlineStr">
        <is>
          <t>https://www.kino-teatr.ru/teatr/movie/106964/annot/</t>
        </is>
      </c>
      <c r="M5406" s="2">
        <f>HYPERLINK("https://ru.wikipedia.org/w/index.php?search=%D0%A2%D0%B8%D1%85%D0%B0%D1%8F%20%D1%81%D0%B5%D0%BC%D0%B5%D0%B9%D0%BA%D0%B0%201969%20%D1%84%D0%B8%D0%BB%D1%8C%D0%BC","искать")</f>
        <v/>
      </c>
      <c r="N5406" s="3" t="n"/>
      <c r="O5406" s="2" t="n"/>
      <c r="P5406" s="2" t="n"/>
    </row>
    <row r="5407">
      <c r="A5407" s="2" t="n">
        <v>5406</v>
      </c>
      <c r="B5407" s="2" t="inlineStr"/>
      <c r="C5407" s="2" t="n">
        <v>10696</v>
      </c>
      <c r="D5407" s="3" t="inlineStr">
        <is>
          <t>Машенька</t>
        </is>
      </c>
      <c r="E5407" s="2" t="n">
        <v>1977</v>
      </c>
      <c r="F5407" s="2" t="inlineStr">
        <is>
          <t>фильм-спектакль</t>
        </is>
      </c>
      <c r="G5407" s="2" t="inlineStr">
        <is>
          <t>Главная редакция литературно-драматических программ</t>
        </is>
      </c>
      <c r="H5407" s="2" t="n">
        <v>328</v>
      </c>
      <c r="I5407" s="2" t="inlineStr"/>
      <c r="J5407" s="2" t="inlineStr"/>
      <c r="K5407" s="3" t="inlineStr">
        <is>
          <t>По одноименной пьесе А.Афиногенова.
В дом профессора Окаемова неожиданно приезжает внучка Машенька. Нелегко ей понять сложный, замкнутый характер деда. Но жизнь, ворвавшаяся в дом с приходом девочки, не может оставить старика равнодушным, ему приносит радость и удовлетворение возникшее чувство ответственности за судьбу внучки.</t>
        </is>
      </c>
      <c r="L5407" s="2" t="inlineStr">
        <is>
          <t>https://www.kino-teatr.ru/teatr/movie/81942/annot/</t>
        </is>
      </c>
      <c r="M5407" s="2">
        <f>HYPERLINK("https://ru.wikipedia.org/w/index.php?search=%D0%9C%D0%B0%D1%88%D0%B5%D0%BD%D1%8C%D0%BA%D0%B0%201977%20%D1%84%D0%B8%D0%BB%D1%8C%D0%BC","искать")</f>
        <v/>
      </c>
      <c r="N5407" s="3" t="n"/>
      <c r="O5407" s="2" t="n"/>
      <c r="P5407" s="2" t="n"/>
    </row>
    <row r="5408">
      <c r="A5408" s="2" t="n">
        <v>5407</v>
      </c>
      <c r="B5408" s="2" t="inlineStr"/>
      <c r="C5408" s="2" t="n">
        <v>10766</v>
      </c>
      <c r="D5408" s="3" t="inlineStr">
        <is>
          <t>Парень из нашего города</t>
        </is>
      </c>
      <c r="E5408" s="2" t="n">
        <v>1978</v>
      </c>
      <c r="F5408" s="2" t="inlineStr">
        <is>
          <t>фильм-спектакль</t>
        </is>
      </c>
      <c r="G5408" s="2" t="n"/>
      <c r="H5408" s="2" t="n">
        <v>328</v>
      </c>
      <c r="I5408" s="2" t="inlineStr"/>
      <c r="J5408" s="2" t="inlineStr"/>
      <c r="K5408" s="3" t="inlineStr">
        <is>
          <t>Тяжелые испытания выпали на долю молодого офицера Сергея Луконина: война в Испании, ранение, бегство из плена, бои на Халкин-Голе. Но он преодолевает все трудности, проявляя мужество, убежденность в правоте дела, за которое борется.
В спектакле звучат стихи К.Симонова, М.Светлова, И.Уткина, К.Отрады, М.Кульчицкого, С.Гудзенко.</t>
        </is>
      </c>
      <c r="L5408" s="2" t="inlineStr">
        <is>
          <t>https://www.kino-teatr.ru/teatr/movie/81099/annot/</t>
        </is>
      </c>
      <c r="M5408" s="2">
        <f>HYPERLINK("https://ru.wikipedia.org/w/index.php?search=%D0%9F%D0%B0%D1%80%D0%B5%D0%BD%D1%8C%20%D0%B8%D0%B7%20%D0%BD%D0%B0%D1%88%D0%B5%D0%B3%D0%BE%20%D0%B3%D0%BE%D1%80%D0%BE%D0%B4%D0%B0%201978%20%D1%84%D0%B8%D0%BB%D1%8C%D0%BC","искать")</f>
        <v/>
      </c>
      <c r="N5408" s="3" t="n"/>
      <c r="O5408" s="2" t="n"/>
      <c r="P5408" s="2" t="n"/>
    </row>
    <row r="5409">
      <c r="A5409" s="2" t="n">
        <v>5408</v>
      </c>
      <c r="B5409" s="2" t="inlineStr"/>
      <c r="C5409" s="2" t="n">
        <v>12449</v>
      </c>
      <c r="D5409" s="3" t="inlineStr">
        <is>
          <t>Мальчик и облако</t>
        </is>
      </c>
      <c r="E5409" s="2" t="n">
        <v>1970</v>
      </c>
      <c r="F5409" s="2" t="inlineStr">
        <is>
          <t>мультфильм</t>
        </is>
      </c>
      <c r="G5409" s="2" t="inlineStr">
        <is>
          <t>КИЕВНАУЧФИЛЬМ</t>
        </is>
      </c>
      <c r="H5409" s="2" t="n">
        <v>328</v>
      </c>
      <c r="I5409" s="2" t="inlineStr"/>
      <c r="J5409" s="2" t="inlineStr"/>
      <c r="K5409" s="3" t="inlineStr">
        <is>
          <t>Мальчик подружился в горах с облаком. Он был горд, что у него теперь есть собственное облако, только обидно, что никто не видит его торжества. Мальчик стал уговаривать облако спуститься в долину, чтобы он мог показать его своим друзьям. Облако согласилось. Но, спустившись вниз, в долину, оно растаяло. Так мальчик потерял друга</t>
        </is>
      </c>
      <c r="L5409" s="2" t="inlineStr">
        <is>
          <t>https://gosfilmofond.ru/films/255160/</t>
        </is>
      </c>
      <c r="M5409" s="2">
        <f>HYPERLINK("https://ru.wikipedia.org/w/index.php?search=%D0%9C%D0%B0%D0%BB%D1%8C%D1%87%D0%B8%D0%BA%20%D0%B8%20%D0%BE%D0%B1%D0%BB%D0%B0%D0%BA%D0%BE%201970%20%D1%84%D0%B8%D0%BB%D1%8C%D0%BC","искать")</f>
        <v/>
      </c>
      <c r="N5409" s="3" t="n"/>
      <c r="O5409" s="2" t="n"/>
      <c r="P5409" s="2" t="n"/>
    </row>
    <row r="5410">
      <c r="A5410" s="2" t="n">
        <v>5409</v>
      </c>
      <c r="B5410" s="2" t="inlineStr"/>
      <c r="C5410" s="2" t="n">
        <v>7270</v>
      </c>
      <c r="D5410" s="3" t="inlineStr">
        <is>
          <t>Братья на рассвете</t>
        </is>
      </c>
      <c r="E5410" s="2" t="n">
        <v>1987</v>
      </c>
      <c r="F5410" s="2" t="inlineStr">
        <is>
          <t>телефильм</t>
        </is>
      </c>
      <c r="G5410" s="2" t="n"/>
      <c r="H5410" s="2" t="n">
        <v>329</v>
      </c>
      <c r="I5410" s="2" t="inlineStr"/>
      <c r="J5410" s="2" t="inlineStr"/>
      <c r="K5410" s="3" t="inlineStr">
        <is>
          <t>По роману известного литовского писателя А.Гудайтиса-Гузявичюса «Правда кузнеца Игнотаса». В фильме показана борьба за независимость Литвы в 1917- 1918 гг. Лейтмотивом становятся слова ксендза Канопки, сказанные митингующим деревенским беднякам: сапоги сшить - и то нужно уметь, а вы, безграмотные, хотите управлять государством.</t>
        </is>
      </c>
      <c r="L5410" s="2" t="inlineStr">
        <is>
          <t>Кино_СССР сводный каталог.xlsx: список телефильмов</t>
        </is>
      </c>
      <c r="M5410" s="2">
        <f>HYPERLINK("https://ru.wikipedia.org/w/index.php?search=%D0%91%D1%80%D0%B0%D1%82%D1%8C%D1%8F%20%D0%BD%D0%B0%20%D1%80%D0%B0%D1%81%D1%81%D0%B2%D0%B5%D1%82%D0%B5%201987%20%D1%84%D0%B8%D0%BB%D1%8C%D0%BC","искать")</f>
        <v/>
      </c>
      <c r="N5410" s="3" t="n"/>
      <c r="O5410" s="2" t="n"/>
      <c r="P5410" s="2" t="n"/>
    </row>
    <row r="5411">
      <c r="A5411" s="2" t="n">
        <v>5410</v>
      </c>
      <c r="B5411" s="2" t="inlineStr"/>
      <c r="C5411" s="2" t="n">
        <v>7939</v>
      </c>
      <c r="D5411" s="3" t="inlineStr">
        <is>
          <t>Надо любить</t>
        </is>
      </c>
      <c r="E5411" s="2" t="n">
        <v>1973</v>
      </c>
      <c r="F5411" s="2" t="inlineStr">
        <is>
          <t>телефильм</t>
        </is>
      </c>
      <c r="G5411" s="2" t="n"/>
      <c r="H5411" s="2" t="n">
        <v>329</v>
      </c>
      <c r="I5411" s="2" t="inlineStr"/>
      <c r="J5411" s="2" t="inlineStr"/>
      <c r="K5411" s="3" t="inlineStr">
        <is>
          <t>Телефильм по мотивам повести Б. Худайназарова "СОРМОВО-27". О людях, построивших в самом сердце Черной пустыни, полноводную реку - Каракумский канал, соединивший воды Аму-Дарьи и Каспия. Нелегок труд людей, живущих и работающих в пустыне, но в фильме идет речь не о суровости быта, а о нравственной атмосфере рабочего коллектива.</t>
        </is>
      </c>
      <c r="L5411" s="2" t="inlineStr">
        <is>
          <t>Кино_СССР сводный каталог.xlsx: список телефильмов</t>
        </is>
      </c>
      <c r="M5411" s="2">
        <f>HYPERLINK("https://ru.wikipedia.org/w/index.php?search=%D0%9D%D0%B0%D0%B4%D0%BE%20%D0%BB%D1%8E%D0%B1%D0%B8%D1%82%D1%8C%201973%20%D1%84%D0%B8%D0%BB%D1%8C%D0%BC","искать")</f>
        <v/>
      </c>
      <c r="N5411" s="3" t="n"/>
      <c r="O5411" s="2" t="n"/>
      <c r="P5411" s="2" t="n"/>
    </row>
    <row r="5412">
      <c r="A5412" s="2" t="n">
        <v>5411</v>
      </c>
      <c r="B5412" s="2" t="inlineStr"/>
      <c r="C5412" s="2" t="n">
        <v>8144</v>
      </c>
      <c r="D5412" s="3" t="inlineStr">
        <is>
          <t>Поезд со станции детства</t>
        </is>
      </c>
      <c r="E5412" s="2" t="n">
        <v>1986</v>
      </c>
      <c r="F5412" s="2" t="inlineStr">
        <is>
          <t>телефильм</t>
        </is>
      </c>
      <c r="G5412" s="2" t="n"/>
      <c r="H5412" s="2" t="n">
        <v>329</v>
      </c>
      <c r="I5412" s="2" t="inlineStr"/>
      <c r="J5412" s="2" t="inlineStr"/>
      <c r="K5412" s="3" t="inlineStr">
        <is>
          <t>События в фильме разворачиваются вокруг детской железной дороги. Юным железнодорожникам приходится противостоять хулиганским действиям группы подростков. Один из них, Камил, задержанный после очередного нападения на опустевшую станцию железной дороги, знакомится с ее начальником, Тахиром Усмановичем, и юными железнодорожниками.</t>
        </is>
      </c>
      <c r="L5412" s="2" t="inlineStr">
        <is>
          <t>Кино_СССР сводный каталог.xlsx: список телефильмов</t>
        </is>
      </c>
      <c r="M5412" s="2">
        <f>HYPERLINK("https://ru.wikipedia.org/w/index.php?search=%D0%9F%D0%BE%D0%B5%D0%B7%D0%B4%20%D1%81%D0%BE%20%D1%81%D1%82%D0%B0%D0%BD%D1%86%D0%B8%D0%B8%20%D0%B4%D0%B5%D1%82%D1%81%D1%82%D0%B2%D0%B0%201986%20%D1%84%D0%B8%D0%BB%D1%8C%D0%BC","искать")</f>
        <v/>
      </c>
      <c r="N5412" s="3" t="n"/>
      <c r="O5412" s="2" t="n"/>
      <c r="P5412" s="2" t="n"/>
    </row>
    <row r="5413">
      <c r="A5413" s="2" t="n">
        <v>5412</v>
      </c>
      <c r="B5413" s="2" t="inlineStr"/>
      <c r="C5413" s="2" t="n">
        <v>8147</v>
      </c>
      <c r="D5413" s="3" t="inlineStr">
        <is>
          <t>Поживём - увидим</t>
        </is>
      </c>
      <c r="E5413" s="2" t="n">
        <v>1985</v>
      </c>
      <c r="F5413" s="2" t="inlineStr">
        <is>
          <t>телефильм</t>
        </is>
      </c>
      <c r="G5413" s="2" t="n"/>
      <c r="H5413" s="2" t="n">
        <v>329</v>
      </c>
      <c r="I5413" s="2" t="inlineStr"/>
      <c r="J5413" s="2" t="inlineStr"/>
      <c r="K5413" s="3" t="inlineStr">
        <is>
          <t>Деревенский паренек, Алексей Горохов, слывет чудаком и сумасбродом. Он полон невероятных идей, которые смешат его односельчан, но на поверку они оказываются не такими уж нелепыми: картошка, посаженная в сетках, дала обильный урожай; поросенок, взятый на "воспитание", превратился в хорошую свинью; а возле школы появился колодец.</t>
        </is>
      </c>
      <c r="L5413" s="2" t="inlineStr">
        <is>
          <t>Кино_СССР сводный каталог.xlsx: список телефильмов</t>
        </is>
      </c>
      <c r="M5413" s="2">
        <f>HYPERLINK("https://ru.wikipedia.org/w/index.php?search=%D0%9F%D0%BE%D0%B6%D0%B8%D0%B2%D1%91%D0%BC%20-%20%D1%83%D0%B2%D0%B8%D0%B4%D0%B8%D0%BC%201985%20%D1%84%D0%B8%D0%BB%D1%8C%D0%BC","искать")</f>
        <v/>
      </c>
      <c r="N5413" s="3" t="n"/>
      <c r="O5413" s="2" t="n"/>
      <c r="P5413" s="2" t="n"/>
    </row>
    <row r="5414">
      <c r="A5414" s="2" t="n">
        <v>5413</v>
      </c>
      <c r="B5414" s="2" t="inlineStr"/>
      <c r="C5414" s="2" t="n">
        <v>8500</v>
      </c>
      <c r="D5414" s="3" t="inlineStr">
        <is>
          <t>Улыбки Нечипоровки</t>
        </is>
      </c>
      <c r="E5414" s="2" t="n">
        <v>1982</v>
      </c>
      <c r="F5414" s="2" t="inlineStr">
        <is>
          <t>телефильм</t>
        </is>
      </c>
      <c r="G5414" s="2" t="n"/>
      <c r="H5414" s="2" t="n">
        <v>329</v>
      </c>
      <c r="I5414" s="2" t="inlineStr"/>
      <c r="J5414" s="2" t="inlineStr"/>
      <c r="K5414" s="3" t="inlineStr">
        <is>
          <t>Давным-давно в одном селе отдыхал усталый путник. Звали его Нечипором. И вот Нечипор во сне увидел, как девушки подарили ему шкатулку. А вдоль шкатулки оказался скрипичный ключ. Он и стал символом Нечипоровки. И село назвали в честь его создателя - Нечипоровкой... Песни исполняют ансамбли "Краяне", "Явор", Лилия Сандулеса и др.</t>
        </is>
      </c>
      <c r="L5414" s="2" t="inlineStr">
        <is>
          <t>Кино_СССР сводный каталог.xlsx: список телефильмов</t>
        </is>
      </c>
      <c r="M5414" s="2">
        <f>HYPERLINK("https://ru.wikipedia.org/w/index.php?search=%D0%A3%D0%BB%D1%8B%D0%B1%D0%BA%D0%B8%20%D0%9D%D0%B5%D1%87%D0%B8%D0%BF%D0%BE%D1%80%D0%BE%D0%B2%D0%BA%D0%B8%201982%20%D1%84%D0%B8%D0%BB%D1%8C%D0%BC","искать")</f>
        <v/>
      </c>
      <c r="N5414" s="3" t="n"/>
      <c r="O5414" s="2" t="n"/>
      <c r="P5414" s="2" t="n"/>
    </row>
    <row r="5415">
      <c r="A5415" s="2" t="n">
        <v>5414</v>
      </c>
      <c r="B5415" s="2" t="inlineStr"/>
      <c r="C5415" s="2" t="n">
        <v>8927</v>
      </c>
      <c r="D5415" s="3" t="inlineStr">
        <is>
          <t>Перестройка</t>
        </is>
      </c>
      <c r="E5415" s="2" t="n">
        <v>1990</v>
      </c>
      <c r="F5415" s="2" t="inlineStr">
        <is>
          <t>кинофильм</t>
        </is>
      </c>
      <c r="G5415" s="2" t="n"/>
      <c r="H5415" s="2" t="n">
        <v>329</v>
      </c>
      <c r="I5415" s="2" t="inlineStr"/>
      <c r="J5415" s="2" t="inlineStr"/>
      <c r="K5415" s="3" t="inlineStr">
        <is>
          <t>1990 год... Начало Горбачевской перестройки и развала СССР... Ахмедка и его Тостый друг, следуя духу времени, переезжают в город, дабы заняться бизнесом, но попадают в руки мощной организованной преступной группировке старушек во главе с деспотичной Фармонбиби. Ожесточенная борьба переростает в войну, которая содрагает планету!</t>
        </is>
      </c>
      <c r="L5415" s="2" t="inlineStr">
        <is>
          <t>Кино_СССР сводный каталог.xlsx: список фильмов (доп.)</t>
        </is>
      </c>
      <c r="M5415" s="2">
        <f>HYPERLINK("https://ru.wikipedia.org/w/index.php?search=%D0%9F%D0%B5%D1%80%D0%B5%D1%81%D1%82%D1%80%D0%BE%D0%B9%D0%BA%D0%B0%201990%20%D1%84%D0%B8%D0%BB%D1%8C%D0%BC","искать")</f>
        <v/>
      </c>
      <c r="N5415" s="3" t="n"/>
      <c r="O5415" s="2" t="n"/>
      <c r="P5415" s="2" t="n"/>
    </row>
    <row r="5416">
      <c r="A5416" s="2" t="n">
        <v>5415</v>
      </c>
      <c r="B5416" s="2" t="inlineStr"/>
      <c r="C5416" s="2" t="n">
        <v>12453</v>
      </c>
      <c r="D5416" s="3" t="inlineStr">
        <is>
          <t>Маруся-богуславка</t>
        </is>
      </c>
      <c r="E5416" s="2" t="n">
        <v>1966</v>
      </c>
      <c r="F5416" s="2" t="inlineStr">
        <is>
          <t>мультфильм</t>
        </is>
      </c>
      <c r="G5416" s="2" t="inlineStr">
        <is>
          <t>КИЕВНАУЧФИЛЬМ</t>
        </is>
      </c>
      <c r="H5416" s="2" t="n">
        <v>329</v>
      </c>
      <c r="I5416" s="2" t="inlineStr"/>
      <c r="J5416" s="2" t="inlineStr"/>
      <c r="K5416" s="3" t="inlineStr">
        <is>
          <t>После очередного набега татары уводят пленниц и среди них Марусю Богуславку. Красавицу дарят в гарем самому хану. Маруся отказывается от любви хана, за что ее бросают в темницу. Ей удается бежать оттуда, она усыпляет хана, выкрадывает ханский знак власти и освобождает пленниц. Во время погони Маруся погибает от татарской стрелы</t>
        </is>
      </c>
      <c r="L5416" s="2" t="inlineStr">
        <is>
          <t>https://gosfilmofond.ru/films/254232/</t>
        </is>
      </c>
      <c r="M5416" s="2">
        <f>HYPERLINK("https://ru.wikipedia.org/w/index.php?search=%D0%9C%D0%B0%D1%80%D1%83%D1%81%D1%8F-%D0%B1%D0%BE%D0%B3%D1%83%D1%81%D0%BB%D0%B0%D0%B2%D0%BA%D0%B0%201966%20%D1%84%D0%B8%D0%BB%D1%8C%D0%BC","искать")</f>
        <v/>
      </c>
      <c r="N5416" s="3" t="n"/>
      <c r="O5416" s="2" t="n"/>
      <c r="P5416" s="2" t="n"/>
    </row>
    <row r="5417">
      <c r="A5417" s="2" t="n">
        <v>5416</v>
      </c>
      <c r="B5417" s="2" t="inlineStr"/>
      <c r="C5417" s="2" t="n">
        <v>7259</v>
      </c>
      <c r="D5417" s="3" t="inlineStr">
        <is>
          <t>Бой на перекрестке</t>
        </is>
      </c>
      <c r="E5417" s="2" t="n">
        <v>1982</v>
      </c>
      <c r="F5417" s="2" t="inlineStr">
        <is>
          <t>телефильм</t>
        </is>
      </c>
      <c r="G5417" s="2" t="n"/>
      <c r="H5417" s="2" t="n">
        <v>330</v>
      </c>
      <c r="I5417" s="2" t="inlineStr"/>
      <c r="J5417" s="2" t="inlineStr"/>
      <c r="K5417" s="3" t="inlineStr">
        <is>
          <t>Телефильм. Историко-революционный фильм по мотивам романа А. Марченко "Третьего не дано". Первые годы становления ВЧК. Медсестра Юнна Ружич и поэт Лафар, ставшие чекистами, принимают активное участие в раскрытии контрреволюционного заговора в Москве в 1918 году. Песни на слова Виктора Харитонова и кинооператора Евгения Кряквина.</t>
        </is>
      </c>
      <c r="L5417" s="2" t="inlineStr">
        <is>
          <t>Кино_СССР сводный каталог.xlsx: список телефильмов</t>
        </is>
      </c>
      <c r="M5417" s="2">
        <f>HYPERLINK("https://ru.wikipedia.org/w/index.php?search=%D0%91%D0%BE%D0%B9%20%D0%BD%D0%B0%20%D0%BF%D0%B5%D1%80%D0%B5%D0%BA%D1%80%D0%B5%D1%81%D1%82%D0%BA%D0%B5%201982%20%D1%84%D0%B8%D0%BB%D1%8C%D0%BC","искать")</f>
        <v/>
      </c>
      <c r="N5417" s="3" t="n"/>
      <c r="O5417" s="2" t="n"/>
      <c r="P5417" s="2" t="n"/>
    </row>
    <row r="5418">
      <c r="A5418" s="2" t="n">
        <v>5417</v>
      </c>
      <c r="B5418" s="2" t="inlineStr"/>
      <c r="C5418" s="2" t="n">
        <v>7261</v>
      </c>
      <c r="D5418" s="3" t="inlineStr">
        <is>
          <t>Большая игра</t>
        </is>
      </c>
      <c r="E5418" s="2" t="n">
        <v>1988</v>
      </c>
      <c r="F5418" s="2" t="inlineStr">
        <is>
          <t>телефильм</t>
        </is>
      </c>
      <c r="G5418" s="2" t="inlineStr">
        <is>
          <t>Ленфильм</t>
        </is>
      </c>
      <c r="H5418" s="2" t="n">
        <v>330</v>
      </c>
      <c r="I5418" s="2" t="inlineStr"/>
      <c r="J5418" s="2" t="inlineStr"/>
      <c r="K5418" s="3" t="inlineStr">
        <is>
          <t>По роману Юлиана Семенова «Пресс-центр». Во время военного переворота одной из латиноамериканских стран убит миллионер Грацио, финансировавший проект единой энергосистемы этой страны. Вскоре был тяжело ранен болгарский журналист, после чего к расследованию подключился советский писатель, журналист-международник Дмитрий Степанов.</t>
        </is>
      </c>
      <c r="L5418" s="2" t="inlineStr">
        <is>
          <t>Кино_СССР сводный каталог.xlsx: список телефильмов</t>
        </is>
      </c>
      <c r="M5418" s="2">
        <f>HYPERLINK("https://ru.wikipedia.org/w/index.php?search=%D0%91%D0%BE%D0%BB%D1%8C%D1%88%D0%B0%D1%8F%20%D0%B8%D0%B3%D1%80%D0%B0%201988%20%D1%84%D0%B8%D0%BB%D1%8C%D0%BC","искать")</f>
        <v/>
      </c>
      <c r="N5418" s="3" t="n"/>
      <c r="O5418" s="2" t="n"/>
      <c r="P5418" s="2" t="n"/>
    </row>
    <row r="5419">
      <c r="A5419" s="2" t="n">
        <v>5418</v>
      </c>
      <c r="B5419" s="2" t="inlineStr"/>
      <c r="C5419" s="2" t="n">
        <v>7273</v>
      </c>
      <c r="D5419" s="3" t="inlineStr">
        <is>
          <t>Бронзовая птица</t>
        </is>
      </c>
      <c r="E5419" s="2" t="n">
        <v>1973</v>
      </c>
      <c r="F5419" s="2" t="inlineStr">
        <is>
          <t>телефильм</t>
        </is>
      </c>
      <c r="G5419" s="2" t="inlineStr">
        <is>
          <t>Беларусьфильм</t>
        </is>
      </c>
      <c r="H5419" s="2" t="n">
        <v>330</v>
      </c>
      <c r="I5419" s="2" t="inlineStr"/>
      <c r="J5419" s="2" t="inlineStr"/>
      <c r="K5419" s="3" t="inlineStr">
        <is>
          <t>Телесериал. Экранизация повести Анатолия Рыбакова "Бронзовая птица". Друзья отправляются в пионерский лагерь под Москву. Это совершенно особенное место: бывшая дворянская усадьба графа Карагаева, в которой до сих пор живет старая дама, по слухам - сама графиня. Но самое интересное в том, что где-то рядом с усадьбой спрятан клад.</t>
        </is>
      </c>
      <c r="L5419" s="2" t="inlineStr">
        <is>
          <t>Кино_СССР сводный каталог.xlsx: список телефильмов</t>
        </is>
      </c>
      <c r="M5419" s="2">
        <f>HYPERLINK("https://ru.wikipedia.org/w/index.php?search=%D0%91%D1%80%D0%BE%D0%BD%D0%B7%D0%BE%D0%B2%D0%B0%D1%8F%20%D0%BF%D1%82%D0%B8%D1%86%D0%B0%201973%20%D1%84%D0%B8%D0%BB%D1%8C%D0%BC","искать")</f>
        <v/>
      </c>
      <c r="N5419" s="3" t="n"/>
      <c r="O5419" s="2" t="n"/>
      <c r="P5419" s="2" t="n"/>
    </row>
    <row r="5420">
      <c r="A5420" s="2" t="n">
        <v>5419</v>
      </c>
      <c r="B5420" s="2" t="inlineStr"/>
      <c r="C5420" s="2" t="n">
        <v>7624</v>
      </c>
      <c r="D5420" s="3" t="inlineStr">
        <is>
          <t>Задача с тремя неизвестными</t>
        </is>
      </c>
      <c r="E5420" s="2" t="n">
        <v>1979</v>
      </c>
      <c r="F5420" s="2" t="inlineStr">
        <is>
          <t>телефильм</t>
        </is>
      </c>
      <c r="G5420" s="2" t="n"/>
      <c r="H5420" s="2" t="n">
        <v>330</v>
      </c>
      <c r="I5420" s="2" t="inlineStr"/>
      <c r="J5420" s="2" t="inlineStr"/>
      <c r="K5420" s="3" t="inlineStr">
        <is>
          <t>Телефильм. Уголовный розыск ведет расследование дела об ограблении заводского кассира. У проходной завода точной механики и оптики двое преступников нападают на кассира. Преступникам удается скрыться на машине, ожидавшей их за углом. На место преступления прибывают работники уголовного розыска майор Дорохов и лейтенант Матушкин.</t>
        </is>
      </c>
      <c r="L5420" s="2" t="inlineStr">
        <is>
          <t>Кино_СССР сводный каталог.xlsx: список телефильмов</t>
        </is>
      </c>
      <c r="M5420" s="2">
        <f>HYPERLINK("https://ru.wikipedia.org/w/index.php?search=%D0%97%D0%B0%D0%B4%D0%B0%D1%87%D0%B0%20%D1%81%20%D1%82%D1%80%D0%B5%D0%BC%D1%8F%20%D0%BD%D0%B5%D0%B8%D0%B7%D0%B2%D0%B5%D1%81%D1%82%D0%BD%D1%8B%D0%BC%D0%B8%201979%20%D1%84%D0%B8%D0%BB%D1%8C%D0%BC","искать")</f>
        <v/>
      </c>
      <c r="N5420" s="3" t="n"/>
      <c r="O5420" s="2" t="n"/>
      <c r="P5420" s="2" t="n"/>
    </row>
    <row r="5421">
      <c r="A5421" s="2" t="n">
        <v>5420</v>
      </c>
      <c r="B5421" s="2" t="inlineStr"/>
      <c r="C5421" s="2" t="n">
        <v>8288</v>
      </c>
      <c r="D5421" s="3" t="inlineStr">
        <is>
          <t>Руфь</t>
        </is>
      </c>
      <c r="E5421" s="2" t="n">
        <v>1989</v>
      </c>
      <c r="F5421" s="2" t="inlineStr">
        <is>
          <t>телефильм</t>
        </is>
      </c>
      <c r="G5421" s="2" t="n"/>
      <c r="H5421" s="2" t="n">
        <v>330</v>
      </c>
      <c r="I5421" s="2" t="inlineStr"/>
      <c r="J5421" s="2" t="inlineStr"/>
      <c r="K5421" s="3" t="inlineStr">
        <is>
          <t>Судьба героини фильма Мари Ломбаль-Булатовой повторяет жизнь французской пианистки Лотар-Шевченко, которая в 1930-е годы вышла замуж за советского дипломата, уехала с ним в Советский Союз, была репрессирована вместе с мужем и провела в тюрьме многие годы... Сценарий фильма написан Евгением Козловским по его же одноименной пьесе.</t>
        </is>
      </c>
      <c r="L5421" s="2" t="inlineStr">
        <is>
          <t>Кино_СССР сводный каталог.xlsx: список телефильмов</t>
        </is>
      </c>
      <c r="M5421" s="2">
        <f>HYPERLINK("https://ru.wikipedia.org/w/index.php?search=%D0%A0%D1%83%D1%84%D1%8C%201989%20%D1%84%D0%B8%D0%BB%D1%8C%D0%BC","искать")</f>
        <v/>
      </c>
      <c r="N5421" s="3" t="n"/>
      <c r="O5421" s="2" t="n"/>
      <c r="P5421" s="2" t="n"/>
    </row>
    <row r="5422">
      <c r="A5422" s="2" t="n">
        <v>5421</v>
      </c>
      <c r="B5422" s="2" t="inlineStr"/>
      <c r="C5422" s="2" t="n">
        <v>8299</v>
      </c>
      <c r="D5422" s="3" t="inlineStr">
        <is>
          <t>Сапоги всмятку</t>
        </is>
      </c>
      <c r="E5422" s="2" t="n">
        <v>1977</v>
      </c>
      <c r="F5422" s="2" t="inlineStr">
        <is>
          <t>телефильм</t>
        </is>
      </c>
      <c r="G5422" s="2" t="n"/>
      <c r="H5422" s="2" t="n">
        <v>330</v>
      </c>
      <c r="I5422" s="2" t="inlineStr"/>
      <c r="J5422" s="2" t="inlineStr"/>
      <c r="K5422" s="3" t="inlineStr">
        <is>
          <t>Действие фильма разворачивается ночью в провинциальном театре. Старый комик Василий Александрович Блистанов, проснувшись один в опустевшем театре после своего бенефиса, начинает рассуждения о прожитой жизни, таланте, любви и смерти, переосмысливая прожитые годы, вспоминая о несбывшейся любви, отданной в жертву служению в театре.</t>
        </is>
      </c>
      <c r="L5422" s="2" t="inlineStr">
        <is>
          <t>https://ru.wikipedia.org/w/index.php?title=%D0%A1%D0%B0%D0%BF%D0%BE%D0%B3%D0%B8_%D0%B2%D1%81%D0%BC%D1%8F%D1%82%D0%BA%D1%83&amp;oldid=154704121</t>
        </is>
      </c>
      <c r="M5422" s="2">
        <f>HYPERLINK("https://ru.wikipedia.org/w/index.php?search=%D0%A1%D0%B0%D0%BF%D0%BE%D0%B3%D0%B8%20%D0%B2%D1%81%D0%BC%D1%8F%D1%82%D0%BA%D1%83%201977%20%D1%84%D0%B8%D0%BB%D1%8C%D0%BC","искать")</f>
        <v/>
      </c>
      <c r="N5422" s="3" t="n"/>
      <c r="O5422" s="2" t="n"/>
      <c r="P5422" s="2" t="n"/>
    </row>
    <row r="5423">
      <c r="A5423" s="2" t="n">
        <v>5422</v>
      </c>
      <c r="B5423" s="2" t="inlineStr"/>
      <c r="C5423" s="2" t="n">
        <v>9374</v>
      </c>
      <c r="D5423" s="3" t="inlineStr">
        <is>
          <t>Затерянный в Сибири</t>
        </is>
      </c>
      <c r="E5423" s="2" t="n">
        <v>1991</v>
      </c>
      <c r="F5423" s="2" t="inlineStr">
        <is>
          <t>кинофильм</t>
        </is>
      </c>
      <c r="G5423" s="2" t="n"/>
      <c r="H5423" s="2" t="n">
        <v>330</v>
      </c>
      <c r="I5423" s="2" t="inlineStr"/>
      <c r="J5423" s="2" t="inlineStr"/>
      <c r="K5423" s="3" t="inlineStr">
        <is>
          <t>Английского археолога Миллера, работавшего на раскопках в Иране, выкрали советские чекисты, по ошибке приняв за американского шпиона. После допросов на Лубянке ученый «сознался» в том, что работает не только на американскую, но и на английскую, а также на японскую разведки. Попав в ГУЛАГ, англичанин проходит через все круги ада.</t>
        </is>
      </c>
      <c r="L5423" s="2" t="inlineStr">
        <is>
          <t>Кино_СССР сводный каталог.xlsx: список фильмов (доп.)</t>
        </is>
      </c>
      <c r="M5423" s="2">
        <f>HYPERLINK("https://ru.wikipedia.org/w/index.php?search=%D0%97%D0%B0%D1%82%D0%B5%D1%80%D1%8F%D0%BD%D0%BD%D1%8B%D0%B9%20%D0%B2%20%D0%A1%D0%B8%D0%B1%D0%B8%D1%80%D0%B8%201991%20%D1%84%D0%B8%D0%BB%D1%8C%D0%BC","искать")</f>
        <v/>
      </c>
      <c r="N5423" s="3" t="n"/>
      <c r="O5423" s="2" t="n"/>
      <c r="P5423" s="2" t="n"/>
    </row>
    <row r="5424">
      <c r="A5424" s="2" t="n">
        <v>5423</v>
      </c>
      <c r="B5424" s="2" t="inlineStr"/>
      <c r="C5424" s="2" t="n">
        <v>9490</v>
      </c>
      <c r="D5424" s="3" t="inlineStr">
        <is>
          <t>Наследница Ники</t>
        </is>
      </c>
      <c r="E5424" s="2" t="n">
        <v>1988</v>
      </c>
      <c r="F5424" s="2" t="inlineStr">
        <is>
          <t>кинофильм</t>
        </is>
      </c>
      <c r="G5424" s="2" t="n"/>
      <c r="H5424" s="2" t="n">
        <v>330</v>
      </c>
      <c r="I5424" s="2" t="inlineStr"/>
      <c r="J5424" s="2" t="inlineStr"/>
      <c r="K5424" s="3" t="inlineStr">
        <is>
          <t>Во время войны фашисты увезли в Германию племенную лошадь Зарницу, победительницу многих международных скачек. Но лошадь отказалась слушаться нового хозяина жокея Шойберга. Поэтому он был вынужден освободить из плена конюха Григория, ухаживавшего за Зарницей еще до войны. Воспользовавшись ситуацией, конюх пытался бежать и погиб.</t>
        </is>
      </c>
      <c r="L5424" s="2" t="inlineStr">
        <is>
          <t>Кино_СССР сводный каталог.xlsx: список фильмов (доп.)</t>
        </is>
      </c>
      <c r="M5424" s="2">
        <f>HYPERLINK("https://ru.wikipedia.org/w/index.php?search=%D0%9D%D0%B0%D1%81%D0%BB%D0%B5%D0%B4%D0%BD%D0%B8%D1%86%D0%B0%20%D0%9D%D0%B8%D0%BA%D0%B8%201988%20%D1%84%D0%B8%D0%BB%D1%8C%D0%BC","искать")</f>
        <v/>
      </c>
      <c r="N5424" s="3" t="n"/>
      <c r="O5424" s="2" t="n"/>
      <c r="P5424" s="2" t="n"/>
    </row>
    <row r="5425">
      <c r="A5425" s="2" t="n">
        <v>5424</v>
      </c>
      <c r="B5425" s="2" t="inlineStr"/>
      <c r="C5425" s="2" t="n">
        <v>9534</v>
      </c>
      <c r="D5425" s="3" t="inlineStr">
        <is>
          <t>Отцы</t>
        </is>
      </c>
      <c r="E5425" s="2" t="n">
        <v>1988</v>
      </c>
      <c r="F5425" s="2" t="inlineStr">
        <is>
          <t>кинофильм</t>
        </is>
      </c>
      <c r="G5425" s="2" t="n"/>
      <c r="H5425" s="2" t="n">
        <v>330</v>
      </c>
      <c r="I5425" s="2" t="inlineStr"/>
      <c r="J5425" s="2" t="inlineStr"/>
      <c r="K5425" s="3" t="inlineStr">
        <is>
          <t>Действие фильма разворачивается во второй половине 1960-х годов. Главный герой картины - молодой работник аппарата Владимир Новиков, обаятельный, образованный, энергичный человек - процветающий функционер. У Новикова юная возлюбленная - студентка Таня, на которой он никогда не женится (есть семья, двое детей, тесть из "бывших").</t>
        </is>
      </c>
      <c r="L5425" s="2" t="inlineStr">
        <is>
          <t>Кино_СССР сводный каталог.xlsx: список фильмов (доп.)</t>
        </is>
      </c>
      <c r="M5425" s="2">
        <f>HYPERLINK("https://ru.wikipedia.org/w/index.php?search=%D0%9E%D1%82%D1%86%D1%8B%201988%20%D1%84%D0%B8%D0%BB%D1%8C%D0%BC","искать")</f>
        <v/>
      </c>
      <c r="N5425" s="3" t="n"/>
      <c r="O5425" s="2" t="n"/>
      <c r="P5425" s="2" t="n"/>
    </row>
    <row r="5426">
      <c r="A5426" s="2" t="n">
        <v>5425</v>
      </c>
      <c r="B5426" s="2" t="inlineStr"/>
      <c r="C5426" s="2" t="n">
        <v>11479</v>
      </c>
      <c r="D5426" s="3" t="inlineStr">
        <is>
          <t>Легенда о злом великане</t>
        </is>
      </c>
      <c r="E5426" s="2" t="n">
        <v>1967</v>
      </c>
      <c r="F5426" s="2" t="inlineStr">
        <is>
          <t>мультфильм</t>
        </is>
      </c>
      <c r="G5426" s="2" t="inlineStr">
        <is>
          <t>Союзмультфильм</t>
        </is>
      </c>
      <c r="H5426" s="2" t="n">
        <v>330</v>
      </c>
      <c r="I5426" s="2" t="inlineStr"/>
      <c r="J5426" s="2" t="inlineStr"/>
      <c r="K5426" s="3" t="inlineStr">
        <is>
          <t>Рыбак находит в море бутылку и выпускает из нее злого джина-великана. Джин делает его богатым, а сам отправляется гулять по свету. Он разбивает рыбачьи лодки, гибнут друзья рыбака - старик и девушка. Старый мудрец объясняет ему, какое зло совершил он, выпустив великана. И рыбак с помощью хитростей вновь загоняет злодея в бутылку</t>
        </is>
      </c>
      <c r="L5426" s="2" t="inlineStr">
        <is>
          <t>https://gosfilmofond.ru/films/254315/</t>
        </is>
      </c>
      <c r="M5426" s="2">
        <f>HYPERLINK("https://ru.wikipedia.org/w/index.php?search=%D0%9B%D0%B5%D0%B3%D0%B5%D0%BD%D0%B4%D0%B0%20%D0%BE%20%D0%B7%D0%BB%D0%BE%D0%BC%20%D0%B2%D0%B5%D0%BB%D0%B8%D0%BA%D0%B0%D0%BD%D0%B5%201967%20%D1%84%D0%B8%D0%BB%D1%8C%D0%BC","искать")</f>
        <v/>
      </c>
      <c r="N5426" s="3" t="n"/>
      <c r="O5426" s="2" t="n"/>
      <c r="P5426" s="2" t="n"/>
    </row>
    <row r="5427">
      <c r="A5427" s="2" t="n">
        <v>5426</v>
      </c>
      <c r="B5427" s="2" t="inlineStr"/>
      <c r="C5427" s="2" t="n">
        <v>13178</v>
      </c>
      <c r="D5427" s="3" t="inlineStr">
        <is>
          <t>Кто сделал облако</t>
        </is>
      </c>
      <c r="E5427" s="2" t="n">
        <v>1967</v>
      </c>
      <c r="F5427" s="2" t="inlineStr">
        <is>
          <t>мультфильм</t>
        </is>
      </c>
      <c r="G5427" s="2" t="inlineStr">
        <is>
          <t>УЗБЕКФИЛЬМ</t>
        </is>
      </c>
      <c r="H5427" s="2" t="n">
        <v>330</v>
      </c>
      <c r="I5427" s="2" t="inlineStr"/>
      <c r="J5427" s="2" t="inlineStr"/>
      <c r="K5427" s="3" t="inlineStr">
        <is>
          <t>Медвежонок Мишка удивляется, что из облака течет вода, и хочет узнать, кто же делает облака. Но лягушки смеются над ним, дикообраз называет его бездельником и только заяц идет искать вместе с ним. Они думают, что облако делает огородное пугало, дымя папиросой. Но солнышко объясняет им, откуда берутся облака и почему льется дождь</t>
        </is>
      </c>
      <c r="L5427" s="2" t="inlineStr">
        <is>
          <t>https://gosfilmofond.ru/films/254267/</t>
        </is>
      </c>
      <c r="M5427" s="2">
        <f>HYPERLINK("https://ru.wikipedia.org/w/index.php?search=%D0%9A%D1%82%D0%BE%20%D1%81%D0%B4%D0%B5%D0%BB%D0%B0%D0%BB%20%D0%BE%D0%B1%D0%BB%D0%B0%D0%BA%D0%BE%201967%20%D1%84%D0%B8%D0%BB%D1%8C%D0%BC","искать")</f>
        <v/>
      </c>
      <c r="N5427" s="3" t="n"/>
      <c r="O5427" s="2" t="n"/>
      <c r="P5427" s="2" t="n"/>
    </row>
    <row r="5428">
      <c r="A5428" s="2" t="n">
        <v>5427</v>
      </c>
      <c r="B5428" s="2" t="inlineStr"/>
      <c r="C5428" s="2" t="n">
        <v>7321</v>
      </c>
      <c r="D5428" s="3" t="inlineStr">
        <is>
          <t>Веришь, не веришь</t>
        </is>
      </c>
      <c r="E5428" s="2" t="n">
        <v>1971</v>
      </c>
      <c r="F5428" s="2" t="inlineStr">
        <is>
          <t>телефильм</t>
        </is>
      </c>
      <c r="G5428" s="2" t="n"/>
      <c r="H5428" s="2" t="n">
        <v>331</v>
      </c>
      <c r="I5428" s="2" t="inlineStr"/>
      <c r="J5428" s="2" t="inlineStr"/>
      <c r="K5428" s="3" t="inlineStr">
        <is>
          <t>Вернувшись из армии, Александр Макейчик узнает, что Тоня, которую он любит, в институт не поступила, встретила другого парня, стала матерью, одна воспитывает ребенка и работает на нефтепромысле в Гомельской области. Саша едет на буровую к Тоне. Отношения между героями складываются не легко, но друг без друга им будет еще труднее.</t>
        </is>
      </c>
      <c r="L5428" s="2" t="inlineStr">
        <is>
          <t>Кино_СССР сводный каталог.xlsx: список телефильмов</t>
        </is>
      </c>
      <c r="M5428" s="2">
        <f>HYPERLINK("https://ru.wikipedia.org/w/index.php?search=%D0%92%D0%B5%D1%80%D0%B8%D1%88%D1%8C%2C%20%D0%BD%D0%B5%20%D0%B2%D0%B5%D1%80%D0%B8%D1%88%D1%8C%201971%20%D1%84%D0%B8%D0%BB%D1%8C%D0%BC","искать")</f>
        <v/>
      </c>
      <c r="N5428" s="3" t="n"/>
      <c r="O5428" s="2" t="n"/>
      <c r="P5428" s="2" t="n"/>
    </row>
    <row r="5429">
      <c r="A5429" s="2" t="n">
        <v>5428</v>
      </c>
      <c r="B5429" s="2" t="inlineStr"/>
      <c r="C5429" s="2" t="n">
        <v>8394</v>
      </c>
      <c r="D5429" s="3" t="inlineStr">
        <is>
          <t>Старая крепость</t>
        </is>
      </c>
      <c r="E5429" s="2" t="n">
        <v>1972</v>
      </c>
      <c r="F5429" s="2" t="inlineStr">
        <is>
          <t>телефильм</t>
        </is>
      </c>
      <c r="G5429" s="2" t="n"/>
      <c r="H5429" s="2" t="n">
        <v>331</v>
      </c>
      <c r="I5429" s="2" t="inlineStr"/>
      <c r="J5429" s="2" t="inlineStr"/>
      <c r="K5429" s="3" t="inlineStr">
        <is>
          <t>Телесериал по трилогии Владимира Беляева. Состоит из трех частей: "Комиссар Сергушин" (1-3 серии); "Дом с привидениями" (4-5 серии); "Город у моря" (6-7 серии). Фильм рассказывает о ребятах из приграничного украинского города Каменец-Подольского, которые становятся свидетелями и участниками революционных боев за Советскую власть.</t>
        </is>
      </c>
      <c r="L5429" s="2" t="inlineStr">
        <is>
          <t>Кино_СССР сводный каталог.xlsx: список телефильмов</t>
        </is>
      </c>
      <c r="M5429" s="2">
        <f>HYPERLINK("https://ru.wikipedia.org/w/index.php?search=%D0%A1%D1%82%D0%B0%D1%80%D0%B0%D1%8F%20%D0%BA%D1%80%D0%B5%D0%BF%D0%BE%D1%81%D1%82%D1%8C%201972%20%D1%84%D0%B8%D0%BB%D1%8C%D0%BC","искать")</f>
        <v/>
      </c>
      <c r="N5429" s="3" t="n"/>
      <c r="O5429" s="2" t="n"/>
      <c r="P5429" s="2" t="n"/>
    </row>
    <row r="5430">
      <c r="A5430" s="2" t="n">
        <v>5429</v>
      </c>
      <c r="B5430" s="2" t="inlineStr"/>
      <c r="C5430" s="2" t="n">
        <v>8502</v>
      </c>
      <c r="D5430" s="3" t="inlineStr">
        <is>
          <t>Уполномочен революцией</t>
        </is>
      </c>
      <c r="E5430" s="2" t="n">
        <v>1987</v>
      </c>
      <c r="F5430" s="2" t="inlineStr">
        <is>
          <t>телефильм</t>
        </is>
      </c>
      <c r="G5430" s="2" t="n"/>
      <c r="H5430" s="2" t="n">
        <v>331</v>
      </c>
      <c r="I5430" s="2" t="inlineStr"/>
      <c r="J5430" s="2" t="inlineStr"/>
      <c r="K5430" s="3" t="inlineStr">
        <is>
          <t>Фильм рассказывает о военной составляющей процесса установления советской власти в Туркестане в 1919 году. Подавлением националистов, поддерживаемыми английской разведкой, за независимость от СССР, известных как Басмачество, руководили Валериан Куйбышев и Михаил Фрунзе. Заканчивается фильм успешным проведением Бухарской операции.</t>
        </is>
      </c>
      <c r="L5430" s="2" t="inlineStr">
        <is>
          <t>https://ru.wikipedia.org/w/index.php?title=%D0%A3%D0%BF%D0%BE%D0%BB%D0%BD%D0%BE%D0%BC%D0%BE%D1%87%D0%B5%D0%BD_%D1%80%D0%B5%D0%B2%D0%BE%D0%BB%D1%8E%D1%86%D0%B8%D0%B5%D0%B9_%28%D1%84%D0%B8%D0%BB%D1%8C%D0%BC%29&amp;oldid=149215988</t>
        </is>
      </c>
      <c r="M5430" s="2">
        <f>HYPERLINK("https://ru.wikipedia.org/w/index.php?search=%D0%A3%D0%BF%D0%BE%D0%BB%D0%BD%D0%BE%D0%BC%D0%BE%D1%87%D0%B5%D0%BD%20%D1%80%D0%B5%D0%B2%D0%BE%D0%BB%D1%8E%D1%86%D0%B8%D0%B5%D0%B9%201987%20%D1%84%D0%B8%D0%BB%D1%8C%D0%BC","искать")</f>
        <v/>
      </c>
      <c r="N5430" s="3" t="n"/>
      <c r="O5430" s="2" t="n"/>
      <c r="P5430" s="2" t="n"/>
    </row>
    <row r="5431">
      <c r="A5431" s="2" t="n">
        <v>5430</v>
      </c>
      <c r="B5431" s="2" t="inlineStr"/>
      <c r="C5431" s="2" t="n">
        <v>8515</v>
      </c>
      <c r="D5431" s="3" t="inlineStr">
        <is>
          <t>Формула любви</t>
        </is>
      </c>
      <c r="E5431" s="2" t="n">
        <v>1984</v>
      </c>
      <c r="F5431" s="2" t="inlineStr">
        <is>
          <t>телефильм</t>
        </is>
      </c>
      <c r="G5431" s="2" t="n"/>
      <c r="H5431" s="2" t="n">
        <v>331</v>
      </c>
      <c r="I5431" s="2" t="inlineStr"/>
      <c r="J5431" s="2" t="inlineStr"/>
      <c r="K5431" s="3" t="inlineStr">
        <is>
          <t>По повести А.Н.Толстого "Граф Калиостро". Искрящаяся юмором ироническая комедия Марка Захарова с созвездием великолепных актеров. Знаменитый авантюрист граф Калиостро в сопровождении своей весьма экстравагантной свиты прибывает в Россию. Удирая от гвардейцев Потемкина, вся эта развеселая компания застревает в российской глубинке.</t>
        </is>
      </c>
      <c r="L5431" s="2" t="inlineStr">
        <is>
          <t>Кино_СССР сводный каталог.xlsx: список телефильмов</t>
        </is>
      </c>
      <c r="M5431" s="2">
        <f>HYPERLINK("https://ru.wikipedia.org/w/index.php?search=%D0%A4%D0%BE%D1%80%D0%BC%D1%83%D0%BB%D0%B0%20%D0%BB%D1%8E%D0%B1%D0%B2%D0%B8%201984%20%D1%84%D0%B8%D0%BB%D1%8C%D0%BC","искать")</f>
        <v/>
      </c>
      <c r="N5431" s="3" t="n"/>
      <c r="O5431" s="2" t="n"/>
      <c r="P5431" s="2" t="n"/>
    </row>
    <row r="5432">
      <c r="A5432" s="2" t="n">
        <v>5431</v>
      </c>
      <c r="B5432" s="2" t="inlineStr"/>
      <c r="C5432" s="2" t="n">
        <v>8520</v>
      </c>
      <c r="D5432" s="3" t="inlineStr">
        <is>
          <t>Хабиб - повелитель змей</t>
        </is>
      </c>
      <c r="E5432" s="2" t="n">
        <v>1972</v>
      </c>
      <c r="F5432" s="2" t="inlineStr">
        <is>
          <t>телефильм</t>
        </is>
      </c>
      <c r="G5432" s="2" t="n"/>
      <c r="H5432" s="2" t="n">
        <v>331</v>
      </c>
      <c r="I5432" s="2" t="inlineStr"/>
      <c r="J5432" s="2" t="inlineStr"/>
      <c r="K5432" s="3" t="inlineStr">
        <is>
          <t>По мотивам повести Х.Назарова «Рыжик и Пятнашка». Действие происходит в 1920-е годы в горах Таджикистана в маленьком затерянном кишлаке. Несладко живется пастушонку Хабибу у чужой женщины Малики, но мальчик не озлобляется и не черствеет душой. Он спасает из горного потока щенка, заботится о раненом козленке и даже приручает змей.</t>
        </is>
      </c>
      <c r="L5432" s="2" t="inlineStr">
        <is>
          <t>Кино_СССР сводный каталог.xlsx: список телефильмов</t>
        </is>
      </c>
      <c r="M5432" s="2">
        <f>HYPERLINK("https://ru.wikipedia.org/w/index.php?search=%D0%A5%D0%B0%D0%B1%D0%B8%D0%B1%20-%20%D0%BF%D0%BE%D0%B2%D0%B5%D0%BB%D0%B8%D1%82%D0%B5%D0%BB%D1%8C%20%D0%B7%D0%BC%D0%B5%D0%B9%201972%20%D1%84%D0%B8%D0%BB%D1%8C%D0%BC","искать")</f>
        <v/>
      </c>
      <c r="N5432" s="3" t="n"/>
      <c r="O5432" s="2" t="n"/>
      <c r="P5432" s="2" t="n"/>
    </row>
    <row r="5433">
      <c r="A5433" s="2" t="n">
        <v>5432</v>
      </c>
      <c r="B5433" s="2" t="inlineStr"/>
      <c r="C5433" s="2" t="n">
        <v>8614</v>
      </c>
      <c r="D5433" s="3" t="inlineStr">
        <is>
          <t>Я тебя ненавижу</t>
        </is>
      </c>
      <c r="E5433" s="2" t="n">
        <v>1986</v>
      </c>
      <c r="F5433" s="2" t="inlineStr">
        <is>
          <t>телефильм</t>
        </is>
      </c>
      <c r="G5433" s="2" t="n"/>
      <c r="H5433" s="2" t="n">
        <v>331</v>
      </c>
      <c r="I5433" s="2" t="inlineStr"/>
      <c r="J5433" s="2" t="inlineStr"/>
      <c r="K5433" s="3" t="inlineStr">
        <is>
          <t>В основе сюжета - история встречи и примирения после многолетней разлуки супругов Михайловых, осознание ими совершенной в молодости ошибки. Когда-то они поленились понять друг друга. Он сгоряча рванул на стройку, а она, смирившись с его отъездом, обиду не забывала. Спустя несколько лет герой приехал к жене и повзрослевшей дочери.</t>
        </is>
      </c>
      <c r="L5433" s="2" t="inlineStr">
        <is>
          <t>Кино_СССР сводный каталог.xlsx: список телефильмов</t>
        </is>
      </c>
      <c r="M5433" s="2">
        <f>HYPERLINK("https://ru.wikipedia.org/w/index.php?search=%D0%AF%20%D1%82%D0%B5%D0%B1%D1%8F%20%D0%BD%D0%B5%D0%BD%D0%B0%D0%B2%D0%B8%D0%B6%D1%83%201986%20%D1%84%D0%B8%D0%BB%D1%8C%D0%BC","искать")</f>
        <v/>
      </c>
      <c r="N5433" s="3" t="n"/>
      <c r="O5433" s="2" t="n"/>
      <c r="P5433" s="2" t="n"/>
    </row>
    <row r="5434">
      <c r="A5434" s="2" t="n">
        <v>5433</v>
      </c>
      <c r="B5434" s="2" t="inlineStr"/>
      <c r="C5434" s="2" t="n">
        <v>8778</v>
      </c>
      <c r="D5434" s="3" t="inlineStr">
        <is>
          <t>Крест милосердия</t>
        </is>
      </c>
      <c r="E5434" s="2" t="n">
        <v>1991</v>
      </c>
      <c r="F5434" s="2" t="inlineStr">
        <is>
          <t>кинофильм</t>
        </is>
      </c>
      <c r="G5434" s="2" t="n"/>
      <c r="H5434" s="2" t="n">
        <v>331</v>
      </c>
      <c r="I5434" s="2" t="inlineStr"/>
      <c r="J5434" s="2" t="inlineStr"/>
      <c r="K5434" s="3" t="inlineStr">
        <is>
          <t>Фильм посвящен жизненному и творческому пути знаменитой белорусской поэтессы, просветителя и педагога Алоизы Пашкевич (1876-1916). После окончания Виленской частной гимназии она поступает в Петербург на Высшие курсы Лесгафта, знакомится со студентами-земляками. Белорусское землячество затевает издание газеты на белорусском языке.</t>
        </is>
      </c>
      <c r="L5434" s="2" t="inlineStr">
        <is>
          <t>Кино_СССР сводный каталог.xlsx: список фильмов (доп.)</t>
        </is>
      </c>
      <c r="M5434" s="2">
        <f>HYPERLINK("https://ru.wikipedia.org/w/index.php?search=%D0%9A%D1%80%D0%B5%D1%81%D1%82%20%D0%BC%D0%B8%D0%BB%D0%BE%D1%81%D0%B5%D1%80%D0%B4%D0%B8%D1%8F%201991%20%D1%84%D0%B8%D0%BB%D1%8C%D0%BC","искать")</f>
        <v/>
      </c>
      <c r="N5434" s="3" t="n"/>
      <c r="O5434" s="2" t="n"/>
      <c r="P5434" s="2" t="n"/>
    </row>
    <row r="5435">
      <c r="A5435" s="2" t="n">
        <v>5434</v>
      </c>
      <c r="B5435" s="2" t="inlineStr"/>
      <c r="C5435" s="2" t="n">
        <v>8914</v>
      </c>
      <c r="D5435" s="3" t="inlineStr">
        <is>
          <t>Павло Полуботок</t>
        </is>
      </c>
      <c r="E5435" s="2" t="n">
        <v>1991</v>
      </c>
      <c r="F5435" s="2" t="inlineStr">
        <is>
          <t>кинофильм</t>
        </is>
      </c>
      <c r="G5435" s="2" t="n"/>
      <c r="H5435" s="2" t="n">
        <v>331</v>
      </c>
      <c r="I5435" s="2" t="inlineStr"/>
      <c r="J5435" s="2" t="inlineStr"/>
      <c r="K5435" s="3" t="inlineStr">
        <is>
          <t>По пьесе «Павло Полуботок» (Кость Буревий) о трагическом периоде истории Украины, который наступил после того, как гетман И. Мазепа начал борьбу против колониальной политики Москвы. Гетман Полуботок также хотел видеть Украину равноправной союзницей Москвы. Он на глазах Петра I умирает в тюрьме, но не отрекается от своих взглядов.</t>
        </is>
      </c>
      <c r="L5435" s="2" t="inlineStr">
        <is>
          <t>Кино_СССР сводный каталог.xlsx: список фильмов (доп.)</t>
        </is>
      </c>
      <c r="M5435" s="2">
        <f>HYPERLINK("https://ru.wikipedia.org/w/index.php?search=%D0%9F%D0%B0%D0%B2%D0%BB%D0%BE%20%D0%9F%D0%BE%D0%BB%D1%83%D0%B1%D0%BE%D1%82%D0%BE%D0%BA%201991%20%D1%84%D0%B8%D0%BB%D1%8C%D0%BC","искать")</f>
        <v/>
      </c>
      <c r="N5435" s="3" t="n"/>
      <c r="O5435" s="2" t="n"/>
      <c r="P5435" s="2" t="n"/>
    </row>
    <row r="5436">
      <c r="A5436" s="2" t="n">
        <v>5435</v>
      </c>
      <c r="B5436" s="2" t="inlineStr"/>
      <c r="C5436" s="2" t="n">
        <v>9077</v>
      </c>
      <c r="D5436" s="3" t="inlineStr">
        <is>
          <t>Сурайя</t>
        </is>
      </c>
      <c r="E5436" s="2" t="n">
        <v>1987</v>
      </c>
      <c r="F5436" s="2" t="inlineStr">
        <is>
          <t>кинофильм</t>
        </is>
      </c>
      <c r="G5436" s="2" t="n"/>
      <c r="H5436" s="2" t="n">
        <v>331</v>
      </c>
      <c r="I5436" s="2" t="inlineStr"/>
      <c r="J5436" s="2" t="inlineStr"/>
      <c r="K5436" s="3" t="inlineStr">
        <is>
          <t>Молодая доярка Сурайя из далекого горного села разыскивает в городе своего жениха Сейфетдина. Она узнает, что тот давно женат, имеет сына, который живет у старого больного деда, поскольку Сейфетдин отбывает наказание за хулиганский поступок. Сурайя увозит мальчика в село, чтобы заботиться о нем, но тут появляется жена Сейфетдина.</t>
        </is>
      </c>
      <c r="L5436" s="2" t="inlineStr">
        <is>
          <t>Кино_СССР сводный каталог.xlsx: список фильмов (доп.)</t>
        </is>
      </c>
      <c r="M5436" s="2">
        <f>HYPERLINK("https://ru.wikipedia.org/w/index.php?search=%D0%A1%D1%83%D1%80%D0%B0%D0%B9%D1%8F%201987%20%D1%84%D0%B8%D0%BB%D1%8C%D0%BC","искать")</f>
        <v/>
      </c>
      <c r="N5436" s="3" t="n"/>
      <c r="O5436" s="2" t="n"/>
      <c r="P5436" s="2" t="n"/>
    </row>
    <row r="5437">
      <c r="A5437" s="2" t="n">
        <v>5436</v>
      </c>
      <c r="B5437" s="2" t="inlineStr"/>
      <c r="C5437" s="2" t="n">
        <v>9622</v>
      </c>
      <c r="D5437" s="3" t="inlineStr">
        <is>
          <t>Рой</t>
        </is>
      </c>
      <c r="E5437" s="2" t="n">
        <v>1990</v>
      </c>
      <c r="F5437" s="2" t="inlineStr">
        <is>
          <t>кинофильм</t>
        </is>
      </c>
      <c r="G5437" s="2" t="n"/>
      <c r="H5437" s="2" t="n">
        <v>331</v>
      </c>
      <c r="I5437" s="2" t="inlineStr"/>
      <c r="J5437" s="2" t="inlineStr"/>
      <c r="K5437" s="3" t="inlineStr">
        <is>
          <t>По одноименному роману С.Алексеева. Роман-сибириада с попыткой философского осмысления деревенской жизни. В центре повествования история сибирского рода Заварзиных, издавна живущего пчелиным промыслом. После того, как однажды в ульи проник непонятный вирус, обвинения между двумя соседними хуторами достигли накала настоящей войны.</t>
        </is>
      </c>
      <c r="L5437" s="2" t="inlineStr">
        <is>
          <t>Кино_СССР сводный каталог.xlsx: список фильмов (доп.)</t>
        </is>
      </c>
      <c r="M5437" s="2">
        <f>HYPERLINK("https://ru.wikipedia.org/w/index.php?search=%D0%A0%D0%BE%D0%B9%201990%20%D1%84%D0%B8%D0%BB%D1%8C%D0%BC","искать")</f>
        <v/>
      </c>
      <c r="N5437" s="3" t="n"/>
      <c r="O5437" s="2" t="n"/>
      <c r="P5437" s="2" t="n"/>
    </row>
    <row r="5438">
      <c r="A5438" s="2" t="n">
        <v>5437</v>
      </c>
      <c r="B5438" s="2" t="inlineStr"/>
      <c r="C5438" s="2" t="n">
        <v>10606</v>
      </c>
      <c r="D5438" s="3" t="inlineStr">
        <is>
          <t>День открытых дверей</t>
        </is>
      </c>
      <c r="E5438" s="2" t="n">
        <v>1975</v>
      </c>
      <c r="F5438" s="2" t="inlineStr">
        <is>
          <t>фильм-спектакль</t>
        </is>
      </c>
      <c r="G5438" s="2" t="inlineStr">
        <is>
          <t>Центральное телевидение</t>
        </is>
      </c>
      <c r="H5438" s="2" t="n">
        <v>331</v>
      </c>
      <c r="I5438" s="2" t="inlineStr"/>
      <c r="J5438" s="2" t="inlineStr"/>
      <c r="K5438" s="3" t="inlineStr">
        <is>
          <t>Главные герои - Оля и Саша - сдают экзамены в институт. Она сдала, он - нет. Но за время экзаменов и подготовки к ним они полюбили друг друга, и, как уверены, навсегда. Он идет в армию, она бросает учебу и идет работать. Проходят два года, многое изменилось в их жизни. Как она сложится в дальнейшем? Прямого ответа авторы не дают.</t>
        </is>
      </c>
      <c r="L5438" s="2" t="inlineStr">
        <is>
          <t>https://www.kino-teatr.ru/teatr/movie/92372/annot/</t>
        </is>
      </c>
      <c r="M5438" s="2">
        <f>HYPERLINK("https://ru.wikipedia.org/w/index.php?search=%D0%94%D0%B5%D0%BD%D1%8C%20%D0%BE%D1%82%D0%BA%D1%80%D1%8B%D1%82%D1%8B%D1%85%20%D0%B4%D0%B2%D0%B5%D1%80%D0%B5%D0%B9%201975%20%D1%84%D0%B8%D0%BB%D1%8C%D0%BC","искать")</f>
        <v/>
      </c>
      <c r="N5438" s="3" t="n"/>
      <c r="O5438" s="2" t="n"/>
      <c r="P5438" s="2" t="n"/>
    </row>
    <row r="5439">
      <c r="A5439" s="2" t="n">
        <v>5438</v>
      </c>
      <c r="B5439" s="2" t="inlineStr"/>
      <c r="C5439" s="2" t="n">
        <v>11261</v>
      </c>
      <c r="D5439" s="3" t="inlineStr">
        <is>
          <t>Картина</t>
        </is>
      </c>
      <c r="E5439" s="2" t="n">
        <v>1989</v>
      </c>
      <c r="F5439" s="2" t="inlineStr">
        <is>
          <t>фильм-спектакль</t>
        </is>
      </c>
      <c r="G5439" s="2" t="inlineStr">
        <is>
          <t>Главная редакция литературно-драматических программ ЦТ</t>
        </is>
      </c>
      <c r="H5439" s="2" t="n">
        <v>331</v>
      </c>
      <c r="I5439" s="2" t="inlineStr"/>
      <c r="J5439" s="2" t="inlineStr"/>
      <c r="K5439" s="3" t="inlineStr">
        <is>
          <t>По одноименной пьесе В.Славкина.
Инженера, проживающего в гостиничном номере, посещает местный художник-неудачник, автор картины, много лет висящей на стене этой комнаты. Когда-то он подарил ее любимой женщине, директору гостиницы. Встреча двух мужчин завершилась твердым намерением последнего написать главную картину своей жизни.</t>
        </is>
      </c>
      <c r="L5439" s="2" t="inlineStr">
        <is>
          <t>https://www.kino-teatr.ru/teatr/movie/8287/annot/</t>
        </is>
      </c>
      <c r="M5439" s="2">
        <f>HYPERLINK("https://ru.wikipedia.org/w/index.php?search=%D0%9A%D0%B0%D1%80%D1%82%D0%B8%D0%BD%D0%B0%201989%20%D1%84%D0%B8%D0%BB%D1%8C%D0%BC","искать")</f>
        <v/>
      </c>
      <c r="N5439" s="3" t="n"/>
      <c r="O5439" s="2" t="n"/>
      <c r="P5439" s="2" t="n"/>
    </row>
    <row r="5440">
      <c r="A5440" s="2" t="n">
        <v>5439</v>
      </c>
      <c r="B5440" s="2" t="inlineStr"/>
      <c r="C5440" s="2" t="n">
        <v>8161</v>
      </c>
      <c r="D5440" s="3" t="inlineStr">
        <is>
          <t>Попугай для сыщика</t>
        </is>
      </c>
      <c r="E5440" s="2" t="n">
        <v>1991</v>
      </c>
      <c r="F5440" s="2" t="inlineStr">
        <is>
          <t>телефильм</t>
        </is>
      </c>
      <c r="G5440" s="2" t="n"/>
      <c r="H5440" s="2" t="n">
        <v>332</v>
      </c>
      <c r="I5440" s="2" t="inlineStr"/>
      <c r="J5440" s="2" t="inlineStr"/>
      <c r="K5440" s="3" t="inlineStr">
        <is>
          <t>Детектив Джеффрис, восстанавливаяь дома после перелома ноги, от скуки развлекается изучением в бинокль повседневной жизни обитателей дома напротив. Из наблюдений у него создаётся впечатление, что один из соседей совершил преступление. Остаётся только проверить эту версию. В этом ему помогают слуга и знакомый полицейский инспектор.</t>
        </is>
      </c>
      <c r="L5440" s="2" t="inlineStr">
        <is>
          <t>https://ru.wikipedia.org/w/index.php?title=%D0%9E%D0%BA%D0%BD%D0%BE_%D0%BD%D0%B0%D0%BF%D1%80%D0%BE%D1%82%D0%B8%D0%B2_%28%D1%84%D0%B8%D0%BB%D1%8C%D0%BC%2C_1991%29&amp;oldid=153635516</t>
        </is>
      </c>
      <c r="M5440" s="2">
        <f>HYPERLINK("https://ru.wikipedia.org/w/index.php?search=%D0%9F%D0%BE%D0%BF%D1%83%D0%B3%D0%B0%D0%B9%20%D0%B4%D0%BB%D1%8F%20%D1%81%D1%8B%D1%89%D0%B8%D0%BA%D0%B0%201991%20%D1%84%D0%B8%D0%BB%D1%8C%D0%BC","искать")</f>
        <v/>
      </c>
      <c r="N5440" s="3" t="n"/>
      <c r="O5440" s="2" t="n"/>
      <c r="P5440" s="2" t="n"/>
    </row>
    <row r="5441">
      <c r="A5441" s="2" t="n">
        <v>5440</v>
      </c>
      <c r="B5441" s="2" t="inlineStr"/>
      <c r="C5441" s="2" t="n">
        <v>8431</v>
      </c>
      <c r="D5441" s="3" t="inlineStr">
        <is>
          <t>Тайна Эндхауза</t>
        </is>
      </c>
      <c r="E5441" s="2" t="n">
        <v>1981</v>
      </c>
      <c r="F5441" s="2" t="inlineStr">
        <is>
          <t>телефильм</t>
        </is>
      </c>
      <c r="G5441" s="2" t="n"/>
      <c r="H5441" s="2" t="n">
        <v>332</v>
      </c>
      <c r="I5441" s="2" t="inlineStr"/>
      <c r="J5441" s="2" t="inlineStr"/>
      <c r="K5441" s="3" t="inlineStr">
        <is>
          <t>Двухсерийный телефильм поставлен по одноимённому роману Агаты Кристи. Во время отдыха на английском побережье Эркюль Пуаро и капитан Гастингс знакомятся с молодой и очаровательной Ник Бакли. После первой беседы с ней Пуаро показывает Гастингсу пулю, которая задела шляпку мисс Бакли. Пуаро решает защитить Ник и поймать преступника.</t>
        </is>
      </c>
      <c r="L5441" s="2" t="inlineStr">
        <is>
          <t>Кино_СССР сводный каталог.xlsx: список телефильмов</t>
        </is>
      </c>
      <c r="M5441" s="2">
        <f>HYPERLINK("https://ru.wikipedia.org/w/index.php?search=%D0%A2%D0%B0%D0%B9%D0%BD%D0%B0%20%D0%AD%D0%BD%D0%B4%D1%85%D0%B0%D1%83%D0%B7%D0%B0%201981%20%D1%84%D0%B8%D0%BB%D1%8C%D0%BC","искать")</f>
        <v/>
      </c>
      <c r="N5441" s="3" t="n"/>
      <c r="O5441" s="2" t="n"/>
      <c r="P5441" s="2" t="n"/>
    </row>
    <row r="5442">
      <c r="A5442" s="2" t="n">
        <v>5441</v>
      </c>
      <c r="B5442" s="2" t="inlineStr"/>
      <c r="C5442" s="2" t="n">
        <v>8566</v>
      </c>
      <c r="D5442" s="3" t="inlineStr">
        <is>
          <t>Что там, за поворотом?</t>
        </is>
      </c>
      <c r="E5442" s="2" t="n">
        <v>1980</v>
      </c>
      <c r="F5442" s="2" t="inlineStr">
        <is>
          <t>телефильм</t>
        </is>
      </c>
      <c r="G5442" s="2" t="n"/>
      <c r="H5442" s="2" t="n">
        <v>332</v>
      </c>
      <c r="I5442" s="2" t="inlineStr"/>
      <c r="J5442" s="2" t="inlineStr"/>
      <c r="K5442" s="3" t="inlineStr">
        <is>
          <t>Телефильм. Юный герой, школьник, едет в деревню, где в годы Великой Отечественной войны в бою погиб его дед. В деревне мальчик находит друзей среди сверстников. Ребята решают тайно, своими силами, строить памятник погибшим воинам. Постепенно их работа перестает быть тайной — и односельчане присоединяются к строительству памятника.</t>
        </is>
      </c>
      <c r="L5442" s="2" t="inlineStr">
        <is>
          <t>Кино_СССР сводный каталог.xlsx: список телефильмов</t>
        </is>
      </c>
      <c r="M5442" s="2">
        <f>HYPERLINK("https://ru.wikipedia.org/w/index.php?search=%D0%A7%D1%82%D0%BE%20%D1%82%D0%B0%D0%BC%2C%20%D0%B7%D0%B0%20%D0%BF%D0%BE%D0%B2%D0%BE%D1%80%D0%BE%D1%82%D0%BE%D0%BC%3F%201980%20%D1%84%D0%B8%D0%BB%D1%8C%D0%BC","искать")</f>
        <v/>
      </c>
      <c r="N5442" s="3" t="n"/>
      <c r="O5442" s="2" t="n"/>
      <c r="P5442" s="2" t="n"/>
    </row>
    <row r="5443">
      <c r="A5443" s="2" t="n">
        <v>5442</v>
      </c>
      <c r="B5443" s="2" t="inlineStr"/>
      <c r="C5443" s="2" t="n">
        <v>8720</v>
      </c>
      <c r="D5443" s="3" t="inlineStr">
        <is>
          <t>Женская тюряга</t>
        </is>
      </c>
      <c r="E5443" s="2" t="n">
        <v>1991</v>
      </c>
      <c r="F5443" s="2" t="inlineStr">
        <is>
          <t>кинофильм</t>
        </is>
      </c>
      <c r="G5443" s="2" t="n"/>
      <c r="H5443" s="2" t="n">
        <v>332</v>
      </c>
      <c r="I5443" s="2" t="inlineStr"/>
      <c r="J5443" s="2" t="inlineStr"/>
      <c r="K5443" s="3" t="inlineStr">
        <is>
          <t>Мадина в состоянии транса из-за любимого человека совершает преступление, попадает в тюрьму, а затем в колонию. Многих из заключенных женщин "ломают" обстоятельства. Но есть и такие, которым даже в крайних ситуациях удается сохранить свое достоинство и независимость. Впервые в отечественном кино исследуются проблемы женской любви.</t>
        </is>
      </c>
      <c r="L5443" s="2" t="inlineStr">
        <is>
          <t>Кино_СССР сводный каталог.xlsx: список фильмов (доп.)</t>
        </is>
      </c>
      <c r="M5443" s="2">
        <f>HYPERLINK("https://ru.wikipedia.org/w/index.php?search=%D0%96%D0%B5%D0%BD%D1%81%D0%BA%D0%B0%D1%8F%20%D1%82%D1%8E%D1%80%D1%8F%D0%B3%D0%B0%201991%20%D1%84%D0%B8%D0%BB%D1%8C%D0%BC","искать")</f>
        <v/>
      </c>
      <c r="N5443" s="3" t="n"/>
      <c r="O5443" s="2" t="n"/>
      <c r="P5443" s="2" t="n"/>
    </row>
    <row r="5444">
      <c r="A5444" s="2" t="n">
        <v>5443</v>
      </c>
      <c r="B5444" s="2" t="inlineStr"/>
      <c r="C5444" s="2" t="n">
        <v>8726</v>
      </c>
      <c r="D5444" s="3" t="inlineStr">
        <is>
          <t>За день до...</t>
        </is>
      </c>
      <c r="E5444" s="2" t="n">
        <v>1991</v>
      </c>
      <c r="F5444" s="2" t="inlineStr">
        <is>
          <t>кинофильм</t>
        </is>
      </c>
      <c r="G5444" s="2" t="n"/>
      <c r="H5444" s="2" t="n">
        <v>332</v>
      </c>
      <c r="I5444" s="2" t="inlineStr"/>
      <c r="J5444" s="2" t="inlineStr"/>
      <c r="K5444" s="3" t="inlineStr">
        <is>
          <t>История лирических дилетантов в среде профессиональных убийц. Компания творческой молодежи пытается в заповедной квартире сохранить островок безопасности, покоя, свой особый стиль жизни и отношений. Но эта свобода дорого им обходится. Начинается лента как плохой советский детектив, а заканчивается как лихой "кооперативный" боевик.</t>
        </is>
      </c>
      <c r="L5444" s="2" t="inlineStr">
        <is>
          <t>Кино_СССР сводный каталог.xlsx: список фильмов (доп.)</t>
        </is>
      </c>
      <c r="M5444" s="2">
        <f>HYPERLINK("https://ru.wikipedia.org/w/index.php?search=%D0%97%D0%B0%20%D0%B4%D0%B5%D0%BD%D1%8C%20%D0%B4%D0%BE...%201991%20%D1%84%D0%B8%D0%BB%D1%8C%D0%BC","искать")</f>
        <v/>
      </c>
      <c r="N5444" s="3" t="n"/>
      <c r="O5444" s="2" t="n"/>
      <c r="P5444" s="2" t="n"/>
    </row>
    <row r="5445">
      <c r="A5445" s="2" t="n">
        <v>5444</v>
      </c>
      <c r="B5445" s="2" t="inlineStr"/>
      <c r="C5445" s="2" t="n">
        <v>11361</v>
      </c>
      <c r="D5445" s="3" t="inlineStr">
        <is>
          <t>Волшебная белая ночь</t>
        </is>
      </c>
      <c r="E5445" s="2" t="n">
        <v>1984</v>
      </c>
      <c r="F5445" s="2" t="inlineStr">
        <is>
          <t>не игровое</t>
        </is>
      </c>
      <c r="G5445" s="2" t="n"/>
      <c r="H5445" s="2" t="n">
        <v>332</v>
      </c>
      <c r="I5445" s="2" t="inlineStr"/>
      <c r="J5445" s="2" t="inlineStr"/>
      <c r="K5445" s="3" t="inlineStr">
        <is>
          <t>Фильм-концерт знаменитого итальянского дуэта Аль Бано и Ромины Пауэр. 1984 год ознаменовался для них победой на фестивале в Сан-Ремо и последовавшим вслед за этим посещением Страны Советов. В Ленинграде прославленных исполнителей не могли отпустить просто так, не показав им все культурные достопримечательности по полной программе.</t>
        </is>
      </c>
      <c r="L5445" s="2" t="inlineStr">
        <is>
          <t>Кино_СССР телефильмы и пропуски включить в базу.xlsx</t>
        </is>
      </c>
      <c r="M5445" s="2">
        <f>HYPERLINK("https://ru.wikipedia.org/w/index.php?search=%D0%92%D0%BE%D0%BB%D1%88%D0%B5%D0%B1%D0%BD%D0%B0%D1%8F%20%D0%B1%D0%B5%D0%BB%D0%B0%D1%8F%20%D0%BD%D0%BE%D1%87%D1%8C%201984%20%D1%84%D0%B8%D0%BB%D1%8C%D0%BC","искать")</f>
        <v/>
      </c>
      <c r="N5445" s="3" t="n"/>
      <c r="O5445" s="2" t="n"/>
      <c r="P5445" s="2" t="n"/>
    </row>
    <row r="5446">
      <c r="A5446" s="2" t="n">
        <v>5445</v>
      </c>
      <c r="B5446" s="2" t="inlineStr"/>
      <c r="C5446" s="2" t="n">
        <v>12469</v>
      </c>
      <c r="D5446" s="3" t="inlineStr">
        <is>
          <t>Находка</t>
        </is>
      </c>
      <c r="E5446" s="2" t="n">
        <v>1986</v>
      </c>
      <c r="F5446" s="2" t="inlineStr">
        <is>
          <t>мультфильм</t>
        </is>
      </c>
      <c r="G5446" s="2" t="inlineStr">
        <is>
          <t>КИЕВНАУЧФИЛЬМ</t>
        </is>
      </c>
      <c r="H5446" s="2" t="n">
        <v>332</v>
      </c>
      <c r="I5446" s="2" t="inlineStr"/>
      <c r="J5446" s="2" t="inlineStr"/>
      <c r="K5446" s="3" t="inlineStr">
        <is>
          <t>Мультипликационный фильм о том, как пошел дядя в лес птичьи яйца по гнездам собирать — есть такие коллекционеры. Принес домой одно яичко и положил в меховой шапке под лампочку. Стал ждать, даже петуха заставлял яйцо греть. А вылупилась из яичка очень симпатичная... змейка! Видели бы, что эта озорная змейка у него в доме натворила!</t>
        </is>
      </c>
      <c r="L5446" s="2" t="inlineStr">
        <is>
          <t>2026-10_мультфильмы_список_владельца.xlsx; https://animator.ru/db/?p=show_film&amp;fid=3641</t>
        </is>
      </c>
      <c r="M5446" s="2">
        <f>HYPERLINK("https://ru.wikipedia.org/w/index.php?search=%D0%9D%D0%B0%D1%85%D0%BE%D0%B4%D0%BA%D0%B0%201986%20%D1%84%D0%B8%D0%BB%D1%8C%D0%BC","искать")</f>
        <v/>
      </c>
      <c r="N5446" s="3" t="n"/>
      <c r="O5446" s="2" t="n"/>
      <c r="P5446" s="2" t="n"/>
    </row>
    <row r="5447">
      <c r="A5447" s="2" t="n">
        <v>5446</v>
      </c>
      <c r="B5447" s="2" t="inlineStr"/>
      <c r="C5447" s="2" t="n">
        <v>12704</v>
      </c>
      <c r="D5447" s="3" t="inlineStr">
        <is>
          <t>Котенок Филя и ...</t>
        </is>
      </c>
      <c r="E5447" s="2" t="n">
        <v>1981</v>
      </c>
      <c r="F5447" s="2" t="inlineStr">
        <is>
          <t>мультфильм</t>
        </is>
      </c>
      <c r="G5447" s="2" t="inlineStr">
        <is>
          <t>БЕЛАРУСЬФИЛЬМ НАЦИОНАЛЬНАЯ КИНОСТУДИЯ - ГП</t>
        </is>
      </c>
      <c r="H5447" s="2" t="n">
        <v>332</v>
      </c>
      <c r="I5447" s="2" t="inlineStr"/>
      <c r="J5447" s="2" t="inlineStr"/>
      <c r="K5447" s="3" t="inlineStr">
        <is>
          <t>Однажды у котенка по имени Филя появляется новый приятель - смешной добродушный волшебник. К сожалению, он никогда не видел мышей, и когда по просьбе Фили попытался создать их, в квартире ожили вещи и учинили настоящий погром. Храбрый котенок, не испугавшись взбунтовавших вещей, усмиряет их и радуется своей победе вместе с другом.</t>
        </is>
      </c>
      <c r="L5447" s="2" t="inlineStr">
        <is>
          <t>2026-10_мультфильмы_список_владельца.xlsx; https://animator.ru/db/?p=show_film&amp;fid=3899</t>
        </is>
      </c>
      <c r="M5447" s="2">
        <f>HYPERLINK("https://ru.wikipedia.org/w/index.php?search=%D0%9A%D0%BE%D1%82%D0%B5%D0%BD%D0%BE%D0%BA%20%D0%A4%D0%B8%D0%BB%D1%8F%20%D0%B8%20...%201981%20%D1%84%D0%B8%D0%BB%D1%8C%D0%BC","искать")</f>
        <v/>
      </c>
      <c r="N5447" s="3" t="n"/>
      <c r="O5447" s="2" t="n"/>
      <c r="P5447" s="2" t="n"/>
    </row>
    <row r="5448">
      <c r="A5448" s="2" t="n">
        <v>5447</v>
      </c>
      <c r="B5448" s="2" t="inlineStr"/>
      <c r="C5448" s="2" t="n">
        <v>7381</v>
      </c>
      <c r="D5448" s="3" t="inlineStr">
        <is>
          <t>Вот опять окно...</t>
        </is>
      </c>
      <c r="E5448" s="2" t="n">
        <v>1982</v>
      </c>
      <c r="F5448" s="2" t="inlineStr">
        <is>
          <t>телефильм</t>
        </is>
      </c>
      <c r="G5448" s="2" t="inlineStr">
        <is>
          <t>Лентелефильм</t>
        </is>
      </c>
      <c r="H5448" s="2" t="n">
        <v>333</v>
      </c>
      <c r="I5448" s="2" t="inlineStr"/>
      <c r="J5448" s="2" t="inlineStr"/>
      <c r="K5448" s="3" t="inlineStr">
        <is>
          <t>Дом. Три квартиры.... Фильм, состоящий из трех новелл, которые связаны музыкальным сюжетом - песней С.Пожлакова на стихи М. Цветаевой "Вот опять окно..." Первая новелла - по рассказу Г.Горышина “Сто роялей”. Иван Кораблев (Н.Трофимов), начальник цеха по производству роялей приходит в гости к профессору консерватории Сосновскому (В.</t>
        </is>
      </c>
      <c r="L5448" s="2" t="inlineStr">
        <is>
          <t>Кино_СССР сводный каталог.xlsx: список телефильмов</t>
        </is>
      </c>
      <c r="M5448" s="2">
        <f>HYPERLINK("https://ru.wikipedia.org/w/index.php?search=%D0%92%D0%BE%D1%82%20%D0%BE%D0%BF%D1%8F%D1%82%D1%8C%20%D0%BE%D0%BA%D0%BD%D0%BE...%201982%20%D1%84%D0%B8%D0%BB%D1%8C%D0%BC","искать")</f>
        <v/>
      </c>
      <c r="N5448" s="3" t="n"/>
      <c r="O5448" s="2" t="n"/>
      <c r="P5448" s="2" t="n"/>
    </row>
    <row r="5449">
      <c r="A5449" s="2" t="n">
        <v>5448</v>
      </c>
      <c r="B5449" s="2" t="inlineStr"/>
      <c r="C5449" s="2" t="n">
        <v>7393</v>
      </c>
      <c r="D5449" s="3" t="inlineStr">
        <is>
          <t>Время свиданий</t>
        </is>
      </c>
      <c r="E5449" s="2" t="n">
        <v>1986</v>
      </c>
      <c r="F5449" s="2" t="inlineStr">
        <is>
          <t>телефильм</t>
        </is>
      </c>
      <c r="G5449" s="2" t="inlineStr">
        <is>
          <t>Свердловская киностудия по заказу Гостелерадио СССР</t>
        </is>
      </c>
      <c r="H5449" s="2" t="n">
        <v>333</v>
      </c>
      <c r="I5449" s="2" t="inlineStr"/>
      <c r="J5449" s="2" t="inlineStr"/>
      <c r="K5449" s="3" t="inlineStr">
        <is>
          <t>В провинциальный городок на старой фронтовой машине "Виллис" приезжает ветеран Великой Отечественной войны Аполлон Голуб, чтобы навестить бывшего командира. Машина привлекает внимание подростка Валерки Елкина. Он угоняет ее и попадает в аварию. Так происходит знакомство мальчишки и старого фронтовика, переросшее в настоящую дружбу.</t>
        </is>
      </c>
      <c r="L5449" s="2" t="inlineStr">
        <is>
          <t>Кино_СССР сводный каталог.xlsx: список телефильмов</t>
        </is>
      </c>
      <c r="M5449" s="2">
        <f>HYPERLINK("https://ru.wikipedia.org/w/index.php?search=%D0%92%D1%80%D0%B5%D0%BC%D1%8F%20%D1%81%D0%B2%D0%B8%D0%B4%D0%B0%D0%BD%D0%B8%D0%B9%201986%20%D1%84%D0%B8%D0%BB%D1%8C%D0%BC","искать")</f>
        <v/>
      </c>
      <c r="N5449" s="3" t="n"/>
      <c r="O5449" s="2" t="n"/>
      <c r="P5449" s="2" t="n"/>
    </row>
    <row r="5450">
      <c r="A5450" s="2" t="n">
        <v>5449</v>
      </c>
      <c r="B5450" s="2" t="inlineStr"/>
      <c r="C5450" s="2" t="n">
        <v>7475</v>
      </c>
      <c r="D5450" s="3" t="inlineStr">
        <is>
          <t>Два дня в начале декабря</t>
        </is>
      </c>
      <c r="E5450" s="2" t="n">
        <v>1981</v>
      </c>
      <c r="F5450" s="2" t="inlineStr">
        <is>
          <t>телефильм</t>
        </is>
      </c>
      <c r="G5450" s="2" t="n"/>
      <c r="H5450" s="2" t="n">
        <v>333</v>
      </c>
      <c r="I5450" s="2" t="inlineStr"/>
      <c r="J5450" s="2" t="inlineStr"/>
      <c r="K5450" s="3" t="inlineStr">
        <is>
          <t>Телевизионный фильм. О двух днях из жизни секретаря сельского райкома партии Анны Сергеевны Кулешовой. Наряду с решением ряда сложных общественных проблем, ей приходится решать и немало личных вопросов, связанных с судьбой дочери, терпеливо ожидать приезда мужа - майора, участвующего в обезвреживании бомб, наследия прошедшей войны.</t>
        </is>
      </c>
      <c r="L5450" s="2" t="inlineStr">
        <is>
          <t>Кино_СССР сводный каталог.xlsx: список телефильмов</t>
        </is>
      </c>
      <c r="M5450" s="2">
        <f>HYPERLINK("https://ru.wikipedia.org/w/index.php?search=%D0%94%D0%B2%D0%B0%20%D0%B4%D0%BD%D1%8F%20%D0%B2%20%D0%BD%D0%B0%D1%87%D0%B0%D0%BB%D0%B5%20%D0%B4%D0%B5%D0%BA%D0%B0%D0%B1%D1%80%D1%8F%201981%20%D1%84%D0%B8%D0%BB%D1%8C%D0%BC","искать")</f>
        <v/>
      </c>
      <c r="N5450" s="3" t="n"/>
      <c r="O5450" s="2" t="n"/>
      <c r="P5450" s="2" t="n"/>
    </row>
    <row r="5451">
      <c r="A5451" s="2" t="n">
        <v>5450</v>
      </c>
      <c r="B5451" s="2" t="inlineStr"/>
      <c r="C5451" s="2" t="n">
        <v>7519</v>
      </c>
      <c r="D5451" s="3" t="inlineStr">
        <is>
          <t>Дни и годы Николая Батыгина</t>
        </is>
      </c>
      <c r="E5451" s="2" t="n">
        <v>1987</v>
      </c>
      <c r="F5451" s="2" t="inlineStr">
        <is>
          <t>телефильм</t>
        </is>
      </c>
      <c r="G5451" s="2" t="n"/>
      <c r="H5451" s="2" t="n">
        <v>333</v>
      </c>
      <c r="I5451" s="2" t="inlineStr"/>
      <c r="J5451" s="2" t="inlineStr"/>
      <c r="K5451" s="3" t="inlineStr">
        <is>
          <t>Сериал о трудной судьбе мастера-стеклодува Николая Батыгина. В одной из глухих губерний царской России живёт семья Батыгиных, глава которой - Разумей - настоящий волшебник хрустальных дел. По вине хозяина стекольного завода Пальцева талантливый мастер и его жена гибнут, а их сын Коля вынужден идти на тяжелую работу на тот же завод.</t>
        </is>
      </c>
      <c r="L5451" s="2" t="inlineStr">
        <is>
          <t>Кино_СССР сводный каталог.xlsx: список телефильмов</t>
        </is>
      </c>
      <c r="M5451" s="2">
        <f>HYPERLINK("https://ru.wikipedia.org/w/index.php?search=%D0%94%D0%BD%D0%B8%20%D0%B8%20%D0%B3%D0%BE%D0%B4%D1%8B%20%D0%9D%D0%B8%D0%BA%D0%BE%D0%BB%D0%B0%D1%8F%20%D0%91%D0%B0%D1%82%D1%8B%D0%B3%D0%B8%D0%BD%D0%B0%201987%20%D1%84%D0%B8%D0%BB%D1%8C%D0%BC","искать")</f>
        <v/>
      </c>
      <c r="N5451" s="3" t="n"/>
      <c r="O5451" s="2" t="n"/>
      <c r="P5451" s="2" t="n"/>
    </row>
    <row r="5452">
      <c r="A5452" s="2" t="n">
        <v>5451</v>
      </c>
      <c r="B5452" s="2" t="inlineStr"/>
      <c r="C5452" s="2" t="n">
        <v>7564</v>
      </c>
      <c r="D5452" s="3" t="inlineStr">
        <is>
          <t>Дубровский</t>
        </is>
      </c>
      <c r="E5452" s="2" t="n">
        <v>1988</v>
      </c>
      <c r="F5452" s="2" t="inlineStr">
        <is>
          <t>телефильм</t>
        </is>
      </c>
      <c r="G5452" s="2" t="n"/>
      <c r="H5452" s="2" t="n">
        <v>333</v>
      </c>
      <c r="I5452" s="2" t="inlineStr"/>
      <c r="J5452" s="2" t="inlineStr"/>
      <c r="K5452" s="3" t="inlineStr">
        <is>
          <t>Экранизация одноименного романа А.С. Пушкина. Молодой барин Владимир Дубровский приезжает в поместье к отцу, у которого давно идет тяжба с соседом – деспотичным помещиком Троекуровым. Тяжба завершается полным разорением, а затем и смертью отца. Дубровский, к этому времени успевший влюбиться в Машеньку Троекурову, решается на месть.</t>
        </is>
      </c>
      <c r="L5452" s="2" t="inlineStr">
        <is>
          <t>Кино_СССР сводный каталог.xlsx: список телефильмов</t>
        </is>
      </c>
      <c r="M5452" s="2">
        <f>HYPERLINK("https://ru.wikipedia.org/w/index.php?search=%D0%94%D1%83%D0%B1%D1%80%D0%BE%D0%B2%D1%81%D0%BA%D0%B8%D0%B9%201988%20%D1%84%D0%B8%D0%BB%D1%8C%D0%BC","искать")</f>
        <v/>
      </c>
      <c r="N5452" s="3" t="n"/>
      <c r="O5452" s="2" t="n"/>
      <c r="P5452" s="2" t="n"/>
    </row>
    <row r="5453">
      <c r="A5453" s="2" t="n">
        <v>5452</v>
      </c>
      <c r="B5453" s="2" t="inlineStr"/>
      <c r="C5453" s="2" t="n">
        <v>7769</v>
      </c>
      <c r="D5453" s="3" t="inlineStr">
        <is>
          <t>Красный велосипед</t>
        </is>
      </c>
      <c r="E5453" s="2" t="n">
        <v>1979</v>
      </c>
      <c r="F5453" s="2" t="inlineStr">
        <is>
          <t>телефильм</t>
        </is>
      </c>
      <c r="G5453" s="2" t="n"/>
      <c r="H5453" s="2" t="n">
        <v>333</v>
      </c>
      <c r="I5453" s="2" t="inlineStr"/>
      <c r="J5453" s="2" t="inlineStr"/>
      <c r="K5453" s="3" t="inlineStr">
        <is>
          <t>Телефильм. 1918 год. Несмотря на заключение мира между Советской Россией и Германией, на границе продолжаются провокации. В родную деревню возвращается солдат Якуб Ковалёнок. На ярмарке он пытается купить коня, готов выложить за него все,даже продать гранату. Её выхватывает какой-то паныч и убегая оставляет Якубу красный велосипед.</t>
        </is>
      </c>
      <c r="L5453" s="2" t="inlineStr">
        <is>
          <t>Кино_СССР сводный каталог.xlsx: список телефильмов</t>
        </is>
      </c>
      <c r="M5453" s="2">
        <f>HYPERLINK("https://ru.wikipedia.org/w/index.php?search=%D0%9A%D1%80%D0%B0%D1%81%D0%BD%D1%8B%D0%B9%20%D0%B2%D0%B5%D0%BB%D0%BE%D1%81%D0%B8%D0%BF%D0%B5%D0%B4%201979%20%D1%84%D0%B8%D0%BB%D1%8C%D0%BC","искать")</f>
        <v/>
      </c>
      <c r="N5453" s="3" t="n"/>
      <c r="O5453" s="2" t="n"/>
      <c r="P5453" s="2" t="n"/>
    </row>
    <row r="5454">
      <c r="A5454" s="2" t="n">
        <v>5453</v>
      </c>
      <c r="B5454" s="2" t="inlineStr"/>
      <c r="C5454" s="2" t="n">
        <v>7905</v>
      </c>
      <c r="D5454" s="3" t="inlineStr">
        <is>
          <t>Мудромер</t>
        </is>
      </c>
      <c r="E5454" s="2" t="n">
        <v>1988</v>
      </c>
      <c r="F5454" s="2" t="inlineStr">
        <is>
          <t>телефильм</t>
        </is>
      </c>
      <c r="G5454" s="2" t="n"/>
      <c r="H5454" s="2" t="n">
        <v>333</v>
      </c>
      <c r="I5454" s="2" t="inlineStr"/>
      <c r="J5454" s="2" t="inlineStr"/>
      <c r="K5454" s="3" t="inlineStr">
        <is>
          <t>По одноименной пьесе белорусского драматурга Николая Матуковского. Изобретатель Николай Мурашко сконструировал прибор, измеряющий степень человеческого интеллекта, и называет его "дуромер". На талантливого человека прибор реагирует арией князя Игоря, на гения - музыкой Глинки "Славься", на дурака - полонезом Огинского, и так далее.</t>
        </is>
      </c>
      <c r="L5454" s="2" t="inlineStr">
        <is>
          <t>Кино_СССР сводный каталог.xlsx: список телефильмов</t>
        </is>
      </c>
      <c r="M5454" s="2">
        <f>HYPERLINK("https://ru.wikipedia.org/w/index.php?search=%D0%9C%D1%83%D0%B4%D1%80%D0%BE%D0%BC%D0%B5%D1%80%201988%20%D1%84%D0%B8%D0%BB%D1%8C%D0%BC","искать")</f>
        <v/>
      </c>
      <c r="N5454" s="3" t="n"/>
      <c r="O5454" s="2" t="n"/>
      <c r="P5454" s="2" t="n"/>
    </row>
    <row r="5455">
      <c r="A5455" s="2" t="n">
        <v>5454</v>
      </c>
      <c r="B5455" s="2" t="inlineStr"/>
      <c r="C5455" s="2" t="n">
        <v>8378</v>
      </c>
      <c r="D5455" s="3" t="inlineStr">
        <is>
          <t>Сокровища республики</t>
        </is>
      </c>
      <c r="E5455" s="2" t="n">
        <v>1964</v>
      </c>
      <c r="F5455" s="2" t="inlineStr">
        <is>
          <t>телефильм</t>
        </is>
      </c>
      <c r="G5455" s="2" t="inlineStr">
        <is>
          <t>Мосфильм</t>
        </is>
      </c>
      <c r="H5455" s="2" t="n">
        <v>333</v>
      </c>
      <c r="I5455" s="2" t="inlineStr"/>
      <c r="J5455" s="2" t="inlineStr"/>
      <c r="K5455" s="3" t="inlineStr">
        <is>
          <t>Историко-приключенческий телевизионный фильм. По мотивам рассказов Юрия Германа. О советских чекистах, в первые годы Советской власти предотвративших вывоз за рубеж художественных полотен старых мастеров. Руководил операцией лично Ф. Э. Дзержинский (Ю. Балмусов). В фильме звучит песня Вано Мурадели на стихи Евгения Долматовского ".</t>
        </is>
      </c>
      <c r="L5455" s="2" t="inlineStr">
        <is>
          <t>Кино_СССР сводный каталог.xlsx: список телефильмов</t>
        </is>
      </c>
      <c r="M5455" s="2">
        <f>HYPERLINK("https://ru.wikipedia.org/w/index.php?search=%D0%A1%D0%BE%D0%BA%D1%80%D0%BE%D0%B2%D0%B8%D1%89%D0%B0%20%D1%80%D0%B5%D1%81%D0%BF%D1%83%D0%B1%D0%BB%D0%B8%D0%BA%D0%B8%201964%20%D1%84%D0%B8%D0%BB%D1%8C%D0%BC","искать")</f>
        <v/>
      </c>
      <c r="N5455" s="3" t="n"/>
      <c r="O5455" s="2" t="n"/>
      <c r="P5455" s="2" t="n"/>
    </row>
    <row r="5456">
      <c r="A5456" s="2" t="n">
        <v>5455</v>
      </c>
      <c r="B5456" s="2" t="inlineStr"/>
      <c r="C5456" s="2" t="n">
        <v>8555</v>
      </c>
      <c r="D5456" s="3" t="inlineStr">
        <is>
          <t>Чёрный замок Ольшанский</t>
        </is>
      </c>
      <c r="E5456" s="2" t="n">
        <v>1983</v>
      </c>
      <c r="F5456" s="2" t="inlineStr">
        <is>
          <t>телефильм</t>
        </is>
      </c>
      <c r="G5456" s="2" t="n"/>
      <c r="H5456" s="2" t="n">
        <v>333</v>
      </c>
      <c r="I5456" s="2" t="inlineStr"/>
      <c r="J5456" s="2" t="inlineStr"/>
      <c r="K5456" s="3" t="inlineStr">
        <is>
          <t>По одноименному роману Владимира Короткевича. Палеограф и писатель Антон Глебович Космич находит в переплете старинной книги пергамент с зашифрованными сведениями о спрятанных в подземелье замка сокровищах. Постепенно выясняется, что сокровища ищет и последний отпрыск рода князей Ольшанских, в годы войны сотрудничавший с фашистами.</t>
        </is>
      </c>
      <c r="L5456" s="2" t="inlineStr">
        <is>
          <t>Кино_СССР сводный каталог.xlsx: список телефильмов</t>
        </is>
      </c>
      <c r="M5456" s="2">
        <f>HYPERLINK("https://ru.wikipedia.org/w/index.php?search=%D0%A7%D1%91%D1%80%D0%BD%D1%8B%D0%B9%20%D0%B7%D0%B0%D0%BC%D0%BE%D0%BA%20%D0%9E%D0%BB%D1%8C%D1%88%D0%B0%D0%BD%D1%81%D0%BA%D0%B8%D0%B9%201983%20%D1%84%D0%B8%D0%BB%D1%8C%D0%BC","искать")</f>
        <v/>
      </c>
      <c r="N5456" s="3" t="n"/>
      <c r="O5456" s="2" t="n"/>
      <c r="P5456" s="2" t="n"/>
    </row>
    <row r="5457">
      <c r="A5457" s="2" t="n">
        <v>5456</v>
      </c>
      <c r="B5457" s="2" t="inlineStr"/>
      <c r="C5457" s="2" t="n">
        <v>8829</v>
      </c>
      <c r="D5457" s="3" t="inlineStr">
        <is>
          <t>Мель</t>
        </is>
      </c>
      <c r="E5457" s="2" t="n">
        <v>1988</v>
      </c>
      <c r="F5457" s="2" t="inlineStr">
        <is>
          <t>кинофильм</t>
        </is>
      </c>
      <c r="G5457" s="2" t="n"/>
      <c r="H5457" s="2" t="n">
        <v>333</v>
      </c>
      <c r="I5457" s="2" t="inlineStr"/>
      <c r="J5457" s="2" t="inlineStr"/>
      <c r="K5457" s="3" t="inlineStr">
        <is>
          <t>Сценарист Васильев заинтересовался судьбой Лапиньша - бывшего капитана супертраулера "Малахит". Лапиньш был отстранен от должности и лишен капитанского диплома после аварии, произошедшей более полугода назад - супертраулер "Малахит" сел на мель. Дело рассматривал суд. Васильев в поисках истины пошел по следам драматических событий.</t>
        </is>
      </c>
      <c r="L5457" s="2" t="inlineStr">
        <is>
          <t>Кино_СССР сводный каталог.xlsx: список фильмов (доп.)</t>
        </is>
      </c>
      <c r="M5457" s="2">
        <f>HYPERLINK("https://ru.wikipedia.org/w/index.php?search=%D0%9C%D0%B5%D0%BB%D1%8C%201988%20%D1%84%D0%B8%D0%BB%D1%8C%D0%BC","искать")</f>
        <v/>
      </c>
      <c r="N5457" s="3" t="n"/>
      <c r="O5457" s="2" t="n"/>
      <c r="P5457" s="2" t="n"/>
    </row>
    <row r="5458">
      <c r="A5458" s="2" t="n">
        <v>5457</v>
      </c>
      <c r="B5458" s="2" t="inlineStr"/>
      <c r="C5458" s="2" t="n">
        <v>9146</v>
      </c>
      <c r="D5458" s="3" t="inlineStr">
        <is>
          <t>Хорезмийская легенда</t>
        </is>
      </c>
      <c r="E5458" s="2" t="n">
        <v>1978</v>
      </c>
      <c r="F5458" s="2" t="inlineStr">
        <is>
          <t>кинофильм</t>
        </is>
      </c>
      <c r="G5458" s="2" t="n"/>
      <c r="H5458" s="2" t="n">
        <v>333</v>
      </c>
      <c r="I5458" s="2" t="inlineStr"/>
      <c r="J5458" s="2" t="inlineStr"/>
      <c r="K5458" s="3" t="inlineStr">
        <is>
          <t>По мотивам узбекских народных сказок. Конец XIII века. В Хиве правит жестокий Хан, пожелавший взять в жены красавицу Малику - невесту скорняка Максута, отважного джигита. Чтобы избавиться от Максута, Хан отправляет его искать хорезмийских мастеров, угнанных когда-то в рабство. Им предстоит построить новый дворец своему Хану в Хиве.</t>
        </is>
      </c>
      <c r="L5458" s="2" t="inlineStr">
        <is>
          <t>Кино_СССР сводный каталог.xlsx: список фильмов (доп.)</t>
        </is>
      </c>
      <c r="M5458" s="2">
        <f>HYPERLINK("https://ru.wikipedia.org/w/index.php?search=%D0%A5%D0%BE%D1%80%D0%B5%D0%B7%D0%BC%D0%B8%D0%B9%D1%81%D0%BA%D0%B0%D1%8F%20%D0%BB%D0%B5%D0%B3%D0%B5%D0%BD%D0%B4%D0%B0%201978%20%D1%84%D0%B8%D0%BB%D1%8C%D0%BC","искать")</f>
        <v/>
      </c>
      <c r="N5458" s="3" t="n"/>
      <c r="O5458" s="2" t="n"/>
      <c r="P5458" s="2" t="n"/>
    </row>
    <row r="5459">
      <c r="A5459" s="2" t="n">
        <v>5458</v>
      </c>
      <c r="B5459" s="2" t="inlineStr"/>
      <c r="C5459" s="2" t="n">
        <v>10185</v>
      </c>
      <c r="D5459" s="3" t="inlineStr">
        <is>
          <t>В прекрасном и яростном мире</t>
        </is>
      </c>
      <c r="E5459" s="2" t="n">
        <v>1967</v>
      </c>
      <c r="F5459" s="2" t="inlineStr">
        <is>
          <t>фильм-спектакль</t>
        </is>
      </c>
      <c r="G5459" s="2" t="inlineStr">
        <is>
          <t>Центральное телевидение</t>
        </is>
      </c>
      <c r="H5459" s="2" t="n">
        <v>333</v>
      </c>
      <c r="I5459" s="2" t="inlineStr"/>
      <c r="J5459" s="2" t="inlineStr"/>
      <c r="K5459" s="3" t="inlineStr">
        <is>
          <t>Из цикла "Литературный театр".
По одноименному рассказу Андрея Платонова.
Машинист паровоза Мальцев осужден за создание аварийной ситуации, в которой он был не виноват. Помощник машиниста, Костя, борется за реабилитацию своего старшего друга, добиваясь проведения сложного следственного эксперимента.
Вступительное слово Ии Саввиной.</t>
        </is>
      </c>
      <c r="L5459" s="2" t="inlineStr">
        <is>
          <t>https://www.kino-teatr.ru/teatr/movie/81414/annot/</t>
        </is>
      </c>
      <c r="M5459" s="2">
        <f>HYPERLINK("https://ru.wikipedia.org/w/index.php?search=%D0%92%20%D0%BF%D1%80%D0%B5%D0%BA%D1%80%D0%B0%D1%81%D0%BD%D0%BE%D0%BC%20%D0%B8%20%D1%8F%D1%80%D0%BE%D1%81%D1%82%D0%BD%D0%BE%D0%BC%20%D0%BC%D0%B8%D1%80%D0%B5%201967%20%D1%84%D0%B8%D0%BB%D1%8C%D0%BC","искать")</f>
        <v/>
      </c>
      <c r="N5459" s="3" t="n"/>
      <c r="O5459" s="2" t="n"/>
      <c r="P5459" s="2" t="n"/>
    </row>
    <row r="5460">
      <c r="A5460" s="2" t="n">
        <v>5459</v>
      </c>
      <c r="B5460" s="2" t="inlineStr"/>
      <c r="C5460" s="2" t="n">
        <v>13048</v>
      </c>
      <c r="D5460" s="3" t="inlineStr">
        <is>
          <t>Цветы ансиса</t>
        </is>
      </c>
      <c r="E5460" s="2" t="n">
        <v>1968</v>
      </c>
      <c r="F5460" s="2" t="inlineStr">
        <is>
          <t>мультфильм</t>
        </is>
      </c>
      <c r="G5460" s="2" t="inlineStr">
        <is>
          <t>РИЖСКАЯ КИНОСТУДИЯ</t>
        </is>
      </c>
      <c r="H5460" s="2" t="n">
        <v>333</v>
      </c>
      <c r="I5460" s="2" t="inlineStr"/>
      <c r="J5460" s="2" t="inlineStr"/>
      <c r="K5460" s="3" t="inlineStr">
        <is>
          <t>После смерти своего отца сын садовника Ансис берет с собой нехитрый скарб, дудочку, своего черного кота и отправляется в путешествие по миру. Ансис хочет найти прекрасные редкие цветы, собрать их все в одном месте и разбить сад, который обязательно понравился бы его отцу, а поможет ему его дудочка, обладающая волшебными свойствами.</t>
        </is>
      </c>
      <c r="L5460" s="2" t="inlineStr">
        <is>
          <t>https://gosfilmofond.ru/films/247021/</t>
        </is>
      </c>
      <c r="M5460" s="2">
        <f>HYPERLINK("https://ru.wikipedia.org/w/index.php?search=%D0%A6%D0%B2%D0%B5%D1%82%D1%8B%20%D0%B0%D0%BD%D1%81%D0%B8%D1%81%D0%B0%201968%20%D1%84%D0%B8%D0%BB%D1%8C%D0%BC","искать")</f>
        <v/>
      </c>
      <c r="N5460" s="3" t="n"/>
      <c r="O5460" s="2" t="n"/>
      <c r="P5460" s="2" t="n"/>
    </row>
    <row r="5461">
      <c r="A5461" s="2" t="n">
        <v>5460</v>
      </c>
      <c r="B5461" s="2" t="inlineStr"/>
      <c r="C5461" s="2" t="n">
        <v>7904</v>
      </c>
      <c r="D5461" s="3" t="inlineStr">
        <is>
          <t>Моя улица</t>
        </is>
      </c>
      <c r="E5461" s="2" t="n">
        <v>1970</v>
      </c>
      <c r="F5461" s="2" t="inlineStr">
        <is>
          <t>телефильм</t>
        </is>
      </c>
      <c r="G5461" s="2" t="n"/>
      <c r="H5461" s="2" t="n">
        <v>334</v>
      </c>
      <c r="I5461" s="2" t="inlineStr"/>
      <c r="J5461" s="2" t="inlineStr"/>
      <c r="K5461" s="3" t="inlineStr">
        <is>
          <t>Телефильм. Мелодрама по мотивам пьесы Исидора Штока "Ленинградский проспект" Старики Забродины всегда жили честно, по совести. То, что происходит в семье старшего сына, и, в особенности, то, как ведет себя младший сын - известный футболист - не только непонятно родителям, но заставляет их тяжело страдать, причиняет смертельную боль.</t>
        </is>
      </c>
      <c r="L5461" s="2" t="inlineStr">
        <is>
          <t>Кино_СССР сводный каталог.xlsx: список телефильмов</t>
        </is>
      </c>
      <c r="M5461" s="2">
        <f>HYPERLINK("https://ru.wikipedia.org/w/index.php?search=%D0%9C%D0%BE%D1%8F%20%D1%83%D0%BB%D0%B8%D1%86%D0%B0%201970%20%D1%84%D0%B8%D0%BB%D1%8C%D0%BC","искать")</f>
        <v/>
      </c>
      <c r="N5461" s="3" t="n"/>
      <c r="O5461" s="2" t="n"/>
      <c r="P5461" s="2" t="n"/>
    </row>
    <row r="5462">
      <c r="A5462" s="2" t="n">
        <v>5461</v>
      </c>
      <c r="B5462" s="2" t="inlineStr"/>
      <c r="C5462" s="2" t="n">
        <v>8190</v>
      </c>
      <c r="D5462" s="3" t="inlineStr">
        <is>
          <t>Премьера в Сосновке</t>
        </is>
      </c>
      <c r="E5462" s="2" t="n">
        <v>1986</v>
      </c>
      <c r="F5462" s="2" t="inlineStr">
        <is>
          <t>телефильм</t>
        </is>
      </c>
      <c r="G5462" s="2" t="n"/>
      <c r="H5462" s="2" t="n">
        <v>334</v>
      </c>
      <c r="I5462" s="2" t="inlineStr"/>
      <c r="J5462" s="2" t="inlineStr"/>
      <c r="K5462" s="3" t="inlineStr">
        <is>
          <t>Молодой режиссёр Костя Сироткин после института культуры приезжает в село Сосновка и организует там драмколлектив. Он имеет цель привлечь сельчан к самодеятельности и поставить «Коварство и любовь» Шиллера. Относящиеся поначалу скептически к затее режиссёра колхозники постепенно увлекаются театром, и постановка имеет огромный успех.</t>
        </is>
      </c>
      <c r="L5462" s="2" t="inlineStr">
        <is>
          <t>https://ru.wikipedia.org/w/index.php?title=%D0%9F%D1%80%D0%B5%D0%BC%D1%8C%D0%B5%D1%80%D0%B0_%D0%B2_%D0%A1%D0%BE%D1%81%D0%BD%D0%BE%D0%B2%D0%BA%D0%B5&amp;oldid=149107992</t>
        </is>
      </c>
      <c r="M5462" s="2">
        <f>HYPERLINK("https://ru.wikipedia.org/w/index.php?search=%D0%9F%D1%80%D0%B5%D0%BC%D1%8C%D0%B5%D1%80%D0%B0%20%D0%B2%20%D0%A1%D0%BE%D1%81%D0%BD%D0%BE%D0%B2%D0%BA%D0%B5%201986%20%D1%84%D0%B8%D0%BB%D1%8C%D0%BC","искать")</f>
        <v/>
      </c>
      <c r="N5462" s="3" t="n"/>
      <c r="O5462" s="2" t="n"/>
      <c r="P5462" s="2" t="n"/>
    </row>
    <row r="5463">
      <c r="A5463" s="2" t="n">
        <v>5462</v>
      </c>
      <c r="B5463" s="2" t="inlineStr"/>
      <c r="C5463" s="2" t="n">
        <v>8269</v>
      </c>
      <c r="D5463" s="3" t="inlineStr">
        <is>
          <t>Ребята из дзюдо</t>
        </is>
      </c>
      <c r="E5463" s="2" t="n">
        <v>1987</v>
      </c>
      <c r="F5463" s="2" t="inlineStr">
        <is>
          <t>телефильм</t>
        </is>
      </c>
      <c r="G5463" s="2" t="n"/>
      <c r="H5463" s="2" t="n">
        <v>334</v>
      </c>
      <c r="I5463" s="2" t="inlineStr"/>
      <c r="J5463" s="2" t="inlineStr"/>
      <c r="K5463" s="3" t="inlineStr">
        <is>
          <t>По мотивам одноименного рассказа эстонского советского писателя Янно Пылдма. В небольшой сельской школе новый учитель Мартин организовал секцию дзю-до и привлёк туда нескольких мальчишек. Постигая азы борьбы и знакомясь с философией дзюдо, ребята начинают по другому смотреть на многие вещи. Но и спортивная сторона им не менее важна.</t>
        </is>
      </c>
      <c r="L5463" s="2" t="inlineStr">
        <is>
          <t>Кино_СССР сводный каталог.xlsx: список телефильмов</t>
        </is>
      </c>
      <c r="M5463" s="2">
        <f>HYPERLINK("https://ru.wikipedia.org/w/index.php?search=%D0%A0%D0%B5%D0%B1%D1%8F%D1%82%D0%B0%20%D0%B8%D0%B7%20%D0%B4%D0%B7%D1%8E%D0%B4%D0%BE%201987%20%D1%84%D0%B8%D0%BB%D1%8C%D0%BC","искать")</f>
        <v/>
      </c>
      <c r="N5463" s="3" t="n"/>
      <c r="O5463" s="2" t="n"/>
      <c r="P5463" s="2" t="n"/>
    </row>
    <row r="5464">
      <c r="A5464" s="2" t="n">
        <v>5463</v>
      </c>
      <c r="B5464" s="2" t="inlineStr"/>
      <c r="C5464" s="2" t="n">
        <v>8373</v>
      </c>
      <c r="D5464" s="3" t="inlineStr">
        <is>
          <t>Собачье сердце</t>
        </is>
      </c>
      <c r="E5464" s="2" t="n">
        <v>1988</v>
      </c>
      <c r="F5464" s="2" t="inlineStr">
        <is>
          <t>телефильм</t>
        </is>
      </c>
      <c r="G5464" s="2" t="inlineStr">
        <is>
          <t>Ленфильм</t>
        </is>
      </c>
      <c r="H5464" s="2" t="n">
        <v>334</v>
      </c>
      <c r="I5464" s="2" t="inlineStr"/>
      <c r="J5464" s="2" t="inlineStr"/>
      <c r="K5464" s="3" t="inlineStr">
        <is>
          <t>Экранизация одноимённой повести Михаила Афанасьевича Булгакова. ...Россия, 20-е годы ХХ века, разруха. Профессор Преображенский осуществляет гениальную операцию по пересадке гипофиза человека обыкновенной дворняжке... И совершается чудо — пёс начинает принимать облик человека! Но опыт доказывает, что собаке лучше оставаться собакой.</t>
        </is>
      </c>
      <c r="L5464" s="2" t="inlineStr">
        <is>
          <t>Кино_СССР сводный каталог.xlsx: список телефильмов</t>
        </is>
      </c>
      <c r="M5464" s="2">
        <f>HYPERLINK("https://ru.wikipedia.org/w/index.php?search=%D0%A1%D0%BE%D0%B1%D0%B0%D1%87%D1%8C%D0%B5%20%D1%81%D0%B5%D1%80%D0%B4%D1%86%D0%B5%201988%20%D1%84%D0%B8%D0%BB%D1%8C%D0%BC","искать")</f>
        <v/>
      </c>
      <c r="N5464" s="3" t="n"/>
      <c r="O5464" s="2" t="n"/>
      <c r="P5464" s="2" t="n"/>
    </row>
    <row r="5465">
      <c r="A5465" s="2" t="n">
        <v>5464</v>
      </c>
      <c r="B5465" s="2" t="inlineStr"/>
      <c r="C5465" s="2" t="n">
        <v>9491</v>
      </c>
      <c r="D5465" s="3" t="inlineStr">
        <is>
          <t>Наутилус</t>
        </is>
      </c>
      <c r="E5465" s="2" t="n">
        <v>1990</v>
      </c>
      <c r="F5465" s="2" t="inlineStr">
        <is>
          <t>кинофильм</t>
        </is>
      </c>
      <c r="G5465" s="2" t="n"/>
      <c r="H5465" s="2" t="n">
        <v>334</v>
      </c>
      <c r="I5465" s="2" t="inlineStr"/>
      <c r="J5465" s="2" t="inlineStr"/>
      <c r="K5465" s="3" t="inlineStr">
        <is>
          <t>Инженер-электронщик Феликс Рогов впал в "социальную апатию" и "лег на дно",устроившись работать дворником.Апатию разрушает известие о гибели в Афганистане любимого брата.Он решает начать мстить,бороться,решив дял начала разгромить кормушку "нужных людей"-гастроном.Вскоре Феликс узнает,что директор этого гастронома - друг прокурора..</t>
        </is>
      </c>
      <c r="L5465" s="2" t="inlineStr">
        <is>
          <t>https://gosfilmofond.ru/films/249098/</t>
        </is>
      </c>
      <c r="M5465" s="2">
        <f>HYPERLINK("https://ru.wikipedia.org/w/index.php?search=%D0%9D%D0%B0%D1%83%D1%82%D0%B8%D0%BB%D1%83%D1%81%201990%20%D1%84%D0%B8%D0%BB%D1%8C%D0%BC","искать")</f>
        <v/>
      </c>
      <c r="N5465" s="3" t="n"/>
      <c r="O5465" s="2" t="n"/>
      <c r="P5465" s="2" t="n"/>
    </row>
    <row r="5466">
      <c r="A5466" s="2" t="n">
        <v>5465</v>
      </c>
      <c r="B5466" s="2" t="inlineStr"/>
      <c r="C5466" s="2" t="n">
        <v>9627</v>
      </c>
      <c r="D5466" s="3" t="inlineStr">
        <is>
          <t>Самостоятельная жизнь</t>
        </is>
      </c>
      <c r="E5466" s="2" t="n">
        <v>1991</v>
      </c>
      <c r="F5466" s="2" t="inlineStr">
        <is>
          <t>кинофильм</t>
        </is>
      </c>
      <c r="G5466" s="2" t="n"/>
      <c r="H5466" s="2" t="n">
        <v>334</v>
      </c>
      <c r="I5466" s="2" t="inlineStr"/>
      <c r="J5466" s="2" t="inlineStr"/>
      <c r="K5466" s="3" t="inlineStr">
        <is>
          <t>Продолжение предыдущего фильма режиссера "Замри - умри - воскресни" (1989). Действие начинается в 50-е годы в Сучане, небольшом шахтерском городке на Дальнем Востоке. Три года спустя после смерти Гали - героини предыдущего фильма - Валерка влюбляется в ее сестру. Он уже взрослый, самостоятельный человек - и у него впереди вся жизнь.</t>
        </is>
      </c>
      <c r="L5466" s="2" t="inlineStr">
        <is>
          <t>Кино_СССР сводный каталог.xlsx: список фильмов (доп.)</t>
        </is>
      </c>
      <c r="M5466" s="2">
        <f>HYPERLINK("https://ru.wikipedia.org/w/index.php?search=%D0%A1%D0%B0%D0%BC%D0%BE%D1%81%D1%82%D0%BE%D1%8F%D1%82%D0%B5%D0%BB%D1%8C%D0%BD%D0%B0%D1%8F%20%D0%B6%D0%B8%D0%B7%D0%BD%D1%8C%201991%20%D1%84%D0%B8%D0%BB%D1%8C%D0%BC","искать")</f>
        <v/>
      </c>
      <c r="N5466" s="3" t="n"/>
      <c r="O5466" s="2" t="n"/>
      <c r="P5466" s="2" t="n"/>
    </row>
    <row r="5467">
      <c r="A5467" s="2" t="n">
        <v>5466</v>
      </c>
      <c r="B5467" s="2" t="inlineStr"/>
      <c r="C5467" s="2" t="n">
        <v>9691</v>
      </c>
      <c r="D5467" s="3" t="inlineStr">
        <is>
          <t>Терьяк</t>
        </is>
      </c>
      <c r="E5467" s="2" t="n">
        <v>1931</v>
      </c>
      <c r="F5467" s="2" t="inlineStr">
        <is>
          <t>кинофильм</t>
        </is>
      </c>
      <c r="G5467" s="2" t="n"/>
      <c r="H5467" s="2" t="n">
        <v>334</v>
      </c>
      <c r="I5467" s="2" t="inlineStr"/>
      <c r="J5467" s="2" t="inlineStr"/>
      <c r="K5467" s="3" t="inlineStr">
        <is>
          <t>О преодолении наркомании в Туркменистане, которую использует как орудие в борьбе с новым строем классовый враг. Кулак, объединившийся с владельцем курильни, внушает одурманенному терьяком бедняку мысль об убийстве партийца. Исполнители-непрофессионалы в титрах не указаны. Фильм запрещен протоколом ГРК РСФСР N4685 вдекабре 1931 года.</t>
        </is>
      </c>
      <c r="L5467" s="2" t="inlineStr">
        <is>
          <t>Кино_СССР сводный каталог.xlsx: список фильмов (доп.)</t>
        </is>
      </c>
      <c r="M5467" s="2">
        <f>HYPERLINK("https://ru.wikipedia.org/w/index.php?search=%D0%A2%D0%B5%D1%80%D1%8C%D1%8F%D0%BA%201931%20%D1%84%D0%B8%D0%BB%D1%8C%D0%BC","искать")</f>
        <v/>
      </c>
      <c r="N5467" s="3" t="n"/>
      <c r="O5467" s="2" t="n"/>
      <c r="P5467" s="2" t="n"/>
    </row>
    <row r="5468">
      <c r="A5468" s="2" t="n">
        <v>5467</v>
      </c>
      <c r="B5468" s="2" t="inlineStr"/>
      <c r="C5468" s="2" t="n">
        <v>9697</v>
      </c>
      <c r="D5468" s="3" t="inlineStr">
        <is>
          <t>Тризна</t>
        </is>
      </c>
      <c r="E5468" s="2" t="n">
        <v>1972</v>
      </c>
      <c r="F5468" s="2" t="inlineStr">
        <is>
          <t>кинофильм</t>
        </is>
      </c>
      <c r="G5468" s="2" t="n"/>
      <c r="H5468" s="2" t="n">
        <v>334</v>
      </c>
      <c r="I5468" s="2" t="inlineStr"/>
      <c r="J5468" s="2" t="inlineStr"/>
      <c r="K5468" s="3" t="inlineStr">
        <is>
          <t>Поэтическая драма. По мотивам поэмы Ильяса Джансугурова «Кулагер». XIX век. Казахский поэт Ахан-Сэр на своем коне Кулагере приезжает на поминальный ас в честь умершего властителя Сагинайбая. По традиции в этот день устраиваются скачки. Победа в состязании дает право требовать от наследника власти покойного исполнения любого желания.</t>
        </is>
      </c>
      <c r="L5468" s="2" t="inlineStr">
        <is>
          <t>Кино_СССР сводный каталог.xlsx: список фильмов (доп.)</t>
        </is>
      </c>
      <c r="M5468" s="2">
        <f>HYPERLINK("https://ru.wikipedia.org/w/index.php?search=%D0%A2%D1%80%D0%B8%D0%B7%D0%BD%D0%B0%201972%20%D1%84%D0%B8%D0%BB%D1%8C%D0%BC","искать")</f>
        <v/>
      </c>
      <c r="N5468" s="3" t="n"/>
      <c r="O5468" s="2" t="n"/>
      <c r="P5468" s="2" t="n"/>
    </row>
    <row r="5469">
      <c r="A5469" s="2" t="n">
        <v>5468</v>
      </c>
      <c r="B5469" s="2" t="inlineStr"/>
      <c r="C5469" s="2" t="n">
        <v>9721</v>
      </c>
      <c r="D5469" s="3" t="inlineStr">
        <is>
          <t>Фатали-хан</t>
        </is>
      </c>
      <c r="E5469" s="2" t="n">
        <v>1947</v>
      </c>
      <c r="F5469" s="2" t="inlineStr">
        <is>
          <t>кинофильм</t>
        </is>
      </c>
      <c r="G5469" s="2" t="n"/>
      <c r="H5469" s="2" t="n">
        <v>334</v>
      </c>
      <c r="I5469" s="2" t="inlineStr"/>
      <c r="J5469" s="2" t="inlineStr"/>
      <c r="K5469" s="3" t="inlineStr">
        <is>
          <t>Исторический фильм о борьбе в XVIII веке молодого правителя Кубинского ханства Фатали-хана, стремившегося объединить разрозненные ханства в единое Азербайджанское государство. В 1958 году была сделана новая редакция фильма. В 1959 году фильм был дублирован на русский язык и в том же году 1 мая 1959 года премьера состоялась в Москве.</t>
        </is>
      </c>
      <c r="L5469" s="2" t="inlineStr">
        <is>
          <t>https://ru.wikipedia.org/w/index.php?title=%D0%A4%D0%B0%D1%82%D0%B0%D0%BB%D0%B8-%D1%85%D0%B0%D0%BD_%28%D1%84%D0%B8%D0%BB%D1%8C%D0%BC%29&amp;oldid=149105752</t>
        </is>
      </c>
      <c r="M5469" s="2">
        <f>HYPERLINK("https://ru.wikipedia.org/w/index.php?search=%D0%A4%D0%B0%D1%82%D0%B0%D0%BB%D0%B8-%D1%85%D0%B0%D0%BD%201947%20%D1%84%D0%B8%D0%BB%D1%8C%D0%BC","искать")</f>
        <v/>
      </c>
      <c r="N5469" s="3" t="n"/>
      <c r="O5469" s="2" t="n"/>
      <c r="P5469" s="2" t="n"/>
    </row>
    <row r="5470">
      <c r="A5470" s="2" t="n">
        <v>5469</v>
      </c>
      <c r="B5470" s="2" t="inlineStr"/>
      <c r="C5470" s="2" t="n">
        <v>9830</v>
      </c>
      <c r="D5470" s="3" t="inlineStr">
        <is>
          <t>Тореадоры из Васюковки</t>
        </is>
      </c>
      <c r="E5470" s="2" t="n">
        <v>1965</v>
      </c>
      <c r="F5470" s="2" t="inlineStr">
        <is>
          <t>телефильм</t>
        </is>
      </c>
      <c r="G5470" s="2" t="inlineStr">
        <is>
          <t>Харьковская телестудия</t>
        </is>
      </c>
      <c r="H5470" s="2" t="n">
        <v>334</v>
      </c>
      <c r="I5470" s="2" t="inlineStr"/>
      <c r="J5470" s="2" t="inlineStr"/>
      <c r="K5470" s="3" t="inlineStr">
        <is>
          <t>Желая прославиться и «утереть нос» «единоличнику» Салу, который прославился, разводя кроликов, двое деревенских мальчишек — Ява Рень и Павлуша Криворотько (в романе — Завгородний) — выбирают карьеру тореадоров. Однако на этом пути их ждут нелегкие испытания: украинский скот терпеливый и добродушный, но имеет собственное достоинство.</t>
        </is>
      </c>
      <c r="L5470" s="2" t="inlineStr">
        <is>
          <t>https://ru.wikipedia.org/w/index.php?title=%D0%A2%D0%BE%D1%80%D0%B5%D0%B0%D0%B4%D0%BE%D1%80%D1%8B_%D0%B8%D0%B7_%D0%92%D0%B0%D1%81%D1%8E%D0%BA%D0%BE%D0%B2%D0%BA%D0%B8_%28%D1%84%D0%B8%D0%BB%D1%8C%D0%BC%29&amp;oldid=150190027</t>
        </is>
      </c>
      <c r="M5470" s="2">
        <f>HYPERLINK("https://ru.wikipedia.org/w/index.php?search=%D0%A2%D0%BE%D1%80%D0%B5%D0%B0%D0%B4%D0%BE%D1%80%D1%8B%20%D0%B8%D0%B7%20%D0%92%D0%B0%D1%81%D1%8E%D0%BA%D0%BE%D0%B2%D0%BA%D0%B8%201965%20%D1%84%D0%B8%D0%BB%D1%8C%D0%BC","искать")</f>
        <v/>
      </c>
      <c r="N5470" s="3" t="n"/>
      <c r="O5470" s="2" t="n"/>
      <c r="P5470" s="2" t="n"/>
    </row>
    <row r="5471">
      <c r="A5471" s="2" t="n">
        <v>5470</v>
      </c>
      <c r="B5471" s="2" t="inlineStr"/>
      <c r="C5471" s="2" t="n">
        <v>11286</v>
      </c>
      <c r="D5471" s="3" t="inlineStr">
        <is>
          <t>Татуированная роза</t>
        </is>
      </c>
      <c r="E5471" s="2" t="n">
        <v>1989</v>
      </c>
      <c r="F5471" s="2" t="inlineStr">
        <is>
          <t>фильм-спектакль</t>
        </is>
      </c>
      <c r="G5471" s="2" t="inlineStr">
        <is>
          <t>Гл. ред. лит-драм программ</t>
        </is>
      </c>
      <c r="H5471" s="2" t="n">
        <v>334</v>
      </c>
      <c r="I5471" s="2" t="inlineStr"/>
      <c r="J5471" s="2" t="inlineStr"/>
      <c r="K5471" s="3" t="inlineStr">
        <is>
          <t>Фильм-спектакль МХАТа.
По одноименной пьесе. Женщина, похоронив мужа, погибшего в автокатастрофе, отвечает на любовь водителя Альваро по прозвищу «деревенский дурачок». Но не так все просто у непредсказуемого мистика Тенесси Уильямса, как представляестся на первый взгляд…
В основе — спектакль МХАТ им. Чехова (постановщик Р. Виктюк).</t>
        </is>
      </c>
      <c r="L5471" s="2" t="inlineStr">
        <is>
          <t>https://www.kino-teatr.ru/teatr/movie/8986/annot/</t>
        </is>
      </c>
      <c r="M5471" s="2">
        <f>HYPERLINK("https://ru.wikipedia.org/w/index.php?search=%D0%A2%D0%B0%D1%82%D1%83%D0%B8%D1%80%D0%BE%D0%B2%D0%B0%D0%BD%D0%BD%D0%B0%D1%8F%20%D1%80%D0%BE%D0%B7%D0%B0%201989%20%D1%84%D0%B8%D0%BB%D1%8C%D0%BC","искать")</f>
        <v/>
      </c>
      <c r="N5471" s="3" t="n"/>
      <c r="O5471" s="2" t="n"/>
      <c r="P5471" s="2" t="n"/>
    </row>
    <row r="5472">
      <c r="A5472" s="2" t="n">
        <v>5471</v>
      </c>
      <c r="B5472" s="2" t="inlineStr"/>
      <c r="C5472" s="2" t="n">
        <v>7494</v>
      </c>
      <c r="D5472" s="3" t="inlineStr">
        <is>
          <t>Дело было, да!?.</t>
        </is>
      </c>
      <c r="E5472" s="2" t="n">
        <v>1973</v>
      </c>
      <c r="F5472" s="2" t="inlineStr">
        <is>
          <t>телефильм</t>
        </is>
      </c>
      <c r="G5472" s="2" t="inlineStr">
        <is>
          <t>ТО "Экран"</t>
        </is>
      </c>
      <c r="H5472" s="2" t="n">
        <v>335</v>
      </c>
      <c r="I5472" s="2" t="inlineStr"/>
      <c r="J5472" s="2" t="inlineStr"/>
      <c r="K5472" s="3" t="inlineStr">
        <is>
          <t>Выпускница культурно-просветительного училища – Любовь Михайловна, Любочка, выбрала себе распределение на практику в станицу Басалаевскую Ростовской области по той лишь причине, что ее предшественница сбежала оттуда. В станице живут только Басалаевы и Солодовниковы, и все поют, у них постоянное соперничество, и не только музыкальное.</t>
        </is>
      </c>
      <c r="L5472" s="2" t="inlineStr">
        <is>
          <t>Кино_СССР сводный каталог.xlsx: список телефильмов</t>
        </is>
      </c>
      <c r="M5472" s="2">
        <f>HYPERLINK("https://ru.wikipedia.org/w/index.php?search=%D0%94%D0%B5%D0%BB%D0%BE%20%D0%B1%D1%8B%D0%BB%D0%BE%2C%20%D0%B4%D0%B0%21%3F.%201973%20%D1%84%D0%B8%D0%BB%D1%8C%D0%BC","искать")</f>
        <v/>
      </c>
      <c r="N5472" s="3" t="n"/>
      <c r="O5472" s="2" t="n"/>
      <c r="P5472" s="2" t="n"/>
    </row>
    <row r="5473">
      <c r="A5473" s="2" t="n">
        <v>5472</v>
      </c>
      <c r="B5473" s="2" t="inlineStr"/>
      <c r="C5473" s="2" t="n">
        <v>7790</v>
      </c>
      <c r="D5473" s="3" t="inlineStr">
        <is>
          <t>Лёгкая вода</t>
        </is>
      </c>
      <c r="E5473" s="2" t="n">
        <v>1972</v>
      </c>
      <c r="F5473" s="2" t="inlineStr">
        <is>
          <t>телефильм</t>
        </is>
      </c>
      <c r="G5473" s="2" t="n"/>
      <c r="H5473" s="2" t="n">
        <v>335</v>
      </c>
      <c r="I5473" s="2" t="inlineStr"/>
      <c r="J5473" s="2" t="inlineStr"/>
      <c r="K5473" s="3" t="inlineStr">
        <is>
          <t>Чемпион Европы по гребле на байдарках Игорь Глоба недоволен своими спортивными результатами. Он считает, что стал уже стар для спорта. К тому же любимая женщина также настаивает на уходе Игоря из большого спорта. Но равноценной замены ему пока нет. И Игорь остаётся в команде, ценой огромных усилий добиваясь победы на чемпионате мира.</t>
        </is>
      </c>
      <c r="L5473" s="2" t="inlineStr">
        <is>
          <t>Кино_СССР сводный каталог.xlsx: список телефильмов</t>
        </is>
      </c>
      <c r="M5473" s="2">
        <f>HYPERLINK("https://ru.wikipedia.org/w/index.php?search=%D0%9B%D1%91%D0%B3%D0%BA%D0%B0%D1%8F%20%D0%B2%D0%BE%D0%B4%D0%B0%201972%20%D1%84%D0%B8%D0%BB%D1%8C%D0%BC","искать")</f>
        <v/>
      </c>
      <c r="N5473" s="3" t="n"/>
      <c r="O5473" s="2" t="n"/>
      <c r="P5473" s="2" t="n"/>
    </row>
    <row r="5474">
      <c r="A5474" s="2" t="n">
        <v>5473</v>
      </c>
      <c r="B5474" s="2" t="inlineStr"/>
      <c r="C5474" s="2" t="n">
        <v>8693</v>
      </c>
      <c r="D5474" s="3" t="inlineStr">
        <is>
          <t>Два патрона на мамонта</t>
        </is>
      </c>
      <c r="E5474" s="2" t="n">
        <v>1990</v>
      </c>
      <c r="F5474" s="2" t="inlineStr">
        <is>
          <t>кинофильм</t>
        </is>
      </c>
      <c r="G5474" s="2" t="n"/>
      <c r="H5474" s="2" t="n">
        <v>335</v>
      </c>
      <c r="I5474" s="2" t="inlineStr"/>
      <c r="J5474" s="2" t="inlineStr"/>
      <c r="K5474" s="3" t="inlineStr">
        <is>
          <t>Устав от городской жизни, Никита возвращается в родную деревню и сразу же начинает роман с Варенькой, секретаршей председателя колхоза. И теперь вся деревня томится ожиданием свадьбы. Но приезжает корреспондент Алена и вносит смуту: с первого взгляда в нее влюбляется Никита. Варя хлопает калиткой и подальше от позора уезжает в город.</t>
        </is>
      </c>
      <c r="L5474" s="2" t="inlineStr">
        <is>
          <t>Кино_СССР сводный каталог.xlsx: список фильмов (доп.)</t>
        </is>
      </c>
      <c r="M5474" s="2">
        <f>HYPERLINK("https://ru.wikipedia.org/w/index.php?search=%D0%94%D0%B2%D0%B0%20%D0%BF%D0%B0%D1%82%D1%80%D0%BE%D0%BD%D0%B0%20%D0%BD%D0%B0%20%D0%BC%D0%B0%D0%BC%D0%BE%D0%BD%D1%82%D0%B0%201990%20%D1%84%D0%B8%D0%BB%D1%8C%D0%BC","искать")</f>
        <v/>
      </c>
      <c r="N5474" s="3" t="n"/>
      <c r="O5474" s="2" t="n"/>
      <c r="P5474" s="2" t="n"/>
    </row>
    <row r="5475">
      <c r="A5475" s="2" t="n">
        <v>5474</v>
      </c>
      <c r="B5475" s="2" t="inlineStr"/>
      <c r="C5475" s="2" t="n">
        <v>8865</v>
      </c>
      <c r="D5475" s="3" t="inlineStr">
        <is>
          <t>Не входи, убьёт!</t>
        </is>
      </c>
      <c r="E5475" s="2" t="n">
        <v>1991</v>
      </c>
      <c r="F5475" s="2" t="inlineStr">
        <is>
          <t>кинофильм</t>
        </is>
      </c>
      <c r="G5475" s="2" t="n"/>
      <c r="H5475" s="2" t="n">
        <v>335</v>
      </c>
      <c r="I5475" s="2" t="inlineStr"/>
      <c r="J5475" s="2" t="inlineStr"/>
      <c r="K5475" s="3" t="inlineStr">
        <is>
          <t>Герои фильма – четверо друзей отправляются в морское путешествие на корабле «Азербайджан», чтобы отдохнуть. Они отступают в угол корабля и начинают карточную игру «Шимшима». Но они не могут закончить игру. Потому что друзья становятся участниками невообразимых событий, полных приключений. Эти события составляют основной сюжет фильма.</t>
        </is>
      </c>
      <c r="L5475" s="2" t="inlineStr">
        <is>
          <t>Кино_СССР сводный каталог.xlsx: список фильмов (доп.)</t>
        </is>
      </c>
      <c r="M5475" s="2">
        <f>HYPERLINK("https://ru.wikipedia.org/w/index.php?search=%D0%9D%D0%B5%20%D0%B2%D1%85%D0%BE%D0%B4%D0%B8%2C%20%D1%83%D0%B1%D1%8C%D1%91%D1%82%21%201991%20%D1%84%D0%B8%D0%BB%D1%8C%D0%BC","искать")</f>
        <v/>
      </c>
      <c r="N5475" s="3" t="n"/>
      <c r="O5475" s="2" t="n"/>
      <c r="P5475" s="2" t="n"/>
    </row>
    <row r="5476">
      <c r="A5476" s="2" t="n">
        <v>5475</v>
      </c>
      <c r="B5476" s="2" t="inlineStr"/>
      <c r="C5476" s="2" t="n">
        <v>9214</v>
      </c>
      <c r="D5476" s="3" t="inlineStr">
        <is>
          <t>Бабник</t>
        </is>
      </c>
      <c r="E5476" s="2" t="n">
        <v>1990</v>
      </c>
      <c r="F5476" s="2" t="inlineStr">
        <is>
          <t>кинофильм</t>
        </is>
      </c>
      <c r="G5476" s="2" t="n"/>
      <c r="H5476" s="2" t="n">
        <v>335</v>
      </c>
      <c r="I5476" s="2" t="inlineStr"/>
      <c r="J5476" s="2" t="inlineStr"/>
      <c r="K5476" s="3" t="inlineStr">
        <is>
          <t>Действительность такова, что Аркадий Андреевич, в быту - просто Аркаша, единственное увлечение которого - женщины, однажды обнаруживает в своей уютной однокомнатной квартире повзрослевшего сына, приехавшего в Москву не на день-два, и не только поступать в институт, а просто жить: спать, есть, разговаривать, любить и даже ненавидеть..</t>
        </is>
      </c>
      <c r="L5476" s="2" t="inlineStr">
        <is>
          <t>https://gosfilmofond.ru/films/240988/</t>
        </is>
      </c>
      <c r="M5476" s="2">
        <f>HYPERLINK("https://ru.wikipedia.org/w/index.php?search=%D0%91%D0%B0%D0%B1%D0%BD%D0%B8%D0%BA%201990%20%D1%84%D0%B8%D0%BB%D1%8C%D0%BC","искать")</f>
        <v/>
      </c>
      <c r="N5476" s="3" t="n"/>
      <c r="O5476" s="2" t="n"/>
      <c r="P5476" s="2" t="n"/>
    </row>
    <row r="5477">
      <c r="A5477" s="2" t="n">
        <v>5476</v>
      </c>
      <c r="B5477" s="2" t="inlineStr"/>
      <c r="C5477" s="2" t="n">
        <v>9714</v>
      </c>
      <c r="D5477" s="3" t="inlineStr">
        <is>
          <t>Уроки в конце весны</t>
        </is>
      </c>
      <c r="E5477" s="2" t="n">
        <v>1990</v>
      </c>
      <c r="F5477" s="2" t="inlineStr">
        <is>
          <t>кинофильм</t>
        </is>
      </c>
      <c r="G5477" s="2" t="n"/>
      <c r="H5477" s="2" t="n">
        <v>335</v>
      </c>
      <c r="I5477" s="2" t="inlineStr"/>
      <c r="J5477" s="2" t="inlineStr"/>
      <c r="K5477" s="3" t="inlineStr">
        <is>
          <t>Подросток Вадик, став случайным свидетелем новочеркасских событий 63-го года, попадает в тюрьму. Вскоре он как будто пропадает без вести — мать ничего о нем не знает, в школе считают его погибшим — значит, пробыть в камере он может неограниченное количество времени. Вместе с бунтовщиками герою предстоит сидеть в тюрьме шесть месяцев.</t>
        </is>
      </c>
      <c r="L5477" s="2" t="inlineStr">
        <is>
          <t>Кино_СССР сводный каталог.xlsx: список фильмов (доп.)</t>
        </is>
      </c>
      <c r="M5477" s="2">
        <f>HYPERLINK("https://ru.wikipedia.org/w/index.php?search=%D0%A3%D1%80%D0%BE%D0%BA%D0%B8%20%D0%B2%20%D0%BA%D0%BE%D0%BD%D1%86%D0%B5%20%D0%B2%D0%B5%D1%81%D0%BD%D1%8B%201990%20%D1%84%D0%B8%D0%BB%D1%8C%D0%BC","искать")</f>
        <v/>
      </c>
      <c r="N5477" s="3" t="n"/>
      <c r="O5477" s="2" t="n"/>
      <c r="P5477" s="2" t="n"/>
    </row>
    <row r="5478">
      <c r="A5478" s="2" t="n">
        <v>5477</v>
      </c>
      <c r="B5478" s="2" t="inlineStr"/>
      <c r="C5478" s="2" t="n">
        <v>11184</v>
      </c>
      <c r="D5478" s="3" t="inlineStr">
        <is>
          <t>Этот фантастический мир. Выпуск 12</t>
        </is>
      </c>
      <c r="E5478" s="2" t="n">
        <v>1987</v>
      </c>
      <c r="F5478" s="2" t="inlineStr">
        <is>
          <t>фильм-спектакль</t>
        </is>
      </c>
      <c r="G5478" s="2" t="inlineStr">
        <is>
          <t>Главная редакция программ для детей и юношества ЦТ</t>
        </is>
      </c>
      <c r="H5478" s="2" t="n">
        <v>335</v>
      </c>
      <c r="I5478" s="2" t="inlineStr"/>
      <c r="J5478" s="2" t="inlineStr"/>
      <c r="K5478" s="3" t="inlineStr">
        <is>
          <t>По мотивам научно-фантастических рассказов о взаимоотношениях человека и робота: А.Беляева "Сезам, откройся" о том, как робот-слуга обворовал двух стариков; А.Азимова "Лжец" о роботе, умеющем читать мысли и оказавшемся самым человечным среди людей; Ф.Чиландера "Суд" о том, как роботы судили последнего человека, проживавшего в городе.</t>
        </is>
      </c>
      <c r="L5478" s="2" t="inlineStr">
        <is>
          <t>https://www.kino-teatr.ru/teatr/movie/78743/annot/</t>
        </is>
      </c>
      <c r="M5478" s="2">
        <f>HYPERLINK("https://ru.wikipedia.org/w/index.php?search=%D0%AD%D1%82%D0%BE%D1%82%20%D1%84%D0%B0%D0%BD%D1%82%D0%B0%D1%81%D1%82%D0%B8%D1%87%D0%B5%D1%81%D0%BA%D0%B8%D0%B9%20%D0%BC%D0%B8%D1%80.%20%D0%92%D1%8B%D0%BF%D1%83%D1%81%D0%BA%2012%201987%20%D1%84%D0%B8%D0%BB%D1%8C%D0%BC","искать")</f>
        <v/>
      </c>
      <c r="N5478" s="3" t="n"/>
      <c r="O5478" s="2" t="n"/>
      <c r="P5478" s="2" t="n"/>
    </row>
    <row r="5479">
      <c r="A5479" s="2" t="n">
        <v>5478</v>
      </c>
      <c r="B5479" s="2" t="inlineStr"/>
      <c r="C5479" s="2" t="n">
        <v>11457</v>
      </c>
      <c r="D5479" s="3" t="inlineStr">
        <is>
          <t>Раз, два - дружно!</t>
        </is>
      </c>
      <c r="E5479" s="2" t="n">
        <v>1967</v>
      </c>
      <c r="F5479" s="2" t="inlineStr">
        <is>
          <t>мультфильм</t>
        </is>
      </c>
      <c r="G5479" s="2" t="inlineStr">
        <is>
          <t>Союзмультфильм</t>
        </is>
      </c>
      <c r="H5479" s="2" t="n">
        <v>335</v>
      </c>
      <c r="I5479" s="2" t="inlineStr"/>
      <c r="J5479" s="2" t="inlineStr"/>
      <c r="K5479" s="3" t="inlineStr">
        <is>
          <t>В грозу свалилась ель и придавила Лося. Еж с Зайцем пытались помочь ему, но силенок не хватило. А в это время Сорока донесла Волку, что его дожидается большая добыча. Бежит Серый к ели, за ним другие волки. А в это время собираются зверюшки - Белка с бельчатами, Мышка, Лягушка и даже Муравей - и выручают Лося. Волки остаются ни с чем</t>
        </is>
      </c>
      <c r="L5479" s="2" t="inlineStr">
        <is>
          <t>https://gosfilmofond.ru/films/254284/</t>
        </is>
      </c>
      <c r="M5479" s="2">
        <f>HYPERLINK("https://ru.wikipedia.org/w/index.php?search=%D0%A0%D0%B0%D0%B7%2C%20%D0%B4%D0%B2%D0%B0%20-%20%D0%B4%D1%80%D1%83%D0%B6%D0%BD%D0%BE%21%201967%20%D1%84%D0%B8%D0%BB%D1%8C%D0%BC","искать")</f>
        <v/>
      </c>
      <c r="N5479" s="3" t="n"/>
      <c r="O5479" s="2" t="n"/>
      <c r="P5479" s="2" t="n"/>
    </row>
    <row r="5480">
      <c r="A5480" s="2" t="n">
        <v>5479</v>
      </c>
      <c r="B5480" s="2" t="inlineStr"/>
      <c r="C5480" s="2" t="n">
        <v>7211</v>
      </c>
      <c r="D5480" s="3" t="inlineStr">
        <is>
          <t>Анна Петровна</t>
        </is>
      </c>
      <c r="E5480" s="2" t="n">
        <v>1989</v>
      </c>
      <c r="F5480" s="2" t="inlineStr">
        <is>
          <t>телефильм</t>
        </is>
      </c>
      <c r="G5480" s="2" t="n"/>
      <c r="H5480" s="2" t="n">
        <v>336</v>
      </c>
      <c r="I5480" s="2" t="inlineStr"/>
      <c r="J5480" s="2" t="inlineStr"/>
      <c r="K5480" s="3" t="inlineStr">
        <is>
          <t>По одноименной повести Г.Головина. Многое пережила в своей жизни Анна Петровна: тяжелые годы гражданской войны, гибель мужа, смерть дочери, а теперь — равнодушие и цинизм внучки. Неожиданно выясняется, что кольцо, единственное украшение Анны Петровны, имеет большую ценность. Этот факт становится причиной драматических событий в семье.</t>
        </is>
      </c>
      <c r="L5480" s="2" t="inlineStr">
        <is>
          <t>Кино_СССР сводный каталог.xlsx: список телефильмов</t>
        </is>
      </c>
      <c r="M5480" s="2">
        <f>HYPERLINK("https://ru.wikipedia.org/w/index.php?search=%D0%90%D0%BD%D0%BD%D0%B0%20%D0%9F%D0%B5%D1%82%D1%80%D0%BE%D0%B2%D0%BD%D0%B0%201989%20%D1%84%D0%B8%D0%BB%D1%8C%D0%BC","искать")</f>
        <v/>
      </c>
      <c r="N5480" s="3" t="n"/>
      <c r="O5480" s="2" t="n"/>
      <c r="P5480" s="2" t="n"/>
    </row>
    <row r="5481">
      <c r="A5481" s="2" t="n">
        <v>5480</v>
      </c>
      <c r="B5481" s="2" t="inlineStr"/>
      <c r="C5481" s="2" t="n">
        <v>7570</v>
      </c>
      <c r="D5481" s="3" t="inlineStr">
        <is>
          <t>Его батальон</t>
        </is>
      </c>
      <c r="E5481" s="2" t="n">
        <v>1989</v>
      </c>
      <c r="F5481" s="2" t="inlineStr">
        <is>
          <t>телефильм</t>
        </is>
      </c>
      <c r="G5481" s="2" t="n"/>
      <c r="H5481" s="2" t="n">
        <v>336</v>
      </c>
      <c r="I5481" s="2" t="inlineStr"/>
      <c r="J5481" s="2" t="inlineStr"/>
      <c r="K5481" s="3" t="inlineStr">
        <is>
          <t>По мотивам повести В.Быкова. О героизме советских воинов во время Великой Отечественной войны. В центре фильма - образ Героя Советского Союза майора Н.И.Волошина. Комбат Волошин получает приказ взять высоту. Ему ясно, что высоту надо было брать сходу, пока немцы еще не укрепились, но наступление "выдохлось" и высота осталась у немцев.</t>
        </is>
      </c>
      <c r="L5481" s="2" t="inlineStr">
        <is>
          <t>Кино_СССР сводный каталог.xlsx: список телефильмов</t>
        </is>
      </c>
      <c r="M5481" s="2">
        <f>HYPERLINK("https://ru.wikipedia.org/w/index.php?search=%D0%95%D0%B3%D0%BE%20%D0%B1%D0%B0%D1%82%D0%B0%D0%BB%D1%8C%D0%BE%D0%BD%201989%20%D1%84%D0%B8%D0%BB%D1%8C%D0%BC","искать")</f>
        <v/>
      </c>
      <c r="N5481" s="3" t="n"/>
      <c r="O5481" s="2" t="n"/>
      <c r="P5481" s="2" t="n"/>
    </row>
    <row r="5482">
      <c r="A5482" s="2" t="n">
        <v>5481</v>
      </c>
      <c r="B5482" s="2" t="inlineStr"/>
      <c r="C5482" s="2" t="n">
        <v>7830</v>
      </c>
      <c r="D5482" s="3" t="inlineStr">
        <is>
          <t>Любовь, Иверия и…</t>
        </is>
      </c>
      <c r="E5482" s="2" t="n">
        <v>1978</v>
      </c>
      <c r="F5482" s="2" t="inlineStr">
        <is>
          <t>телефильм</t>
        </is>
      </c>
      <c r="G5482" s="2" t="n"/>
      <c r="H5482" s="2" t="n">
        <v>336</v>
      </c>
      <c r="I5482" s="2" t="inlineStr"/>
      <c r="J5482" s="2" t="inlineStr"/>
      <c r="K5482" s="3" t="inlineStr">
        <is>
          <t>Телефильм. Лика и Зураб любят друг-друга, но родители Лики против их свадьбы. Влюбленные решили попросить членов ансамбля «Иверия» помочь уговорить родителей. Тем более, что родители очень любят этот ансамбль. Ребята решили помочь молодым и вместе с ними отправляются в начале в деревню к родителям, а потом в Пицунду, где они отдыхают.</t>
        </is>
      </c>
      <c r="L5482" s="2" t="inlineStr">
        <is>
          <t>Кино_СССР сводный каталог.xlsx: список телефильмов</t>
        </is>
      </c>
      <c r="M5482" s="2">
        <f>HYPERLINK("https://ru.wikipedia.org/w/index.php?search=%D0%9B%D1%8E%D0%B1%D0%BE%D0%B2%D1%8C%2C%20%D0%98%D0%B2%D0%B5%D1%80%D0%B8%D1%8F%20%D0%B8%E2%80%A6%201978%20%D1%84%D0%B8%D0%BB%D1%8C%D0%BC","искать")</f>
        <v/>
      </c>
      <c r="N5482" s="3" t="n"/>
      <c r="O5482" s="2" t="n"/>
      <c r="P5482" s="2" t="n"/>
    </row>
    <row r="5483">
      <c r="A5483" s="2" t="n">
        <v>5482</v>
      </c>
      <c r="B5483" s="2" t="inlineStr"/>
      <c r="C5483" s="2" t="n">
        <v>8013</v>
      </c>
      <c r="D5483" s="3" t="inlineStr">
        <is>
          <t>Ночь перед рассветом</t>
        </is>
      </c>
      <c r="E5483" s="2" t="n">
        <v>1969</v>
      </c>
      <c r="F5483" s="2" t="inlineStr">
        <is>
          <t>телефильм</t>
        </is>
      </c>
      <c r="G5483" s="2" t="n"/>
      <c r="H5483" s="2" t="n">
        <v>336</v>
      </c>
      <c r="I5483" s="2" t="inlineStr"/>
      <c r="J5483" s="2" t="inlineStr"/>
      <c r="K5483" s="3" t="inlineStr">
        <is>
          <t>Во время Второй мировой войны фашисты часто использовали оккупированные страны для разведывательной и подрывной деятельности, создавая на их территории различные шпионские и диверсионные организации. Советские разведчики выявляют и раскрывают деятельность немецких спецслужб по изготовлению фальшивых денег для подрыва экономики Европы.</t>
        </is>
      </c>
      <c r="L5483" s="2" t="inlineStr">
        <is>
          <t>Кино_СССР сводный каталог.xlsx: список телефильмов</t>
        </is>
      </c>
      <c r="M5483" s="2">
        <f>HYPERLINK("https://ru.wikipedia.org/w/index.php?search=%D0%9D%D0%BE%D1%87%D1%8C%20%D0%BF%D0%B5%D1%80%D0%B5%D0%B4%20%D1%80%D0%B0%D1%81%D1%81%D0%B2%D0%B5%D1%82%D0%BE%D0%BC%201969%20%D1%84%D0%B8%D0%BB%D1%8C%D0%BC","искать")</f>
        <v/>
      </c>
      <c r="N5483" s="3" t="n"/>
      <c r="O5483" s="2" t="n"/>
      <c r="P5483" s="2" t="n"/>
    </row>
    <row r="5484">
      <c r="A5484" s="2" t="n">
        <v>5483</v>
      </c>
      <c r="B5484" s="2" t="inlineStr"/>
      <c r="C5484" s="2" t="n">
        <v>9085</v>
      </c>
      <c r="D5484" s="3" t="inlineStr">
        <is>
          <t>Тайна Димки Кармия</t>
        </is>
      </c>
      <c r="E5484" s="2" t="n">
        <v>1960</v>
      </c>
      <c r="F5484" s="2" t="inlineStr">
        <is>
          <t>кинофильм</t>
        </is>
      </c>
      <c r="G5484" s="2" t="n"/>
      <c r="H5484" s="2" t="n">
        <v>336</v>
      </c>
      <c r="I5484" s="2" t="inlineStr"/>
      <c r="J5484" s="2" t="inlineStr"/>
      <c r="K5484" s="3" t="inlineStr">
        <is>
          <t>Семиклассник Дима – сын капитана сейнера «Ставрида» - мечтает о море. Он тайно организовал свою бригаду, в которую вошли его лучшие друзья. Они решили обследовать остров Дельфиний, повесить там флаг и объявить его своим. Как же они были удивлены, когда приплыв в «свои владения», они увидели лагерь девочек, возглавляемый сестрой Димки.</t>
        </is>
      </c>
      <c r="L5484" s="2" t="inlineStr">
        <is>
          <t>Кино_СССР сводный каталог.xlsx: список фильмов (доп.)</t>
        </is>
      </c>
      <c r="M5484" s="2">
        <f>HYPERLINK("https://ru.wikipedia.org/w/index.php?search=%D0%A2%D0%B0%D0%B9%D0%BD%D0%B0%20%D0%94%D0%B8%D0%BC%D0%BA%D0%B8%20%D0%9A%D0%B0%D1%80%D0%BC%D0%B8%D1%8F%201960%20%D1%84%D0%B8%D0%BB%D1%8C%D0%BC","искать")</f>
        <v/>
      </c>
      <c r="N5484" s="3" t="n"/>
      <c r="O5484" s="2" t="n"/>
      <c r="P5484" s="2" t="n"/>
    </row>
    <row r="5485">
      <c r="A5485" s="2" t="n">
        <v>5484</v>
      </c>
      <c r="B5485" s="2" t="inlineStr"/>
      <c r="C5485" s="2" t="n">
        <v>9582</v>
      </c>
      <c r="D5485" s="3" t="inlineStr">
        <is>
          <t>Прелюдия судьбы</t>
        </is>
      </c>
      <c r="E5485" s="2" t="n">
        <v>1984</v>
      </c>
      <c r="F5485" s="2" t="inlineStr">
        <is>
          <t>кинофильм</t>
        </is>
      </c>
      <c r="G5485" s="2" t="n"/>
      <c r="H5485" s="2" t="n">
        <v>336</v>
      </c>
      <c r="I5485" s="2" t="inlineStr"/>
      <c r="J5485" s="2" t="inlineStr"/>
      <c r="K5485" s="3" t="inlineStr">
        <is>
          <t>Случай сводит студента донецкого политехнического института Ивана Краско, обладателя красивого сильного голоса, с бывшим певцом Коробейченко (Евг.Лебедев). Вопреки воле отца, потомственного шахтера, герой отказывается от московской аспирантуры и под руководством нового друга начинает серьезно готовиться к первому сольному выступлению.</t>
        </is>
      </c>
      <c r="L5485" s="2" t="inlineStr">
        <is>
          <t>Кино_СССР сводный каталог.xlsx: список фильмов (доп.)</t>
        </is>
      </c>
      <c r="M5485" s="2">
        <f>HYPERLINK("https://ru.wikipedia.org/w/index.php?search=%D0%9F%D1%80%D0%B5%D0%BB%D1%8E%D0%B4%D0%B8%D1%8F%20%D1%81%D1%83%D0%B4%D1%8C%D0%B1%D1%8B%201984%20%D1%84%D0%B8%D0%BB%D1%8C%D0%BC","искать")</f>
        <v/>
      </c>
      <c r="N5485" s="3" t="n"/>
      <c r="O5485" s="2" t="n"/>
      <c r="P5485" s="2" t="n"/>
    </row>
    <row r="5486">
      <c r="A5486" s="2" t="n">
        <v>5485</v>
      </c>
      <c r="B5486" s="2" t="inlineStr"/>
      <c r="C5486" s="2" t="n">
        <v>10678</v>
      </c>
      <c r="D5486" s="3" t="inlineStr">
        <is>
          <t>А.П. Чехов. Три сестры</t>
        </is>
      </c>
      <c r="E5486" s="2" t="n">
        <v>1977</v>
      </c>
      <c r="F5486" s="2" t="inlineStr">
        <is>
          <t>фильм-спектакль</t>
        </is>
      </c>
      <c r="G5486" s="2" t="inlineStr">
        <is>
          <t>Центральное телевидение, Подборки фильмов, экранизации Чехова</t>
        </is>
      </c>
      <c r="H5486" s="2" t="n">
        <v>336</v>
      </c>
      <c r="I5486" s="2" t="inlineStr"/>
      <c r="J5486" s="2" t="inlineStr"/>
      <c r="K5486" s="3" t="inlineStr">
        <is>
          <t>В передаче раскрывается идейное содержание пьесы А.П. Чехова “Три сестры”.
Когда-то генерал Прозоров увез свое семейство из Москвы в маленький провинциальный городок. После его смерти три его дочери чувствуют себя в этом городе одиноко. Они пытаются как-то устроить свою судьбу, каждая по-своему, но ничего у них из этого не получается.</t>
        </is>
      </c>
      <c r="L5486" s="2" t="inlineStr">
        <is>
          <t>https://www.kino-teatr.ru/teatr/movie/104758/annot/</t>
        </is>
      </c>
      <c r="M5486" s="2">
        <f>HYPERLINK("https://ru.wikipedia.org/w/index.php?search=%D0%90.%D0%9F.%20%D0%A7%D0%B5%D1%85%D0%BE%D0%B2.%20%D0%A2%D1%80%D0%B8%20%D1%81%D0%B5%D1%81%D1%82%D1%80%D1%8B%201977%20%D1%84%D0%B8%D0%BB%D1%8C%D0%BC","искать")</f>
        <v/>
      </c>
      <c r="N5486" s="3" t="n"/>
      <c r="O5486" s="2" t="n"/>
      <c r="P5486" s="2" t="n"/>
    </row>
    <row r="5487">
      <c r="A5487" s="2" t="n">
        <v>5486</v>
      </c>
      <c r="B5487" s="2" t="inlineStr"/>
      <c r="C5487" s="2" t="n">
        <v>11434</v>
      </c>
      <c r="D5487" s="3" t="inlineStr">
        <is>
          <t>Человек в рамке</t>
        </is>
      </c>
      <c r="E5487" s="2" t="n">
        <v>1966</v>
      </c>
      <c r="F5487" s="2" t="inlineStr">
        <is>
          <t>мультфильм</t>
        </is>
      </c>
      <c r="G5487" s="2" t="inlineStr">
        <is>
          <t>Союзмультфильм</t>
        </is>
      </c>
      <c r="H5487" s="2" t="n">
        <v>336</v>
      </c>
      <c r="I5487" s="2" t="inlineStr"/>
      <c r="J5487" s="2" t="inlineStr"/>
      <c r="K5487" s="3" t="inlineStr">
        <is>
          <t>Сатирический памфлет, направленный против бюрократизма. Чиновник развивает кипучую деятельность: подсиживает коллег, заискивает перед начальством. И потихоньку продвигается вверх по служебной лестнице. И с каждым разом рамка, отделяющяя енго от мира становится все массивней. И только смерть прерывает бесцельную деятельность карьериста</t>
        </is>
      </c>
      <c r="L5487" s="2" t="inlineStr">
        <is>
          <t>https://gosfilmofond.ru/films/246472/</t>
        </is>
      </c>
      <c r="M5487" s="2">
        <f>HYPERLINK("https://ru.wikipedia.org/w/index.php?search=%D0%A7%D0%B5%D0%BB%D0%BE%D0%B2%D0%B5%D0%BA%20%D0%B2%20%D1%80%D0%B0%D0%BC%D0%BA%D0%B5%201966%20%D1%84%D0%B8%D0%BB%D1%8C%D0%BC","искать")</f>
        <v/>
      </c>
      <c r="N5487" s="3" t="n"/>
      <c r="O5487" s="2" t="n"/>
      <c r="P5487" s="2" t="n"/>
    </row>
    <row r="5488">
      <c r="A5488" s="2" t="n">
        <v>5487</v>
      </c>
      <c r="B5488" s="2" t="inlineStr"/>
      <c r="C5488" s="2" t="n">
        <v>7492</v>
      </c>
      <c r="D5488" s="3" t="inlineStr">
        <is>
          <t>Дезертир</t>
        </is>
      </c>
      <c r="E5488" s="2" t="n">
        <v>1990</v>
      </c>
      <c r="F5488" s="2" t="inlineStr">
        <is>
          <t>телефильм</t>
        </is>
      </c>
      <c r="G5488" s="2" t="n"/>
      <c r="H5488" s="2" t="n">
        <v>337</v>
      </c>
      <c r="I5488" s="2" t="inlineStr"/>
      <c r="J5488" s="2" t="inlineStr"/>
      <c r="K5488" s="3" t="inlineStr">
        <is>
          <t>В новогоднюю ночь ефрейтор Луков отстал от своей части и остался на пустынном шоссе, где его подобрал автобус с артистами провинциального театра. Так Луков познакомился с костюмершей Машей и оказался в городе. Случайно на улице он столкнулся с бывшим сослуживцем Табакиным, совершившим в армии преступление и сумевшим избежать наказания.</t>
        </is>
      </c>
      <c r="L5488" s="2" t="inlineStr">
        <is>
          <t>Кино_СССР сводный каталог.xlsx: список телефильмов</t>
        </is>
      </c>
      <c r="M5488" s="2">
        <f>HYPERLINK("https://ru.wikipedia.org/w/index.php?search=%D0%94%D0%B5%D0%B7%D0%B5%D1%80%D1%82%D0%B8%D1%80%201990%20%D1%84%D0%B8%D0%BB%D1%8C%D0%BC","искать")</f>
        <v/>
      </c>
      <c r="N5488" s="3" t="n"/>
      <c r="O5488" s="2" t="n"/>
      <c r="P5488" s="2" t="n"/>
    </row>
    <row r="5489">
      <c r="A5489" s="2" t="n">
        <v>5488</v>
      </c>
      <c r="B5489" s="2" t="inlineStr"/>
      <c r="C5489" s="2" t="n">
        <v>8568</v>
      </c>
      <c r="D5489" s="3" t="inlineStr">
        <is>
          <t>Чудеса в Гарбузянах</t>
        </is>
      </c>
      <c r="E5489" s="2" t="n">
        <v>1985</v>
      </c>
      <c r="F5489" s="2" t="inlineStr">
        <is>
          <t>телефильм</t>
        </is>
      </c>
      <c r="G5489" s="2" t="n"/>
      <c r="H5489" s="2" t="n">
        <v>337</v>
      </c>
      <c r="I5489" s="2" t="inlineStr"/>
      <c r="J5489" s="2" t="inlineStr"/>
      <c r="K5489" s="3" t="inlineStr">
        <is>
          <t>По мотивам одноименной повести Всеволода Нестайко. Три мальчугана - неразлучные друзья Сашко-Кладоискатель, Сашко-Академик и Сашко-Изобретатель - решили прославить свое родное село Гарбузяны. И тут в селе появляются три сказочных персонажа: Чур, Враз и Прок, которые предлагают нашим друзьям "прославиться" благодаря волшебным зернышкам.</t>
        </is>
      </c>
      <c r="L5489" s="2" t="inlineStr">
        <is>
          <t>Кино_СССР сводный каталог.xlsx: список телефильмов</t>
        </is>
      </c>
      <c r="M5489" s="2">
        <f>HYPERLINK("https://ru.wikipedia.org/w/index.php?search=%D0%A7%D1%83%D0%B4%D0%B5%D1%81%D0%B0%20%D0%B2%20%D0%93%D0%B0%D1%80%D0%B1%D1%83%D0%B7%D1%8F%D0%BD%D0%B0%D1%85%201985%20%D1%84%D0%B8%D0%BB%D1%8C%D0%BC","искать")</f>
        <v/>
      </c>
      <c r="N5489" s="3" t="n"/>
      <c r="O5489" s="2" t="n"/>
      <c r="P5489" s="2" t="n"/>
    </row>
    <row r="5490">
      <c r="A5490" s="2" t="n">
        <v>5489</v>
      </c>
      <c r="B5490" s="2" t="inlineStr"/>
      <c r="C5490" s="2" t="n">
        <v>8711</v>
      </c>
      <c r="D5490" s="3" t="inlineStr">
        <is>
          <t>Допинг для ангелов</t>
        </is>
      </c>
      <c r="E5490" s="2" t="n">
        <v>1990</v>
      </c>
      <c r="F5490" s="2" t="inlineStr">
        <is>
          <t>кинофильм</t>
        </is>
      </c>
      <c r="G5490" s="2" t="n"/>
      <c r="H5490" s="2" t="n">
        <v>337</v>
      </c>
      <c r="I5490" s="2" t="inlineStr"/>
      <c r="J5490" s="2" t="inlineStr"/>
      <c r="K5490" s="3" t="inlineStr">
        <is>
          <t>Тебе ночью приснился Ангел, а утром ты обнаружил подарок под дверью. И как бы ни казался сон реальностью - это подношение скорее от коварного соблазнителя, и Ангел тут ни при чем. А если ты еще и неподкупный ревизор, то всегда найдется некий хитрый искуситель, который попытается сделать так, чтоб тебе перестали сниться по ночам Ангелы.</t>
        </is>
      </c>
      <c r="L5490" s="2" t="inlineStr">
        <is>
          <t>Кино_СССР сводный каталог.xlsx: список фильмов (доп.)</t>
        </is>
      </c>
      <c r="M5490" s="2">
        <f>HYPERLINK("https://ru.wikipedia.org/w/index.php?search=%D0%94%D0%BE%D0%BF%D0%B8%D0%BD%D0%B3%20%D0%B4%D0%BB%D1%8F%20%D0%B0%D0%BD%D0%B3%D0%B5%D0%BB%D0%BE%D0%B2%201990%20%D1%84%D0%B8%D0%BB%D1%8C%D0%BC","искать")</f>
        <v/>
      </c>
      <c r="N5490" s="3" t="n"/>
      <c r="O5490" s="2" t="n"/>
      <c r="P5490" s="2" t="n"/>
    </row>
    <row r="5491">
      <c r="A5491" s="2" t="n">
        <v>5490</v>
      </c>
      <c r="B5491" s="2" t="inlineStr"/>
      <c r="C5491" s="2" t="n">
        <v>9508</v>
      </c>
      <c r="D5491" s="3" t="inlineStr">
        <is>
          <t>Ниагара</t>
        </is>
      </c>
      <c r="E5491" s="2" t="n">
        <v>1991</v>
      </c>
      <c r="F5491" s="2" t="inlineStr">
        <is>
          <t>кинофильм</t>
        </is>
      </c>
      <c r="G5491" s="2" t="n"/>
      <c r="H5491" s="2" t="n">
        <v>337</v>
      </c>
      <c r="I5491" s="2" t="inlineStr"/>
      <c r="J5491" s="2" t="inlineStr"/>
      <c r="K5491" s="3" t="inlineStr">
        <is>
          <t>Ниагара работает натурщицей в художественном училище, умело скрывая свою неустроенность и одиночество за бравадой и куражом. Полюбив юного студента, она понимает, что сама уже не так молода и красива. Ниагара не может поверить, что счастье пришло к ней в лице смешного, несовременного, но искреннего и бескорыстного случайного знакомого.</t>
        </is>
      </c>
      <c r="L5491" s="2" t="inlineStr">
        <is>
          <t>Кино_СССР сводный каталог.xlsx: список фильмов (доп.)</t>
        </is>
      </c>
      <c r="M5491" s="2">
        <f>HYPERLINK("https://ru.wikipedia.org/w/index.php?search=%D0%9D%D0%B8%D0%B0%D0%B3%D0%B0%D1%80%D0%B0%201991%20%D1%84%D0%B8%D0%BB%D1%8C%D0%BC","искать")</f>
        <v/>
      </c>
      <c r="N5491" s="3" t="n"/>
      <c r="O5491" s="2" t="n"/>
      <c r="P5491" s="2" t="n"/>
    </row>
    <row r="5492">
      <c r="A5492" s="2" t="n">
        <v>5491</v>
      </c>
      <c r="B5492" s="2" t="inlineStr"/>
      <c r="C5492" s="2" t="n">
        <v>9567</v>
      </c>
      <c r="D5492" s="3" t="inlineStr">
        <is>
          <t>Полет птицы</t>
        </is>
      </c>
      <c r="E5492" s="2" t="n">
        <v>1988</v>
      </c>
      <c r="F5492" s="2" t="inlineStr">
        <is>
          <t>кинофильм</t>
        </is>
      </c>
      <c r="G5492" s="2" t="n"/>
      <c r="H5492" s="2" t="n">
        <v>337</v>
      </c>
      <c r="I5492" s="2" t="inlineStr"/>
      <c r="J5492" s="2" t="inlineStr"/>
      <c r="K5492" s="3" t="inlineStr">
        <is>
          <t>По повести Е. Габриловича "Платок на стене". 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t>
        </is>
      </c>
      <c r="L5492" s="2" t="inlineStr">
        <is>
          <t>Кино_СССР сводный каталог.xlsx: список фильмов (доп.)</t>
        </is>
      </c>
      <c r="M5492" s="2">
        <f>HYPERLINK("https://ru.wikipedia.org/w/index.php?search=%D0%9F%D0%BE%D0%BB%D0%B5%D1%82%20%D0%BF%D1%82%D0%B8%D1%86%D1%8B%201988%20%D1%84%D0%B8%D0%BB%D1%8C%D0%BC","искать")</f>
        <v/>
      </c>
      <c r="N5492" s="3" t="n"/>
      <c r="O5492" s="2" t="n"/>
      <c r="P5492" s="2" t="n"/>
    </row>
    <row r="5493">
      <c r="A5493" s="2" t="n">
        <v>5492</v>
      </c>
      <c r="B5493" s="2" t="inlineStr"/>
      <c r="C5493" s="2" t="n">
        <v>10958</v>
      </c>
      <c r="D5493" s="3" t="inlineStr">
        <is>
          <t>Поросль</t>
        </is>
      </c>
      <c r="E5493" s="2" t="n">
        <v>1982</v>
      </c>
      <c r="F5493" s="2" t="inlineStr">
        <is>
          <t>фильм-спектакль</t>
        </is>
      </c>
      <c r="G5493" s="2" t="inlineStr">
        <is>
          <t>Литовское телевидение (LTV)</t>
        </is>
      </c>
      <c r="H5493" s="2" t="n">
        <v>337</v>
      </c>
      <c r="I5493" s="2" t="inlineStr"/>
      <c r="J5493" s="2" t="inlineStr"/>
      <c r="K5493" s="3" t="inlineStr">
        <is>
          <t>Фильм снят по одноименной пьесе литовского поэта, драматурга и писателя Казиса Бинкиса (1893-1942).
О жизни учащейся молодёжи в гимназии в довоенной Литве.Фильм рассказывает о становление молодых гимназистов, об их последнем учебном годе, о их учебе и приключениях, о первой любви и предательстве, о дружбе и о их любимых преподавателях.</t>
        </is>
      </c>
      <c r="L5493" s="2" t="inlineStr">
        <is>
          <t>https://www.kino-teatr.ru/teatr/movie/94477/annot/</t>
        </is>
      </c>
      <c r="M5493" s="2">
        <f>HYPERLINK("https://ru.wikipedia.org/w/index.php?search=%D0%9F%D0%BE%D1%80%D0%BE%D1%81%D0%BB%D1%8C%201982%20%D1%84%D0%B8%D0%BB%D1%8C%D0%BC","искать")</f>
        <v/>
      </c>
      <c r="N5493" s="3" t="n"/>
      <c r="O5493" s="2" t="n"/>
      <c r="P5493" s="2" t="n"/>
    </row>
    <row r="5494">
      <c r="A5494" s="2" t="n">
        <v>5493</v>
      </c>
      <c r="B5494" s="2" t="inlineStr"/>
      <c r="C5494" s="2" t="n">
        <v>7226</v>
      </c>
      <c r="D5494" s="3" t="inlineStr">
        <is>
          <t>Африканыч</t>
        </is>
      </c>
      <c r="E5494" s="2" t="n">
        <v>1970</v>
      </c>
      <c r="F5494" s="2" t="inlineStr">
        <is>
          <t>телефильм</t>
        </is>
      </c>
      <c r="G5494" s="2" t="inlineStr">
        <is>
          <t>Ленфильм</t>
        </is>
      </c>
      <c r="H5494" s="2" t="n">
        <v>338</v>
      </c>
      <c r="I5494" s="2" t="inlineStr"/>
      <c r="J5494" s="2" t="inlineStr"/>
      <c r="K5494" s="3" t="inlineStr">
        <is>
          <t>Иван Африканыч всю жизнь прожил в деревне с женой Катериной в любви и согласии. Катерина родила ему седьмого ребёнка, а потом заболела. Африканыч решил поехать на заработки на Север, но по пути в Мурманск понял, что без Катерины и родного дома жить не может. Вернувшись домой через три дня, Африканыч узнаёт, что его жена Катерина умерла.</t>
        </is>
      </c>
      <c r="L5494" s="2" t="inlineStr">
        <is>
          <t>https://ru.wikipedia.org/w/index.php?title=%D0%90%D1%84%D1%80%D0%B8%D0%BA%D0%B0%D0%BD%D1%8B%D1%87&amp;oldid=154552061</t>
        </is>
      </c>
      <c r="M5494" s="2">
        <f>HYPERLINK("https://ru.wikipedia.org/w/index.php?search=%D0%90%D1%84%D1%80%D0%B8%D0%BA%D0%B0%D0%BD%D1%8B%D1%87%201970%20%D1%84%D0%B8%D0%BB%D1%8C%D0%BC","искать")</f>
        <v/>
      </c>
      <c r="N5494" s="3" t="n"/>
      <c r="O5494" s="2" t="n"/>
      <c r="P5494" s="2" t="n"/>
    </row>
    <row r="5495">
      <c r="A5495" s="2" t="n">
        <v>5494</v>
      </c>
      <c r="B5495" s="2" t="inlineStr"/>
      <c r="C5495" s="2" t="n">
        <v>7325</v>
      </c>
      <c r="D5495" s="3" t="inlineStr">
        <is>
          <t>Весенняя мелодия</t>
        </is>
      </c>
      <c r="E5495" s="2" t="n">
        <v>1978</v>
      </c>
      <c r="F5495" s="2" t="inlineStr">
        <is>
          <t>телефильм</t>
        </is>
      </c>
      <c r="G5495" s="2" t="n"/>
      <c r="H5495" s="2" t="n">
        <v>338</v>
      </c>
      <c r="I5495" s="2" t="inlineStr"/>
      <c r="J5495" s="2" t="inlineStr"/>
      <c r="K5495" s="3" t="inlineStr">
        <is>
          <t>По мотивам повести С. Георгиевской "Пека". Много лет не виделись инженер-строитель Пулат, уехавший на строительство города Навои, и его жена Лола, отказавшаяся тогда поехать с ним и ставшая популярной певицей. Подрос сын. Лола, понимая, что мальчику нужен отец, и сохранив любовь к Пулату, едет вместе с сыном на шефские концерты в Навои.</t>
        </is>
      </c>
      <c r="L5495" s="2" t="inlineStr">
        <is>
          <t>Кино_СССР сводный каталог.xlsx: список телефильмов</t>
        </is>
      </c>
      <c r="M5495" s="2">
        <f>HYPERLINK("https://ru.wikipedia.org/w/index.php?search=%D0%92%D0%B5%D1%81%D0%B5%D0%BD%D0%BD%D1%8F%D1%8F%20%D0%BC%D0%B5%D0%BB%D0%BE%D0%B4%D0%B8%D1%8F%201978%20%D1%84%D0%B8%D0%BB%D1%8C%D0%BC","искать")</f>
        <v/>
      </c>
      <c r="N5495" s="3" t="n"/>
      <c r="O5495" s="2" t="n"/>
      <c r="P5495" s="2" t="n"/>
    </row>
    <row r="5496">
      <c r="A5496" s="2" t="n">
        <v>5495</v>
      </c>
      <c r="B5496" s="2" t="inlineStr"/>
      <c r="C5496" s="2" t="n">
        <v>8187</v>
      </c>
      <c r="D5496" s="3" t="inlineStr">
        <is>
          <t>Предшественник</t>
        </is>
      </c>
      <c r="E5496" s="2" t="n">
        <v>1988</v>
      </c>
      <c r="F5496" s="2" t="inlineStr">
        <is>
          <t>телефильм</t>
        </is>
      </c>
      <c r="G5496" s="2" t="n"/>
      <c r="H5496" s="2" t="n">
        <v>338</v>
      </c>
      <c r="I5496" s="2" t="inlineStr"/>
      <c r="J5496" s="2" t="inlineStr"/>
      <c r="K5496" s="3" t="inlineStr">
        <is>
          <t>Фильм-биография грузинского писателя Эгнате Ниношвили (1859-1894). За свою недолгую жизнь он успел поработать учителем, телеграфистом, наборщиком и просто чернорабочим. В фильме отражены трагические события, повлиявшие на творчество писателя, а также частично использованы сюжеты его произведений, посвященных тяжелой судьбе крестьянства.</t>
        </is>
      </c>
      <c r="L5496" s="2" t="inlineStr">
        <is>
          <t>Кино_СССР сводный каталог.xlsx: список телефильмов</t>
        </is>
      </c>
      <c r="M5496" s="2">
        <f>HYPERLINK("https://ru.wikipedia.org/w/index.php?search=%D0%9F%D1%80%D0%B5%D0%B4%D1%88%D0%B5%D1%81%D1%82%D0%B2%D0%B5%D0%BD%D0%BD%D0%B8%D0%BA%201988%20%D1%84%D0%B8%D0%BB%D1%8C%D0%BC","искать")</f>
        <v/>
      </c>
      <c r="N5496" s="3" t="n"/>
      <c r="O5496" s="2" t="n"/>
      <c r="P5496" s="2" t="n"/>
    </row>
    <row r="5497">
      <c r="A5497" s="2" t="n">
        <v>5496</v>
      </c>
      <c r="B5497" s="2" t="inlineStr"/>
      <c r="C5497" s="2" t="n">
        <v>8705</v>
      </c>
      <c r="D5497" s="3" t="inlineStr">
        <is>
          <t>Долина предков</t>
        </is>
      </c>
      <c r="E5497" s="2" t="n">
        <v>1989</v>
      </c>
      <c r="F5497" s="2" t="inlineStr">
        <is>
          <t>кинофильм</t>
        </is>
      </c>
      <c r="G5497" s="2" t="n"/>
      <c r="H5497" s="2" t="n">
        <v>338</v>
      </c>
      <c r="I5497" s="2" t="inlineStr"/>
      <c r="J5497" s="2" t="inlineStr"/>
      <c r="K5497" s="3" t="inlineStr">
        <is>
          <t>Фильм о маленькой общине, обитающей в высокогорном селе (аул), которое когда-то в силу определённых обстоятельств — обезлюдело. Старики и отслуживший армию парень, пытаются сохранить безлюдное село. Они ратуют за возвращение туда людей. Ведь сельская жизнь может сама по себе быть прекрасной и, даже полноценной альтернативой — городской.</t>
        </is>
      </c>
      <c r="L5497" s="2" t="inlineStr">
        <is>
          <t>https://ru.wikipedia.org/w/index.php?title=%D0%94%D0%BE%D0%BB%D0%B8%D0%BD%D0%B0_%D0%BF%D1%80%D0%B5%D0%B4%D0%BA%D0%BE%D0%B2&amp;oldid=151492906</t>
        </is>
      </c>
      <c r="M5497" s="2">
        <f>HYPERLINK("https://ru.wikipedia.org/w/index.php?search=%D0%94%D0%BE%D0%BB%D0%B8%D0%BD%D0%B0%20%D0%BF%D1%80%D0%B5%D0%B4%D0%BA%D0%BE%D0%B2%201989%20%D1%84%D0%B8%D0%BB%D1%8C%D0%BC","искать")</f>
        <v/>
      </c>
      <c r="N5497" s="3" t="n"/>
      <c r="O5497" s="2" t="n"/>
      <c r="P5497" s="2" t="n"/>
    </row>
    <row r="5498">
      <c r="A5498" s="2" t="n">
        <v>5497</v>
      </c>
      <c r="B5498" s="2" t="inlineStr"/>
      <c r="C5498" s="2" t="n">
        <v>9050</v>
      </c>
      <c r="D5498" s="3" t="inlineStr">
        <is>
          <t>Смерть прокурора</t>
        </is>
      </c>
      <c r="E5498" s="2" t="n">
        <v>1990</v>
      </c>
      <c r="F5498" s="2" t="inlineStr">
        <is>
          <t>кинофильм</t>
        </is>
      </c>
      <c r="G5498" s="2" t="n"/>
      <c r="H5498" s="2" t="n">
        <v>338</v>
      </c>
      <c r="I5498" s="2" t="inlineStr"/>
      <c r="J5498" s="2" t="inlineStr"/>
      <c r="K5498" s="3" t="inlineStr">
        <is>
          <t>Жизнь - всего лишь ставка в смертельной схватке. Расследуя дело об убийстве, прокурор Халима Базиева получает от бандита по кличке Черный кассету, изобличающую махинации местных мафиози, орудующих в городе. У мафии везде свои люди - от правоохранительных органов до высших эшелонов власти. Силы в этой смертельной схватке слишком неравны.</t>
        </is>
      </c>
      <c r="L5498" s="2" t="inlineStr">
        <is>
          <t>Кино_СССР сводный каталог.xlsx: список фильмов (доп.)</t>
        </is>
      </c>
      <c r="M5498" s="2">
        <f>HYPERLINK("https://ru.wikipedia.org/w/index.php?search=%D0%A1%D0%BC%D0%B5%D1%80%D1%82%D1%8C%20%D0%BF%D1%80%D0%BE%D0%BA%D1%83%D1%80%D0%BE%D1%80%D0%B0%201990%20%D1%84%D0%B8%D0%BB%D1%8C%D0%BC","искать")</f>
        <v/>
      </c>
      <c r="N5498" s="3" t="n"/>
      <c r="O5498" s="2" t="n"/>
      <c r="P5498" s="2" t="n"/>
    </row>
    <row r="5499">
      <c r="A5499" s="2" t="n">
        <v>5498</v>
      </c>
      <c r="B5499" s="2" t="inlineStr"/>
      <c r="C5499" s="2" t="n">
        <v>10726</v>
      </c>
      <c r="D5499" s="3" t="inlineStr">
        <is>
          <t>Эспаньола, или Лопе де Вега подсказал...</t>
        </is>
      </c>
      <c r="E5499" s="2" t="n">
        <v>1977</v>
      </c>
      <c r="F5499" s="2" t="inlineStr">
        <is>
          <t>фильм-спектакль</t>
        </is>
      </c>
      <c r="G5499" s="2" t="n"/>
      <c r="H5499" s="2" t="n">
        <v>338</v>
      </c>
      <c r="I5499" s="2" t="inlineStr"/>
      <c r="J5499" s="2" t="inlineStr"/>
      <c r="K5499" s="3" t="inlineStr">
        <is>
          <t>Московский театр оперетты.
Спектакль начинается с того, что кончилась репетиция, погас свет и на пустой сцене осталась одна актриса.
Ей в руки попадает шпага, оставшаяся на сцене после репетиции, томик книги с пьесами Лопе де Вега, и в ее творческой фантазии рождается спектакль. Спектакль, как и положено в оперетте со счастливым концом.</t>
        </is>
      </c>
      <c r="L5499" s="2" t="inlineStr">
        <is>
          <t>https://www.kino-teatr.ru/teatr/movie/86573/annot/</t>
        </is>
      </c>
      <c r="M5499" s="2">
        <f>HYPERLINK("https://ru.wikipedia.org/w/index.php?search=%D0%AD%D1%81%D0%BF%D0%B0%D0%BD%D1%8C%D0%BE%D0%BB%D0%B0%2C%20%D0%B8%D0%BB%D0%B8%20%D0%9B%D0%BE%D0%BF%D0%B5%20%D0%B4%D0%B5%20%D0%92%D0%B5%D0%B3%D0%B0%20%D0%BF%D0%BE%D0%B4%D1%81%D0%BA%D0%B0%D0%B7%D0%B0%D0%BB...%201977%20%D1%84%D0%B8%D0%BB%D1%8C%D0%BC","искать")</f>
        <v/>
      </c>
      <c r="N5499" s="3" t="n"/>
      <c r="O5499" s="2" t="n"/>
      <c r="P5499" s="2" t="n"/>
    </row>
    <row r="5500">
      <c r="A5500" s="2" t="n">
        <v>5499</v>
      </c>
      <c r="B5500" s="2" t="inlineStr"/>
      <c r="C5500" s="2" t="n">
        <v>11429</v>
      </c>
      <c r="D5500" s="3" t="inlineStr">
        <is>
          <t>Про злую мачеху</t>
        </is>
      </c>
      <c r="E5500" s="2" t="n">
        <v>1966</v>
      </c>
      <c r="F5500" s="2" t="inlineStr">
        <is>
          <t>мультфильм</t>
        </is>
      </c>
      <c r="G5500" s="2" t="inlineStr">
        <is>
          <t>Союзмультфильм</t>
        </is>
      </c>
      <c r="H5500" s="2" t="n">
        <v>338</v>
      </c>
      <c r="I5500" s="2" t="inlineStr"/>
      <c r="J5500" s="2" t="inlineStr"/>
      <c r="K5500" s="3" t="inlineStr">
        <is>
          <t>Мачеха Фекла решила извести свою падчерицу и отправилась к Бабе-яге за советом. Но Баба-яга дает неподходящие, старомодные советы. Тогда Фекла сама придумала средство: свою родную дочь она заставила день и ночь работать, а падчерицу приучила быть лежебокой. Родная дочь выросла умницей и красавицей, а падчерица - глупой, жадной и ленивой</t>
        </is>
      </c>
      <c r="L5500" s="2" t="inlineStr">
        <is>
          <t>https://gosfilmofond.ru/films/254245/</t>
        </is>
      </c>
      <c r="M5500" s="2">
        <f>HYPERLINK("https://ru.wikipedia.org/w/index.php?search=%D0%9F%D1%80%D0%BE%20%D0%B7%D0%BB%D1%83%D1%8E%20%D0%BC%D0%B0%D1%87%D0%B5%D1%85%D1%83%201966%20%D1%84%D0%B8%D0%BB%D1%8C%D0%BC","искать")</f>
        <v/>
      </c>
      <c r="N5500" s="3" t="n"/>
      <c r="O5500" s="2" t="n"/>
      <c r="P5500" s="2" t="n"/>
    </row>
    <row r="5501">
      <c r="A5501" s="2" t="n">
        <v>5500</v>
      </c>
      <c r="B5501" s="2" t="inlineStr"/>
      <c r="C5501" s="2" t="n">
        <v>8090</v>
      </c>
      <c r="D5501" s="3" t="inlineStr">
        <is>
          <t>Первый парень</t>
        </is>
      </c>
      <c r="E5501" s="2" t="n">
        <v>1986</v>
      </c>
      <c r="F5501" s="2" t="inlineStr">
        <is>
          <t>телефильм</t>
        </is>
      </c>
      <c r="G5501" s="2" t="inlineStr">
        <is>
          <t>Мосфильм</t>
        </is>
      </c>
      <c r="H5501" s="2" t="n">
        <v>339</v>
      </c>
      <c r="I5501" s="2" t="inlineStr"/>
      <c r="J5501" s="2" t="inlineStr"/>
      <c r="K5501" s="3" t="inlineStr">
        <is>
          <t>Фильм рассказывает о молодом агрономе Викторе Ножове, который уходит из преуспевающего колхоза и начинает работать в отсталом колхозе родной деревни. Сначала односельчане считали Виктора выскочкой, от чего он получил от односельчан непонимание. Постепенно мнение односельчан начало меняться, когда Ножов начинает налаживать работу колхоза.</t>
        </is>
      </c>
      <c r="L5501" s="2" t="inlineStr">
        <is>
          <t>https://ru.wikipedia.org/w/index.php?title=%D0%9F%D0%B5%D1%80%D0%B2%D1%8B%D0%B9_%D0%BF%D0%B0%D1%80%D0%B5%D0%BD%D1%8C_%28%D1%84%D0%B8%D0%BB%D1%8C%D0%BC%2C_1986%29&amp;oldid=151387822</t>
        </is>
      </c>
      <c r="M5501" s="2">
        <f>HYPERLINK("https://ru.wikipedia.org/w/index.php?search=%D0%9F%D0%B5%D1%80%D0%B2%D1%8B%D0%B9%20%D0%BF%D0%B0%D1%80%D0%B5%D0%BD%D1%8C%201986%20%D1%84%D0%B8%D0%BB%D1%8C%D0%BC","искать")</f>
        <v/>
      </c>
      <c r="N5501" s="3" t="n"/>
      <c r="O5501" s="2" t="n"/>
      <c r="P5501" s="2" t="n"/>
    </row>
    <row r="5502">
      <c r="A5502" s="2" t="n">
        <v>5501</v>
      </c>
      <c r="B5502" s="2" t="inlineStr"/>
      <c r="C5502" s="2" t="n">
        <v>8165</v>
      </c>
      <c r="D5502" s="3" t="inlineStr">
        <is>
          <t>После ярмарки</t>
        </is>
      </c>
      <c r="E5502" s="2" t="n">
        <v>1972</v>
      </c>
      <c r="F5502" s="2" t="inlineStr">
        <is>
          <t>телефильм</t>
        </is>
      </c>
      <c r="G5502" s="2" t="n"/>
      <c r="H5502" s="2" t="n">
        <v>339</v>
      </c>
      <c r="I5502" s="2" t="inlineStr"/>
      <c r="J5502" s="2" t="inlineStr"/>
      <c r="K5502" s="3" t="inlineStr">
        <is>
          <t>Телефильм по мотивам пьесы Я.Купалы «Павлинка». Крестьянская дочь Павлинка любит сельского учителя Якима. Но ее отец, мечтая породниться с дворянским родом, хочет выдать дочь за глупого шляхтича Быковского. После застолья, устроенного родителями Павлинки в честь приезда Быковского, гостя в темноте принимают за вора и заключают под арест.</t>
        </is>
      </c>
      <c r="L5502" s="2" t="inlineStr">
        <is>
          <t>Кино_СССР сводный каталог.xlsx: список телефильмов</t>
        </is>
      </c>
      <c r="M5502" s="2">
        <f>HYPERLINK("https://ru.wikipedia.org/w/index.php?search=%D0%9F%D0%BE%D1%81%D0%BB%D0%B5%20%D1%8F%D1%80%D0%BC%D0%B0%D1%80%D0%BA%D0%B8%201972%20%D1%84%D0%B8%D0%BB%D1%8C%D0%BC","искать")</f>
        <v/>
      </c>
      <c r="N5502" s="3" t="n"/>
      <c r="O5502" s="2" t="n"/>
      <c r="P5502" s="2" t="n"/>
    </row>
    <row r="5503">
      <c r="A5503" s="2" t="n">
        <v>5502</v>
      </c>
      <c r="B5503" s="2" t="inlineStr"/>
      <c r="C5503" s="2" t="n">
        <v>8217</v>
      </c>
      <c r="D5503" s="3" t="inlineStr">
        <is>
          <t>Пристань на том берегу</t>
        </is>
      </c>
      <c r="E5503" s="2" t="n">
        <v>1971</v>
      </c>
      <c r="F5503" s="2" t="inlineStr">
        <is>
          <t>телефильм</t>
        </is>
      </c>
      <c r="G5503" s="2" t="n"/>
      <c r="H5503" s="2" t="n">
        <v>339</v>
      </c>
      <c r="I5503" s="2" t="inlineStr"/>
      <c r="J5503" s="2" t="inlineStr"/>
      <c r="K5503" s="3" t="inlineStr">
        <is>
          <t>Телефильм по рассказу Юрия Нагибина. Когда-то война надолго разлучила лейтенанта Климова с Марусей, девушкой из прифронтовой деревни. Климов отвоевался, женился, стал кинорежиссером. Через много лет он приезжает повидать Марусю. Они понимают, что любовь их еще жива, но счастье теперь может состояться только ценой несчастья близких людей.</t>
        </is>
      </c>
      <c r="L5503" s="2" t="inlineStr">
        <is>
          <t>Кино_СССР сводный каталог.xlsx: список телефильмов</t>
        </is>
      </c>
      <c r="M5503" s="2">
        <f>HYPERLINK("https://ru.wikipedia.org/w/index.php?search=%D0%9F%D1%80%D0%B8%D1%81%D1%82%D0%B0%D0%BD%D1%8C%20%D0%BD%D0%B0%20%D1%82%D0%BE%D0%BC%20%D0%B1%D0%B5%D1%80%D0%B5%D0%B3%D1%83%201971%20%D1%84%D0%B8%D0%BB%D1%8C%D0%BC","искать")</f>
        <v/>
      </c>
      <c r="N5503" s="3" t="n"/>
      <c r="O5503" s="2" t="n"/>
      <c r="P5503" s="2" t="n"/>
    </row>
    <row r="5504">
      <c r="A5504" s="2" t="n">
        <v>5503</v>
      </c>
      <c r="B5504" s="2" t="inlineStr"/>
      <c r="C5504" s="2" t="n">
        <v>8912</v>
      </c>
      <c r="D5504" s="3" t="inlineStr">
        <is>
          <t>Охота на последнего журавля</t>
        </is>
      </c>
      <c r="E5504" s="2" t="n">
        <v>1986</v>
      </c>
      <c r="F5504" s="2" t="inlineStr">
        <is>
          <t>кинофильм</t>
        </is>
      </c>
      <c r="G5504" s="2" t="n"/>
      <c r="H5504" s="2" t="n">
        <v>339</v>
      </c>
      <c r="I5504" s="2" t="inlineStr"/>
      <c r="J5504" s="2" t="inlineStr"/>
      <c r="K5504" s="3" t="inlineStr">
        <is>
          <t>По одноименной повести белорусского писателя Алеся Жука В центре сюжета фильма - подлинно народный характер - белорусский крестьянин Степан Демидчик, чья судьба - частичка судьбы страны. Инвалид, ветеран войны, он мог бы давно уйти на заслуженный отдых, но Степан не может сидеть без дела. Он- один из лучших в районе колхозных бригадиров.</t>
        </is>
      </c>
      <c r="L5504" s="2" t="inlineStr">
        <is>
          <t>Кино_СССР сводный каталог.xlsx: список фильмов (доп.)</t>
        </is>
      </c>
      <c r="M5504" s="2">
        <f>HYPERLINK("https://ru.wikipedia.org/w/index.php?search=%D0%9E%D1%85%D0%BE%D1%82%D0%B0%20%D0%BD%D0%B0%20%D0%BF%D0%BE%D1%81%D0%BB%D0%B5%D0%B4%D0%BD%D0%B5%D0%B3%D0%BE%20%D0%B6%D1%83%D1%80%D0%B0%D0%B2%D0%BB%D1%8F%201986%20%D1%84%D0%B8%D0%BB%D1%8C%D0%BC","искать")</f>
        <v/>
      </c>
      <c r="N5504" s="3" t="n"/>
      <c r="O5504" s="2" t="n"/>
      <c r="P5504" s="2" t="n"/>
    </row>
    <row r="5505">
      <c r="A5505" s="2" t="n">
        <v>5504</v>
      </c>
      <c r="B5505" s="2" t="inlineStr"/>
      <c r="C5505" s="2" t="n">
        <v>9464</v>
      </c>
      <c r="D5505" s="3" t="inlineStr">
        <is>
          <t>Мальчики</t>
        </is>
      </c>
      <c r="E5505" s="2" t="n">
        <v>1990</v>
      </c>
      <c r="F5505" s="2" t="inlineStr">
        <is>
          <t>кинофильм</t>
        </is>
      </c>
      <c r="G5505" s="2" t="n"/>
      <c r="H5505" s="2" t="n">
        <v>339</v>
      </c>
      <c r="I5505" s="2" t="inlineStr"/>
      <c r="J5505" s="2" t="inlineStr"/>
      <c r="K5505" s="3" t="inlineStr">
        <is>
          <t>Драма, свободная фантазия по мотивам романа Федора Михайловича Достоевского "Братья Карамазовы". Пытаясь защитить мальчишку от преследований одноклассников, монах Алеша Карамазов со временем оказывается вовлеченным в историю жизни всего семейства капитана Снегирева - человека, пытающегося сохранить достоинство, несмотря на нищету и горе.</t>
        </is>
      </c>
      <c r="L5505" s="2" t="inlineStr">
        <is>
          <t>Кино_СССР сводный каталог.xlsx: список фильмов (доп.)</t>
        </is>
      </c>
      <c r="M5505" s="2">
        <f>HYPERLINK("https://ru.wikipedia.org/w/index.php?search=%D0%9C%D0%B0%D0%BB%D1%8C%D1%87%D0%B8%D0%BA%D0%B8%201990%20%D1%84%D0%B8%D0%BB%D1%8C%D0%BC","искать")</f>
        <v/>
      </c>
      <c r="N5505" s="3" t="n"/>
      <c r="O5505" s="2" t="n"/>
      <c r="P5505" s="2" t="n"/>
    </row>
    <row r="5506">
      <c r="A5506" s="2" t="n">
        <v>5505</v>
      </c>
      <c r="B5506" s="2" t="inlineStr"/>
      <c r="C5506" s="2" t="n">
        <v>10304</v>
      </c>
      <c r="D5506" s="3" t="inlineStr">
        <is>
          <t>Две комедии Бранислава Нушича</t>
        </is>
      </c>
      <c r="E5506" s="2" t="n">
        <v>1969</v>
      </c>
      <c r="F5506" s="2" t="inlineStr">
        <is>
          <t>фильм-спектакль</t>
        </is>
      </c>
      <c r="G5506" s="2" t="inlineStr">
        <is>
          <t>Гл. ред. лит-драмю программ Россия</t>
        </is>
      </c>
      <c r="H5506" s="2" t="n">
        <v>339</v>
      </c>
      <c r="I5506" s="2" t="inlineStr"/>
      <c r="J5506" s="2" t="inlineStr"/>
      <c r="K5506" s="3" t="inlineStr">
        <is>
          <t>Телеспектакль по комедиям сербского писателя Бранислава Нушича «Два вора» и «Насморк».В спектакле снимались актеры Московского театра Сатиры.
"Два вора". Жена, проводив мужа на работу, принимает у себя любовника. Но следом за ним в дом проникает вор-философ. Он считает любовника своим "коллегой", так как оба крадут собственность хозяина.</t>
        </is>
      </c>
      <c r="L5506" s="2" t="inlineStr">
        <is>
          <t>https://www.kino-teatr.ru/teatr/movie/17146/annot/</t>
        </is>
      </c>
      <c r="M5506" s="2">
        <f>HYPERLINK("https://ru.wikipedia.org/w/index.php?search=%D0%94%D0%B2%D0%B5%20%D0%BA%D0%BE%D0%BC%D0%B5%D0%B4%D0%B8%D0%B8%20%D0%91%D1%80%D0%B0%D0%BD%D0%B8%D1%81%D0%BB%D0%B0%D0%B2%D0%B0%20%D0%9D%D1%83%D1%88%D0%B8%D1%87%D0%B0%201969%20%D1%84%D0%B8%D0%BB%D1%8C%D0%BC","искать")</f>
        <v/>
      </c>
      <c r="N5506" s="3" t="n"/>
      <c r="O5506" s="2" t="n"/>
      <c r="P5506" s="2" t="n"/>
    </row>
    <row r="5507">
      <c r="A5507" s="2" t="n">
        <v>5506</v>
      </c>
      <c r="B5507" s="2" t="inlineStr"/>
      <c r="C5507" s="2" t="n">
        <v>10569</v>
      </c>
      <c r="D5507" s="3" t="inlineStr">
        <is>
          <t>Мегрэ и старая дама</t>
        </is>
      </c>
      <c r="E5507" s="2" t="n">
        <v>1974</v>
      </c>
      <c r="F5507" s="2" t="inlineStr">
        <is>
          <t>фильм-спектакль</t>
        </is>
      </c>
      <c r="G5507" s="2" t="inlineStr">
        <is>
          <t>Главная редакция литературно-драматических программ ЦТ</t>
        </is>
      </c>
      <c r="H5507" s="2" t="n">
        <v>339</v>
      </c>
      <c r="I5507" s="2" t="inlineStr"/>
      <c r="J5507" s="2" t="inlineStr"/>
      <c r="K5507" s="3" t="inlineStr">
        <is>
          <t>По произведению Жоржа Сименона "Мегрэ и старая дама".
Для расследования убийства служанки мадам Бессон - Розы - комиссар Мегрэ едет в курортный городок в Нормандии. Там он понимает, что отношения между членами семьи Бессон сложны и запутаны, а к гибели Розы и ее брата Анри, детей простого рыбака, привели жестокость и лживость окружающих.</t>
        </is>
      </c>
      <c r="L5507" s="2" t="inlineStr">
        <is>
          <t>https://www.kino-teatr.ru/teatr/movie/13765/annot/</t>
        </is>
      </c>
      <c r="M5507" s="2">
        <f>HYPERLINK("https://ru.wikipedia.org/w/index.php?search=%D0%9C%D0%B5%D0%B3%D1%80%D1%8D%20%D0%B8%20%D1%81%D1%82%D0%B0%D1%80%D0%B0%D1%8F%20%D0%B4%D0%B0%D0%BC%D0%B0%201974%20%D1%84%D0%B8%D0%BB%D1%8C%D0%BC","искать")</f>
        <v/>
      </c>
      <c r="N5507" s="3" t="n"/>
      <c r="O5507" s="2" t="n"/>
      <c r="P5507" s="2" t="n"/>
    </row>
    <row r="5508">
      <c r="A5508" s="2" t="n">
        <v>5507</v>
      </c>
      <c r="B5508" s="2" t="inlineStr"/>
      <c r="C5508" s="2" t="n">
        <v>11160</v>
      </c>
      <c r="D5508" s="3" t="inlineStr">
        <is>
          <t>Капитанша</t>
        </is>
      </c>
      <c r="E5508" s="2" t="n">
        <v>1987</v>
      </c>
      <c r="F5508" s="2" t="inlineStr">
        <is>
          <t>фильм-спектакль</t>
        </is>
      </c>
      <c r="G5508" s="2" t="inlineStr">
        <is>
          <t>Укртелефильм</t>
        </is>
      </c>
      <c r="H5508" s="2" t="n">
        <v>339</v>
      </c>
      <c r="I5508" s="2" t="inlineStr"/>
      <c r="J5508" s="2" t="inlineStr"/>
      <c r="K5508" s="3" t="inlineStr">
        <is>
          <t>По мотивам одноименной повести Тараса Шевченко. Путешествующий писатель однажды знакомится с удивительной женщиной, которую ее муж называет Капитанша. Писатель жаждет узнать побольше об этой женщине. Отец его друга соглашается рассказать эту удивительную историю, продолжавшуюся много лет, и в которой он принимал непосредственное участие.</t>
        </is>
      </c>
      <c r="L5508" s="2" t="inlineStr">
        <is>
          <t>https://www.kino-teatr.ru/teatr/movie/98794/annot/</t>
        </is>
      </c>
      <c r="M5508" s="2">
        <f>HYPERLINK("https://ru.wikipedia.org/w/index.php?search=%D0%9A%D0%B0%D0%BF%D0%B8%D1%82%D0%B0%D0%BD%D1%88%D0%B0%201987%20%D1%84%D0%B8%D0%BB%D1%8C%D0%BC","искать")</f>
        <v/>
      </c>
      <c r="N5508" s="3" t="n"/>
      <c r="O5508" s="2" t="n"/>
      <c r="P5508" s="2" t="n"/>
    </row>
    <row r="5509">
      <c r="A5509" s="2" t="n">
        <v>5508</v>
      </c>
      <c r="B5509" s="2" t="inlineStr"/>
      <c r="C5509" s="2" t="n">
        <v>11419</v>
      </c>
      <c r="D5509" s="3" t="inlineStr">
        <is>
          <t>Желтик</t>
        </is>
      </c>
      <c r="E5509" s="2" t="n">
        <v>1966</v>
      </c>
      <c r="F5509" s="2" t="inlineStr">
        <is>
          <t>мультфильм</t>
        </is>
      </c>
      <c r="G5509" s="2" t="inlineStr">
        <is>
          <t>Союзмультфильм</t>
        </is>
      </c>
      <c r="H5509" s="2" t="n">
        <v>339</v>
      </c>
      <c r="I5509" s="2" t="inlineStr"/>
      <c r="J5509" s="2" t="inlineStr"/>
      <c r="K5509" s="3" t="inlineStr">
        <is>
          <t>Маленький цыпленок Желтик отправляется в лес. Он нападает на Змею, приняв ее за червяка. От неминуемой смерти спасает цыпленка Еж. Встретив Лису, Желтик затвает с ней игру в прятки. От лисьих зубов глупого цыпленка спасает Лось. Тем временем наседка Пеструха ищет своего сынка по всему лесу. Она находит его у ручья и, отругав, ведет домой</t>
        </is>
      </c>
      <c r="L5509" s="2" t="inlineStr">
        <is>
          <t>https://gosfilmofond.ru/films/254224/</t>
        </is>
      </c>
      <c r="M5509" s="2">
        <f>HYPERLINK("https://ru.wikipedia.org/w/index.php?search=%D0%96%D0%B5%D0%BB%D1%82%D0%B8%D0%BA%201966%20%D1%84%D0%B8%D0%BB%D1%8C%D0%BC","искать")</f>
        <v/>
      </c>
      <c r="N5509" s="3" t="n"/>
      <c r="O5509" s="2" t="n"/>
      <c r="P5509" s="2" t="n"/>
    </row>
    <row r="5510">
      <c r="A5510" s="2" t="n">
        <v>5509</v>
      </c>
      <c r="B5510" s="2" t="inlineStr"/>
      <c r="C5510" s="2" t="n">
        <v>13044</v>
      </c>
      <c r="D5510" s="3" t="inlineStr">
        <is>
          <t>Тигр мяу-мяу</t>
        </is>
      </c>
      <c r="E5510" s="2" t="n">
        <v>1967</v>
      </c>
      <c r="F5510" s="2" t="inlineStr">
        <is>
          <t>мультфильм</t>
        </is>
      </c>
      <c r="G5510" s="2" t="inlineStr">
        <is>
          <t>РИЖСКАЯ КИНОСТУДИЯ</t>
        </is>
      </c>
      <c r="H5510" s="2" t="n">
        <v>339</v>
      </c>
      <c r="I5510" s="2" t="inlineStr"/>
      <c r="J5510" s="2" t="inlineStr"/>
      <c r="K5510" s="3" t="inlineStr">
        <is>
          <t>Маленький мальчик небрежно обращается со своими игрушками и с рыжим полосатым котенком. Однажды волшебник с афиши разгневался и превратил мальчика в куклу. Полосатый котенок превратился для него в громадного тигра и мальчику понадобилось много выдумки и ловкости, чтобы спастись от зверя, пока волшебник вновь не превратил куклу в мальчика</t>
        </is>
      </c>
      <c r="L5510" s="2" t="inlineStr">
        <is>
          <t>https://gosfilmofond.ru/films/254295/</t>
        </is>
      </c>
      <c r="M5510" s="2">
        <f>HYPERLINK("https://ru.wikipedia.org/w/index.php?search=%D0%A2%D0%B8%D0%B3%D1%80%20%D0%BC%D1%8F%D1%83-%D0%BC%D1%8F%D1%83%201967%20%D1%84%D0%B8%D0%BB%D1%8C%D0%BC","искать")</f>
        <v/>
      </c>
      <c r="N5510" s="3" t="n"/>
      <c r="O5510" s="2" t="n"/>
      <c r="P5510" s="2" t="n"/>
    </row>
    <row r="5511">
      <c r="A5511" s="2" t="n">
        <v>5510</v>
      </c>
      <c r="B5511" s="2" t="inlineStr"/>
      <c r="C5511" s="2" t="n">
        <v>14217</v>
      </c>
      <c r="D5511" s="3" t="inlineStr">
        <is>
          <t>Петушок</t>
        </is>
      </c>
      <c r="E5511" s="2" t="n">
        <v>1966</v>
      </c>
      <c r="F5511" s="2" t="inlineStr">
        <is>
          <t>мультфильм</t>
        </is>
      </c>
      <c r="G5511" s="2" t="inlineStr">
        <is>
          <t>РИЖСКАЯ КИНОСТУДИЯ</t>
        </is>
      </c>
      <c r="H5511" s="2" t="n">
        <v>339</v>
      </c>
      <c r="I5511" s="2" t="inlineStr"/>
      <c r="J5511" s="2" t="inlineStr"/>
      <c r="K5511" s="3" t="inlineStr">
        <is>
          <t>Бедный Старичок нашел яйцо, из которого вылупился Петушок. Старичок выходил Петушка. И решил Петушок отблагодарить хозяина: принес ему волшебную мельницу, пекущую лепешки. Узнал об этой чудо-мельнице богатый Барин и украл ее. Тогда Петушок и его приятель Песик отправляются к богатею, отнимают у него чудо-мельницу и возвращают ее Старичку</t>
        </is>
      </c>
      <c r="L5511" s="2" t="inlineStr">
        <is>
          <t>https://gosfilmofond.ru/films/254240/</t>
        </is>
      </c>
      <c r="M5511" s="2">
        <f>HYPERLINK("https://ru.wikipedia.org/w/index.php?search=%D0%9F%D0%B5%D1%82%D1%83%D1%88%D0%BE%D0%BA%201966%20%D1%84%D0%B8%D0%BB%D1%8C%D0%BC","искать")</f>
        <v/>
      </c>
      <c r="N5511" s="3" t="n"/>
      <c r="O5511" s="2" t="n"/>
      <c r="P5511" s="2" t="n"/>
    </row>
    <row r="5512">
      <c r="A5512" s="2" t="n">
        <v>5511</v>
      </c>
      <c r="B5512" s="2" t="inlineStr"/>
      <c r="C5512" s="2" t="n">
        <v>7426</v>
      </c>
      <c r="D5512" s="3" t="inlineStr">
        <is>
          <t>Гадание на бараньей лопатке</t>
        </is>
      </c>
      <c r="E5512" s="2" t="n">
        <v>1988</v>
      </c>
      <c r="F5512" s="2" t="inlineStr">
        <is>
          <t>телефильм</t>
        </is>
      </c>
      <c r="G5512" s="2" t="inlineStr">
        <is>
          <t>Рижская к/с</t>
        </is>
      </c>
      <c r="H5512" s="2" t="n">
        <v>340</v>
      </c>
      <c r="I5512" s="2" t="inlineStr"/>
      <c r="J5512" s="2" t="inlineStr"/>
      <c r="K5512" s="3" t="inlineStr">
        <is>
          <t>Действие фильма происходит в начале 50-х годов в небольшой сибирской деревушке, где пересеклись пути и судьбы сосланных латышей, калмыков, русских. Мальчик-калмык Лиджи живёт с дедушкой, который ходит в тайгу, собирает травы, лечит односельчан. Однажды дедушку арестовали по ложному обвинению в убийстве и поджоге фермы. Лиджи остался один.</t>
        </is>
      </c>
      <c r="L5512" s="2" t="inlineStr">
        <is>
          <t>https://ru.wikipedia.org/w/index.php?title=%D0%93%D0%B0%D0%B4%D0%B0%D0%BD%D0%B8%D0%B5_%D0%BD%D0%B0_%D0%B1%D0%B0%D1%80%D0%B0%D0%BD%D1%8C%D0%B5%D0%B9_%D0%BB%D0%BE%D0%BF%D0%B0%D1%82%D0%BA%D0%B5&amp;oldid=153619525</t>
        </is>
      </c>
      <c r="M5512" s="2">
        <f>HYPERLINK("https://ru.wikipedia.org/w/index.php?search=%D0%93%D0%B0%D0%B4%D0%B0%D0%BD%D0%B8%D0%B5%20%D0%BD%D0%B0%20%D0%B1%D0%B0%D1%80%D0%B0%D0%BD%D1%8C%D0%B5%D0%B9%20%D0%BB%D0%BE%D0%BF%D0%B0%D1%82%D0%BA%D0%B5%201988%20%D1%84%D0%B8%D0%BB%D1%8C%D0%BC","искать")</f>
        <v/>
      </c>
      <c r="N5512" s="3" t="n"/>
      <c r="O5512" s="2" t="n"/>
      <c r="P5512" s="2" t="n"/>
    </row>
    <row r="5513">
      <c r="A5513" s="2" t="n">
        <v>5512</v>
      </c>
      <c r="B5513" s="2" t="inlineStr"/>
      <c r="C5513" s="2" t="n">
        <v>7914</v>
      </c>
      <c r="D5513" s="3" t="inlineStr">
        <is>
          <t>Мускал</t>
        </is>
      </c>
      <c r="E5513" s="2" t="n">
        <v>1990</v>
      </c>
      <c r="F5513" s="2" t="inlineStr">
        <is>
          <t>телефильм</t>
        </is>
      </c>
      <c r="G5513" s="2" t="n"/>
      <c r="H5513" s="2" t="n">
        <v>340</v>
      </c>
      <c r="I5513" s="2" t="inlineStr"/>
      <c r="J5513" s="2" t="inlineStr"/>
      <c r="K5513" s="3" t="inlineStr">
        <is>
          <t>Телефильм. Молодой следователь Санджар ведет дела, связанные с торговлей наркотиками. Во время допроса один из задержанных неожиданно умирает. Подозрение падает на Санджара, но он продолжает расследование. Когда Санджару удается добраться до главарей, его начальник, связанный с преступным миром, добивается ареста неподкупного следователя.</t>
        </is>
      </c>
      <c r="L5513" s="2" t="inlineStr">
        <is>
          <t>Кино_СССР сводный каталог.xlsx: список телефильмов</t>
        </is>
      </c>
      <c r="M5513" s="2">
        <f>HYPERLINK("https://ru.wikipedia.org/w/index.php?search=%D0%9C%D1%83%D1%81%D0%BA%D0%B0%D0%BB%201990%20%D1%84%D0%B8%D0%BB%D1%8C%D0%BC","искать")</f>
        <v/>
      </c>
      <c r="N5513" s="3" t="n"/>
      <c r="O5513" s="2" t="n"/>
      <c r="P5513" s="2" t="n"/>
    </row>
    <row r="5514">
      <c r="A5514" s="2" t="n">
        <v>5513</v>
      </c>
      <c r="B5514" s="2" t="inlineStr"/>
      <c r="C5514" s="2" t="n">
        <v>8048</v>
      </c>
      <c r="D5514" s="3" t="inlineStr">
        <is>
          <t>Орех Кракатук</t>
        </is>
      </c>
      <c r="E5514" s="2" t="n">
        <v>1977</v>
      </c>
      <c r="F5514" s="2" t="inlineStr">
        <is>
          <t>телефильм</t>
        </is>
      </c>
      <c r="G5514" s="2" t="n"/>
      <c r="H5514" s="2" t="n">
        <v>340</v>
      </c>
      <c r="I5514" s="2" t="inlineStr"/>
      <c r="J5514" s="2" t="inlineStr"/>
      <c r="K5514" s="3" t="inlineStr">
        <is>
          <t>Музыкальный видеофильм по мотивам сказки Эрнеста Теодора Амадея Гофмана "Щелкунчик и мышиный король". С девочкой Машей в ночь перед Новым годом случается нечто прекрасное и страшное. Она попадёт в сказочное ёлочное королевство, где встретит Короля и Королеву, в которых узнает отца и мачеху, в чаще будут прятаться злобные и коварные крысы.</t>
        </is>
      </c>
      <c r="L5514" s="2" t="inlineStr">
        <is>
          <t>Кино_СССР сводный каталог.xlsx: список телефильмов</t>
        </is>
      </c>
      <c r="M5514" s="2">
        <f>HYPERLINK("https://ru.wikipedia.org/w/index.php?search=%D0%9E%D1%80%D0%B5%D1%85%20%D0%9A%D1%80%D0%B0%D0%BA%D0%B0%D1%82%D1%83%D0%BA%201977%20%D1%84%D0%B8%D0%BB%D1%8C%D0%BC","искать")</f>
        <v/>
      </c>
      <c r="N5514" s="3" t="n"/>
      <c r="O5514" s="2" t="n"/>
      <c r="P5514" s="2" t="n"/>
    </row>
    <row r="5515">
      <c r="A5515" s="2" t="n">
        <v>5514</v>
      </c>
      <c r="B5515" s="2" t="inlineStr"/>
      <c r="C5515" s="2" t="n">
        <v>9430</v>
      </c>
      <c r="D5515" s="3" t="inlineStr">
        <is>
          <t>Кому на Руси жить...</t>
        </is>
      </c>
      <c r="E5515" s="2" t="n">
        <v>1989</v>
      </c>
      <c r="F5515" s="2" t="inlineStr">
        <is>
          <t>кинофильм</t>
        </is>
      </c>
      <c r="G5515" s="2" t="n"/>
      <c r="H5515" s="2" t="n">
        <v>340</v>
      </c>
      <c r="I5515" s="2" t="inlineStr"/>
      <c r="J5515" s="2" t="inlineStr"/>
      <c r="K5515" s="3" t="inlineStr">
        <is>
          <t>После окончания войны Бачурин с наградами вернулся домой, где его ждала семья и огромный сад, который он любил с детства. Но вышел указ об обложении налогом фруктовых деревьев, находящихся в частных владениях. И Бачурин загубил сад, ошпарив яблони кипятком. Так он получил свой первый большой срок... В 1953 вернулся к осиротевшим сыновьям.</t>
        </is>
      </c>
      <c r="L5515" s="2" t="inlineStr">
        <is>
          <t>Кино_СССР сводный каталог.xlsx: список фильмов (доп.)</t>
        </is>
      </c>
      <c r="M5515" s="2">
        <f>HYPERLINK("https://ru.wikipedia.org/w/index.php?search=%D0%9A%D0%BE%D0%BC%D1%83%20%D0%BD%D0%B0%20%D0%A0%D1%83%D1%81%D0%B8%20%D0%B6%D0%B8%D1%82%D1%8C...%201989%20%D1%84%D0%B8%D0%BB%D1%8C%D0%BC","искать")</f>
        <v/>
      </c>
      <c r="N5515" s="3" t="n"/>
      <c r="O5515" s="2" t="n"/>
      <c r="P5515" s="2" t="n"/>
    </row>
    <row r="5516">
      <c r="A5516" s="2" t="n">
        <v>5515</v>
      </c>
      <c r="B5516" s="2" t="inlineStr"/>
      <c r="C5516" s="2" t="n">
        <v>9777</v>
      </c>
      <c r="D5516" s="3" t="inlineStr">
        <is>
          <t>Щенок</t>
        </is>
      </c>
      <c r="E5516" s="2" t="n">
        <v>1988</v>
      </c>
      <c r="F5516" s="2" t="inlineStr">
        <is>
          <t>кинофильм</t>
        </is>
      </c>
      <c r="G5516" s="2" t="n"/>
      <c r="H5516" s="2" t="n">
        <v>340</v>
      </c>
      <c r="I5516" s="2" t="inlineStr"/>
      <c r="J5516" s="2" t="inlineStr"/>
      <c r="K5516" s="3" t="inlineStr">
        <is>
          <t>Десятиклассник Николай Ольховников жил в маленьком провинциальном городке Ольховка. Однажды он написал в редакцию центральной газеты письмо, в котором рассказал о творящихся в Ольховке безобразиях, о представителях власти, связанных между собой тесными узами коррупции и безнаказанности. Когда письмо было опубликовано, Николай стал изгоем.</t>
        </is>
      </c>
      <c r="L5516" s="2" t="inlineStr">
        <is>
          <t>Кино_СССР сводный каталог.xlsx: список фильмов (доп.)</t>
        </is>
      </c>
      <c r="M5516" s="2">
        <f>HYPERLINK("https://ru.wikipedia.org/w/index.php?search=%D0%A9%D0%B5%D0%BD%D0%BE%D0%BA%201988%20%D1%84%D0%B8%D0%BB%D1%8C%D0%BC","искать")</f>
        <v/>
      </c>
      <c r="N5516" s="3" t="n"/>
      <c r="O5516" s="2" t="n"/>
      <c r="P5516" s="2" t="n"/>
    </row>
    <row r="5517">
      <c r="A5517" s="2" t="n">
        <v>5516</v>
      </c>
      <c r="B5517" s="2" t="inlineStr"/>
      <c r="C5517" s="2" t="n">
        <v>11427</v>
      </c>
      <c r="D5517" s="3" t="inlineStr">
        <is>
          <t>Потерялась внучка</t>
        </is>
      </c>
      <c r="E5517" s="2" t="n">
        <v>1966</v>
      </c>
      <c r="F5517" s="2" t="inlineStr">
        <is>
          <t>мультфильм</t>
        </is>
      </c>
      <c r="G5517" s="2" t="inlineStr">
        <is>
          <t>Союзмультфильм</t>
        </is>
      </c>
      <c r="H5517" s="2" t="n">
        <v>340</v>
      </c>
      <c r="I5517" s="2" t="inlineStr"/>
      <c r="J5517" s="2" t="inlineStr"/>
      <c r="K5517" s="3" t="inlineStr">
        <is>
          <t>Мама и папа ушли на работу, оставив дочку под опекой дедушки. Проказница внучка отчаянно шалит, не слушает дедушку. А потом, воспользовавшись минутным отсутствием деда, убегает из дома. дедушка обращается за помощью к милиции. После долгих поисков на улицах города бравый милиционер находит потерявшуюся внучку и привозит ее домой к дедушке</t>
        </is>
      </c>
      <c r="L5517" s="2" t="inlineStr">
        <is>
          <t>https://gosfilmofond.ru/films/254242/</t>
        </is>
      </c>
      <c r="M5517" s="2">
        <f>HYPERLINK("https://ru.wikipedia.org/w/index.php?search=%D0%9F%D0%BE%D1%82%D0%B5%D1%80%D1%8F%D0%BB%D0%B0%D1%81%D1%8C%20%D0%B2%D0%BD%D1%83%D1%87%D0%BA%D0%B0%201966%20%D1%84%D0%B8%D0%BB%D1%8C%D0%BC","искать")</f>
        <v/>
      </c>
      <c r="N5517" s="3" t="n"/>
      <c r="O5517" s="2" t="n"/>
      <c r="P5517" s="2" t="n"/>
    </row>
    <row r="5518">
      <c r="A5518" s="2" t="n">
        <v>5517</v>
      </c>
      <c r="B5518" s="2" t="inlineStr"/>
      <c r="C5518" s="2" t="n">
        <v>12723</v>
      </c>
      <c r="D5518" s="3" t="inlineStr">
        <is>
          <t>Аквариум</t>
        </is>
      </c>
      <c r="E5518" s="2" t="n">
        <v>1983</v>
      </c>
      <c r="F5518" s="2" t="inlineStr">
        <is>
          <t>мультфильм</t>
        </is>
      </c>
      <c r="G5518" s="2" t="inlineStr">
        <is>
          <t>АЗЕРБАЙДЖАНФИЛЬМ</t>
        </is>
      </c>
      <c r="H5518" s="2" t="n">
        <v>340</v>
      </c>
      <c r="I5518" s="2" t="inlineStr"/>
      <c r="J5518" s="2" t="inlineStr"/>
      <c r="K5518" s="3" t="inlineStr">
        <is>
          <t>О взаимоотношениях взрослых и детей, о необходимости бережного отношения к душе ребенка. На лето родители едут в отпуск, ребенка отправляют в пионерлагерь, чтобы не болтался все лето во дворе или возле своего любимого аквариума с рыбками. Родители отдают рыбок в зоопарк, но аквариум по неомторожности разбивают, горю мальчика нет предела..</t>
        </is>
      </c>
      <c r="L5518" s="2" t="inlineStr">
        <is>
          <t>https://gosfilmofond.ru/films/250573/</t>
        </is>
      </c>
      <c r="M5518" s="2">
        <f>HYPERLINK("https://ru.wikipedia.org/w/index.php?search=%D0%90%D0%BA%D0%B2%D0%B0%D1%80%D0%B8%D1%83%D0%BC%201983%20%D1%84%D0%B8%D0%BB%D1%8C%D0%BC","искать")</f>
        <v/>
      </c>
      <c r="N5518" s="3" t="n"/>
      <c r="O5518" s="2" t="n"/>
      <c r="P5518" s="2" t="n"/>
    </row>
    <row r="5519">
      <c r="A5519" s="2" t="n">
        <v>5518</v>
      </c>
      <c r="B5519" s="2" t="inlineStr"/>
      <c r="C5519" s="2" t="n">
        <v>7408</v>
      </c>
      <c r="D5519" s="3" t="inlineStr">
        <is>
          <t>Встречайте проездом</t>
        </is>
      </c>
      <c r="E5519" s="2" t="n">
        <v>1968</v>
      </c>
      <c r="F5519" s="2" t="inlineStr">
        <is>
          <t>телефильм</t>
        </is>
      </c>
      <c r="G5519" s="2" t="inlineStr">
        <is>
          <t>ТО «Экран»</t>
        </is>
      </c>
      <c r="H5519" s="2" t="n">
        <v>341</v>
      </c>
      <c r="I5519" s="2" t="inlineStr"/>
      <c r="J5519" s="2" t="inlineStr"/>
      <c r="K5519" s="3" t="inlineStr">
        <is>
          <t>Больше года переписывались солдат и путеукладчица Валя. Девушка в письмах сообщала, что будто бы работает учительницей, пыталась “присвоить” себе качества, которыми не располагала, хотя в действительности была милым, хорошим человеком. В результате, приехавший к Вале солдат, так и не узнает ее, а Валя постыдилась признаться в своем обмане.</t>
        </is>
      </c>
      <c r="L5519" s="2" t="inlineStr">
        <is>
          <t>Кино_СССР сводный каталог.xlsx: список телефильмов</t>
        </is>
      </c>
      <c r="M5519" s="2">
        <f>HYPERLINK("https://ru.wikipedia.org/w/index.php?search=%D0%92%D1%81%D1%82%D1%80%D0%B5%D1%87%D0%B0%D0%B9%D1%82%D0%B5%20%D0%BF%D1%80%D0%BE%D0%B5%D0%B7%D0%B4%D0%BE%D0%BC%201968%20%D1%84%D0%B8%D0%BB%D1%8C%D0%BC","искать")</f>
        <v/>
      </c>
      <c r="N5519" s="3" t="n"/>
      <c r="O5519" s="2" t="n"/>
      <c r="P5519" s="2" t="n"/>
    </row>
    <row r="5520">
      <c r="A5520" s="2" t="n">
        <v>5519</v>
      </c>
      <c r="B5520" s="2" t="inlineStr"/>
      <c r="C5520" s="2" t="n">
        <v>7409</v>
      </c>
      <c r="D5520" s="3" t="inlineStr">
        <is>
          <t>Встречи</t>
        </is>
      </c>
      <c r="E5520" s="2" t="n">
        <v>1978</v>
      </c>
      <c r="F5520" s="2" t="inlineStr">
        <is>
          <t>телефильм</t>
        </is>
      </c>
      <c r="G5520" s="2" t="n"/>
      <c r="H5520" s="2" t="n">
        <v>341</v>
      </c>
      <c r="I5520" s="2" t="inlineStr"/>
      <c r="J5520" s="2" t="inlineStr"/>
      <c r="K5520" s="3" t="inlineStr">
        <is>
          <t>В основе телефильма — три рассказа: «Встреча» Валентина Распутина, «Прохладное солнце осени» Юрия Трифонова и «Тряпки» С.Никитина. В рассказе Трифонова "Прозрачное солнце осени" встречаются два бывших однокурсника, выпускника Института физкультуры. Один стал крупным чиновником от спорта, живет в столице, выезжает в зарубежные командировки.</t>
        </is>
      </c>
      <c r="L5520" s="2" t="inlineStr">
        <is>
          <t>Кино_СССР сводный каталог.xlsx: список телефильмов</t>
        </is>
      </c>
      <c r="M5520" s="2">
        <f>HYPERLINK("https://ru.wikipedia.org/w/index.php?search=%D0%92%D1%81%D1%82%D1%80%D0%B5%D1%87%D0%B8%201978%20%D1%84%D0%B8%D0%BB%D1%8C%D0%BC","искать")</f>
        <v/>
      </c>
      <c r="N5520" s="3" t="n"/>
      <c r="O5520" s="2" t="n"/>
      <c r="P5520" s="2" t="n"/>
    </row>
    <row r="5521">
      <c r="A5521" s="2" t="n">
        <v>5520</v>
      </c>
      <c r="B5521" s="2" t="inlineStr"/>
      <c r="C5521" s="2" t="n">
        <v>8080</v>
      </c>
      <c r="D5521" s="3" t="inlineStr">
        <is>
          <t>Парень с Рабочей улицы</t>
        </is>
      </c>
      <c r="E5521" s="2" t="n">
        <v>1977</v>
      </c>
      <c r="F5521" s="2" t="inlineStr">
        <is>
          <t>телефильм</t>
        </is>
      </c>
      <c r="G5521" s="2" t="n"/>
      <c r="H5521" s="2" t="n">
        <v>341</v>
      </c>
      <c r="I5521" s="2" t="inlineStr"/>
      <c r="J5521" s="2" t="inlineStr"/>
      <c r="K5521" s="3" t="inlineStr">
        <is>
          <t>По роману А.Беляускаса "Она любила Паулюса". Только вчера они закончили гимназию. А сегодня война. В гимназии обосновалось гестапо. Молодые герои фильма заняли разную позицию. Один вчерашний гимназист пропился. Другой-Черешка пошёл на службу к немцам. Но были и такие как Повилас Гиниотис, сын рабочего, который вступил в борьбу с фашистами.</t>
        </is>
      </c>
      <c r="L5521" s="2" t="inlineStr">
        <is>
          <t>Кино_СССР сводный каталог.xlsx: список телефильмов</t>
        </is>
      </c>
      <c r="M5521" s="2">
        <f>HYPERLINK("https://ru.wikipedia.org/w/index.php?search=%D0%9F%D0%B0%D1%80%D0%B5%D0%BD%D1%8C%20%D1%81%20%D0%A0%D0%B0%D0%B1%D0%BE%D1%87%D0%B5%D0%B9%20%D1%83%D0%BB%D0%B8%D1%86%D1%8B%201977%20%D1%84%D0%B8%D0%BB%D1%8C%D0%BC","искать")</f>
        <v/>
      </c>
      <c r="N5521" s="3" t="n"/>
      <c r="O5521" s="2" t="n"/>
      <c r="P5521" s="2" t="n"/>
    </row>
    <row r="5522">
      <c r="A5522" s="2" t="n">
        <v>5521</v>
      </c>
      <c r="B5522" s="2" t="inlineStr"/>
      <c r="C5522" s="2" t="n">
        <v>8109</v>
      </c>
      <c r="D5522" s="3" t="inlineStr">
        <is>
          <t>Петька в космосе</t>
        </is>
      </c>
      <c r="E5522" s="2" t="n">
        <v>1972</v>
      </c>
      <c r="F5522" s="2" t="inlineStr">
        <is>
          <t>телефильм</t>
        </is>
      </c>
      <c r="G5522" s="2" t="n"/>
      <c r="H5522" s="2" t="n">
        <v>341</v>
      </c>
      <c r="I5522" s="2" t="inlineStr"/>
      <c r="J5522" s="2" t="inlineStr"/>
      <c r="K5522" s="3" t="inlineStr">
        <is>
          <t>Телефильм. Школьник Петя, любитель помастерить и пофантазировать, однажды соорудил космический лифт. Над ним, конечно, все посмеялись, но Петя не обиделся, а принялся за следующее изобретение — и вскоре сконструировал необычную кухню. Кухня всех привела в полный восторг, и учитель предложил послать Петю на выставку технического творчества.</t>
        </is>
      </c>
      <c r="L5522" s="2" t="inlineStr">
        <is>
          <t>Кино_СССР сводный каталог.xlsx: список телефильмов</t>
        </is>
      </c>
      <c r="M5522" s="2">
        <f>HYPERLINK("https://ru.wikipedia.org/w/index.php?search=%D0%9F%D0%B5%D1%82%D1%8C%D0%BA%D0%B0%20%D0%B2%20%D0%BA%D0%BE%D1%81%D0%BC%D0%BE%D1%81%D0%B5%201972%20%D1%84%D0%B8%D0%BB%D1%8C%D0%BC","искать")</f>
        <v/>
      </c>
      <c r="N5522" s="3" t="n"/>
      <c r="O5522" s="2" t="n"/>
      <c r="P5522" s="2" t="n"/>
    </row>
    <row r="5523">
      <c r="A5523" s="2" t="n">
        <v>5522</v>
      </c>
      <c r="B5523" s="2" t="inlineStr"/>
      <c r="C5523" s="2" t="n">
        <v>8578</v>
      </c>
      <c r="D5523" s="3" t="inlineStr">
        <is>
          <t>Шестеро вышли в путь</t>
        </is>
      </c>
      <c r="E5523" s="2" t="n">
        <v>1971</v>
      </c>
      <c r="F5523" s="2" t="inlineStr">
        <is>
          <t>телефильм</t>
        </is>
      </c>
      <c r="G5523" s="2" t="n"/>
      <c r="H5523" s="2" t="n">
        <v>341</v>
      </c>
      <c r="I5523" s="2" t="inlineStr"/>
      <c r="J5523" s="2" t="inlineStr"/>
      <c r="K5523" s="3" t="inlineStr">
        <is>
          <t>Трёхсерийный телефильм по одноимённому роману писателя Евгения Рысса. 1926 год. НЭП. Шестнадцатилетний Коля Николаев в надежде найти единственного родного человека, брата отца, приезжает в маленький городок Пудож, расположенный в глухом лесном краю Карелии. Неожиданно для себя он нашёл здесь замечательных друзей в «коммуне для холостяков».</t>
        </is>
      </c>
      <c r="L5523" s="2" t="inlineStr">
        <is>
          <t>Кино_СССР сводный каталог.xlsx: список телефильмов</t>
        </is>
      </c>
      <c r="M5523" s="2">
        <f>HYPERLINK("https://ru.wikipedia.org/w/index.php?search=%D0%A8%D0%B5%D1%81%D1%82%D0%B5%D1%80%D0%BE%20%D0%B2%D1%8B%D1%88%D0%BB%D0%B8%20%D0%B2%20%D0%BF%D1%83%D1%82%D1%8C%201971%20%D1%84%D0%B8%D0%BB%D1%8C%D0%BC","искать")</f>
        <v/>
      </c>
      <c r="N5523" s="3" t="n"/>
      <c r="O5523" s="2" t="n"/>
      <c r="P5523" s="2" t="n"/>
    </row>
    <row r="5524">
      <c r="A5524" s="2" t="n">
        <v>5523</v>
      </c>
      <c r="B5524" s="2" t="inlineStr"/>
      <c r="C5524" s="2" t="n">
        <v>8935</v>
      </c>
      <c r="D5524" s="3" t="inlineStr">
        <is>
          <t>По закону джунглей</t>
        </is>
      </c>
      <c r="E5524" s="2" t="n">
        <v>1991</v>
      </c>
      <c r="F5524" s="2" t="inlineStr">
        <is>
          <t>кинофильм</t>
        </is>
      </c>
      <c r="G5524" s="2" t="inlineStr">
        <is>
          <t>Совинфильм, Узбекфильм, Eagle Films, Shakfilm</t>
        </is>
      </c>
      <c r="H5524" s="2" t="n">
        <v>341</v>
      </c>
      <c r="I5524" s="2" t="inlineStr"/>
      <c r="J5524" s="2" t="inlineStr"/>
      <c r="K5524" s="3" t="inlineStr">
        <is>
          <t>Любовный "четырехугольник", главные действующие лица которого циркачка Наташа (Ирина Кушнарева), охотник, любитель-дрессировщик слона Шанкар (Митхун Чакраборти — «Гуру», «Классический танец любви»), его подруга детства, имеющая на него виды и давний ухажер Наташи. Ревность, страдания, мучения, контрабанда наркотиков и невинные приключения.</t>
        </is>
      </c>
      <c r="L5524" s="2" t="inlineStr">
        <is>
          <t>Кино_СССР сводный каталог.xlsx: список фильмов (доп.)</t>
        </is>
      </c>
      <c r="M5524" s="2">
        <f>HYPERLINK("https://ru.wikipedia.org/w/index.php?search=%D0%9F%D0%BE%20%D0%B7%D0%B0%D0%BA%D0%BE%D0%BD%D1%83%20%D0%B4%D0%B6%D1%83%D0%BD%D0%B3%D0%BB%D0%B5%D0%B9%201991%20%D1%84%D0%B8%D0%BB%D1%8C%D0%BC","искать")</f>
        <v/>
      </c>
      <c r="N5524" s="3" t="n"/>
      <c r="O5524" s="2" t="n"/>
      <c r="P5524" s="2" t="n"/>
    </row>
    <row r="5525">
      <c r="A5525" s="2" t="n">
        <v>5524</v>
      </c>
      <c r="B5525" s="2" t="inlineStr"/>
      <c r="C5525" s="2" t="n">
        <v>9041</v>
      </c>
      <c r="D5525" s="3" t="inlineStr">
        <is>
          <t>Серебряный возраст</t>
        </is>
      </c>
      <c r="E5525" s="2" t="n">
        <v>1983</v>
      </c>
      <c r="F5525" s="2" t="inlineStr">
        <is>
          <t>кинофильм</t>
        </is>
      </c>
      <c r="G5525" s="2" t="n"/>
      <c r="H5525" s="2" t="n">
        <v>341</v>
      </c>
      <c r="I5525" s="2" t="inlineStr"/>
      <c r="J5525" s="2" t="inlineStr"/>
      <c r="K5525" s="3" t="inlineStr">
        <is>
          <t>Фильм снят по мотивам одноименного романа Веры Малевой. Бессменно работает председателем колхоза Замфира Дума. Здесь же работает главным инженером её муж Тудор. Они часто ссорятся из-за постоянных производственных конфликтов. Однажды, не посоветовавшись с женой, Тудор принимает предложение стать директором соседнего колхоза и уезжает туда.</t>
        </is>
      </c>
      <c r="L5525" s="2" t="inlineStr">
        <is>
          <t>Кино_СССР сводный каталог.xlsx: список фильмов (доп.)</t>
        </is>
      </c>
      <c r="M5525" s="2">
        <f>HYPERLINK("https://ru.wikipedia.org/w/index.php?search=%D0%A1%D0%B5%D1%80%D0%B5%D0%B1%D1%80%D1%8F%D0%BD%D1%8B%D0%B9%20%D0%B2%D0%BE%D0%B7%D1%80%D0%B0%D1%81%D1%82%201983%20%D1%84%D0%B8%D0%BB%D1%8C%D0%BC","искать")</f>
        <v/>
      </c>
      <c r="N5525" s="3" t="n"/>
      <c r="O5525" s="2" t="n"/>
      <c r="P5525" s="2" t="n"/>
    </row>
    <row r="5526">
      <c r="A5526" s="2" t="n">
        <v>5525</v>
      </c>
      <c r="B5526" s="2" t="inlineStr"/>
      <c r="C5526" s="2" t="n">
        <v>9339</v>
      </c>
      <c r="D5526" s="3" t="inlineStr">
        <is>
          <t>Дитя человеческое</t>
        </is>
      </c>
      <c r="E5526" s="2" t="n">
        <v>1991</v>
      </c>
      <c r="F5526" s="2" t="inlineStr">
        <is>
          <t>кинофильм</t>
        </is>
      </c>
      <c r="G5526" s="2" t="n"/>
      <c r="H5526" s="2" t="n">
        <v>341</v>
      </c>
      <c r="I5526" s="2" t="inlineStr"/>
      <c r="J5526" s="2" t="inlineStr"/>
      <c r="K5526" s="3" t="inlineStr">
        <is>
          <t>По одноименному роману Яниса Клидзейса. Мальчик, влюбленный в молодую женщину, которая в шутку называет его своим "маленьким женихом" и клянется в вечной верности, воспринимает все всерьез. А у нее есть настоящий жених. За которого она выходит замуж. Из-за этого возникают удивительные, комические, драматические и даже трагические ситуации.</t>
        </is>
      </c>
      <c r="L5526" s="2" t="inlineStr">
        <is>
          <t>Кино_СССР сводный каталог.xlsx: список фильмов (доп.)</t>
        </is>
      </c>
      <c r="M5526" s="2">
        <f>HYPERLINK("https://ru.wikipedia.org/w/index.php?search=%D0%94%D0%B8%D1%82%D1%8F%20%D1%87%D0%B5%D0%BB%D0%BE%D0%B2%D0%B5%D1%87%D0%B5%D1%81%D0%BA%D0%BE%D0%B5%201991%20%D1%84%D0%B8%D0%BB%D1%8C%D0%BC","искать")</f>
        <v/>
      </c>
      <c r="N5526" s="3" t="n"/>
      <c r="O5526" s="2" t="n"/>
      <c r="P5526" s="2" t="n"/>
    </row>
    <row r="5527">
      <c r="A5527" s="2" t="n">
        <v>5526</v>
      </c>
      <c r="B5527" s="2" t="inlineStr"/>
      <c r="C5527" s="2" t="n">
        <v>9540</v>
      </c>
      <c r="D5527" s="3" t="inlineStr">
        <is>
          <t>Очищение</t>
        </is>
      </c>
      <c r="E5527" s="2" t="n">
        <v>1990</v>
      </c>
      <c r="F5527" s="2" t="inlineStr">
        <is>
          <t>кинофильм</t>
        </is>
      </c>
      <c r="G5527" s="2" t="n"/>
      <c r="H5527" s="2" t="n">
        <v>341</v>
      </c>
      <c r="I5527" s="2" t="inlineStr"/>
      <c r="J5527" s="2" t="inlineStr"/>
      <c r="K5527" s="3" t="inlineStr">
        <is>
          <t>Фильм снят по произведению Л.Андреева "Жизнь Василия Фивейского", где с исключительной силой звучит богоборческая тема, гневный протест против слепого подчинения "высшей" власти. Несчастья, обрушивающиеся на отца Василия, нарушают меру возможного: у него тонет в реке сын, второй рождается идиотом, пьяная жена поджигает дом и сгорает в нем.</t>
        </is>
      </c>
      <c r="L5527" s="2" t="inlineStr">
        <is>
          <t>Кино_СССР сводный каталог.xlsx: список фильмов (доп.)</t>
        </is>
      </c>
      <c r="M5527" s="2">
        <f>HYPERLINK("https://ru.wikipedia.org/w/index.php?search=%D0%9E%D1%87%D0%B8%D1%89%D0%B5%D0%BD%D0%B8%D0%B5%201990%20%D1%84%D0%B8%D0%BB%D1%8C%D0%BC","искать")</f>
        <v/>
      </c>
      <c r="N5527" s="3" t="n"/>
      <c r="O5527" s="2" t="n"/>
      <c r="P5527" s="2" t="n"/>
    </row>
    <row r="5528">
      <c r="A5528" s="2" t="n">
        <v>5527</v>
      </c>
      <c r="B5528" s="2" t="inlineStr"/>
      <c r="C5528" s="2" t="n">
        <v>8117</v>
      </c>
      <c r="D5528" s="3" t="inlineStr">
        <is>
          <t>Плыви, кораблик...</t>
        </is>
      </c>
      <c r="E5528" s="2" t="n">
        <v>1983</v>
      </c>
      <c r="F5528" s="2" t="inlineStr">
        <is>
          <t>телефильм</t>
        </is>
      </c>
      <c r="G5528" s="2" t="n"/>
      <c r="H5528" s="2" t="n">
        <v>342</v>
      </c>
      <c r="I5528" s="2" t="inlineStr"/>
      <c r="J5528" s="2" t="inlineStr"/>
      <c r="K5528" s="3" t="inlineStr">
        <is>
          <t>В дверь квартиры бедной одинокой пенсионерки звонят школьники, которые помогают пожилым людям. Один из школьников — мальчик Толик Кореньков, видит в её комнате красивый игрушечный фрегат, который сделал сын бабушки, погибший на войне. Мальчик решает временно украсть кораблик, испытать его на воде и вернуть обратно. Однако кораблик ломается.</t>
        </is>
      </c>
      <c r="L5528" s="2" t="inlineStr">
        <is>
          <t>https://ru.wikipedia.org/w/index.php?title=%D0%9F%D0%BB%D1%8B%D0%B2%D0%B8%2C_%D0%BA%D0%BE%D1%80%D0%B0%D0%B1%D0%BB%D0%B8%D0%BA%E2%80%A6&amp;oldid=154465827</t>
        </is>
      </c>
      <c r="M5528" s="2">
        <f>HYPERLINK("https://ru.wikipedia.org/w/index.php?search=%D0%9F%D0%BB%D1%8B%D0%B2%D0%B8%2C%20%D0%BA%D0%BE%D1%80%D0%B0%D0%B1%D0%BB%D0%B8%D0%BA...%201983%20%D1%84%D0%B8%D0%BB%D1%8C%D0%BC","искать")</f>
        <v/>
      </c>
      <c r="N5528" s="3" t="n"/>
      <c r="O5528" s="2" t="n"/>
      <c r="P5528" s="2" t="n"/>
    </row>
    <row r="5529">
      <c r="A5529" s="2" t="n">
        <v>5528</v>
      </c>
      <c r="B5529" s="2" t="inlineStr"/>
      <c r="C5529" s="2" t="n">
        <v>8279</v>
      </c>
      <c r="D5529" s="3" t="inlineStr">
        <is>
          <t>Родной дом</t>
        </is>
      </c>
      <c r="E5529" s="2" t="n">
        <v>1973</v>
      </c>
      <c r="F5529" s="2" t="inlineStr">
        <is>
          <t>телефильм</t>
        </is>
      </c>
      <c r="G5529" s="2" t="n"/>
      <c r="H5529" s="2" t="n">
        <v>342</v>
      </c>
      <c r="I5529" s="2" t="inlineStr"/>
      <c r="J5529" s="2" t="inlineStr"/>
      <c r="K5529" s="3" t="inlineStr">
        <is>
          <t>По мотивам романа Анны Лупан "Третьи петухи". В семье потомственного хлебороба Ариона Карамана выросли четыре дочери. Их думами и заботами живет Арион, хотя и не может согласиться со многим, что происходит в их жизни. Особая духовная тонкость Ариона куда-то исчезает, когда он узнает о любви своей дочери Иляны к цыганскому пареньку Микандру.</t>
        </is>
      </c>
      <c r="L5529" s="2" t="inlineStr">
        <is>
          <t>Кино_СССР сводный каталог.xlsx: список телефильмов</t>
        </is>
      </c>
      <c r="M5529" s="2">
        <f>HYPERLINK("https://ru.wikipedia.org/w/index.php?search=%D0%A0%D0%BE%D0%B4%D0%BD%D0%BE%D0%B9%20%D0%B4%D0%BE%D0%BC%201973%20%D1%84%D0%B8%D0%BB%D1%8C%D0%BC","искать")</f>
        <v/>
      </c>
      <c r="N5529" s="3" t="n"/>
      <c r="O5529" s="2" t="n"/>
      <c r="P5529" s="2" t="n"/>
    </row>
    <row r="5530">
      <c r="A5530" s="2" t="n">
        <v>5529</v>
      </c>
      <c r="B5530" s="2" t="inlineStr"/>
      <c r="C5530" s="2" t="n">
        <v>8878</v>
      </c>
      <c r="D5530" s="3" t="inlineStr">
        <is>
          <t>Номер люкс для генерала с девочкой</t>
        </is>
      </c>
      <c r="E5530" s="2" t="n">
        <v>1991</v>
      </c>
      <c r="F5530" s="2" t="inlineStr">
        <is>
          <t>кинофильм</t>
        </is>
      </c>
      <c r="G5530" s="2" t="n"/>
      <c r="H5530" s="2" t="n">
        <v>342</v>
      </c>
      <c r="I5530" s="2" t="inlineStr"/>
      <c r="J5530" s="2" t="inlineStr"/>
      <c r="K5530" s="3" t="inlineStr">
        <is>
          <t>История путешествия старого карточного шулера Коти Бристоля и пятнадцатилетней Люськи, случайно составившей ему компанию... Человек он оказался добрый, и Люся вскоре стала называть его дедушкой. Они вместе поехали в Ялту, как говорил Котя, "на игру". Но работа шулера опасна, и нашлись люди, которые очень не прочь "попросить" его поделиться.</t>
        </is>
      </c>
      <c r="L5530" s="2" t="inlineStr">
        <is>
          <t>Кино_СССР сводный каталог.xlsx: список фильмов (доп.)</t>
        </is>
      </c>
      <c r="M5530" s="2">
        <f>HYPERLINK("https://ru.wikipedia.org/w/index.php?search=%D0%9D%D0%BE%D0%BC%D0%B5%D1%80%20%D0%BB%D1%8E%D0%BA%D1%81%20%D0%B4%D0%BB%D1%8F%20%D0%B3%D0%B5%D0%BD%D0%B5%D1%80%D0%B0%D0%BB%D0%B0%20%D1%81%20%D0%B4%D0%B5%D0%B2%D0%BE%D1%87%D0%BA%D0%BE%D0%B9%201991%20%D1%84%D0%B8%D0%BB%D1%8C%D0%BC","искать")</f>
        <v/>
      </c>
      <c r="N5530" s="3" t="n"/>
      <c r="O5530" s="2" t="n"/>
      <c r="P5530" s="2" t="n"/>
    </row>
    <row r="5531">
      <c r="A5531" s="2" t="n">
        <v>5530</v>
      </c>
      <c r="B5531" s="2" t="inlineStr"/>
      <c r="C5531" s="2" t="n">
        <v>8889</v>
      </c>
      <c r="D5531" s="3" t="inlineStr">
        <is>
          <t>Обручальное кольцо</t>
        </is>
      </c>
      <c r="E5531" s="2" t="n">
        <v>1991</v>
      </c>
      <c r="F5531" s="2" t="inlineStr">
        <is>
          <t>кинофильм</t>
        </is>
      </c>
      <c r="G5531" s="2" t="n"/>
      <c r="H5531" s="2" t="n">
        <v>342</v>
      </c>
      <c r="I5531" s="2" t="inlineStr"/>
      <c r="J5531" s="2" t="inlineStr"/>
      <c r="K5531" s="3" t="inlineStr">
        <is>
          <t>По мотивам одноименной пьесы Вагифа Самедоглу. В фильме рассказывается о летних дачных приключениях семей, собравшихся из разных слоев общества. Они очень разные, и в каждой семье есть свой взгляд на мир. Поэтому, на протяжении всего фильма мы наблюдаем комические и смешные сценки, в которые попадают эти семьи, из-за отношения друг к другу.</t>
        </is>
      </c>
      <c r="L5531" s="2" t="inlineStr">
        <is>
          <t>Кино_СССР сводный каталог.xlsx: список фильмов (доп.)</t>
        </is>
      </c>
      <c r="M5531" s="2">
        <f>HYPERLINK("https://ru.wikipedia.org/w/index.php?search=%D0%9E%D0%B1%D1%80%D1%83%D1%87%D0%B0%D0%BB%D1%8C%D0%BD%D0%BE%D0%B5%20%D0%BA%D0%BE%D0%BB%D1%8C%D1%86%D0%BE%201991%20%D1%84%D0%B8%D0%BB%D1%8C%D0%BC","искать")</f>
        <v/>
      </c>
      <c r="N5531" s="3" t="n"/>
      <c r="O5531" s="2" t="n"/>
      <c r="P5531" s="2" t="n"/>
    </row>
    <row r="5532">
      <c r="A5532" s="2" t="n">
        <v>5531</v>
      </c>
      <c r="B5532" s="2" t="inlineStr"/>
      <c r="C5532" s="2" t="n">
        <v>9655</v>
      </c>
      <c r="D5532" s="3" t="inlineStr">
        <is>
          <t>Смиренное кладбище</t>
        </is>
      </c>
      <c r="E5532" s="2" t="n">
        <v>1989</v>
      </c>
      <c r="F5532" s="2" t="inlineStr">
        <is>
          <t>кинофильм</t>
        </is>
      </c>
      <c r="G5532" s="2" t="n"/>
      <c r="H5532" s="2" t="n">
        <v>342</v>
      </c>
      <c r="I5532" s="2" t="inlineStr"/>
      <c r="J5532" s="2" t="inlineStr"/>
      <c r="K5532" s="3" t="inlineStr">
        <is>
          <t>По одноименной повести Сергея Каледина. Директором одного из кладбищ была продана под новое захоронение старая могила. Место это находилось рядом с могилой декабриста и было определено под мемориал. Выкопать новую могилу директор поручает Алексею Воробьеву по прозвищу Воробей. Когда началось выяснение инцидента, всю вину свалили на Воробья.</t>
        </is>
      </c>
      <c r="L5532" s="2" t="inlineStr">
        <is>
          <t>Кино_СССР сводный каталог.xlsx: список фильмов (доп.)</t>
        </is>
      </c>
      <c r="M5532" s="2">
        <f>HYPERLINK("https://ru.wikipedia.org/w/index.php?search=%D0%A1%D0%BC%D0%B8%D1%80%D0%B5%D0%BD%D0%BD%D0%BE%D0%B5%20%D0%BA%D0%BB%D0%B0%D0%B4%D0%B1%D0%B8%D1%89%D0%B5%201989%20%D1%84%D0%B8%D0%BB%D1%8C%D0%BC","искать")</f>
        <v/>
      </c>
      <c r="N5532" s="3" t="n"/>
      <c r="O5532" s="2" t="n"/>
      <c r="P5532" s="2" t="n"/>
    </row>
    <row r="5533">
      <c r="A5533" s="2" t="n">
        <v>5532</v>
      </c>
      <c r="B5533" s="2" t="inlineStr"/>
      <c r="C5533" s="2" t="n">
        <v>9839</v>
      </c>
      <c r="D5533" s="3" t="inlineStr">
        <is>
          <t>Зареченские женихи</t>
        </is>
      </c>
      <c r="E5533" s="2" t="n">
        <v>1967</v>
      </c>
      <c r="F5533" s="2" t="inlineStr">
        <is>
          <t>телефильм</t>
        </is>
      </c>
      <c r="G5533" s="2" t="inlineStr">
        <is>
          <t>Мосфильм</t>
        </is>
      </c>
      <c r="H5533" s="2" t="n">
        <v>342</v>
      </c>
      <c r="I5533" s="2" t="inlineStr"/>
      <c r="J5533" s="2" t="inlineStr"/>
      <c r="K5533" s="3" t="inlineStr">
        <is>
          <t>Телефильм по мотивам одноименного рассказа А.Леонова.
Известный сельский ловелас Пётр Бычков наконец-то решается жениться, превратно и самонадеянно истолковав Танины слова и засылает к невесте сватов, но... получает "от ворот-поворот", так как сердце Таньки уже отдано колхозному шоферу Мишке, с которым она и сбегает на санях сватов из дому.</t>
        </is>
      </c>
      <c r="L5533" s="2" t="inlineStr">
        <is>
          <t>https://www.kino-teatr.ru/short/movie/sov/2398/annot/</t>
        </is>
      </c>
      <c r="M5533" s="2">
        <f>HYPERLINK("https://ru.wikipedia.org/w/index.php?search=%D0%97%D0%B0%D1%80%D0%B5%D1%87%D0%B5%D0%BD%D1%81%D0%BA%D0%B8%D0%B5%20%D0%B6%D0%B5%D0%BD%D0%B8%D1%85%D0%B8%201967%20%D1%84%D0%B8%D0%BB%D1%8C%D0%BC","искать")</f>
        <v/>
      </c>
      <c r="N5533" s="3" t="n"/>
      <c r="O5533" s="2" t="n"/>
      <c r="P5533" s="2" t="n"/>
    </row>
    <row r="5534">
      <c r="A5534" s="2" t="n">
        <v>5533</v>
      </c>
      <c r="B5534" s="2" t="inlineStr"/>
      <c r="C5534" s="2" t="n">
        <v>7245</v>
      </c>
      <c r="D5534" s="3" t="inlineStr">
        <is>
          <t>Белый квадрат</t>
        </is>
      </c>
      <c r="E5534" s="2" t="n">
        <v>1970</v>
      </c>
      <c r="F5534" s="2" t="inlineStr">
        <is>
          <t>телефильм</t>
        </is>
      </c>
      <c r="G5534" s="2" t="inlineStr">
        <is>
          <t>Казахфильм</t>
        </is>
      </c>
      <c r="H5534" s="2" t="n">
        <v>343</v>
      </c>
      <c r="I5534" s="2" t="inlineStr"/>
      <c r="J5534" s="2" t="inlineStr"/>
      <c r="K5534" s="3" t="inlineStr">
        <is>
          <t>В телефильме рассказано о жизни молодого советского парня, по имени Куат. Его, выходца из далекого аула, отличают целеустремленность и серьезное отношение к учебе в ветеринарном институте, собственному увлечению боксом, в котором он добивается немалых успехов, и к жизни вообще. Вокруг него прекрасные люди, которые оказывают ему немало добра.</t>
        </is>
      </c>
      <c r="L5534" s="2" t="inlineStr">
        <is>
          <t>Кино_СССР сводный каталог.xlsx: список телефильмов</t>
        </is>
      </c>
      <c r="M5534" s="2">
        <f>HYPERLINK("https://ru.wikipedia.org/w/index.php?search=%D0%91%D0%B5%D0%BB%D1%8B%D0%B9%20%D0%BA%D0%B2%D0%B0%D0%B4%D1%80%D0%B0%D1%82%201970%20%D1%84%D0%B8%D0%BB%D1%8C%D0%BC","искать")</f>
        <v/>
      </c>
      <c r="N5534" s="3" t="n"/>
      <c r="O5534" s="2" t="n"/>
      <c r="P5534" s="2" t="n"/>
    </row>
    <row r="5535">
      <c r="A5535" s="2" t="n">
        <v>5534</v>
      </c>
      <c r="B5535" s="2" t="inlineStr"/>
      <c r="C5535" s="2" t="n">
        <v>7806</v>
      </c>
      <c r="D5535" s="3" t="inlineStr">
        <is>
          <t>Лето Сахата</t>
        </is>
      </c>
      <c r="E5535" s="2" t="n">
        <v>1976</v>
      </c>
      <c r="F5535" s="2" t="inlineStr">
        <is>
          <t>телефильм</t>
        </is>
      </c>
      <c r="G5535" s="2" t="n"/>
      <c r="H5535" s="2" t="n">
        <v>343</v>
      </c>
      <c r="I5535" s="2" t="inlineStr"/>
      <c r="J5535" s="2" t="inlineStr"/>
      <c r="K5535" s="3" t="inlineStr">
        <is>
          <t>На летние каникулы школьника Сахата родители отправляют из города к дедушке в горный аул. Это не только отдых с массой приключений с новыми друзьями. Здесь городской мальчник получает первые трудовые навыки и уроки бережного отношения к окружающей природе: учится гончарному делу, помогает собирать урожай, ухаживает за маленьким верблюжонком.</t>
        </is>
      </c>
      <c r="L5535" s="2" t="inlineStr">
        <is>
          <t>https://ru.wikipedia.org/w/index.php?title=%D0%9B%D0%B5%D1%82%D0%BE_%D0%A1%D0%B0%D1%85%D0%B0%D1%82%D0%B0&amp;oldid=154698541</t>
        </is>
      </c>
      <c r="M5535" s="2">
        <f>HYPERLINK("https://ru.wikipedia.org/w/index.php?search=%D0%9B%D0%B5%D1%82%D0%BE%20%D0%A1%D0%B0%D1%85%D0%B0%D1%82%D0%B0%201976%20%D1%84%D0%B8%D0%BB%D1%8C%D0%BC","искать")</f>
        <v/>
      </c>
      <c r="N5535" s="3" t="n"/>
      <c r="O5535" s="2" t="n"/>
      <c r="P5535" s="2" t="n"/>
    </row>
    <row r="5536">
      <c r="A5536" s="2" t="n">
        <v>5535</v>
      </c>
      <c r="B5536" s="2" t="inlineStr"/>
      <c r="C5536" s="2" t="n">
        <v>7981</v>
      </c>
      <c r="D5536" s="3" t="inlineStr">
        <is>
          <t>Некалендарный матч</t>
        </is>
      </c>
      <c r="E5536" s="2" t="n">
        <v>1972</v>
      </c>
      <c r="F5536" s="2" t="inlineStr">
        <is>
          <t>телефильм</t>
        </is>
      </c>
      <c r="G5536" s="2" t="n"/>
      <c r="H5536" s="2" t="n">
        <v>343</v>
      </c>
      <c r="I5536" s="2" t="inlineStr"/>
      <c r="J5536" s="2" t="inlineStr"/>
      <c r="K5536" s="3" t="inlineStr">
        <is>
          <t>Футбольная команда высшей лиги приезжает из Ташкента в поселок Солнечный для проведения товарищеского матча с командой геологов-буровиков. В команде мастеров играет Анвар - геолог по образованию. В Солнечном он встречает свою бывшую сокурсницу Гулю, которую любил в студенческие годы. Гуля убеждает Анвара вернуться к своей основной профессии.</t>
        </is>
      </c>
      <c r="L5536" s="2" t="inlineStr">
        <is>
          <t>Кино_СССР сводный каталог.xlsx: список телефильмов</t>
        </is>
      </c>
      <c r="M5536" s="2">
        <f>HYPERLINK("https://ru.wikipedia.org/w/index.php?search=%D0%9D%D0%B5%D0%BA%D0%B0%D0%BB%D0%B5%D0%BD%D0%B4%D0%B0%D1%80%D0%BD%D1%8B%D0%B9%20%D0%BC%D0%B0%D1%82%D1%87%201972%20%D1%84%D0%B8%D0%BB%D1%8C%D0%BC","искать")</f>
        <v/>
      </c>
      <c r="N5536" s="3" t="n"/>
      <c r="O5536" s="2" t="n"/>
      <c r="P5536" s="2" t="n"/>
    </row>
    <row r="5537">
      <c r="A5537" s="2" t="n">
        <v>5536</v>
      </c>
      <c r="B5537" s="2" t="inlineStr"/>
      <c r="C5537" s="2" t="n">
        <v>8436</v>
      </c>
      <c r="D5537" s="3" t="inlineStr">
        <is>
          <t>Такая длинная, длинная дорога...</t>
        </is>
      </c>
      <c r="E5537" s="2" t="n">
        <v>1969</v>
      </c>
      <c r="F5537" s="2" t="inlineStr">
        <is>
          <t>телефильм</t>
        </is>
      </c>
      <c r="G5537" s="2" t="n"/>
      <c r="H5537" s="2" t="n">
        <v>343</v>
      </c>
      <c r="I5537" s="2" t="inlineStr"/>
      <c r="J5537" s="2" t="inlineStr"/>
      <c r="K5537" s="3" t="inlineStr">
        <is>
          <t>Вышедший недавно на пенсию вдовый ленинградский рабочий собирается в дорогу, чтобы найти, где похоронен его не вернувшийся с войны единственный сын. У него есть только письмо с упоминанием местности, последнее письмо с фронта. Взяв с собой плотницкий инструмент, чтобы поставить памятник на могиле, отец отправляется в длинную, длинную дорогу.</t>
        </is>
      </c>
      <c r="L5537" s="2" t="inlineStr">
        <is>
          <t>Кино_СССР сводный каталог.xlsx: список телефильмов</t>
        </is>
      </c>
      <c r="M5537" s="2">
        <f>HYPERLINK("https://ru.wikipedia.org/w/index.php?search=%D0%A2%D0%B0%D0%BA%D0%B0%D1%8F%20%D0%B4%D0%BB%D0%B8%D0%BD%D0%BD%D0%B0%D1%8F%2C%20%D0%B4%D0%BB%D0%B8%D0%BD%D0%BD%D0%B0%D1%8F%20%D0%B4%D0%BE%D1%80%D0%BE%D0%B3%D0%B0...%201969%20%D1%84%D0%B8%D0%BB%D1%8C%D0%BC","искать")</f>
        <v/>
      </c>
      <c r="N5537" s="3" t="n"/>
      <c r="O5537" s="2" t="n"/>
      <c r="P5537" s="2" t="n"/>
    </row>
    <row r="5538">
      <c r="A5538" s="2" t="n">
        <v>5537</v>
      </c>
      <c r="B5538" s="2" t="inlineStr"/>
      <c r="C5538" s="2" t="n">
        <v>8666</v>
      </c>
      <c r="D5538" s="3" t="inlineStr">
        <is>
          <t>Воспоминания без даты</t>
        </is>
      </c>
      <c r="E5538" s="2" t="n">
        <v>1990</v>
      </c>
      <c r="F5538" s="2" t="inlineStr">
        <is>
          <t>кинофильм</t>
        </is>
      </c>
      <c r="G5538" s="2" t="n"/>
      <c r="H5538" s="2" t="n">
        <v>343</v>
      </c>
      <c r="I5538" s="2" t="inlineStr"/>
      <c r="J5538" s="2" t="inlineStr"/>
      <c r="K5538" s="3" t="inlineStr">
        <is>
          <t>По мотивам повести Н.Дубова «Беглец». Где-то на побережье в отдалении от поселка живет и работает бригада дорожных рабочих - несколько семей. Тяжел и бессмыслен их труд - дорога, которую они непрерывно ремонтируют, никуда не ведет и никому не нужна. Монотонность этой жизни нарушает поселившаяся рядом в палатке пара, путешествующая на машине.</t>
        </is>
      </c>
      <c r="L5538" s="2" t="inlineStr">
        <is>
          <t>Кино_СССР сводный каталог.xlsx: список фильмов (доп.)</t>
        </is>
      </c>
      <c r="M5538" s="2">
        <f>HYPERLINK("https://ru.wikipedia.org/w/index.php?search=%D0%92%D0%BE%D1%81%D0%BF%D0%BE%D0%BC%D0%B8%D0%BD%D0%B0%D0%BD%D0%B8%D1%8F%20%D0%B1%D0%B5%D0%B7%20%D0%B4%D0%B0%D1%82%D1%8B%201990%20%D1%84%D0%B8%D0%BB%D1%8C%D0%BC","искать")</f>
        <v/>
      </c>
      <c r="N5538" s="3" t="n"/>
      <c r="O5538" s="2" t="n"/>
      <c r="P5538" s="2" t="n"/>
    </row>
    <row r="5539">
      <c r="A5539" s="2" t="n">
        <v>5538</v>
      </c>
      <c r="B5539" s="2" t="inlineStr"/>
      <c r="C5539" s="2" t="n">
        <v>8827</v>
      </c>
      <c r="D5539" s="3" t="inlineStr">
        <is>
          <t>Мгновения любви</t>
        </is>
      </c>
      <c r="E5539" s="2" t="n">
        <v>1989</v>
      </c>
      <c r="F5539" s="2" t="inlineStr">
        <is>
          <t>кинофильм</t>
        </is>
      </c>
      <c r="G5539" s="2" t="n"/>
      <c r="H5539" s="2" t="n">
        <v>343</v>
      </c>
      <c r="I5539" s="2" t="inlineStr"/>
      <c r="J5539" s="2" t="inlineStr"/>
      <c r="K5539" s="3" t="inlineStr">
        <is>
          <t>Актеры и работники провинциального театра ездят со своими спектаклями по местам, где происходило действие лермонтовской "Бэлы". Актерская душа, сквозь которую проходят жизни множества персонажей, берет что-то от этих персонажей, пропускает их через себя, становится глубже... Фильм «Мгновения» завоевал ряд призов на международных киносмотрах.</t>
        </is>
      </c>
      <c r="L5539" s="2" t="inlineStr">
        <is>
          <t>Кино_СССР сводный каталог.xlsx: список фильмов (доп.)</t>
        </is>
      </c>
      <c r="M5539" s="2">
        <f>HYPERLINK("https://ru.wikipedia.org/w/index.php?search=%D0%9C%D0%B3%D0%BD%D0%BE%D0%B2%D0%B5%D0%BD%D0%B8%D1%8F%20%D0%BB%D1%8E%D0%B1%D0%B2%D0%B8%201989%20%D1%84%D0%B8%D0%BB%D1%8C%D0%BC","искать")</f>
        <v/>
      </c>
      <c r="N5539" s="3" t="n"/>
      <c r="O5539" s="2" t="n"/>
      <c r="P5539" s="2" t="n"/>
    </row>
    <row r="5540">
      <c r="A5540" s="2" t="n">
        <v>5539</v>
      </c>
      <c r="B5540" s="2" t="inlineStr"/>
      <c r="C5540" s="2" t="n">
        <v>10015</v>
      </c>
      <c r="D5540" s="3" t="inlineStr">
        <is>
          <t>Опасный приз</t>
        </is>
      </c>
      <c r="E5540" s="2" t="n">
        <v>1986</v>
      </c>
      <c r="F5540" s="2" t="inlineStr">
        <is>
          <t>телефильм</t>
        </is>
      </c>
      <c r="G5540" s="2" t="inlineStr">
        <is>
          <t>Киностудия им. М.Горького по заказу Гостелерадио СССР</t>
        </is>
      </c>
      <c r="H5540" s="2" t="n">
        <v>343</v>
      </c>
      <c r="I5540" s="2" t="inlineStr"/>
      <c r="J5540" s="2" t="inlineStr"/>
      <c r="K5540" s="3" t="inlineStr">
        <is>
          <t>По мотивам рассказа детского писателя Юрия Сотника "Кинохроника".
Учеников 5 "Б" класса за первое место в сборе макулатуры наградили кинокамерой. Снимать хронику жизни класса поручили Антону Дудкину. В результате всех курьезных историй, которые произошли с ребятами во время съемок, они решили "опасный приз" - кинокамеру - сдать в металлолом.</t>
        </is>
      </c>
      <c r="L5540" s="2" t="inlineStr">
        <is>
          <t>https://www.kino-teatr.ru/short/movie/sov/15924/annot/</t>
        </is>
      </c>
      <c r="M5540" s="2">
        <f>HYPERLINK("https://ru.wikipedia.org/w/index.php?search=%D0%9E%D0%BF%D0%B0%D1%81%D0%BD%D1%8B%D0%B9%20%D0%BF%D1%80%D0%B8%D0%B7%201986%20%D1%84%D0%B8%D0%BB%D1%8C%D0%BC","искать")</f>
        <v/>
      </c>
      <c r="N5540" s="3" t="n"/>
      <c r="O5540" s="2" t="n"/>
      <c r="P5540" s="2" t="n"/>
    </row>
    <row r="5541">
      <c r="A5541" s="2" t="n">
        <v>5540</v>
      </c>
      <c r="B5541" s="2" t="inlineStr"/>
      <c r="C5541" s="2" t="n">
        <v>10295</v>
      </c>
      <c r="D5541" s="3" t="inlineStr">
        <is>
          <t>Ваня, ты как здесь?</t>
        </is>
      </c>
      <c r="E5541" s="2" t="n">
        <v>1969</v>
      </c>
      <c r="F5541" s="2" t="inlineStr">
        <is>
          <t>фильм-спектакль</t>
        </is>
      </c>
      <c r="G5541" s="2" t="inlineStr">
        <is>
          <t>Ленинградское Телевидение</t>
        </is>
      </c>
      <c r="H5541" s="2" t="n">
        <v>343</v>
      </c>
      <c r="I5541" s="2" t="inlineStr"/>
      <c r="J5541" s="2" t="inlineStr"/>
      <c r="K5541" s="3" t="inlineStr">
        <is>
          <t>По одноименному рассказу Василия Шукшина.
Тракторист Пронька Лагутин приезжает в город. Знакомство с ассистентом режиссера неожиданно оборачивается приглашением его на роль сельского парня, переехавшего в город. Пронька с удовольствием репетирует, но поняв, что остаться - значит никогда больше не увидеть родной деревни, сбегает от режиссера.</t>
        </is>
      </c>
      <c r="L5541" s="2" t="inlineStr">
        <is>
          <t>https://www.kino-teatr.ru/teatr/movie/81415/annot/</t>
        </is>
      </c>
      <c r="M5541" s="2">
        <f>HYPERLINK("https://ru.wikipedia.org/w/index.php?search=%D0%92%D0%B0%D0%BD%D1%8F%2C%20%D1%82%D1%8B%20%D0%BA%D0%B0%D0%BA%20%D0%B7%D0%B4%D0%B5%D1%81%D1%8C%3F%201969%20%D1%84%D0%B8%D0%BB%D1%8C%D0%BC","искать")</f>
        <v/>
      </c>
      <c r="N5541" s="3" t="n"/>
      <c r="O5541" s="2" t="n"/>
      <c r="P5541" s="2" t="n"/>
    </row>
    <row r="5542">
      <c r="A5542" s="2" t="n">
        <v>5541</v>
      </c>
      <c r="B5542" s="2" t="inlineStr"/>
      <c r="C5542" s="2" t="n">
        <v>7343</v>
      </c>
      <c r="D5542" s="3" t="inlineStr">
        <is>
          <t>Виктория</t>
        </is>
      </c>
      <c r="E5542" s="2" t="n">
        <v>1987</v>
      </c>
      <c r="F5542" s="2" t="inlineStr">
        <is>
          <t>телефильм</t>
        </is>
      </c>
      <c r="G5542" s="2" t="inlineStr">
        <is>
          <t>Ленфильм</t>
        </is>
      </c>
      <c r="H5542" s="2" t="n">
        <v>344</v>
      </c>
      <c r="I5542" s="2" t="inlineStr"/>
      <c r="J5542" s="2" t="inlineStr"/>
      <c r="K5542" s="3" t="inlineStr">
        <is>
          <t>По пьесе А.Червинского "Счастье мое...". Действие фильма происходит после окончания Великой Отечественной войны. Много горя выпало на долю молодой учительницы Виктории. В детстве она потеряла мать, в тридцатые годы был арестован и расстрелян её отец. Встреча с курсантом училища военных дипломатов, Семеном, предопределяет ее дальнейшую судьбу.</t>
        </is>
      </c>
      <c r="L5542" s="2" t="inlineStr">
        <is>
          <t>Кино_СССР сводный каталог.xlsx: список телефильмов</t>
        </is>
      </c>
      <c r="M5542" s="2">
        <f>HYPERLINK("https://ru.wikipedia.org/w/index.php?search=%D0%92%D0%B8%D0%BA%D1%82%D0%BE%D1%80%D0%B8%D1%8F%201987%20%D1%84%D0%B8%D0%BB%D1%8C%D0%BC","искать")</f>
        <v/>
      </c>
      <c r="N5542" s="3" t="n"/>
      <c r="O5542" s="2" t="n"/>
      <c r="P5542" s="2" t="inlineStr">
        <is>
          <t>ГФФ: «ВИКТОРИЯ» 1988 — год отличается, проверить — по сверке другой фильм, не предложено</t>
        </is>
      </c>
    </row>
    <row r="5543">
      <c r="A5543" s="2" t="n">
        <v>5542</v>
      </c>
      <c r="B5543" s="2" t="inlineStr"/>
      <c r="C5543" s="2" t="n">
        <v>7385</v>
      </c>
      <c r="D5543" s="3" t="inlineStr">
        <is>
          <t>Вперед, гвардейцы!</t>
        </is>
      </c>
      <c r="E5543" s="2" t="n">
        <v>1971</v>
      </c>
      <c r="F5543" s="2" t="inlineStr">
        <is>
          <t>телефильм</t>
        </is>
      </c>
      <c r="G5543" s="2" t="inlineStr">
        <is>
          <t>Таджикфильм</t>
        </is>
      </c>
      <c r="H5543" s="2" t="n">
        <v>344</v>
      </c>
      <c r="I5543" s="2" t="inlineStr"/>
      <c r="J5543" s="2" t="inlineStr"/>
      <c r="K5543" s="3" t="inlineStr">
        <is>
          <t>Пятеро старшеклассников вместе с одноклассниками готовятся к игре в «Зарницу», но для них эта игра уже не интересна, с её деревянными ружьями и автоматами. В это же время происходит хищение клада древних серебряных монет, найденного недавно археологами при раскопках. Друзья решают попробовать себя в роли сыщиков и выяснить, кто же украл клад.</t>
        </is>
      </c>
      <c r="L5543" s="2" t="inlineStr">
        <is>
          <t>https://ru.wikipedia.org/w/index.php?title=%D0%92%D0%BF%D0%B5%D1%80%D1%91%D0%B4%2C_%D0%B3%D0%B2%D0%B0%D1%80%D0%B4%D0%B5%D0%B9%D1%86%D1%8B%21&amp;oldid=149106238</t>
        </is>
      </c>
      <c r="M5543" s="2">
        <f>HYPERLINK("https://ru.wikipedia.org/w/index.php?search=%D0%92%D0%BF%D0%B5%D1%80%D0%B5%D0%B4%2C%20%D0%B3%D0%B2%D0%B0%D1%80%D0%B4%D0%B5%D0%B9%D1%86%D1%8B%21%201971%20%D1%84%D0%B8%D0%BB%D1%8C%D0%BC","искать")</f>
        <v/>
      </c>
      <c r="N5543" s="3" t="n"/>
      <c r="O5543" s="2" t="n"/>
      <c r="P5543" s="2" t="n"/>
    </row>
    <row r="5544">
      <c r="A5544" s="2" t="n">
        <v>5543</v>
      </c>
      <c r="B5544" s="2" t="inlineStr"/>
      <c r="C5544" s="2" t="n">
        <v>8027</v>
      </c>
      <c r="D5544" s="3" t="inlineStr">
        <is>
          <t>Обыкновенное чудо</t>
        </is>
      </c>
      <c r="E5544" s="2" t="n">
        <v>1978</v>
      </c>
      <c r="F5544" s="2" t="inlineStr">
        <is>
          <t>телефильм</t>
        </is>
      </c>
      <c r="G5544" s="2" t="n"/>
      <c r="H5544" s="2" t="n">
        <v>344</v>
      </c>
      <c r="I5544" s="2" t="inlineStr"/>
      <c r="J5544" s="2" t="inlineStr"/>
      <c r="K5544" s="3" t="inlineStr">
        <is>
          <t>Великолепная киноверсия пьесы-сказки Евгения Шварца. В картине много волшебных приключений и чудес, главное из которых - колдовское чудо любви, способной победить злые чары. Блестящая драматургия и режиссура, замечательная музыка, выдающиеся актеры заставляют всякий раз как бы заново воспринимать этот фильм - веселый, трогательный и глубокий.</t>
        </is>
      </c>
      <c r="L5544" s="2" t="inlineStr">
        <is>
          <t>Кино_СССР сводный каталог.xlsx: список телефильмов</t>
        </is>
      </c>
      <c r="M5544" s="2">
        <f>HYPERLINK("https://ru.wikipedia.org/w/index.php?search=%D0%9E%D0%B1%D1%8B%D0%BA%D0%BD%D0%BE%D0%B2%D0%B5%D0%BD%D0%BD%D0%BE%D0%B5%20%D1%87%D1%83%D0%B4%D0%BE%201978%20%D1%84%D0%B8%D0%BB%D1%8C%D0%BC","искать")</f>
        <v/>
      </c>
      <c r="N5544" s="3" t="n"/>
      <c r="O5544" s="2" t="n"/>
      <c r="P5544" s="2" t="n"/>
    </row>
    <row r="5545">
      <c r="A5545" s="2" t="n">
        <v>5544</v>
      </c>
      <c r="B5545" s="2" t="inlineStr"/>
      <c r="C5545" s="2" t="n">
        <v>8094</v>
      </c>
      <c r="D5545" s="3" t="inlineStr">
        <is>
          <t>Перед большой дорогой на войну</t>
        </is>
      </c>
      <c r="E5545" s="2" t="n">
        <v>1987</v>
      </c>
      <c r="F5545" s="2" t="inlineStr">
        <is>
          <t>телефильм</t>
        </is>
      </c>
      <c r="G5545" s="2" t="n"/>
      <c r="H5545" s="2" t="n">
        <v>344</v>
      </c>
      <c r="I5545" s="2" t="inlineStr"/>
      <c r="J5545" s="2" t="inlineStr"/>
      <c r="K5545" s="3" t="inlineStr">
        <is>
          <t>По мотивам повести О. Сидельникова "Трое отважных". Действие фильма происходит в предвоенные годы. Капитан НКВД Фролов расследует диверсию на химзаводе. Подозрение падает на артиста цирка Эрвина Гросса. Однако злодейское убийство клоуна приостанавливает расследование. Только с помощью юных цирковых гимнастов Фролову удается установить истину.</t>
        </is>
      </c>
      <c r="L5545" s="2" t="inlineStr">
        <is>
          <t>Кино_СССР сводный каталог.xlsx: список телефильмов</t>
        </is>
      </c>
      <c r="M5545" s="2">
        <f>HYPERLINK("https://ru.wikipedia.org/w/index.php?search=%D0%9F%D0%B5%D1%80%D0%B5%D0%B4%20%D0%B1%D0%BE%D0%BB%D1%8C%D1%88%D0%BE%D0%B9%20%D0%B4%D0%BE%D1%80%D0%BE%D0%B3%D0%BE%D0%B9%20%D0%BD%D0%B0%20%D0%B2%D0%BE%D0%B9%D0%BD%D1%83%201987%20%D1%84%D0%B8%D0%BB%D1%8C%D0%BC","искать")</f>
        <v/>
      </c>
      <c r="N5545" s="3" t="n"/>
      <c r="O5545" s="2" t="n"/>
      <c r="P5545" s="2" t="n"/>
    </row>
    <row r="5546">
      <c r="A5546" s="2" t="n">
        <v>5545</v>
      </c>
      <c r="B5546" s="2" t="inlineStr"/>
      <c r="C5546" s="2" t="n">
        <v>8295</v>
      </c>
      <c r="D5546" s="3" t="inlineStr">
        <is>
          <t>С кошки всё и началось...</t>
        </is>
      </c>
      <c r="E5546" s="2" t="n">
        <v>1982</v>
      </c>
      <c r="F5546" s="2" t="inlineStr">
        <is>
          <t>телефильм</t>
        </is>
      </c>
      <c r="G5546" s="2" t="n"/>
      <c r="H5546" s="2" t="n">
        <v>344</v>
      </c>
      <c r="I5546" s="2" t="inlineStr"/>
      <c r="J5546" s="2" t="inlineStr"/>
      <c r="K5546" s="3" t="inlineStr">
        <is>
          <t>Фильм снят по мотивам повести Юрия Томина "Нынче всё наоборот" - о том, как дети решили устроить праздник непослушания. Галка, Юрка и Славик решили никого не слушать и поступать только так, как хочется. Обескураженные родители и учительница не сразу понимают, что произошло с ребятами, но убеждают их отказаться от столь непродуманного решения.</t>
        </is>
      </c>
      <c r="L5546" s="2" t="inlineStr">
        <is>
          <t>Кино_СССР сводный каталог.xlsx: список телефильмов</t>
        </is>
      </c>
      <c r="M5546" s="2">
        <f>HYPERLINK("https://ru.wikipedia.org/w/index.php?search=%D0%A1%20%D0%BA%D0%BE%D1%88%D0%BA%D0%B8%20%D0%B2%D1%81%D1%91%20%D0%B8%20%D0%BD%D0%B0%D1%87%D0%B0%D0%BB%D0%BE%D1%81%D1%8C...%201982%20%D1%84%D0%B8%D0%BB%D1%8C%D0%BC","искать")</f>
        <v/>
      </c>
      <c r="N5546" s="3" t="n"/>
      <c r="O5546" s="2" t="n"/>
      <c r="P5546" s="2" t="n"/>
    </row>
    <row r="5547">
      <c r="A5547" s="2" t="n">
        <v>5546</v>
      </c>
      <c r="B5547" s="2" t="inlineStr"/>
      <c r="C5547" s="2" t="n">
        <v>8527</v>
      </c>
      <c r="D5547" s="3" t="inlineStr">
        <is>
          <t>Холодно - горячо</t>
        </is>
      </c>
      <c r="E5547" s="2" t="n">
        <v>1971</v>
      </c>
      <c r="F5547" s="2" t="inlineStr">
        <is>
          <t>телефильм</t>
        </is>
      </c>
      <c r="G5547" s="2" t="n"/>
      <c r="H5547" s="2" t="n">
        <v>344</v>
      </c>
      <c r="I5547" s="2" t="inlineStr"/>
      <c r="J5547" s="2" t="inlineStr"/>
      <c r="K5547" s="3" t="inlineStr">
        <is>
          <t>Телефильм по мотивам рассказа Николая Чуковского “Неравный брак” Вера Касаткина в молодости пережила душевную травму: ее с ребенком оставил муж. Ей двадцать семь лет, о личном счастье она даже и не помышляет. Встретив Володю Чижова, который моложе ее, она вполне искренне берется помочь парню подготовиться к вступительным экзаменам в институт.</t>
        </is>
      </c>
      <c r="L5547" s="2" t="inlineStr">
        <is>
          <t>Кино_СССР сводный каталог.xlsx: список телефильмов</t>
        </is>
      </c>
      <c r="M5547" s="2">
        <f>HYPERLINK("https://ru.wikipedia.org/w/index.php?search=%D0%A5%D0%BE%D0%BB%D0%BE%D0%B4%D0%BD%D0%BE%20-%20%D0%B3%D0%BE%D1%80%D1%8F%D1%87%D0%BE%201971%20%D1%84%D0%B8%D0%BB%D1%8C%D0%BC","искать")</f>
        <v/>
      </c>
      <c r="N5547" s="3" t="n"/>
      <c r="O5547" s="2" t="n"/>
      <c r="P5547" s="2" t="n"/>
    </row>
    <row r="5548">
      <c r="A5548" s="2" t="n">
        <v>5547</v>
      </c>
      <c r="B5548" s="2" t="inlineStr"/>
      <c r="C5548" s="2" t="n">
        <v>9468</v>
      </c>
      <c r="D5548" s="3" t="inlineStr">
        <is>
          <t>Медовый месяц</t>
        </is>
      </c>
      <c r="E5548" s="2" t="n">
        <v>1991</v>
      </c>
      <c r="F5548" s="2" t="inlineStr">
        <is>
          <t>кинофильм</t>
        </is>
      </c>
      <c r="G5548" s="2" t="n"/>
      <c r="H5548" s="2" t="n">
        <v>344</v>
      </c>
      <c r="I5548" s="2" t="inlineStr"/>
      <c r="J5548" s="2" t="inlineStr"/>
      <c r="K5548" s="3" t="inlineStr">
        <is>
          <t>Фильм рассказывает о первых шагах "деятельности" начинающего рэкетира, пытающегося усовершенствовать политику налогообложения трудящихся. Первое его дело - сбор дани с владельцев пасек - сталкивает новоявленного гангстера с рядом неожиданностей и нешуточных проблем... О режиссере фильма: С распадом СССР развалились республиканские киностудии.</t>
        </is>
      </c>
      <c r="L5548" s="2" t="inlineStr">
        <is>
          <t>Кино_СССР сводный каталог.xlsx: список фильмов (доп.)</t>
        </is>
      </c>
      <c r="M5548" s="2">
        <f>HYPERLINK("https://ru.wikipedia.org/w/index.php?search=%D0%9C%D0%B5%D0%B4%D0%BE%D0%B2%D1%8B%D0%B9%20%D0%BC%D0%B5%D1%81%D1%8F%D1%86%201991%20%D1%84%D0%B8%D0%BB%D1%8C%D0%BC","искать")</f>
        <v/>
      </c>
      <c r="N5548" s="3" t="n"/>
      <c r="O5548" s="2" t="n"/>
      <c r="P5548" s="2" t="n"/>
    </row>
    <row r="5549">
      <c r="A5549" s="2" t="n">
        <v>5548</v>
      </c>
      <c r="B5549" s="2" t="inlineStr"/>
      <c r="C5549" s="2" t="n">
        <v>9541</v>
      </c>
      <c r="D5549" s="3" t="inlineStr">
        <is>
          <t>Ошибки юности</t>
        </is>
      </c>
      <c r="E5549" s="2" t="n">
        <v>1978</v>
      </c>
      <c r="F5549" s="2" t="inlineStr">
        <is>
          <t>кинофильм</t>
        </is>
      </c>
      <c r="G5549" s="2" t="n"/>
      <c r="H5549" s="2" t="n">
        <v>344</v>
      </c>
      <c r="I5549" s="2" t="inlineStr"/>
      <c r="J5549" s="2" t="inlineStr"/>
      <c r="K5549" s="3" t="inlineStr">
        <is>
          <t>Часто плата за счастье - сделка с собственной совестью и горе, принесенное близким. После службы в армии герой решает испытать себя в трудных условиях Крайнего Севера и уезжает из родной деревни на далекую стройку. Испытания не заставляют себя ждать... Стараясь выдержать экзамен на честность и порядочность, герой делает одну ошибку за другой.</t>
        </is>
      </c>
      <c r="L5549" s="2" t="inlineStr">
        <is>
          <t>Кино_СССР сводный каталог.xlsx: список фильмов (доп.)</t>
        </is>
      </c>
      <c r="M5549" s="2">
        <f>HYPERLINK("https://ru.wikipedia.org/w/index.php?search=%D0%9E%D1%88%D0%B8%D0%B1%D0%BA%D0%B8%20%D1%8E%D0%BD%D0%BE%D1%81%D1%82%D0%B8%201978%20%D1%84%D0%B8%D0%BB%D1%8C%D0%BC","искать")</f>
        <v/>
      </c>
      <c r="N5549" s="3" t="n"/>
      <c r="O5549" s="2" t="n"/>
      <c r="P5549" s="2" t="n"/>
    </row>
    <row r="5550">
      <c r="A5550" s="2" t="n">
        <v>5549</v>
      </c>
      <c r="B5550" s="2" t="inlineStr"/>
      <c r="C5550" s="2" t="n">
        <v>11227</v>
      </c>
      <c r="D5550" s="3" t="inlineStr">
        <is>
          <t>Семья преступника</t>
        </is>
      </c>
      <c r="E5550" s="2" t="n">
        <v>1988</v>
      </c>
      <c r="F5550" s="2" t="inlineStr">
        <is>
          <t>фильм-спектакль</t>
        </is>
      </c>
      <c r="G5550" s="2" t="inlineStr">
        <is>
          <t>Главная редакция литературно-драматических программ ЦТ</t>
        </is>
      </c>
      <c r="H5550" s="2" t="n">
        <v>344</v>
      </c>
      <c r="I5550" s="2" t="inlineStr"/>
      <c r="J5550" s="2" t="inlineStr"/>
      <c r="K5550" s="3" t="inlineStr">
        <is>
          <t>По одноименной пьесе П.Джакометти в постановке Ленинаканского государственного драматического театра имени А.Мравяна.
Защищая честь своей жены Розалин, Коррадо совершает убийство. Много лет он проводит в тюрьме, прежде, чем ему удается бежать. Коррадо тайно встречается с женой, но, не найдя сочувствия и поддержки, кончает жизнь самоубийством.</t>
        </is>
      </c>
      <c r="L5550" s="2" t="inlineStr">
        <is>
          <t>https://www.kino-teatr.ru/teatr/movie/81848/annot/</t>
        </is>
      </c>
      <c r="M5550" s="2">
        <f>HYPERLINK("https://ru.wikipedia.org/w/index.php?search=%D0%A1%D0%B5%D0%BC%D1%8C%D1%8F%20%D0%BF%D1%80%D0%B5%D1%81%D1%82%D1%83%D0%BF%D0%BD%D0%B8%D0%BA%D0%B0%201988%20%D1%84%D0%B8%D0%BB%D1%8C%D0%BC","искать")</f>
        <v/>
      </c>
      <c r="N5550" s="3" t="n"/>
      <c r="O5550" s="2" t="n"/>
      <c r="P5550" s="2" t="n"/>
    </row>
    <row r="5551">
      <c r="A5551" s="2" t="n">
        <v>5550</v>
      </c>
      <c r="B5551" s="2" t="inlineStr"/>
      <c r="C5551" s="2" t="n">
        <v>11348</v>
      </c>
      <c r="D5551" s="3" t="inlineStr">
        <is>
          <t>Сон с продолжением</t>
        </is>
      </c>
      <c r="E5551" s="2" t="n">
        <v>1991</v>
      </c>
      <c r="F5551" s="2" t="inlineStr">
        <is>
          <t>фильм-спектакль</t>
        </is>
      </c>
      <c r="G5551" s="2" t="inlineStr">
        <is>
          <t>Студия детских и юношеских телефильмов ТПО "СОЮЗТЕЛЕФИЛЬМ"</t>
        </is>
      </c>
      <c r="H5551" s="2" t="n">
        <v>344</v>
      </c>
      <c r="I5551" s="2" t="inlineStr"/>
      <c r="J5551" s="2" t="inlineStr"/>
      <c r="K5551" s="3" t="inlineStr">
        <is>
          <t>По одноименной пьесе Сергея Михалкова в постановке Государственного центрального академического детского театра.
Однажды во сне девочка Люба познакомилась с деревянной куклой Щелкунчиком, который рассказал ей печальную историю страны Джоконды, покоренной Мышиным королем. После многих приключений Люба помогла Щелкунчику победить злое чудовище.</t>
        </is>
      </c>
      <c r="L5551" s="2" t="inlineStr">
        <is>
          <t>https://www.kino-teatr.ru/teatr/movie/79906/annot/</t>
        </is>
      </c>
      <c r="M5551" s="2">
        <f>HYPERLINK("https://ru.wikipedia.org/w/index.php?search=%D0%A1%D0%BE%D0%BD%20%D1%81%20%D0%BF%D1%80%D0%BE%D0%B4%D0%BE%D0%BB%D0%B6%D0%B5%D0%BD%D0%B8%D0%B5%D0%BC%201991%20%D1%84%D0%B8%D0%BB%D1%8C%D0%BC","искать")</f>
        <v/>
      </c>
      <c r="N5551" s="3" t="n"/>
      <c r="O5551" s="2" t="n"/>
      <c r="P5551" s="2" t="n"/>
    </row>
    <row r="5552">
      <c r="A5552" s="2" t="n">
        <v>5551</v>
      </c>
      <c r="B5552" s="2" t="inlineStr"/>
      <c r="C5552" s="2" t="n">
        <v>11990</v>
      </c>
      <c r="D5552" s="3" t="inlineStr">
        <is>
          <t>Тайна третьей планеты</t>
        </is>
      </c>
      <c r="E5552" s="2" t="n">
        <v>1981</v>
      </c>
      <c r="F5552" s="2" t="inlineStr">
        <is>
          <t>мультфильм</t>
        </is>
      </c>
      <c r="G5552" s="2" t="inlineStr">
        <is>
          <t>Союзмультфильм</t>
        </is>
      </c>
      <c r="H5552" s="2" t="n">
        <v>344</v>
      </c>
      <c r="I5552" s="2" t="inlineStr"/>
      <c r="J5552" s="2" t="inlineStr"/>
      <c r="K5552" s="3" t="inlineStr">
        <is>
          <t>Увлекательный полнометражный мультипликационный фильм о невероятных космических приключениях отважной девочки Алисы, ее рассеянного папы-ученого, невозмутимого космонавта Зеленого и их удивительных инопланетных друзей - героев повести Кира Булычева "Путешествие Алисы" - по праву считается шедевром отечественной научно-фантастической анимации.</t>
        </is>
      </c>
      <c r="L5552" s="2" t="inlineStr">
        <is>
          <t>2026-10_мультфильмы_список_владельца.xlsx; https://animator.ru/db/?p=show_film&amp;fid=3104</t>
        </is>
      </c>
      <c r="M5552" s="2">
        <f>HYPERLINK("https://ru.wikipedia.org/w/index.php?search=%D0%A2%D0%B0%D0%B9%D0%BD%D0%B0%20%D1%82%D1%80%D0%B5%D1%82%D1%8C%D0%B5%D0%B9%20%D0%BF%D0%BB%D0%B0%D0%BD%D0%B5%D1%82%D1%8B%201981%20%D1%84%D0%B8%D0%BB%D1%8C%D0%BC","искать")</f>
        <v/>
      </c>
      <c r="N5552" s="3" t="n"/>
      <c r="O5552" s="2" t="n"/>
      <c r="P5552" s="2" t="n"/>
    </row>
    <row r="5553">
      <c r="A5553" s="2" t="n">
        <v>5552</v>
      </c>
      <c r="B5553" s="2" t="inlineStr"/>
      <c r="C5553" s="2" t="n">
        <v>7263</v>
      </c>
      <c r="D5553" s="3" t="inlineStr">
        <is>
          <t>Большая перемена</t>
        </is>
      </c>
      <c r="E5553" s="2" t="n">
        <v>1972</v>
      </c>
      <c r="F5553" s="2" t="inlineStr">
        <is>
          <t>телефильм</t>
        </is>
      </c>
      <c r="G5553" s="2" t="inlineStr">
        <is>
          <t>Мосфильм</t>
        </is>
      </c>
      <c r="H5553" s="2" t="n">
        <v>345</v>
      </c>
      <c r="I5553" s="2" t="inlineStr"/>
      <c r="J5553" s="2" t="inlineStr"/>
      <c r="K5553" s="3" t="inlineStr">
        <is>
          <t>Телефильм по мотивам повести Г. Садовникова "Иду к людям". Молодой подающий надежды историк, поссорившись со своей невестой, обошедшей его на конкурсе в аспирантуру педагогического института, бросает науку и идет работать в вечернюю школу. Взаимоотношения с учениками (многие из которых старше его) "учат его жизни", возвращая в итоге к невесте.</t>
        </is>
      </c>
      <c r="L5553" s="2" t="inlineStr">
        <is>
          <t>Кино_СССР сводный каталог.xlsx: список телефильмов</t>
        </is>
      </c>
      <c r="M5553" s="2">
        <f>HYPERLINK("https://ru.wikipedia.org/w/index.php?search=%D0%91%D0%BE%D0%BB%D1%8C%D1%88%D0%B0%D1%8F%20%D0%BF%D0%B5%D1%80%D0%B5%D0%BC%D0%B5%D0%BD%D0%B0%201972%20%D1%84%D0%B8%D0%BB%D1%8C%D0%BC","искать")</f>
        <v/>
      </c>
      <c r="N5553" s="3" t="n"/>
      <c r="O5553" s="2" t="n"/>
      <c r="P5553" s="2" t="n"/>
    </row>
    <row r="5554">
      <c r="A5554" s="2" t="n">
        <v>5553</v>
      </c>
      <c r="B5554" s="2" t="inlineStr"/>
      <c r="C5554" s="2" t="n">
        <v>7271</v>
      </c>
      <c r="D5554" s="3" t="inlineStr">
        <is>
          <t>Братья Рико</t>
        </is>
      </c>
      <c r="E5554" s="2" t="n">
        <v>1980</v>
      </c>
      <c r="F5554" s="2" t="inlineStr">
        <is>
          <t>телефильм</t>
        </is>
      </c>
      <c r="G5554" s="2" t="n"/>
      <c r="H5554" s="2" t="n">
        <v>345</v>
      </c>
      <c r="I5554" s="2" t="inlineStr"/>
      <c r="J5554" s="2" t="inlineStr"/>
      <c r="K5554" s="3" t="inlineStr">
        <is>
          <t>Телефильм по мотивам романа Жоржа Сименона. Герои фильма - дети итальянских эмигрантов в США, связавшие свою жизнь с мафией. Гангстерская сага, действие которой начинается в 1932 году во время разгула организованной преступности, вызванного сухим законом. В одном из районов Нью-Йорка погибает Чезаре Рико, глава семьи, муж и отец троих сыновей.</t>
        </is>
      </c>
      <c r="L5554" s="2" t="inlineStr">
        <is>
          <t>Кино_СССР сводный каталог.xlsx: список телефильмов</t>
        </is>
      </c>
      <c r="M5554" s="2">
        <f>HYPERLINK("https://ru.wikipedia.org/w/index.php?search=%D0%91%D1%80%D0%B0%D1%82%D1%8C%D1%8F%20%D0%A0%D0%B8%D0%BA%D0%BE%201980%20%D1%84%D0%B8%D0%BB%D1%8C%D0%BC","искать")</f>
        <v/>
      </c>
      <c r="N5554" s="3" t="n"/>
      <c r="O5554" s="2" t="n"/>
      <c r="P5554" s="2" t="n"/>
    </row>
    <row r="5555">
      <c r="A5555" s="2" t="n">
        <v>5554</v>
      </c>
      <c r="B5555" s="2" t="inlineStr"/>
      <c r="C5555" s="2" t="n">
        <v>7357</v>
      </c>
      <c r="D5555" s="3" t="inlineStr">
        <is>
          <t>Возвращение Ольмеса</t>
        </is>
      </c>
      <c r="E5555" s="2" t="n">
        <v>1984</v>
      </c>
      <c r="F5555" s="2" t="inlineStr">
        <is>
          <t>телефильм</t>
        </is>
      </c>
      <c r="G5555" s="2" t="inlineStr">
        <is>
          <t>Казахфильм</t>
        </is>
      </c>
      <c r="H5555" s="2" t="n">
        <v>345</v>
      </c>
      <c r="I5555" s="2" t="inlineStr"/>
      <c r="J5555" s="2" t="inlineStr"/>
      <c r="K5555" s="3" t="inlineStr">
        <is>
          <t>Телефильм. Трое братьев ждали возвращения с войны своего отца Ольмеса. В их воображении он был батыром, таким же силачом, как бывший цирковой артист Ануар, поселившийся в ауле. Ребята не знали, что Ануар опустился, пьянствовал и воровал колхозных овец. Когда же вернулся отец, детей постигло разочарование: внешне он совсем не походил на батыра.</t>
        </is>
      </c>
      <c r="L5555" s="2" t="inlineStr">
        <is>
          <t>Кино_СССР сводный каталог.xlsx: список телефильмов</t>
        </is>
      </c>
      <c r="M5555" s="2">
        <f>HYPERLINK("https://ru.wikipedia.org/w/index.php?search=%D0%92%D0%BE%D0%B7%D0%B2%D1%80%D0%B0%D1%89%D0%B5%D0%BD%D0%B8%D0%B5%20%D0%9E%D0%BB%D1%8C%D0%BC%D0%B5%D1%81%D0%B0%201984%20%D1%84%D0%B8%D0%BB%D1%8C%D0%BC","искать")</f>
        <v/>
      </c>
      <c r="N5555" s="3" t="n"/>
      <c r="O5555" s="2" t="n"/>
      <c r="P5555" s="2" t="n"/>
    </row>
    <row r="5556">
      <c r="A5556" s="2" t="n">
        <v>5555</v>
      </c>
      <c r="B5556" s="2" t="inlineStr"/>
      <c r="C5556" s="2" t="n">
        <v>7533</v>
      </c>
      <c r="D5556" s="3" t="inlineStr">
        <is>
          <t>Долгий путь в лабиринте</t>
        </is>
      </c>
      <c r="E5556" s="2" t="n">
        <v>1981</v>
      </c>
      <c r="F5556" s="2" t="inlineStr">
        <is>
          <t>телефильм</t>
        </is>
      </c>
      <c r="G5556" s="2" t="n"/>
      <c r="H5556" s="2" t="n">
        <v>345</v>
      </c>
      <c r="I5556" s="2" t="inlineStr"/>
      <c r="J5556" s="2" t="inlineStr"/>
      <c r="K5556" s="3" t="inlineStr">
        <is>
          <t>По роману Александра Насибова. Герои фильма - чекисты Саша Сизова и Шагин вывозят из захваченного белогвардейцами города конфискованные драгоценности и доставляют их в Киев. Вернувшись в освобожденный Красной Армией город, они разоблачают агента белогвардейцев, проникшего в ЧК, и принимают активное участие в разгроме банды полковника Шерстева.</t>
        </is>
      </c>
      <c r="L5556" s="2" t="inlineStr">
        <is>
          <t>Кино_СССР сводный каталог.xlsx: список телефильмов</t>
        </is>
      </c>
      <c r="M5556" s="2">
        <f>HYPERLINK("https://ru.wikipedia.org/w/index.php?search=%D0%94%D0%BE%D0%BB%D0%B3%D0%B8%D0%B9%20%D0%BF%D1%83%D1%82%D1%8C%20%D0%B2%20%D0%BB%D0%B0%D0%B1%D0%B8%D1%80%D0%B8%D0%BD%D1%82%D0%B5%201981%20%D1%84%D0%B8%D0%BB%D1%8C%D0%BC","искать")</f>
        <v/>
      </c>
      <c r="N5556" s="3" t="n"/>
      <c r="O5556" s="2" t="n"/>
      <c r="P5556" s="2" t="n"/>
    </row>
    <row r="5557">
      <c r="A5557" s="2" t="n">
        <v>5556</v>
      </c>
      <c r="B5557" s="2" t="inlineStr"/>
      <c r="C5557" s="2" t="n">
        <v>7938</v>
      </c>
      <c r="D5557" s="3" t="inlineStr">
        <is>
          <t>Надёжный человек</t>
        </is>
      </c>
      <c r="E5557" s="2" t="n">
        <v>1975</v>
      </c>
      <c r="F5557" s="2" t="inlineStr">
        <is>
          <t>телефильм</t>
        </is>
      </c>
      <c r="G5557" s="2" t="n"/>
      <c r="H5557" s="2" t="n">
        <v>345</v>
      </c>
      <c r="I5557" s="2" t="inlineStr"/>
      <c r="J5557" s="2" t="inlineStr"/>
      <c r="K5557" s="3" t="inlineStr">
        <is>
          <t>По мотивам романа Алеся Осипенко «Неприкаянный месяц». Врач Вера Павловна Занемонец с недавних пор работает в научно-исследовательском институте генетики, думает о диссертации. Ее жизнь вполне благополучна: любимая работа, семья. Однажды по срочному вызову Вера едет к сестре, которая живет в деревне и после аварии нуждается в срочной операции.</t>
        </is>
      </c>
      <c r="L5557" s="2" t="inlineStr">
        <is>
          <t>Кино_СССР сводный каталог.xlsx: список телефильмов</t>
        </is>
      </c>
      <c r="M5557" s="2">
        <f>HYPERLINK("https://ru.wikipedia.org/w/index.php?search=%D0%9D%D0%B0%D0%B4%D1%91%D0%B6%D0%BD%D1%8B%D0%B9%20%D1%87%D0%B5%D0%BB%D0%BE%D0%B2%D0%B5%D0%BA%201975%20%D1%84%D0%B8%D0%BB%D1%8C%D0%BC","искать")</f>
        <v/>
      </c>
      <c r="N5557" s="3" t="n"/>
      <c r="O5557" s="2" t="n"/>
      <c r="P5557" s="2" t="n"/>
    </row>
    <row r="5558">
      <c r="A5558" s="2" t="n">
        <v>5557</v>
      </c>
      <c r="B5558" s="2" t="inlineStr"/>
      <c r="C5558" s="2" t="n">
        <v>8333</v>
      </c>
      <c r="D5558" s="3" t="inlineStr">
        <is>
          <t>Семья Зитаров</t>
        </is>
      </c>
      <c r="E5558" s="2" t="n">
        <v>1990</v>
      </c>
      <c r="F5558" s="2" t="inlineStr">
        <is>
          <t>телефильм</t>
        </is>
      </c>
      <c r="G5558" s="2" t="n"/>
      <c r="H5558" s="2" t="n">
        <v>345</v>
      </c>
      <c r="I5558" s="2" t="inlineStr"/>
      <c r="J5558" s="2" t="inlineStr"/>
      <c r="K5558" s="3" t="inlineStr">
        <is>
          <t>По одноименному роману Вилиса Лациса. События, о которых идет речь в телефильме, разворачиваются в начале прошлого века, когда в России революция уже произошла, а в буржуазной Латвии она только начиналась. Перед членами простой крестьянской семьи Зитаров был сложный выбор: идти с революционерами или смириться с порядками буржуазной республики.</t>
        </is>
      </c>
      <c r="L5558" s="2" t="inlineStr">
        <is>
          <t>Кино_СССР сводный каталог.xlsx: список телефильмов</t>
        </is>
      </c>
      <c r="M5558" s="2">
        <f>HYPERLINK("https://ru.wikipedia.org/w/index.php?search=%D0%A1%D0%B5%D0%BC%D1%8C%D1%8F%20%D0%97%D0%B8%D1%82%D0%B0%D1%80%D0%BE%D0%B2%201990%20%D1%84%D0%B8%D0%BB%D1%8C%D0%BC","искать")</f>
        <v/>
      </c>
      <c r="N5558" s="3" t="n"/>
      <c r="O5558" s="2" t="n"/>
      <c r="P5558" s="2" t="n"/>
    </row>
    <row r="5559">
      <c r="A5559" s="2" t="n">
        <v>5558</v>
      </c>
      <c r="B5559" s="2" t="inlineStr"/>
      <c r="C5559" s="2" t="n">
        <v>9523</v>
      </c>
      <c r="D5559" s="3" t="inlineStr">
        <is>
          <t>Одна семья</t>
        </is>
      </c>
      <c r="E5559" s="2" t="n">
        <v>1943</v>
      </c>
      <c r="F5559" s="2" t="inlineStr">
        <is>
          <t>кинофильм</t>
        </is>
      </c>
      <c r="G5559" s="2" t="n"/>
      <c r="H5559" s="2" t="n">
        <v>345</v>
      </c>
      <c r="I5559" s="2" t="inlineStr"/>
      <c r="J5559" s="2" t="inlineStr"/>
      <c r="K5559" s="3" t="inlineStr">
        <is>
          <t>«Фильм о героических буднях жителей Баку в годы Великой Отечественной войны. Состоит их трёх новелл, объединённых общим сюжетом: фронтовик-азербайджанец, оказавшийся в отпуске, попадает в русскую семью, приветливо встретившую его. Между героем и дочерью хозяев возникает чувство. Рассказы, которыми обмениваются герои, составляют сюжет картины».</t>
        </is>
      </c>
      <c r="L5559" s="2" t="inlineStr">
        <is>
          <t>https://ru.wikipedia.org/w/index.php?title=%D0%9E%D0%B4%D0%BD%D0%B0_%D1%81%D0%B5%D0%BC%D1%8C%D1%8F_%28%D1%84%D0%B8%D0%BB%D1%8C%D0%BC%29&amp;oldid=153088778</t>
        </is>
      </c>
      <c r="M5559" s="2">
        <f>HYPERLINK("https://ru.wikipedia.org/w/index.php?search=%D0%9E%D0%B4%D0%BD%D0%B0%20%D1%81%D0%B5%D0%BC%D1%8C%D1%8F%201943%20%D1%84%D0%B8%D0%BB%D1%8C%D0%BC","искать")</f>
        <v/>
      </c>
      <c r="N5559" s="3" t="n"/>
      <c r="O5559" s="2" t="n"/>
      <c r="P5559" s="2" t="n"/>
    </row>
    <row r="5560">
      <c r="A5560" s="2" t="n">
        <v>5559</v>
      </c>
      <c r="B5560" s="2" t="inlineStr"/>
      <c r="C5560" s="2" t="n">
        <v>7392</v>
      </c>
      <c r="D5560" s="3" t="inlineStr">
        <is>
          <t>Время по солнцу</t>
        </is>
      </c>
      <c r="E5560" s="2" t="n">
        <v>1979</v>
      </c>
      <c r="F5560" s="2" t="inlineStr">
        <is>
          <t>телефильм</t>
        </is>
      </c>
      <c r="G5560" s="2" t="n"/>
      <c r="H5560" s="2" t="n">
        <v>346</v>
      </c>
      <c r="I5560" s="2" t="inlineStr"/>
      <c r="J5560" s="2" t="inlineStr"/>
      <c r="K5560" s="3" t="inlineStr">
        <is>
          <t>По мотивам повести В. Александрова "Блуждающие токи". В лаборатории научно-исследовательского института проводят важные экспериментальные работы, связанные с использованием солнечной энергии. Большую роль в поисках новых научных решений играет молодой ученый Хатамов. О его взаимоотношениях с коллегами и о любви, без которой не бывает молодости.</t>
        </is>
      </c>
      <c r="L5560" s="2" t="inlineStr">
        <is>
          <t>Кино_СССР сводный каталог.xlsx: список телефильмов</t>
        </is>
      </c>
      <c r="M5560" s="2">
        <f>HYPERLINK("https://ru.wikipedia.org/w/index.php?search=%D0%92%D1%80%D0%B5%D0%BC%D1%8F%20%D0%BF%D0%BE%20%D1%81%D0%BE%D0%BB%D0%BD%D1%86%D1%83%201979%20%D1%84%D0%B8%D0%BB%D1%8C%D0%BC","искать")</f>
        <v/>
      </c>
      <c r="N5560" s="3" t="n"/>
      <c r="O5560" s="2" t="n"/>
      <c r="P5560" s="2" t="n"/>
    </row>
    <row r="5561">
      <c r="A5561" s="2" t="n">
        <v>5560</v>
      </c>
      <c r="B5561" s="2" t="inlineStr"/>
      <c r="C5561" s="2" t="n">
        <v>7700</v>
      </c>
      <c r="D5561" s="3" t="inlineStr">
        <is>
          <t>Как пишется слово Солнце</t>
        </is>
      </c>
      <c r="E5561" s="2" t="n">
        <v>1978</v>
      </c>
      <c r="F5561" s="2" t="inlineStr">
        <is>
          <t>телефильм</t>
        </is>
      </c>
      <c r="G5561" s="2" t="n"/>
      <c r="H5561" s="2" t="n">
        <v>346</v>
      </c>
      <c r="I5561" s="2" t="inlineStr"/>
      <c r="J5561" s="2" t="inlineStr"/>
      <c r="K5561" s="3" t="inlineStr">
        <is>
          <t>По мотивам повести Ш. Бейшеналиева "Аманат". Аманат, оставленный матерью и после смерти отца рос у деда с бабкой. Волею судьбы, выехав на смотр художественной самодеятельности в город, он встречается с матерью. Материнское чувство всколыхнулось при встрече и мать всячески старается искупить вину перед сыном, хочет обрести его внимание и любовь.</t>
        </is>
      </c>
      <c r="L5561" s="2" t="inlineStr">
        <is>
          <t>Кино_СССР сводный каталог.xlsx: список телефильмов</t>
        </is>
      </c>
      <c r="M5561" s="2">
        <f>HYPERLINK("https://ru.wikipedia.org/w/index.php?search=%D0%9A%D0%B0%D0%BA%20%D0%BF%D0%B8%D1%88%D0%B5%D1%82%D1%81%D1%8F%20%D1%81%D0%BB%D0%BE%D0%B2%D0%BE%20%D0%A1%D0%BE%D0%BB%D0%BD%D1%86%D0%B5%201978%20%D1%84%D0%B8%D0%BB%D1%8C%D0%BC","искать")</f>
        <v/>
      </c>
      <c r="N5561" s="3" t="n"/>
      <c r="O5561" s="2" t="n"/>
      <c r="P5561" s="2" t="n"/>
    </row>
    <row r="5562">
      <c r="A5562" s="2" t="n">
        <v>5561</v>
      </c>
      <c r="B5562" s="2" t="inlineStr"/>
      <c r="C5562" s="2" t="n">
        <v>7808</v>
      </c>
      <c r="D5562" s="3" t="inlineStr">
        <is>
          <t>Ливень</t>
        </is>
      </c>
      <c r="E5562" s="2" t="n">
        <v>1979</v>
      </c>
      <c r="F5562" s="2" t="inlineStr">
        <is>
          <t>телефильм</t>
        </is>
      </c>
      <c r="G5562" s="2" t="n"/>
      <c r="H5562" s="2" t="n">
        <v>346</v>
      </c>
      <c r="I5562" s="2" t="inlineStr"/>
      <c r="J5562" s="2" t="inlineStr"/>
      <c r="K5562" s="3" t="inlineStr">
        <is>
          <t>Искандер, директор магазина, пытаясь добиться взаимности у продавщицы Нази, обвиняет ее в недостаче, а затем выступает в роли спасителя. В результате Нази впала в тяжелую депрессию, разочаровавшись в людях. Но пройдет немного времени и Нази встретит Азиза, офицера военно-морского флота, с которым она забудет кошмар, который ей навязал Искандер.</t>
        </is>
      </c>
      <c r="L5562" s="2" t="inlineStr">
        <is>
          <t>Кино_СССР сводный каталог.xlsx: список телефильмов</t>
        </is>
      </c>
      <c r="M5562" s="2">
        <f>HYPERLINK("https://ru.wikipedia.org/w/index.php?search=%D0%9B%D0%B8%D0%B2%D0%B5%D0%BD%D1%8C%201979%20%D1%84%D0%B8%D0%BB%D1%8C%D0%BC","искать")</f>
        <v/>
      </c>
      <c r="N5562" s="3" t="n"/>
      <c r="O5562" s="2" t="n"/>
      <c r="P5562" s="2" t="n"/>
    </row>
    <row r="5563">
      <c r="A5563" s="2" t="n">
        <v>5562</v>
      </c>
      <c r="B5563" s="2" t="inlineStr"/>
      <c r="C5563" s="2" t="n">
        <v>8034</v>
      </c>
      <c r="D5563" s="3" t="inlineStr">
        <is>
          <t>Одинокий автобус под дождём</t>
        </is>
      </c>
      <c r="E5563" s="2" t="n">
        <v>1986</v>
      </c>
      <c r="F5563" s="2" t="inlineStr">
        <is>
          <t>телефильм</t>
        </is>
      </c>
      <c r="G5563" s="2" t="n"/>
      <c r="H5563" s="2" t="n">
        <v>346</v>
      </c>
      <c r="I5563" s="2" t="inlineStr"/>
      <c r="J5563" s="2" t="inlineStr"/>
      <c r="K5563" s="3" t="inlineStr">
        <is>
          <t>Молодой капитан уголовного розыска Зенич расследует запутанное дело о краже крупной суммы денег из заводской кассы. В поле зрения следователя попадают двое подозреваемых: кассир Литвинова, которую берут под наблюдение, и матерый рецидивист Вул. Преступник, которому нечего терять, заметая следы, пытается направить расследование по ложному следу.</t>
        </is>
      </c>
      <c r="L5563" s="2" t="inlineStr">
        <is>
          <t>Кино_СССР сводный каталог.xlsx: список телефильмов</t>
        </is>
      </c>
      <c r="M5563" s="2">
        <f>HYPERLINK("https://ru.wikipedia.org/w/index.php?search=%D0%9E%D0%B4%D0%B8%D0%BD%D0%BE%D0%BA%D0%B8%D0%B9%20%D0%B0%D0%B2%D1%82%D0%BE%D0%B1%D1%83%D1%81%20%D0%BF%D0%BE%D0%B4%20%D0%B4%D0%BE%D0%B6%D0%B4%D1%91%D0%BC%201986%20%D1%84%D0%B8%D0%BB%D1%8C%D0%BC","искать")</f>
        <v/>
      </c>
      <c r="N5563" s="3" t="n"/>
      <c r="O5563" s="2" t="n"/>
      <c r="P5563" s="2" t="n"/>
    </row>
    <row r="5564">
      <c r="A5564" s="2" t="n">
        <v>5563</v>
      </c>
      <c r="B5564" s="2" t="inlineStr"/>
      <c r="C5564" s="2" t="n">
        <v>8411</v>
      </c>
      <c r="D5564" s="3" t="inlineStr">
        <is>
          <t>Страсти по Владимиру</t>
        </is>
      </c>
      <c r="E5564" s="2" t="n">
        <v>1990</v>
      </c>
      <c r="F5564" s="2" t="inlineStr">
        <is>
          <t>телефильм</t>
        </is>
      </c>
      <c r="G5564" s="2" t="n"/>
      <c r="H5564" s="2" t="n">
        <v>346</v>
      </c>
      <c r="I5564" s="2" t="inlineStr"/>
      <c r="J5564" s="2" t="inlineStr"/>
      <c r="K5564" s="3" t="inlineStr">
        <is>
          <t>По мотивам пьесы Марка Розовского "Концерт Высоцкого в НИИ".Припеваючи живший директор НИИ узнал, что в институте должен состояться концерт барда-смутьяна Высоцкого.Директор делает все,чтобы кто-нибудь принял решение о концерте и взял на себя ответственность.Судьбу концерта решает вахтер, у которого есть ключи от зала и которому терять нечего..</t>
        </is>
      </c>
      <c r="L5564" s="2" t="inlineStr">
        <is>
          <t>https://gosfilmofond.ru/films/251856/</t>
        </is>
      </c>
      <c r="M5564" s="2">
        <f>HYPERLINK("https://ru.wikipedia.org/w/index.php?search=%D0%A1%D1%82%D1%80%D0%B0%D1%81%D1%82%D0%B8%20%D0%BF%D0%BE%20%D0%92%D0%BB%D0%B0%D0%B4%D0%B8%D0%BC%D0%B8%D1%80%D1%83%201990%20%D1%84%D0%B8%D0%BB%D1%8C%D0%BC","искать")</f>
        <v/>
      </c>
      <c r="N5564" s="3" t="n"/>
      <c r="O5564" s="2" t="n"/>
      <c r="P5564" s="2" t="n"/>
    </row>
    <row r="5565">
      <c r="A5565" s="2" t="n">
        <v>5564</v>
      </c>
      <c r="B5565" s="2" t="inlineStr"/>
      <c r="C5565" s="2" t="n">
        <v>12808</v>
      </c>
      <c r="D5565" s="3" t="inlineStr">
        <is>
          <t>Еще раз о моде</t>
        </is>
      </c>
      <c r="E5565" s="2" t="n">
        <v>1970</v>
      </c>
      <c r="F5565" s="2" t="inlineStr">
        <is>
          <t>мультфильм</t>
        </is>
      </c>
      <c r="G5565" s="2" t="inlineStr">
        <is>
          <t>ГРУЗИЯ-ФИЛЬМ - АО</t>
        </is>
      </c>
      <c r="H5565" s="2" t="n">
        <v>346</v>
      </c>
      <c r="I5565" s="2" t="inlineStr"/>
      <c r="J5565" s="2" t="inlineStr"/>
      <c r="K5565" s="3" t="inlineStr">
        <is>
          <t>Накануне свадьбы выясняется, что у молодых нет обручальных колец. Жених спешит за кольцами в магазин. Там по телевидению транслируют передачу из дома моделей. Жених любуется красивыми манекенщицами и забывает о свадьбе. И вдруг опомнился, вообразил, что невеста стала женой друга. Прибежал домой, а там все тоже смотрят телевизор, забыв о свадьбе</t>
        </is>
      </c>
      <c r="L5565" s="2" t="inlineStr">
        <is>
          <t>https://gosfilmofond.ru/films/254743/</t>
        </is>
      </c>
      <c r="M5565" s="2">
        <f>HYPERLINK("https://ru.wikipedia.org/w/index.php?search=%D0%95%D1%89%D0%B5%20%D1%80%D0%B0%D0%B7%20%D0%BE%20%D0%BC%D0%BE%D0%B4%D0%B5%201970%20%D1%84%D0%B8%D0%BB%D1%8C%D0%BC","искать")</f>
        <v/>
      </c>
      <c r="N5565" s="3" t="n"/>
      <c r="O5565" s="2" t="n"/>
      <c r="P5565" s="2" t="n"/>
    </row>
    <row r="5566">
      <c r="A5566" s="2" t="n">
        <v>5565</v>
      </c>
      <c r="B5566" s="2" t="inlineStr"/>
      <c r="C5566" s="2" t="n">
        <v>7267</v>
      </c>
      <c r="D5566" s="3" t="inlineStr">
        <is>
          <t>Брак по-имеретински</t>
        </is>
      </c>
      <c r="E5566" s="2" t="n">
        <v>1979</v>
      </c>
      <c r="F5566" s="2" t="inlineStr">
        <is>
          <t>телефильм</t>
        </is>
      </c>
      <c r="G5566" s="2" t="n"/>
      <c r="H5566" s="2" t="n">
        <v>347</v>
      </c>
      <c r="I5566" s="2" t="inlineStr"/>
      <c r="J5566" s="2" t="inlineStr"/>
      <c r="K5566" s="3" t="inlineStr">
        <is>
          <t>Двухсерийный игровой телефильм по одноименному роману А. Эбаноидзе. Лирическая кинокомедия. Вернувшись домой, молодой скульптор Ладо решил подарить родному селу статую, которая бы украсила центральную площадь. В натурщицы он выбрал юную односельчанку Нуцу. Молодые люди сразу полюбили друг друга, но их чувствам пришлось пройти серьезную проверку.</t>
        </is>
      </c>
      <c r="L5566" s="2" t="inlineStr">
        <is>
          <t>Кино_СССР сводный каталог.xlsx: список телефильмов</t>
        </is>
      </c>
      <c r="M5566" s="2">
        <f>HYPERLINK("https://ru.wikipedia.org/w/index.php?search=%D0%91%D1%80%D0%B0%D0%BA%20%D0%BF%D0%BE-%D0%B8%D0%BC%D0%B5%D1%80%D0%B5%D1%82%D0%B8%D0%BD%D1%81%D0%BA%D0%B8%201979%20%D1%84%D0%B8%D0%BB%D1%8C%D0%BC","искать")</f>
        <v/>
      </c>
      <c r="N5566" s="3" t="n"/>
      <c r="O5566" s="2" t="n"/>
      <c r="P5566" s="2" t="n"/>
    </row>
    <row r="5567">
      <c r="A5567" s="2" t="n">
        <v>5566</v>
      </c>
      <c r="B5567" s="2" t="inlineStr"/>
      <c r="C5567" s="2" t="n">
        <v>8132</v>
      </c>
      <c r="D5567" s="3" t="inlineStr">
        <is>
          <t>Под крышами Монмартра</t>
        </is>
      </c>
      <c r="E5567" s="2" t="n">
        <v>1975</v>
      </c>
      <c r="F5567" s="2" t="inlineStr">
        <is>
          <t>телефильм</t>
        </is>
      </c>
      <c r="G5567" s="2" t="n"/>
      <c r="H5567" s="2" t="n">
        <v>347</v>
      </c>
      <c r="I5567" s="2" t="inlineStr"/>
      <c r="J5567" s="2" t="inlineStr"/>
      <c r="K5567" s="3" t="inlineStr">
        <is>
          <t>Телефильм. Экранизация оперетты Имре Кальмана "Фиалка Монмартра". Скромная продавщица цветов, жившая из милости у хозяина кафе, внезапно оказалась без крова и в долгах. И вряд ли убереглась бы она от судьбы дамы с камелиями, если бы не три друга - художник, музыкант и поэт - и другие обитатели артистического Монмартра, люди бедные и талантливые.</t>
        </is>
      </c>
      <c r="L5567" s="2" t="inlineStr">
        <is>
          <t>Кино_СССР сводный каталог.xlsx: список телефильмов</t>
        </is>
      </c>
      <c r="M5567" s="2">
        <f>HYPERLINK("https://ru.wikipedia.org/w/index.php?search=%D0%9F%D0%BE%D0%B4%20%D0%BA%D1%80%D1%8B%D1%88%D0%B0%D0%BC%D0%B8%20%D0%9C%D0%BE%D0%BD%D0%BC%D0%B0%D1%80%D1%82%D1%80%D0%B0%201975%20%D1%84%D0%B8%D0%BB%D1%8C%D0%BC","искать")</f>
        <v/>
      </c>
      <c r="N5567" s="3" t="n"/>
      <c r="O5567" s="2" t="n"/>
      <c r="P5567" s="2" t="n"/>
    </row>
    <row r="5568">
      <c r="A5568" s="2" t="n">
        <v>5567</v>
      </c>
      <c r="B5568" s="2" t="inlineStr"/>
      <c r="C5568" s="2" t="n">
        <v>8469</v>
      </c>
      <c r="D5568" s="3" t="inlineStr">
        <is>
          <t>Тревожные ночи в Самаре</t>
        </is>
      </c>
      <c r="E5568" s="2" t="n">
        <v>1969</v>
      </c>
      <c r="F5568" s="2" t="inlineStr">
        <is>
          <t>телефильм</t>
        </is>
      </c>
      <c r="G5568" s="2" t="n"/>
      <c r="H5568" s="2" t="n">
        <v>347</v>
      </c>
      <c r="I5568" s="2" t="inlineStr"/>
      <c r="J5568" s="2" t="inlineStr"/>
      <c r="K5568" s="3" t="inlineStr">
        <is>
          <t>В основу фильма положены подлинные события, происходившие в Самаре - контрреволюционный заговор 1921 года. Самарская ГубЧК с блеском разоблачает контрреволюционный бандитский заговор против Советской власти. Главные герои - вполне реальные люди. Председатель ЧК Левин (Владимир Емельянов) в жизни носил фамилию Бирн, в 30-е годы был репрессирован.</t>
        </is>
      </c>
      <c r="L5568" s="2" t="inlineStr">
        <is>
          <t>Кино_СССР сводный каталог.xlsx: список телефильмов</t>
        </is>
      </c>
      <c r="M5568" s="2">
        <f>HYPERLINK("https://ru.wikipedia.org/w/index.php?search=%D0%A2%D1%80%D0%B5%D0%B2%D0%BE%D0%B6%D0%BD%D1%8B%D0%B5%20%D0%BD%D0%BE%D1%87%D0%B8%20%D0%B2%20%D0%A1%D0%B0%D0%BC%D0%B0%D1%80%D0%B5%201969%20%D1%84%D0%B8%D0%BB%D1%8C%D0%BC","искать")</f>
        <v/>
      </c>
      <c r="N5568" s="3" t="n"/>
      <c r="O5568" s="2" t="n"/>
      <c r="P5568" s="2" t="n"/>
    </row>
    <row r="5569">
      <c r="A5569" s="2" t="n">
        <v>5568</v>
      </c>
      <c r="B5569" s="2" t="inlineStr"/>
      <c r="C5569" s="2" t="n">
        <v>7893</v>
      </c>
      <c r="D5569" s="3" t="inlineStr">
        <is>
          <t>Мой старший брат</t>
        </is>
      </c>
      <c r="E5569" s="2" t="n">
        <v>1976</v>
      </c>
      <c r="F5569" s="2" t="inlineStr">
        <is>
          <t>телефильм</t>
        </is>
      </c>
      <c r="G5569" s="2" t="n"/>
      <c r="H5569" s="2" t="n">
        <v>348</v>
      </c>
      <c r="I5569" s="2" t="inlineStr"/>
      <c r="J5569" s="2" t="inlineStr"/>
      <c r="K5569" s="3" t="inlineStr">
        <is>
          <t>Телефильм. После автомобильной катастрофы Бахтияр взял на себя вину жены, управлявшей машиной. Но это не изменило плохих отношений между ними, жена ушла к другому, пока Бахтияр выздоравливал в больнице. После случившегося трудно было Бахтияру верить людям. Только Вере, школьной подруге его младшего брата, удалось вселить в него надежду на любовь.</t>
        </is>
      </c>
      <c r="L5569" s="2" t="inlineStr">
        <is>
          <t>Кино_СССР сводный каталог.xlsx: список телефильмов</t>
        </is>
      </c>
      <c r="M5569" s="2">
        <f>HYPERLINK("https://ru.wikipedia.org/w/index.php?search=%D0%9C%D0%BE%D0%B9%20%D1%81%D1%82%D0%B0%D1%80%D1%88%D0%B8%D0%B9%20%D0%B1%D1%80%D0%B0%D1%82%201976%20%D1%84%D0%B8%D0%BB%D1%8C%D0%BC","искать")</f>
        <v/>
      </c>
      <c r="N5569" s="3" t="n"/>
      <c r="O5569" s="2" t="n"/>
      <c r="P5569" s="2" t="n"/>
    </row>
    <row r="5570">
      <c r="A5570" s="2" t="n">
        <v>5569</v>
      </c>
      <c r="B5570" s="2" t="inlineStr"/>
      <c r="C5570" s="2" t="n">
        <v>8466</v>
      </c>
      <c r="D5570" s="3" t="inlineStr">
        <is>
          <t>Трава зелена</t>
        </is>
      </c>
      <c r="E5570" s="2" t="n">
        <v>1986</v>
      </c>
      <c r="F5570" s="2" t="inlineStr">
        <is>
          <t>телефильм</t>
        </is>
      </c>
      <c r="G5570" s="2" t="n"/>
      <c r="H5570" s="2" t="n">
        <v>348</v>
      </c>
      <c r="I5570" s="2" t="inlineStr"/>
      <c r="J5570" s="2" t="inlineStr"/>
      <c r="K5570" s="3" t="inlineStr">
        <is>
          <t>Мирно протекает жизнь в семье Анны и Николая, хотя жена каждый день встречает и провожает пароход, на котором работает Иван - ее первая любовь. Анна - уводит колхозных коров от деревенского «активиста» Репехина, безответственного и несерьезного типа, и прячет их на заброшенном займище. Расследование этого дела поручено лейтенанту милиции Коржову.</t>
        </is>
      </c>
      <c r="L5570" s="2" t="inlineStr">
        <is>
          <t>Кино_СССР сводный каталог.xlsx: список телефильмов</t>
        </is>
      </c>
      <c r="M5570" s="2">
        <f>HYPERLINK("https://ru.wikipedia.org/w/index.php?search=%D0%A2%D1%80%D0%B0%D0%B2%D0%B0%20%D0%B7%D0%B5%D0%BB%D0%B5%D0%BD%D0%B0%201986%20%D1%84%D0%B8%D0%BB%D1%8C%D0%BC","искать")</f>
        <v/>
      </c>
      <c r="N5570" s="3" t="n"/>
      <c r="O5570" s="2" t="n"/>
      <c r="P5570" s="2" t="n"/>
    </row>
    <row r="5571">
      <c r="A5571" s="2" t="n">
        <v>5570</v>
      </c>
      <c r="B5571" s="2" t="inlineStr"/>
      <c r="C5571" s="2" t="n">
        <v>9013</v>
      </c>
      <c r="D5571" s="3" t="inlineStr">
        <is>
          <t>Рисованный круг</t>
        </is>
      </c>
      <c r="E5571" s="2" t="n">
        <v>1988</v>
      </c>
      <c r="F5571" s="2" t="inlineStr">
        <is>
          <t>кинофильм</t>
        </is>
      </c>
      <c r="G5571" s="2" t="n"/>
      <c r="H5571" s="2" t="n">
        <v>348</v>
      </c>
      <c r="I5571" s="2" t="inlineStr"/>
      <c r="J5571" s="2" t="inlineStr"/>
      <c r="K5571" s="3" t="inlineStr">
        <is>
          <t>Гипнотизер и фокусник Давид Чейшвили, пытаясь вызволить из мелкой уголовной истории своего сына, идет на некоторую уступку следователю и помогает получить заветную подпись в показаниях некоего подсудимого. В ход пущены способности гипнотизера. Фокус удается и жертва расписывается под показаниями, однако правила игры нарушаются самим следователем.</t>
        </is>
      </c>
      <c r="L5571" s="2" t="inlineStr">
        <is>
          <t>Кино_СССР сводный каталог.xlsx: список фильмов (доп.)</t>
        </is>
      </c>
      <c r="M5571" s="2">
        <f>HYPERLINK("https://ru.wikipedia.org/w/index.php?search=%D0%A0%D0%B8%D1%81%D0%BE%D0%B2%D0%B0%D0%BD%D0%BD%D1%8B%D0%B9%20%D0%BA%D1%80%D1%83%D0%B3%201988%20%D1%84%D0%B8%D0%BB%D1%8C%D0%BC","искать")</f>
        <v/>
      </c>
      <c r="N5571" s="3" t="n"/>
      <c r="O5571" s="2" t="n"/>
      <c r="P5571" s="2" t="n"/>
    </row>
    <row r="5572">
      <c r="A5572" s="2" t="n">
        <v>5571</v>
      </c>
      <c r="B5572" s="2" t="inlineStr"/>
      <c r="C5572" s="2" t="n">
        <v>10539</v>
      </c>
      <c r="D5572" s="3" t="inlineStr">
        <is>
          <t>Андро и Сандро</t>
        </is>
      </c>
      <c r="E5572" s="2" t="n">
        <v>1974</v>
      </c>
      <c r="F5572" s="2" t="inlineStr">
        <is>
          <t>фильм-спектакль</t>
        </is>
      </c>
      <c r="G5572" s="2" t="inlineStr">
        <is>
          <t>Центральное телевидение</t>
        </is>
      </c>
      <c r="H5572" s="2" t="n">
        <v>348</v>
      </c>
      <c r="I5572" s="2" t="inlineStr"/>
      <c r="J5572" s="2" t="inlineStr"/>
      <c r="K5572" s="3" t="inlineStr">
        <is>
          <t>Постановка Театра Сатиры по пьесе Георгия Хугаева.
Прекрасный дуэт Георгий Менглет и Роман Ткачук (Андро и Сандро) показали всем настоящую стариковскую дружбу. Самоотверженные осетинские ветераны колхоза с безграничным чувством юмора выдержали множество испытаний, дав назло друг другу обещание никогда не ссориться, и даже обрели настоящую любовь.</t>
        </is>
      </c>
      <c r="L5572" s="2" t="inlineStr">
        <is>
          <t>https://www.kino-teatr.ru/teatr/movie/81423/annot/</t>
        </is>
      </c>
      <c r="M5572" s="2">
        <f>HYPERLINK("https://ru.wikipedia.org/w/index.php?search=%D0%90%D0%BD%D0%B4%D1%80%D0%BE%20%D0%B8%20%D0%A1%D0%B0%D0%BD%D0%B4%D1%80%D0%BE%201974%20%D1%84%D0%B8%D0%BB%D1%8C%D0%BC","искать")</f>
        <v/>
      </c>
      <c r="N5572" s="3" t="n"/>
      <c r="O5572" s="2" t="n"/>
      <c r="P5572" s="2" t="n"/>
    </row>
    <row r="5573">
      <c r="A5573" s="2" t="n">
        <v>5572</v>
      </c>
      <c r="B5573" s="2" t="inlineStr"/>
      <c r="C5573" s="2" t="n">
        <v>7318</v>
      </c>
      <c r="D5573" s="3" t="inlineStr">
        <is>
          <t>Великое противостояние</t>
        </is>
      </c>
      <c r="E5573" s="2" t="n">
        <v>1974</v>
      </c>
      <c r="F5573" s="2" t="inlineStr">
        <is>
          <t>телефильм</t>
        </is>
      </c>
      <c r="G5573" s="2" t="n"/>
      <c r="H5573" s="2" t="n">
        <v>349</v>
      </c>
      <c r="I5573" s="2" t="inlineStr"/>
      <c r="J5573" s="2" t="inlineStr"/>
      <c r="K5573" s="3" t="inlineStr">
        <is>
          <t>Телефильм по мотивам одноименной повести Льва Кассиля (1941—1947). Героиня фильма — ученый Серафима Андреевна Крупицына. Еще в школьные времена своей жизни она принимала участие в съемках фильма об Отечественной войне 1812 года, где исполнила роль партизанки. Позже, в годы Великой Отечественной войны, она фактически повторила подвиг своей героини.</t>
        </is>
      </c>
      <c r="L5573" s="2" t="inlineStr">
        <is>
          <t>Кино_СССР сводный каталог.xlsx: список телефильмов</t>
        </is>
      </c>
      <c r="M5573" s="2">
        <f>HYPERLINK("https://ru.wikipedia.org/w/index.php?search=%D0%92%D0%B5%D0%BB%D0%B8%D0%BA%D0%BE%D0%B5%20%D0%BF%D1%80%D0%BE%D1%82%D0%B8%D0%B2%D0%BE%D1%81%D1%82%D0%BE%D1%8F%D0%BD%D0%B8%D0%B5%201974%20%D1%84%D0%B8%D0%BB%D1%8C%D0%BC","искать")</f>
        <v/>
      </c>
      <c r="N5573" s="3" t="n"/>
      <c r="O5573" s="2" t="n"/>
      <c r="P5573" s="2" t="n"/>
    </row>
    <row r="5574">
      <c r="A5574" s="2" t="n">
        <v>5573</v>
      </c>
      <c r="B5574" s="2" t="inlineStr"/>
      <c r="C5574" s="2" t="n">
        <v>7477</v>
      </c>
      <c r="D5574" s="3" t="inlineStr">
        <is>
          <t>Два капитана</t>
        </is>
      </c>
      <c r="E5574" s="2" t="n">
        <v>1976</v>
      </c>
      <c r="F5574" s="2" t="inlineStr">
        <is>
          <t>телефильм</t>
        </is>
      </c>
      <c r="G5574" s="2" t="inlineStr">
        <is>
          <t>Мосфильм</t>
        </is>
      </c>
      <c r="H5574" s="2" t="n">
        <v>349</v>
      </c>
      <c r="I5574" s="2" t="inlineStr"/>
      <c r="J5574" s="2" t="inlineStr"/>
      <c r="K5574" s="3" t="inlineStr">
        <is>
          <t>Телесериал. Знаменитая экранизация романа Вениамина Каверина. Удивительная история о любви и дружбе, стойкости и слабости, верности и предательстве, пронизанная духом романтики и приключений. История Саши Григорьева, с детских лет поставившего перед собой благородную и трудную задачу - раскрыть тайну гибели полярной экспедиции капитана Татаринова.</t>
        </is>
      </c>
      <c r="L5574" s="2" t="inlineStr">
        <is>
          <t>Кино_СССР сводный каталог.xlsx: список телефильмов</t>
        </is>
      </c>
      <c r="M5574" s="2">
        <f>HYPERLINK("https://ru.wikipedia.org/w/index.php?search=%D0%94%D0%B2%D0%B0%20%D0%BA%D0%B0%D0%BF%D0%B8%D1%82%D0%B0%D0%BD%D0%B0%201976%20%D1%84%D0%B8%D0%BB%D1%8C%D0%BC","искать")</f>
        <v/>
      </c>
      <c r="N5574" s="3" t="n"/>
      <c r="O5574" s="2" t="n"/>
      <c r="P5574" s="2" t="n"/>
    </row>
    <row r="5575">
      <c r="A5575" s="2" t="n">
        <v>5574</v>
      </c>
      <c r="B5575" s="2" t="inlineStr"/>
      <c r="C5575" s="2" t="n">
        <v>7952</v>
      </c>
      <c r="D5575" s="3" t="inlineStr">
        <is>
          <t>Наследница "Оборотней"</t>
        </is>
      </c>
      <c r="E5575" s="2" t="n">
        <v>1990</v>
      </c>
      <c r="F5575" s="2" t="inlineStr">
        <is>
          <t>телефильм</t>
        </is>
      </c>
      <c r="G5575" s="2" t="n"/>
      <c r="H5575" s="2" t="n">
        <v>349</v>
      </c>
      <c r="I5575" s="2" t="inlineStr"/>
      <c r="J5575" s="2" t="inlineStr"/>
      <c r="K5575" s="3" t="inlineStr">
        <is>
          <t>Телефильм по мотивам одноименного романа И.Леймане. О событиях середины 19 века, когда были распространены основанные на языческих верованиях легенды о ведьмах, оборотнях и другой нечистой силе, помогающей одним и приносящей беду другим. Это рассказ о сильной любви Андрея и Алине, которые смогли преодолеть и предрассудки, и недоверие, и ненависть.</t>
        </is>
      </c>
      <c r="L5575" s="2" t="inlineStr">
        <is>
          <t>Кино_СССР сводный каталог.xlsx: список телефильмов</t>
        </is>
      </c>
      <c r="M5575" s="2">
        <f>HYPERLINK("https://ru.wikipedia.org/w/index.php?search=%D0%9D%D0%B0%D1%81%D0%BB%D0%B5%D0%B4%D0%BD%D0%B8%D1%86%D0%B0%20%22%D0%9E%D0%B1%D0%BE%D1%80%D0%BE%D1%82%D0%BD%D0%B5%D0%B9%22%201990%20%D1%84%D0%B8%D0%BB%D1%8C%D0%BC","искать")</f>
        <v/>
      </c>
      <c r="N5575" s="3" t="n"/>
      <c r="O5575" s="2" t="n"/>
      <c r="P5575" s="2" t="n"/>
    </row>
    <row r="5576">
      <c r="A5576" s="2" t="n">
        <v>5575</v>
      </c>
      <c r="B5576" s="2" t="inlineStr"/>
      <c r="C5576" s="2" t="n">
        <v>8101</v>
      </c>
      <c r="D5576" s="3" t="inlineStr">
        <is>
          <t>Переходный возраст</t>
        </is>
      </c>
      <c r="E5576" s="2" t="n">
        <v>1981</v>
      </c>
      <c r="F5576" s="2" t="inlineStr">
        <is>
          <t>телефильм</t>
        </is>
      </c>
      <c r="G5576" s="2" t="n"/>
      <c r="H5576" s="2" t="n">
        <v>349</v>
      </c>
      <c r="I5576" s="2" t="inlineStr"/>
      <c r="J5576" s="2" t="inlineStr"/>
      <c r="K5576" s="3" t="inlineStr">
        <is>
          <t>Телефильм. Четырнадцатилетняя Ануца живет вдвоем с отцом. Ему, администратору филармонии, приходится часто бывать в отъезде, и тогда девочка остается одна. Но она к этому привыкла и давно уже стала самостоятельной. Ануца была предоставлена сама себе до тех пор, пока в их доме не появилась актриса Изольда, папина подруга, и не завоевала ее доверие.</t>
        </is>
      </c>
      <c r="L5576" s="2" t="inlineStr">
        <is>
          <t>Кино_СССР сводный каталог.xlsx: список телефильмов</t>
        </is>
      </c>
      <c r="M5576" s="2">
        <f>HYPERLINK("https://ru.wikipedia.org/w/index.php?search=%D0%9F%D0%B5%D1%80%D0%B5%D1%85%D0%BE%D0%B4%D0%BD%D1%8B%D0%B9%20%D0%B2%D0%BE%D0%B7%D1%80%D0%B0%D1%81%D1%82%201981%20%D1%84%D0%B8%D0%BB%D1%8C%D0%BC","искать")</f>
        <v/>
      </c>
      <c r="N5576" s="3" t="n"/>
      <c r="O5576" s="2" t="n"/>
      <c r="P5576" s="2" t="n"/>
    </row>
    <row r="5577">
      <c r="A5577" s="2" t="n">
        <v>5576</v>
      </c>
      <c r="B5577" s="2" t="inlineStr"/>
      <c r="C5577" s="2" t="n">
        <v>8604</v>
      </c>
      <c r="D5577" s="3" t="inlineStr">
        <is>
          <t>Ювелирное дело</t>
        </is>
      </c>
      <c r="E5577" s="2" t="n">
        <v>1983</v>
      </c>
      <c r="F5577" s="2" t="inlineStr">
        <is>
          <t>телефильм</t>
        </is>
      </c>
      <c r="G5577" s="2" t="inlineStr">
        <is>
          <t>Лентелефильм</t>
        </is>
      </c>
      <c r="H5577" s="2" t="n">
        <v>349</v>
      </c>
      <c r="I5577" s="2" t="inlineStr"/>
      <c r="J5577" s="2" t="inlineStr"/>
      <c r="K5577" s="3" t="inlineStr">
        <is>
          <t>На пульт вневедомственной охраны поступил сигнал. В дверях охраняемой квартиры милиция задерживает воришку. У него находят мешочек с золотыми изделиями. После допроса он сам показывает, где он их взял. Это - квартира работника ювелирного магазина “Яхонт” Зои Малининой. Она о пропаже не заявляла. Начальник отдела чувствует, что это дело не простое.</t>
        </is>
      </c>
      <c r="L5577" s="2" t="inlineStr">
        <is>
          <t>Кино_СССР сводный каталог.xlsx: список телефильмов</t>
        </is>
      </c>
      <c r="M5577" s="2">
        <f>HYPERLINK("https://ru.wikipedia.org/w/index.php?search=%D0%AE%D0%B2%D0%B5%D0%BB%D0%B8%D1%80%D0%BD%D0%BE%D0%B5%20%D0%B4%D0%B5%D0%BB%D0%BE%201983%20%D1%84%D0%B8%D0%BB%D1%8C%D0%BC","искать")</f>
        <v/>
      </c>
      <c r="N5577" s="3" t="n"/>
      <c r="O5577" s="2" t="n"/>
      <c r="P5577" s="2" t="n"/>
    </row>
    <row r="5578">
      <c r="A5578" s="2" t="n">
        <v>5577</v>
      </c>
      <c r="B5578" s="2" t="inlineStr"/>
      <c r="C5578" s="2" t="n">
        <v>11119</v>
      </c>
      <c r="D5578" s="3" t="inlineStr">
        <is>
          <t>Накануне отъезда</t>
        </is>
      </c>
      <c r="E5578" s="2" t="n">
        <v>1986</v>
      </c>
      <c r="F5578" s="2" t="inlineStr">
        <is>
          <t>фильм-спектакль</t>
        </is>
      </c>
      <c r="G5578" s="2" t="inlineStr">
        <is>
          <t>Главная редакция литературно-драматических программ ЦТ</t>
        </is>
      </c>
      <c r="H5578" s="2" t="n">
        <v>349</v>
      </c>
      <c r="I5578" s="2" t="inlineStr"/>
      <c r="J5578" s="2" t="inlineStr"/>
      <c r="K5578" s="3" t="inlineStr">
        <is>
          <t>Главный герой спектакля - механик-испытатель тракторного завода Константин Лесогор. Он решительно выступает против бракоделов и выполнения плана любой ценой. Эта борьба завершается победой Лесогора и его сторонников. Личная жизнь героя - это незаладившаяся семейная жизнь его взрослой дочери и безответная любовь к женщине, которая ему очень дорога.</t>
        </is>
      </c>
      <c r="L5578" s="2" t="inlineStr">
        <is>
          <t>https://www.kino-teatr.ru/teatr/movie/17230/annot/</t>
        </is>
      </c>
      <c r="M5578" s="2">
        <f>HYPERLINK("https://ru.wikipedia.org/w/index.php?search=%D0%9D%D0%B0%D0%BA%D0%B0%D0%BD%D1%83%D0%BD%D0%B5%20%D0%BE%D1%82%D1%8A%D0%B5%D0%B7%D0%B4%D0%B0%201986%20%D1%84%D0%B8%D0%BB%D1%8C%D0%BC","искать")</f>
        <v/>
      </c>
      <c r="N5578" s="3" t="n"/>
      <c r="O5578" s="2" t="n"/>
      <c r="P5578" s="2" t="n"/>
    </row>
    <row r="5579">
      <c r="A5579" s="2" t="n">
        <v>5578</v>
      </c>
      <c r="B5579" s="2" t="inlineStr"/>
      <c r="C5579" s="2" t="n">
        <v>11167</v>
      </c>
      <c r="D5579" s="3" t="inlineStr">
        <is>
          <t>Любящий вас Коля</t>
        </is>
      </c>
      <c r="E5579" s="2" t="n">
        <v>1987</v>
      </c>
      <c r="F5579" s="2" t="inlineStr">
        <is>
          <t>фильм-спектакль</t>
        </is>
      </c>
      <c r="G5579" s="2" t="inlineStr">
        <is>
          <t>Творческое объединение "Экран"</t>
        </is>
      </c>
      <c r="H5579" s="2" t="n">
        <v>349</v>
      </c>
      <c r="I5579" s="2" t="inlineStr"/>
      <c r="J5579" s="2" t="inlineStr"/>
      <c r="K5579" s="3" t="inlineStr">
        <is>
          <t>По одноименной пьесе В.Москаленко в постановке Московского драматического театра на Малой Бронной.
О судьбе Николая Павловича Шмита, московского фабриканта, мечтавшего улучшить положение рабочих не только на своем предприятии, но и во всей России. Арестованный во время революционных событий 1905 года, он был позднее убит в камере Бутырской тюрьмы.</t>
        </is>
      </c>
      <c r="L5579" s="2" t="inlineStr">
        <is>
          <t>https://www.kino-teatr.ru/teatr/movie/81200/annot/</t>
        </is>
      </c>
      <c r="M5579" s="2">
        <f>HYPERLINK("https://ru.wikipedia.org/w/index.php?search=%D0%9B%D1%8E%D0%B1%D1%8F%D1%89%D0%B8%D0%B9%20%D0%B2%D0%B0%D1%81%20%D0%9A%D0%BE%D0%BB%D1%8F%201987%20%D1%84%D0%B8%D0%BB%D1%8C%D0%BC","искать")</f>
        <v/>
      </c>
      <c r="N5579" s="3" t="n"/>
      <c r="O5579" s="2" t="n"/>
      <c r="P5579" s="2" t="n"/>
    </row>
    <row r="5580">
      <c r="A5580" s="2" t="n">
        <v>5579</v>
      </c>
      <c r="B5580" s="2" t="inlineStr"/>
      <c r="C5580" s="2" t="n">
        <v>11421</v>
      </c>
      <c r="D5580" s="3" t="inlineStr">
        <is>
          <t>Жу-жу-жу</t>
        </is>
      </c>
      <c r="E5580" s="2" t="n">
        <v>1966</v>
      </c>
      <c r="F5580" s="2" t="inlineStr">
        <is>
          <t>мультфильм</t>
        </is>
      </c>
      <c r="G5580" s="2" t="inlineStr">
        <is>
          <t>Союзмультфильм</t>
        </is>
      </c>
      <c r="H5580" s="2" t="n">
        <v>349</v>
      </c>
      <c r="I5580" s="2" t="inlineStr"/>
      <c r="J5580" s="2" t="inlineStr"/>
      <c r="K5580" s="3" t="inlineStr">
        <is>
          <t>Одинокая Пчелка собирала мед. И вдруг ветер захлопнул дверцу ее домика. Сама Пчелка открыть дверь не может, а Муравей, Кузнечик и Жук отказываются ей помочь. Согласились только Трутни, но, дорвавшись до меда, разбили пчелкин дом. Тогда дружный пчелиный рой приходит безутешной Пчелке на помощь: собирает для нее много меда и принимает ее в свой улей</t>
        </is>
      </c>
      <c r="L5580" s="2" t="inlineStr">
        <is>
          <t>https://gosfilmofond.ru/films/254226/</t>
        </is>
      </c>
      <c r="M5580" s="2">
        <f>HYPERLINK("https://ru.wikipedia.org/w/index.php?search=%D0%96%D1%83-%D0%B6%D1%83-%D0%B6%D1%83%201966%20%D1%84%D0%B8%D0%BB%D1%8C%D0%BC","искать")</f>
        <v/>
      </c>
      <c r="N5580" s="3" t="n"/>
      <c r="O5580" s="2" t="n"/>
      <c r="P5580" s="2" t="n"/>
    </row>
    <row r="5581">
      <c r="A5581" s="2" t="n">
        <v>5580</v>
      </c>
      <c r="B5581" s="2" t="inlineStr"/>
      <c r="C5581" s="2" t="n">
        <v>11453</v>
      </c>
      <c r="D5581" s="3" t="inlineStr">
        <is>
          <t>Песенка мышонка</t>
        </is>
      </c>
      <c r="E5581" s="2" t="n">
        <v>1967</v>
      </c>
      <c r="F5581" s="2" t="inlineStr">
        <is>
          <t>мультфильм</t>
        </is>
      </c>
      <c r="G5581" s="2" t="inlineStr">
        <is>
          <t>Союзмультфильм</t>
        </is>
      </c>
      <c r="H5581" s="2" t="n">
        <v>349</v>
      </c>
      <c r="I5581" s="2" t="inlineStr"/>
      <c r="J5581" s="2" t="inlineStr"/>
      <c r="K5581" s="3" t="inlineStr">
        <is>
          <t>Беспечно живет маленький Мышонок, целый день он играет на гитаре и поет псенки. А рядом трудятся друзья, и никто не слушает бездельника. Но однажды пригласили Мышонка поработать с ними строители дома - Бобер, Еж, Заяц. Бобер стал учить Мышонка, и тот не заметил, как увлекся работой. А после работы новые друзья Мышонка весело подхватили его песенку</t>
        </is>
      </c>
      <c r="L5581" s="2" t="inlineStr">
        <is>
          <t>https://gosfilmofond.ru/films/254278/</t>
        </is>
      </c>
      <c r="M5581" s="2">
        <f>HYPERLINK("https://ru.wikipedia.org/w/index.php?search=%D0%9F%D0%B5%D1%81%D0%B5%D0%BD%D0%BA%D0%B0%20%D0%BC%D1%8B%D1%88%D0%BE%D0%BD%D0%BA%D0%B0%201967%20%D1%84%D0%B8%D0%BB%D1%8C%D0%BC","искать")</f>
        <v/>
      </c>
      <c r="N5581" s="3" t="n"/>
      <c r="O5581" s="2" t="n"/>
      <c r="P5581" s="2" t="n"/>
    </row>
    <row r="5582">
      <c r="A5582" s="2" t="n">
        <v>5581</v>
      </c>
      <c r="B5582" s="2" t="inlineStr"/>
      <c r="C5582" s="2" t="n">
        <v>12735</v>
      </c>
      <c r="D5582" s="3" t="inlineStr">
        <is>
          <t>Домик на поляне</t>
        </is>
      </c>
      <c r="E5582" s="2" t="n">
        <v>1986</v>
      </c>
      <c r="F5582" s="2" t="inlineStr">
        <is>
          <t>мультфильм</t>
        </is>
      </c>
      <c r="G5582" s="2" t="inlineStr">
        <is>
          <t>АЗЕРБАЙДЖАНФИЛЬМ</t>
        </is>
      </c>
      <c r="H5582" s="2" t="n">
        <v>349</v>
      </c>
      <c r="I5582" s="2" t="inlineStr"/>
      <c r="J5582" s="2" t="inlineStr"/>
      <c r="K5582" s="3" t="inlineStr">
        <is>
          <t>Городской мышонок, побывав на природе и познакомившись с полевым мышонком, пригласил его в гости. Хотелось ему как горожанину похваститься своим житьем-бытьем. Одну ночь провел полевой мышонок в городском доме и еле-еле жив остался, чуть было не попав в кошачьи лапы и в мышеловку. Поутру собрался домой: лучше зернышко с дороги, чем сыр в мышеловке</t>
        </is>
      </c>
      <c r="L5582" s="2" t="inlineStr">
        <is>
          <t>https://gosfilmofond.ru/films/250574/</t>
        </is>
      </c>
      <c r="M5582" s="2">
        <f>HYPERLINK("https://ru.wikipedia.org/w/index.php?search=%D0%94%D0%BE%D0%BC%D0%B8%D0%BA%20%D0%BD%D0%B0%20%D0%BF%D0%BE%D0%BB%D1%8F%D0%BD%D0%B5%201986%20%D1%84%D0%B8%D0%BB%D1%8C%D0%BC","искать")</f>
        <v/>
      </c>
      <c r="N5582" s="3" t="n"/>
      <c r="O5582" s="2" t="n"/>
      <c r="P5582" s="2" t="n"/>
    </row>
    <row r="5583">
      <c r="A5583" s="2" t="n">
        <v>5582</v>
      </c>
      <c r="B5583" s="2" t="inlineStr"/>
      <c r="C5583" s="2" t="n">
        <v>13065</v>
      </c>
      <c r="D5583" s="3" t="inlineStr">
        <is>
          <t>Как волк не съел поросенка</t>
        </is>
      </c>
      <c r="E5583" s="2" t="n">
        <v>1972</v>
      </c>
      <c r="F5583" s="2" t="inlineStr">
        <is>
          <t>мультфильм</t>
        </is>
      </c>
      <c r="G5583" s="2" t="inlineStr">
        <is>
          <t>ГОСТЕЛЕРАДИО ЛАТВ. ССР ("ТЕЛЕФИЛЬМ-РИГА")</t>
        </is>
      </c>
      <c r="H5583" s="2" t="n">
        <v>349</v>
      </c>
      <c r="I5583" s="2" t="inlineStr"/>
      <c r="J5583" s="2" t="inlineStr"/>
      <c r="K5583" s="3" t="inlineStr">
        <is>
          <t>Как-то раз серый волк лежал в лесу на мягкой зеленой травке, как вдруг заметил милого и улыбающегося поросенка, собирающего в корзинку ягоды. Конечно, земляника не могла заинтересовать этого большого хищного зверя, а вот поросенок приковал все внимание волка, который начал с гостем разговор. Но все обернется не так, как того хочет серый разбойник.</t>
        </is>
      </c>
      <c r="L5583" s="2" t="inlineStr">
        <is>
          <t>2026-10_мультфильмы_список_владельца.xlsx; https://animator.ru/db/?p=show_film&amp;fid=4297</t>
        </is>
      </c>
      <c r="M5583" s="2">
        <f>HYPERLINK("https://ru.wikipedia.org/w/index.php?search=%D0%9A%D0%B0%D0%BA%20%D0%B2%D0%BE%D0%BB%D0%BA%20%D0%BD%D0%B5%20%D1%81%D1%8A%D0%B5%D0%BB%20%D0%BF%D0%BE%D1%80%D0%BE%D1%81%D0%B5%D0%BD%D0%BA%D0%B0%201972%20%D1%84%D0%B8%D0%BB%D1%8C%D0%BC","искать")</f>
        <v/>
      </c>
      <c r="N5583" s="3" t="n"/>
      <c r="O5583" s="2" t="n"/>
      <c r="P5583" s="2" t="n"/>
    </row>
    <row r="5584">
      <c r="A5584" s="2" t="n">
        <v>5583</v>
      </c>
      <c r="B5584" s="2" t="inlineStr"/>
      <c r="C5584" s="2" t="n">
        <v>13154</v>
      </c>
      <c r="D5584" s="3" t="inlineStr">
        <is>
          <t>Одно-единственное бревнышко</t>
        </is>
      </c>
      <c r="E5584" s="2" t="n">
        <v>1985</v>
      </c>
      <c r="F5584" s="2" t="inlineStr">
        <is>
          <t>мультфильм</t>
        </is>
      </c>
      <c r="G5584" s="2" t="inlineStr">
        <is>
          <t>ТУРКМЕНФИЛЬМ</t>
        </is>
      </c>
      <c r="H5584" s="2" t="n">
        <v>349</v>
      </c>
      <c r="I5584" s="2" t="inlineStr"/>
      <c r="J5584" s="2" t="inlineStr"/>
      <c r="K5584" s="3" t="inlineStr">
        <is>
          <t>Сломался мостик и муравьи не могли вовремя попасть домой. Чтобы мостик починить нужно успеть, пока не зайдет солнышко, принести одно-единственное бревнышко. Сделать это должен Муравьишка, но он не захотел потрудиться как следует и был наказан за это: мост провалился, а лентяй упал в воду. Понял Муравьишка: всякое дело добросовестного труда требует</t>
        </is>
      </c>
      <c r="L5584" s="2" t="inlineStr">
        <is>
          <t>https://gosfilmofond.ru/films/250612/</t>
        </is>
      </c>
      <c r="M5584" s="2">
        <f>HYPERLINK("https://ru.wikipedia.org/w/index.php?search=%D0%9E%D0%B4%D0%BD%D0%BE-%D0%B5%D0%B4%D0%B8%D0%BD%D1%81%D1%82%D0%B2%D0%B5%D0%BD%D0%BD%D0%BE%D0%B5%20%D0%B1%D1%80%D0%B5%D0%B2%D0%BD%D1%8B%D1%88%D0%BA%D0%BE%201985%20%D1%84%D0%B8%D0%BB%D1%8C%D0%BC","искать")</f>
        <v/>
      </c>
      <c r="N5584" s="3" t="n"/>
      <c r="O5584" s="2" t="n"/>
      <c r="P5584" s="2" t="n"/>
    </row>
    <row r="5585">
      <c r="A5585" s="2" t="n">
        <v>5584</v>
      </c>
      <c r="B5585" s="2" t="inlineStr"/>
      <c r="C5585" s="2" t="n">
        <v>8183</v>
      </c>
      <c r="D5585" s="3" t="inlineStr">
        <is>
          <t>Право решать</t>
        </is>
      </c>
      <c r="E5585" s="2" t="n">
        <v>1986</v>
      </c>
      <c r="F5585" s="2" t="inlineStr">
        <is>
          <t>телефильм</t>
        </is>
      </c>
      <c r="G5585" s="2" t="n"/>
      <c r="H5585" s="2" t="n">
        <v>350</v>
      </c>
      <c r="I5585" s="2" t="inlineStr"/>
      <c r="J5585" s="2" t="inlineStr"/>
      <c r="K5585" s="3" t="inlineStr">
        <is>
          <t>Директор одного из промышленных предприятий Туркмении, Чары Каландаров, начинает реконструкцию своего завода. Его действия находят поддержку одних и активное противодействие других. Главным противником Каландарова становится Джумаев, возглавляющий нефтехимическую отрасль в республике, более всего беспокоящийся лишь о своевременном выполнении плана.</t>
        </is>
      </c>
      <c r="L5585" s="2" t="inlineStr">
        <is>
          <t>Кино_СССР сводный каталог.xlsx: список телефильмов</t>
        </is>
      </c>
      <c r="M5585" s="2">
        <f>HYPERLINK("https://ru.wikipedia.org/w/index.php?search=%D0%9F%D1%80%D0%B0%D0%B2%D0%BE%20%D1%80%D0%B5%D1%88%D0%B0%D1%82%D1%8C%201986%20%D1%84%D0%B8%D0%BB%D1%8C%D0%BC","искать")</f>
        <v/>
      </c>
      <c r="N5585" s="3" t="n"/>
      <c r="O5585" s="2" t="n"/>
      <c r="P5585" s="2" t="n"/>
    </row>
    <row r="5586">
      <c r="A5586" s="2" t="n">
        <v>5585</v>
      </c>
      <c r="B5586" s="2" t="inlineStr"/>
      <c r="C5586" s="2" t="n">
        <v>8238</v>
      </c>
      <c r="D5586" s="3" t="inlineStr">
        <is>
          <t>Противостояние</t>
        </is>
      </c>
      <c r="E5586" s="2" t="n">
        <v>1985</v>
      </c>
      <c r="F5586" s="2" t="inlineStr">
        <is>
          <t>телефильм</t>
        </is>
      </c>
      <c r="G5586" s="2" t="n"/>
      <c r="H5586" s="2" t="n">
        <v>350</v>
      </c>
      <c r="I5586" s="2" t="inlineStr"/>
      <c r="J5586" s="2" t="inlineStr"/>
      <c r="K5586" s="3" t="inlineStr">
        <is>
          <t>Телесериал по одноименной повести Юлиана Семенова. В страшных преступлениях, совершенных в разные годы, чувствуется "почерк" одного и того же человека. Полковник, ведущий следствие, понимает - чтобы найти убийцу, надо "заглянуть" в далекое прошлое, в годы войны… Последняя роль в кино актера, мастера каратэ - Талгата Нигматулина, убитого в Вильнюсе.</t>
        </is>
      </c>
      <c r="L5586" s="2" t="inlineStr">
        <is>
          <t>Кино_СССР сводный каталог.xlsx: список телефильмов</t>
        </is>
      </c>
      <c r="M5586" s="2">
        <f>HYPERLINK("https://ru.wikipedia.org/w/index.php?search=%D0%9F%D1%80%D0%BE%D1%82%D0%B8%D0%B2%D0%BE%D1%81%D1%82%D0%BE%D1%8F%D0%BD%D0%B8%D0%B5%201985%20%D1%84%D0%B8%D0%BB%D1%8C%D0%BC","искать")</f>
        <v/>
      </c>
      <c r="N5586" s="3" t="n"/>
      <c r="O5586" s="2" t="n"/>
      <c r="P5586" s="2" t="n"/>
    </row>
    <row r="5587">
      <c r="A5587" s="2" t="n">
        <v>5586</v>
      </c>
      <c r="B5587" s="2" t="inlineStr"/>
      <c r="C5587" s="2" t="n">
        <v>9174</v>
      </c>
      <c r="D5587" s="3" t="inlineStr">
        <is>
          <t>Шестое чувство</t>
        </is>
      </c>
      <c r="E5587" s="2" t="n">
        <v>1935</v>
      </c>
      <c r="F5587" s="2" t="inlineStr">
        <is>
          <t>кинофильм</t>
        </is>
      </c>
      <c r="G5587" s="2" t="n"/>
      <c r="H5587" s="2" t="n">
        <v>350</v>
      </c>
      <c r="I5587" s="2" t="inlineStr"/>
      <c r="J5587" s="2" t="inlineStr"/>
      <c r="K5587" s="3" t="inlineStr">
        <is>
          <t>О борьбе молодого инженера за новые, научно выверенные методы работы на буровых приисках. Его главный оппонент — буровой мастер, предпочитающий руководствоваться в работе «шестым чувством». Инженер Гедар в финале одерживает двойную победу: доказывает преимущество новых методов бурения перед традиционными и завоевывает сердце дочери старого мастера.</t>
        </is>
      </c>
      <c r="L5587" s="2" t="inlineStr">
        <is>
          <t>Кино_СССР сводный каталог.xlsx: список фильмов (доп.)</t>
        </is>
      </c>
      <c r="M5587" s="2">
        <f>HYPERLINK("https://ru.wikipedia.org/w/index.php?search=%D0%A8%D0%B5%D1%81%D1%82%D0%BE%D0%B5%20%D1%87%D1%83%D0%B2%D1%81%D1%82%D0%B2%D0%BE%201935%20%D1%84%D0%B8%D0%BB%D1%8C%D0%BC","искать")</f>
        <v/>
      </c>
      <c r="N5587" s="3" t="n"/>
      <c r="O5587" s="2" t="n"/>
      <c r="P5587" s="2" t="n"/>
    </row>
    <row r="5588">
      <c r="A5588" s="2" t="n">
        <v>5587</v>
      </c>
      <c r="B5588" s="2" t="inlineStr"/>
      <c r="C5588" s="2" t="n">
        <v>9913</v>
      </c>
      <c r="D5588" s="3" t="inlineStr">
        <is>
          <t>Любимая</t>
        </is>
      </c>
      <c r="E5588" s="2" t="n">
        <v>1975</v>
      </c>
      <c r="F5588" s="2" t="inlineStr">
        <is>
          <t>телефильм</t>
        </is>
      </c>
      <c r="G5588" s="2" t="inlineStr">
        <is>
          <t>Казахфильм  по заказу Гостелерадио СССР</t>
        </is>
      </c>
      <c r="H5588" s="2" t="n">
        <v>350</v>
      </c>
      <c r="I5588" s="2" t="inlineStr"/>
      <c r="J5588" s="2" t="inlineStr"/>
      <c r="K5588" s="3" t="inlineStr">
        <is>
          <t>Телефильм по мотивам рассказов Саина Муратбекова "Моя сестренка" и "Летняя ночь".
История молодого человека Ертайя, вернувшегося после долгих лет учебы в столичном вузе в родной аул. За это время его младшая сестренка Алима подросла и влюбилась в тракториста. А теперь ей приходится доказывать Ертаю, что она - уже взрослый и самостоятельный человек.</t>
        </is>
      </c>
      <c r="L5588" s="2" t="inlineStr">
        <is>
          <t>https://www.kino-teatr.ru/short/movie/sov/14849/annot/</t>
        </is>
      </c>
      <c r="M5588" s="2">
        <f>HYPERLINK("https://ru.wikipedia.org/w/index.php?search=%D0%9B%D1%8E%D0%B1%D0%B8%D0%BC%D0%B0%D1%8F%201975%20%D1%84%D0%B8%D0%BB%D1%8C%D0%BC","искать")</f>
        <v/>
      </c>
      <c r="N5588" s="3" t="n"/>
      <c r="O5588" s="2" t="n"/>
      <c r="P5588" s="2" t="n"/>
    </row>
    <row r="5589">
      <c r="A5589" s="2" t="n">
        <v>5588</v>
      </c>
      <c r="B5589" s="2" t="inlineStr"/>
      <c r="C5589" s="2" t="n">
        <v>10841</v>
      </c>
      <c r="D5589" s="3" t="inlineStr">
        <is>
          <t>День рождения Терезы</t>
        </is>
      </c>
      <c r="E5589" s="2" t="n">
        <v>1980</v>
      </c>
      <c r="F5589" s="2" t="inlineStr">
        <is>
          <t>фильм-спектакль</t>
        </is>
      </c>
      <c r="G5589" s="2" t="inlineStr">
        <is>
          <t>Главная редакция литературно-драматических программ ЦТ</t>
        </is>
      </c>
      <c r="H5589" s="2" t="n">
        <v>350</v>
      </c>
      <c r="I5589" s="2" t="inlineStr"/>
      <c r="J5589" s="2" t="inlineStr"/>
      <c r="K5589" s="3" t="inlineStr">
        <is>
          <t>По одноименной пьесе Г.Мдивани в исполнении артистов Государственного академического Малого театра и студентов Театрального училища имени М.С.Щепкина.
О героизме кубинского народа, отстоявшего свободу своей родины. Действие происходит в 1961 году во время организованного США вооруженного нападения кубинских контрреволюционеров в районе Плайя-Хирон.</t>
        </is>
      </c>
      <c r="L5589" s="2" t="inlineStr">
        <is>
          <t>https://www.kino-teatr.ru/teatr/movie/81204/annot/</t>
        </is>
      </c>
      <c r="M5589" s="2">
        <f>HYPERLINK("https://ru.wikipedia.org/w/index.php?search=%D0%94%D0%B5%D0%BD%D1%8C%20%D1%80%D0%BE%D0%B6%D0%B4%D0%B5%D0%BD%D0%B8%D1%8F%20%D0%A2%D0%B5%D1%80%D0%B5%D0%B7%D1%8B%201980%20%D1%84%D0%B8%D0%BB%D1%8C%D0%BC","искать")</f>
        <v/>
      </c>
      <c r="N5589" s="3" t="n"/>
      <c r="O5589" s="2" t="n"/>
      <c r="P5589" s="2" t="n"/>
    </row>
    <row r="5590">
      <c r="A5590" s="2" t="n">
        <v>5589</v>
      </c>
      <c r="B5590" s="2" t="inlineStr"/>
      <c r="C5590" s="2" t="n">
        <v>11067</v>
      </c>
      <c r="D5590" s="3" t="inlineStr">
        <is>
          <t>Незрелая малина</t>
        </is>
      </c>
      <c r="E5590" s="2" t="n">
        <v>1985</v>
      </c>
      <c r="F5590" s="2" t="inlineStr">
        <is>
          <t>фильм-спектакль</t>
        </is>
      </c>
      <c r="G5590" s="2" t="inlineStr">
        <is>
          <t>ТО “Экран”</t>
        </is>
      </c>
      <c r="H5590" s="2" t="n">
        <v>350</v>
      </c>
      <c r="I5590" s="2" t="inlineStr"/>
      <c r="J5590" s="2" t="inlineStr"/>
      <c r="K5590" s="3" t="inlineStr">
        <is>
          <t>По одноименной пьесе И.Губача в постановке Государственного академического Малого театра Союза ССР.
Пенсионер Бедьяр через пятьдесят лет после окончания школы организует встречу бывших одноклассников. Многих уже нет в живых. Но те, кто пришел на встречу, трогательно вспоминают о далеком детстве и юношестве, радостях и огорчениях давно минувших лет.</t>
        </is>
      </c>
      <c r="L5590" s="2" t="inlineStr">
        <is>
          <t>https://www.kino-teatr.ru/teatr/movie/82086/annot/</t>
        </is>
      </c>
      <c r="M5590" s="2">
        <f>HYPERLINK("https://ru.wikipedia.org/w/index.php?search=%D0%9D%D0%B5%D0%B7%D1%80%D0%B5%D0%BB%D0%B0%D1%8F%20%D0%BC%D0%B0%D0%BB%D0%B8%D0%BD%D0%B0%201985%20%D1%84%D0%B8%D0%BB%D1%8C%D0%BC","искать")</f>
        <v/>
      </c>
      <c r="N5590" s="3" t="n"/>
      <c r="O5590" s="2" t="n"/>
      <c r="P5590" s="2" t="n"/>
    </row>
    <row r="5591">
      <c r="A5591" s="2" t="n">
        <v>5590</v>
      </c>
      <c r="B5591" s="2" t="inlineStr"/>
      <c r="C5591" s="2" t="n">
        <v>11503</v>
      </c>
      <c r="D5591" s="3" t="inlineStr">
        <is>
          <t>Великие холода</t>
        </is>
      </c>
      <c r="E5591" s="2" t="n">
        <v>1969</v>
      </c>
      <c r="F5591" s="2" t="inlineStr">
        <is>
          <t>мультфильм</t>
        </is>
      </c>
      <c r="G5591" s="2" t="inlineStr">
        <is>
          <t>Союзмультфильм</t>
        </is>
      </c>
      <c r="H5591" s="2" t="n">
        <v>350</v>
      </c>
      <c r="I5591" s="2" t="inlineStr"/>
      <c r="J5591" s="2" t="inlineStr"/>
      <c r="K5591" s="3" t="inlineStr">
        <is>
          <t>Мальчик Вася поссорился с мамой, не захотел просить прощеия и решил уйти от нее искать другую маму...Сначала он живет у незнакомой тети, ласковой, но надоедливой и рассеянной, потом у обманщицы лисицы, попадает он и в медвежью берлогу, и к старой лошади. Но никто не может заменить ему настоящую маму. Вася возвращается домой и просит у мамы прощения</t>
        </is>
      </c>
      <c r="L5591" s="2" t="inlineStr">
        <is>
          <t>https://gosfilmofond.ru/films/254733/</t>
        </is>
      </c>
      <c r="M5591" s="2">
        <f>HYPERLINK("https://ru.wikipedia.org/w/index.php?search=%D0%92%D0%B5%D0%BB%D0%B8%D0%BA%D0%B8%D0%B5%20%D1%85%D0%BE%D0%BB%D0%BE%D0%B4%D0%B0%201969%20%D1%84%D0%B8%D0%BB%D1%8C%D0%BC","искать")</f>
        <v/>
      </c>
      <c r="N5591" s="3" t="n"/>
      <c r="O5591" s="2" t="n"/>
      <c r="P5591" s="2" t="n"/>
    </row>
    <row r="5592">
      <c r="A5592" s="2" t="n">
        <v>5591</v>
      </c>
      <c r="B5592" s="2" t="inlineStr"/>
      <c r="C5592" s="2" t="n">
        <v>12802</v>
      </c>
      <c r="D5592" s="3" t="inlineStr">
        <is>
          <t>Девочка и фонтан</t>
        </is>
      </c>
      <c r="E5592" s="2" t="n">
        <v>1967</v>
      </c>
      <c r="F5592" s="2" t="inlineStr">
        <is>
          <t>мультфильм</t>
        </is>
      </c>
      <c r="G5592" s="2" t="inlineStr">
        <is>
          <t>ГРУЗИЯ-ФИЛЬМ - АО</t>
        </is>
      </c>
      <c r="H5592" s="2" t="n">
        <v>350</v>
      </c>
      <c r="I5592" s="2" t="inlineStr"/>
      <c r="J5592" s="2" t="inlineStr"/>
      <c r="K5592" s="3" t="inlineStr">
        <is>
          <t>Жила-была девочка. Когда она выросла, увидела в окно Фонтан. Они подружились и вместе танцевали. Старый Пруд, полюбивший девочку, хотел чтобы она осталась с ним. Но девочке стало скучно. Тогда обидевшийся Пруд не дал воды Фонтану. Фонтан высох. Девочка осталась одна и заплакала. Пруду стало жаль ее, и вновь полилась вода, ожил Фонтан, зацвели цветы</t>
        </is>
      </c>
      <c r="L5592" s="2" t="inlineStr">
        <is>
          <t>https://gosfilmofond.ru/films/254261/</t>
        </is>
      </c>
      <c r="M5592" s="2">
        <f>HYPERLINK("https://ru.wikipedia.org/w/index.php?search=%D0%94%D0%B5%D0%B2%D0%BE%D1%87%D0%BA%D0%B0%20%D0%B8%20%D1%84%D0%BE%D0%BD%D1%82%D0%B0%D0%BD%201967%20%D1%84%D0%B8%D0%BB%D1%8C%D0%BC","искать")</f>
        <v/>
      </c>
      <c r="N5592" s="3" t="n"/>
      <c r="O5592" s="2" t="n"/>
      <c r="P5592" s="2" t="n"/>
    </row>
    <row r="5593">
      <c r="A5593" s="2" t="n">
        <v>5592</v>
      </c>
      <c r="B5593" s="2" t="inlineStr"/>
      <c r="C5593" s="2" t="n">
        <v>8129</v>
      </c>
      <c r="D5593" s="3" t="inlineStr">
        <is>
          <t>Погода на август</t>
        </is>
      </c>
      <c r="E5593" s="2" t="n">
        <v>1983</v>
      </c>
      <c r="F5593" s="2" t="inlineStr">
        <is>
          <t>телефильм</t>
        </is>
      </c>
      <c r="G5593" s="2" t="n"/>
      <c r="H5593" s="2" t="n">
        <v>351</v>
      </c>
      <c r="I5593" s="2" t="inlineStr"/>
      <c r="J5593" s="2" t="inlineStr"/>
      <c r="K5593" s="3" t="inlineStr">
        <is>
          <t>Илмар, тринадцатилетний подросток, живёт с родителями в новом доме и дружит с соседской девочкой Ингой. К ним приезжает гость, знаменитый органист Нормунд Норис. Илмар видит, что друг ухаживает за его матерью и она склонна уйти из семьи. Мальчик прячется на старой квартире и едва не гибнет, когда пришедшие утром строители начинают сносить развалины.</t>
        </is>
      </c>
      <c r="L5593" s="2" t="inlineStr">
        <is>
          <t>https://ru.wikipedia.org/w/index.php?title=%D0%9F%D0%BE%D0%B3%D0%BE%D0%B4%D0%B0_%D0%BD%D0%B0_%D0%B0%D0%B2%D0%B3%D1%83%D1%81%D1%82&amp;oldid=154552139</t>
        </is>
      </c>
      <c r="M5593" s="2">
        <f>HYPERLINK("https://ru.wikipedia.org/w/index.php?search=%D0%9F%D0%BE%D0%B3%D0%BE%D0%B4%D0%B0%20%D0%BD%D0%B0%20%D0%B0%D0%B2%D0%B3%D1%83%D1%81%D1%82%201983%20%D1%84%D0%B8%D0%BB%D1%8C%D0%BC","искать")</f>
        <v/>
      </c>
      <c r="N5593" s="3" t="n"/>
      <c r="O5593" s="2" t="n"/>
      <c r="P5593" s="2" t="n"/>
    </row>
    <row r="5594">
      <c r="A5594" s="2" t="n">
        <v>5593</v>
      </c>
      <c r="B5594" s="2" t="inlineStr"/>
      <c r="C5594" s="2" t="n">
        <v>8443</v>
      </c>
      <c r="D5594" s="3" t="inlineStr">
        <is>
          <t>Тартак</t>
        </is>
      </c>
      <c r="E5594" s="2" t="n">
        <v>1973</v>
      </c>
      <c r="F5594" s="2" t="inlineStr">
        <is>
          <t>телефильм</t>
        </is>
      </c>
      <c r="G5594" s="2" t="n"/>
      <c r="H5594" s="2" t="n">
        <v>351</v>
      </c>
      <c r="I5594" s="2" t="inlineStr"/>
      <c r="J5594" s="2" t="inlineStr"/>
      <c r="K5594" s="3" t="inlineStr">
        <is>
          <t>Великая Отечественная война. Семеро крестьян из деревни Дальва везут на обозах собранное зерно в деревню Тартак. По дороге их останавливают каратели. Чтобы уберечься от пуль народных мстителей, они заставляют селян ехать впереди своей колонны. Неожиданно на немцев нападают партизаны. В завязавшейся перестрелке один за другим гибнут шестеро крестьян.</t>
        </is>
      </c>
      <c r="L5594" s="2" t="inlineStr">
        <is>
          <t>Кино_СССР сводный каталог.xlsx: список телефильмов</t>
        </is>
      </c>
      <c r="M5594" s="2">
        <f>HYPERLINK("https://ru.wikipedia.org/w/index.php?search=%D0%A2%D0%B0%D1%80%D1%82%D0%B0%D0%BA%201973%20%D1%84%D0%B8%D0%BB%D1%8C%D0%BC","искать")</f>
        <v/>
      </c>
      <c r="N5594" s="3" t="n"/>
      <c r="O5594" s="2" t="n"/>
      <c r="P5594" s="2" t="n"/>
    </row>
    <row r="5595">
      <c r="A5595" s="2" t="n">
        <v>5594</v>
      </c>
      <c r="B5595" s="2" t="inlineStr"/>
      <c r="C5595" s="2" t="n">
        <v>8484</v>
      </c>
      <c r="D5595" s="3" t="inlineStr">
        <is>
          <t>Тройка</t>
        </is>
      </c>
      <c r="E5595" s="2" t="n">
        <v>1985</v>
      </c>
      <c r="F5595" s="2" t="inlineStr">
        <is>
          <t>телефильм</t>
        </is>
      </c>
      <c r="G5595" s="2" t="n"/>
      <c r="H5595" s="2" t="n">
        <v>351</v>
      </c>
      <c r="I5595" s="2" t="inlineStr"/>
      <c r="J5595" s="2" t="inlineStr"/>
      <c r="K5595" s="3" t="inlineStr">
        <is>
          <t>Четырнадцатилетний подросток Саша Гудков мечтает стать хоккеистом. Капитан хоккейной команды "Юность" Дима Штуковский убеждает тренера взять новичка в команду. Но не так просто стать настоящим игроком, действительным членом команды. Для начала Саше необходимо исправить "тройки", так как тренер не допускает к игре ребят, которые плохо учатся в школе.</t>
        </is>
      </c>
      <c r="L5595" s="2" t="inlineStr">
        <is>
          <t>Кино_СССР сводный каталог.xlsx: список телефильмов</t>
        </is>
      </c>
      <c r="M5595" s="2">
        <f>HYPERLINK("https://ru.wikipedia.org/w/index.php?search=%D0%A2%D1%80%D0%BE%D0%B9%D0%BA%D0%B0%201985%20%D1%84%D0%B8%D0%BB%D1%8C%D0%BC","искать")</f>
        <v/>
      </c>
      <c r="N5595" s="3" t="n"/>
      <c r="O5595" s="2" t="n"/>
      <c r="P5595" s="2" t="n"/>
    </row>
    <row r="5596">
      <c r="A5596" s="2" t="n">
        <v>5595</v>
      </c>
      <c r="B5596" s="2" t="inlineStr"/>
      <c r="C5596" s="2" t="n">
        <v>8668</v>
      </c>
      <c r="D5596" s="3" t="inlineStr">
        <is>
          <t>Враг респектабельного общества</t>
        </is>
      </c>
      <c r="E5596" s="2" t="n">
        <v>1988</v>
      </c>
      <c r="F5596" s="2" t="inlineStr">
        <is>
          <t>кинофильм</t>
        </is>
      </c>
      <c r="G5596" s="2" t="n"/>
      <c r="H5596" s="2" t="n">
        <v>351</v>
      </c>
      <c r="I5596" s="2" t="inlineStr"/>
      <c r="J5596" s="2" t="inlineStr"/>
      <c r="K5596" s="3" t="inlineStr">
        <is>
          <t>По мотивам драмы норвежского писателя Г.Ибсена "Враг народа". Действие происходит накануне первой мировой войны в провинциальном приморском городке. Главный герой - доктор Стокман, способный врач - вместо ядовитой, хотя и сладкой лжи, предлагает согражданам горькую правду. В результате он становится объектом всеобщего порицания и теряет свою работу.</t>
        </is>
      </c>
      <c r="L5596" s="2" t="inlineStr">
        <is>
          <t>Кино_СССР сводный каталог.xlsx: список фильмов (доп.)</t>
        </is>
      </c>
      <c r="M5596" s="2">
        <f>HYPERLINK("https://ru.wikipedia.org/w/index.php?search=%D0%92%D1%80%D0%B0%D0%B3%20%D1%80%D0%B5%D1%81%D0%BF%D0%B5%D0%BA%D1%82%D0%B0%D0%B1%D0%B5%D0%BB%D1%8C%D0%BD%D0%BE%D0%B3%D0%BE%20%D0%BE%D0%B1%D1%89%D0%B5%D1%81%D1%82%D0%B2%D0%B0%201988%20%D1%84%D0%B8%D0%BB%D1%8C%D0%BC","искать")</f>
        <v/>
      </c>
      <c r="N5596" s="3" t="n"/>
      <c r="O5596" s="2" t="n"/>
      <c r="P5596" s="2" t="n"/>
    </row>
    <row r="5597">
      <c r="A5597" s="2" t="n">
        <v>5596</v>
      </c>
      <c r="B5597" s="2" t="inlineStr"/>
      <c r="C5597" s="2" t="n">
        <v>9667</v>
      </c>
      <c r="D5597" s="3" t="inlineStr">
        <is>
          <t>Спаси и сохрани</t>
        </is>
      </c>
      <c r="E5597" s="2" t="n">
        <v>1989</v>
      </c>
      <c r="F5597" s="2" t="inlineStr">
        <is>
          <t>кинофильм</t>
        </is>
      </c>
      <c r="G5597" s="2" t="n"/>
      <c r="H5597" s="2" t="n">
        <v>351</v>
      </c>
      <c r="I5597" s="2" t="inlineStr"/>
      <c r="J5597" s="2" t="inlineStr"/>
      <c r="K5597" s="3" t="inlineStr">
        <is>
          <t>Время и место действия (так же, как и имена главных героев) не конкретизированы. Героиня, которую играет немолодая гречанка, не удовлетворена личной жизнью. В поисках счастья она меняет любовников, влезает в огромные долги, но счастья так и не находит, что приводит её к самоубийству. Фильм заканчивается библейской по масштабу сценой похорон героини.</t>
        </is>
      </c>
      <c r="L5597" s="2" t="inlineStr">
        <is>
          <t>https://ru.wikipedia.org/w/index.php?title=%D0%A1%D0%BF%D0%B0%D1%81%D0%B8_%D0%B8_%D1%81%D0%BE%D1%85%D1%80%D0%B0%D0%BD%D0%B8_%28%D1%84%D0%B8%D0%BB%D1%8C%D0%BC%2C_1989%29&amp;oldid=154653361</t>
        </is>
      </c>
      <c r="M5597" s="2">
        <f>HYPERLINK("https://ru.wikipedia.org/w/index.php?search=%D0%A1%D0%BF%D0%B0%D1%81%D0%B8%20%D0%B8%20%D1%81%D0%BE%D1%85%D1%80%D0%B0%D0%BD%D0%B8%201989%20%D1%84%D0%B8%D0%BB%D1%8C%D0%BC","искать")</f>
        <v/>
      </c>
      <c r="N5597" s="3" t="n"/>
      <c r="O5597" s="2" t="n"/>
      <c r="P5597" s="2" t="n"/>
    </row>
    <row r="5598">
      <c r="A5598" s="2" t="n">
        <v>5597</v>
      </c>
      <c r="B5598" s="2" t="inlineStr"/>
      <c r="C5598" s="2" t="n">
        <v>11221</v>
      </c>
      <c r="D5598" s="3" t="inlineStr">
        <is>
          <t>Порог</t>
        </is>
      </c>
      <c r="E5598" s="2" t="n">
        <v>1988</v>
      </c>
      <c r="F5598" s="2" t="inlineStr">
        <is>
          <t>фильм-спектакль</t>
        </is>
      </c>
      <c r="G5598" s="2" t="inlineStr">
        <is>
          <t>ЦТ</t>
        </is>
      </c>
      <c r="H5598" s="2" t="n">
        <v>351</v>
      </c>
      <c r="I5598" s="2" t="inlineStr"/>
      <c r="J5598" s="2" t="inlineStr"/>
      <c r="K5598" s="3" t="inlineStr">
        <is>
          <t>По одноименной пьесе А.Дударева в постановке Московского драматического театра имени К.С.Станиславского.
Андрей Буслай, пьющий, морально опустившийся человек, случайно попадает в квартиру писателя Покутовича, где знакомится с Алиной и Драгуном. Под влиянием этих людей с нелегкой судьбой, но добрых и честных, началось нравственное пробуждение Андрея.</t>
        </is>
      </c>
      <c r="L5598" s="2" t="inlineStr">
        <is>
          <t>https://www.kino-teatr.ru/teatr/movie/81504/annot/</t>
        </is>
      </c>
      <c r="M5598" s="2">
        <f>HYPERLINK("https://ru.wikipedia.org/w/index.php?search=%D0%9F%D0%BE%D1%80%D0%BE%D0%B3%201988%20%D1%84%D0%B8%D0%BB%D1%8C%D0%BC","искать")</f>
        <v/>
      </c>
      <c r="N5598" s="3" t="n"/>
      <c r="O5598" s="2" t="n"/>
      <c r="P5598" s="2" t="n"/>
    </row>
    <row r="5599">
      <c r="A5599" s="2" t="n">
        <v>5598</v>
      </c>
      <c r="B5599" s="2" t="inlineStr"/>
      <c r="C5599" s="2" t="n">
        <v>11597</v>
      </c>
      <c r="D5599" s="3" t="inlineStr">
        <is>
          <t>Лесная хроника</t>
        </is>
      </c>
      <c r="E5599" s="2" t="n">
        <v>1970</v>
      </c>
      <c r="F5599" s="2" t="inlineStr">
        <is>
          <t>мультфильм</t>
        </is>
      </c>
      <c r="G5599" s="2" t="inlineStr">
        <is>
          <t>Союзмультфильм</t>
        </is>
      </c>
      <c r="H5599" s="2" t="n">
        <v>351</v>
      </c>
      <c r="I5599" s="2" t="inlineStr"/>
      <c r="J5599" s="2" t="inlineStr"/>
      <c r="K5599" s="3" t="inlineStr">
        <is>
          <t>Живет в лесу жадный и завистливый Волк. Отбирает он все у бедных зверюшек, да еще честное слово дает, что это он сам потерял. Отбирает у Барсука построенный им дом; присваивает сброшенные Лосем рога. А когда Заяц находит капкан, то Волк и тут заверяет, что это его вещь. Хватает серый разбойник какпкан и тут же оказывается наказанным за свою жадность</t>
        </is>
      </c>
      <c r="L5599" s="2" t="inlineStr">
        <is>
          <t>https://gosfilmofond.ru/films/255159/</t>
        </is>
      </c>
      <c r="M5599" s="2">
        <f>HYPERLINK("https://ru.wikipedia.org/w/index.php?search=%D0%9B%D0%B5%D1%81%D0%BD%D0%B0%D1%8F%20%D1%85%D1%80%D0%BE%D0%BD%D0%B8%D0%BA%D0%B0%201970%20%D1%84%D0%B8%D0%BB%D1%8C%D0%BC","искать")</f>
        <v/>
      </c>
      <c r="N5599" s="3" t="n"/>
      <c r="O5599" s="2" t="n"/>
      <c r="P5599" s="2" t="n"/>
    </row>
    <row r="5600">
      <c r="A5600" s="2" t="n">
        <v>5599</v>
      </c>
      <c r="B5600" s="2" t="inlineStr"/>
      <c r="C5600" s="2" t="n">
        <v>12983</v>
      </c>
      <c r="D5600" s="3" t="inlineStr">
        <is>
          <t>Медведь и заяц</t>
        </is>
      </c>
      <c r="E5600" s="2" t="n">
        <v>1969</v>
      </c>
      <c r="F5600" s="2" t="inlineStr">
        <is>
          <t>мультфильм</t>
        </is>
      </c>
      <c r="G5600" s="2" t="inlineStr">
        <is>
          <t>КАЗАХФИЛЬМ</t>
        </is>
      </c>
      <c r="H5600" s="2" t="n">
        <v>351</v>
      </c>
      <c r="I5600" s="2" t="inlineStr"/>
      <c r="J5600" s="2" t="inlineStr"/>
      <c r="K5600" s="3" t="inlineStr">
        <is>
          <t>Живет в лесу медведь-дебошир. Уверенный в своей силе и безнаказанности, он мешает жить всем в лесу: разоряет гнезда птиц, поедает мед у пчел, ломает деревья, топчет цветы. Зайца, нечаянно выскочившего из леса, он подвешивает на дерево за уши... И заяц решает наказать обидчика - он напускает на него пчел, и лесному буяну худо приходится под их жалами</t>
        </is>
      </c>
      <c r="L5600" s="2" t="inlineStr">
        <is>
          <t>https://gosfilmofond.ru/films/254756/</t>
        </is>
      </c>
      <c r="M5600" s="2">
        <f>HYPERLINK("https://ru.wikipedia.org/w/index.php?search=%D0%9C%D0%B5%D0%B4%D0%B2%D0%B5%D0%B4%D1%8C%20%D0%B8%20%D0%B7%D0%B0%D1%8F%D1%86%201969%20%D1%84%D0%B8%D0%BB%D1%8C%D0%BC","искать")</f>
        <v/>
      </c>
      <c r="N5600" s="3" t="n"/>
      <c r="O5600" s="2" t="n"/>
      <c r="P5600" s="2" t="n"/>
    </row>
    <row r="5601">
      <c r="A5601" s="2" t="n">
        <v>5600</v>
      </c>
      <c r="B5601" s="2" t="inlineStr"/>
      <c r="C5601" s="2" t="n">
        <v>7253</v>
      </c>
      <c r="D5601" s="3" t="inlineStr">
        <is>
          <t>Бес в ребро</t>
        </is>
      </c>
      <c r="E5601" s="2" t="n">
        <v>1990</v>
      </c>
      <c r="F5601" s="2" t="inlineStr">
        <is>
          <t>телефильм</t>
        </is>
      </c>
      <c r="G5601" s="2" t="n"/>
      <c r="H5601" s="2" t="n">
        <v>352</v>
      </c>
      <c r="I5601" s="2" t="inlineStr"/>
      <c r="J5601" s="2" t="inlineStr"/>
      <c r="K5601" s="3" t="inlineStr">
        <is>
          <t>По повести Георгия Вайнера.Однажды в квартире,где живет разведенная Ирина с двумя детьми,появляется посыльный от родственников.Передав посылку,он остается,но ввязавшись в драку,попадает в милицию.Его не выпускают,потому что подрался с "сильными мира сего".И хотя с огромным трудом преступник попадает в руки следователя,финал фильма остается открытым..</t>
        </is>
      </c>
      <c r="L5601" s="2" t="inlineStr">
        <is>
          <t>https://gosfilmofond.ru/films/251176/</t>
        </is>
      </c>
      <c r="M5601" s="2">
        <f>HYPERLINK("https://ru.wikipedia.org/w/index.php?search=%D0%91%D0%B5%D1%81%20%D0%B2%20%D1%80%D0%B5%D0%B1%D1%80%D0%BE%201990%20%D1%84%D0%B8%D0%BB%D1%8C%D0%BC","искать")</f>
        <v/>
      </c>
      <c r="N5601" s="3" t="n"/>
      <c r="O5601" s="2" t="n"/>
      <c r="P5601" s="2" t="n"/>
    </row>
    <row r="5602">
      <c r="A5602" s="2" t="n">
        <v>5601</v>
      </c>
      <c r="B5602" s="2" t="inlineStr"/>
      <c r="C5602" s="2" t="n">
        <v>7948</v>
      </c>
      <c r="D5602" s="3" t="inlineStr">
        <is>
          <t>Наперекор судьбе</t>
        </is>
      </c>
      <c r="E5602" s="2" t="n">
        <v>1975</v>
      </c>
      <c r="F5602" s="2" t="inlineStr">
        <is>
          <t>телефильм</t>
        </is>
      </c>
      <c r="G5602" s="2" t="inlineStr">
        <is>
          <t>Рижская к/с</t>
        </is>
      </c>
      <c r="H5602" s="2" t="n">
        <v>352</v>
      </c>
      <c r="I5602" s="2" t="inlineStr"/>
      <c r="J5602" s="2" t="inlineStr"/>
      <c r="K5602" s="3" t="inlineStr">
        <is>
          <t>Экранизация полуавтобиографического романа "Водонос" (1971) латышской писательницы Илзе Индране. События фильма происходят в Латвии в период 30-х - 50-х годов XX века. Клинта, молодая, бедная и наивная сельчанка, учится музыке в соседнем провинциальном латышском городке. Встреча с владельцем богатого хутора Олавом становится для девушки судьбоносной.</t>
        </is>
      </c>
      <c r="L5602" s="2" t="inlineStr">
        <is>
          <t>Кино_СССР сводный каталог.xlsx: список телефильмов</t>
        </is>
      </c>
      <c r="M5602" s="2">
        <f>HYPERLINK("https://ru.wikipedia.org/w/index.php?search=%D0%9D%D0%B0%D0%BF%D0%B5%D1%80%D0%B5%D0%BA%D0%BE%D1%80%20%D1%81%D1%83%D0%B4%D1%8C%D0%B1%D0%B5%201975%20%D1%84%D0%B8%D0%BB%D1%8C%D0%BC","искать")</f>
        <v/>
      </c>
      <c r="N5602" s="3" t="n"/>
      <c r="O5602" s="2" t="n"/>
      <c r="P5602" s="2" t="n"/>
    </row>
    <row r="5603">
      <c r="A5603" s="2" t="n">
        <v>5602</v>
      </c>
      <c r="B5603" s="2" t="inlineStr"/>
      <c r="C5603" s="2" t="n">
        <v>8301</v>
      </c>
      <c r="D5603" s="3" t="inlineStr">
        <is>
          <t>Сбереги башню</t>
        </is>
      </c>
      <c r="E5603" s="2" t="n">
        <v>1979</v>
      </c>
      <c r="F5603" s="2" t="inlineStr">
        <is>
          <t>телефильм</t>
        </is>
      </c>
      <c r="G5603" s="2" t="n"/>
      <c r="H5603" s="2" t="n">
        <v>352</v>
      </c>
      <c r="I5603" s="2" t="inlineStr"/>
      <c r="J5603" s="2" t="inlineStr"/>
      <c r="K5603" s="3" t="inlineStr">
        <is>
          <t>В высокогорном осетинском селе, где проводились археологические раскопки, подрабатывал местный школьник Мурат. Заур, двоюродный брат Мурата, гостивший у них на летние каникулы, случайно находит на раскопках старинный кувшин с золотыми монетами и утаивает его от всех. Осенью Мурат переехал в город, где поступил в училище осваивать профессию каменщика.</t>
        </is>
      </c>
      <c r="L5603" s="2" t="inlineStr">
        <is>
          <t>Кино_СССР сводный каталог.xlsx: список телефильмов</t>
        </is>
      </c>
      <c r="M5603" s="2">
        <f>HYPERLINK("https://ru.wikipedia.org/w/index.php?search=%D0%A1%D0%B1%D0%B5%D1%80%D0%B5%D0%B3%D0%B8%20%D0%B1%D0%B0%D1%88%D0%BD%D1%8E%201979%20%D1%84%D0%B8%D0%BB%D1%8C%D0%BC","искать")</f>
        <v/>
      </c>
      <c r="N5603" s="3" t="n"/>
      <c r="O5603" s="2" t="n"/>
      <c r="P5603" s="2" t="n"/>
    </row>
    <row r="5604">
      <c r="A5604" s="2" t="n">
        <v>5603</v>
      </c>
      <c r="B5604" s="2" t="inlineStr"/>
      <c r="C5604" s="2" t="n">
        <v>8319</v>
      </c>
      <c r="D5604" s="3" t="inlineStr">
        <is>
          <t>Северный вариант</t>
        </is>
      </c>
      <c r="E5604" s="2" t="n">
        <v>1974</v>
      </c>
      <c r="F5604" s="2" t="inlineStr">
        <is>
          <t>телефильм</t>
        </is>
      </c>
      <c r="G5604" s="2" t="n"/>
      <c r="H5604" s="2" t="n">
        <v>352</v>
      </c>
      <c r="I5604" s="2" t="inlineStr"/>
      <c r="J5604" s="2" t="inlineStr"/>
      <c r="K5604" s="3" t="inlineStr">
        <is>
          <t>Телефильм. В местечке с названием Гиблая Протока бригада нефтяников второй год ведет разведывательные работы. Бригадир Юрий Кожеватов ходит мрачнее тучи: прогноз геофизиков не подтверждается - нефти на северном направлении нет. Жизнь осложняют любовные раздоры: из-за красавицы Алевтины бурильщики подрались, и Кожеватов отправляет ее на большую землю.</t>
        </is>
      </c>
      <c r="L5604" s="2" t="inlineStr">
        <is>
          <t>Кино_СССР сводный каталог.xlsx: список телефильмов</t>
        </is>
      </c>
      <c r="M5604" s="2">
        <f>HYPERLINK("https://ru.wikipedia.org/w/index.php?search=%D0%A1%D0%B5%D0%B2%D0%B5%D1%80%D0%BD%D1%8B%D0%B9%20%D0%B2%D0%B0%D1%80%D0%B8%D0%B0%D0%BD%D1%82%201974%20%D1%84%D0%B8%D0%BB%D1%8C%D0%BC","искать")</f>
        <v/>
      </c>
      <c r="N5604" s="3" t="n"/>
      <c r="O5604" s="2" t="n"/>
      <c r="P5604" s="2" t="n"/>
    </row>
    <row r="5605">
      <c r="A5605" s="2" t="n">
        <v>5604</v>
      </c>
      <c r="B5605" s="2" t="inlineStr"/>
      <c r="C5605" s="2" t="n">
        <v>8663</v>
      </c>
      <c r="D5605" s="3" t="inlineStr">
        <is>
          <t>Волшебная подкова</t>
        </is>
      </c>
      <c r="E5605" s="2" t="n">
        <v>1971</v>
      </c>
      <c r="F5605" s="2" t="inlineStr">
        <is>
          <t>кинофильм</t>
        </is>
      </c>
      <c r="G5605" s="2" t="n"/>
      <c r="H5605" s="2" t="n">
        <v>352</v>
      </c>
      <c r="I5605" s="2" t="inlineStr"/>
      <c r="J5605" s="2" t="inlineStr"/>
      <c r="K5605" s="3" t="inlineStr">
        <is>
          <t>Красавица Айсулу спешит на свидание к своему возлюбленному - Азамату, ведь сегодня они идут на концерт. Но, как часто это бывает, девушка безнадёжно опоздала. Азамат с досады бросает билеты под ноги, и к своему удивлению находит старую подкову... Выбросив подкову, молодые люди увидели вдруг появившегося "дедушку", который оказался добрым волшебником.</t>
        </is>
      </c>
      <c r="L5605" s="2" t="inlineStr">
        <is>
          <t>Кино_СССР сводный каталог.xlsx: список фильмов (доп.)</t>
        </is>
      </c>
      <c r="M5605" s="2">
        <f>HYPERLINK("https://ru.wikipedia.org/w/index.php?search=%D0%92%D0%BE%D0%BB%D1%88%D0%B5%D0%B1%D0%BD%D0%B0%D1%8F%20%D0%BF%D0%BE%D0%B4%D0%BA%D0%BE%D0%B2%D0%B0%201971%20%D1%84%D0%B8%D0%BB%D1%8C%D0%BC","искать")</f>
        <v/>
      </c>
      <c r="N5605" s="3" t="n"/>
      <c r="O5605" s="2" t="n"/>
      <c r="P5605" s="2" t="n"/>
    </row>
    <row r="5606">
      <c r="A5606" s="2" t="n">
        <v>5605</v>
      </c>
      <c r="B5606" s="2" t="inlineStr"/>
      <c r="C5606" s="2" t="n">
        <v>11181</v>
      </c>
      <c r="D5606" s="3" t="inlineStr">
        <is>
          <t>Планета Новогодних ёлок</t>
        </is>
      </c>
      <c r="E5606" s="2" t="n">
        <v>1987</v>
      </c>
      <c r="F5606" s="2" t="inlineStr">
        <is>
          <t>фильм-спектакль</t>
        </is>
      </c>
      <c r="G5606" s="2" t="inlineStr">
        <is>
          <t>Ленинградское ТВ</t>
        </is>
      </c>
      <c r="H5606" s="2" t="n">
        <v>352</v>
      </c>
      <c r="I5606" s="2" t="inlineStr"/>
      <c r="J5606" s="2" t="inlineStr"/>
      <c r="K5606" s="3" t="inlineStr">
        <is>
          <t>По сказке Джанни Родари.
Четыре веселых уличных музыканта расскажут вам, ребята, необычную историю, которая произошла с мальчиком из Рима Марко Мелани. Он побывал на планете "Новогодних елок" и там встретил... Впрочем, что с ним произошло и кого он встретил на планете, вы узнаете, посмотрев новый спектакль Главной редакции художественного вещания ЛТ.</t>
        </is>
      </c>
      <c r="L5606" s="2" t="inlineStr">
        <is>
          <t>https://www.kino-teatr.ru/teatr/movie/79331/annot/</t>
        </is>
      </c>
      <c r="M5606" s="2">
        <f>HYPERLINK("https://ru.wikipedia.org/w/index.php?search=%D0%9F%D0%BB%D0%B0%D0%BD%D0%B5%D1%82%D0%B0%20%D0%9D%D0%BE%D0%B2%D0%BE%D0%B3%D0%BE%D0%B4%D0%BD%D0%B8%D1%85%20%D1%91%D0%BB%D0%BE%D0%BA%201987%20%D1%84%D0%B8%D0%BB%D1%8C%D0%BC","искать")</f>
        <v/>
      </c>
      <c r="N5606" s="3" t="n"/>
      <c r="O5606" s="2" t="n"/>
      <c r="P5606" s="2" t="n"/>
    </row>
    <row r="5607">
      <c r="A5607" s="2" t="n">
        <v>5606</v>
      </c>
      <c r="B5607" s="2" t="inlineStr"/>
      <c r="C5607" s="2" t="n">
        <v>11811</v>
      </c>
      <c r="D5607" s="3" t="inlineStr">
        <is>
          <t>Просто так!</t>
        </is>
      </c>
      <c r="E5607" s="2" t="n">
        <v>1976</v>
      </c>
      <c r="F5607" s="2" t="inlineStr">
        <is>
          <t>мультфильм</t>
        </is>
      </c>
      <c r="G5607" s="2" t="inlineStr">
        <is>
          <t>Союзмультфильм</t>
        </is>
      </c>
      <c r="H5607" s="2" t="n">
        <v>352</v>
      </c>
      <c r="I5607" s="2" t="inlineStr"/>
      <c r="J5607" s="2" t="inlineStr"/>
      <c r="K5607" s="3" t="inlineStr">
        <is>
          <t>Добрый мультфильм о том, как мальчик подарил грустному ослику букет цветов просто так. Ослик так обрадовался и в свою очередь подарил этот же букет собачке. Точно так букет попал к медвежонку, а потом и к белочке. И все, к кому попадал этот букет, становились радостными, ведь так приятно получать подарки просто так."Это мне? А за что? - Просто так!".</t>
        </is>
      </c>
      <c r="L5607" s="2" t="inlineStr">
        <is>
          <t>2026-10_мультфильмы_список_владельца.xlsx; https://animator.ru/db/?p=show_film&amp;fid=2725</t>
        </is>
      </c>
      <c r="M5607" s="2">
        <f>HYPERLINK("https://ru.wikipedia.org/w/index.php?search=%D0%9F%D1%80%D0%BE%D1%81%D1%82%D0%BE%20%D1%82%D0%B0%D0%BA%21%201976%20%D1%84%D0%B8%D0%BB%D1%8C%D0%BC","искать")</f>
        <v/>
      </c>
      <c r="N5607" s="3" t="n"/>
      <c r="O5607" s="2" t="n"/>
      <c r="P5607" s="2" t="n"/>
    </row>
    <row r="5608">
      <c r="A5608" s="2" t="n">
        <v>5607</v>
      </c>
      <c r="B5608" s="2" t="inlineStr"/>
      <c r="C5608" s="2" t="n">
        <v>7420</v>
      </c>
      <c r="D5608" s="3" t="inlineStr">
        <is>
          <t>Вызов</t>
        </is>
      </c>
      <c r="E5608" s="2" t="n">
        <v>1986</v>
      </c>
      <c r="F5608" s="2" t="inlineStr">
        <is>
          <t>телефильм</t>
        </is>
      </c>
      <c r="G5608" s="2" t="inlineStr">
        <is>
          <t>Беларусьфильм</t>
        </is>
      </c>
      <c r="H5608" s="2" t="n">
        <v>353</v>
      </c>
      <c r="I5608" s="2" t="inlineStr"/>
      <c r="J5608" s="2" t="inlineStr"/>
      <c r="K5608" s="3" t="inlineStr">
        <is>
          <t>Спортсменка Нина Богуш в труднейшей борьбе выигрывает титул чемпионки мира по фехтованию. Муж Нины - тоже спортсмен, капитан сборной по верховой езде. Постоянные разъезды мешают супругам завести детей и создать полноценную семью. Алексей хочет, чтобы жена оставила большой спорт и родила ребенка, но Нина еще не готова расстаться со спортивной карьерой.</t>
        </is>
      </c>
      <c r="L5608" s="2" t="inlineStr">
        <is>
          <t>Кино_СССР сводный каталог.xlsx: список телефильмов</t>
        </is>
      </c>
      <c r="M5608" s="2">
        <f>HYPERLINK("https://ru.wikipedia.org/w/index.php?search=%D0%92%D1%8B%D0%B7%D0%BE%D0%B2%201986%20%D1%84%D0%B8%D0%BB%D1%8C%D0%BC","искать")</f>
        <v/>
      </c>
      <c r="N5608" s="3" t="n"/>
      <c r="O5608" s="2" t="n"/>
      <c r="P5608" s="2" t="n"/>
    </row>
    <row r="5609">
      <c r="A5609" s="2" t="n">
        <v>5608</v>
      </c>
      <c r="B5609" s="2" t="inlineStr"/>
      <c r="C5609" s="2" t="n">
        <v>8570</v>
      </c>
      <c r="D5609" s="3" t="inlineStr">
        <is>
          <t>Чужой</t>
        </is>
      </c>
      <c r="E5609" s="2" t="n">
        <v>1988</v>
      </c>
      <c r="F5609" s="2" t="inlineStr">
        <is>
          <t>телефильм</t>
        </is>
      </c>
      <c r="G5609" s="2" t="n"/>
      <c r="H5609" s="2" t="n">
        <v>353</v>
      </c>
      <c r="I5609" s="2" t="inlineStr"/>
      <c r="J5609" s="2" t="inlineStr"/>
      <c r="K5609" s="3" t="inlineStr">
        <is>
          <t>Зигис с отцом живут вдвоем, без матери. Для мальчика нет человека лучше, чем отец, но только когда он трезв, а это случается все реже и реже. В отчаянии он обращается за помощью к знахарке, но по дороге домой случайно разбивает банку с чудодейственным снадобьем, которое должно было помочь отцу. Вместе с банкой разбивается и последняя надежда мальчика.</t>
        </is>
      </c>
      <c r="L5609" s="2" t="inlineStr">
        <is>
          <t>Кино_СССР сводный каталог.xlsx: список телефильмов</t>
        </is>
      </c>
      <c r="M5609" s="2">
        <f>HYPERLINK("https://ru.wikipedia.org/w/index.php?search=%D0%A7%D1%83%D0%B6%D0%BE%D0%B9%201988%20%D1%84%D0%B8%D0%BB%D1%8C%D0%BC","искать")</f>
        <v/>
      </c>
      <c r="N5609" s="3" t="n"/>
      <c r="O5609" s="2" t="n"/>
      <c r="P5609" s="2" t="inlineStr">
        <is>
          <t>ГФФ: «ЧУЖОЙ» 1988 — по сверке другой фильм, не предложено</t>
        </is>
      </c>
    </row>
    <row r="5610">
      <c r="A5610" s="2" t="n">
        <v>5609</v>
      </c>
      <c r="B5610" s="2" t="inlineStr"/>
      <c r="C5610" s="2" t="n">
        <v>11486</v>
      </c>
      <c r="D5610" s="3" t="inlineStr">
        <is>
          <t>Осторожно, щука</t>
        </is>
      </c>
      <c r="E5610" s="2" t="n">
        <v>1968</v>
      </c>
      <c r="F5610" s="2" t="inlineStr">
        <is>
          <t>мультфильм</t>
        </is>
      </c>
      <c r="G5610" s="2" t="inlineStr">
        <is>
          <t>Союзмультфильм</t>
        </is>
      </c>
      <c r="H5610" s="2" t="n">
        <v>353</v>
      </c>
      <c r="I5610" s="2" t="inlineStr"/>
      <c r="J5610" s="2" t="inlineStr"/>
      <c r="K5610" s="3" t="inlineStr">
        <is>
          <t>Дружно строят плотину бобры. Но Щука подгрызает ее основание и плотина рушится. Щука со своим другом Раком посмеиваются над бобрами. Тогда Бобренок рашает поймать Щуку, для чего сооружает всевозможные ловушки, в которые попадает сам. И только когда все друзья приходят на помощь Бобренку, и взрослые бобры перекрывают плотину, вода уходит...Щука поймана</t>
        </is>
      </c>
      <c r="L5610" s="2" t="inlineStr">
        <is>
          <t>https://gosfilmofond.ru/films/246688/</t>
        </is>
      </c>
      <c r="M5610" s="2">
        <f>HYPERLINK("https://ru.wikipedia.org/w/index.php?search=%D0%9E%D1%81%D1%82%D0%BE%D1%80%D0%BE%D0%B6%D0%BD%D0%BE%2C%20%D1%89%D1%83%D0%BA%D0%B0%201968%20%D1%84%D0%B8%D0%BB%D1%8C%D0%BC","искать")</f>
        <v/>
      </c>
      <c r="N5610" s="3" t="n"/>
      <c r="O5610" s="2" t="n"/>
      <c r="P5610" s="2" t="n"/>
    </row>
    <row r="5611">
      <c r="A5611" s="2" t="n">
        <v>5610</v>
      </c>
      <c r="B5611" s="2" t="inlineStr"/>
      <c r="C5611" s="2" t="n">
        <v>7868</v>
      </c>
      <c r="D5611" s="3" t="inlineStr">
        <is>
          <t>Мертвые души</t>
        </is>
      </c>
      <c r="E5611" s="2" t="n">
        <v>1984</v>
      </c>
      <c r="F5611" s="2" t="inlineStr">
        <is>
          <t>телефильм</t>
        </is>
      </c>
      <c r="G5611" s="2" t="n"/>
      <c r="H5611" s="2" t="n">
        <v>354</v>
      </c>
      <c r="I5611" s="2" t="inlineStr"/>
      <c r="J5611" s="2" t="inlineStr"/>
      <c r="K5611" s="3" t="inlineStr">
        <is>
          <t>Авантюрист Павел Иванович Чичиков скупает «мёртвые души», то есть уже умерших крепостных, но всё ещё учтённых в качестве живых при последней ревизии в так называемых «ревизских сказках», чтобы потом совершить ряд махинаций и сказочно обогатиться. Помещики хоть и удивлены такому предложению, но рады избавиться от уплаты налогов за крестьян как за живых.</t>
        </is>
      </c>
      <c r="L5611" s="2" t="inlineStr">
        <is>
          <t>https://ru.wikipedia.org/w/index.php?title=%D0%9C%D1%91%D1%80%D1%82%D0%B2%D1%8B%D0%B5_%D0%B4%D1%83%D1%88%D0%B8_%28%D1%84%D0%B8%D0%BB%D1%8C%D0%BC%2C_1984%29&amp;oldid=151021043</t>
        </is>
      </c>
      <c r="M5611" s="2">
        <f>HYPERLINK("https://ru.wikipedia.org/w/index.php?search=%D0%9C%D0%B5%D1%80%D1%82%D0%B2%D1%8B%D0%B5%20%D0%B4%D1%83%D1%88%D0%B8%201984%20%D1%84%D0%B8%D0%BB%D1%8C%D0%BC","искать")</f>
        <v/>
      </c>
      <c r="N5611" s="3" t="n"/>
      <c r="O5611" s="2" t="n"/>
      <c r="P5611" s="2" t="n"/>
    </row>
    <row r="5612">
      <c r="A5612" s="2" t="n">
        <v>5611</v>
      </c>
      <c r="B5612" s="2" t="inlineStr"/>
      <c r="C5612" s="2" t="n">
        <v>9063</v>
      </c>
      <c r="D5612" s="3" t="inlineStr">
        <is>
          <t>Спеши строить дом</t>
        </is>
      </c>
      <c r="E5612" s="2" t="n">
        <v>1970</v>
      </c>
      <c r="F5612" s="2" t="inlineStr">
        <is>
          <t>кинофильм</t>
        </is>
      </c>
      <c r="G5612" s="2" t="n"/>
      <c r="H5612" s="2" t="n">
        <v>354</v>
      </c>
      <c r="I5612" s="2" t="inlineStr"/>
      <c r="J5612" s="2" t="inlineStr"/>
      <c r="K5612" s="3" t="inlineStr">
        <is>
          <t>Молоденькая девушка Маша и учитель Николай Егорович из деревни Новоселки любят друг друга. У Маши хороший голос, и она едет в город поступать в институт. На экзамене она производит прекрасное впечатление на комиссию. Назавтра ее фотографию помещает один из популярных журналов, и на домашний адрес девушки начинают приходить письма со всех концов страны.</t>
        </is>
      </c>
      <c r="L5612" s="2" t="inlineStr">
        <is>
          <t>Кино_СССР сводный каталог.xlsx: список фильмов (доп.)</t>
        </is>
      </c>
      <c r="M5612" s="2">
        <f>HYPERLINK("https://ru.wikipedia.org/w/index.php?search=%D0%A1%D0%BF%D0%B5%D1%88%D0%B8%20%D1%81%D1%82%D1%80%D0%BE%D0%B8%D1%82%D1%8C%20%D0%B4%D0%BE%D0%BC%201970%20%D1%84%D0%B8%D0%BB%D1%8C%D0%BC","искать")</f>
        <v/>
      </c>
      <c r="N5612" s="3" t="n"/>
      <c r="O5612" s="2" t="n"/>
      <c r="P5612" s="2" t="n"/>
    </row>
    <row r="5613">
      <c r="A5613" s="2" t="n">
        <v>5612</v>
      </c>
      <c r="B5613" s="2" t="inlineStr"/>
      <c r="C5613" s="2" t="n">
        <v>11617</v>
      </c>
      <c r="D5613" s="3" t="inlineStr">
        <is>
          <t>Я нарисую солнце</t>
        </is>
      </c>
      <c r="E5613" s="2" t="n">
        <v>1970</v>
      </c>
      <c r="F5613" s="2" t="inlineStr">
        <is>
          <t>мультфильм</t>
        </is>
      </c>
      <c r="G5613" s="2" t="inlineStr">
        <is>
          <t>Союзмультфильм</t>
        </is>
      </c>
      <c r="H5613" s="2" t="n">
        <v>354</v>
      </c>
      <c r="I5613" s="2" t="inlineStr"/>
      <c r="J5613" s="2" t="inlineStr"/>
      <c r="K5613" s="3" t="inlineStr">
        <is>
          <t>Мальчик-первоклассник больше всего на свете любит рисовать. Иногда, когда он смотрит на свои рисунки, ему кажется, что они оживают...В тот день, когда мальчика и его одноклассников должны принимать в октябрята в детском парке, с утра льет дождь. Он рисует солнце, и скоро на небе появляется радуга. Вместе с друзьями мальчик идет на октябрятский праздник</t>
        </is>
      </c>
      <c r="L5613" s="2" t="inlineStr">
        <is>
          <t>https://gosfilmofond.ru/films/247245/</t>
        </is>
      </c>
      <c r="M5613" s="2">
        <f>HYPERLINK("https://ru.wikipedia.org/w/index.php?search=%D0%AF%20%D0%BD%D0%B0%D1%80%D0%B8%D1%81%D1%83%D1%8E%20%D1%81%D0%BE%D0%BB%D0%BD%D1%86%D0%B5%201970%20%D1%84%D0%B8%D0%BB%D1%8C%D0%BC","искать")</f>
        <v/>
      </c>
      <c r="N5613" s="3" t="n"/>
      <c r="O5613" s="2" t="n"/>
      <c r="P5613" s="2" t="n"/>
    </row>
    <row r="5614">
      <c r="A5614" s="2" t="n">
        <v>5613</v>
      </c>
      <c r="B5614" s="2" t="inlineStr"/>
      <c r="C5614" s="2" t="n">
        <v>7414</v>
      </c>
      <c r="D5614" s="3" t="inlineStr">
        <is>
          <t>Второе дыхание</t>
        </is>
      </c>
      <c r="E5614" s="2" t="n">
        <v>1971</v>
      </c>
      <c r="F5614" s="2" t="inlineStr">
        <is>
          <t>телефильм</t>
        </is>
      </c>
      <c r="G5614" s="2" t="n"/>
      <c r="H5614" s="2" t="n">
        <v>355</v>
      </c>
      <c r="I5614" s="2" t="inlineStr"/>
      <c r="J5614" s="2" t="inlineStr"/>
      <c r="K5614" s="3" t="inlineStr">
        <is>
          <t>Телефильм по мотивам романа Ю.Шовкопляса "Человек живет дважды". В клинику научно-исследовательского института доставляют тяжелобольного. Молодой врач Фалько, ординатор института, настаивает на срочной операции, но его руководитель Друзь считает, что в данном случае терапевтическое лечение будет более эффективным и, к тому же, не будет связано с риском.</t>
        </is>
      </c>
      <c r="L5614" s="2" t="inlineStr">
        <is>
          <t>Кино_СССР сводный каталог.xlsx: список телефильмов</t>
        </is>
      </c>
      <c r="M5614" s="2">
        <f>HYPERLINK("https://ru.wikipedia.org/w/index.php?search=%D0%92%D1%82%D0%BE%D1%80%D0%BE%D0%B5%20%D0%B4%D1%8B%D1%85%D0%B0%D0%BD%D0%B8%D0%B5%201971%20%D1%84%D0%B8%D0%BB%D1%8C%D0%BC","искать")</f>
        <v/>
      </c>
      <c r="N5614" s="3" t="n"/>
      <c r="O5614" s="2" t="n"/>
      <c r="P5614" s="2" t="n"/>
    </row>
    <row r="5615">
      <c r="A5615" s="2" t="n">
        <v>5614</v>
      </c>
      <c r="B5615" s="2" t="inlineStr"/>
      <c r="C5615" s="2" t="n">
        <v>7567</v>
      </c>
      <c r="D5615" s="3" t="inlineStr">
        <is>
          <t>Дуэнья</t>
        </is>
      </c>
      <c r="E5615" s="2" t="n">
        <v>1978</v>
      </c>
      <c r="F5615" s="2" t="inlineStr">
        <is>
          <t>телефильм</t>
        </is>
      </c>
      <c r="G5615" s="2" t="n"/>
      <c r="H5615" s="2" t="n">
        <v>355</v>
      </c>
      <c r="I5615" s="2" t="inlineStr"/>
      <c r="J5615" s="2" t="inlineStr"/>
      <c r="K5615" s="3" t="inlineStr">
        <is>
          <t>Дворянин дон Джеромо хочет выдать свою дочь Инессу за богатого ростовщика Мендосо. Но дочь любит Антонио, благородного, но бедного друга своего брата Фернандо, и сердце её разбито. Тут на сцене и появляется дуэнья Доротея, воспитательница Инессы, решившая прибрать к рукам богатенького Мендосо («мой мешочек с деньгами») и заодно устроить счастье молодых.</t>
        </is>
      </c>
      <c r="L5615" s="2" t="inlineStr">
        <is>
          <t>https://ru.wikipedia.org/w/index.php?title=%D0%94%D1%83%D1%8D%D0%BD%D1%8C%D1%8F_%28%D1%84%D0%B8%D0%BB%D1%8C%D0%BC%29&amp;oldid=152693237</t>
        </is>
      </c>
      <c r="M5615" s="2">
        <f>HYPERLINK("https://ru.wikipedia.org/w/index.php?search=%D0%94%D1%83%D1%8D%D0%BD%D1%8C%D1%8F%201978%20%D1%84%D0%B8%D0%BB%D1%8C%D0%BC","искать")</f>
        <v/>
      </c>
      <c r="N5615" s="3" t="n"/>
      <c r="O5615" s="2" t="n"/>
      <c r="P5615" s="2" t="n"/>
    </row>
    <row r="5616">
      <c r="A5616" s="2" t="n">
        <v>5615</v>
      </c>
      <c r="B5616" s="2" t="inlineStr"/>
      <c r="C5616" s="2" t="n">
        <v>7702</v>
      </c>
      <c r="D5616" s="3" t="inlineStr">
        <is>
          <t>Как я был вундеркиндом</t>
        </is>
      </c>
      <c r="E5616" s="2" t="n">
        <v>1983</v>
      </c>
      <c r="F5616" s="2" t="inlineStr">
        <is>
          <t>телефильм</t>
        </is>
      </c>
      <c r="G5616" s="2" t="inlineStr">
        <is>
          <t>Беларусьфильм</t>
        </is>
      </c>
      <c r="H5616" s="2" t="n">
        <v>355</v>
      </c>
      <c r="I5616" s="2" t="inlineStr"/>
      <c r="J5616" s="2" t="inlineStr"/>
      <c r="K5616" s="3" t="inlineStr">
        <is>
          <t>Бабушка и родители Севы Соколова очень хотят воспитать из своего сына или внука Севы вундеркинда. Он посещает школу с углублённым изучением английского языка и занимается с репетиторами музыкой и математикой. Есть у него и индивидуальный тренер по плаванию Янина Станиславовна. Сева очень устаёт, к тому же такая загрузка мешает ему видеться с родителями.</t>
        </is>
      </c>
      <c r="L5616" s="2" t="inlineStr">
        <is>
          <t>https://ru.wikipedia.org/w/index.php?title=%D0%9A%D0%B0%D0%BA_%D1%8F_%D0%B1%D1%8B%D0%BB_%D0%B2%D1%83%D0%BD%D0%B4%D0%B5%D1%80%D0%BA%D0%B8%D0%BD%D0%B4%D0%BE%D0%BC&amp;oldid=154548237</t>
        </is>
      </c>
      <c r="M5616" s="2">
        <f>HYPERLINK("https://ru.wikipedia.org/w/index.php?search=%D0%9A%D0%B0%D0%BA%20%D1%8F%20%D0%B1%D1%8B%D0%BB%20%D0%B2%D1%83%D0%BD%D0%B4%D0%B5%D1%80%D0%BA%D0%B8%D0%BD%D0%B4%D0%BE%D0%BC%201983%20%D1%84%D0%B8%D0%BB%D1%8C%D0%BC","искать")</f>
        <v/>
      </c>
      <c r="N5616" s="3" t="n"/>
      <c r="O5616" s="2" t="n"/>
      <c r="P5616" s="2" t="n"/>
    </row>
    <row r="5617">
      <c r="A5617" s="2" t="n">
        <v>5616</v>
      </c>
      <c r="B5617" s="2" t="inlineStr"/>
      <c r="C5617" s="2" t="n">
        <v>8616</v>
      </c>
      <c r="D5617" s="3" t="inlineStr">
        <is>
          <t>Явление</t>
        </is>
      </c>
      <c r="E5617" s="2" t="n">
        <v>1988</v>
      </c>
      <c r="F5617" s="2" t="inlineStr">
        <is>
          <t>телефильм</t>
        </is>
      </c>
      <c r="G5617" s="2" t="n"/>
      <c r="H5617" s="2" t="n">
        <v>355</v>
      </c>
      <c r="I5617" s="2" t="inlineStr"/>
      <c r="J5617" s="2" t="inlineStr"/>
      <c r="K5617" s="3" t="inlineStr">
        <is>
          <t>После того, как директор консервного завода Мириан Табидзе чуть не погиб, он задумался о том, кому же выгодна его смерть. За свою долгую жизнь он причинил много вреда разным людям. И все они - начальник отдела кадров, рэкетир-неудачник, дочь, зять, любовница - желают ему смерти. Но Мириан даже не может предположить, кто же больше всех жаждет его гибели.</t>
        </is>
      </c>
      <c r="L5617" s="2" t="inlineStr">
        <is>
          <t>Кино_СССР сводный каталог.xlsx: список телефильмов</t>
        </is>
      </c>
      <c r="M5617" s="2">
        <f>HYPERLINK("https://ru.wikipedia.org/w/index.php?search=%D0%AF%D0%B2%D0%BB%D0%B5%D0%BD%D0%B8%D0%B5%201988%20%D1%84%D0%B8%D0%BB%D1%8C%D0%BC","искать")</f>
        <v/>
      </c>
      <c r="N5617" s="3" t="n"/>
      <c r="O5617" s="2" t="n"/>
      <c r="P5617" s="2" t="n"/>
    </row>
    <row r="5618">
      <c r="A5618" s="2" t="n">
        <v>5617</v>
      </c>
      <c r="B5618" s="2" t="inlineStr"/>
      <c r="C5618" s="2" t="n">
        <v>11500</v>
      </c>
      <c r="D5618" s="3" t="inlineStr">
        <is>
          <t>Бабушкин зонтик</t>
        </is>
      </c>
      <c r="E5618" s="2" t="n">
        <v>1969</v>
      </c>
      <c r="F5618" s="2" t="inlineStr">
        <is>
          <t>мультфильм</t>
        </is>
      </c>
      <c r="G5618" s="2" t="inlineStr">
        <is>
          <t>Союзмультфильм</t>
        </is>
      </c>
      <c r="H5618" s="2" t="n">
        <v>355</v>
      </c>
      <c r="I5618" s="2" t="inlineStr"/>
      <c r="J5618" s="2" t="inlineStr"/>
      <c r="K5618" s="3" t="inlineStr">
        <is>
          <t>Мальчик-фантазер, расшалившись, уносит зонтик у старушки, сидящей на скамеечке в парке. Пока мальчик играет с зонтиком, воображая себя то капитаном, то клоуном, то парашютистом, начинается дождь. Всех, кому негде укрыться от дождя собирает мальчик под зонтик. Вдруг он вспоминает бабушку в парке, которой спрятаться негде, и торопится возвратить ей зонтик</t>
        </is>
      </c>
      <c r="L5618" s="2" t="inlineStr">
        <is>
          <t>https://gosfilmofond.ru/films/254728/</t>
        </is>
      </c>
      <c r="M5618" s="2">
        <f>HYPERLINK("https://ru.wikipedia.org/w/index.php?search=%D0%91%D0%B0%D0%B1%D1%83%D1%88%D0%BA%D0%B8%D0%BD%20%D0%B7%D0%BE%D0%BD%D1%82%D0%B8%D0%BA%201969%20%D1%84%D0%B8%D0%BB%D1%8C%D0%BC","искать")</f>
        <v/>
      </c>
      <c r="N5618" s="3" t="n"/>
      <c r="O5618" s="2" t="n"/>
      <c r="P5618" s="2" t="n"/>
    </row>
    <row r="5619">
      <c r="A5619" s="2" t="n">
        <v>5618</v>
      </c>
      <c r="B5619" s="2" t="inlineStr"/>
      <c r="C5619" s="2" t="n">
        <v>7733</v>
      </c>
      <c r="D5619" s="3" t="inlineStr">
        <is>
          <t>Когда мне будет 54 года</t>
        </is>
      </c>
      <c r="E5619" s="2" t="n">
        <v>1989</v>
      </c>
      <c r="F5619" s="2" t="inlineStr">
        <is>
          <t>телефильм</t>
        </is>
      </c>
      <c r="G5619" s="2" t="n"/>
      <c r="H5619" s="2" t="n">
        <v>356</v>
      </c>
      <c r="I5619" s="2" t="inlineStr"/>
      <c r="J5619" s="2" t="inlineStr"/>
      <c r="K5619" s="3" t="inlineStr">
        <is>
          <t>Лида, добрый и отзывчивый человек, вырастила своего младшего брата, одна воспитывает дочь, хотя у неё дружеские отношения с отцом дочери. Имея высшее образование, Лида работает машинисткой. С приходом нового начальника жизнь её меняется. Оценив способности и человеческие качества Лиды, он назначает её главным инженером и вскоре Лида становится его женой.</t>
        </is>
      </c>
      <c r="L5619" s="2" t="inlineStr">
        <is>
          <t>Кино_СССР сводный каталог.xlsx: список телефильмов</t>
        </is>
      </c>
      <c r="M5619" s="2">
        <f>HYPERLINK("https://ru.wikipedia.org/w/index.php?search=%D0%9A%D0%BE%D0%B3%D0%B4%D0%B0%20%D0%BC%D0%BD%D0%B5%20%D0%B1%D1%83%D0%B4%D0%B5%D1%82%2054%20%D0%B3%D0%BE%D0%B4%D0%B0%201989%20%D1%84%D0%B8%D0%BB%D1%8C%D0%BC","искать")</f>
        <v/>
      </c>
      <c r="N5619" s="3" t="n"/>
      <c r="O5619" s="2" t="n"/>
      <c r="P5619" s="2" t="n"/>
    </row>
    <row r="5620">
      <c r="A5620" s="2" t="n">
        <v>5619</v>
      </c>
      <c r="B5620" s="2" t="inlineStr"/>
      <c r="C5620" s="2" t="n">
        <v>7753</v>
      </c>
      <c r="D5620" s="3" t="inlineStr">
        <is>
          <t>Копилка</t>
        </is>
      </c>
      <c r="E5620" s="2" t="n">
        <v>1980</v>
      </c>
      <c r="F5620" s="2" t="inlineStr">
        <is>
          <t>телефильм</t>
        </is>
      </c>
      <c r="G5620" s="2" t="n"/>
      <c r="H5620" s="2" t="n">
        <v>356</v>
      </c>
      <c r="I5620" s="2" t="inlineStr"/>
      <c r="J5620" s="2" t="inlineStr"/>
      <c r="K5620" s="3" t="inlineStr">
        <is>
          <t>Телефильм по одноименному водевилю французского драматурга Эжена Лабиша. Провинциальный рантье Шамбурси со своей семьей и друзьями приезжает в город с целью весело прокутить карточные выигрыши, откладывавшиеся в течение года в копилку. На долю героев фильма выпадает немало веселых приключений, счастливо завершившихся в доме "короля брачных дел" Кокореля.</t>
        </is>
      </c>
      <c r="L5620" s="2" t="inlineStr">
        <is>
          <t>Кино_СССР сводный каталог.xlsx: список телефильмов</t>
        </is>
      </c>
      <c r="M5620" s="2">
        <f>HYPERLINK("https://ru.wikipedia.org/w/index.php?search=%D0%9A%D0%BE%D0%BF%D0%B8%D0%BB%D0%BA%D0%B0%201980%20%D1%84%D0%B8%D0%BB%D1%8C%D0%BC","искать")</f>
        <v/>
      </c>
      <c r="N5620" s="3" t="n"/>
      <c r="O5620" s="2" t="n"/>
      <c r="P5620" s="2" t="n"/>
    </row>
    <row r="5621">
      <c r="A5621" s="2" t="n">
        <v>5620</v>
      </c>
      <c r="B5621" s="2" t="inlineStr"/>
      <c r="C5621" s="2" t="n">
        <v>8112</v>
      </c>
      <c r="D5621" s="3" t="inlineStr">
        <is>
          <t>Пиковая дама</t>
        </is>
      </c>
      <c r="E5621" s="2" t="n">
        <v>1982</v>
      </c>
      <c r="F5621" s="2" t="inlineStr">
        <is>
          <t>телефильм</t>
        </is>
      </c>
      <c r="G5621" s="2" t="n"/>
      <c r="H5621" s="2" t="n">
        <v>356</v>
      </c>
      <c r="I5621" s="2" t="inlineStr"/>
      <c r="J5621" s="2" t="inlineStr"/>
      <c r="K5621" s="3" t="inlineStr">
        <is>
          <t>По одноименной повести Александра Сергеевича Пушкина. Текст читает Алла Демидова. Старая, выжившая из ума графиня, владеет тайной трех карт, приносящих счастье. Подвластный магической силе тайны Германн благодаря Лизе глубокой ночью проникает в дом графини, а там... И гораздо позже, в темноте ночи Германна будет преследовать белый призрак старой графини.</t>
        </is>
      </c>
      <c r="L5621" s="2" t="inlineStr">
        <is>
          <t>Кино_СССР сводный каталог.xlsx: список телефильмов</t>
        </is>
      </c>
      <c r="M5621" s="2">
        <f>HYPERLINK("https://ru.wikipedia.org/w/index.php?search=%D0%9F%D0%B8%D0%BA%D0%BE%D0%B2%D0%B0%D1%8F%20%D0%B4%D0%B0%D0%BC%D0%B0%201982%20%D1%84%D0%B8%D0%BB%D1%8C%D0%BC","искать")</f>
        <v/>
      </c>
      <c r="N5621" s="3" t="n"/>
      <c r="O5621" s="2" t="n"/>
      <c r="P5621" s="2" t="n"/>
    </row>
    <row r="5622">
      <c r="A5622" s="2" t="n">
        <v>5621</v>
      </c>
      <c r="B5622" s="2" t="inlineStr"/>
      <c r="C5622" s="2" t="n">
        <v>8221</v>
      </c>
      <c r="D5622" s="3" t="inlineStr">
        <is>
          <t>Про Красную Шапочку</t>
        </is>
      </c>
      <c r="E5622" s="2" t="n">
        <v>1977</v>
      </c>
      <c r="F5622" s="2" t="inlineStr">
        <is>
          <t>телефильм</t>
        </is>
      </c>
      <c r="G5622" s="2" t="inlineStr">
        <is>
          <t>Беларусьфильм</t>
        </is>
      </c>
      <c r="H5622" s="2" t="n">
        <v>356</v>
      </c>
      <c r="I5622" s="2" t="inlineStr"/>
      <c r="J5622" s="2" t="inlineStr"/>
      <c r="K5622" s="3" t="inlineStr">
        <is>
          <t>Телефильм. Продолжение известной старой сказки режиссер Леонид Нечаев сделал очаровательной музыкальной комедией. Старая Волчица решает отомстить наглой Красной Шапке за смерть сына, убитого лесорубами, и поручает волку - профессионалу поймать девчонку. А заодно - научить чему - то полезному второго сына, толстого и доброго, мечтающего только о конфетах.</t>
        </is>
      </c>
      <c r="L5622" s="2" t="inlineStr">
        <is>
          <t>Кино_СССР сводный каталог.xlsx: список телефильмов</t>
        </is>
      </c>
      <c r="M5622" s="2">
        <f>HYPERLINK("https://ru.wikipedia.org/w/index.php?search=%D0%9F%D1%80%D0%BE%20%D0%9A%D1%80%D0%B0%D1%81%D0%BD%D1%83%D1%8E%20%D0%A8%D0%B0%D0%BF%D0%BE%D1%87%D0%BA%D1%83%201977%20%D1%84%D0%B8%D0%BB%D1%8C%D0%BC","искать")</f>
        <v/>
      </c>
      <c r="N5622" s="3" t="n"/>
      <c r="O5622" s="2" t="n"/>
      <c r="P5622" s="2" t="n"/>
    </row>
    <row r="5623">
      <c r="A5623" s="2" t="n">
        <v>5622</v>
      </c>
      <c r="B5623" s="2" t="inlineStr"/>
      <c r="C5623" s="2" t="n">
        <v>8251</v>
      </c>
      <c r="D5623" s="3" t="inlineStr">
        <is>
          <t>Пятрас Курмялис</t>
        </is>
      </c>
      <c r="E5623" s="2" t="n">
        <v>1986</v>
      </c>
      <c r="F5623" s="2" t="inlineStr">
        <is>
          <t>телефильм</t>
        </is>
      </c>
      <c r="G5623" s="2" t="n"/>
      <c r="H5623" s="2" t="n">
        <v>356</v>
      </c>
      <c r="I5623" s="2" t="inlineStr"/>
      <c r="J5623" s="2" t="inlineStr"/>
      <c r="K5623" s="3" t="inlineStr">
        <is>
          <t>Фильм поставлен по одноименной повести Ю.Жемайте. Пятрас Курмялис - трудолюбивый, но прижимистый крестьянин, женится по расчёту, хочет, чтобы невеста принесла в дом хорошее приданое. Но брак не приносит ему счастья. Свою боль он топит в алкоголе и с горечью обращается к своей умершей матери: "Матушка, моя матушка, почему не посоветовала мне любви искать.</t>
        </is>
      </c>
      <c r="L5623" s="2" t="inlineStr">
        <is>
          <t>Кино_СССР сводный каталог.xlsx: список телефильмов</t>
        </is>
      </c>
      <c r="M5623" s="2">
        <f>HYPERLINK("https://ru.wikipedia.org/w/index.php?search=%D0%9F%D1%8F%D1%82%D1%80%D0%B0%D1%81%20%D0%9A%D1%83%D1%80%D0%BC%D1%8F%D0%BB%D0%B8%D1%81%201986%20%D1%84%D0%B8%D0%BB%D1%8C%D0%BC","искать")</f>
        <v/>
      </c>
      <c r="N5623" s="3" t="n"/>
      <c r="O5623" s="2" t="n"/>
      <c r="P5623" s="2" t="n"/>
    </row>
    <row r="5624">
      <c r="A5624" s="2" t="n">
        <v>5623</v>
      </c>
      <c r="B5624" s="2" t="inlineStr"/>
      <c r="C5624" s="2" t="n">
        <v>9179</v>
      </c>
      <c r="D5624" s="3" t="inlineStr">
        <is>
          <t>Экзамен</t>
        </is>
      </c>
      <c r="E5624" s="2" t="n">
        <v>1987</v>
      </c>
      <c r="F5624" s="2" t="inlineStr">
        <is>
          <t>кинофильм</t>
        </is>
      </c>
      <c r="G5624" s="2" t="n"/>
      <c r="H5624" s="2" t="n">
        <v>356</v>
      </c>
      <c r="I5624" s="2" t="inlineStr"/>
      <c r="J5624" s="2" t="inlineStr"/>
      <c r="K5624" s="3" t="inlineStr">
        <is>
          <t>История скромного преподавателя ВУЗа Гияса, который, попав в сложную жизненную ситуацию, сохранил себя как личность. По вине его сына, Намика, в автомобильной катастрофе погибла девушка. От юридической квалификации содеянного во многом зависела мера наказания. Следователь, ведущий дело, обратился к Гиясу с просьбой принять в институт его нерадивого сына.</t>
        </is>
      </c>
      <c r="L5624" s="2" t="inlineStr">
        <is>
          <t>Кино_СССР сводный каталог.xlsx: список фильмов (доп.)</t>
        </is>
      </c>
      <c r="M5624" s="2">
        <f>HYPERLINK("https://ru.wikipedia.org/w/index.php?search=%D0%AD%D0%BA%D0%B7%D0%B0%D0%BC%D0%B5%D0%BD%201987%20%D1%84%D0%B8%D0%BB%D1%8C%D0%BC","искать")</f>
        <v/>
      </c>
      <c r="N5624" s="3" t="n"/>
      <c r="O5624" s="2" t="n"/>
      <c r="P5624" s="2" t="n"/>
    </row>
    <row r="5625">
      <c r="A5625" s="2" t="n">
        <v>5624</v>
      </c>
      <c r="B5625" s="2" t="inlineStr"/>
      <c r="C5625" s="2" t="n">
        <v>9397</v>
      </c>
      <c r="D5625" s="3" t="inlineStr">
        <is>
          <t>Искушение Б.</t>
        </is>
      </c>
      <c r="E5625" s="2" t="n">
        <v>1990</v>
      </c>
      <c r="F5625" s="2" t="inlineStr">
        <is>
          <t>кинофильм</t>
        </is>
      </c>
      <c r="G5625" s="2" t="n"/>
      <c r="H5625" s="2" t="n">
        <v>356</v>
      </c>
      <c r="I5625" s="2" t="inlineStr"/>
      <c r="J5625" s="2" t="inlineStr"/>
      <c r="K5625" s="3" t="inlineStr">
        <is>
          <t>Фильм по произведению А. и Б. Стругацких «Пять ложек эликсира». Писатель Феликс Снегирев становится обладателем страшной тайны секты бессмертных и потенциальным компаньоном владельцев "живой воды", поле действия которой распространяется только на пятерых. Он же - шестой. И ему приходится искать выход из морального тупика - умереть или стать бессмертным?.</t>
        </is>
      </c>
      <c r="L5625" s="2" t="inlineStr">
        <is>
          <t>Кино_СССР сводный каталог.xlsx: список фильмов (доп.)</t>
        </is>
      </c>
      <c r="M5625" s="2">
        <f>HYPERLINK("https://ru.wikipedia.org/w/index.php?search=%D0%98%D1%81%D0%BA%D1%83%D1%88%D0%B5%D0%BD%D0%B8%D0%B5%20%D0%91.%201990%20%D1%84%D0%B8%D0%BB%D1%8C%D0%BC","искать")</f>
        <v/>
      </c>
      <c r="N5625" s="3" t="n"/>
      <c r="O5625" s="2" t="n"/>
      <c r="P5625" s="2" t="n"/>
    </row>
    <row r="5626">
      <c r="A5626" s="2" t="n">
        <v>5625</v>
      </c>
      <c r="B5626" s="2" t="inlineStr"/>
      <c r="C5626" s="2" t="n">
        <v>10428</v>
      </c>
      <c r="D5626" s="3" t="inlineStr">
        <is>
          <t>31-й отдел</t>
        </is>
      </c>
      <c r="E5626" s="2" t="n">
        <v>1972</v>
      </c>
      <c r="F5626" s="2" t="inlineStr">
        <is>
          <t>фильм-спектакль</t>
        </is>
      </c>
      <c r="G5626" s="2" t="inlineStr">
        <is>
          <t>Центральное телевидение,  Ленинградская Студия телевидения</t>
        </is>
      </c>
      <c r="H5626" s="2" t="n">
        <v>356</v>
      </c>
      <c r="I5626" s="2" t="inlineStr"/>
      <c r="J5626" s="2" t="inlineStr"/>
      <c r="K5626" s="3" t="inlineStr">
        <is>
          <t>По мотивам романа шведского писателя Пера Валё "Убийство на 31 этаже" в рус.переводе "Гибель 31-го отдела")
. Комиссару полиции поручено провести расследование по делу об угрозе террористического акта в здании пресс-концерна. В ходе следствия он узнаёт о существовании 31-го отдела, созданного руководством концерна с целью ликвидации оппозиционной печати.</t>
        </is>
      </c>
      <c r="L5626" s="2" t="inlineStr">
        <is>
          <t>https://www.kino-teatr.ru/teatr/movie/17109/annot/</t>
        </is>
      </c>
      <c r="M5626" s="2">
        <f>HYPERLINK("https://ru.wikipedia.org/w/index.php?search=31-%D0%B9%20%D0%BE%D1%82%D0%B4%D0%B5%D0%BB%201972%20%D1%84%D0%B8%D0%BB%D1%8C%D0%BC","искать")</f>
        <v/>
      </c>
      <c r="N5626" s="3" t="n"/>
      <c r="O5626" s="2" t="n"/>
      <c r="P5626" s="2" t="n"/>
    </row>
    <row r="5627">
      <c r="A5627" s="2" t="n">
        <v>5626</v>
      </c>
      <c r="B5627" s="2" t="inlineStr"/>
      <c r="C5627" s="2" t="n">
        <v>7466</v>
      </c>
      <c r="D5627" s="3" t="inlineStr">
        <is>
          <t>Группа риска</t>
        </is>
      </c>
      <c r="E5627" s="2" t="n">
        <v>1991</v>
      </c>
      <c r="F5627" s="2" t="inlineStr">
        <is>
          <t>телефильм</t>
        </is>
      </c>
      <c r="G5627" s="2" t="n"/>
      <c r="H5627" s="2" t="n">
        <v>357</v>
      </c>
      <c r="I5627" s="2" t="inlineStr"/>
      <c r="J5627" s="2" t="inlineStr"/>
      <c r="K5627" s="3" t="inlineStr">
        <is>
          <t>Телефильм по одноименному роману Евгения Богданова. 1988 год. Сварщик Сладков возвращается с женой Тамарой на Родину после пятилетней командировки в Африку. У них нет детей, а где-то в сиротском приюте живет сын Тамариной сестры. Группа риска – это дети с сенсорным голоданием. Сложная задача – найти себе сына, а ситуация складывается еще более неожиданно.</t>
        </is>
      </c>
      <c r="L5627" s="2" t="inlineStr">
        <is>
          <t>Кино_СССР сводный каталог.xlsx: список телефильмов</t>
        </is>
      </c>
      <c r="M5627" s="2">
        <f>HYPERLINK("https://ru.wikipedia.org/w/index.php?search=%D0%93%D1%80%D1%83%D0%BF%D0%BF%D0%B0%20%D1%80%D0%B8%D1%81%D0%BA%D0%B0%201991%20%D1%84%D0%B8%D0%BB%D1%8C%D0%BC","искать")</f>
        <v/>
      </c>
      <c r="N5627" s="3" t="n"/>
      <c r="O5627" s="2" t="n"/>
      <c r="P5627" s="2" t="n"/>
    </row>
    <row r="5628">
      <c r="A5628" s="2" t="n">
        <v>5627</v>
      </c>
      <c r="B5628" s="2" t="inlineStr"/>
      <c r="C5628" s="2" t="n">
        <v>7793</v>
      </c>
      <c r="D5628" s="3" t="inlineStr">
        <is>
          <t>Лейтенант С.</t>
        </is>
      </c>
      <c r="E5628" s="2" t="n">
        <v>1987</v>
      </c>
      <c r="F5628" s="2" t="inlineStr">
        <is>
          <t>телефильм</t>
        </is>
      </c>
      <c r="G5628" s="2" t="n"/>
      <c r="H5628" s="2" t="n">
        <v>357</v>
      </c>
      <c r="I5628" s="2" t="inlineStr"/>
      <c r="J5628" s="2" t="inlineStr"/>
      <c r="K5628" s="3" t="inlineStr">
        <is>
          <t>Группа молодых людей сбила на дороге лейтенанта Тимура Смагулова. Испугавшись последствий, они оставили раненого на дороге. Через некоторое время среди студентов, прибывших на армейские сборы, лейтенант узнаёт своих обидчиков. Однако он не спешит уличать их в преступлении, решив дождаться, когда совесть заставит Алмаса и Жаныбека самих во всем признаться.</t>
        </is>
      </c>
      <c r="L5628" s="2" t="inlineStr">
        <is>
          <t>Кино_СССР сводный каталог.xlsx: список телефильмов</t>
        </is>
      </c>
      <c r="M5628" s="2">
        <f>HYPERLINK("https://ru.wikipedia.org/w/index.php?search=%D0%9B%D0%B5%D0%B9%D1%82%D0%B5%D0%BD%D0%B0%D0%BD%D1%82%20%D0%A1.%201987%20%D1%84%D0%B8%D0%BB%D1%8C%D0%BC","искать")</f>
        <v/>
      </c>
      <c r="N5628" s="3" t="n"/>
      <c r="O5628" s="2" t="n"/>
      <c r="P5628" s="2" t="n"/>
    </row>
    <row r="5629">
      <c r="A5629" s="2" t="n">
        <v>5628</v>
      </c>
      <c r="B5629" s="2" t="inlineStr"/>
      <c r="C5629" s="2" t="n">
        <v>7873</v>
      </c>
      <c r="D5629" s="3" t="inlineStr">
        <is>
          <t>Миг удачи</t>
        </is>
      </c>
      <c r="E5629" s="2" t="n">
        <v>1977</v>
      </c>
      <c r="F5629" s="2" t="inlineStr">
        <is>
          <t>телефильм</t>
        </is>
      </c>
      <c r="G5629" s="2" t="n"/>
      <c r="H5629" s="2" t="n">
        <v>357</v>
      </c>
      <c r="I5629" s="2" t="inlineStr"/>
      <c r="J5629" s="2" t="inlineStr"/>
      <c r="K5629" s="3" t="inlineStr">
        <is>
          <t>По мотивам одноименного рассказа Н.Кузьмина. Молодой журналист Федоров приезжает на горнолыжный курорт, где тренируются спортсмены. Он пытается разобраться в психологии спортсменов-горнолыжников. Особенно его интересует судьба чемпиона Сергея Максимова. Бывший чемпион страны по горнолыжному спорту Сергей Максимов получил серьезную травму на соревнованиях.</t>
        </is>
      </c>
      <c r="L5629" s="2" t="inlineStr">
        <is>
          <t>Кино_СССР сводный каталог.xlsx: список телефильмов</t>
        </is>
      </c>
      <c r="M5629" s="2">
        <f>HYPERLINK("https://ru.wikipedia.org/w/index.php?search=%D0%9C%D0%B8%D0%B3%20%D1%83%D0%B4%D0%B0%D1%87%D0%B8%201977%20%D1%84%D0%B8%D0%BB%D1%8C%D0%BC","искать")</f>
        <v/>
      </c>
      <c r="N5629" s="3" t="n"/>
      <c r="O5629" s="2" t="n"/>
      <c r="P5629" s="2" t="n"/>
    </row>
    <row r="5630">
      <c r="A5630" s="2" t="n">
        <v>5629</v>
      </c>
      <c r="B5630" s="2" t="inlineStr"/>
      <c r="C5630" s="2" t="n">
        <v>8248</v>
      </c>
      <c r="D5630" s="3" t="inlineStr">
        <is>
          <t>Путешествие достойных</t>
        </is>
      </c>
      <c r="E5630" s="2" t="n">
        <v>1979</v>
      </c>
      <c r="F5630" s="2" t="inlineStr">
        <is>
          <t>телефильм</t>
        </is>
      </c>
      <c r="G5630" s="2" t="n"/>
      <c r="H5630" s="2" t="n">
        <v>357</v>
      </c>
      <c r="I5630" s="2" t="inlineStr"/>
      <c r="J5630" s="2" t="inlineStr"/>
      <c r="K5630" s="3" t="inlineStr">
        <is>
          <t>Приключенский телефильм о юных кладоискателях. Из Ташкента в Бухару едут на экскурсию в каникулы пионеры, выбранные из самых лучших, но для двух пионеров Шахира и Витьки эта поездка прежде всего возможность отыскать сокровища последнего эмира Бухары, который их спрятал, когда войска Красной Армии подошли к городу, и эмир понял, что Бухару ему не удержать.</t>
        </is>
      </c>
      <c r="L5630" s="2" t="inlineStr">
        <is>
          <t>Кино_СССР сводный каталог.xlsx: список телефильмов</t>
        </is>
      </c>
      <c r="M5630" s="2">
        <f>HYPERLINK("https://ru.wikipedia.org/w/index.php?search=%D0%9F%D1%83%D1%82%D0%B5%D1%88%D0%B5%D1%81%D1%82%D0%B2%D0%B8%D0%B5%20%D0%B4%D0%BE%D1%81%D1%82%D0%BE%D0%B9%D0%BD%D1%8B%D1%85%201979%20%D1%84%D0%B8%D0%BB%D1%8C%D0%BC","искать")</f>
        <v/>
      </c>
      <c r="N5630" s="3" t="n"/>
      <c r="O5630" s="2" t="n"/>
      <c r="P5630" s="2" t="n"/>
    </row>
    <row r="5631">
      <c r="A5631" s="2" t="n">
        <v>5630</v>
      </c>
      <c r="B5631" s="2" t="inlineStr"/>
      <c r="C5631" s="2" t="n">
        <v>11177</v>
      </c>
      <c r="D5631" s="3" t="inlineStr">
        <is>
          <t>Отец</t>
        </is>
      </c>
      <c r="E5631" s="2" t="n">
        <v>1987</v>
      </c>
      <c r="F5631" s="2" t="inlineStr">
        <is>
          <t>фильм-спектакль</t>
        </is>
      </c>
      <c r="G5631" s="2" t="inlineStr">
        <is>
          <t>Литовское телевидение</t>
        </is>
      </c>
      <c r="H5631" s="2" t="n">
        <v>357</v>
      </c>
      <c r="I5631" s="2" t="inlineStr"/>
      <c r="J5631" s="2" t="inlineStr"/>
      <c r="K5631" s="3" t="inlineStr">
        <is>
          <t>Спектакль снят по пьесе украинского писателя А.Коломийца.
Это рассказ о жизни одной большой семьи, об отношении её членов к нормам морали. Дети не соглашаются с деспотичной философией отца, возникает конфликт поколений. Позже окажется, что отец прав, он любил свою семью и старался, чтобы его дети жили честно, чтобы не позорили имя отца и доброе имя семьи.</t>
        </is>
      </c>
      <c r="L5631" s="2" t="inlineStr">
        <is>
          <t>https://www.kino-teatr.ru/teatr/movie/105850/annot/</t>
        </is>
      </c>
      <c r="M5631" s="2">
        <f>HYPERLINK("https://ru.wikipedia.org/w/index.php?search=%D0%9E%D1%82%D0%B5%D1%86%201987%20%D1%84%D0%B8%D0%BB%D1%8C%D0%BC","искать")</f>
        <v/>
      </c>
      <c r="N5631" s="3" t="n"/>
      <c r="O5631" s="2" t="n"/>
      <c r="P5631" s="2" t="n"/>
    </row>
    <row r="5632">
      <c r="A5632" s="2" t="n">
        <v>5631</v>
      </c>
      <c r="B5632" s="2" t="inlineStr"/>
      <c r="C5632" s="2" t="n">
        <v>7219</v>
      </c>
      <c r="D5632" s="3" t="inlineStr">
        <is>
          <t>Аревик</t>
        </is>
      </c>
      <c r="E5632" s="2" t="n">
        <v>1978</v>
      </c>
      <c r="F5632" s="2" t="inlineStr">
        <is>
          <t>телефильм</t>
        </is>
      </c>
      <c r="G5632" s="2" t="n"/>
      <c r="H5632" s="2" t="n">
        <v>358</v>
      </c>
      <c r="I5632" s="2" t="inlineStr"/>
      <c r="J5632" s="2" t="inlineStr"/>
      <c r="K5632" s="3" t="inlineStr">
        <is>
          <t>Молодая женщина Аревик оказалась свидетельницей дорожного происшествия. Шофер Андроник наехал на пешехода и скрылся с места происшествия. Оказывается, что у него недавно умерла жена, и в случае,если Андраника признают виновным, о его детях некому будет позаботиться. Зная об этом, Аревик подтверждает свои показания на суде, а опеку над детьми берет на себя.</t>
        </is>
      </c>
      <c r="L5632" s="2" t="inlineStr">
        <is>
          <t>Кино_СССР сводный каталог.xlsx: список телефильмов</t>
        </is>
      </c>
      <c r="M5632" s="2">
        <f>HYPERLINK("https://ru.wikipedia.org/w/index.php?search=%D0%90%D1%80%D0%B5%D0%B2%D0%B8%D0%BA%201978%20%D1%84%D0%B8%D0%BB%D1%8C%D0%BC","искать")</f>
        <v/>
      </c>
      <c r="N5632" s="3" t="n"/>
      <c r="O5632" s="2" t="n"/>
      <c r="P5632" s="2" t="n"/>
    </row>
    <row r="5633">
      <c r="A5633" s="2" t="n">
        <v>5632</v>
      </c>
      <c r="B5633" s="2" t="inlineStr"/>
      <c r="C5633" s="2" t="n">
        <v>7863</v>
      </c>
      <c r="D5633" s="3" t="inlineStr">
        <is>
          <t>Мелодия на два голоса</t>
        </is>
      </c>
      <c r="E5633" s="2" t="n">
        <v>1980</v>
      </c>
      <c r="F5633" s="2" t="inlineStr">
        <is>
          <t>телефильм</t>
        </is>
      </c>
      <c r="G5633" s="2" t="inlineStr">
        <is>
          <t>Творческое объединение «Экран»</t>
        </is>
      </c>
      <c r="H5633" s="2" t="n">
        <v>358</v>
      </c>
      <c r="I5633" s="2" t="inlineStr"/>
      <c r="J5633" s="2" t="inlineStr"/>
      <c r="K5633" s="3" t="inlineStr">
        <is>
          <t>Киноповесть по одноименной повести А.Афанасьева. Просто и без особых проблем складывается жизнь Кирилла Воробьева: окончив школу и отслужив армию, он работает на заводе слесарем. Но однажды он встречает Алену, студентку одного из московских вузов. И впервые Кирилл начинает чувствовать себя скованно и неуютно в обществе понравившейся интеллигентной девушки.</t>
        </is>
      </c>
      <c r="L5633" s="2" t="inlineStr">
        <is>
          <t>Кино_СССР сводный каталог.xlsx: список телефильмов</t>
        </is>
      </c>
      <c r="M5633" s="2">
        <f>HYPERLINK("https://ru.wikipedia.org/w/index.php?search=%D0%9C%D0%B5%D0%BB%D0%BE%D0%B4%D0%B8%D1%8F%20%D0%BD%D0%B0%20%D0%B4%D0%B2%D0%B0%20%D0%B3%D0%BE%D0%BB%D0%BE%D1%81%D0%B0%201980%20%D1%84%D0%B8%D0%BB%D1%8C%D0%BC","искать")</f>
        <v/>
      </c>
      <c r="N5633" s="3" t="n"/>
      <c r="O5633" s="2" t="n"/>
      <c r="P5633" s="2" t="n"/>
    </row>
    <row r="5634">
      <c r="A5634" s="2" t="n">
        <v>5633</v>
      </c>
      <c r="B5634" s="2" t="inlineStr"/>
      <c r="C5634" s="2" t="n">
        <v>7882</v>
      </c>
      <c r="D5634" s="3" t="inlineStr">
        <is>
          <t>Мишка-артист</t>
        </is>
      </c>
      <c r="E5634" s="2" t="n">
        <v>1976</v>
      </c>
      <c r="F5634" s="2" t="inlineStr">
        <is>
          <t>телефильм</t>
        </is>
      </c>
      <c r="G5634" s="2" t="n"/>
      <c r="H5634" s="2" t="n">
        <v>358</v>
      </c>
      <c r="I5634" s="2" t="inlineStr"/>
      <c r="J5634" s="2" t="inlineStr"/>
      <c r="K5634" s="3" t="inlineStr">
        <is>
          <t>Телефильм. Зафар и его сестра Юлдус живут без матери, и воспитываются бабушкой, так как их отец - летчик и постоянно в командировках. Из одной командировки отец привозит Зафару в подарок медвежонка. Зафар начинает дрессировать медвежонка, мечтая сделать из него циркового артиста, и запускает учебу, поэтому отец заставляет мальчика отдать медвежонка в цирк.</t>
        </is>
      </c>
      <c r="L5634" s="2" t="inlineStr">
        <is>
          <t>Кино_СССР сводный каталог.xlsx: список телефильмов</t>
        </is>
      </c>
      <c r="M5634" s="2">
        <f>HYPERLINK("https://ru.wikipedia.org/w/index.php?search=%D0%9C%D0%B8%D1%88%D0%BA%D0%B0-%D0%B0%D1%80%D1%82%D0%B8%D1%81%D1%82%201976%20%D1%84%D0%B8%D0%BB%D1%8C%D0%BC","искать")</f>
        <v/>
      </c>
      <c r="N5634" s="3" t="n"/>
      <c r="O5634" s="2" t="n"/>
      <c r="P5634" s="2" t="n"/>
    </row>
    <row r="5635">
      <c r="A5635" s="2" t="n">
        <v>5634</v>
      </c>
      <c r="B5635" s="2" t="inlineStr"/>
      <c r="C5635" s="2" t="n">
        <v>8171</v>
      </c>
      <c r="D5635" s="3" t="inlineStr">
        <is>
          <t>Последний снег</t>
        </is>
      </c>
      <c r="E5635" s="2" t="n">
        <v>1970</v>
      </c>
      <c r="F5635" s="2" t="inlineStr">
        <is>
          <t>телефильм</t>
        </is>
      </c>
      <c r="G5635" s="2" t="n"/>
      <c r="H5635" s="2" t="n">
        <v>358</v>
      </c>
      <c r="I5635" s="2" t="inlineStr"/>
      <c r="J5635" s="2" t="inlineStr"/>
      <c r="K5635" s="3" t="inlineStr">
        <is>
          <t>Действие происходит во время Великой Отечественной войны. Сюжет основан на реальных событиях периода фашистской оккупации Северной Осетии — психологическая драма о подвиге молодой осетинской учительницы Чабахан Басиевой, которая отказалась сотрудничать с фашистами и была казнена.
В центре сюжета — психологический поединок между героиней и немецким майором.</t>
        </is>
      </c>
      <c r="L5635" s="2" t="inlineStr">
        <is>
          <t>https://ru.wikipedia.org/w/index.php?title=%D0%9F%D0%BE%D1%81%D0%BB%D0%B5%D0%B4%D0%BD%D0%B8%D0%B9_%D1%81%D0%BD%D0%B5%D0%B3&amp;oldid=154702891</t>
        </is>
      </c>
      <c r="M5635" s="2">
        <f>HYPERLINK("https://ru.wikipedia.org/w/index.php?search=%D0%9F%D0%BE%D1%81%D0%BB%D0%B5%D0%B4%D0%BD%D0%B8%D0%B9%20%D1%81%D0%BD%D0%B5%D0%B3%201970%20%D1%84%D0%B8%D0%BB%D1%8C%D0%BC","искать")</f>
        <v/>
      </c>
      <c r="N5635" s="3" t="n"/>
      <c r="O5635" s="2" t="n"/>
      <c r="P5635" s="2" t="n"/>
    </row>
    <row r="5636">
      <c r="A5636" s="2" t="n">
        <v>5635</v>
      </c>
      <c r="B5636" s="2" t="inlineStr"/>
      <c r="C5636" s="2" t="n">
        <v>8495</v>
      </c>
      <c r="D5636" s="3" t="inlineStr">
        <is>
          <t>У самого Чёрного моря</t>
        </is>
      </c>
      <c r="E5636" s="2" t="n">
        <v>1975</v>
      </c>
      <c r="F5636" s="2" t="inlineStr">
        <is>
          <t>телефильм</t>
        </is>
      </c>
      <c r="G5636" s="2" t="n"/>
      <c r="H5636" s="2" t="n">
        <v>358</v>
      </c>
      <c r="I5636" s="2" t="inlineStr"/>
      <c r="J5636" s="2" t="inlineStr"/>
      <c r="K5636" s="3" t="inlineStr">
        <is>
          <t>В небольшое абхазское селение на берегу Чёрного моря приехал провести свой отпуск москвич Глеб Чехарин и на месяц становится активным участником будней и праздников жителей села, попадает в ряд комических перипетий со своими новыми знакомыми — секретарём сельсовета Виолой, беззаветно любящим её директором рыбсовхоза Матуа и другими жителями и гостями села.</t>
        </is>
      </c>
      <c r="L5636" s="2" t="inlineStr">
        <is>
          <t>https://ru.wikipedia.org/w/index.php?title=%D0%A3_%D1%81%D0%B0%D0%BC%D0%BE%D0%B3%D0%BE_%D0%A7%D1%91%D1%80%D0%BD%D0%BE%D0%B3%D0%BE_%D0%BC%D0%BE%D1%80%D1%8F&amp;oldid=154709766</t>
        </is>
      </c>
      <c r="M5636" s="2">
        <f>HYPERLINK("https://ru.wikipedia.org/w/index.php?search=%D0%A3%20%D1%81%D0%B0%D0%BC%D0%BE%D0%B3%D0%BE%20%D0%A7%D1%91%D1%80%D0%BD%D0%BE%D0%B3%D0%BE%20%D0%BC%D0%BE%D1%80%D1%8F%201975%20%D1%84%D0%B8%D0%BB%D1%8C%D0%BC","искать")</f>
        <v/>
      </c>
      <c r="N5636" s="3" t="n"/>
      <c r="O5636" s="2" t="n"/>
      <c r="P5636" s="2" t="n"/>
    </row>
    <row r="5637">
      <c r="A5637" s="2" t="n">
        <v>5636</v>
      </c>
      <c r="B5637" s="2" t="inlineStr"/>
      <c r="C5637" s="2" t="n">
        <v>8999</v>
      </c>
      <c r="D5637" s="3" t="inlineStr">
        <is>
          <t>Пуща</t>
        </is>
      </c>
      <c r="E5637" s="2" t="n">
        <v>1987</v>
      </c>
      <c r="F5637" s="2" t="inlineStr">
        <is>
          <t>кинофильм</t>
        </is>
      </c>
      <c r="G5637" s="2" t="n"/>
      <c r="H5637" s="2" t="n">
        <v>358</v>
      </c>
      <c r="I5637" s="2" t="inlineStr"/>
      <c r="J5637" s="2" t="inlineStr"/>
      <c r="K5637" s="3" t="inlineStr">
        <is>
          <t>По мотивам романа Виктора Карамазова. Еще до революции служил в пуще лесничий Никодим Зимовец. Пан ради выгоды решил продать уникальную дубраву купцу Крупенину. Чтобы спасти дубраву, Никодим дал согласие на предложение купца служить у него и лишился своей свободы и самостоятельности. Много лет спустя его внук Василь Зимовец стал лесничим в тех самых лесах.</t>
        </is>
      </c>
      <c r="L5637" s="2" t="inlineStr">
        <is>
          <t>Кино_СССР сводный каталог.xlsx: список фильмов (доп.)</t>
        </is>
      </c>
      <c r="M5637" s="2">
        <f>HYPERLINK("https://ru.wikipedia.org/w/index.php?search=%D0%9F%D1%83%D1%89%D0%B0%201987%20%D1%84%D0%B8%D0%BB%D1%8C%D0%BC","искать")</f>
        <v/>
      </c>
      <c r="N5637" s="3" t="n"/>
      <c r="O5637" s="2" t="n"/>
      <c r="P5637" s="2" t="n"/>
    </row>
    <row r="5638">
      <c r="A5638" s="2" t="n">
        <v>5637</v>
      </c>
      <c r="B5638" s="2" t="inlineStr"/>
      <c r="C5638" s="2" t="n">
        <v>9361</v>
      </c>
      <c r="D5638" s="3" t="inlineStr">
        <is>
          <t>Жизнь по лимиту</t>
        </is>
      </c>
      <c r="E5638" s="2" t="n">
        <v>1989</v>
      </c>
      <c r="F5638" s="2" t="inlineStr">
        <is>
          <t>кинофильм</t>
        </is>
      </c>
      <c r="G5638" s="2" t="n"/>
      <c r="H5638" s="2" t="n">
        <v>358</v>
      </c>
      <c r="I5638" s="2" t="inlineStr"/>
      <c r="J5638" s="2" t="inlineStr"/>
      <c r="K5638" s="3" t="inlineStr">
        <is>
          <t>В доме, который идет на слом, поселилась странная компания. В центре - милая провинциалка Маша, провалившаяся на вступительных экзаменах в институт и не решающаяся вернуться домой к маме и папе. В заброшенном доме Маша числится дворником, это дает ей законные основания на жизнь в Москве. Однажды осенью в заброшенный дом попадает безымянный молодой человек.</t>
        </is>
      </c>
      <c r="L5638" s="2" t="inlineStr">
        <is>
          <t>Кино_СССР сводный каталог.xlsx: список фильмов (доп.)</t>
        </is>
      </c>
      <c r="M5638" s="2">
        <f>HYPERLINK("https://ru.wikipedia.org/w/index.php?search=%D0%96%D0%B8%D0%B7%D0%BD%D1%8C%20%D0%BF%D0%BE%20%D0%BB%D0%B8%D0%BC%D0%B8%D1%82%D1%83%201989%20%D1%84%D0%B8%D0%BB%D1%8C%D0%BC","искать")</f>
        <v/>
      </c>
      <c r="N5638" s="3" t="n"/>
      <c r="O5638" s="2" t="n"/>
      <c r="P5638" s="2" t="n"/>
    </row>
    <row r="5639">
      <c r="A5639" s="2" t="n">
        <v>5638</v>
      </c>
      <c r="B5639" s="2" t="inlineStr"/>
      <c r="C5639" s="2" t="n">
        <v>11496</v>
      </c>
      <c r="D5639" s="3" t="inlineStr">
        <is>
          <t>Чуня</t>
        </is>
      </c>
      <c r="E5639" s="2" t="n">
        <v>1968</v>
      </c>
      <c r="F5639" s="2" t="inlineStr">
        <is>
          <t>мультфильм</t>
        </is>
      </c>
      <c r="G5639" s="2" t="inlineStr">
        <is>
          <t>Союзмультфильм</t>
        </is>
      </c>
      <c r="H5639" s="2" t="n">
        <v>358</v>
      </c>
      <c r="I5639" s="2" t="inlineStr"/>
      <c r="J5639" s="2" t="inlineStr"/>
      <c r="K5639" s="3" t="inlineStr">
        <is>
          <t>Поросенок Чуня с удовольствием моется, быстро ест, а когда выходит гулять - помогает Цыпленку и Кролику. Но вот он слышит, как Собака, Кошка и Утка ругают своих проказливых детей, называя их поросятами. Чуня в слезах возвращается домой и отказывается быть поросенком. Но друзья - Цыпленок и Кролик - убеждают его в том, что важней всего не кто ты, а какой ты</t>
        </is>
      </c>
      <c r="L5639" s="2" t="inlineStr">
        <is>
          <t>https://gosfilmofond.ru/films/246859/</t>
        </is>
      </c>
      <c r="M5639" s="2">
        <f>HYPERLINK("https://ru.wikipedia.org/w/index.php?search=%D0%A7%D1%83%D0%BD%D1%8F%201968%20%D1%84%D0%B8%D0%BB%D1%8C%D0%BC","искать")</f>
        <v/>
      </c>
      <c r="N5639" s="3" t="n"/>
      <c r="O5639" s="2" t="n"/>
      <c r="P5639" s="2" t="n"/>
    </row>
    <row r="5640">
      <c r="A5640" s="2" t="n">
        <v>5639</v>
      </c>
      <c r="B5640" s="2" t="inlineStr"/>
      <c r="C5640" s="2" t="n">
        <v>12773</v>
      </c>
      <c r="D5640" s="3" t="inlineStr">
        <is>
          <t>Храбрый назар</t>
        </is>
      </c>
      <c r="E5640" s="2" t="n">
        <v>1981</v>
      </c>
      <c r="F5640" s="2" t="inlineStr">
        <is>
          <t>мультфильм</t>
        </is>
      </c>
      <c r="G5640" s="2" t="inlineStr">
        <is>
          <t>АРМЕНФИЛЬМ</t>
        </is>
      </c>
      <c r="H5640" s="2" t="n">
        <v>358</v>
      </c>
      <c r="I5640" s="2" t="inlineStr"/>
      <c r="J5640" s="2" t="inlineStr"/>
      <c r="K5640" s="3" t="inlineStr">
        <is>
          <t>По мотивам армянской народной сказки. Трус и хвастун Назар, пользуясь глупостью и легковерием окружающих, убеждает их в своей невиданной силе и храбрости. Волею обстоятельств, он не только добивается подчинения тольпы, но и становится царем. Казалось бы, разоблачен уже Назар собственной женой, но верноподданные отказываются верить в поражение своего кумира</t>
        </is>
      </c>
      <c r="L5640" s="2" t="inlineStr">
        <is>
          <t>https://gosfilmofond.ru/films/255634/</t>
        </is>
      </c>
      <c r="M5640" s="2">
        <f>HYPERLINK("https://ru.wikipedia.org/w/index.php?search=%D0%A5%D1%80%D0%B0%D0%B1%D1%80%D1%8B%D0%B9%20%D0%BD%D0%B0%D0%B7%D0%B0%D1%80%201981%20%D1%84%D0%B8%D0%BB%D1%8C%D0%BC","искать")</f>
        <v/>
      </c>
      <c r="N5640" s="3" t="n"/>
      <c r="O5640" s="2" t="n"/>
      <c r="P5640" s="2" t="n"/>
    </row>
    <row r="5641">
      <c r="A5641" s="2" t="n">
        <v>5640</v>
      </c>
      <c r="B5641" s="2" t="inlineStr"/>
      <c r="C5641" s="2" t="n">
        <v>13636</v>
      </c>
      <c r="D5641" s="3" t="inlineStr">
        <is>
          <t>Босой ученый</t>
        </is>
      </c>
      <c r="E5641" s="2" t="n">
        <v>1988</v>
      </c>
      <c r="F5641" s="2" t="inlineStr">
        <is>
          <t>мультфильм</t>
        </is>
      </c>
      <c r="G5641" s="2" t="inlineStr">
        <is>
          <t>СОЮЗТЕЛЕФИЛЬМ</t>
        </is>
      </c>
      <c r="H5641" s="2" t="n">
        <v>358</v>
      </c>
      <c r="I5641" s="2" t="inlineStr"/>
      <c r="J5641" s="2" t="inlineStr"/>
      <c r="K5641" s="3" t="inlineStr">
        <is>
          <t>Фильм-притча по мотивам китайских басен. У одного ученого сносились туфли, но где и как покупают обувь, н не знал. Из книг ученый выяснил, что для этого надо снять мерку с ноги и пойти на базар. Продавец объяснил ученому: чтобы купить туфли, нужно иметь только ноги и деньги. Глубоко задумавшись над этой простой истиной, ученый ушел из дома познавать жизнь.</t>
        </is>
      </c>
      <c r="L5641" s="2" t="inlineStr">
        <is>
          <t>2026-10_мультфильмы_список_владельца.xlsx; https://animator.ru/db/?p=show_film&amp;fid=5028</t>
        </is>
      </c>
      <c r="M5641" s="2">
        <f>HYPERLINK("https://ru.wikipedia.org/w/index.php?search=%D0%91%D0%BE%D1%81%D0%BE%D0%B9%20%D1%83%D1%87%D0%B5%D0%BD%D1%8B%D0%B9%201988%20%D1%84%D0%B8%D0%BB%D1%8C%D0%BC","искать")</f>
        <v/>
      </c>
      <c r="N5641" s="3" t="n"/>
      <c r="O5641" s="2" t="n"/>
      <c r="P5641" s="2" t="n"/>
    </row>
    <row r="5642">
      <c r="A5642" s="2" t="n">
        <v>5641</v>
      </c>
      <c r="B5642" s="2" t="inlineStr"/>
      <c r="C5642" s="2" t="n">
        <v>8192</v>
      </c>
      <c r="D5642" s="3" t="inlineStr">
        <is>
          <t>Преступление лорда Артура</t>
        </is>
      </c>
      <c r="E5642" s="2" t="n">
        <v>1991</v>
      </c>
      <c r="F5642" s="2" t="inlineStr">
        <is>
          <t>телефильм</t>
        </is>
      </c>
      <c r="G5642" s="2" t="n"/>
      <c r="H5642" s="2" t="n">
        <v>359</v>
      </c>
      <c r="I5642" s="2" t="inlineStr"/>
      <c r="J5642" s="2" t="inlineStr"/>
      <c r="K5642" s="3" t="inlineStr">
        <is>
          <t>Телефильм по новелле Оскара Уайльда "Преступление лорда Артура Сэвила". У лорда Артура невеста, на которой он должен вот-вот жениться. Но хиромант предсказывает, что в ближайшее время лорд Артур совершит убийство. Лорд не может допустить, чтобы любимая оказалась женой убийцы, и он торопится выяснить, кого же из своих близких и знакомых может убить и почему.</t>
        </is>
      </c>
      <c r="L5642" s="2" t="inlineStr">
        <is>
          <t>Кино_СССР сводный каталог.xlsx: список телефильмов</t>
        </is>
      </c>
      <c r="M5642" s="2">
        <f>HYPERLINK("https://ru.wikipedia.org/w/index.php?search=%D0%9F%D1%80%D0%B5%D1%81%D1%82%D1%83%D0%BF%D0%BB%D0%B5%D0%BD%D0%B8%D0%B5%20%D0%BB%D0%BE%D1%80%D0%B4%D0%B0%20%D0%90%D1%80%D1%82%D1%83%D1%80%D0%B0%201991%20%D1%84%D0%B8%D0%BB%D1%8C%D0%BC","искать")</f>
        <v/>
      </c>
      <c r="N5642" s="3" t="n"/>
      <c r="O5642" s="2" t="n"/>
      <c r="P5642" s="2" t="n"/>
    </row>
    <row r="5643">
      <c r="A5643" s="2" t="n">
        <v>5642</v>
      </c>
      <c r="B5643" s="2" t="inlineStr"/>
      <c r="C5643" s="2" t="n">
        <v>8424</v>
      </c>
      <c r="D5643" s="3" t="inlineStr">
        <is>
          <t>Та сторона, где ветер</t>
        </is>
      </c>
      <c r="E5643" s="2" t="n">
        <v>1979</v>
      </c>
      <c r="F5643" s="2" t="inlineStr">
        <is>
          <t>телефильм</t>
        </is>
      </c>
      <c r="G5643" s="2" t="n"/>
      <c r="H5643" s="2" t="n">
        <v>359</v>
      </c>
      <c r="I5643" s="2" t="inlineStr"/>
      <c r="J5643" s="2" t="inlineStr"/>
      <c r="K5643" s="3" t="inlineStr">
        <is>
          <t>По одноименной повести В. Крапивина. Генка Звягин знакомится со слепым мальчиком Владиком. Эта встреча становится во многом поворотной в судьбах обоих. Также перед глазами зрителей проходят истории жизни и других ребят, часто поучительные и трагические… Съемки этой картины проходили в Подмосковье, в окрестностях озера Сенеж, рядом с городом Солнечногорском.</t>
        </is>
      </c>
      <c r="L5643" s="2" t="inlineStr">
        <is>
          <t>Кино_СССР сводный каталог.xlsx: список телефильмов</t>
        </is>
      </c>
      <c r="M5643" s="2">
        <f>HYPERLINK("https://ru.wikipedia.org/w/index.php?search=%D0%A2%D0%B0%20%D1%81%D1%82%D0%BE%D1%80%D0%BE%D0%BD%D0%B0%2C%20%D0%B3%D0%B4%D0%B5%20%D0%B2%D0%B5%D1%82%D0%B5%D1%80%201979%20%D1%84%D0%B8%D0%BB%D1%8C%D0%BC","искать")</f>
        <v/>
      </c>
      <c r="N5643" s="3" t="n"/>
      <c r="O5643" s="2" t="n"/>
      <c r="P5643" s="2" t="n"/>
    </row>
    <row r="5644">
      <c r="A5644" s="2" t="n">
        <v>5643</v>
      </c>
      <c r="B5644" s="2" t="inlineStr"/>
      <c r="C5644" s="2" t="n">
        <v>8429</v>
      </c>
      <c r="D5644" s="3" t="inlineStr">
        <is>
          <t>Тайна Снежной Королевы</t>
        </is>
      </c>
      <c r="E5644" s="2" t="n">
        <v>1986</v>
      </c>
      <c r="F5644" s="2" t="inlineStr">
        <is>
          <t>телефильм</t>
        </is>
      </c>
      <c r="G5644" s="2" t="inlineStr">
        <is>
          <t>Творческое объединение «Экран»</t>
        </is>
      </c>
      <c r="H5644" s="2" t="n">
        <v>359</v>
      </c>
      <c r="I5644" s="2" t="inlineStr"/>
      <c r="J5644" s="2" t="inlineStr"/>
      <c r="K5644" s="3" t="inlineStr">
        <is>
          <t>Фильм - сказка, повествующая о необыкновенном путешествии скромной маленькой девочки Герды. Она разыскивает своего друга Кая, которого похитила и унесла в свое царство Снежная королева - могущественная злая волшебница. По дороге к Снежной Королеве Герда попадает в замок к хитрому, коварному и в то же время смешному королю, знакомится с лесными разбойниками.</t>
        </is>
      </c>
      <c r="L5644" s="2" t="inlineStr">
        <is>
          <t>Кино_СССР сводный каталог.xlsx: список телефильмов</t>
        </is>
      </c>
      <c r="M5644" s="2">
        <f>HYPERLINK("https://ru.wikipedia.org/w/index.php?search=%D0%A2%D0%B0%D0%B9%D0%BD%D0%B0%20%D0%A1%D0%BD%D0%B5%D0%B6%D0%BD%D0%BE%D0%B9%20%D0%9A%D0%BE%D1%80%D0%BE%D0%BB%D0%B5%D0%B2%D1%8B%201986%20%D1%84%D0%B8%D0%BB%D1%8C%D0%BC","искать")</f>
        <v/>
      </c>
      <c r="N5644" s="3" t="n"/>
      <c r="O5644" s="2" t="n"/>
      <c r="P5644" s="2" t="n"/>
    </row>
    <row r="5645">
      <c r="A5645" s="2" t="n">
        <v>5644</v>
      </c>
      <c r="B5645" s="2" t="inlineStr"/>
      <c r="C5645" s="2" t="n">
        <v>8948</v>
      </c>
      <c r="D5645" s="3" t="inlineStr">
        <is>
          <t>Пойти и не вернуться</t>
        </is>
      </c>
      <c r="E5645" s="2" t="n">
        <v>1987</v>
      </c>
      <c r="F5645" s="2" t="inlineStr">
        <is>
          <t>кинофильм</t>
        </is>
      </c>
      <c r="G5645" s="2" t="n"/>
      <c r="H5645" s="2" t="n">
        <v>359</v>
      </c>
      <c r="I5645" s="2" t="inlineStr"/>
      <c r="J5645" s="2" t="inlineStr"/>
      <c r="K5645" s="3" t="inlineStr">
        <is>
          <t>По повести Василя Быкова. Герои фильма – обычные люди, в трудных условиях фронта или партизанского подполья, обретают силу воли, готовность отстаивать свое человеческое достоинство до конца. Зося и Антон – простые мирные люди, волею судьбы втянутые в войну. Они вместе идут на явку в город из партизанского отряда, никто не знает, кто из них вернется обратно.</t>
        </is>
      </c>
      <c r="L5645" s="2" t="inlineStr">
        <is>
          <t>Кино_СССР сводный каталог.xlsx: список фильмов (доп.)</t>
        </is>
      </c>
      <c r="M5645" s="2">
        <f>HYPERLINK("https://ru.wikipedia.org/w/index.php?search=%D0%9F%D0%BE%D0%B9%D1%82%D0%B8%20%D0%B8%20%D0%BD%D0%B5%20%D0%B2%D0%B5%D1%80%D0%BD%D1%83%D1%82%D1%8C%D1%81%D1%8F%201987%20%D1%84%D0%B8%D0%BB%D1%8C%D0%BC","искать")</f>
        <v/>
      </c>
      <c r="N5645" s="3" t="n"/>
      <c r="O5645" s="2" t="n"/>
      <c r="P5645" s="2" t="n"/>
    </row>
    <row r="5646">
      <c r="A5646" s="2" t="n">
        <v>5645</v>
      </c>
      <c r="B5646" s="2" t="inlineStr"/>
      <c r="C5646" s="2" t="n">
        <v>9466</v>
      </c>
      <c r="D5646" s="3" t="inlineStr">
        <is>
          <t>Мать Иисуса</t>
        </is>
      </c>
      <c r="E5646" s="2" t="n">
        <v>1990</v>
      </c>
      <c r="F5646" s="2" t="inlineStr">
        <is>
          <t>кинофильм</t>
        </is>
      </c>
      <c r="G5646" s="2" t="n"/>
      <c r="H5646" s="2" t="n">
        <v>359</v>
      </c>
      <c r="I5646" s="2" t="inlineStr"/>
      <c r="J5646" s="2" t="inlineStr"/>
      <c r="K5646" s="3" t="inlineStr">
        <is>
          <t>По мотивам пьесы А.Володина. После казни Иисуса в доме у его матери собирается несколько человек — брат и сестра, римский патриций со слугой, один из апостолов... Все они понимают, что произошло нечто более значительное, чем просто казнь какого-то полусумасшедшего пророка. Каждый для себя пытается ответить на вопрос, в чем же загадка личности Иисуса Христа.</t>
        </is>
      </c>
      <c r="L5646" s="2" t="inlineStr">
        <is>
          <t>Кино_СССР сводный каталог.xlsx: список фильмов (доп.)</t>
        </is>
      </c>
      <c r="M5646" s="2">
        <f>HYPERLINK("https://ru.wikipedia.org/w/index.php?search=%D0%9C%D0%B0%D1%82%D1%8C%20%D0%98%D0%B8%D1%81%D1%83%D1%81%D0%B0%201990%20%D1%84%D0%B8%D0%BB%D1%8C%D0%BC","искать")</f>
        <v/>
      </c>
      <c r="N5646" s="3" t="n"/>
      <c r="O5646" s="2" t="n"/>
      <c r="P5646" s="2" t="n"/>
    </row>
    <row r="5647">
      <c r="A5647" s="2" t="n">
        <v>5646</v>
      </c>
      <c r="B5647" s="2" t="inlineStr"/>
      <c r="C5647" s="2" t="n">
        <v>10194</v>
      </c>
      <c r="D5647" s="3" t="inlineStr">
        <is>
          <t>Женька-наоборот</t>
        </is>
      </c>
      <c r="E5647" s="2" t="n">
        <v>1967</v>
      </c>
      <c r="F5647" s="2" t="inlineStr">
        <is>
          <t>фильм-спектакль</t>
        </is>
      </c>
      <c r="G5647" s="2" t="inlineStr">
        <is>
          <t>Центральное телевидение</t>
        </is>
      </c>
      <c r="H5647" s="2" t="n">
        <v>359</v>
      </c>
      <c r="I5647" s="2" t="inlineStr"/>
      <c r="J5647" s="2" t="inlineStr"/>
      <c r="K5647" s="3" t="inlineStr">
        <is>
          <t>Спектакль Центрального детского театра по повести Натальи Лойко.
Женька - не просто Женька, а Женька-Наоборот. Дома у Жени и вовсе не гладко. Стоит ему появиться в квартире Перчихиных, вещи словно бросаются врассыпную. Когда он ложится спать, тахта превращается в логово. Не в постель, а именно в логово, в берлогу дикого зверя. Одеяло дыбом. Вся жизнь дыбом!</t>
        </is>
      </c>
      <c r="L5647" s="2" t="inlineStr">
        <is>
          <t>https://www.kino-teatr.ru/teatr/movie/136680/annot/</t>
        </is>
      </c>
      <c r="M5647" s="2">
        <f>HYPERLINK("https://ru.wikipedia.org/w/index.php?search=%D0%96%D0%B5%D0%BD%D1%8C%D0%BA%D0%B0-%D0%BD%D0%B0%D0%BE%D0%B1%D0%BE%D1%80%D0%BE%D1%82%201967%20%D1%84%D0%B8%D0%BB%D1%8C%D0%BC","искать")</f>
        <v/>
      </c>
      <c r="N5647" s="3" t="n"/>
      <c r="O5647" s="2" t="n"/>
      <c r="P5647" s="2" t="n"/>
    </row>
    <row r="5648">
      <c r="A5648" s="2" t="n">
        <v>5647</v>
      </c>
      <c r="B5648" s="2" t="inlineStr"/>
      <c r="C5648" s="2" t="n">
        <v>11008</v>
      </c>
      <c r="D5648" s="3" t="inlineStr">
        <is>
          <t>Пять разговоров с сыном</t>
        </is>
      </c>
      <c r="E5648" s="2" t="n">
        <v>1983</v>
      </c>
      <c r="F5648" s="2" t="inlineStr">
        <is>
          <t>фильм-спектакль</t>
        </is>
      </c>
      <c r="G5648" s="2" t="inlineStr">
        <is>
          <t>Главная редакция литературно-драматических программ ЦТ</t>
        </is>
      </c>
      <c r="H5648" s="2" t="n">
        <v>359</v>
      </c>
      <c r="I5648" s="2" t="inlineStr"/>
      <c r="J5648" s="2" t="inlineStr"/>
      <c r="K5648" s="3" t="inlineStr">
        <is>
          <t>По одноименной пьесе Александра Мишарина.
Из жизни главного героя Анцупова и его сына Валерия драматургом выбрано пять их встреч, пять бесед. Эти беседы помогают Валерию в выборе жизненного пути. Заключительный разговор отца с сыном состоялся в день юбилея старшего Анцупова. Юбиляр уезжает с сыном и внуком на новый завод, где пригодится его богатейший опыт.</t>
        </is>
      </c>
      <c r="L5648" s="2" t="inlineStr">
        <is>
          <t>https://www.kino-teatr.ru/teatr/movie/81341/annot/</t>
        </is>
      </c>
      <c r="M5648" s="2">
        <f>HYPERLINK("https://ru.wikipedia.org/w/index.php?search=%D0%9F%D1%8F%D1%82%D1%8C%20%D1%80%D0%B0%D0%B7%D0%B3%D0%BE%D0%B2%D0%BE%D1%80%D0%BE%D0%B2%20%D1%81%20%D1%81%D1%8B%D0%BD%D0%BE%D0%BC%201983%20%D1%84%D0%B8%D0%BB%D1%8C%D0%BC","искать")</f>
        <v/>
      </c>
      <c r="N5648" s="3" t="n"/>
      <c r="O5648" s="2" t="n"/>
      <c r="P5648" s="2" t="n"/>
    </row>
    <row r="5649">
      <c r="A5649" s="2" t="n">
        <v>5648</v>
      </c>
      <c r="B5649" s="2" t="inlineStr"/>
      <c r="C5649" s="2" t="n">
        <v>11416</v>
      </c>
      <c r="D5649" s="3" t="inlineStr">
        <is>
          <t>Букет</t>
        </is>
      </c>
      <c r="E5649" s="2" t="n">
        <v>1966</v>
      </c>
      <c r="F5649" s="2" t="inlineStr">
        <is>
          <t>мультфильм</t>
        </is>
      </c>
      <c r="G5649" s="2" t="inlineStr">
        <is>
          <t>Союзмультфильм</t>
        </is>
      </c>
      <c r="H5649" s="2" t="n">
        <v>359</v>
      </c>
      <c r="I5649" s="2" t="inlineStr"/>
      <c r="J5649" s="2" t="inlineStr"/>
      <c r="K5649" s="3" t="inlineStr">
        <is>
          <t>Валерий Николаевич предоставил своей жене Софье Павловне заниматься хозяйством, а сам все своебодное время проводит на свиданиях с девушками. В годовщину свадьбы он купил букет цветов...и пошел на свидание с девушкой. Но девушка не пришла, а от букета неверному мужу избавиться не удалось. Так и принес он букет цветов жене, чем немало озадачил и обрадовал ее</t>
        </is>
      </c>
      <c r="L5649" s="2" t="inlineStr">
        <is>
          <t>https://gosfilmofond.ru/films/254222/</t>
        </is>
      </c>
      <c r="M5649" s="2">
        <f>HYPERLINK("https://ru.wikipedia.org/w/index.php?search=%D0%91%D1%83%D0%BA%D0%B5%D1%82%201966%20%D1%84%D0%B8%D0%BB%D1%8C%D0%BC","искать")</f>
        <v/>
      </c>
      <c r="N5649" s="3" t="n"/>
      <c r="O5649" s="2" t="n"/>
      <c r="P5649" s="2" t="n"/>
    </row>
    <row r="5650">
      <c r="A5650" s="2" t="n">
        <v>5649</v>
      </c>
      <c r="B5650" s="2" t="inlineStr"/>
      <c r="C5650" s="2" t="n">
        <v>11852</v>
      </c>
      <c r="D5650" s="3" t="inlineStr">
        <is>
          <t>Самый маленький гном</t>
        </is>
      </c>
      <c r="E5650" s="2" t="n">
        <v>1977</v>
      </c>
      <c r="F5650" s="2" t="inlineStr">
        <is>
          <t>мультфильм</t>
        </is>
      </c>
      <c r="G5650" s="2" t="inlineStr">
        <is>
          <t>Союзмультфильм</t>
        </is>
      </c>
      <c r="H5650" s="2" t="n">
        <v>359</v>
      </c>
      <c r="I5650" s="2" t="inlineStr"/>
      <c r="J5650" s="2" t="inlineStr"/>
      <c r="K5650" s="3" t="inlineStr">
        <is>
          <t>Кукольный мультфильм из 4х серий о приключениях по мотивам известных сказок. Например, в третей серии речь идет о том, как волк хотел серенького козлика поймать, да не тут то было - козлик вырос за это время. Поэтому гномику Васе приходится спасать самого серого волка от серенького козлика.— Ну что, спас серенького козлика?— Нет, спас волка от серого козла!</t>
        </is>
      </c>
      <c r="L5650" s="2" t="inlineStr">
        <is>
          <t>2026-10_мультфильмы_список_владельца.xlsx; https://animator.ru/db/?p=show_film&amp;fid=2767</t>
        </is>
      </c>
      <c r="M5650" s="2">
        <f>HYPERLINK("https://ru.wikipedia.org/w/index.php?search=%D0%A1%D0%B0%D0%BC%D1%8B%D0%B9%20%D0%BC%D0%B0%D0%BB%D0%B5%D0%BD%D1%8C%D0%BA%D0%B8%D0%B9%20%D0%B3%D0%BD%D0%BE%D0%BC%201977%20%D1%84%D0%B8%D0%BB%D1%8C%D0%BC","искать")</f>
        <v/>
      </c>
      <c r="N5650" s="3" t="n"/>
      <c r="O5650" s="2" t="n"/>
      <c r="P5650" s="2" t="n"/>
    </row>
    <row r="5651">
      <c r="A5651" s="2" t="n">
        <v>5650</v>
      </c>
      <c r="B5651" s="2" t="inlineStr"/>
      <c r="C5651" s="2" t="n">
        <v>12806</v>
      </c>
      <c r="D5651" s="3" t="inlineStr">
        <is>
          <t>Долг каждого</t>
        </is>
      </c>
      <c r="E5651" s="2" t="n">
        <v>1969</v>
      </c>
      <c r="F5651" s="2" t="inlineStr">
        <is>
          <t>мультфильм</t>
        </is>
      </c>
      <c r="G5651" s="2" t="inlineStr">
        <is>
          <t>ГРУЗИЯ-ФИЛЬМ - АО</t>
        </is>
      </c>
      <c r="H5651" s="2" t="n">
        <v>359</v>
      </c>
      <c r="I5651" s="2" t="inlineStr"/>
      <c r="J5651" s="2" t="inlineStr"/>
      <c r="K5651" s="3" t="inlineStr">
        <is>
          <t>Легкомысленная и беззаботная Сойка становится свидетелем безобразия, творимого группой пьяных жуков. Это ее смешит и она, не оказав помощи пострадавшим от безобразий улетает. Дома Сойка обнаруживает пропажу птенцов. Ей на помощь приходит лесная дружина и ее близкая соседка Белочка. Птенцы найдены. Осознав силу коллектива, Сойка раскаивается в своем бездушии</t>
        </is>
      </c>
      <c r="L5651" s="2" t="inlineStr">
        <is>
          <t>https://gosfilmofond.ru/films/254742/</t>
        </is>
      </c>
      <c r="M5651" s="2">
        <f>HYPERLINK("https://ru.wikipedia.org/w/index.php?search=%D0%94%D0%BE%D0%BB%D0%B3%20%D0%BA%D0%B0%D0%B6%D0%B4%D0%BE%D0%B3%D0%BE%201969%20%D1%84%D0%B8%D0%BB%D1%8C%D0%BC","искать")</f>
        <v/>
      </c>
      <c r="N5651" s="3" t="n"/>
      <c r="O5651" s="2" t="n"/>
      <c r="P5651" s="2" t="n"/>
    </row>
    <row r="5652">
      <c r="A5652" s="2" t="n">
        <v>5651</v>
      </c>
      <c r="B5652" s="2" t="inlineStr"/>
      <c r="C5652" s="2" t="n">
        <v>7260</v>
      </c>
      <c r="D5652" s="3" t="inlineStr">
        <is>
          <t>Боковой ветер</t>
        </is>
      </c>
      <c r="E5652" s="2" t="n">
        <v>1983</v>
      </c>
      <c r="F5652" s="2" t="inlineStr">
        <is>
          <t>телефильм</t>
        </is>
      </c>
      <c r="G5652" s="2" t="n"/>
      <c r="H5652" s="2" t="n">
        <v>360</v>
      </c>
      <c r="I5652" s="2" t="inlineStr"/>
      <c r="J5652" s="2" t="inlineStr"/>
      <c r="K5652" s="3" t="inlineStr">
        <is>
          <t>Главные герои фильма - молодые велогонщики Райво и Мартин. Более талантливый Мартин, хотя и расстался со сборной, но, тем не менее полон планов и надежд достичь успеха. Райво также стремится стать высококлассным спортсменом, хотя его мать считает, что нужно бросить спорт и получить престижную профессию, да к тому же с подругой Кристиной всё весьма запутанно.</t>
        </is>
      </c>
      <c r="L5652" s="2" t="inlineStr">
        <is>
          <t>Кино_СССР сводный каталог.xlsx: список телефильмов</t>
        </is>
      </c>
      <c r="M5652" s="2">
        <f>HYPERLINK("https://ru.wikipedia.org/w/index.php?search=%D0%91%D0%BE%D0%BA%D0%BE%D0%B2%D0%BE%D0%B9%20%D0%B2%D0%B5%D1%82%D0%B5%D1%80%201983%20%D1%84%D0%B8%D0%BB%D1%8C%D0%BC","искать")</f>
        <v/>
      </c>
      <c r="N5652" s="3" t="n"/>
      <c r="O5652" s="2" t="n"/>
      <c r="P5652" s="2" t="n"/>
    </row>
    <row r="5653">
      <c r="A5653" s="2" t="n">
        <v>5652</v>
      </c>
      <c r="B5653" s="2" t="inlineStr"/>
      <c r="C5653" s="2" t="n">
        <v>7610</v>
      </c>
      <c r="D5653" s="3" t="inlineStr">
        <is>
          <t>За всё в ответе</t>
        </is>
      </c>
      <c r="E5653" s="2" t="n">
        <v>1978</v>
      </c>
      <c r="F5653" s="2" t="inlineStr">
        <is>
          <t>телефильм</t>
        </is>
      </c>
      <c r="G5653" s="2" t="n"/>
      <c r="H5653" s="2" t="n">
        <v>360</v>
      </c>
      <c r="I5653" s="2" t="inlineStr"/>
      <c r="J5653" s="2" t="inlineStr"/>
      <c r="K5653" s="3" t="inlineStr">
        <is>
          <t>Телефильм по мотивам одноименного романа Н.Омельченко. Фильм о нравственном становлении молодых рабочих, взаимоотношениях поколений. Главный герой фильма, Николай Алексеевич Куриленко, работает мастером-наставником на заводе вычислительных машин. Своим ученикам он помогает не только овладеть основами мастерства, но и выпутаться из сложных жизненных коллизий.</t>
        </is>
      </c>
      <c r="L5653" s="2" t="inlineStr">
        <is>
          <t>Кино_СССР сводный каталог.xlsx: список телефильмов</t>
        </is>
      </c>
      <c r="M5653" s="2">
        <f>HYPERLINK("https://ru.wikipedia.org/w/index.php?search=%D0%97%D0%B0%20%D0%B2%D1%81%D1%91%20%D0%B2%20%D0%BE%D1%82%D0%B2%D0%B5%D1%82%D0%B5%201978%20%D1%84%D0%B8%D0%BB%D1%8C%D0%BC","искать")</f>
        <v/>
      </c>
      <c r="N5653" s="3" t="n"/>
      <c r="O5653" s="2" t="n"/>
      <c r="P5653" s="2" t="n"/>
    </row>
    <row r="5654">
      <c r="A5654" s="2" t="n">
        <v>5653</v>
      </c>
      <c r="B5654" s="2" t="inlineStr"/>
      <c r="C5654" s="2" t="n">
        <v>7632</v>
      </c>
      <c r="D5654" s="3" t="inlineStr">
        <is>
          <t>Звёзды олимпийской регаты</t>
        </is>
      </c>
      <c r="E5654" s="2" t="n">
        <v>1980</v>
      </c>
      <c r="F5654" s="2" t="inlineStr">
        <is>
          <t>телефильм</t>
        </is>
      </c>
      <c r="G5654" s="2" t="n"/>
      <c r="H5654" s="2" t="n">
        <v>360</v>
      </c>
      <c r="I5654" s="2" t="inlineStr"/>
      <c r="J5654" s="2" t="inlineStr"/>
      <c r="K5654" s="3" t="inlineStr">
        <is>
          <t>Летом 1980 года Таллин принимал яхтсменов - участников соревнований 22-й летней Олимпиады. Соревнования прошли в новом Олимпийском центре парусного спорта в Пирита, специально построенном к столь знаменательному событию. В рамках культурной программы в олимпийский Таллин высадился большой десант артистов эстрады из союзных республик и социалистических стран.</t>
        </is>
      </c>
      <c r="L5654" s="2" t="inlineStr">
        <is>
          <t>Кино_СССР сводный каталог.xlsx: список телефильмов</t>
        </is>
      </c>
      <c r="M5654" s="2">
        <f>HYPERLINK("https://ru.wikipedia.org/w/index.php?search=%D0%97%D0%B2%D1%91%D0%B7%D0%B4%D1%8B%20%D0%BE%D0%BB%D0%B8%D0%BC%D0%BF%D0%B8%D0%B9%D1%81%D0%BA%D0%BE%D0%B9%20%D1%80%D0%B5%D0%B3%D0%B0%D1%82%D1%8B%201980%20%D1%84%D0%B8%D0%BB%D1%8C%D0%BC","искать")</f>
        <v/>
      </c>
      <c r="N5654" s="3" t="n"/>
      <c r="O5654" s="2" t="n"/>
      <c r="P5654" s="2" t="n"/>
    </row>
    <row r="5655">
      <c r="A5655" s="2" t="n">
        <v>5654</v>
      </c>
      <c r="B5655" s="2" t="inlineStr"/>
      <c r="C5655" s="2" t="n">
        <v>8281</v>
      </c>
      <c r="D5655" s="3" t="inlineStr">
        <is>
          <t>Родные степи</t>
        </is>
      </c>
      <c r="E5655" s="2" t="n">
        <v>1981</v>
      </c>
      <c r="F5655" s="2" t="inlineStr">
        <is>
          <t>телефильм</t>
        </is>
      </c>
      <c r="G5655" s="2" t="n"/>
      <c r="H5655" s="2" t="n">
        <v>360</v>
      </c>
      <c r="I5655" s="2" t="inlineStr"/>
      <c r="J5655" s="2" t="inlineStr"/>
      <c r="K5655" s="3" t="inlineStr">
        <is>
          <t>Действие фильма происходит в казахском селе. Аман и Айжан очень любят друг друга, но часто ссорятся. Одной из таких ссор решает воспользоваться их соседка Нагима, чтобы женить своего сына Оспана на Айжан. Это приводит к ряду нелепых ситуаций, в которые попадают герои. Но добро, как всегда, побеждает зло, и молодые люди мирятся - Айжан выходит замуж за Амана.</t>
        </is>
      </c>
      <c r="L5655" s="2" t="inlineStr">
        <is>
          <t>Кино_СССР сводный каталог.xlsx: список телефильмов</t>
        </is>
      </c>
      <c r="M5655" s="2">
        <f>HYPERLINK("https://ru.wikipedia.org/w/index.php?search=%D0%A0%D0%BE%D0%B4%D0%BD%D1%8B%D0%B5%20%D1%81%D1%82%D0%B5%D0%BF%D0%B8%201981%20%D1%84%D0%B8%D0%BB%D1%8C%D0%BC","искать")</f>
        <v/>
      </c>
      <c r="N5655" s="3" t="n"/>
      <c r="O5655" s="2" t="n"/>
      <c r="P5655" s="2" t="n"/>
    </row>
    <row r="5656">
      <c r="A5656" s="2" t="n">
        <v>5655</v>
      </c>
      <c r="B5656" s="2" t="inlineStr"/>
      <c r="C5656" s="2" t="n">
        <v>8393</v>
      </c>
      <c r="D5656" s="3" t="inlineStr">
        <is>
          <t>Станционный смотритель</t>
        </is>
      </c>
      <c r="E5656" s="2" t="n">
        <v>1972</v>
      </c>
      <c r="F5656" s="2" t="inlineStr">
        <is>
          <t>телефильм</t>
        </is>
      </c>
      <c r="G5656" s="2" t="n"/>
      <c r="H5656" s="2" t="n">
        <v>360</v>
      </c>
      <c r="I5656" s="2" t="inlineStr"/>
      <c r="J5656" s="2" t="inlineStr"/>
      <c r="K5656" s="3" t="inlineStr">
        <is>
          <t>Самсон Вырин — станционный смотритель. Дуня — его единственная дочь. Она горячо любима своим отцом. Живут они уединённо на тракте.
Однажды приезжает «молодой, стройный гусар с чёрными усиками». Не сказав отцу, Дуня уезжает с гусаром. Жизнь старика разрушена, да и дочь несчастна, хотя и живёт в роскоши, будучи полностью обеспеченной средствами за счёт гусара.</t>
        </is>
      </c>
      <c r="L5656" s="2" t="inlineStr">
        <is>
          <t>https://ru.wikipedia.org/w/index.php?title=%D0%A1%D1%82%D0%B0%D0%BD%D1%86%D0%B8%D0%BE%D0%BD%D0%BD%D1%8B%D0%B9_%D1%81%D0%BC%D0%BE%D1%82%D1%80%D0%B8%D1%82%D0%B5%D0%BB%D1%8C_%28%D1%84%D0%B8%D0%BB%D1%8C%D0%BC%2C_1972%29&amp;oldid=153431804</t>
        </is>
      </c>
      <c r="M5656" s="2">
        <f>HYPERLINK("https://ru.wikipedia.org/w/index.php?search=%D0%A1%D1%82%D0%B0%D0%BD%D1%86%D0%B8%D0%BE%D0%BD%D0%BD%D1%8B%D0%B9%20%D1%81%D0%BC%D0%BE%D1%82%D1%80%D0%B8%D1%82%D0%B5%D0%BB%D1%8C%201972%20%D1%84%D0%B8%D0%BB%D1%8C%D0%BC","искать")</f>
        <v/>
      </c>
      <c r="N5656" s="3" t="n"/>
      <c r="O5656" s="2" t="n"/>
      <c r="P5656" s="2" t="n"/>
    </row>
    <row r="5657">
      <c r="A5657" s="2" t="n">
        <v>5656</v>
      </c>
      <c r="B5657" s="2" t="inlineStr"/>
      <c r="C5657" s="2" t="n">
        <v>9059</v>
      </c>
      <c r="D5657" s="3" t="inlineStr">
        <is>
          <t>Солнечный маскарад</t>
        </is>
      </c>
      <c r="E5657" s="2" t="n">
        <v>1936</v>
      </c>
      <c r="F5657" s="2" t="inlineStr">
        <is>
          <t>кинофильм</t>
        </is>
      </c>
      <c r="G5657" s="2" t="n"/>
      <c r="H5657" s="2" t="n">
        <v>360</v>
      </c>
      <c r="I5657" s="2" t="inlineStr"/>
      <c r="J5657" s="2" t="inlineStr"/>
      <c r="K5657" s="3" t="inlineStr">
        <is>
          <t>"Во время пожара директор зверосовхоза Петр Петрович потерял зрение. Он ждет приезда племянника Юры, которого постоянно ставит в пример своей дочери Люзе. Но Юра оказывается маменькиным сынком. Попав в пионерский лагерь, он превращается в смелого мальчика, а тем временем дочь директора, чтоб не расстраивать отца, берет на себя роль воображаемого брата-героя.</t>
        </is>
      </c>
      <c r="L5657" s="2" t="inlineStr">
        <is>
          <t>Кино_СССР сводный каталог.xlsx: список фильмов (доп.)</t>
        </is>
      </c>
      <c r="M5657" s="2">
        <f>HYPERLINK("https://ru.wikipedia.org/w/index.php?search=%D0%A1%D0%BE%D0%BB%D0%BD%D0%B5%D1%87%D0%BD%D1%8B%D0%B9%20%D0%BC%D0%B0%D1%81%D0%BA%D0%B0%D1%80%D0%B0%D0%B4%201936%20%D1%84%D0%B8%D0%BB%D1%8C%D0%BC","искать")</f>
        <v/>
      </c>
      <c r="N5657" s="3" t="n"/>
      <c r="O5657" s="2" t="n"/>
      <c r="P5657" s="2" t="n"/>
    </row>
    <row r="5658">
      <c r="A5658" s="2" t="n">
        <v>5657</v>
      </c>
      <c r="B5658" s="2" t="inlineStr"/>
      <c r="C5658" s="2" t="n">
        <v>9100</v>
      </c>
      <c r="D5658" s="3" t="inlineStr">
        <is>
          <t>Тигр снегов</t>
        </is>
      </c>
      <c r="E5658" s="2" t="n">
        <v>1987</v>
      </c>
      <c r="F5658" s="2" t="inlineStr">
        <is>
          <t>кинофильм</t>
        </is>
      </c>
      <c r="G5658" s="2" t="n"/>
      <c r="H5658" s="2" t="n">
        <v>360</v>
      </c>
      <c r="I5658" s="2" t="inlineStr"/>
      <c r="J5658" s="2" t="inlineStr"/>
      <c r="K5658" s="3" t="inlineStr">
        <is>
          <t>История взаимоотношений отца и сына. Бывший известный боксер Ахан, не ужившись в большом спорте, уезжает из города. Судьба приводит его в горы, где он становится звероловом. Ахан не замечает, как равнодушно, а порой и жестко, он относится к животным. Только конфликт с сыном Али, произошедший после ловли "тигра снегов" - снежного барса - многому научил Ахана.</t>
        </is>
      </c>
      <c r="L5658" s="2" t="inlineStr">
        <is>
          <t>Кино_СССР сводный каталог.xlsx: список фильмов (доп.)</t>
        </is>
      </c>
      <c r="M5658" s="2">
        <f>HYPERLINK("https://ru.wikipedia.org/w/index.php?search=%D0%A2%D0%B8%D0%B3%D1%80%20%D1%81%D0%BD%D0%B5%D0%B3%D0%BE%D0%B2%201987%20%D1%84%D0%B8%D0%BB%D1%8C%D0%BC","искать")</f>
        <v/>
      </c>
      <c r="N5658" s="3" t="n"/>
      <c r="O5658" s="2" t="n"/>
      <c r="P5658" s="2" t="n"/>
    </row>
    <row r="5659">
      <c r="A5659" s="2" t="n">
        <v>5658</v>
      </c>
      <c r="B5659" s="2" t="inlineStr"/>
      <c r="C5659" s="2" t="n">
        <v>10040</v>
      </c>
      <c r="D5659" s="3" t="inlineStr">
        <is>
          <t>Одна ночь</t>
        </is>
      </c>
      <c r="E5659" s="2" t="n">
        <v>1989</v>
      </c>
      <c r="F5659" s="2" t="inlineStr">
        <is>
          <t>телефильм</t>
        </is>
      </c>
      <c r="G5659" s="2" t="n"/>
      <c r="H5659" s="2" t="n">
        <v>360</v>
      </c>
      <c r="I5659" s="2" t="inlineStr"/>
      <c r="J5659" s="2" t="inlineStr"/>
      <c r="K5659" s="3" t="inlineStr">
        <is>
          <t>По одноименному рассказу В. Быкова.
Великая Отечественная война. Автоматчик Иван Волока, спасаясь от немцев, оказывается в подвале под грудой обвалившихся стен. Волей случая вместе с ним под завалами оказывается и раненый немецкий солдат, которому нужна помощь. Как тут поступить Ивану? Выполнить гражданский долг и убить врага или же помочь раненому человеку?</t>
        </is>
      </c>
      <c r="L5659" s="2" t="inlineStr">
        <is>
          <t>https://www.kino-teatr.ru/short/movie/sov/14438/annot/</t>
        </is>
      </c>
      <c r="M5659" s="2">
        <f>HYPERLINK("https://ru.wikipedia.org/w/index.php?search=%D0%9E%D0%B4%D0%BD%D0%B0%20%D0%BD%D0%BE%D1%87%D1%8C%201989%20%D1%84%D0%B8%D0%BB%D1%8C%D0%BC","искать")</f>
        <v/>
      </c>
      <c r="N5659" s="3" t="n"/>
      <c r="O5659" s="2" t="n"/>
      <c r="P5659" s="2" t="n"/>
    </row>
    <row r="5660">
      <c r="A5660" s="2" t="n">
        <v>5659</v>
      </c>
      <c r="B5660" s="2" t="inlineStr"/>
      <c r="C5660" s="2" t="n">
        <v>11090</v>
      </c>
      <c r="D5660" s="3" t="inlineStr">
        <is>
          <t>Этот странный русский</t>
        </is>
      </c>
      <c r="E5660" s="2" t="n">
        <v>1985</v>
      </c>
      <c r="F5660" s="2" t="inlineStr">
        <is>
          <t>фильм-спектакль</t>
        </is>
      </c>
      <c r="G5660" s="2" t="inlineStr">
        <is>
          <t>Главная редакция литературно-драматических программ</t>
        </is>
      </c>
      <c r="H5660" s="2" t="n">
        <v>360</v>
      </c>
      <c r="I5660" s="2" t="inlineStr"/>
      <c r="J5660" s="2" t="inlineStr"/>
      <c r="K5660" s="3" t="inlineStr">
        <is>
          <t>По одноименной пьесе В.Чичкова в постановке Московского театра имени М.Н.Ермоловой.
Действие происходит в одной из латиноамериканских стран во время фашистского путча. В центре - трагическая судьба русского хирурга Николая Егорова, приехавшего в эту страну по просьбе Международного Красного Креста для оказания помощи населению, пострадавшему от землетрясения</t>
        </is>
      </c>
      <c r="L5660" s="2" t="inlineStr">
        <is>
          <t>https://www.kino-teatr.ru/teatr/movie/81372/annot/</t>
        </is>
      </c>
      <c r="M5660" s="2">
        <f>HYPERLINK("https://ru.wikipedia.org/w/index.php?search=%D0%AD%D1%82%D0%BE%D1%82%20%D1%81%D1%82%D1%80%D0%B0%D0%BD%D0%BD%D1%8B%D0%B9%20%D1%80%D1%83%D1%81%D1%81%D0%BA%D0%B8%D0%B9%201985%20%D1%84%D0%B8%D0%BB%D1%8C%D0%BC","искать")</f>
        <v/>
      </c>
      <c r="N5660" s="3" t="n"/>
      <c r="O5660" s="2" t="n"/>
      <c r="P5660" s="2" t="n"/>
    </row>
    <row r="5661">
      <c r="A5661" s="2" t="n">
        <v>5660</v>
      </c>
      <c r="B5661" s="2" t="inlineStr"/>
      <c r="C5661" s="2" t="n">
        <v>11422</v>
      </c>
      <c r="D5661" s="3" t="inlineStr">
        <is>
          <t>Знакомые лица</t>
        </is>
      </c>
      <c r="E5661" s="2" t="n">
        <v>1966</v>
      </c>
      <c r="F5661" s="2" t="inlineStr">
        <is>
          <t>мультфильм</t>
        </is>
      </c>
      <c r="G5661" s="2" t="inlineStr">
        <is>
          <t>Союзмультфильм</t>
        </is>
      </c>
      <c r="H5661" s="2" t="n">
        <v>360</v>
      </c>
      <c r="I5661" s="2" t="inlineStr"/>
      <c r="J5661" s="2" t="inlineStr"/>
      <c r="K5661" s="3" t="inlineStr">
        <is>
          <t>На день рождения кладовщика кота Василия его приятель кот Тимофей приносит подарок - мышь. Однако Василий отказывается от такого подарка. Его праздничный стол ломится от изобилия продуктов, украденных им со склада...Сорока, подруга Орла, наушничает могучему хозяину на его подчиненных. А тот слепо верит всем россказням Сороки и только с ее слов судит о птицах</t>
        </is>
      </c>
      <c r="L5661" s="2" t="inlineStr">
        <is>
          <t>https://gosfilmofond.ru/films/254228/</t>
        </is>
      </c>
      <c r="M5661" s="2">
        <f>HYPERLINK("https://ru.wikipedia.org/w/index.php?search=%D0%97%D0%BD%D0%B0%D0%BA%D0%BE%D0%BC%D1%8B%D0%B5%20%D0%BB%D0%B8%D1%86%D0%B0%201966%20%D1%84%D0%B8%D0%BB%D1%8C%D0%BC","искать")</f>
        <v/>
      </c>
      <c r="N5661" s="3" t="n"/>
      <c r="O5661" s="2" t="n"/>
      <c r="P5661" s="2" t="n"/>
    </row>
    <row r="5662">
      <c r="A5662" s="2" t="n">
        <v>5661</v>
      </c>
      <c r="B5662" s="2" t="inlineStr"/>
      <c r="C5662" s="2" t="n">
        <v>11854</v>
      </c>
      <c r="D5662" s="3" t="inlineStr">
        <is>
          <t>Серебряное копытце</t>
        </is>
      </c>
      <c r="E5662" s="2" t="n">
        <v>1977</v>
      </c>
      <c r="F5662" s="2" t="inlineStr">
        <is>
          <t>мультфильм</t>
        </is>
      </c>
      <c r="G5662" s="2" t="inlineStr">
        <is>
          <t>Союзмультфильм</t>
        </is>
      </c>
      <c r="H5662" s="2" t="n">
        <v>360</v>
      </c>
      <c r="I5662" s="2" t="inlineStr"/>
      <c r="J5662" s="2" t="inlineStr"/>
      <c r="K5662" s="3" t="inlineStr">
        <is>
          <t>Сказка про то, как старик Кокованя взял к себе девочку-сиротку, и вместе в лесу они увидели необыкновенного козлика.- Тот козел особенный. У него на правой передней ноге серебряное копытце. В каком месте топнет этим копытцем – там и появится дорогой камень. Раз топнет – один камень, два топнет – два камня, а где ножкой бить станет – там груда дорогих камней.</t>
        </is>
      </c>
      <c r="L5662" s="2" t="inlineStr">
        <is>
          <t>2026-10_мультфильмы_список_владельца.xlsx; https://animator.ru/db/?p=show_film&amp;fid=2769</t>
        </is>
      </c>
      <c r="M5662" s="2">
        <f>HYPERLINK("https://ru.wikipedia.org/w/index.php?search=%D0%A1%D0%B5%D1%80%D0%B5%D0%B1%D1%80%D1%8F%D0%BD%D0%BE%D0%B5%20%D0%BA%D0%BE%D0%BF%D1%8B%D1%82%D1%86%D0%B5%201977%20%D1%84%D0%B8%D0%BB%D1%8C%D0%BC","искать")</f>
        <v/>
      </c>
      <c r="N5662" s="3" t="n"/>
      <c r="O5662" s="2" t="n"/>
      <c r="P5662" s="2" t="n"/>
    </row>
    <row r="5663">
      <c r="A5663" s="2" t="n">
        <v>5662</v>
      </c>
      <c r="B5663" s="2" t="inlineStr"/>
      <c r="C5663" s="2" t="n">
        <v>12793</v>
      </c>
      <c r="D5663" s="3" t="inlineStr">
        <is>
          <t>Бомбора</t>
        </is>
      </c>
      <c r="E5663" s="2" t="n">
        <v>1968</v>
      </c>
      <c r="F5663" s="2" t="inlineStr">
        <is>
          <t>мультфильм</t>
        </is>
      </c>
      <c r="G5663" s="2" t="inlineStr">
        <is>
          <t>ГРУЗИЯ-ФИЛЬМ - АО</t>
        </is>
      </c>
      <c r="H5663" s="2" t="n">
        <v>360</v>
      </c>
      <c r="I5663" s="2" t="inlineStr"/>
      <c r="J5663" s="2" t="inlineStr"/>
      <c r="K5663" s="3" t="inlineStr">
        <is>
          <t>По мотивам сказки Дональда Висета. Жители маленького городка избегают встреч с подростком Бомборой - сыном дэва, он страшен, невоспитан и очень неуклюж. Но одна маленькая девочка подружилась с ним. И ленивый Бомбора оказывается не таким уж страшным. Он даже делает доброе дело - когда из города сбежал фонарщик и погасли все фонари, он не ленится и зажигает их</t>
        </is>
      </c>
      <c r="L5663" s="2" t="inlineStr">
        <is>
          <t>https://gosfilmofond.ru/films/254305/</t>
        </is>
      </c>
      <c r="M5663" s="2">
        <f>HYPERLINK("https://ru.wikipedia.org/w/index.php?search=%D0%91%D0%BE%D0%BC%D0%B1%D0%BE%D1%80%D0%B0%201968%20%D1%84%D0%B8%D0%BB%D1%8C%D0%BC","искать")</f>
        <v/>
      </c>
      <c r="N5663" s="3" t="n"/>
      <c r="O5663" s="2" t="n"/>
      <c r="P5663" s="2" t="n"/>
    </row>
    <row r="5664">
      <c r="A5664" s="2" t="n">
        <v>5663</v>
      </c>
      <c r="B5664" s="2" t="inlineStr"/>
      <c r="C5664" s="2" t="n">
        <v>7587</v>
      </c>
      <c r="D5664" s="3" t="inlineStr">
        <is>
          <t>Жёлтая маска</t>
        </is>
      </c>
      <c r="E5664" s="2" t="n">
        <v>1979</v>
      </c>
      <c r="F5664" s="2" t="inlineStr">
        <is>
          <t>телефильм</t>
        </is>
      </c>
      <c r="G5664" s="2" t="n"/>
      <c r="H5664" s="2" t="n">
        <v>361</v>
      </c>
      <c r="I5664" s="2" t="inlineStr"/>
      <c r="J5664" s="2" t="inlineStr"/>
      <c r="K5664" s="3" t="inlineStr">
        <is>
          <t>Детский телевизионный детектив по мотивам одноименной повести болгарского писателя Николая Мизийски. В этой веселой истории о пионерах Саше Александрове, Круме Петрове и других — все признаки увлекательного приключенческого жанра: тайна, погоня, обман, расследование, столкновение с неизвестным… Как и положено в таких случаях, истина открывается в самом конце.</t>
        </is>
      </c>
      <c r="L5664" s="2" t="inlineStr">
        <is>
          <t>Кино_СССР сводный каталог.xlsx: список телефильмов</t>
        </is>
      </c>
      <c r="M5664" s="2">
        <f>HYPERLINK("https://ru.wikipedia.org/w/index.php?search=%D0%96%D1%91%D0%BB%D1%82%D0%B0%D1%8F%20%D0%BC%D0%B0%D1%81%D0%BA%D0%B0%201979%20%D1%84%D0%B8%D0%BB%D1%8C%D0%BC","искать")</f>
        <v/>
      </c>
      <c r="N5664" s="3" t="n"/>
      <c r="O5664" s="2" t="n"/>
      <c r="P5664" s="2" t="n"/>
    </row>
    <row r="5665">
      <c r="A5665" s="2" t="n">
        <v>5664</v>
      </c>
      <c r="B5665" s="2" t="inlineStr"/>
      <c r="C5665" s="2" t="n">
        <v>7924</v>
      </c>
      <c r="D5665" s="3" t="inlineStr">
        <is>
          <t>Мышеловка</t>
        </is>
      </c>
      <c r="E5665" s="2" t="n">
        <v>1986</v>
      </c>
      <c r="F5665" s="2" t="inlineStr">
        <is>
          <t>телефильм</t>
        </is>
      </c>
      <c r="G5665" s="2" t="n"/>
      <c r="H5665" s="2" t="n">
        <v>361</v>
      </c>
      <c r="I5665" s="2" t="inlineStr"/>
      <c r="J5665" s="2" t="inlineStr"/>
      <c r="K5665" s="3" t="inlineStr">
        <is>
          <t>Экранизация одноименной пьесы Агаты Кристи. В Лондоне совершено убийство женщины. У тела жертвы находят записную книжку. Полиция объявляет по радио, что разыскивается подозреваемый в убийстве: человек в сером пальто, светлом шарфе и фетровой шляпе. В пансионе «Монксуэлл-мэнор», который принадлежит молодой супружеской паре Рэлстонов, начинают собираться гости.</t>
        </is>
      </c>
      <c r="L5665" s="2" t="inlineStr">
        <is>
          <t>Кино_СССР сводный каталог.xlsx: список телефильмов</t>
        </is>
      </c>
      <c r="M5665" s="2">
        <f>HYPERLINK("https://ru.wikipedia.org/w/index.php?search=%D0%9C%D1%8B%D1%88%D0%B5%D0%BB%D0%BE%D0%B2%D0%BA%D0%B0%201986%20%D1%84%D0%B8%D0%BB%D1%8C%D0%BC","искать")</f>
        <v/>
      </c>
      <c r="N5665" s="3" t="n"/>
      <c r="O5665" s="2" t="n"/>
      <c r="P5665" s="2" t="n"/>
    </row>
    <row r="5666">
      <c r="A5666" s="2" t="n">
        <v>5665</v>
      </c>
      <c r="B5666" s="2" t="inlineStr"/>
      <c r="C5666" s="2" t="n">
        <v>8682</v>
      </c>
      <c r="D5666" s="3" t="inlineStr">
        <is>
          <t>Гончар и горшок</t>
        </is>
      </c>
      <c r="E5666" s="2" t="n">
        <v>1990</v>
      </c>
      <c r="F5666" s="2" t="inlineStr">
        <is>
          <t>кинофильм</t>
        </is>
      </c>
      <c r="G5666" s="2" t="n"/>
      <c r="H5666" s="2" t="n">
        <v>361</v>
      </c>
      <c r="I5666" s="2" t="inlineStr"/>
      <c r="J5666" s="2" t="inlineStr"/>
      <c r="K5666" s="3" t="inlineStr">
        <is>
          <t>Музыкальная притча по мотивам восточного фольклора. Герой фильма — гончар, решивший слепить себе из глины друга и помощника. Его творение обрело жизнь. Но получился мерзопакостный субъект, который полностью подчинил себе гончара и начал с его помощью творить вокруг зло и бесчестие. Жадным и коварным оказался этот «глинянный друг», принесший немало горя людям.</t>
        </is>
      </c>
      <c r="L5666" s="2" t="inlineStr">
        <is>
          <t>Кино_СССР сводный каталог.xlsx: список фильмов (доп.)</t>
        </is>
      </c>
      <c r="M5666" s="2">
        <f>HYPERLINK("https://ru.wikipedia.org/w/index.php?search=%D0%93%D0%BE%D0%BD%D1%87%D0%B0%D1%80%20%D0%B8%20%D0%B3%D0%BE%D1%80%D1%88%D0%BE%D0%BA%201990%20%D1%84%D0%B8%D0%BB%D1%8C%D0%BC","искать")</f>
        <v/>
      </c>
      <c r="N5666" s="3" t="n"/>
      <c r="O5666" s="2" t="n"/>
      <c r="P5666" s="2" t="n"/>
    </row>
    <row r="5667">
      <c r="A5667" s="2" t="n">
        <v>5666</v>
      </c>
      <c r="B5667" s="2" t="inlineStr"/>
      <c r="C5667" s="2" t="n">
        <v>9392</v>
      </c>
      <c r="D5667" s="3" t="inlineStr">
        <is>
          <t>Имитатор</t>
        </is>
      </c>
      <c r="E5667" s="2" t="n">
        <v>1991</v>
      </c>
      <c r="F5667" s="2" t="inlineStr">
        <is>
          <t>кинофильм</t>
        </is>
      </c>
      <c r="G5667" s="2" t="n"/>
      <c r="H5667" s="2" t="n">
        <v>361</v>
      </c>
      <c r="I5667" s="2" t="inlineStr"/>
      <c r="J5667" s="2" t="inlineStr"/>
      <c r="K5667" s="3" t="inlineStr">
        <is>
          <t>Используя телефонный аппарат и недюжинные способности общения с людьми (имитация голосов - это только необходимая частность), предприимчивый молодой человек посвящает себя бизнесу... Начав свою картину как забавную бытовую комедию, с каждым эпизодом постепенно форсируя элементы гротеска, авторы фильма довели его до апофеоза абсурдности нашей действительности.</t>
        </is>
      </c>
      <c r="L5667" s="2" t="inlineStr">
        <is>
          <t>Кино_СССР сводный каталог.xlsx: список фильмов (доп.)</t>
        </is>
      </c>
      <c r="M5667" s="2">
        <f>HYPERLINK("https://ru.wikipedia.org/w/index.php?search=%D0%98%D0%BC%D0%B8%D1%82%D0%B0%D1%82%D0%BE%D1%80%201991%20%D1%84%D0%B8%D0%BB%D1%8C%D0%BC","искать")</f>
        <v/>
      </c>
      <c r="N5667" s="3" t="n"/>
      <c r="O5667" s="2" t="n"/>
      <c r="P5667" s="2" t="n"/>
    </row>
    <row r="5668">
      <c r="A5668" s="2" t="n">
        <v>5667</v>
      </c>
      <c r="B5668" s="2" t="inlineStr"/>
      <c r="C5668" s="2" t="n">
        <v>9532</v>
      </c>
      <c r="D5668" s="3" t="inlineStr">
        <is>
          <t>Отец и сын</t>
        </is>
      </c>
      <c r="E5668" s="2" t="n">
        <v>1936</v>
      </c>
      <c r="F5668" s="2" t="inlineStr">
        <is>
          <t>кинофильм</t>
        </is>
      </c>
      <c r="G5668" s="2" t="n"/>
      <c r="H5668" s="2" t="n">
        <v>361</v>
      </c>
      <c r="I5668" s="2" t="inlineStr"/>
      <c r="J5668" s="2" t="inlineStr"/>
      <c r="K5668" s="3" t="inlineStr">
        <is>
          <t>Психологическая драма о сложных взаимоотношениях двенадцатилетнего мальчика и его отца — директора завода, ушедшего полностью в дела производства и не уделяющего сыну внимания. Мальчик забрасывает учёбу после ссоры с отцом, уходит из дома и сталкивается с уголовным миром. Только после серии происшествий и разговоров с разными людьми отец понимает свою ошибку.</t>
        </is>
      </c>
      <c r="L5668" s="2" t="inlineStr">
        <is>
          <t>https://ru.wikipedia.org/w/index.php?title=%D0%9E%D1%82%D0%B5%D1%86_%D0%B8_%D1%81%D1%8B%D0%BD_%28%D1%84%D0%B8%D0%BB%D1%8C%D0%BC%2C_1936%29&amp;oldid=153026905</t>
        </is>
      </c>
      <c r="M5668" s="2">
        <f>HYPERLINK("https://ru.wikipedia.org/w/index.php?search=%D0%9E%D1%82%D0%B5%D1%86%20%D0%B8%20%D1%81%D1%8B%D0%BD%201936%20%D1%84%D0%B8%D0%BB%D1%8C%D0%BC","искать")</f>
        <v/>
      </c>
      <c r="N5668" s="3" t="n"/>
      <c r="O5668" s="2" t="n"/>
      <c r="P5668" s="2" t="n"/>
    </row>
    <row r="5669">
      <c r="A5669" s="2" t="n">
        <v>5668</v>
      </c>
      <c r="B5669" s="2" t="inlineStr"/>
      <c r="C5669" s="2" t="n">
        <v>10636</v>
      </c>
      <c r="D5669" s="3" t="inlineStr">
        <is>
          <t>Бернард Шоу</t>
        </is>
      </c>
      <c r="E5669" s="2" t="n">
        <v>1976</v>
      </c>
      <c r="F5669" s="2" t="inlineStr">
        <is>
          <t>фильм-спектакль</t>
        </is>
      </c>
      <c r="G5669" s="2" t="n"/>
      <c r="H5669" s="2" t="n">
        <v>361</v>
      </c>
      <c r="I5669" s="2" t="inlineStr"/>
      <c r="J5669" s="2" t="inlineStr"/>
      <c r="K5669" s="3" t="inlineStr">
        <is>
          <t>Интересно, что было бы, если бы наши актеры встретились со знаменитым писателем?
И вот они уже входят в кабинет Бернарда Шоу.
Вначале речь пойдет о его творчестве, драматургии, о создании его произведений, о первой постановке его пьесы.
А дальше актеры начинают играть героев Шоу, и он тоже принимает в этом участие.
Ведь Шоу заявил, что он превосходный артист!</t>
        </is>
      </c>
      <c r="L5669" s="2" t="inlineStr">
        <is>
          <t>https://www.kino-teatr.ru/teatr/movie/101846/annot/</t>
        </is>
      </c>
      <c r="M5669" s="2">
        <f>HYPERLINK("https://ru.wikipedia.org/w/index.php?search=%D0%91%D0%B5%D1%80%D0%BD%D0%B0%D1%80%D0%B4%20%D0%A8%D0%BE%D1%83%201976%20%D1%84%D0%B8%D0%BB%D1%8C%D0%BC","искать")</f>
        <v/>
      </c>
      <c r="N5669" s="3" t="n"/>
      <c r="O5669" s="2" t="n"/>
      <c r="P5669" s="2" t="n"/>
    </row>
    <row r="5670">
      <c r="A5670" s="2" t="n">
        <v>5669</v>
      </c>
      <c r="B5670" s="2" t="inlineStr"/>
      <c r="C5670" s="2" t="n">
        <v>11244</v>
      </c>
      <c r="D5670" s="3" t="inlineStr">
        <is>
          <t>14 красных избушек</t>
        </is>
      </c>
      <c r="E5670" s="2" t="n">
        <v>1989</v>
      </c>
      <c r="F5670" s="2" t="inlineStr">
        <is>
          <t>фильм-спектакль</t>
        </is>
      </c>
      <c r="G5670" s="2" t="inlineStr">
        <is>
          <t>Центральное телевидение</t>
        </is>
      </c>
      <c r="H5670" s="2" t="n">
        <v>361</v>
      </c>
      <c r="I5670" s="2" t="inlineStr"/>
      <c r="J5670" s="2" t="inlineStr"/>
      <c r="K5670" s="3" t="inlineStr">
        <is>
          <t>Телевариант спектакля Саратовского театра драмы им.Карла Маркса по пьесе А.Платонова "14 красных избушек или Герой нашего времени".
Свидетелем событий, связанных с коллективизацией становится Иоганн Хоз, член Стокгольмской академии наук, приехавший в Россию, чтобы познать жизнь. В течение нескольких дней он работает в колхозе "14 красных избушек" бухгалтером.</t>
        </is>
      </c>
      <c r="L5670" s="2" t="inlineStr">
        <is>
          <t>https://www.kino-teatr.ru/teatr/movie/17027/annot/</t>
        </is>
      </c>
      <c r="M5670" s="2">
        <f>HYPERLINK("https://ru.wikipedia.org/w/index.php?search=14%20%D0%BA%D1%80%D0%B0%D1%81%D0%BD%D1%8B%D1%85%20%D0%B8%D0%B7%D0%B1%D1%83%D1%88%D0%B5%D0%BA%201989%20%D1%84%D0%B8%D0%BB%D1%8C%D0%BC","искать")</f>
        <v/>
      </c>
      <c r="N5670" s="3" t="n"/>
      <c r="O5670" s="2" t="n"/>
      <c r="P5670" s="2" t="n"/>
    </row>
    <row r="5671">
      <c r="A5671" s="2" t="n">
        <v>5670</v>
      </c>
      <c r="B5671" s="2" t="inlineStr"/>
      <c r="C5671" s="2" t="n">
        <v>11295</v>
      </c>
      <c r="D5671" s="3" t="inlineStr">
        <is>
          <t>Взрослая дочь молодого человека</t>
        </is>
      </c>
      <c r="E5671" s="2" t="n">
        <v>1990</v>
      </c>
      <c r="F5671" s="2" t="inlineStr">
        <is>
          <t>фильм-спектакль</t>
        </is>
      </c>
      <c r="G5671" s="2" t="inlineStr">
        <is>
          <t>Театр “Школа драматического искусства”</t>
        </is>
      </c>
      <c r="H5671" s="2" t="n">
        <v>361</v>
      </c>
      <c r="I5671" s="2" t="inlineStr"/>
      <c r="J5671" s="2" t="inlineStr"/>
      <c r="K5671" s="3" t="inlineStr">
        <is>
          <t>По пьесе Виктора Славкина "Дочь стиляги".
Действие происходит в Москве, в 70-х годах. Герои не виделись много лет, а теперь встретились и вспоминают свою молодость, когда они учились в институте, увлекались джазом и слыли стилягами.
Снятый в 1981-1982 гг. спектакль Московского драматического театра имени К.С. Станиславского. Фильм впервые показан в 1990 году.</t>
        </is>
      </c>
      <c r="L5671" s="2" t="inlineStr">
        <is>
          <t>https://www.kino-teatr.ru/teatr/movie/936/annot/</t>
        </is>
      </c>
      <c r="M5671" s="2">
        <f>HYPERLINK("https://ru.wikipedia.org/w/index.php?search=%D0%92%D0%B7%D1%80%D0%BE%D1%81%D0%BB%D0%B0%D1%8F%20%D0%B4%D0%BE%D1%87%D1%8C%20%D0%BC%D0%BE%D0%BB%D0%BE%D0%B4%D0%BE%D0%B3%D0%BE%20%D1%87%D0%B5%D0%BB%D0%BE%D0%B2%D0%B5%D0%BA%D0%B0%201990%20%D1%84%D0%B8%D0%BB%D1%8C%D0%BC","искать")</f>
        <v/>
      </c>
      <c r="N5671" s="3" t="n"/>
      <c r="O5671" s="2" t="n"/>
      <c r="P5671" s="2" t="n"/>
    </row>
    <row r="5672">
      <c r="A5672" s="2" t="n">
        <v>5671</v>
      </c>
      <c r="B5672" s="2" t="inlineStr"/>
      <c r="C5672" s="2" t="n">
        <v>13098</v>
      </c>
      <c r="D5672" s="3" t="inlineStr">
        <is>
          <t>Коза и трое козлят</t>
        </is>
      </c>
      <c r="E5672" s="2" t="n">
        <v>1968</v>
      </c>
      <c r="F5672" s="2" t="inlineStr">
        <is>
          <t>мультфильм</t>
        </is>
      </c>
      <c r="G5672" s="2" t="inlineStr">
        <is>
          <t>МОЛДОВА-ФИЛЬМ</t>
        </is>
      </c>
      <c r="H5672" s="2" t="n">
        <v>361</v>
      </c>
      <c r="I5672" s="2" t="inlineStr"/>
      <c r="J5672" s="2" t="inlineStr"/>
      <c r="K5672" s="3" t="inlineStr">
        <is>
          <t>По мотивам сказки Иона Крянге.
Уходя из дома, коза наказывает своим детям никому не открывать дверь. Но волк, подражая голосу козы, врывается в дом и съедает козлят. Довольный, отдыхает он после пира, когда приходит к нему коза и приглашает на поминки. По пути волк падает в яму с горящими углями, из его лопнувшего брюха выскакивают живые и невредимые козлята.</t>
        </is>
      </c>
      <c r="L5672" s="2" t="inlineStr">
        <is>
          <t>https://gosfilmofond.ru/films/254310/</t>
        </is>
      </c>
      <c r="M5672" s="2">
        <f>HYPERLINK("https://ru.wikipedia.org/w/index.php?search=%D0%9A%D0%BE%D0%B7%D0%B0%20%D0%B8%20%D1%82%D1%80%D0%BE%D0%B5%20%D0%BA%D0%BE%D0%B7%D0%BB%D1%8F%D1%82%201968%20%D1%84%D0%B8%D0%BB%D1%8C%D0%BC","искать")</f>
        <v/>
      </c>
      <c r="N5672" s="3" t="n"/>
      <c r="O5672" s="2" t="n"/>
      <c r="P5672" s="2" t="n"/>
    </row>
    <row r="5673">
      <c r="A5673" s="2" t="n">
        <v>5672</v>
      </c>
      <c r="B5673" s="2" t="inlineStr"/>
      <c r="C5673" s="2" t="n">
        <v>9064</v>
      </c>
      <c r="D5673" s="3" t="inlineStr">
        <is>
          <t>Среда обитания</t>
        </is>
      </c>
      <c r="E5673" s="2" t="n">
        <v>1987</v>
      </c>
      <c r="F5673" s="2" t="inlineStr">
        <is>
          <t>кинофильм</t>
        </is>
      </c>
      <c r="G5673" s="2" t="n"/>
      <c r="H5673" s="2" t="n">
        <v>362</v>
      </c>
      <c r="I5673" s="2" t="inlineStr"/>
      <c r="J5673" s="2" t="inlineStr"/>
      <c r="K5673" s="3" t="inlineStr">
        <is>
          <t>По одноименной повести Сергея Высоцкого. В архиве пропадают редкие материалы. Между двумя научными работниками – Озеровым и Рожкиным – происходит конфликт из-за этих материалов. Как выясняется позднее, Озеров самовольно взял бумаги и передал их человеку по фамилии Барабанщиков для продажи. Когда Платонов узнает об этом, его сердце не выдерживает, и он умирает.</t>
        </is>
      </c>
      <c r="L5673" s="2" t="inlineStr">
        <is>
          <t>Кино_СССР сводный каталог.xlsx: список фильмов (доп.)</t>
        </is>
      </c>
      <c r="M5673" s="2">
        <f>HYPERLINK("https://ru.wikipedia.org/w/index.php?search=%D0%A1%D1%80%D0%B5%D0%B4%D0%B0%20%D0%BE%D0%B1%D0%B8%D1%82%D0%B0%D0%BD%D0%B8%D1%8F%201987%20%D1%84%D0%B8%D0%BB%D1%8C%D0%BC","искать")</f>
        <v/>
      </c>
      <c r="N5673" s="3" t="n"/>
      <c r="O5673" s="2" t="n"/>
      <c r="P5673" s="2" t="n"/>
    </row>
    <row r="5674">
      <c r="A5674" s="2" t="n">
        <v>5673</v>
      </c>
      <c r="B5674" s="2" t="inlineStr"/>
      <c r="C5674" s="2" t="n">
        <v>9611</v>
      </c>
      <c r="D5674" s="3" t="inlineStr">
        <is>
          <t>Разрешите взлет</t>
        </is>
      </c>
      <c r="E5674" s="2" t="n">
        <v>1971</v>
      </c>
      <c r="F5674" s="2" t="inlineStr">
        <is>
          <t>кинофильм</t>
        </is>
      </c>
      <c r="G5674" s="2" t="n"/>
      <c r="H5674" s="2" t="n">
        <v>362</v>
      </c>
      <c r="I5674" s="2" t="inlineStr"/>
      <c r="J5674" s="2" t="inlineStr"/>
      <c r="K5674" s="3" t="inlineStr">
        <is>
          <t>На затерявшемся в степи аэродроме начинает свою летную жизнь Соломенцев (Семен Морозов), только что получивший свидетельство пилота. Старый летчик Сахно (Анатолий Папанов) вынужден расстаться с любимым делом. Но перед тем, как уйти на диспетчерскую службу, он окажет помощь экипажу пассажирского лайнера, оказавшегося при посадке в сложнейшей аварийной ситуации.</t>
        </is>
      </c>
      <c r="L5674" s="2" t="inlineStr">
        <is>
          <t>Кино_СССР сводный каталог.xlsx: список фильмов (доп.)</t>
        </is>
      </c>
      <c r="M5674" s="2">
        <f>HYPERLINK("https://ru.wikipedia.org/w/index.php?search=%D0%A0%D0%B0%D0%B7%D1%80%D0%B5%D1%88%D0%B8%D1%82%D0%B5%20%D0%B2%D0%B7%D0%BB%D0%B5%D1%82%201971%20%D1%84%D0%B8%D0%BB%D1%8C%D0%BC","искать")</f>
        <v/>
      </c>
      <c r="N5674" s="3" t="n"/>
      <c r="O5674" s="2" t="n"/>
      <c r="P5674" s="2" t="n"/>
    </row>
    <row r="5675">
      <c r="A5675" s="2" t="n">
        <v>5674</v>
      </c>
      <c r="B5675" s="2" t="inlineStr"/>
      <c r="C5675" s="2" t="n">
        <v>10203</v>
      </c>
      <c r="D5675" s="3" t="inlineStr">
        <is>
          <t>Курьер Кремля</t>
        </is>
      </c>
      <c r="E5675" s="2" t="n">
        <v>1967</v>
      </c>
      <c r="F5675" s="2" t="inlineStr">
        <is>
          <t>фильм-спектакль</t>
        </is>
      </c>
      <c r="G5675" s="2" t="n"/>
      <c r="H5675" s="2" t="n">
        <v>362</v>
      </c>
      <c r="I5675" s="2" t="inlineStr"/>
      <c r="J5675" s="2" t="inlineStr"/>
      <c r="K5675" s="3" t="inlineStr">
        <is>
          <t>Постановка театра имени Евг.Вахтангова.
Действие происходит осенью 1919 года.
Большевик Мравин под именем инженера Петра Ивановича Леднева, рискуя жизнью, везет в Америку "Письмо к американским рабочим" В.И.Ленина. С помощью Джона Рида публикует его в одной из газет. В телеспектакле принимает участие Петр Иванович Травин, послуживший прообразом главного героя.</t>
        </is>
      </c>
      <c r="L5675" s="2" t="inlineStr">
        <is>
          <t>https://www.kino-teatr.ru/teatr/movie/81546/annot/</t>
        </is>
      </c>
      <c r="M5675" s="2">
        <f>HYPERLINK("https://ru.wikipedia.org/w/index.php?search=%D0%9A%D1%83%D1%80%D1%8C%D0%B5%D1%80%20%D0%9A%D1%80%D0%B5%D0%BC%D0%BB%D1%8F%201967%20%D1%84%D0%B8%D0%BB%D1%8C%D0%BC","искать")</f>
        <v/>
      </c>
      <c r="N5675" s="3" t="n"/>
      <c r="O5675" s="2" t="n"/>
      <c r="P5675" s="2" t="n"/>
    </row>
    <row r="5676">
      <c r="A5676" s="2" t="n">
        <v>5675</v>
      </c>
      <c r="B5676" s="2" t="inlineStr"/>
      <c r="C5676" s="2" t="n">
        <v>8167</v>
      </c>
      <c r="D5676" s="3" t="inlineStr">
        <is>
          <t>Последний визит</t>
        </is>
      </c>
      <c r="E5676" s="2" t="n">
        <v>1984</v>
      </c>
      <c r="F5676" s="2" t="inlineStr">
        <is>
          <t>телефильм</t>
        </is>
      </c>
      <c r="G5676" s="2" t="n"/>
      <c r="H5676" s="2" t="n">
        <v>363</v>
      </c>
      <c r="I5676" s="2" t="inlineStr"/>
      <c r="J5676" s="2" t="inlineStr"/>
      <c r="K5676" s="3" t="inlineStr">
        <is>
          <t>Американский журналист Том Бертон внезапно умирает.
Его жена Сэйра, тоже журналист, не верит в несчастный случай и начинает собственное расследование. Она выясняет, что её муж вскрыл связь между диктатором страны и местным банкиром, имеющим поддержку Вашингтона, и что смерть мужа не случайна — это убийство. Но опубликовать полученную информацию она не успевает.</t>
        </is>
      </c>
      <c r="L5676" s="2" t="inlineStr">
        <is>
          <t>https://ru.wikipedia.org/w/index.php?title=%D0%9F%D0%BE%D1%81%D0%BB%D0%B5%D0%B4%D0%BD%D0%B8%D0%B9_%D0%B2%D0%B8%D0%B7%D0%B8%D1%82&amp;oldid=153316855</t>
        </is>
      </c>
      <c r="M5676" s="2">
        <f>HYPERLINK("https://ru.wikipedia.org/w/index.php?search=%D0%9F%D0%BE%D1%81%D0%BB%D0%B5%D0%B4%D0%BD%D0%B8%D0%B9%20%D0%B2%D0%B8%D0%B7%D0%B8%D1%82%201984%20%D1%84%D0%B8%D0%BB%D1%8C%D0%BC","искать")</f>
        <v/>
      </c>
      <c r="N5676" s="3" t="n"/>
      <c r="O5676" s="2" t="n"/>
      <c r="P5676" s="2" t="n"/>
    </row>
    <row r="5677">
      <c r="A5677" s="2" t="n">
        <v>5676</v>
      </c>
      <c r="B5677" s="2" t="inlineStr"/>
      <c r="C5677" s="2" t="n">
        <v>8326</v>
      </c>
      <c r="D5677" s="3" t="inlineStr">
        <is>
          <t>Семейный альбом</t>
        </is>
      </c>
      <c r="E5677" s="2" t="n">
        <v>1978</v>
      </c>
      <c r="F5677" s="2" t="inlineStr">
        <is>
          <t>телефильм</t>
        </is>
      </c>
      <c r="G5677" s="2" t="n"/>
      <c r="H5677" s="2" t="n">
        <v>363</v>
      </c>
      <c r="I5677" s="2" t="inlineStr"/>
      <c r="J5677" s="2" t="inlineStr"/>
      <c r="K5677" s="3" t="inlineStr">
        <is>
          <t>Дочь доктора Ранде Ирма, свято хранящая все, что напоминает ей об отце и его деятельности, страстно желает, чтобы ее сын Ивар пошел по стопам деда. Для него она бережет и не отдает в музейную экспозицию последнюю из научных разработок отца. Но, проживший всю жизнь под диктовку матери, Ивар вдруг начинает выходить из-под ее влияния и собирается стать дизайнером.</t>
        </is>
      </c>
      <c r="L5677" s="2" t="inlineStr">
        <is>
          <t>Кино_СССР сводный каталог.xlsx: список телефильмов</t>
        </is>
      </c>
      <c r="M5677" s="2">
        <f>HYPERLINK("https://ru.wikipedia.org/w/index.php?search=%D0%A1%D0%B5%D0%BC%D0%B5%D0%B9%D0%BD%D1%8B%D0%B9%20%D0%B0%D0%BB%D1%8C%D0%B1%D0%BE%D0%BC%201978%20%D1%84%D0%B8%D0%BB%D1%8C%D0%BC","искать")</f>
        <v/>
      </c>
      <c r="N5677" s="3" t="n"/>
      <c r="O5677" s="2" t="n"/>
      <c r="P5677" s="2" t="n"/>
    </row>
    <row r="5678">
      <c r="A5678" s="2" t="n">
        <v>5677</v>
      </c>
      <c r="B5678" s="2" t="inlineStr"/>
      <c r="C5678" s="2" t="n">
        <v>9169</v>
      </c>
      <c r="D5678" s="3" t="inlineStr">
        <is>
          <t>Шанырак</t>
        </is>
      </c>
      <c r="E5678" s="2" t="n">
        <v>1987</v>
      </c>
      <c r="F5678" s="2" t="inlineStr">
        <is>
          <t>кинофильм</t>
        </is>
      </c>
      <c r="G5678" s="2" t="n"/>
      <c r="H5678" s="2" t="n">
        <v>363</v>
      </c>
      <c r="I5678" s="2" t="inlineStr"/>
      <c r="J5678" s="2" t="inlineStr"/>
      <c r="K5678" s="3" t="inlineStr">
        <is>
          <t>Главный герой испытывает сильные чувства к молодой красавице и собирается действовать по старинному восточному обычаю – украсть невесту и жениться на ней. Как обычно и бывает, родственники девушки не в восторге от этой идеи и, в результате их махинаций, главный герой отправляется в тюрьму. Его возлюбленная же начинает строить совместную жизнь с другим мужчиной.</t>
        </is>
      </c>
      <c r="L5678" s="2" t="inlineStr">
        <is>
          <t>Кино_СССР сводный каталог.xlsx: список фильмов (доп.)</t>
        </is>
      </c>
      <c r="M5678" s="2">
        <f>HYPERLINK("https://ru.wikipedia.org/w/index.php?search=%D0%A8%D0%B0%D0%BD%D1%8B%D1%80%D0%B0%D0%BA%201987%20%D1%84%D0%B8%D0%BB%D1%8C%D0%BC","искать")</f>
        <v/>
      </c>
      <c r="N5678" s="3" t="n"/>
      <c r="O5678" s="2" t="n"/>
      <c r="P5678" s="2" t="n"/>
    </row>
    <row r="5679">
      <c r="A5679" s="2" t="n">
        <v>5678</v>
      </c>
      <c r="B5679" s="2" t="inlineStr"/>
      <c r="C5679" s="2" t="n">
        <v>9607</v>
      </c>
      <c r="D5679" s="3" t="inlineStr">
        <is>
          <t>Пусть я умру, господи...</t>
        </is>
      </c>
      <c r="E5679" s="2" t="n">
        <v>1988</v>
      </c>
      <c r="F5679" s="2" t="inlineStr">
        <is>
          <t>кинофильм</t>
        </is>
      </c>
      <c r="G5679" s="2" t="n"/>
      <c r="H5679" s="2" t="n">
        <v>363</v>
      </c>
      <c r="I5679" s="2" t="inlineStr"/>
      <c r="J5679" s="2" t="inlineStr"/>
      <c r="K5679" s="3" t="inlineStr">
        <is>
          <t>Перед сносом детского дома, почти всех детей перевели в другие интернаты, но шесть девочек и их воспитательница остались. Ольга, одна из воспитанниц, получает приглашение сниматься в кино и соглашается. Съемки фильма и знакомство с другим миром ожесточают ее - и она уже совсем по-другому воспринимает проблемы своих подруг и почти ненавидит свою воспитательницу.</t>
        </is>
      </c>
      <c r="L5679" s="2" t="inlineStr">
        <is>
          <t>Кино_СССР сводный каталог.xlsx: список фильмов (доп.)</t>
        </is>
      </c>
      <c r="M5679" s="2">
        <f>HYPERLINK("https://ru.wikipedia.org/w/index.php?search=%D0%9F%D1%83%D1%81%D1%82%D1%8C%20%D1%8F%20%D1%83%D0%BC%D1%80%D1%83%2C%20%D0%B3%D0%BE%D1%81%D0%BF%D0%BE%D0%B4%D0%B8...%201988%20%D1%84%D0%B8%D0%BB%D1%8C%D0%BC","искать")</f>
        <v/>
      </c>
      <c r="N5679" s="3" t="n"/>
      <c r="O5679" s="2" t="n"/>
      <c r="P5679" s="2" t="n"/>
    </row>
    <row r="5680">
      <c r="A5680" s="2" t="n">
        <v>5679</v>
      </c>
      <c r="B5680" s="2" t="inlineStr"/>
      <c r="C5680" s="2" t="n">
        <v>9966</v>
      </c>
      <c r="D5680" s="3" t="inlineStr">
        <is>
          <t>Други игрищ и забав</t>
        </is>
      </c>
      <c r="E5680" s="2" t="n">
        <v>1981</v>
      </c>
      <c r="F5680" s="2" t="inlineStr">
        <is>
          <t>телефильм</t>
        </is>
      </c>
      <c r="G5680" s="2" t="inlineStr">
        <is>
          <t>Ленфильм</t>
        </is>
      </c>
      <c r="H5680" s="2" t="n">
        <v>363</v>
      </c>
      <c r="I5680" s="2" t="inlineStr"/>
      <c r="J5680" s="2" t="inlineStr"/>
      <c r="K5680" s="3" t="inlineStr">
        <is>
          <t>Любимая старшая сестра главного героя стала мамой. Все — мама, папа, сама сестра рады пополнению в семействе. И только главный герой, обычный мальчишка, печалится, потому что у его новорождённого племянника нет отца. Мальчик впервые столкнулся со взрослой жизнью. Позже выясняется, что мальчик ошибся, приняв невинного человека за обманщика, соблазнившего сестру.</t>
        </is>
      </c>
      <c r="L5680" s="2" t="inlineStr">
        <is>
          <t>https://ru.wikipedia.org/w/index.php?title=%D0%94%D1%80%D1%83%D0%B3%D0%B8_%D0%B8%D0%B3%D1%80%D0%B8%D1%89_%D0%B8_%D0%B7%D0%B0%D0%B1%D0%B0%D0%B2&amp;oldid=155232053</t>
        </is>
      </c>
      <c r="M5680" s="2">
        <f>HYPERLINK("https://ru.wikipedia.org/w/index.php?search=%D0%94%D1%80%D1%83%D0%B3%D0%B8%20%D0%B8%D0%B3%D1%80%D0%B8%D1%89%20%D0%B8%20%D0%B7%D0%B0%D0%B1%D0%B0%D0%B2%201981%20%D1%84%D0%B8%D0%BB%D1%8C%D0%BC","искать")</f>
        <v/>
      </c>
      <c r="N5680" s="3" t="n"/>
      <c r="O5680" s="2" t="n"/>
      <c r="P5680" s="2" t="n"/>
    </row>
    <row r="5681">
      <c r="A5681" s="2" t="n">
        <v>5680</v>
      </c>
      <c r="B5681" s="2" t="inlineStr"/>
      <c r="C5681" s="2" t="n">
        <v>11156</v>
      </c>
      <c r="D5681" s="3" t="inlineStr">
        <is>
          <t>Игра в детектив. Выпуск 1</t>
        </is>
      </c>
      <c r="E5681" s="2" t="n">
        <v>1987</v>
      </c>
      <c r="F5681" s="2" t="inlineStr">
        <is>
          <t>фильм-спектакль</t>
        </is>
      </c>
      <c r="G5681" s="2" t="inlineStr">
        <is>
          <t>Главная редакция литературно-драматических программ ЦТ</t>
        </is>
      </c>
      <c r="H5681" s="2" t="n">
        <v>363</v>
      </c>
      <c r="I5681" s="2" t="inlineStr"/>
      <c r="J5681" s="2" t="inlineStr"/>
      <c r="K5681" s="3" t="inlineStr">
        <is>
          <t>Первый выпуск из цикла "Игра в детектив". Телеспектакль состоит из четырех детективных историй. Каждая история содержит в себе загадку, разгадать которую Автор предлагает зрителям, не давая своим героям - Инспектору и Сержанту - раскрыть результаты расследований.
Новелла 1: Жемчужина
Новелла 2: Киднап
Новелла 3: Вилла "Ромашка"
Новелла 4: Тайна старинного замка</t>
        </is>
      </c>
      <c r="L5681" s="2" t="inlineStr">
        <is>
          <t>https://www.kino-teatr.ru/teatr/movie/16547/annot/</t>
        </is>
      </c>
      <c r="M5681" s="2">
        <f>HYPERLINK("https://ru.wikipedia.org/w/index.php?search=%D0%98%D0%B3%D1%80%D0%B0%20%D0%B2%20%D0%B4%D0%B5%D1%82%D0%B5%D0%BA%D1%82%D0%B8%D0%B2.%20%D0%92%D1%8B%D0%BF%D1%83%D1%81%D0%BA%201%201987%20%D1%84%D0%B8%D0%BB%D1%8C%D0%BC","искать")</f>
        <v/>
      </c>
      <c r="N5681" s="3" t="n"/>
      <c r="O5681" s="2" t="n"/>
      <c r="P5681" s="2" t="n"/>
    </row>
    <row r="5682">
      <c r="A5682" s="2" t="n">
        <v>5681</v>
      </c>
      <c r="B5682" s="2" t="inlineStr"/>
      <c r="C5682" s="2" t="n">
        <v>8360</v>
      </c>
      <c r="D5682" s="3" t="inlineStr">
        <is>
          <t>Случай на фестивале</t>
        </is>
      </c>
      <c r="E5682" s="2" t="n">
        <v>1976</v>
      </c>
      <c r="F5682" s="2" t="inlineStr">
        <is>
          <t>телефильм</t>
        </is>
      </c>
      <c r="G5682" s="2" t="inlineStr">
        <is>
          <t>«Молдова-фильм»</t>
        </is>
      </c>
      <c r="H5682" s="2" t="n">
        <v>364</v>
      </c>
      <c r="I5682" s="2" t="inlineStr"/>
      <c r="J5682" s="2" t="inlineStr"/>
      <c r="K5682" s="3" t="inlineStr">
        <is>
          <t>Музыкальная история любви на фоне фольклорного фестиваля в Кишинёве куда приезжают танцевальные ансамбли «Рачиница» и «Порумбица», из-за ошибки и травмы партнёры их солистов Ангела Станчева и Виорики Морару не приезжают на фестиваль, и теперь соперники вынуждены выступать в паре.
В ролях обоих ансамблей в фильме выступает ансамбль «Жок», вокал — Надежда Чепрага.</t>
        </is>
      </c>
      <c r="L5682" s="2" t="inlineStr">
        <is>
          <t>https://ru.wikipedia.org/w/index.php?title=%D0%A1%D0%BB%D1%83%D1%87%D0%B0%D0%B9_%D0%BD%D0%B0_%D1%84%D0%B5%D1%81%D1%82%D0%B8%D0%B2%D0%B0%D0%BB%D0%B5&amp;oldid=154704770</t>
        </is>
      </c>
      <c r="M5682" s="2">
        <f>HYPERLINK("https://ru.wikipedia.org/w/index.php?search=%D0%A1%D0%BB%D1%83%D1%87%D0%B0%D0%B9%20%D0%BD%D0%B0%20%D1%84%D0%B5%D1%81%D1%82%D0%B8%D0%B2%D0%B0%D0%BB%D0%B5%201976%20%D1%84%D0%B8%D0%BB%D1%8C%D0%BC","искать")</f>
        <v/>
      </c>
      <c r="N5682" s="3" t="n"/>
      <c r="O5682" s="2" t="n"/>
      <c r="P5682" s="2" t="n"/>
    </row>
    <row r="5683">
      <c r="A5683" s="2" t="n">
        <v>5682</v>
      </c>
      <c r="B5683" s="2" t="inlineStr"/>
      <c r="C5683" s="2" t="n">
        <v>8434</v>
      </c>
      <c r="D5683" s="3" t="inlineStr">
        <is>
          <t>Тайные милости</t>
        </is>
      </c>
      <c r="E5683" s="2" t="n">
        <v>1989</v>
      </c>
      <c r="F5683" s="2" t="inlineStr">
        <is>
          <t>телефильм</t>
        </is>
      </c>
      <c r="G5683" s="2" t="n"/>
      <c r="H5683" s="2" t="n">
        <v>364</v>
      </c>
      <c r="I5683" s="2" t="inlineStr"/>
      <c r="J5683" s="2" t="inlineStr"/>
      <c r="K5683" s="3" t="inlineStr">
        <is>
          <t>По мотивам одноименного романа В.Михальского. Действие фильма происходит в небольшом южном городке, основная проблема которого - отсутствие бесперебойного водоснабжения. Молодой заместитель председателя горисполкома предлагает ускорить строительство водопровода, проведя его через поселок "Шанхай", самовольно застроенный людьми, тем самым лишая сотни семей крова.</t>
        </is>
      </c>
      <c r="L5683" s="2" t="inlineStr">
        <is>
          <t>Кино_СССР сводный каталог.xlsx: список телефильмов</t>
        </is>
      </c>
      <c r="M5683" s="2">
        <f>HYPERLINK("https://ru.wikipedia.org/w/index.php?search=%D0%A2%D0%B0%D0%B9%D0%BD%D1%8B%D0%B5%20%D0%BC%D0%B8%D0%BB%D0%BE%D1%81%D1%82%D0%B8%201989%20%D1%84%D0%B8%D0%BB%D1%8C%D0%BC","искать")</f>
        <v/>
      </c>
      <c r="N5683" s="3" t="n"/>
      <c r="O5683" s="2" t="n"/>
      <c r="P5683" s="2" t="n"/>
    </row>
    <row r="5684">
      <c r="A5684" s="2" t="n">
        <v>5683</v>
      </c>
      <c r="B5684" s="2" t="inlineStr"/>
      <c r="C5684" s="2" t="n">
        <v>9496</v>
      </c>
      <c r="D5684" s="3" t="inlineStr">
        <is>
          <t>Не помню лица твоего</t>
        </is>
      </c>
      <c r="E5684" s="2" t="n">
        <v>1988</v>
      </c>
      <c r="F5684" s="2" t="inlineStr">
        <is>
          <t>кинофильм</t>
        </is>
      </c>
      <c r="G5684" s="2" t="n"/>
      <c r="H5684" s="2" t="n">
        <v>364</v>
      </c>
      <c r="I5684" s="2" t="inlineStr"/>
      <c r="J5684" s="2" t="inlineStr"/>
      <c r="K5684" s="3" t="inlineStr">
        <is>
          <t>История первой любви, настигшей героев в санатории для подростков, страдающих сердечными заболеваниями — на самом деле, не главное событие сюжета. Фильм — о том, как авторитарный режим стремится подавить — и подавляет — любое человеческое стремление к вольности. В чем оно проявляется — в любви ли, в чтении недозволенных книг, в экстравагантной одежде — не важно.</t>
        </is>
      </c>
      <c r="L5684" s="2" t="inlineStr">
        <is>
          <t>Кино_СССР сводный каталог.xlsx: список фильмов (доп.)</t>
        </is>
      </c>
      <c r="M5684" s="2">
        <f>HYPERLINK("https://ru.wikipedia.org/w/index.php?search=%D0%9D%D0%B5%20%D0%BF%D0%BE%D0%BC%D0%BD%D1%8E%20%D0%BB%D0%B8%D1%86%D0%B0%20%D1%82%D0%B2%D0%BE%D0%B5%D0%B3%D0%BE%201988%20%D1%84%D0%B8%D0%BB%D1%8C%D0%BC","искать")</f>
        <v/>
      </c>
      <c r="N5684" s="3" t="n"/>
      <c r="O5684" s="2" t="n"/>
      <c r="P5684" s="2" t="n"/>
    </row>
    <row r="5685">
      <c r="A5685" s="2" t="n">
        <v>5684</v>
      </c>
      <c r="B5685" s="2" t="inlineStr"/>
      <c r="C5685" s="2" t="n">
        <v>10415</v>
      </c>
      <c r="D5685" s="3" t="inlineStr">
        <is>
          <t>Принцесса Турандот</t>
        </is>
      </c>
      <c r="E5685" s="2" t="n">
        <v>1971</v>
      </c>
      <c r="F5685" s="2" t="inlineStr">
        <is>
          <t>фильм-спектакль</t>
        </is>
      </c>
      <c r="G5685" s="2" t="inlineStr">
        <is>
          <t>Гл. ред. лит-драм программ</t>
        </is>
      </c>
      <c r="H5685" s="2" t="n">
        <v>364</v>
      </c>
      <c r="I5685" s="2" t="inlineStr"/>
      <c r="J5685" s="2" t="inlineStr"/>
      <c r="K5685" s="3" t="inlineStr">
        <is>
          <t>По сказке Карло Гоцци
Запись с экрана кинескопа спектакля театра им. Вахтангова, поставленного в 1922 году Евгением Вахтанговым и восстановленного Рубеном Симоновым. Спектакль в 3-х действиях, 6 картинах.
Комедия о любви принца Калафа к принцессе Турандот. Спектакль ведут четыре традиционные маски итальянской комедии: Бригелла, Труффальдино, Тарталья, Пантолоне.</t>
        </is>
      </c>
      <c r="L5685" s="2" t="inlineStr">
        <is>
          <t>https://www.kino-teatr.ru/teatr/movie/5688/annot/</t>
        </is>
      </c>
      <c r="M5685" s="2">
        <f>HYPERLINK("https://ru.wikipedia.org/w/index.php?search=%D0%9F%D1%80%D0%B8%D0%BD%D1%86%D0%B5%D1%81%D1%81%D0%B0%20%D0%A2%D1%83%D1%80%D0%B0%D0%BD%D0%B4%D0%BE%D1%82%201971%20%D1%84%D0%B8%D0%BB%D1%8C%D0%BC","искать")</f>
        <v/>
      </c>
      <c r="N5685" s="3" t="n"/>
      <c r="O5685" s="2" t="n"/>
      <c r="P5685" s="2" t="n"/>
    </row>
    <row r="5686">
      <c r="A5686" s="2" t="n">
        <v>5685</v>
      </c>
      <c r="B5686" s="2" t="inlineStr"/>
      <c r="C5686" s="2" t="n">
        <v>7512</v>
      </c>
      <c r="D5686" s="3" t="inlineStr">
        <is>
          <t>Джура - охотник из Мин-Архара</t>
        </is>
      </c>
      <c r="E5686" s="2" t="n">
        <v>1985</v>
      </c>
      <c r="F5686" s="2" t="inlineStr">
        <is>
          <t>телефильм</t>
        </is>
      </c>
      <c r="G5686" s="2" t="n"/>
      <c r="H5686" s="2" t="n">
        <v>365</v>
      </c>
      <c r="I5686" s="2" t="inlineStr"/>
      <c r="J5686" s="2" t="inlineStr"/>
      <c r="K5686" s="3" t="inlineStr">
        <is>
          <t>По мотива романа Георгия Тушкана "Джура". События фильма происходят в Туркестане в 1928 году. Высоко в горах Памира затерялся кишлак Мин-Архар. Неподалеку от него пролегла тропа, по которой из-за границы проникают на советскую территорию басмачи и контрабандисты. Молодой охотник Джура и его возлюбленная Зейнаб помогают пограничникам сорвать их преступные замыслы.</t>
        </is>
      </c>
      <c r="L5686" s="2" t="inlineStr">
        <is>
          <t>Кино_СССР сводный каталог.xlsx: список телефильмов</t>
        </is>
      </c>
      <c r="M5686" s="2">
        <f>HYPERLINK("https://ru.wikipedia.org/w/index.php?search=%D0%94%D0%B6%D1%83%D1%80%D0%B0%20-%20%D0%BE%D1%85%D0%BE%D1%82%D0%BD%D0%B8%D0%BA%20%D0%B8%D0%B7%20%D0%9C%D0%B8%D0%BD-%D0%90%D1%80%D1%85%D0%B0%D1%80%D0%B0%201985%20%D1%84%D0%B8%D0%BB%D1%8C%D0%BC","искать")</f>
        <v/>
      </c>
      <c r="N5686" s="3" t="n"/>
      <c r="O5686" s="2" t="n"/>
      <c r="P5686" s="2" t="n"/>
    </row>
    <row r="5687">
      <c r="A5687" s="2" t="n">
        <v>5686</v>
      </c>
      <c r="B5687" s="2" t="inlineStr"/>
      <c r="C5687" s="2" t="n">
        <v>7675</v>
      </c>
      <c r="D5687" s="3" t="inlineStr">
        <is>
          <t>Игра хамелеона</t>
        </is>
      </c>
      <c r="E5687" s="2" t="n">
        <v>1986</v>
      </c>
      <c r="F5687" s="2" t="inlineStr">
        <is>
          <t>телефильм</t>
        </is>
      </c>
      <c r="G5687" s="2" t="n"/>
      <c r="H5687" s="2" t="n">
        <v>365</v>
      </c>
      <c r="I5687" s="2" t="inlineStr"/>
      <c r="J5687" s="2" t="inlineStr"/>
      <c r="K5687" s="3" t="inlineStr">
        <is>
          <t>По мотивам пьесы французского писателя Ж.-П.Сартра "Только правда". Париж, 1955 год. Мошенник Жорж де Валера, скрывающийся от полиции, с помощью корреспондента реакционной газеты Сибило выдает себя за министра Дубова, якобы сбежавшего из Советского Союза. Дочь Сибило объясняет Жоржу цель задуманной акции: оклеветать с помощью лже-Дубова прогрессивных журналистов.</t>
        </is>
      </c>
      <c r="L5687" s="2" t="inlineStr">
        <is>
          <t>Кино_СССР сводный каталог.xlsx: список телефильмов</t>
        </is>
      </c>
      <c r="M5687" s="2">
        <f>HYPERLINK("https://ru.wikipedia.org/w/index.php?search=%D0%98%D0%B3%D1%80%D0%B0%20%D1%85%D0%B0%D0%BC%D0%B5%D0%BB%D0%B5%D0%BE%D0%BD%D0%B0%201986%20%D1%84%D0%B8%D0%BB%D1%8C%D0%BC","искать")</f>
        <v/>
      </c>
      <c r="N5687" s="3" t="n"/>
      <c r="O5687" s="2" t="n"/>
      <c r="P5687" s="2" t="n"/>
    </row>
    <row r="5688">
      <c r="A5688" s="2" t="n">
        <v>5687</v>
      </c>
      <c r="B5688" s="2" t="inlineStr"/>
      <c r="C5688" s="2" t="n">
        <v>7725</v>
      </c>
      <c r="D5688" s="3" t="inlineStr">
        <is>
          <t>Каштанка</t>
        </is>
      </c>
      <c r="E5688" s="2" t="n">
        <v>1975</v>
      </c>
      <c r="F5688" s="2" t="inlineStr">
        <is>
          <t>телефильм</t>
        </is>
      </c>
      <c r="G5688" s="2" t="n"/>
      <c r="H5688" s="2" t="n">
        <v>365</v>
      </c>
      <c r="I5688" s="2" t="inlineStr"/>
      <c r="J5688" s="2" t="inlineStr"/>
      <c r="K5688" s="3" t="inlineStr">
        <is>
          <t>Телефильм. Экранизация известного рассказа А.П.Чехова о путешествиях и приключениях заблудившейся собаки. Рассказывает исполнитель одной из ролей Лев Дуров: "Встреча с героями Чехова- всегда большая радость и творческое наслаждение для каждого актера. И в то же время большая ответственность, тем более когда речь идет об экранизации хорошо известного произведения.</t>
        </is>
      </c>
      <c r="L5688" s="2" t="inlineStr">
        <is>
          <t>Кино_СССР сводный каталог.xlsx: список телефильмов</t>
        </is>
      </c>
      <c r="M5688" s="2">
        <f>HYPERLINK("https://ru.wikipedia.org/w/index.php?search=%D0%9A%D0%B0%D1%88%D1%82%D0%B0%D0%BD%D0%BA%D0%B0%201975%20%D1%84%D0%B8%D0%BB%D1%8C%D0%BC","искать")</f>
        <v/>
      </c>
      <c r="N5688" s="3" t="n"/>
      <c r="O5688" s="2" t="n"/>
      <c r="P5688" s="2" t="n"/>
    </row>
    <row r="5689">
      <c r="A5689" s="2" t="n">
        <v>5688</v>
      </c>
      <c r="B5689" s="2" t="inlineStr"/>
      <c r="C5689" s="2" t="n">
        <v>9471</v>
      </c>
      <c r="D5689" s="3" t="inlineStr">
        <is>
          <t>Место убийцы вакантно...</t>
        </is>
      </c>
      <c r="E5689" s="2" t="n">
        <v>1990</v>
      </c>
      <c r="F5689" s="2" t="inlineStr">
        <is>
          <t>кинофильм</t>
        </is>
      </c>
      <c r="G5689" s="2" t="n"/>
      <c r="H5689" s="2" t="n">
        <v>365</v>
      </c>
      <c r="I5689" s="2" t="inlineStr"/>
      <c r="J5689" s="2" t="inlineStr"/>
      <c r="K5689" s="3" t="inlineStr">
        <is>
          <t>В провинциальном городе появляется опасный маньяк, охотящийся за женщинами. На его счету уже несколько жертв. Милиция, встревоженная паникой в городе, понимает, что необходимо как-то действовать. И вот схвачены ни в чем не повинные люди, кто-то из них уже ждет расстрела, кто-то на очереди. Молодой следователь, главный герой картины, вступает в схватку с системой.</t>
        </is>
      </c>
      <c r="L5689" s="2" t="inlineStr">
        <is>
          <t>Кино_СССР сводный каталог.xlsx: список фильмов (доп.)</t>
        </is>
      </c>
      <c r="M5689" s="2">
        <f>HYPERLINK("https://ru.wikipedia.org/w/index.php?search=%D0%9C%D0%B5%D1%81%D1%82%D0%BE%20%D1%83%D0%B1%D0%B8%D0%B9%D1%86%D1%8B%20%D0%B2%D0%B0%D0%BA%D0%B0%D0%BD%D1%82%D0%BD%D0%BE...%201990%20%D1%84%D0%B8%D0%BB%D1%8C%D0%BC","искать")</f>
        <v/>
      </c>
      <c r="N5689" s="3" t="n"/>
      <c r="O5689" s="2" t="n"/>
      <c r="P5689" s="2" t="n"/>
    </row>
    <row r="5690">
      <c r="A5690" s="2" t="n">
        <v>5689</v>
      </c>
      <c r="B5690" s="2" t="inlineStr"/>
      <c r="C5690" s="2" t="n">
        <v>9684</v>
      </c>
      <c r="D5690" s="3" t="inlineStr">
        <is>
          <t>Такси-блюз</t>
        </is>
      </c>
      <c r="E5690" s="2" t="n">
        <v>1990</v>
      </c>
      <c r="F5690" s="2" t="inlineStr">
        <is>
          <t>кинофильм</t>
        </is>
      </c>
      <c r="G5690" s="2" t="n"/>
      <c r="H5690" s="2" t="n">
        <v>365</v>
      </c>
      <c r="I5690" s="2" t="inlineStr"/>
      <c r="J5690" s="2" t="inlineStr"/>
      <c r="K5690" s="3" t="inlineStr">
        <is>
          <t>Таксист Иван Шлыков становится невольным свидетелем пьяного загула саксофониста Селиверстова.Он возит богемную компанию по Москве,а в результате клиент скрывается не заплатив.Шлыков находит музыканта и начинается трагическая история их взаимоотношений, в которых-слепая ненависть,неразделенная любовь,отсутствие общего языка и безумная надежда найти этот общий язык</t>
        </is>
      </c>
      <c r="L5690" s="2" t="inlineStr">
        <is>
          <t>https://gosfilmofond.ru/films/251171/</t>
        </is>
      </c>
      <c r="M5690" s="2">
        <f>HYPERLINK("https://ru.wikipedia.org/w/index.php?search=%D0%A2%D0%B0%D0%BA%D1%81%D0%B8-%D0%B1%D0%BB%D1%8E%D0%B7%201990%20%D1%84%D0%B8%D0%BB%D1%8C%D0%BC","искать")</f>
        <v/>
      </c>
      <c r="N5690" s="3" t="n"/>
      <c r="O5690" s="2" t="n"/>
      <c r="P5690" s="2" t="n"/>
    </row>
    <row r="5691">
      <c r="A5691" s="2" t="n">
        <v>5690</v>
      </c>
      <c r="B5691" s="2" t="inlineStr"/>
      <c r="C5691" s="2" t="n">
        <v>9953</v>
      </c>
      <c r="D5691" s="3" t="inlineStr">
        <is>
          <t>Зигзаг</t>
        </is>
      </c>
      <c r="E5691" s="2" t="n">
        <v>1980</v>
      </c>
      <c r="F5691" s="2" t="inlineStr">
        <is>
          <t>кинофильм</t>
        </is>
      </c>
      <c r="G5691" s="2" t="inlineStr">
        <is>
          <t>Одесская киностудия</t>
        </is>
      </c>
      <c r="H5691" s="2" t="n">
        <v>365</v>
      </c>
      <c r="I5691" s="2" t="inlineStr"/>
      <c r="J5691" s="2" t="inlineStr"/>
      <c r="K5691" s="3" t="inlineStr">
        <is>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
(По заказу Гостелерадио СССР).</t>
        </is>
      </c>
      <c r="L5691" s="2" t="inlineStr">
        <is>
          <t>https://www.kino-teatr.ru/short/movie/sov/2487/annot/</t>
        </is>
      </c>
      <c r="M5691" s="2">
        <f>HYPERLINK("https://ru.wikipedia.org/w/index.php?search=%D0%97%D0%B8%D0%B3%D0%B7%D0%B0%D0%B3%201980%20%D1%84%D0%B8%D0%BB%D1%8C%D0%BC","искать")</f>
        <v/>
      </c>
      <c r="N5691" s="3" t="n"/>
      <c r="O5691" s="2" t="n"/>
      <c r="P5691" s="2" t="n"/>
    </row>
    <row r="5692">
      <c r="A5692" s="2" t="n">
        <v>5691</v>
      </c>
      <c r="B5692" s="2" t="inlineStr"/>
      <c r="C5692" s="2" t="n">
        <v>11469</v>
      </c>
      <c r="D5692" s="3" t="inlineStr">
        <is>
          <t>Белая шкурка</t>
        </is>
      </c>
      <c r="E5692" s="2" t="n">
        <v>1968</v>
      </c>
      <c r="F5692" s="2" t="inlineStr">
        <is>
          <t>мультфильм</t>
        </is>
      </c>
      <c r="G5692" s="2" t="inlineStr">
        <is>
          <t>Союзмультфильм</t>
        </is>
      </c>
      <c r="H5692" s="2" t="n">
        <v>365</v>
      </c>
      <c r="I5692" s="2" t="inlineStr"/>
      <c r="J5692" s="2" t="inlineStr"/>
      <c r="K5692" s="3" t="inlineStr">
        <is>
          <t>Все мышки как мышки - серые, а одна белая. Массу хлопот доставляет ей белая шкурка. То мышата отказываются с ней играть, то принимают ее за повара, то за прикмахера, то за доктора. Но когда кот-хулиган погнался за мышками, белая мышка остановила его и тот, удивленный ее видом, отступил. После этого смелого поступка все мышата предлагают ей играть в белого медведя</t>
        </is>
      </c>
      <c r="L5692" s="2" t="inlineStr">
        <is>
          <t>https://gosfilmofond.ru/films/254304/</t>
        </is>
      </c>
      <c r="M5692" s="2">
        <f>HYPERLINK("https://ru.wikipedia.org/w/index.php?search=%D0%91%D0%B5%D0%BB%D0%B0%D1%8F%20%D1%88%D0%BA%D1%83%D1%80%D0%BA%D0%B0%201968%20%D1%84%D0%B8%D0%BB%D1%8C%D0%BC","искать")</f>
        <v/>
      </c>
      <c r="N5692" s="3" t="n"/>
      <c r="O5692" s="2" t="n"/>
      <c r="P5692" s="2" t="n"/>
    </row>
    <row r="5693">
      <c r="A5693" s="2" t="n">
        <v>5692</v>
      </c>
      <c r="B5693" s="2" t="inlineStr"/>
      <c r="C5693" s="2" t="n">
        <v>12343</v>
      </c>
      <c r="D5693" s="3" t="inlineStr">
        <is>
          <t>ВРЕМЯ, НАЗАД! ("Фитиль" N 83)</t>
        </is>
      </c>
      <c r="E5693" s="2" t="n">
        <v>1969</v>
      </c>
      <c r="F5693" s="2" t="inlineStr">
        <is>
          <t>мультфильм</t>
        </is>
      </c>
      <c r="G5693" s="2" t="inlineStr">
        <is>
          <t>КИЕВНАУЧФИЛЬМ</t>
        </is>
      </c>
      <c r="H5693" s="2" t="n">
        <v>365</v>
      </c>
      <c r="I5693" s="2" t="inlineStr"/>
      <c r="J5693" s="2" t="inlineStr"/>
      <c r="K5693" s="3" t="inlineStr">
        <is>
          <t>Начальник приветствует изобретателя, придумавшего ракету-такси; но когда от уходит, он по трафарету обрезает чертеж- и готов плакат-"Изобретатель, твори!". Средневековый рыцарь создал телескоп-с ним было тоже самое. Первобытный человек высек огонь,хотел начальник и это под трафарет, по пламя спалило всю цивилизацию и остается начальник один на один с обезьянами..</t>
        </is>
      </c>
      <c r="L5693" s="2" t="inlineStr">
        <is>
          <t>https://gosfilmofond.ru/films/251561/</t>
        </is>
      </c>
      <c r="M5693" s="2">
        <f>HYPERLINK("https://ru.wikipedia.org/w/index.php?search=%D0%92%D0%A0%D0%95%D0%9C%D0%AF%2C%20%D0%9D%D0%90%D0%97%D0%90%D0%94%21%20%28%22%D0%A4%D0%B8%D1%82%D0%B8%D0%BB%D1%8C%22%20N%2083%29%201969%20%D1%84%D0%B8%D0%BB%D1%8C%D0%BC","искать")</f>
        <v/>
      </c>
      <c r="N5693" s="3" t="n"/>
      <c r="O5693" s="2" t="n"/>
      <c r="P5693" s="2" t="n"/>
    </row>
    <row r="5694">
      <c r="A5694" s="2" t="n">
        <v>5693</v>
      </c>
      <c r="B5694" s="2" t="inlineStr"/>
      <c r="C5694" s="2" t="n">
        <v>8425</v>
      </c>
      <c r="D5694" s="3" t="inlineStr">
        <is>
          <t>Табачный капитан</t>
        </is>
      </c>
      <c r="E5694" s="2" t="n">
        <v>1972</v>
      </c>
      <c r="F5694" s="2" t="inlineStr">
        <is>
          <t>телефильм</t>
        </is>
      </c>
      <c r="G5694" s="2" t="n"/>
      <c r="H5694" s="2" t="n">
        <v>366</v>
      </c>
      <c r="I5694" s="2" t="inlineStr"/>
      <c r="J5694" s="2" t="inlineStr"/>
      <c r="K5694" s="3" t="inlineStr">
        <is>
          <t>Музыкальная комедия на историческую тему по мотивам одноименной комедии Н.Адуева. Царь Петр Алексеевич отправляет молодого знатного боярина Антона Свиньина вместе с холопом Ивашкой в голландский город Амстердам для обучения "делу навигацкому" и другим точным наукам. Вместо ленивого барчука, с трудом усвоившего пять чужеземных слов, постигал науки сметливый Ивашка.</t>
        </is>
      </c>
      <c r="L5694" s="2" t="inlineStr">
        <is>
          <t>Кино_СССР сводный каталог.xlsx: список телефильмов</t>
        </is>
      </c>
      <c r="M5694" s="2">
        <f>HYPERLINK("https://ru.wikipedia.org/w/index.php?search=%D0%A2%D0%B0%D0%B1%D0%B0%D1%87%D0%BD%D1%8B%D0%B9%20%D0%BA%D0%B0%D0%BF%D0%B8%D1%82%D0%B0%D0%BD%201972%20%D1%84%D0%B8%D0%BB%D1%8C%D0%BC","искать")</f>
        <v/>
      </c>
      <c r="N5694" s="3" t="n"/>
      <c r="O5694" s="2" t="n"/>
      <c r="P5694" s="2" t="n"/>
    </row>
    <row r="5695">
      <c r="A5695" s="2" t="n">
        <v>5694</v>
      </c>
      <c r="B5695" s="2" t="inlineStr"/>
      <c r="C5695" s="2" t="n">
        <v>8688</v>
      </c>
      <c r="D5695" s="3" t="inlineStr">
        <is>
          <t>Гулять, так гулять. Стрелять, так стрелять... (киноальманах)</t>
        </is>
      </c>
      <c r="E5695" s="2" t="n">
        <v>1990</v>
      </c>
      <c r="F5695" s="2" t="inlineStr">
        <is>
          <t>кинофильм</t>
        </is>
      </c>
      <c r="G5695" s="2" t="n"/>
      <c r="H5695" s="2" t="n">
        <v>366</v>
      </c>
      <c r="I5695" s="2" t="inlineStr"/>
      <c r="J5695" s="2" t="inlineStr"/>
      <c r="K5695" s="3" t="inlineStr">
        <is>
          <t>Молодой провинциал приехал в Москву купить лекарство для матери. Но куда ни кинь – везде клин: и рецепт оформлен неправильно, и денег не хватает, да еще и ограбили. Куда бедному податься? Один путь ему предложили – стать "проститутом". Легко сказать, а вот сделать. В итоге он попадает в тюрьму, где в это время подходит к концу срок заключения второго героя фильма.</t>
        </is>
      </c>
      <c r="L5695" s="2" t="inlineStr">
        <is>
          <t>Кино_СССР сводный каталог.xlsx: список фильмов (доп.)</t>
        </is>
      </c>
      <c r="M5695" s="2">
        <f>HYPERLINK("https://ru.wikipedia.org/w/index.php?search=%D0%93%D1%83%D0%BB%D1%8F%D1%82%D1%8C%2C%20%D1%82%D0%B0%D0%BA%20%D0%B3%D1%83%D0%BB%D1%8F%D1%82%D1%8C.%20%D0%A1%D1%82%D1%80%D0%B5%D0%BB%D1%8F%D1%82%D1%8C%2C%20%D1%82%D0%B0%D0%BA%20%D1%81%D1%82%D1%80%D0%B5%D0%BB%D1%8F%D1%82%D1%8C...%20%28%D0%BA%D0%B8%D0%BD%D0%BE%D0%B0%D0%BB%D1%8C%D0%BC%D0%B0%D0%BD%D0%B0%D1%85%29%201990%20%D1%84%D0%B8%D0%BB%D1%8C%D0%BC","искать")</f>
        <v/>
      </c>
      <c r="N5695" s="3" t="n"/>
      <c r="O5695" s="2" t="n"/>
      <c r="P5695" s="2" t="n"/>
    </row>
    <row r="5696">
      <c r="A5696" s="2" t="n">
        <v>5695</v>
      </c>
      <c r="B5696" s="2" t="inlineStr"/>
      <c r="C5696" s="2" t="n">
        <v>8814</v>
      </c>
      <c r="D5696" s="3" t="inlineStr">
        <is>
          <t>Маленький человек в большой войне</t>
        </is>
      </c>
      <c r="E5696" s="2" t="n">
        <v>1989</v>
      </c>
      <c r="F5696" s="2" t="inlineStr">
        <is>
          <t>кинофильм</t>
        </is>
      </c>
      <c r="G5696" s="2" t="n"/>
      <c r="H5696" s="2" t="n">
        <v>366</v>
      </c>
      <c r="I5696" s="2" t="inlineStr"/>
      <c r="J5696" s="2" t="inlineStr"/>
      <c r="K5696" s="3" t="inlineStr">
        <is>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is>
      </c>
      <c r="L5696" s="2" t="inlineStr">
        <is>
          <t>Кино_СССР сводный каталог.xlsx: список фильмов (доп.)</t>
        </is>
      </c>
      <c r="M5696" s="2">
        <f>HYPERLINK("https://ru.wikipedia.org/w/index.php?search=%D0%9C%D0%B0%D0%BB%D0%B5%D0%BD%D1%8C%D0%BA%D0%B8%D0%B9%20%D1%87%D0%B5%D0%BB%D0%BE%D0%B2%D0%B5%D0%BA%20%D0%B2%20%D0%B1%D0%BE%D0%BB%D1%8C%D1%88%D0%BE%D0%B9%20%D0%B2%D0%BE%D0%B9%D0%BD%D0%B5%201989%20%D1%84%D0%B8%D0%BB%D1%8C%D0%BC","искать")</f>
        <v/>
      </c>
      <c r="N5696" s="3" t="n"/>
      <c r="O5696" s="2" t="n"/>
      <c r="P5696" s="2" t="n"/>
    </row>
    <row r="5697">
      <c r="A5697" s="2" t="n">
        <v>5696</v>
      </c>
      <c r="B5697" s="2" t="inlineStr"/>
      <c r="C5697" s="2" t="n">
        <v>9648</v>
      </c>
      <c r="D5697" s="3" t="inlineStr">
        <is>
          <t>След сокола</t>
        </is>
      </c>
      <c r="E5697" s="2" t="n">
        <v>1967</v>
      </c>
      <c r="F5697" s="2" t="inlineStr">
        <is>
          <t>кинофильм</t>
        </is>
      </c>
      <c r="G5697" s="2" t="n"/>
      <c r="H5697" s="2" t="n">
        <v>366</v>
      </c>
      <c r="I5697" s="2" t="inlineStr"/>
      <c r="J5697" s="2" t="inlineStr"/>
      <c r="K5697" s="3" t="inlineStr">
        <is>
          <t>Время действия - 1876 год. Когда-то жители городка Тенглвуд заключили соглашение с индейцами о ненападении. Местный торговец Сэм Блейк (Хельмут Шрайбер), активный сторонник миролюбивых отношений, обрел в лице индейцев своих лучших клиентов. Однако ситуация меняется, когда недалеко от города, на индейской территории Блекхилл, старатели находят месторождение золота.</t>
        </is>
      </c>
      <c r="L5697" s="2" t="inlineStr">
        <is>
          <t>Кино_СССР сводный каталог.xlsx: список фильмов (доп.)</t>
        </is>
      </c>
      <c r="M5697" s="2">
        <f>HYPERLINK("https://ru.wikipedia.org/w/index.php?search=%D0%A1%D0%BB%D0%B5%D0%B4%20%D1%81%D0%BE%D0%BA%D0%BE%D0%BB%D0%B0%201967%20%D1%84%D0%B8%D0%BB%D1%8C%D0%BC","искать")</f>
        <v/>
      </c>
      <c r="N5697" s="3" t="n"/>
      <c r="O5697" s="2" t="n"/>
      <c r="P5697" s="2" t="n"/>
    </row>
    <row r="5698">
      <c r="A5698" s="2" t="n">
        <v>5697</v>
      </c>
      <c r="B5698" s="2" t="inlineStr"/>
      <c r="C5698" s="2" t="n">
        <v>10573</v>
      </c>
      <c r="D5698" s="3" t="inlineStr">
        <is>
          <t>Невольницы</t>
        </is>
      </c>
      <c r="E5698" s="2" t="n">
        <v>1974</v>
      </c>
      <c r="F5698" s="2" t="inlineStr">
        <is>
          <t>фильм-спектакль</t>
        </is>
      </c>
      <c r="G5698" s="2" t="inlineStr">
        <is>
          <t>Главная редакция литературно-драматических программ ЦТ</t>
        </is>
      </c>
      <c r="H5698" s="2" t="n">
        <v>366</v>
      </c>
      <c r="I5698" s="2" t="inlineStr"/>
      <c r="J5698" s="2" t="inlineStr"/>
      <c r="K5698" s="3" t="inlineStr">
        <is>
          <t>Фильм-спектакль по одноименной пьесе А.Н.Островского в постановке Московского драматического театра имени А.С.Пушкина.
Старый муж — молодая жена. А уж купленная она или сама за него пошла по расчету — пусть сами разбираются. Вот они и разбираются - проходящая в сжатые сроки большую жизненную школу Евлалия и уже давно закончившая свои семейные «университеты» Софья.</t>
        </is>
      </c>
      <c r="L5698" s="2" t="inlineStr">
        <is>
          <t>https://www.kino-teatr.ru/teatr/movie/79521/annot/</t>
        </is>
      </c>
      <c r="M5698" s="2">
        <f>HYPERLINK("https://ru.wikipedia.org/w/index.php?search=%D0%9D%D0%B5%D0%B2%D0%BE%D0%BB%D1%8C%D0%BD%D0%B8%D1%86%D1%8B%201974%20%D1%84%D0%B8%D0%BB%D1%8C%D0%BC","искать")</f>
        <v/>
      </c>
      <c r="N5698" s="3" t="n"/>
      <c r="O5698" s="2" t="n"/>
      <c r="P5698" s="2" t="n"/>
    </row>
    <row r="5699">
      <c r="A5699" s="2" t="n">
        <v>5698</v>
      </c>
      <c r="B5699" s="2" t="inlineStr"/>
      <c r="C5699" s="2" t="n">
        <v>10597</v>
      </c>
      <c r="D5699" s="3" t="inlineStr">
        <is>
          <t>Барабанщица</t>
        </is>
      </c>
      <c r="E5699" s="2" t="n">
        <v>1975</v>
      </c>
      <c r="F5699" s="2" t="inlineStr">
        <is>
          <t>фильм-спектакль</t>
        </is>
      </c>
      <c r="G5699" s="2" t="n"/>
      <c r="H5699" s="2" t="n">
        <v>366</v>
      </c>
      <c r="I5699" s="2" t="inlineStr"/>
      <c r="J5699" s="2" t="inlineStr"/>
      <c r="K5699" s="3" t="inlineStr">
        <is>
          <t>По одноименной пьесе А.Салынского в постановке Центрального академического театра Советской Армии.
О подвиге разведчицы Нилы Снежко в годы Великой Отечественной войны. Роль главной героини, Нилы Снежко, была мечтой многих актрис. В спектаклях поставленных на сцене Центрального театра Советской Армии её сыграла, после Л. Фетисовой и Л. Касаткиной, Алина Покровская.</t>
        </is>
      </c>
      <c r="L5699" s="2" t="inlineStr">
        <is>
          <t>https://www.kino-teatr.ru/teatr/movie/81385/annot/</t>
        </is>
      </c>
      <c r="M5699" s="2">
        <f>HYPERLINK("https://ru.wikipedia.org/w/index.php?search=%D0%91%D0%B0%D1%80%D0%B0%D0%B1%D0%B0%D0%BD%D1%89%D0%B8%D1%86%D0%B0%201975%20%D1%84%D0%B8%D0%BB%D1%8C%D0%BC","искать")</f>
        <v/>
      </c>
      <c r="N5699" s="3" t="n"/>
      <c r="O5699" s="2" t="n"/>
      <c r="P5699" s="2" t="n"/>
    </row>
    <row r="5700">
      <c r="A5700" s="2" t="n">
        <v>5699</v>
      </c>
      <c r="B5700" s="2" t="inlineStr"/>
      <c r="C5700" s="2" t="n">
        <v>11383</v>
      </c>
      <c r="D5700" s="3" t="inlineStr">
        <is>
          <t>Утро туманное</t>
        </is>
      </c>
      <c r="E5700" s="2" t="n">
        <v>1987</v>
      </c>
      <c r="F5700" s="2" t="inlineStr">
        <is>
          <t>не игровое</t>
        </is>
      </c>
      <c r="G5700" s="2" t="n"/>
      <c r="H5700" s="2" t="n">
        <v>366</v>
      </c>
      <c r="I5700" s="2" t="inlineStr"/>
      <c r="J5700" s="2" t="inlineStr"/>
      <c r="K5700" s="3" t="inlineStr">
        <is>
          <t>Фильм-концерт. Идет запись в студии, звучат романсы, посвященные любви. Перед нами возникает старинная усадьба, старинный интерьер, прелестные женские головки на старинных портретах. Их сменяют лица артистов, сидящих в студии. Что видится им – красота окружающей природы, уезжающая вдаль тройка, заснеженные поля, деревеньки под снегом, стоящий в морозной дымке лес.</t>
        </is>
      </c>
      <c r="L5700" s="2" t="inlineStr">
        <is>
          <t>Кино_СССР телефильмы и пропуски включить в базу.xlsx</t>
        </is>
      </c>
      <c r="M5700" s="2">
        <f>HYPERLINK("https://ru.wikipedia.org/w/index.php?search=%D0%A3%D1%82%D1%80%D0%BE%20%D1%82%D1%83%D0%BC%D0%B0%D0%BD%D0%BD%D0%BE%D0%B5%201987%20%D1%84%D0%B8%D0%BB%D1%8C%D0%BC","искать")</f>
        <v/>
      </c>
      <c r="N5700" s="3" t="n"/>
      <c r="O5700" s="2" t="n"/>
      <c r="P5700" s="2" t="n"/>
    </row>
    <row r="5701">
      <c r="A5701" s="2" t="n">
        <v>5700</v>
      </c>
      <c r="B5701" s="2" t="inlineStr"/>
      <c r="C5701" s="2" t="n">
        <v>11418</v>
      </c>
      <c r="D5701" s="3" t="inlineStr">
        <is>
          <t>Гордый кораблик</t>
        </is>
      </c>
      <c r="E5701" s="2" t="n">
        <v>1966</v>
      </c>
      <c r="F5701" s="2" t="inlineStr">
        <is>
          <t>мультфильм</t>
        </is>
      </c>
      <c r="G5701" s="2" t="inlineStr">
        <is>
          <t>Союзмультфильм</t>
        </is>
      </c>
      <c r="H5701" s="2" t="n">
        <v>366</v>
      </c>
      <c r="I5701" s="2" t="inlineStr"/>
      <c r="J5701" s="2" t="inlineStr"/>
      <c r="K5701" s="3" t="inlineStr">
        <is>
          <t>Трое ребят смастерили кораблик, назвали его "Аврора" и путили вплавь по морям-океанам. Много опасностей подстерегает кораблик. То подводная лодка с черным флагом хочет его потопить, то буря выбрасывает его на берег. Но добрые люди из разных стран не дают кораблик в обиду. И никакие козни враждебных сил не в силах помешать "Авроре" передать привет всем друзьям СССР</t>
        </is>
      </c>
      <c r="L5701" s="2" t="inlineStr">
        <is>
          <t>https://gosfilmofond.ru/films/254223/</t>
        </is>
      </c>
      <c r="M5701" s="2">
        <f>HYPERLINK("https://ru.wikipedia.org/w/index.php?search=%D0%93%D0%BE%D1%80%D0%B4%D1%8B%D0%B9%20%D0%BA%D0%BE%D1%80%D0%B0%D0%B1%D0%BB%D0%B8%D0%BA%201966%20%D1%84%D0%B8%D0%BB%D1%8C%D0%BC","искать")</f>
        <v/>
      </c>
      <c r="N5701" s="3" t="n"/>
      <c r="O5701" s="2" t="n"/>
      <c r="P5701" s="2" t="n"/>
    </row>
    <row r="5702">
      <c r="A5702" s="2" t="n">
        <v>5701</v>
      </c>
      <c r="B5702" s="2" t="inlineStr"/>
      <c r="C5702" s="2" t="n">
        <v>11530</v>
      </c>
      <c r="D5702" s="3" t="inlineStr">
        <is>
          <t>Фальшивая нота</t>
        </is>
      </c>
      <c r="E5702" s="2" t="n">
        <v>1969</v>
      </c>
      <c r="F5702" s="2" t="inlineStr">
        <is>
          <t>мультфильм</t>
        </is>
      </c>
      <c r="G5702" s="2" t="inlineStr">
        <is>
          <t>Союзмультфильм</t>
        </is>
      </c>
      <c r="H5702" s="2" t="n">
        <v>366</v>
      </c>
      <c r="I5702" s="2" t="inlineStr"/>
      <c r="J5702" s="2" t="inlineStr"/>
      <c r="K5702" s="3" t="inlineStr">
        <is>
          <t>Мелодично льются звуки оркестра; танцуют пары. И вдруг из трубы одного музыканта вылетает фальшивая нота; она прыгает по инструментам, расстраивая игру оркестра. Среди музыкантов возникает потасовка. А злодейка уже гуляет по городу, сея раздор и смятение. Помог людям флюгер-петух, он проглотил фальшивую ноту. Вновь заиграл оркестр, закружились в танце веселые пары</t>
        </is>
      </c>
      <c r="L5702" s="2" t="inlineStr">
        <is>
          <t>https://gosfilmofond.ru/films/254777/</t>
        </is>
      </c>
      <c r="M5702" s="2">
        <f>HYPERLINK("https://ru.wikipedia.org/w/index.php?search=%D0%A4%D0%B0%D0%BB%D1%8C%D1%88%D0%B8%D0%B2%D0%B0%D1%8F%20%D0%BD%D0%BE%D1%82%D0%B0%201969%20%D1%84%D0%B8%D0%BB%D1%8C%D0%BC","искать")</f>
        <v/>
      </c>
      <c r="N5702" s="3" t="n"/>
      <c r="O5702" s="2" t="n"/>
      <c r="P5702" s="2" t="n"/>
    </row>
    <row r="5703">
      <c r="A5703" s="2" t="n">
        <v>5702</v>
      </c>
      <c r="B5703" s="2" t="inlineStr"/>
      <c r="C5703" s="2" t="n">
        <v>8157</v>
      </c>
      <c r="D5703" s="3" t="inlineStr">
        <is>
          <t>Полынь</t>
        </is>
      </c>
      <c r="E5703" s="2" t="n">
        <v>1986</v>
      </c>
      <c r="F5703" s="2" t="inlineStr">
        <is>
          <t>телефильм</t>
        </is>
      </c>
      <c r="G5703" s="2" t="n"/>
      <c r="H5703" s="2" t="n">
        <v>367</v>
      </c>
      <c r="I5703" s="2" t="inlineStr"/>
      <c r="J5703" s="2" t="inlineStr"/>
      <c r="K5703" s="3" t="inlineStr">
        <is>
          <t>По мотивам одноименной повести Дулата Исабекова. Маленький Ергеш хочет помочь больному деду купить дорогие лекарства. Чтобы заработать необходимые деньги, он с городским парнем Омашем собирает полынь для сдачи в аптеку. Характер Ергеша цельный и бескомпромиссный. Он не приемлет обмана. Когда Ергеш узнает, что Омаш ворует собранную другими полынь, то сжигает ее всю.</t>
        </is>
      </c>
      <c r="L5703" s="2" t="inlineStr">
        <is>
          <t>Кино_СССР сводный каталог.xlsx: список телефильмов</t>
        </is>
      </c>
      <c r="M5703" s="2">
        <f>HYPERLINK("https://ru.wikipedia.org/w/index.php?search=%D0%9F%D0%BE%D0%BB%D1%8B%D0%BD%D1%8C%201986%20%D1%84%D0%B8%D0%BB%D1%8C%D0%BC","искать")</f>
        <v/>
      </c>
      <c r="N5703" s="3" t="n"/>
      <c r="O5703" s="2" t="n"/>
      <c r="P5703" s="2" t="n"/>
    </row>
    <row r="5704">
      <c r="A5704" s="2" t="n">
        <v>5703</v>
      </c>
      <c r="B5704" s="2" t="inlineStr"/>
      <c r="C5704" s="2" t="n">
        <v>8210</v>
      </c>
      <c r="D5704" s="3" t="inlineStr">
        <is>
          <t>Приключения Тома Сойера и Гекльберри Финна</t>
        </is>
      </c>
      <c r="E5704" s="2" t="n">
        <v>1981</v>
      </c>
      <c r="F5704" s="2" t="inlineStr">
        <is>
          <t>телефильм</t>
        </is>
      </c>
      <c r="G5704" s="2" t="n"/>
      <c r="H5704" s="2" t="n">
        <v>367</v>
      </c>
      <c r="I5704" s="2" t="inlineStr"/>
      <c r="J5704" s="2" t="inlineStr"/>
      <c r="K5704" s="3" t="inlineStr">
        <is>
          <t>Действие происходит в городке Санкт-Петербург на реке Миссисипи в середине XIX века, до начала Гражданской войны. Сирота Том Сойер, воспитывающийся тёткой, и его верный друг беспризорник Гекльберри Финн ищут приключений. Ночью на кладбище они становятся свидетелями убийства, совершённого Индейцем Джо, с которым им позже ещё раз придётся столкнуться в поисках клада.</t>
        </is>
      </c>
      <c r="L5704" s="2" t="inlineStr">
        <is>
          <t>https://ru.wikipedia.org/w/index.php?title=%D0%9F%D1%80%D0%B8%D0%BA%D0%BB%D1%8E%D1%87%D0%B5%D0%BD%D0%B8%D1%8F_%D0%A2%D0%BE%D0%BC%D0%B0_%D0%A1%D0%BE%D0%B9%D0%B5%D1%80%D0%B0_%D0%B8_%D0%93%D0%B5%D0%BA%D0%BB%D1%8C%D0%B1%D0%B5%D1%80%D1%80%D0%B8_%D0%A4%D0%B8%D0%BD%D0%BD%D0%B0&amp;oldid=153841476</t>
        </is>
      </c>
      <c r="M5704" s="2">
        <f>HYPERLINK("https://ru.wikipedia.org/w/index.php?search=%D0%9F%D1%80%D0%B8%D0%BA%D0%BB%D1%8E%D1%87%D0%B5%D0%BD%D0%B8%D1%8F%20%D0%A2%D0%BE%D0%BC%D0%B0%20%D0%A1%D0%BE%D0%B9%D0%B5%D1%80%D0%B0%20%D0%B8%20%D0%93%D0%B5%D0%BA%D0%BB%D1%8C%D0%B1%D0%B5%D1%80%D1%80%D0%B8%20%D0%A4%D0%B8%D0%BD%D0%BD%D0%B0%201981%20%D1%84%D0%B8%D0%BB%D1%8C%D0%BC","искать")</f>
        <v/>
      </c>
      <c r="N5704" s="3" t="n"/>
      <c r="O5704" s="2" t="n"/>
      <c r="P5704" s="2" t="n"/>
    </row>
    <row r="5705">
      <c r="A5705" s="2" t="n">
        <v>5704</v>
      </c>
      <c r="B5705" s="2" t="inlineStr"/>
      <c r="C5705" s="2" t="n">
        <v>8571</v>
      </c>
      <c r="D5705" s="3" t="inlineStr">
        <is>
          <t>Чужой звонок</t>
        </is>
      </c>
      <c r="E5705" s="2" t="n">
        <v>1985</v>
      </c>
      <c r="F5705" s="2" t="inlineStr">
        <is>
          <t>телефильм</t>
        </is>
      </c>
      <c r="G5705" s="2" t="n"/>
      <c r="H5705" s="2" t="n">
        <v>367</v>
      </c>
      <c r="I5705" s="2" t="inlineStr"/>
      <c r="J5705" s="2" t="inlineStr"/>
      <c r="K5705" s="3" t="inlineStr">
        <is>
          <t>По одноименной повести Екатерины Марковой. Главная героиня – успешная художница Наталья Кузнецова. В юности она предала любимого человека Игоря Турбина, а потом вышла замуж за веселого, беззаботного и удачливого одноклассника Макаркина. И хотя жизнь Натальи внешне благополучна, она никак не может избавиться от болезненных воспоминаний, ее не отпускает чувство вины.</t>
        </is>
      </c>
      <c r="L5705" s="2" t="inlineStr">
        <is>
          <t>Кино_СССР сводный каталог.xlsx: список телефильмов</t>
        </is>
      </c>
      <c r="M5705" s="2">
        <f>HYPERLINK("https://ru.wikipedia.org/w/index.php?search=%D0%A7%D1%83%D0%B6%D0%BE%D0%B9%20%D0%B7%D0%B2%D0%BE%D0%BD%D0%BE%D0%BA%201985%20%D1%84%D0%B8%D0%BB%D1%8C%D0%BC","искать")</f>
        <v/>
      </c>
      <c r="N5705" s="3" t="n"/>
      <c r="O5705" s="2" t="n"/>
      <c r="P5705" s="2" t="n"/>
    </row>
    <row r="5706">
      <c r="A5706" s="2" t="n">
        <v>5705</v>
      </c>
      <c r="B5706" s="2" t="inlineStr"/>
      <c r="C5706" s="2" t="n">
        <v>8623</v>
      </c>
      <c r="D5706" s="3" t="inlineStr">
        <is>
          <t>Ад, или Досье на самого себя</t>
        </is>
      </c>
      <c r="E5706" s="2" t="n">
        <v>1989</v>
      </c>
      <c r="F5706" s="2" t="inlineStr">
        <is>
          <t>кинофильм</t>
        </is>
      </c>
      <c r="G5706" s="2" t="n"/>
      <c r="H5706" s="2" t="n">
        <v>367</v>
      </c>
      <c r="I5706" s="2" t="inlineStr"/>
      <c r="J5706" s="2" t="inlineStr"/>
      <c r="K5706" s="3" t="inlineStr">
        <is>
          <t>В основе сценария лежит автобиографическая повесть Геннадия Беглова. 1948 год. Молодого режиссера Виктора Кострова арестовывают по доносу отца его возлюбленной. Бериевская инквизиция, ужасы лагерной жизни, месть блатных и уголовников - таков фон, на котором действуют герои: садистка-надсмотрщица, лагерный "пахан", запуганная невеста Виктора и ее отец - офицер НКВД.</t>
        </is>
      </c>
      <c r="L5706" s="2" t="inlineStr">
        <is>
          <t>Кино_СССР сводный каталог.xlsx: список фильмов (доп.)</t>
        </is>
      </c>
      <c r="M5706" s="2">
        <f>HYPERLINK("https://ru.wikipedia.org/w/index.php?search=%D0%90%D0%B4%2C%20%D0%B8%D0%BB%D0%B8%20%D0%94%D0%BE%D1%81%D1%8C%D0%B5%20%D0%BD%D0%B0%20%D1%81%D0%B0%D0%BC%D0%BE%D0%B3%D0%BE%20%D1%81%D0%B5%D0%B1%D1%8F%201989%20%D1%84%D0%B8%D0%BB%D1%8C%D0%BC","искать")</f>
        <v/>
      </c>
      <c r="N5706" s="3" t="n"/>
      <c r="O5706" s="2" t="n"/>
      <c r="P5706" s="2" t="n"/>
    </row>
    <row r="5707">
      <c r="A5707" s="2" t="n">
        <v>5706</v>
      </c>
      <c r="B5707" s="2" t="inlineStr"/>
      <c r="C5707" s="2" t="n">
        <v>10133</v>
      </c>
      <c r="D5707" s="3" t="inlineStr">
        <is>
          <t>Фараоны</t>
        </is>
      </c>
      <c r="E5707" s="2" t="n">
        <v>1964</v>
      </c>
      <c r="F5707" s="2" t="inlineStr">
        <is>
          <t>фильм-спектакль</t>
        </is>
      </c>
      <c r="G5707" s="2" t="inlineStr">
        <is>
          <t>Киевская студия телевидения</t>
        </is>
      </c>
      <c r="H5707" s="2" t="n">
        <v>367</v>
      </c>
      <c r="I5707" s="2" t="inlineStr"/>
      <c r="J5707" s="2" t="inlineStr"/>
      <c r="K5707" s="3" t="inlineStr">
        <is>
          <t>Комедийный фильм-спектакль Театра им. Франко по пьесе Олексы Коломийца.
Место действия - обычное село в период советской власти, где все руководящие посты заняты исключительно мужчинами. Но после одной бурной ночи с песнями и большим количеством самогона проснувшиеся мужики обнаруживают, что теперь всем заправляют женщины и ведут они себя точно так же, как мужчины.</t>
        </is>
      </c>
      <c r="L5707" s="2" t="inlineStr">
        <is>
          <t>https://www.kino-teatr.ru/teatr/movie/12717/annot/</t>
        </is>
      </c>
      <c r="M5707" s="2">
        <f>HYPERLINK("https://ru.wikipedia.org/w/index.php?search=%D0%A4%D0%B0%D1%80%D0%B0%D0%BE%D0%BD%D1%8B%201964%20%D1%84%D0%B8%D0%BB%D1%8C%D0%BC","искать")</f>
        <v/>
      </c>
      <c r="N5707" s="3" t="n"/>
      <c r="O5707" s="2" t="n"/>
      <c r="P5707" s="2" t="n"/>
    </row>
    <row r="5708">
      <c r="A5708" s="2" t="n">
        <v>5707</v>
      </c>
      <c r="B5708" s="2" t="inlineStr"/>
      <c r="C5708" s="2" t="n">
        <v>10601</v>
      </c>
      <c r="D5708" s="3" t="inlineStr">
        <is>
          <t>Военные сороковые</t>
        </is>
      </c>
      <c r="E5708" s="2" t="n">
        <v>1975</v>
      </c>
      <c r="F5708" s="2" t="inlineStr">
        <is>
          <t>фильм-спектакль</t>
        </is>
      </c>
      <c r="G5708" s="2" t="inlineStr">
        <is>
          <t>ТО “Экран”</t>
        </is>
      </c>
      <c r="H5708" s="2" t="n">
        <v>367</v>
      </c>
      <c r="I5708" s="2" t="inlineStr"/>
      <c r="J5708" s="2" t="inlineStr"/>
      <c r="K5708" s="3" t="inlineStr">
        <is>
          <t>Фильм третий из цикла "Антология советской песни". В программе песни Н.Богословского, В.Соловьева-Седого, М.Блантера, А.Новикова, М.Табачникова, И.Дунаевского, Е.Петербургского, посвященные Великой Отечественной войне, в исполнении В.Золотухина, О.Даля, Л.Голубкиной, К.Шульженко, П.Глебова, М.Воронцова, В.Абдулова, И.Мирошниченко, М.Ножкина, А.Кузнецова, М.Бернеса.</t>
        </is>
      </c>
      <c r="L5708" s="2" t="inlineStr">
        <is>
          <t>https://www.kino-teatr.ru/teatr/movie/16596/annot/</t>
        </is>
      </c>
      <c r="M5708" s="2">
        <f>HYPERLINK("https://ru.wikipedia.org/w/index.php?search=%D0%92%D0%BE%D0%B5%D0%BD%D0%BD%D1%8B%D0%B5%20%D1%81%D0%BE%D1%80%D0%BE%D0%BA%D0%BE%D0%B2%D1%8B%D0%B5%201975%20%D1%84%D0%B8%D0%BB%D1%8C%D0%BC","искать")</f>
        <v/>
      </c>
      <c r="N5708" s="3" t="n"/>
      <c r="O5708" s="2" t="n"/>
      <c r="P5708" s="2" t="n"/>
    </row>
    <row r="5709">
      <c r="A5709" s="2" t="n">
        <v>5708</v>
      </c>
      <c r="B5709" s="2" t="inlineStr"/>
      <c r="C5709" s="2" t="n">
        <v>7178</v>
      </c>
      <c r="D5709" s="3" t="inlineStr">
        <is>
          <t>"Циклон" начнётся ночью</t>
        </is>
      </c>
      <c r="E5709" s="2" t="n">
        <v>1966</v>
      </c>
      <c r="F5709" s="2" t="inlineStr">
        <is>
          <t>телефильм</t>
        </is>
      </c>
      <c r="G5709" s="2" t="n"/>
      <c r="H5709" s="2" t="n">
        <v>368</v>
      </c>
      <c r="I5709" s="2" t="inlineStr"/>
      <c r="J5709" s="2" t="inlineStr"/>
      <c r="K5709" s="3" t="inlineStr">
        <is>
          <t>Снят по мотивам повести Д. Морозова "Тридцать шесть часов из жизни разведчика". Действие фильма происходит во время Великой Отечественной войны. Советский разведчик Либель похищает немецкого офицера Шварцбрука, которого должны забросить с диверсионной целью в район Карпат. Вместо Шварцбрука Либелю удается отправить на выполнение задания советского разведчика Мишеля.</t>
        </is>
      </c>
      <c r="L5709" s="2" t="inlineStr">
        <is>
          <t>Кино_СССР сводный каталог.xlsx: список телефильмов</t>
        </is>
      </c>
      <c r="M5709" s="2">
        <f>HYPERLINK("https://ru.wikipedia.org/w/index.php?search=%22%D0%A6%D0%B8%D0%BA%D0%BB%D0%BE%D0%BD%22%20%D0%BD%D0%B0%D1%87%D0%BD%D1%91%D1%82%D1%81%D1%8F%20%D0%BD%D0%BE%D1%87%D1%8C%D1%8E%201966%20%D1%84%D0%B8%D0%BB%D1%8C%D0%BC","искать")</f>
        <v/>
      </c>
      <c r="N5709" s="3" t="n"/>
      <c r="O5709" s="2" t="n"/>
      <c r="P5709" s="2" t="n"/>
    </row>
    <row r="5710">
      <c r="A5710" s="2" t="n">
        <v>5709</v>
      </c>
      <c r="B5710" s="2" t="inlineStr"/>
      <c r="C5710" s="2" t="n">
        <v>7672</v>
      </c>
      <c r="D5710" s="3" t="inlineStr">
        <is>
          <t>Игорь Саввович</t>
        </is>
      </c>
      <c r="E5710" s="2" t="n">
        <v>1986</v>
      </c>
      <c r="F5710" s="2" t="inlineStr">
        <is>
          <t>телефильм</t>
        </is>
      </c>
      <c r="G5710" s="2" t="n"/>
      <c r="H5710" s="2" t="n">
        <v>368</v>
      </c>
      <c r="I5710" s="2" t="inlineStr"/>
      <c r="J5710" s="2" t="inlineStr"/>
      <c r="K5710" s="3" t="inlineStr">
        <is>
          <t>Экранизация одноименного романа Виля Липатова. Телефильм повествует о специалистах, занимающихся проблемами экологии сибирских рек и ищущих инженерные решения новых методов лесосплава. А еще это фильм о личных, глубоко драматических взаимоотношениях героев. В свои тридцать лет Игорь Гольцов имеет многое: высокое служебное положение, благоустроенную квартиру, машину.</t>
        </is>
      </c>
      <c r="L5710" s="2" t="inlineStr">
        <is>
          <t>Кино_СССР сводный каталог.xlsx: список телефильмов</t>
        </is>
      </c>
      <c r="M5710" s="2">
        <f>HYPERLINK("https://ru.wikipedia.org/w/index.php?search=%D0%98%D0%B3%D0%BE%D1%80%D1%8C%20%D0%A1%D0%B0%D0%B2%D0%B2%D0%BE%D0%B2%D0%B8%D1%87%201986%20%D1%84%D0%B8%D0%BB%D1%8C%D0%BC","искать")</f>
        <v/>
      </c>
      <c r="N5710" s="3" t="n"/>
      <c r="O5710" s="2" t="n"/>
      <c r="P5710" s="2" t="n"/>
    </row>
    <row r="5711">
      <c r="A5711" s="2" t="n">
        <v>5710</v>
      </c>
      <c r="B5711" s="2" t="inlineStr"/>
      <c r="C5711" s="2" t="n">
        <v>8130</v>
      </c>
      <c r="D5711" s="3" t="inlineStr">
        <is>
          <t>Пограничная тишина</t>
        </is>
      </c>
      <c r="E5711" s="2" t="n">
        <v>1965</v>
      </c>
      <c r="F5711" s="2" t="inlineStr">
        <is>
          <t>телефильм</t>
        </is>
      </c>
      <c r="G5711" s="2" t="n"/>
      <c r="H5711" s="2" t="n">
        <v>368</v>
      </c>
      <c r="I5711" s="2" t="inlineStr"/>
      <c r="J5711" s="2" t="inlineStr"/>
      <c r="K5711" s="3" t="inlineStr">
        <is>
          <t>В пограничном туркменском ауле Заранчи при загадочных обстоятельствах умирает парикмахер. На стене парикмахерской на рекламном портрете клиента появляются неизвестно кем нарисованные усики... Вскоре в аул приезжает новый мастер Калинкин. Усы на портрете он закрашивает... К новому парикмахеру является шофер и предъявляет пароль - подклеенную бумажкой рублёвую купюру.</t>
        </is>
      </c>
      <c r="L5711" s="2" t="inlineStr">
        <is>
          <t>Кино_СССР сводный каталог.xlsx: список телефильмов</t>
        </is>
      </c>
      <c r="M5711" s="2">
        <f>HYPERLINK("https://ru.wikipedia.org/w/index.php?search=%D0%9F%D0%BE%D0%B3%D1%80%D0%B0%D0%BD%D0%B8%D1%87%D0%BD%D0%B0%D1%8F%20%D1%82%D0%B8%D1%88%D0%B8%D0%BD%D0%B0%201965%20%D1%84%D0%B8%D0%BB%D1%8C%D0%BC","искать")</f>
        <v/>
      </c>
      <c r="N5711" s="3" t="n"/>
      <c r="O5711" s="2" t="n"/>
      <c r="P5711" s="2" t="n"/>
    </row>
    <row r="5712">
      <c r="A5712" s="2" t="n">
        <v>5711</v>
      </c>
      <c r="B5712" s="2" t="inlineStr"/>
      <c r="C5712" s="2" t="n">
        <v>8240</v>
      </c>
      <c r="D5712" s="3" t="inlineStr">
        <is>
          <t>Прошедшее вернуть...</t>
        </is>
      </c>
      <c r="E5712" s="2" t="n">
        <v>1988</v>
      </c>
      <c r="F5712" s="2" t="inlineStr">
        <is>
          <t>телефильм</t>
        </is>
      </c>
      <c r="G5712" s="2" t="n"/>
      <c r="H5712" s="2" t="n">
        <v>368</v>
      </c>
      <c r="I5712" s="2" t="inlineStr"/>
      <c r="J5712" s="2" t="inlineStr"/>
      <c r="K5712" s="3" t="inlineStr">
        <is>
          <t>История любви двух людей, чья молодость пришлась на бурные годы начала века, когда Европа и Россия буквально "набухали" революцией. Интеллигенция прежде всех впитала идеи свободолюбия, и первая же пострадала от них. Но пока все овеяно романтикой и все чувства обострены. В Берлине профессиональный революционер Гончаров знакомится с примадонной оперного театра Кларой.</t>
        </is>
      </c>
      <c r="L5712" s="2" t="inlineStr">
        <is>
          <t>Кино_СССР сводный каталог.xlsx: список телефильмов</t>
        </is>
      </c>
      <c r="M5712" s="2">
        <f>HYPERLINK("https://ru.wikipedia.org/w/index.php?search=%D0%9F%D1%80%D0%BE%D1%88%D0%B5%D0%B4%D1%88%D0%B5%D0%B5%20%D0%B2%D0%B5%D1%80%D0%BD%D1%83%D1%82%D1%8C...%201988%20%D1%84%D0%B8%D0%BB%D1%8C%D0%BC","искать")</f>
        <v/>
      </c>
      <c r="N5712" s="3" t="n"/>
      <c r="O5712" s="2" t="n"/>
      <c r="P5712" s="2" t="n"/>
    </row>
    <row r="5713">
      <c r="A5713" s="2" t="n">
        <v>5712</v>
      </c>
      <c r="B5713" s="2" t="inlineStr"/>
      <c r="C5713" s="2" t="n">
        <v>9379</v>
      </c>
      <c r="D5713" s="3" t="inlineStr">
        <is>
          <t>Зимняя вишня – 2</t>
        </is>
      </c>
      <c r="E5713" s="2" t="n">
        <v>1990</v>
      </c>
      <c r="F5713" s="2" t="inlineStr">
        <is>
          <t>кинофильм</t>
        </is>
      </c>
      <c r="G5713" s="2" t="n"/>
      <c r="H5713" s="2" t="n">
        <v>368</v>
      </c>
      <c r="I5713" s="2" t="inlineStr"/>
      <c r="J5713" s="2" t="inlineStr"/>
      <c r="K5713" s="3" t="inlineStr">
        <is>
          <t>Жена преуспевающего американского бизнесмена, мать очаровательной пятилетней дочери, она спустя шесть лет приезжает в Россию и встречает своего бывшего возлюбленного... Вадим все такой же тонкий, интеллигентный и остроумный. И такой же нерешительный. У него есть совсем юная любовница - весьма предприимчивая особа, но счастлив Вадим только во сне, когда он видит Олю.</t>
        </is>
      </c>
      <c r="L5713" s="2" t="inlineStr">
        <is>
          <t>Кино_СССР сводный каталог.xlsx: список фильмов (доп.)</t>
        </is>
      </c>
      <c r="M5713" s="2">
        <f>HYPERLINK("https://ru.wikipedia.org/w/index.php?search=%D0%97%D0%B8%D0%BC%D0%BD%D1%8F%D1%8F%20%D0%B2%D0%B8%D1%88%D0%BD%D1%8F%20%E2%80%93%202%201990%20%D1%84%D0%B8%D0%BB%D1%8C%D0%BC","искать")</f>
        <v/>
      </c>
      <c r="N5713" s="3" t="n"/>
      <c r="O5713" s="2" t="n"/>
      <c r="P5713" s="2" t="n"/>
    </row>
    <row r="5714">
      <c r="A5714" s="2" t="n">
        <v>5713</v>
      </c>
      <c r="B5714" s="2" t="inlineStr"/>
      <c r="C5714" s="2" t="n">
        <v>9526</v>
      </c>
      <c r="D5714" s="3" t="inlineStr">
        <is>
          <t>Оно</t>
        </is>
      </c>
      <c r="E5714" s="2" t="n">
        <v>1989</v>
      </c>
      <c r="F5714" s="2" t="inlineStr">
        <is>
          <t>кинофильм</t>
        </is>
      </c>
      <c r="G5714" s="2" t="n"/>
      <c r="H5714" s="2" t="n">
        <v>368</v>
      </c>
      <c r="I5714" s="2" t="inlineStr"/>
      <c r="J5714" s="2" t="inlineStr"/>
      <c r="K5714" s="3" t="inlineStr">
        <is>
          <t>В метафорической и гротескной форме в фильме передается история России с призвания варягов до конца XX века. В фильме прослеживается смена «начальников» уездного города Глупова, отличающихся разной степенью самодурства и соответствующим итоговым количеством «убиенных» жителей города. В начальниках города легко угадываются бывшие главы Российского государства и СССР.</t>
        </is>
      </c>
      <c r="L5714" s="2" t="inlineStr">
        <is>
          <t>https://ru.wikipedia.org/w/index.php?title=%D0%9E%D0%BD%D0%BE_%28%D1%84%D0%B8%D0%BB%D1%8C%D0%BC%2C_1989%29&amp;oldid=155571448</t>
        </is>
      </c>
      <c r="M5714" s="2">
        <f>HYPERLINK("https://ru.wikipedia.org/w/index.php?search=%D0%9E%D0%BD%D0%BE%201989%20%D1%84%D0%B8%D0%BB%D1%8C%D0%BC","искать")</f>
        <v/>
      </c>
      <c r="N5714" s="3" t="n"/>
      <c r="O5714" s="2" t="n"/>
      <c r="P5714" s="2" t="n"/>
    </row>
    <row r="5715">
      <c r="A5715" s="2" t="n">
        <v>5714</v>
      </c>
      <c r="B5715" s="2" t="inlineStr"/>
      <c r="C5715" s="2" t="n">
        <v>12668</v>
      </c>
      <c r="D5715" s="3" t="inlineStr">
        <is>
          <t>Моя мама волшебница</t>
        </is>
      </c>
      <c r="E5715" s="2" t="n">
        <v>1989</v>
      </c>
      <c r="F5715" s="2" t="inlineStr">
        <is>
          <t>мультфильм</t>
        </is>
      </c>
      <c r="G5715" s="2" t="inlineStr">
        <is>
          <t>БЕЛАРУСЬФИЛЬМ НАЦИОНАЛЬНАЯ КИНОСТУДИЯ - ГП</t>
        </is>
      </c>
      <c r="H5715" s="2" t="n">
        <v>368</v>
      </c>
      <c r="I5715" s="2" t="inlineStr"/>
      <c r="J5715" s="2" t="inlineStr"/>
      <c r="K5715" s="3" t="inlineStr">
        <is>
          <t>Для каждого ребенка мама - самая лучшая волшебница в мире.Она способна творить любые чудеса не только наяву, но и во сне, когда ребенку снятся пираты и разбойники, невероятные и опасные приключения. И когда жизнь малыша в опасности, на помощь ему приходит добрая, смелая, красивая и всегда любимая мама.По мотивам детских рассказов польской писательницы И.Папузиньской</t>
        </is>
      </c>
      <c r="L5715" s="2" t="inlineStr">
        <is>
          <t>2026-10_мультфильмы_список_владельца.xlsx; https://animator.ru/db/?p=show_film&amp;fid=3862</t>
        </is>
      </c>
      <c r="M5715" s="2">
        <f>HYPERLINK("https://ru.wikipedia.org/w/index.php?search=%D0%9C%D0%BE%D1%8F%20%D0%BC%D0%B0%D0%BC%D0%B0%20%D0%B2%D0%BE%D0%BB%D1%88%D0%B5%D0%B1%D0%BD%D0%B8%D1%86%D0%B0%201989%20%D1%84%D0%B8%D0%BB%D1%8C%D0%BC","искать")</f>
        <v/>
      </c>
      <c r="N5715" s="3" t="n"/>
      <c r="O5715" s="2" t="n"/>
      <c r="P5715" s="2" t="n"/>
    </row>
    <row r="5716">
      <c r="A5716" s="2" t="n">
        <v>5715</v>
      </c>
      <c r="B5716" s="2" t="inlineStr"/>
      <c r="C5716" s="2" t="n">
        <v>12779</v>
      </c>
      <c r="D5716" s="3" t="inlineStr">
        <is>
          <t>Камень</t>
        </is>
      </c>
      <c r="E5716" s="2" t="n">
        <v>1979</v>
      </c>
      <c r="F5716" s="2" t="inlineStr">
        <is>
          <t>мультфильм</t>
        </is>
      </c>
      <c r="G5716" s="2" t="inlineStr">
        <is>
          <t>АЗЕРБАЙДЖАНФИЛЬМ</t>
        </is>
      </c>
      <c r="H5716" s="2" t="n">
        <v>368</v>
      </c>
      <c r="I5716" s="2" t="inlineStr"/>
      <c r="J5716" s="2" t="inlineStr"/>
      <c r="K5716" s="3" t="inlineStr">
        <is>
          <t>Мультфильм для взрослых, призывающий все народы бороться за мир, дружбу и полное разоружение. Фильм расказывает о том, как камень - символ разрушительной силы, носитель войны видоизменяясь с развитием цивилизации, превращаясь в стрелы, пули, пушечное ядро, ракету, атомную бомбу, приносит людям планты опустошение и горе, и о том, как люди объединяются в борьбе за мир</t>
        </is>
      </c>
      <c r="L5716" s="2" t="inlineStr">
        <is>
          <t>https://gosfilmofond.ru/films/250580/</t>
        </is>
      </c>
      <c r="M5716" s="2">
        <f>HYPERLINK("https://ru.wikipedia.org/w/index.php?search=%D0%9A%D0%B0%D0%BC%D0%B5%D0%BD%D1%8C%201979%20%D1%84%D0%B8%D0%BB%D1%8C%D0%BC","искать")</f>
        <v/>
      </c>
      <c r="N5716" s="3" t="n"/>
      <c r="O5716" s="2" t="n"/>
      <c r="P5716" s="2" t="n"/>
    </row>
    <row r="5717">
      <c r="A5717" s="2" t="n">
        <v>5716</v>
      </c>
      <c r="B5717" s="2" t="inlineStr"/>
      <c r="C5717" s="2" t="n">
        <v>7400</v>
      </c>
      <c r="D5717" s="3" t="inlineStr">
        <is>
          <t>Всего один поворот</t>
        </is>
      </c>
      <c r="E5717" s="2" t="n">
        <v>1986</v>
      </c>
      <c r="F5717" s="2" t="inlineStr">
        <is>
          <t>телефильм</t>
        </is>
      </c>
      <c r="G5717" s="2" t="n"/>
      <c r="H5717" s="2" t="n">
        <v>369</v>
      </c>
      <c r="I5717" s="2" t="inlineStr"/>
      <c r="J5717" s="2" t="inlineStr"/>
      <c r="K5717" s="3" t="inlineStr">
        <is>
          <t>Елена Тарасова - молодая, современная женщина, работает шофером такси. Она одинока, разочарована в мужчинах, но имеет близкого друга автогонщика, к которому летает в разные города на свидания. Однажды, после отказа начальника таксопарка дать в очередной раз отпуск за свой счет, Лена решает обмануть его и просит встретившегося ей на улице моряка представиться женихом.</t>
        </is>
      </c>
      <c r="L5717" s="2" t="inlineStr">
        <is>
          <t>Кино_СССР сводный каталог.xlsx: список телефильмов</t>
        </is>
      </c>
      <c r="M5717" s="2">
        <f>HYPERLINK("https://ru.wikipedia.org/w/index.php?search=%D0%92%D1%81%D0%B5%D0%B3%D0%BE%20%D0%BE%D0%B4%D0%B8%D0%BD%20%D0%BF%D0%BE%D0%B2%D0%BE%D1%80%D0%BE%D1%82%201986%20%D1%84%D0%B8%D0%BB%D1%8C%D0%BC","искать")</f>
        <v/>
      </c>
      <c r="N5717" s="3" t="n"/>
      <c r="O5717" s="2" t="n"/>
      <c r="P5717" s="2" t="n"/>
    </row>
    <row r="5718">
      <c r="A5718" s="2" t="n">
        <v>5717</v>
      </c>
      <c r="B5718" s="2" t="inlineStr"/>
      <c r="C5718" s="2" t="n">
        <v>7657</v>
      </c>
      <c r="D5718" s="3" t="inlineStr">
        <is>
          <t>Зять</t>
        </is>
      </c>
      <c r="E5718" s="2" t="n">
        <v>1976</v>
      </c>
      <c r="F5718" s="2" t="inlineStr">
        <is>
          <t>телефильм</t>
        </is>
      </c>
      <c r="G5718" s="2" t="n"/>
      <c r="H5718" s="2" t="n">
        <v>369</v>
      </c>
      <c r="I5718" s="2" t="inlineStr"/>
      <c r="J5718" s="2" t="inlineStr"/>
      <c r="K5718" s="3" t="inlineStr">
        <is>
          <t>Фильм поставлен по пьесе Винцаса Креве. Действие происходит в начале XX века. В картине изображается жизнь крестьян того времени, проблемы семьи и любви, когда семьи создавались по расчёту, из-за налаженного хозяйства и богатой невесты. В картине показана судьба молодого человека, отправившего в Америку искать счастья, его тоска по родине и поиски истинных ценностей.</t>
        </is>
      </c>
      <c r="L5718" s="2" t="inlineStr">
        <is>
          <t>Кино_СССР сводный каталог.xlsx: список телефильмов</t>
        </is>
      </c>
      <c r="M5718" s="2">
        <f>HYPERLINK("https://ru.wikipedia.org/w/index.php?search=%D0%97%D1%8F%D1%82%D1%8C%201976%20%D1%84%D0%B8%D0%BB%D1%8C%D0%BC","искать")</f>
        <v/>
      </c>
      <c r="N5718" s="3" t="n"/>
      <c r="O5718" s="2" t="n"/>
      <c r="P5718" s="2" t="n"/>
    </row>
    <row r="5719">
      <c r="A5719" s="2" t="n">
        <v>5718</v>
      </c>
      <c r="B5719" s="2" t="inlineStr"/>
      <c r="C5719" s="2" t="n">
        <v>8749</v>
      </c>
      <c r="D5719" s="3" t="inlineStr">
        <is>
          <t>Исполнитель 977</t>
        </is>
      </c>
      <c r="E5719" s="2" t="n">
        <v>1989</v>
      </c>
      <c r="F5719" s="2" t="inlineStr">
        <is>
          <t>кинофильм</t>
        </is>
      </c>
      <c r="G5719" s="2" t="n"/>
      <c r="H5719" s="2" t="n">
        <v>369</v>
      </c>
      <c r="I5719" s="2" t="inlineStr"/>
      <c r="J5719" s="2" t="inlineStr"/>
      <c r="K5719" s="3" t="inlineStr">
        <is>
          <t>На одной из планет в большом мегаполисе живут потомки землян. У них нет имен, так как они официально зарегистрированы под номерами. Они не знают своих родителей, ибо с рождения отчуждаются от них. Обитатели города делятся на элиту (вершителей) и массу (исполнителей). Исполнители — это люди-роботы, одетые в одинаковые прозрачные одежды, унифицированные в своей наготе.</t>
        </is>
      </c>
      <c r="L5719" s="2" t="inlineStr">
        <is>
          <t>Кино_СССР сводный каталог.xlsx: список фильмов (доп.)</t>
        </is>
      </c>
      <c r="M5719" s="2">
        <f>HYPERLINK("https://ru.wikipedia.org/w/index.php?search=%D0%98%D1%81%D0%BF%D0%BE%D0%BB%D0%BD%D0%B8%D1%82%D0%B5%D0%BB%D1%8C%20977%201989%20%D1%84%D0%B8%D0%BB%D1%8C%D0%BC","искать")</f>
        <v/>
      </c>
      <c r="N5719" s="3" t="n"/>
      <c r="O5719" s="2" t="n"/>
      <c r="P5719" s="2" t="n"/>
    </row>
    <row r="5720">
      <c r="A5720" s="2" t="n">
        <v>5719</v>
      </c>
      <c r="B5720" s="2" t="inlineStr"/>
      <c r="C5720" s="2" t="n">
        <v>8823</v>
      </c>
      <c r="D5720" s="3" t="inlineStr">
        <is>
          <t>Мать</t>
        </is>
      </c>
      <c r="E5720" s="2" t="n">
        <v>1989</v>
      </c>
      <c r="F5720" s="2" t="inlineStr">
        <is>
          <t>кинофильм</t>
        </is>
      </c>
      <c r="G5720" s="2" t="n"/>
      <c r="H5720" s="2" t="n">
        <v>369</v>
      </c>
      <c r="I5720" s="2" t="inlineStr"/>
      <c r="J5720" s="2" t="inlineStr"/>
      <c r="K5720" s="3" t="inlineStr">
        <is>
          <t>Экранизация одноименной повести Максима Горького, с использованием мотивов из других его произведений. Действие происходит в России в начале XX века, в рабочей слободке, жизнь которой завязана на работу на фабрике. Сын Пелагеи Ниловны, вдовы слесаря, Павел Власов, вдруг начинает читать запрещённые книги, которые приносит из города, начинает собирать у себя товарищей.</t>
        </is>
      </c>
      <c r="L5720" s="2" t="inlineStr">
        <is>
          <t>Кино_СССР сводный каталог.xlsx: список фильмов (доп.)</t>
        </is>
      </c>
      <c r="M5720" s="2">
        <f>HYPERLINK("https://ru.wikipedia.org/w/index.php?search=%D0%9C%D0%B0%D1%82%D1%8C%201989%20%D1%84%D0%B8%D0%BB%D1%8C%D0%BC","искать")</f>
        <v/>
      </c>
      <c r="N5720" s="3" t="n"/>
      <c r="O5720" s="2" t="n"/>
      <c r="P5720" s="2" t="n"/>
    </row>
    <row r="5721">
      <c r="A5721" s="2" t="n">
        <v>5720</v>
      </c>
      <c r="B5721" s="2" t="inlineStr"/>
      <c r="C5721" s="2" t="n">
        <v>9082</v>
      </c>
      <c r="D5721" s="3" t="inlineStr">
        <is>
          <t>Счастливый случай</t>
        </is>
      </c>
      <c r="E5721" s="2" t="n">
        <v>1987</v>
      </c>
      <c r="F5721" s="2" t="inlineStr">
        <is>
          <t>кинофильм</t>
        </is>
      </c>
      <c r="G5721" s="2" t="n"/>
      <c r="H5721" s="2" t="n">
        <v>369</v>
      </c>
      <c r="I5721" s="2" t="inlineStr"/>
      <c r="J5721" s="2" t="inlineStr"/>
      <c r="K5721" s="3" t="inlineStr">
        <is>
          <t>По рассказам А.И. Куприна. Дело было на Рождество. Три приятеля - газетчик, бас и адвокат - собрались в гости. Накупив подарков, они ринулись на перрон. В поезде мест не было. В первом классе им повезло - в купе сидела в одиночестве дама. Но она не пустила их в купе. Приятели решили сыграть с ней шутку, и повели ее к жандарму, выяснять, ее ли это вещи в купе или нет.</t>
        </is>
      </c>
      <c r="L5721" s="2" t="inlineStr">
        <is>
          <t>Кино_СССР сводный каталог.xlsx: список фильмов (доп.)</t>
        </is>
      </c>
      <c r="M5721" s="2">
        <f>HYPERLINK("https://ru.wikipedia.org/w/index.php?search=%D0%A1%D1%87%D0%B0%D1%81%D1%82%D0%BB%D0%B8%D0%B2%D1%8B%D0%B9%20%D1%81%D0%BB%D1%83%D1%87%D0%B0%D0%B9%201987%20%D1%84%D0%B8%D0%BB%D1%8C%D0%BC","искать")</f>
        <v/>
      </c>
      <c r="N5721" s="3" t="n"/>
      <c r="O5721" s="2" t="n"/>
      <c r="P5721" s="2" t="n"/>
    </row>
    <row r="5722">
      <c r="A5722" s="2" t="n">
        <v>5721</v>
      </c>
      <c r="B5722" s="2" t="inlineStr"/>
      <c r="C5722" s="2" t="n">
        <v>10170</v>
      </c>
      <c r="D5722" s="3" t="inlineStr">
        <is>
          <t>Несерьёзный человек</t>
        </is>
      </c>
      <c r="E5722" s="2" t="n">
        <v>1966</v>
      </c>
      <c r="F5722" s="2" t="inlineStr">
        <is>
          <t>фильм-спектакль</t>
        </is>
      </c>
      <c r="G5722" s="2" t="inlineStr">
        <is>
          <t>Ленинградское телевидение</t>
        </is>
      </c>
      <c r="H5722" s="2" t="n">
        <v>369</v>
      </c>
      <c r="I5722" s="2" t="inlineStr"/>
      <c r="J5722" s="2" t="inlineStr"/>
      <c r="K5722" s="3" t="inlineStr">
        <is>
          <t>Новый год. Ленинград. Железнодорожный вокзал. Поезда уходят, поезда прибывают. Главный герой Алексеев приехал в отпуск, но остановиться негде и в гостинице нет мест. Кто-то опоздал на поезд, кто-то потерял кошелек и билет, кого-то не встретили и некуда идти. Вот так и собрались вместе совершенно разные люди; компания, которая вынуждена встречать Новый год на вокзале.</t>
        </is>
      </c>
      <c r="L5722" s="2" t="inlineStr">
        <is>
          <t>https://www.kino-teatr.ru/teatr/movie/108983/annot/</t>
        </is>
      </c>
      <c r="M5722" s="2">
        <f>HYPERLINK("https://ru.wikipedia.org/w/index.php?search=%D0%9D%D0%B5%D1%81%D0%B5%D1%80%D1%8C%D1%91%D0%B7%D0%BD%D1%8B%D0%B9%20%D1%87%D0%B5%D0%BB%D0%BE%D0%B2%D0%B5%D0%BA%201966%20%D1%84%D0%B8%D0%BB%D1%8C%D0%BC","искать")</f>
        <v/>
      </c>
      <c r="N5722" s="3" t="n"/>
      <c r="O5722" s="2" t="n"/>
      <c r="P5722" s="2" t="n"/>
    </row>
    <row r="5723">
      <c r="A5723" s="2" t="n">
        <v>5722</v>
      </c>
      <c r="B5723" s="2" t="inlineStr"/>
      <c r="C5723" s="2" t="n">
        <v>10952</v>
      </c>
      <c r="D5723" s="3" t="inlineStr">
        <is>
          <t>Операция на сердце</t>
        </is>
      </c>
      <c r="E5723" s="2" t="n">
        <v>1982</v>
      </c>
      <c r="F5723" s="2" t="inlineStr">
        <is>
          <t>фильм-спектакль</t>
        </is>
      </c>
      <c r="G5723" s="2" t="inlineStr">
        <is>
          <t>Главная редакция литературно-драматических программ ЦТ</t>
        </is>
      </c>
      <c r="H5723" s="2" t="n">
        <v>369</v>
      </c>
      <c r="I5723" s="2" t="inlineStr"/>
      <c r="J5723" s="2" t="inlineStr"/>
      <c r="K5723" s="3" t="inlineStr">
        <is>
          <t>По одноименной пьесе Анатолия Софронова.
Герой телеспектакля - главный хирург областной клиники Алексей Васильевич Иванов - вынужден защищаться от анонимных писем, интриг, наговоров, организованных мелкими корыстолюбцами Рыжейкиным и Знобиной, пытающимися занять свое место под солнцем. Заговор был разоблачен, но зло, причиненное ими, нанесло смертельный удар Иванову.</t>
        </is>
      </c>
      <c r="L5723" s="2" t="inlineStr">
        <is>
          <t>https://www.kino-teatr.ru/teatr/movie/13242/annot/</t>
        </is>
      </c>
      <c r="M5723" s="2">
        <f>HYPERLINK("https://ru.wikipedia.org/w/index.php?search=%D0%9E%D0%BF%D0%B5%D1%80%D0%B0%D1%86%D0%B8%D1%8F%20%D0%BD%D0%B0%20%D1%81%D0%B5%D1%80%D0%B4%D1%86%D0%B5%201982%20%D1%84%D0%B8%D0%BB%D1%8C%D0%BC","искать")</f>
        <v/>
      </c>
      <c r="N5723" s="3" t="n"/>
      <c r="O5723" s="2" t="n"/>
      <c r="P5723" s="2" t="n"/>
    </row>
    <row r="5724">
      <c r="A5724" s="2" t="n">
        <v>5723</v>
      </c>
      <c r="B5724" s="2" t="inlineStr"/>
      <c r="C5724" s="2" t="n">
        <v>11106</v>
      </c>
      <c r="D5724" s="3" t="inlineStr">
        <is>
          <t>Дети раздоров</t>
        </is>
      </c>
      <c r="E5724" s="2" t="n">
        <v>1986</v>
      </c>
      <c r="F5724" s="2" t="inlineStr">
        <is>
          <t>фильм-спектакль</t>
        </is>
      </c>
      <c r="G5724" s="2" t="inlineStr">
        <is>
          <t>Главная редакция литературно-драматических программ ЦТ</t>
        </is>
      </c>
      <c r="H5724" s="2" t="n">
        <v>369</v>
      </c>
      <c r="I5724" s="2" t="inlineStr"/>
      <c r="J5724" s="2" t="inlineStr"/>
      <c r="K5724" s="3" t="inlineStr">
        <is>
          <t>Телефильм из цикла "Какие мы?".
Журналист пытается выяснить причины развода семьи Деминых. Каждый из супругов выдвигает свою версию происходящего. Выясняется, что муж отказывается отдать жене девятилетнего сына, считая, что она не сможет воспитать его должным образом. Он пользуется всеми дозволенными и недозволенными методами, чтобы привлечь мальчика на свою сторону.</t>
        </is>
      </c>
      <c r="L5724" s="2" t="inlineStr">
        <is>
          <t>https://www.kino-teatr.ru/teatr/movie/15452/annot/</t>
        </is>
      </c>
      <c r="M5724" s="2">
        <f>HYPERLINK("https://ru.wikipedia.org/w/index.php?search=%D0%94%D0%B5%D1%82%D0%B8%20%D1%80%D0%B0%D0%B7%D0%B4%D0%BE%D1%80%D0%BE%D0%B2%201986%20%D1%84%D0%B8%D0%BB%D1%8C%D0%BC","искать")</f>
        <v/>
      </c>
      <c r="N5724" s="3" t="n"/>
      <c r="O5724" s="2" t="n"/>
      <c r="P5724" s="2" t="n"/>
    </row>
    <row r="5725">
      <c r="A5725" s="2" t="n">
        <v>5724</v>
      </c>
      <c r="B5725" s="2" t="inlineStr"/>
      <c r="C5725" s="2" t="n">
        <v>7972</v>
      </c>
      <c r="D5725" s="3" t="inlineStr">
        <is>
          <t>Невеста с севера</t>
        </is>
      </c>
      <c r="E5725" s="2" t="n">
        <v>1975</v>
      </c>
      <c r="F5725" s="2" t="inlineStr">
        <is>
          <t>телефильм</t>
        </is>
      </c>
      <c r="G5725" s="2" t="n"/>
      <c r="H5725" s="2" t="n">
        <v>370</v>
      </c>
      <c r="I5725" s="2" t="inlineStr"/>
      <c r="J5725" s="2" t="inlineStr"/>
      <c r="K5725" s="3" t="inlineStr">
        <is>
          <t>Популярная комедия со шлягерами А.Бабаджаняна. И в русских деревнях, и в армянских селах испокон веков повелось - невеста должна идти в дом к жениху. Но какая мать захочет отпустить единственную дочь за тридевять земель. Эксцентричная, увлекательная комедия о том, как многочисленные и разноликие родственники жениха из Армении сватали невесту в далекой русской деревне.</t>
        </is>
      </c>
      <c r="L5725" s="2" t="inlineStr">
        <is>
          <t>Кино_СССР сводный каталог.xlsx: список телефильмов</t>
        </is>
      </c>
      <c r="M5725" s="2">
        <f>HYPERLINK("https://ru.wikipedia.org/w/index.php?search=%D0%9D%D0%B5%D0%B2%D0%B5%D1%81%D1%82%D0%B0%20%D1%81%20%D1%81%D0%B5%D0%B2%D0%B5%D1%80%D0%B0%201975%20%D1%84%D0%B8%D0%BB%D1%8C%D0%BC","искать")</f>
        <v/>
      </c>
      <c r="N5725" s="3" t="n"/>
      <c r="O5725" s="2" t="n"/>
      <c r="P5725" s="2" t="n"/>
    </row>
    <row r="5726">
      <c r="A5726" s="2" t="n">
        <v>5725</v>
      </c>
      <c r="B5726" s="2" t="inlineStr"/>
      <c r="C5726" s="2" t="n">
        <v>8276</v>
      </c>
      <c r="D5726" s="3" t="inlineStr">
        <is>
          <t>Родила меня мать счастливым...</t>
        </is>
      </c>
      <c r="E5726" s="2" t="n">
        <v>1980</v>
      </c>
      <c r="F5726" s="2" t="inlineStr">
        <is>
          <t>телефильм</t>
        </is>
      </c>
      <c r="G5726" s="2" t="n"/>
      <c r="H5726" s="2" t="n">
        <v>370</v>
      </c>
      <c r="I5726" s="2" t="inlineStr"/>
      <c r="J5726" s="2" t="inlineStr"/>
      <c r="K5726" s="3" t="inlineStr">
        <is>
          <t>По мотивам повести Г.Маларчука «Кукушкин камень». Действие фильма происходит в 1944 году в молдавском селе, только-что освобожденном Советской Армией. Молодой учитель создает школьную пионерскую организацию. Ему противодействует директор школы, скрывающий фашистского агента. С помощью молодого учителя и его учеников сотрудникам милиции удается обезвредить преступника.</t>
        </is>
      </c>
      <c r="L5726" s="2" t="inlineStr">
        <is>
          <t>Кино_СССР сводный каталог.xlsx: список телефильмов</t>
        </is>
      </c>
      <c r="M5726" s="2">
        <f>HYPERLINK("https://ru.wikipedia.org/w/index.php?search=%D0%A0%D0%BE%D0%B4%D0%B8%D0%BB%D0%B0%20%D0%BC%D0%B5%D0%BD%D1%8F%20%D0%BC%D0%B0%D1%82%D1%8C%20%D1%81%D1%87%D0%B0%D1%81%D1%82%D0%BB%D0%B8%D0%B2%D1%8B%D0%BC...%201980%20%D1%84%D0%B8%D0%BB%D1%8C%D0%BC","искать")</f>
        <v/>
      </c>
      <c r="N5726" s="3" t="n"/>
      <c r="O5726" s="2" t="n"/>
      <c r="P5726" s="2" t="n"/>
    </row>
    <row r="5727">
      <c r="A5727" s="2" t="n">
        <v>5726</v>
      </c>
      <c r="B5727" s="2" t="inlineStr"/>
      <c r="C5727" s="2" t="n">
        <v>8542</v>
      </c>
      <c r="D5727" s="3" t="inlineStr">
        <is>
          <t>Час оборотня</t>
        </is>
      </c>
      <c r="E5727" s="2" t="n">
        <v>1990</v>
      </c>
      <c r="F5727" s="2" t="inlineStr">
        <is>
          <t>телефильм</t>
        </is>
      </c>
      <c r="G5727" s="2" t="n"/>
      <c r="H5727" s="2" t="n">
        <v>370</v>
      </c>
      <c r="I5727" s="2" t="inlineStr"/>
      <c r="J5727" s="2" t="inlineStr"/>
      <c r="K5727" s="3" t="inlineStr">
        <is>
          <t>Однажды пожилой журналист Григорий Максимович как-то темным поздним безлюдным вечером был укушен страшной черной собакой. Спустя несколько дней Григорий Максимович с изумлением начинает фиксировать некие странные трансформации, происходящие в его сознании. А затем однажды ночью эти трансформации обретают и физическую природу - Григорий Максимович становится оборотнем.</t>
        </is>
      </c>
      <c r="L5727" s="2" t="inlineStr">
        <is>
          <t>Кино_СССР сводный каталог.xlsx: список телефильмов</t>
        </is>
      </c>
      <c r="M5727" s="2">
        <f>HYPERLINK("https://ru.wikipedia.org/w/index.php?search=%D0%A7%D0%B0%D1%81%20%D0%BE%D0%B1%D0%BE%D1%80%D0%BE%D1%82%D0%BD%D1%8F%201990%20%D1%84%D0%B8%D0%BB%D1%8C%D0%BC","искать")</f>
        <v/>
      </c>
      <c r="N5727" s="3" t="n"/>
      <c r="O5727" s="2" t="n"/>
      <c r="P5727" s="2" t="n"/>
    </row>
    <row r="5728">
      <c r="A5728" s="2" t="n">
        <v>5727</v>
      </c>
      <c r="B5728" s="2" t="inlineStr"/>
      <c r="C5728" s="2" t="n">
        <v>8733</v>
      </c>
      <c r="D5728" s="3" t="inlineStr">
        <is>
          <t>Звезда шерифа</t>
        </is>
      </c>
      <c r="E5728" s="2" t="n">
        <v>1991</v>
      </c>
      <c r="F5728" s="2" t="inlineStr">
        <is>
          <t>кинофильм</t>
        </is>
      </c>
      <c r="G5728" s="2" t="n"/>
      <c r="H5728" s="2" t="n">
        <v>370</v>
      </c>
      <c r="I5728" s="2" t="inlineStr"/>
      <c r="J5728" s="2" t="inlineStr"/>
      <c r="K5728" s="3" t="inlineStr">
        <is>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is>
      </c>
      <c r="L5728" s="2" t="inlineStr">
        <is>
          <t>Кино_СССР сводный каталог.xlsx: список фильмов (доп.)</t>
        </is>
      </c>
      <c r="M5728" s="2">
        <f>HYPERLINK("https://ru.wikipedia.org/w/index.php?search=%D0%97%D0%B2%D0%B5%D0%B7%D0%B4%D0%B0%20%D1%88%D0%B5%D1%80%D0%B8%D1%84%D0%B0%201991%20%D1%84%D0%B8%D0%BB%D1%8C%D0%BC","искать")</f>
        <v/>
      </c>
      <c r="N5728" s="3" t="n"/>
      <c r="O5728" s="2" t="n"/>
      <c r="P5728" s="2" t="n"/>
    </row>
    <row r="5729">
      <c r="A5729" s="2" t="n">
        <v>5728</v>
      </c>
      <c r="B5729" s="2" t="inlineStr"/>
      <c r="C5729" s="2" t="n">
        <v>9268</v>
      </c>
      <c r="D5729" s="3" t="inlineStr">
        <is>
          <t>Верными останемся</t>
        </is>
      </c>
      <c r="E5729" s="2" t="n">
        <v>1988</v>
      </c>
      <c r="F5729" s="2" t="inlineStr">
        <is>
          <t>кинофильм</t>
        </is>
      </c>
      <c r="G5729" s="2" t="n"/>
      <c r="H5729" s="2" t="n">
        <v>370</v>
      </c>
      <c r="I5729" s="2" t="inlineStr"/>
      <c r="J5729" s="2" t="inlineStr"/>
      <c r="K5729" s="3" t="inlineStr">
        <is>
          <t>Герои кинодилогии - воины-интернационалисты (русские, болгары, поляки, немцы, испанцы, венгры, чехи и словаки), участники гражданской войны в Испании, стали участниками Великой Отчественной (некоторые в рядах Красной (Советской) армии и Второй мировой войны и героями Сопротивления, также показана их послевоенная деятельность, по разному сложились судьбы героев фильма.</t>
        </is>
      </c>
      <c r="L5729" s="2" t="inlineStr">
        <is>
          <t>Кино_СССР сводный каталог.xlsx: список фильмов (доп.)</t>
        </is>
      </c>
      <c r="M5729" s="2">
        <f>HYPERLINK("https://ru.wikipedia.org/w/index.php?search=%D0%92%D0%B5%D1%80%D0%BD%D1%8B%D0%BC%D0%B8%20%D0%BE%D1%81%D1%82%D0%B0%D0%BD%D0%B5%D0%BC%D1%81%D1%8F%201988%20%D1%84%D0%B8%D0%BB%D1%8C%D0%BC","искать")</f>
        <v/>
      </c>
      <c r="N5729" s="3" t="n"/>
      <c r="O5729" s="2" t="n"/>
      <c r="P5729" s="2" t="n"/>
    </row>
    <row r="5730">
      <c r="A5730" s="2" t="n">
        <v>5729</v>
      </c>
      <c r="B5730" s="2" t="inlineStr"/>
      <c r="C5730" s="2" t="n">
        <v>9354</v>
      </c>
      <c r="D5730" s="3" t="inlineStr">
        <is>
          <t>Железный ангел</t>
        </is>
      </c>
      <c r="E5730" s="2" t="n">
        <v>1942</v>
      </c>
      <c r="F5730" s="2" t="inlineStr">
        <is>
          <t>кинофильм</t>
        </is>
      </c>
      <c r="G5730" s="2" t="n"/>
      <c r="H5730" s="2" t="n">
        <v>370</v>
      </c>
      <c r="I5730" s="2" t="inlineStr"/>
      <c r="J5730" s="2" t="inlineStr"/>
      <c r="K5730" s="3" t="inlineStr">
        <is>
          <t>По рассказу Николая Богданова. «Эпизод из военных будней летчиков-истребителей. Самолет летчика Горюнова, наводящий ужас на немцев и прозванный ими «железным ангелом», подбит в нейтральной полосе. Механик Горюнова Суханов пробирается к месту аварии, заделывает пробоину в самолете и вместе с уцелевшим Горюновым улетает к своим в тот момент, когда их обнаружили фашисты.</t>
        </is>
      </c>
      <c r="L5730" s="2" t="inlineStr">
        <is>
          <t>Кино_СССР сводный каталог.xlsx: список фильмов (доп.)</t>
        </is>
      </c>
      <c r="M5730" s="2">
        <f>HYPERLINK("https://ru.wikipedia.org/w/index.php?search=%D0%96%D0%B5%D0%BB%D0%B5%D0%B7%D0%BD%D1%8B%D0%B9%20%D0%B0%D0%BD%D0%B3%D0%B5%D0%BB%201942%20%D1%84%D0%B8%D0%BB%D1%8C%D0%BC","искать")</f>
        <v/>
      </c>
      <c r="N5730" s="3" t="n"/>
      <c r="O5730" s="2" t="n"/>
      <c r="P5730" s="2" t="n"/>
    </row>
    <row r="5731">
      <c r="A5731" s="2" t="n">
        <v>5730</v>
      </c>
      <c r="B5731" s="2" t="inlineStr"/>
      <c r="C5731" s="2" t="n">
        <v>7885</v>
      </c>
      <c r="D5731" s="3" t="inlineStr">
        <is>
          <t>Младшая сестра</t>
        </is>
      </c>
      <c r="E5731" s="2" t="n">
        <v>1978</v>
      </c>
      <c r="F5731" s="2" t="inlineStr">
        <is>
          <t>телефильм</t>
        </is>
      </c>
      <c r="G5731" s="2" t="n"/>
      <c r="H5731" s="2" t="n">
        <v>371</v>
      </c>
      <c r="I5731" s="2" t="inlineStr"/>
      <c r="J5731" s="2" t="inlineStr"/>
      <c r="K5731" s="3" t="inlineStr">
        <is>
          <t>Описание: Младшая сестра Иато убегает из дому, чтобы заменить в ансамбле «Иверия» для всех неизвестную певицу Манану Чивадзе, которая вместе с мужем, моряком дальнего плавания, хочет провести медовый месяц вдали от концертной суеты. Ансамбль, который готовится к совместным гастролям с Московским танцевальным коллективом «Сувенир», принимает Иато, думая, что она Манана.</t>
        </is>
      </c>
      <c r="L5731" s="2" t="inlineStr">
        <is>
          <t>Кино_СССР сводный каталог.xlsx: список телефильмов</t>
        </is>
      </c>
      <c r="M5731" s="2">
        <f>HYPERLINK("https://ru.wikipedia.org/w/index.php?search=%D0%9C%D0%BB%D0%B0%D0%B4%D1%88%D0%B0%D1%8F%20%D1%81%D0%B5%D1%81%D1%82%D1%80%D0%B0%201978%20%D1%84%D0%B8%D0%BB%D1%8C%D0%BC","искать")</f>
        <v/>
      </c>
      <c r="N5731" s="3" t="n"/>
      <c r="O5731" s="2" t="n"/>
      <c r="P5731" s="2" t="n"/>
    </row>
    <row r="5732">
      <c r="A5732" s="2" t="n">
        <v>5731</v>
      </c>
      <c r="B5732" s="2" t="inlineStr"/>
      <c r="C5732" s="2" t="n">
        <v>8199</v>
      </c>
      <c r="D5732" s="3" t="inlineStr">
        <is>
          <t>Прикажи себе</t>
        </is>
      </c>
      <c r="E5732" s="2" t="n">
        <v>1980</v>
      </c>
      <c r="F5732" s="2" t="inlineStr">
        <is>
          <t>телефильм</t>
        </is>
      </c>
      <c r="G5732" s="2" t="n"/>
      <c r="H5732" s="2" t="n">
        <v>371</v>
      </c>
      <c r="I5732" s="2" t="inlineStr"/>
      <c r="J5732" s="2" t="inlineStr"/>
      <c r="K5732" s="3" t="inlineStr">
        <is>
          <t>Лейтенант Сергей Вишняков, по профессии археолог, призван из запаса на два года для прохождения воинской службы в райвоенкомате. Непросто на первых порах складываются его отношения и с сотрудниками, и с призывниками. Но, пересмотрев свое отношение к ребятам, Вишняков меняет тактику, упорно ищет новый подход к своим подопечным, не желающим идти служить во имя Отечества.</t>
        </is>
      </c>
      <c r="L5732" s="2" t="inlineStr">
        <is>
          <t>Кино_СССР сводный каталог.xlsx: список телефильмов</t>
        </is>
      </c>
      <c r="M5732" s="2">
        <f>HYPERLINK("https://ru.wikipedia.org/w/index.php?search=%D0%9F%D1%80%D0%B8%D0%BA%D0%B0%D0%B6%D0%B8%20%D1%81%D0%B5%D0%B1%D0%B5%201980%20%D1%84%D0%B8%D0%BB%D1%8C%D0%BC","искать")</f>
        <v/>
      </c>
      <c r="N5732" s="3" t="n"/>
      <c r="O5732" s="2" t="n"/>
      <c r="P5732" s="2" t="n"/>
    </row>
    <row r="5733">
      <c r="A5733" s="2" t="n">
        <v>5732</v>
      </c>
      <c r="B5733" s="2" t="inlineStr"/>
      <c r="C5733" s="2" t="n">
        <v>9010</v>
      </c>
      <c r="D5733" s="3" t="inlineStr">
        <is>
          <t>Расстрел</t>
        </is>
      </c>
      <c r="E5733" s="2" t="n">
        <v>1965</v>
      </c>
      <c r="F5733" s="2" t="inlineStr">
        <is>
          <t>кинофильм</t>
        </is>
      </c>
      <c r="G5733" s="2" t="n"/>
      <c r="H5733" s="2" t="n">
        <v>371</v>
      </c>
      <c r="I5733" s="2" t="inlineStr"/>
      <c r="J5733" s="2" t="inlineStr"/>
      <c r="K5733" s="3" t="inlineStr">
        <is>
          <t>По рассказу Генриха Боровика. О двух немцах-интернационалистах, которые прошли обучение в советской разведке и были заброшены фашистам в тыл. Но там, а именно в Белоруссии, они попали в плен к 'дикому' партизанскому отряду. В составе отряда были жители спаленной фашистами деревни, бежавшие в леса, сражавшиеся с берданками и саблями, вне всякой связи с "большой землей".</t>
        </is>
      </c>
      <c r="L5733" s="2" t="inlineStr">
        <is>
          <t>Кино_СССР сводный каталог.xlsx: список фильмов (доп.)</t>
        </is>
      </c>
      <c r="M5733" s="2">
        <f>HYPERLINK("https://ru.wikipedia.org/w/index.php?search=%D0%A0%D0%B0%D1%81%D1%81%D1%82%D1%80%D0%B5%D0%BB%201965%20%D1%84%D0%B8%D0%BB%D1%8C%D0%BC","искать")</f>
        <v/>
      </c>
      <c r="N5733" s="3" t="n"/>
      <c r="O5733" s="2" t="n"/>
      <c r="P5733" s="2" t="n"/>
    </row>
    <row r="5734">
      <c r="A5734" s="2" t="n">
        <v>5733</v>
      </c>
      <c r="B5734" s="2" t="inlineStr"/>
      <c r="C5734" s="2" t="n">
        <v>9137</v>
      </c>
      <c r="D5734" s="3" t="inlineStr">
        <is>
          <t>Фанат - 2</t>
        </is>
      </c>
      <c r="E5734" s="2" t="n">
        <v>1990</v>
      </c>
      <c r="F5734" s="2" t="inlineStr">
        <is>
          <t>кинофильм</t>
        </is>
      </c>
      <c r="G5734" s="2" t="inlineStr">
        <is>
          <t>Тирс</t>
        </is>
      </c>
      <c r="H5734" s="2" t="n">
        <v>371</v>
      </c>
      <c r="I5734" s="2" t="inlineStr"/>
      <c r="J5734" s="2" t="inlineStr"/>
      <c r="K5734" s="3" t="inlineStr">
        <is>
          <t>"Малыш" (Алексея Серебрякова сменил в главной роли Олег Фомин) в "Фанате-2" занимается разоблачением не только подпольных тотализаторов, на которых наживаются дельцы разного калибра, но и - ни больше, ни меньше! - местной партийно-кагэбэшной мафии, которая тоже, оказывается, грела руки на юных спортивных талантах и обожала лицезреть поединки гладиаторов нашего времени.</t>
        </is>
      </c>
      <c r="L5734" s="2" t="inlineStr">
        <is>
          <t>Кино_СССР сводный каталог.xlsx: список фильмов (доп.)</t>
        </is>
      </c>
      <c r="M5734" s="2">
        <f>HYPERLINK("https://ru.wikipedia.org/w/index.php?search=%D0%A4%D0%B0%D0%BD%D0%B0%D1%82%20-%202%201990%20%D1%84%D0%B8%D0%BB%D1%8C%D0%BC","искать")</f>
        <v/>
      </c>
      <c r="N5734" s="3" t="n"/>
      <c r="O5734" s="2" t="n"/>
      <c r="P5734" s="2" t="n"/>
    </row>
    <row r="5735">
      <c r="A5735" s="2" t="n">
        <v>5734</v>
      </c>
      <c r="B5735" s="2" t="inlineStr"/>
      <c r="C5735" s="2" t="n">
        <v>9195</v>
      </c>
      <c r="D5735" s="3" t="inlineStr">
        <is>
          <t>А был ли Каротин</t>
        </is>
      </c>
      <c r="E5735" s="2" t="n">
        <v>1989</v>
      </c>
      <c r="F5735" s="2" t="inlineStr">
        <is>
          <t>кинофильм</t>
        </is>
      </c>
      <c r="G5735" s="2" t="n"/>
      <c r="H5735" s="2" t="n">
        <v>371</v>
      </c>
      <c r="I5735" s="2" t="inlineStr"/>
      <c r="J5735" s="2" t="inlineStr"/>
      <c r="K5735" s="3" t="inlineStr">
        <is>
          <t>Начало 30-х годов минувшего века. На советском кораблестроительном заводе обнаружена утечка секретной информации. Прибывший под видом ученого легендарный чекист Каротин начинает распутывать нити заговора шпионской фашистской организации. Ему помогают неопытные, но активные местные сыщики. Осваивая азы работы контрразведчика, они попадают в ситуации одна другой смешнее.</t>
        </is>
      </c>
      <c r="L5735" s="2" t="inlineStr">
        <is>
          <t>Кино_СССР сводный каталог.xlsx: список фильмов (доп.)</t>
        </is>
      </c>
      <c r="M5735" s="2">
        <f>HYPERLINK("https://ru.wikipedia.org/w/index.php?search=%D0%90%20%D0%B1%D1%8B%D0%BB%20%D0%BB%D0%B8%20%D0%9A%D0%B0%D1%80%D0%BE%D1%82%D0%B8%D0%BD%201989%20%D1%84%D0%B8%D0%BB%D1%8C%D0%BC","искать")</f>
        <v/>
      </c>
      <c r="N5735" s="3" t="n"/>
      <c r="O5735" s="2" t="n"/>
      <c r="P5735" s="2" t="n"/>
    </row>
    <row r="5736">
      <c r="A5736" s="2" t="n">
        <v>5735</v>
      </c>
      <c r="B5736" s="2" t="inlineStr"/>
      <c r="C5736" s="2" t="n">
        <v>10081</v>
      </c>
      <c r="D5736" s="3" t="inlineStr">
        <is>
          <t>Пойманный монах</t>
        </is>
      </c>
      <c r="E5736" s="2" t="n">
        <v>1960</v>
      </c>
      <c r="F5736" s="2" t="inlineStr">
        <is>
          <t>фильм-спектакль</t>
        </is>
      </c>
      <c r="G5736" s="2" t="inlineStr">
        <is>
          <t>Ленфильм</t>
        </is>
      </c>
      <c r="H5736" s="2" t="n">
        <v>371</v>
      </c>
      <c r="I5736" s="2" t="inlineStr"/>
      <c r="J5736" s="2" t="inlineStr"/>
      <c r="K5736" s="3" t="inlineStr">
        <is>
          <t>Католический священник отец Мартин манипулирует отцом девушки, Жюрденом, чтобы соблазнить его дочь — Изабель, которую сватает молодой Ларун. Жюрдена пытаются использовать в своих целях и другие персонажи. Но Изабелла достаточно умна, чтобы понять, что происходит, и заманивает преследующего её отца Мартина в ловушку: развратник будет разоблачён и наказан за свою похоть.</t>
        </is>
      </c>
      <c r="L5736" s="2" t="inlineStr">
        <is>
          <t>https://ru.wikipedia.org/w/index.php?title=%D0%9F%D0%BE%D0%B9%D0%BC%D0%B0%D0%BD%D0%BD%D1%8B%D0%B9_%D0%BC%D0%BE%D0%BD%D0%B0%D1%85&amp;oldid=137530296</t>
        </is>
      </c>
      <c r="M5736" s="2">
        <f>HYPERLINK("https://ru.wikipedia.org/w/index.php?search=%D0%9F%D0%BE%D0%B9%D0%BC%D0%B0%D0%BD%D0%BD%D1%8B%D0%B9%20%D0%BC%D0%BE%D0%BD%D0%B0%D1%85%201960%20%D1%84%D0%B8%D0%BB%D1%8C%D0%BC","искать")</f>
        <v/>
      </c>
      <c r="N5736" s="3" t="n"/>
      <c r="O5736" s="2" t="n"/>
      <c r="P5736" s="2" t="n"/>
    </row>
    <row r="5737">
      <c r="A5737" s="2" t="n">
        <v>5736</v>
      </c>
      <c r="B5737" s="2" t="inlineStr"/>
      <c r="C5737" s="2" t="n">
        <v>11438</v>
      </c>
      <c r="D5737" s="3" t="inlineStr">
        <is>
          <t>Будильник</t>
        </is>
      </c>
      <c r="E5737" s="2" t="n">
        <v>1967</v>
      </c>
      <c r="F5737" s="2" t="inlineStr">
        <is>
          <t>мультфильм</t>
        </is>
      </c>
      <c r="G5737" s="2" t="inlineStr">
        <is>
          <t>Союзмультфильм</t>
        </is>
      </c>
      <c r="H5737" s="2" t="n">
        <v>371</v>
      </c>
      <c r="I5737" s="2" t="inlineStr"/>
      <c r="J5737" s="2" t="inlineStr"/>
      <c r="K5737" s="3" t="inlineStr">
        <is>
          <t>Часовщик сделал будильник и наказал ему верно служить людям. Будильник попал к влюбленному студенту. Вопреки наказу, будильник пожалел себя, спрятал сердце в тихое место, не разбудил студента, и тот опоздал на свидание. И как ни спешили за девушкой студент и будильник - по городу, по рельсам, по небу, по Вселенной - догнать ее уже не смогли. Мгновение кануло в вечность</t>
        </is>
      </c>
      <c r="L5737" s="2" t="inlineStr">
        <is>
          <t>https://gosfilmofond.ru/films/254258/</t>
        </is>
      </c>
      <c r="M5737" s="2">
        <f>HYPERLINK("https://ru.wikipedia.org/w/index.php?search=%D0%91%D1%83%D0%B4%D0%B8%D0%BB%D1%8C%D0%BD%D0%B8%D0%BA%201967%20%D1%84%D0%B8%D0%BB%D1%8C%D0%BC","искать")</f>
        <v/>
      </c>
      <c r="N5737" s="3" t="n"/>
      <c r="O5737" s="2" t="n"/>
      <c r="P5737" s="2" t="n"/>
    </row>
    <row r="5738">
      <c r="A5738" s="2" t="n">
        <v>5737</v>
      </c>
      <c r="B5738" s="2" t="inlineStr"/>
      <c r="C5738" s="2" t="n">
        <v>12715</v>
      </c>
      <c r="D5738" s="3" t="inlineStr">
        <is>
          <t>Паломничество лиса</t>
        </is>
      </c>
      <c r="E5738" s="2" t="n">
        <v>1971</v>
      </c>
      <c r="F5738" s="2" t="inlineStr">
        <is>
          <t>мультфильм</t>
        </is>
      </c>
      <c r="G5738" s="2" t="inlineStr">
        <is>
          <t>АЗЕРБАЙДЖАНФИЛЬМ</t>
        </is>
      </c>
      <c r="H5738" s="2" t="n">
        <v>371</v>
      </c>
      <c r="I5738" s="2" t="inlineStr"/>
      <c r="J5738" s="2" t="inlineStr"/>
      <c r="K5738" s="3" t="inlineStr">
        <is>
          <t>Коварный Лис всегда был грозой для кур, но к старости его силы ослабли, потому он решил добывать себе пропитание хитростью. Вот он и нарядился паломником и пошел на богомолье. По дороге он уговаривает Петуха и кур не таить на него злобу, а попросту присоединиться к нему. Вся компания отправляется с Лисом, но по дороге коварный обманщик запихивает всех кур в свой мешок.</t>
        </is>
      </c>
      <c r="L5738" s="2" t="inlineStr">
        <is>
          <t>https://gosfilmofond.ru/films/250591/</t>
        </is>
      </c>
      <c r="M5738" s="2">
        <f>HYPERLINK("https://ru.wikipedia.org/w/index.php?search=%D0%9F%D0%B0%D0%BB%D0%BE%D0%BC%D0%BD%D0%B8%D1%87%D0%B5%D1%81%D1%82%D0%B2%D0%BE%20%D0%BB%D0%B8%D1%81%D0%B0%201971%20%D1%84%D0%B8%D0%BB%D1%8C%D0%BC","искать")</f>
        <v/>
      </c>
      <c r="N5738" s="3" t="n"/>
      <c r="O5738" s="2" t="n"/>
      <c r="P5738" s="2" t="n"/>
    </row>
    <row r="5739">
      <c r="A5739" s="2" t="n">
        <v>5738</v>
      </c>
      <c r="B5739" s="2" t="inlineStr"/>
      <c r="C5739" s="2" t="n">
        <v>7210</v>
      </c>
      <c r="D5739" s="3" t="inlineStr">
        <is>
          <t>Анискин и Фантомас</t>
        </is>
      </c>
      <c r="E5739" s="2" t="n">
        <v>1973</v>
      </c>
      <c r="F5739" s="2" t="inlineStr">
        <is>
          <t>телефильм</t>
        </is>
      </c>
      <c r="G5739" s="2" t="inlineStr">
        <is>
          <t>Киностудия имени М. Горького</t>
        </is>
      </c>
      <c r="H5739" s="2" t="n">
        <v>372</v>
      </c>
      <c r="I5739" s="2" t="inlineStr"/>
      <c r="J5739" s="2" t="inlineStr"/>
      <c r="K5739" s="3" t="inlineStr">
        <is>
          <t>Телевизионный детектив по мотивам произведений В.Липатова об умном, внешне простоватом, добродушном сельском участковом Анискине, раскрывающем любые преступления. Злоумышленники в черных масках-чулках ограбили сельского кассира. Расследование ведет старший лейтенант Анискин (Жаров). Он полагает, что местные дети чересчур увлеклись игрой во французского злодея Фантомаса.</t>
        </is>
      </c>
      <c r="L5739" s="2" t="inlineStr">
        <is>
          <t>Кино_СССР сводный каталог.xlsx: список телефильмов</t>
        </is>
      </c>
      <c r="M5739" s="2">
        <f>HYPERLINK("https://ru.wikipedia.org/w/index.php?search=%D0%90%D0%BD%D0%B8%D1%81%D0%BA%D0%B8%D0%BD%20%D0%B8%20%D0%A4%D0%B0%D0%BD%D1%82%D0%BE%D0%BC%D0%B0%D1%81%201973%20%D1%84%D0%B8%D0%BB%D1%8C%D0%BC","искать")</f>
        <v/>
      </c>
      <c r="N5739" s="3" t="n"/>
      <c r="O5739" s="2" t="n"/>
      <c r="P5739" s="2" t="n"/>
    </row>
    <row r="5740">
      <c r="A5740" s="2" t="n">
        <v>5739</v>
      </c>
      <c r="B5740" s="2" t="inlineStr"/>
      <c r="C5740" s="2" t="n">
        <v>7330</v>
      </c>
      <c r="D5740" s="3" t="inlineStr">
        <is>
          <t>Ветер в лицо</t>
        </is>
      </c>
      <c r="E5740" s="2" t="n">
        <v>1977</v>
      </c>
      <c r="F5740" s="2" t="inlineStr">
        <is>
          <t>телефильм</t>
        </is>
      </c>
      <c r="G5740" s="2" t="n"/>
      <c r="H5740" s="2" t="n">
        <v>372</v>
      </c>
      <c r="I5740" s="2" t="inlineStr"/>
      <c r="J5740" s="2" t="inlineStr"/>
      <c r="K5740" s="3" t="inlineStr">
        <is>
          <t>Телефиьм. Каспий. Рыболовецкий поселок. Временный запрет на промысел осетровых - мера вынужденная, иначе эту рыбу внуки только в музеях увидят. Решать эту проблему уговорили земляка, молодого ученого-ихтиолога Рамиза Асадова, возглавившего местный рыбозавод, на базе которого будет создан научно-исследовательский центр по выращиванию и сохранению молодняка осетровых рыб.</t>
        </is>
      </c>
      <c r="L5740" s="2" t="inlineStr">
        <is>
          <t>Кино_СССР сводный каталог.xlsx: список телефильмов</t>
        </is>
      </c>
      <c r="M5740" s="2">
        <f>HYPERLINK("https://ru.wikipedia.org/w/index.php?search=%D0%92%D0%B5%D1%82%D0%B5%D1%80%20%D0%B2%20%D0%BB%D0%B8%D1%86%D0%BE%201977%20%D1%84%D0%B8%D0%BB%D1%8C%D0%BC","искать")</f>
        <v/>
      </c>
      <c r="N5740" s="3" t="n"/>
      <c r="O5740" s="2" t="n"/>
      <c r="P5740" s="2" t="n"/>
    </row>
    <row r="5741">
      <c r="A5741" s="2" t="n">
        <v>5740</v>
      </c>
      <c r="B5741" s="2" t="inlineStr"/>
      <c r="C5741" s="2" t="n">
        <v>7372</v>
      </c>
      <c r="D5741" s="3" t="inlineStr">
        <is>
          <t>Воровской общак</t>
        </is>
      </c>
      <c r="E5741" s="2" t="n">
        <v>1991</v>
      </c>
      <c r="F5741" s="2" t="inlineStr">
        <is>
          <t>телефильм</t>
        </is>
      </c>
      <c r="G5741" s="2" t="n"/>
      <c r="H5741" s="2" t="n">
        <v>372</v>
      </c>
      <c r="I5741" s="2" t="inlineStr"/>
      <c r="J5741" s="2" t="inlineStr"/>
      <c r="K5741" s="3" t="inlineStr">
        <is>
          <t>Психологический детектив по мотивам романа Андриса Колберга «Ночью, под дождем...». Сюжет фильма строится на взаимоотношении бывших одноклассников, один из которых отбыл наказание за преступление, совершенное двумя другими. Чудовищные тюремные "законы", пережитый страх и унижение хотя и не уничтожили до конца в главном герое человечность, но целью его жизни стала месть.</t>
        </is>
      </c>
      <c r="L5741" s="2" t="inlineStr">
        <is>
          <t>Кино_СССР сводный каталог.xlsx: список телефильмов</t>
        </is>
      </c>
      <c r="M5741" s="2">
        <f>HYPERLINK("https://ru.wikipedia.org/w/index.php?search=%D0%92%D0%BE%D1%80%D0%BE%D0%B2%D1%81%D0%BA%D0%BE%D0%B9%20%D0%BE%D0%B1%D1%89%D0%B0%D0%BA%201991%20%D1%84%D0%B8%D0%BB%D1%8C%D0%BC","искать")</f>
        <v/>
      </c>
      <c r="N5741" s="3" t="n"/>
      <c r="O5741" s="2" t="n"/>
      <c r="P5741" s="2" t="n"/>
    </row>
    <row r="5742">
      <c r="A5742" s="2" t="n">
        <v>5741</v>
      </c>
      <c r="B5742" s="2" t="inlineStr"/>
      <c r="C5742" s="2" t="n">
        <v>8118</v>
      </c>
      <c r="D5742" s="3" t="inlineStr">
        <is>
          <t>Пляжный разбойник</t>
        </is>
      </c>
      <c r="E5742" s="2" t="n">
        <v>1987</v>
      </c>
      <c r="F5742" s="2" t="inlineStr">
        <is>
          <t>телефильм</t>
        </is>
      </c>
      <c r="G5742" s="2" t="n"/>
      <c r="H5742" s="2" t="n">
        <v>372</v>
      </c>
      <c r="I5742" s="2" t="inlineStr"/>
      <c r="J5742" s="2" t="inlineStr"/>
      <c r="K5742" s="3" t="inlineStr">
        <is>
          <t>Однажды скромный бухгалтер Бикентий, житель приморского городка, приютил у себя пса. Собака привязалась к одинокому хозяину, но вскоре выяснилось, что пес был обучен прежним хозяином воровать вещи у зазевавших посетителей пляжа. Бикентий, честный человек, накричал на пса, но потом примирился с недостатками своего друга, и даже стал поощрять его сомнительные способности.</t>
        </is>
      </c>
      <c r="L5742" s="2" t="inlineStr">
        <is>
          <t>Кино_СССР сводный каталог.xlsx: список телефильмов</t>
        </is>
      </c>
      <c r="M5742" s="2">
        <f>HYPERLINK("https://ru.wikipedia.org/w/index.php?search=%D0%9F%D0%BB%D1%8F%D0%B6%D0%BD%D1%8B%D0%B9%20%D1%80%D0%B0%D0%B7%D0%B1%D0%BE%D0%B9%D0%BD%D0%B8%D0%BA%201987%20%D1%84%D0%B8%D0%BB%D1%8C%D0%BC","искать")</f>
        <v/>
      </c>
      <c r="N5742" s="3" t="n"/>
      <c r="O5742" s="2" t="n"/>
      <c r="P5742" s="2" t="n"/>
    </row>
    <row r="5743">
      <c r="A5743" s="2" t="n">
        <v>5742</v>
      </c>
      <c r="B5743" s="2" t="inlineStr"/>
      <c r="C5743" s="2" t="n">
        <v>9726</v>
      </c>
      <c r="D5743" s="3" t="inlineStr">
        <is>
          <t>Француз</t>
        </is>
      </c>
      <c r="E5743" s="2" t="n">
        <v>1988</v>
      </c>
      <c r="F5743" s="2" t="inlineStr">
        <is>
          <t>кинофильм</t>
        </is>
      </c>
      <c r="G5743" s="2" t="n"/>
      <c r="H5743" s="2" t="n">
        <v>372</v>
      </c>
      <c r="I5743" s="2" t="inlineStr"/>
      <c r="J5743" s="2" t="inlineStr"/>
      <c r="K5743" s="3" t="inlineStr">
        <is>
          <t>Трагикомедия рассказывает о жизни бывшего военнопленного и участника французского Сопротивления по прозвищу «Француз», вернувшегося домой после войны. Дети уже почти выросли и не помнят отца, жена собралась замуж за аптекаря, а вскоре в доме поселяется странный «родственник». И только искренняя любовь к своим близким помогает найти взаимопонимание и снова обрести семью.</t>
        </is>
      </c>
      <c r="L5743" s="2" t="inlineStr">
        <is>
          <t>https://ru.wikipedia.org/w/index.php?title=%D0%A4%D1%80%D0%B0%D0%BD%D1%86%D1%83%D0%B7_%28%D1%84%D0%B8%D0%BB%D1%8C%D0%BC%2C_1988%29&amp;oldid=153799300</t>
        </is>
      </c>
      <c r="M5743" s="2">
        <f>HYPERLINK("https://ru.wikipedia.org/w/index.php?search=%D0%A4%D1%80%D0%B0%D0%BD%D1%86%D1%83%D0%B7%201988%20%D1%84%D0%B8%D0%BB%D1%8C%D0%BC","искать")</f>
        <v/>
      </c>
      <c r="N5743" s="3" t="n"/>
      <c r="O5743" s="2" t="n"/>
      <c r="P5743" s="2" t="n"/>
    </row>
    <row r="5744">
      <c r="A5744" s="2" t="n">
        <v>5743</v>
      </c>
      <c r="B5744" s="2" t="inlineStr"/>
      <c r="C5744" s="2" t="n">
        <v>10167</v>
      </c>
      <c r="D5744" s="3" t="inlineStr">
        <is>
          <t>Лабиринт</t>
        </is>
      </c>
      <c r="E5744" s="2" t="n">
        <v>1966</v>
      </c>
      <c r="F5744" s="2" t="inlineStr">
        <is>
          <t>фильм-спектакль</t>
        </is>
      </c>
      <c r="G5744" s="2" t="inlineStr">
        <is>
          <t>Центральное ТВ</t>
        </is>
      </c>
      <c r="H5744" s="2" t="n">
        <v>372</v>
      </c>
      <c r="I5744" s="2" t="inlineStr"/>
      <c r="J5744" s="2" t="inlineStr"/>
      <c r="K5744" s="3" t="inlineStr">
        <is>
          <t>По мотивам рассказа итальянского писателя Паоло Леви.
Действие происходит в одной из капиталистических стран накануне выборов. Полиция задерживает журналиста оппозиционной газеты по подозрению в убийстве. Доказательства обвинения скупы и непрочны. Но вокруг этого дела развернулась грязная политическая возня. Судьба и жизнь человека становятся ставкой в борьбе за власть.</t>
        </is>
      </c>
      <c r="L5744" s="2" t="inlineStr">
        <is>
          <t>https://www.kino-teatr.ru/teatr/movie/81421/annot/</t>
        </is>
      </c>
      <c r="M5744" s="2">
        <f>HYPERLINK("https://ru.wikipedia.org/w/index.php?search=%D0%9B%D0%B0%D0%B1%D0%B8%D1%80%D0%B8%D0%BD%D1%82%201966%20%D1%84%D0%B8%D0%BB%D1%8C%D0%BC","искать")</f>
        <v/>
      </c>
      <c r="N5744" s="3" t="n"/>
      <c r="O5744" s="2" t="n"/>
      <c r="P5744" s="2" t="n"/>
    </row>
    <row r="5745">
      <c r="A5745" s="2" t="n">
        <v>5744</v>
      </c>
      <c r="B5745" s="2" t="inlineStr"/>
      <c r="C5745" s="2" t="n">
        <v>8158</v>
      </c>
      <c r="D5745" s="3" t="inlineStr">
        <is>
          <t>Поляна сказок</t>
        </is>
      </c>
      <c r="E5745" s="2" t="n">
        <v>1988</v>
      </c>
      <c r="F5745" s="2" t="inlineStr">
        <is>
          <t>телефильм</t>
        </is>
      </c>
      <c r="G5745" s="2" t="n"/>
      <c r="H5745" s="2" t="n">
        <v>373</v>
      </c>
      <c r="I5745" s="2" t="inlineStr"/>
      <c r="J5745" s="2" t="inlineStr"/>
      <c r="K5745" s="3" t="inlineStr">
        <is>
          <t>Телефильм по мотивам повести Кира Булычева "Недостойный богатырь". Волей случая Кузьма Личиков, житель сказочного города Великий Гусляр, попал в пещеру, где покоилась спящая царевна. От поцелуя Кузьмы она проснулась и влюбилась в героя. Любовь пробудила в Личикове талант резчика по дереву, и он украсил забавными фигурками лесную поляну, где поселился в хижине с царевной.</t>
        </is>
      </c>
      <c r="L5745" s="2" t="inlineStr">
        <is>
          <t>Кино_СССР сводный каталог.xlsx: список телефильмов</t>
        </is>
      </c>
      <c r="M5745" s="2">
        <f>HYPERLINK("https://ru.wikipedia.org/w/index.php?search=%D0%9F%D0%BE%D0%BB%D1%8F%D0%BD%D0%B0%20%D1%81%D0%BA%D0%B0%D0%B7%D0%BE%D0%BA%201988%20%D1%84%D0%B8%D0%BB%D1%8C%D0%BC","искать")</f>
        <v/>
      </c>
      <c r="N5745" s="3" t="n"/>
      <c r="O5745" s="2" t="n"/>
      <c r="P5745" s="2" t="n"/>
    </row>
    <row r="5746">
      <c r="A5746" s="2" t="n">
        <v>5745</v>
      </c>
      <c r="B5746" s="2" t="inlineStr"/>
      <c r="C5746" s="2" t="n">
        <v>8802</v>
      </c>
      <c r="D5746" s="3" t="inlineStr">
        <is>
          <t>Луковое поле</t>
        </is>
      </c>
      <c r="E5746" s="2" t="n">
        <v>1990</v>
      </c>
      <c r="F5746" s="2" t="inlineStr">
        <is>
          <t>кинофильм</t>
        </is>
      </c>
      <c r="G5746" s="2" t="n"/>
      <c r="H5746" s="2" t="n">
        <v>373</v>
      </c>
      <c r="I5746" s="2" t="inlineStr"/>
      <c r="J5746" s="2" t="inlineStr"/>
      <c r="K5746" s="3" t="inlineStr">
        <is>
          <t>По мотивам одноименной поевсти Анатолия Кима. Действие происходит в небольшом корейском поселке в Таджикистане, куда судьбой закинуло после долгих скитаний москвича Павла, давно потерявшего связи с семьей и прошлой жизнью. Судьба сводит героя с удивительной женщиной Любой. Кроме тяжелого ежедневного труда на луковом поле она ухаживает за больным мужем и не ругает судьбу.</t>
        </is>
      </c>
      <c r="L5746" s="2" t="inlineStr">
        <is>
          <t>Кино_СССР сводный каталог.xlsx: список фильмов (доп.)</t>
        </is>
      </c>
      <c r="M5746" s="2">
        <f>HYPERLINK("https://ru.wikipedia.org/w/index.php?search=%D0%9B%D1%83%D0%BA%D0%BE%D0%B2%D0%BE%D0%B5%20%D0%BF%D0%BE%D0%BB%D0%B5%201990%20%D1%84%D0%B8%D0%BB%D1%8C%D0%BC","искать")</f>
        <v/>
      </c>
      <c r="N5746" s="3" t="n"/>
      <c r="O5746" s="2" t="n"/>
      <c r="P5746" s="2" t="n"/>
    </row>
    <row r="5747">
      <c r="A5747" s="2" t="n">
        <v>5746</v>
      </c>
      <c r="B5747" s="2" t="inlineStr"/>
      <c r="C5747" s="2" t="n">
        <v>9335</v>
      </c>
      <c r="D5747" s="3" t="inlineStr">
        <is>
          <t>Дикарь</t>
        </is>
      </c>
      <c r="E5747" s="2" t="n">
        <v>1988</v>
      </c>
      <c r="F5747" s="2" t="inlineStr">
        <is>
          <t>кинофильм</t>
        </is>
      </c>
      <c r="G5747" s="2" t="n"/>
      <c r="H5747" s="2" t="n">
        <v>373</v>
      </c>
      <c r="I5747" s="2" t="inlineStr"/>
      <c r="J5747" s="2" t="inlineStr"/>
      <c r="K5747" s="3" t="inlineStr">
        <is>
          <t>Действие фильма происходит в начале пятидесятых годов в провинциальном узбекском городе. Страх и отчуждение проникли и в этот, некогда уютный, городок. Герой фильма, подросток Алик, однажды становится свидетелем хамского поступка соседа, сделавшего на доносах головокружительную карьеру. Вступившись за беспомощную женщину, юный герой, тем самым, подписывает себе приговор.</t>
        </is>
      </c>
      <c r="L5747" s="2" t="inlineStr">
        <is>
          <t>Кино_СССР сводный каталог.xlsx: список фильмов (доп.)</t>
        </is>
      </c>
      <c r="M5747" s="2">
        <f>HYPERLINK("https://ru.wikipedia.org/w/index.php?search=%D0%94%D0%B8%D0%BA%D0%B0%D1%80%D1%8C%201988%20%D1%84%D0%B8%D0%BB%D1%8C%D0%BC","искать")</f>
        <v/>
      </c>
      <c r="N5747" s="3" t="n"/>
      <c r="O5747" s="2" t="n"/>
      <c r="P5747" s="2" t="n"/>
    </row>
    <row r="5748">
      <c r="A5748" s="2" t="n">
        <v>5747</v>
      </c>
      <c r="B5748" s="2" t="inlineStr"/>
      <c r="C5748" s="2" t="n">
        <v>11982</v>
      </c>
      <c r="D5748" s="3" t="inlineStr">
        <is>
          <t>Пес в сапогах</t>
        </is>
      </c>
      <c r="E5748" s="2" t="n">
        <v>1981</v>
      </c>
      <c r="F5748" s="2" t="inlineStr">
        <is>
          <t>мультфильм</t>
        </is>
      </c>
      <c r="G5748" s="2" t="inlineStr">
        <is>
          <t>Союзмультфильм</t>
        </is>
      </c>
      <c r="H5748" s="2" t="n">
        <v>373</v>
      </c>
      <c r="I5748" s="2" t="inlineStr"/>
      <c r="J5748" s="2" t="inlineStr"/>
      <c r="K5748" s="3" t="inlineStr">
        <is>
          <t>В самом начале этого мультфильма написано, что это - "Киноверсия "Трех мушкетеров". Можно так сказать. Здесь собаки короля сражаются против котов кардинала. Героев знаменитого романа А. Дюма авторы превратили в собак. Много музыки и замечательных песен, написанных М. Либиным и исполненных ансамблем "Рок-ателье" под руководством Криса Кельми. Детям обязательно понравится.</t>
        </is>
      </c>
      <c r="L5748" s="2" t="inlineStr">
        <is>
          <t>2026-10_мультфильмы_список_владельца.xlsx; https://animator.ru/db/?p=show_film&amp;fid=3096</t>
        </is>
      </c>
      <c r="M5748" s="2">
        <f>HYPERLINK("https://ru.wikipedia.org/w/index.php?search=%D0%9F%D0%B5%D1%81%20%D0%B2%20%D1%81%D0%B0%D0%BF%D0%BE%D0%B3%D0%B0%D1%85%201981%20%D1%84%D0%B8%D0%BB%D1%8C%D0%BC","искать")</f>
        <v/>
      </c>
      <c r="N5748" s="3" t="n"/>
      <c r="O5748" s="2" t="n"/>
      <c r="P5748" s="2" t="n"/>
    </row>
    <row r="5749">
      <c r="A5749" s="2" t="n">
        <v>5748</v>
      </c>
      <c r="B5749" s="2" t="inlineStr"/>
      <c r="C5749" s="2" t="n">
        <v>7872</v>
      </c>
      <c r="D5749" s="3" t="inlineStr">
        <is>
          <t>Мзиури</t>
        </is>
      </c>
      <c r="E5749" s="2" t="n">
        <v>1973</v>
      </c>
      <c r="F5749" s="2" t="inlineStr">
        <is>
          <t>телефильм</t>
        </is>
      </c>
      <c r="G5749" s="2" t="n"/>
      <c r="H5749" s="2" t="n">
        <v>374</v>
      </c>
      <c r="I5749" s="2" t="inlineStr"/>
      <c r="J5749" s="2" t="inlineStr"/>
      <c r="K5749" s="3" t="inlineStr">
        <is>
          <t>Проходит первенство мира по академической гребле. Сборная Советского Союза становится чемпионом. Капитан команды грузин - Никурадзе, которого Всесоюзная пионерская организация награждает путевкой - он должен в "Артек" отвезти пионерский отряд. Никурадзе думает, что это спортивный отряд, но какого его возмущение, когда видит, что отряд музыкальный, где одни только девочки.</t>
        </is>
      </c>
      <c r="L5749" s="2" t="inlineStr">
        <is>
          <t>Кино_СССР сводный каталог.xlsx: список телефильмов</t>
        </is>
      </c>
      <c r="M5749" s="2">
        <f>HYPERLINK("https://ru.wikipedia.org/w/index.php?search=%D0%9C%D0%B7%D0%B8%D1%83%D1%80%D0%B8%201973%20%D1%84%D0%B8%D0%BB%D1%8C%D0%BC","искать")</f>
        <v/>
      </c>
      <c r="N5749" s="3" t="n"/>
      <c r="O5749" s="2" t="n"/>
      <c r="P5749" s="2" t="n"/>
    </row>
    <row r="5750">
      <c r="A5750" s="2" t="n">
        <v>5749</v>
      </c>
      <c r="B5750" s="2" t="inlineStr"/>
      <c r="C5750" s="2" t="n">
        <v>8051</v>
      </c>
      <c r="D5750" s="3" t="inlineStr">
        <is>
          <t>Осенние грозы</t>
        </is>
      </c>
      <c r="E5750" s="2" t="n">
        <v>1974</v>
      </c>
      <c r="F5750" s="2" t="inlineStr">
        <is>
          <t>телефильм</t>
        </is>
      </c>
      <c r="G5750" s="2" t="n"/>
      <c r="H5750" s="2" t="n">
        <v>374</v>
      </c>
      <c r="I5750" s="2" t="inlineStr"/>
      <c r="J5750" s="2" t="inlineStr"/>
      <c r="K5750" s="3" t="inlineStr">
        <is>
          <t>По мотивам романа Лидии Мищенко «Полынь — вдовья трава». С некоторых пор не ладится жизнь в семье Козмы Жосана, председателя колхоза одного из молдавских сел. В ответ на равнодушие жены Домники полюбил Козма односельчанку Ольгу, которая отвечает ему взаимностью. Но счастье их как полынь горькое: везде их преследует тяжелый взгляд Домники, в котором застыли тревога и боль.</t>
        </is>
      </c>
      <c r="L5750" s="2" t="inlineStr">
        <is>
          <t>Кино_СССР сводный каталог.xlsx: список телефильмов</t>
        </is>
      </c>
      <c r="M5750" s="2">
        <f>HYPERLINK("https://ru.wikipedia.org/w/index.php?search=%D0%9E%D1%81%D0%B5%D0%BD%D0%BD%D0%B8%D0%B5%20%D0%B3%D1%80%D0%BE%D0%B7%D1%8B%201974%20%D1%84%D0%B8%D0%BB%D1%8C%D0%BC","искать")</f>
        <v/>
      </c>
      <c r="N5750" s="3" t="n"/>
      <c r="O5750" s="2" t="n"/>
      <c r="P5750" s="2" t="n"/>
    </row>
    <row r="5751">
      <c r="A5751" s="2" t="n">
        <v>5750</v>
      </c>
      <c r="B5751" s="2" t="inlineStr"/>
      <c r="C5751" s="2" t="n">
        <v>8070</v>
      </c>
      <c r="D5751" s="3" t="inlineStr">
        <is>
          <t>Отряд специального назначения</t>
        </is>
      </c>
      <c r="E5751" s="2" t="n">
        <v>1987</v>
      </c>
      <c r="F5751" s="2" t="inlineStr">
        <is>
          <t>телефильм</t>
        </is>
      </c>
      <c r="G5751" s="2" t="n"/>
      <c r="H5751" s="2" t="n">
        <v>374</v>
      </c>
      <c r="I5751" s="2" t="inlineStr"/>
      <c r="J5751" s="2" t="inlineStr"/>
      <c r="K5751" s="3" t="inlineStr">
        <is>
          <t>Во время Великой Отечественной войны в 1942 году по решению ставки Верховного главнокомандования под Ровно создаётся отряд специального назначения "Победители". Разведка — вот основная задача, поставленная перед командиром отряда Дмитрием Медведевым. Сбор разведданных под видом немецкого офицера осуществляет чекист Николай Кузнецов, известный в отряде под фамилией Грачёв.</t>
        </is>
      </c>
      <c r="L5751" s="2" t="inlineStr">
        <is>
          <t>Кино_СССР сводный каталог.xlsx: список телефильмов</t>
        </is>
      </c>
      <c r="M5751" s="2">
        <f>HYPERLINK("https://ru.wikipedia.org/w/index.php?search=%D0%9E%D1%82%D1%80%D1%8F%D0%B4%20%D1%81%D0%BF%D0%B5%D1%86%D0%B8%D0%B0%D0%BB%D1%8C%D0%BD%D0%BE%D0%B3%D0%BE%20%D0%BD%D0%B0%D0%B7%D0%BD%D0%B0%D1%87%D0%B5%D0%BD%D0%B8%D1%8F%201987%20%D1%84%D0%B8%D0%BB%D1%8C%D0%BC","искать")</f>
        <v/>
      </c>
      <c r="N5751" s="3" t="n"/>
      <c r="O5751" s="2" t="n"/>
      <c r="P5751" s="2" t="n"/>
    </row>
    <row r="5752">
      <c r="A5752" s="2" t="n">
        <v>5751</v>
      </c>
      <c r="B5752" s="2" t="inlineStr"/>
      <c r="C5752" s="2" t="n">
        <v>8941</v>
      </c>
      <c r="D5752" s="3" t="inlineStr">
        <is>
          <t>Под маской Беркута</t>
        </is>
      </c>
      <c r="E5752" s="2" t="n">
        <v>1991</v>
      </c>
      <c r="F5752" s="2" t="inlineStr">
        <is>
          <t>кинофильм</t>
        </is>
      </c>
      <c r="G5752" s="2" t="n"/>
      <c r="H5752" s="2" t="n">
        <v>374</v>
      </c>
      <c r="I5752" s="2" t="inlineStr"/>
      <c r="J5752" s="2" t="inlineStr"/>
      <c r="K5752" s="3" t="inlineStr">
        <is>
          <t>Американский журналист Брюс получает рискованное задание:побывать на острове Макомбо,где появились беркуты,похищающие детей.К нему присоединяется русский Павел и журналистка Жаннет.Однако вместо беркутов они обнаруживают некий лагерь.Покушение на журналистов,обвал,убийство мальчика-шофера-все это наводит на мысль,что кто-то считает пребывание их на острове нежелательным..</t>
        </is>
      </c>
      <c r="L5752" s="2" t="inlineStr">
        <is>
          <t>https://gosfilmofond.ru/films/250109/</t>
        </is>
      </c>
      <c r="M5752" s="2">
        <f>HYPERLINK("https://ru.wikipedia.org/w/index.php?search=%D0%9F%D0%BE%D0%B4%20%D0%BC%D0%B0%D1%81%D0%BA%D0%BE%D0%B9%20%D0%91%D0%B5%D1%80%D0%BA%D1%83%D1%82%D0%B0%201991%20%D1%84%D0%B8%D0%BB%D1%8C%D0%BC","искать")</f>
        <v/>
      </c>
      <c r="N5752" s="3" t="n"/>
      <c r="O5752" s="2" t="n"/>
      <c r="P5752" s="2" t="n"/>
    </row>
    <row r="5753">
      <c r="A5753" s="2" t="n">
        <v>5752</v>
      </c>
      <c r="B5753" s="2" t="inlineStr"/>
      <c r="C5753" s="2" t="n">
        <v>9199</v>
      </c>
      <c r="D5753" s="3" t="inlineStr">
        <is>
          <t>Автопортрет неизвестного</t>
        </is>
      </c>
      <c r="E5753" s="2" t="n">
        <v>1988</v>
      </c>
      <c r="F5753" s="2" t="inlineStr">
        <is>
          <t>кинофильм</t>
        </is>
      </c>
      <c r="G5753" s="2" t="n"/>
      <c r="H5753" s="2" t="n">
        <v>374</v>
      </c>
      <c r="I5753" s="2" t="inlineStr"/>
      <c r="J5753" s="2" t="inlineStr"/>
      <c r="K5753" s="3" t="inlineStr">
        <is>
          <t>Фильм о человеке, который плывет по течению жизни, потому что не смог найти своего места в ней... Сорокалетний инженер Игорь Чернов случайно оказывается в кинотеатре. Его поражает сходство биографии экранного героя (Белова) со своей. Наблюдая себя со стороны, Игорь пытается понять и заново осмыслить прожитую жизнь, в которой он, как поэт и художник, так и не реализовался.</t>
        </is>
      </c>
      <c r="L5753" s="2" t="inlineStr">
        <is>
          <t>Кино_СССР сводный каталог.xlsx: список фильмов (доп.)</t>
        </is>
      </c>
      <c r="M5753" s="2">
        <f>HYPERLINK("https://ru.wikipedia.org/w/index.php?search=%D0%90%D0%B2%D1%82%D0%BE%D0%BF%D0%BE%D1%80%D1%82%D1%80%D0%B5%D1%82%20%D0%BD%D0%B5%D0%B8%D0%B7%D0%B2%D0%B5%D1%81%D1%82%D0%BD%D0%BE%D0%B3%D0%BE%201988%20%D1%84%D0%B8%D0%BB%D1%8C%D0%BC","искать")</f>
        <v/>
      </c>
      <c r="N5753" s="3" t="n"/>
      <c r="O5753" s="2" t="n"/>
      <c r="P5753" s="2" t="n"/>
    </row>
    <row r="5754">
      <c r="A5754" s="2" t="n">
        <v>5753</v>
      </c>
      <c r="B5754" s="2" t="inlineStr"/>
      <c r="C5754" s="2" t="n">
        <v>9311</v>
      </c>
      <c r="D5754" s="3" t="inlineStr">
        <is>
          <t>Гомункулус</t>
        </is>
      </c>
      <c r="E5754" s="2" t="n">
        <v>1988</v>
      </c>
      <c r="F5754" s="2" t="inlineStr">
        <is>
          <t>кинофильм</t>
        </is>
      </c>
      <c r="G5754" s="2" t="inlineStr">
        <is>
          <t>Беларусьфильм</t>
        </is>
      </c>
      <c r="H5754" s="2" t="n">
        <v>374</v>
      </c>
      <c r="I5754" s="2" t="inlineStr"/>
      <c r="J5754" s="2" t="inlineStr"/>
      <c r="K5754" s="3" t="inlineStr">
        <is>
          <t>По мотивам повести Ольги Ипатовой «Узелок Святогора». Девочка со странным именем Веня Рыжик живет и воспитывается в детском доме. Она абсолютно не воспринимает лжи, не нуждается в родственниках, свободна и независима в своих суждениях и мечтах о мире свободных людей. Среди своих сверстников она создает «лигу детей колбы», гомункулусов, не нуждающихся в родительской опеке.</t>
        </is>
      </c>
      <c r="L5754" s="2" t="inlineStr">
        <is>
          <t>Кино_СССР сводный каталог.xlsx: список фильмов (доп.)</t>
        </is>
      </c>
      <c r="M5754" s="2">
        <f>HYPERLINK("https://ru.wikipedia.org/w/index.php?search=%D0%93%D0%BE%D0%BC%D1%83%D0%BD%D0%BA%D1%83%D0%BB%D1%83%D1%81%201988%20%D1%84%D0%B8%D0%BB%D1%8C%D0%BC","искать")</f>
        <v/>
      </c>
      <c r="N5754" s="3" t="n"/>
      <c r="O5754" s="2" t="n"/>
      <c r="P5754" s="2" t="n"/>
    </row>
    <row r="5755">
      <c r="A5755" s="2" t="n">
        <v>5754</v>
      </c>
      <c r="B5755" s="2" t="inlineStr"/>
      <c r="C5755" s="2" t="n">
        <v>9557</v>
      </c>
      <c r="D5755" s="3" t="inlineStr">
        <is>
          <t>Повесть непогашенной луны</t>
        </is>
      </c>
      <c r="E5755" s="2" t="n">
        <v>1990</v>
      </c>
      <c r="F5755" s="2" t="inlineStr">
        <is>
          <t>кинофильм</t>
        </is>
      </c>
      <c r="G5755" s="2" t="n"/>
      <c r="H5755" s="2" t="n">
        <v>374</v>
      </c>
      <c r="I5755" s="2" t="inlineStr"/>
      <c r="J5755" s="2" t="inlineStr"/>
      <c r="K5755" s="3" t="inlineStr">
        <is>
          <t>По мотивам одноименной повести Бориса Пильняка. Легендарный полководец гражданской войны ложится на операционный стол по решению, принятом на специальном заседании Политбюро, хотя его лечащий врач не считает хирургическое вмешательство необходимым. В образе Наркомвоенмора легко угадываются черты одного из героев гражданской войны, военачальника Михаила Васильевича Фрунзе.</t>
        </is>
      </c>
      <c r="L5755" s="2" t="inlineStr">
        <is>
          <t>Кино_СССР сводный каталог.xlsx: список фильмов (доп.)</t>
        </is>
      </c>
      <c r="M5755" s="2">
        <f>HYPERLINK("https://ru.wikipedia.org/w/index.php?search=%D0%9F%D0%BE%D0%B2%D0%B5%D1%81%D1%82%D1%8C%20%D0%BD%D0%B5%D0%BF%D0%BE%D0%B3%D0%B0%D1%88%D0%B5%D0%BD%D0%BD%D0%BE%D0%B9%20%D0%BB%D1%83%D0%BD%D1%8B%201990%20%D1%84%D0%B8%D0%BB%D1%8C%D0%BC","искать")</f>
        <v/>
      </c>
      <c r="N5755" s="3" t="n"/>
      <c r="O5755" s="2" t="n"/>
      <c r="P5755" s="2" t="n"/>
    </row>
    <row r="5756">
      <c r="A5756" s="2" t="n">
        <v>5755</v>
      </c>
      <c r="B5756" s="2" t="inlineStr"/>
      <c r="C5756" s="2" t="n">
        <v>9608</v>
      </c>
      <c r="D5756" s="3" t="inlineStr">
        <is>
          <t>Путешествие молодого композитора</t>
        </is>
      </c>
      <c r="E5756" s="2" t="n">
        <v>1984</v>
      </c>
      <c r="F5756" s="2" t="inlineStr">
        <is>
          <t>кинофильм</t>
        </is>
      </c>
      <c r="G5756" s="2" t="n"/>
      <c r="H5756" s="2" t="n">
        <v>374</v>
      </c>
      <c r="I5756" s="2" t="inlineStr"/>
      <c r="J5756" s="2" t="inlineStr"/>
      <c r="K5756" s="3" t="inlineStr">
        <is>
          <t>По роману О.Чхеидзе "Ветер,которому нет имени".1907г.Молодой композитор Никуша отправлется по селам Грузии, чтобы записать народные песни. Он запасается картой, на которой он помечает места, где хотел бы побывать. Волею случая его попутчик связывает его поездку и карту с планом будущего восстания революционеров. Композитора и весх, с кем он встречался арестовывает охранка</t>
        </is>
      </c>
      <c r="L5756" s="2" t="inlineStr">
        <is>
          <t>https://gosfilmofond.ru/films/249092/</t>
        </is>
      </c>
      <c r="M5756" s="2">
        <f>HYPERLINK("https://ru.wikipedia.org/w/index.php?search=%D0%9F%D1%83%D1%82%D0%B5%D1%88%D0%B5%D1%81%D1%82%D0%B2%D0%B8%D0%B5%20%D0%BC%D0%BE%D0%BB%D0%BE%D0%B4%D0%BE%D0%B3%D0%BE%20%D0%BA%D0%BE%D0%BC%D0%BF%D0%BE%D0%B7%D0%B8%D1%82%D0%BE%D1%80%D0%B0%201984%20%D1%84%D0%B8%D0%BB%D1%8C%D0%BC","искать")</f>
        <v/>
      </c>
      <c r="N5756" s="3" t="n"/>
      <c r="O5756" s="2" t="n"/>
      <c r="P5756" s="2" t="n"/>
    </row>
    <row r="5757">
      <c r="A5757" s="2" t="n">
        <v>5756</v>
      </c>
      <c r="B5757" s="2" t="inlineStr"/>
      <c r="C5757" s="2" t="n">
        <v>10226</v>
      </c>
      <c r="D5757" s="3" t="inlineStr">
        <is>
          <t>Актриса</t>
        </is>
      </c>
      <c r="E5757" s="2" t="n">
        <v>1968</v>
      </c>
      <c r="F5757" s="2" t="inlineStr">
        <is>
          <t>фильм-спектакль</t>
        </is>
      </c>
      <c r="G5757" s="2" t="inlineStr">
        <is>
          <t>Центральное телевидение, Подборки фильмов, экранизации Алексея Толстого</t>
        </is>
      </c>
      <c r="H5757" s="2" t="n">
        <v>374</v>
      </c>
      <c r="I5757" s="2" t="inlineStr"/>
      <c r="J5757" s="2" t="inlineStr"/>
      <c r="K5757" s="3" t="inlineStr">
        <is>
          <t>Телеспектакль по мотивам рассказов А.Н.Толстого «Актриса» и «Выстрел».
Разорившийся дворянин Степан Хомутов пять лет жил в разлуке со своей женой, актрисой Марией Огневой. Известие о ее приезде в городок приводит Хомутова в ужас. Его неунывающий друг занимает деньги и пытается хоть как-то приукрасить достаточно незавидное положение гордеца Хомутова перед Марией Петровной.</t>
        </is>
      </c>
      <c r="L5757" s="2" t="inlineStr">
        <is>
          <t>https://www.kino-teatr.ru/teatr/movie/8803/annot/</t>
        </is>
      </c>
      <c r="M5757" s="2">
        <f>HYPERLINK("https://ru.wikipedia.org/w/index.php?search=%D0%90%D0%BA%D1%82%D1%80%D0%B8%D1%81%D0%B0%201968%20%D1%84%D0%B8%D0%BB%D1%8C%D0%BC","искать")</f>
        <v/>
      </c>
      <c r="N5757" s="3" t="n"/>
      <c r="O5757" s="2" t="n"/>
      <c r="P5757" s="2" t="n"/>
    </row>
    <row r="5758">
      <c r="A5758" s="2" t="n">
        <v>5757</v>
      </c>
      <c r="B5758" s="2" t="inlineStr"/>
      <c r="C5758" s="2" t="n">
        <v>11122</v>
      </c>
      <c r="D5758" s="3" t="inlineStr">
        <is>
          <t>Осенняя кампания 1799 года</t>
        </is>
      </c>
      <c r="E5758" s="2" t="n">
        <v>1986</v>
      </c>
      <c r="F5758" s="2" t="inlineStr">
        <is>
          <t>фильм-спектакль</t>
        </is>
      </c>
      <c r="G5758" s="2" t="inlineStr">
        <is>
          <t>Творческое объединение "Экран"</t>
        </is>
      </c>
      <c r="H5758" s="2" t="n">
        <v>374</v>
      </c>
      <c r="I5758" s="2" t="inlineStr"/>
      <c r="J5758" s="2" t="inlineStr"/>
      <c r="K5758" s="3" t="inlineStr">
        <is>
          <t>По одноименной пьесе Александра Ремеза в постановке Центрального академического театра Советской Армии.
В августе 1799 года российские войска под командованием А.В. Суворова, разгромив французов в северной Италии, получают неожиданный приказ. Вместо похода на Париж им предписывается идти в труднодоступные швейцарские Альпы, где стоит мощная и бессчетная французская армия.</t>
        </is>
      </c>
      <c r="L5758" s="2" t="inlineStr">
        <is>
          <t>https://www.kino-teatr.ru/teatr/movie/81410/annot/</t>
        </is>
      </c>
      <c r="M5758" s="2">
        <f>HYPERLINK("https://ru.wikipedia.org/w/index.php?search=%D0%9E%D1%81%D0%B5%D0%BD%D0%BD%D1%8F%D1%8F%20%D0%BA%D0%B0%D0%BC%D0%BF%D0%B0%D0%BD%D0%B8%D1%8F%201799%20%D0%B3%D0%BE%D0%B4%D0%B0%201986%20%D1%84%D0%B8%D0%BB%D1%8C%D0%BC","искать")</f>
        <v/>
      </c>
      <c r="N5758" s="3" t="n"/>
      <c r="O5758" s="2" t="n"/>
      <c r="P5758" s="2" t="n"/>
    </row>
    <row r="5759">
      <c r="A5759" s="2" t="n">
        <v>5758</v>
      </c>
      <c r="B5759" s="2" t="inlineStr"/>
      <c r="C5759" s="2" t="n">
        <v>12484</v>
      </c>
      <c r="D5759" s="3" t="inlineStr">
        <is>
          <t>Осколки</t>
        </is>
      </c>
      <c r="E5759" s="2" t="n">
        <v>1966</v>
      </c>
      <c r="F5759" s="2" t="inlineStr">
        <is>
          <t>мультфильм</t>
        </is>
      </c>
      <c r="G5759" s="2" t="inlineStr">
        <is>
          <t>КИЕВНАУЧФИЛЬМ</t>
        </is>
      </c>
      <c r="H5759" s="2" t="n">
        <v>374</v>
      </c>
      <c r="I5759" s="2" t="inlineStr"/>
      <c r="J5759" s="2" t="inlineStr"/>
      <c r="K5759" s="3" t="inlineStr">
        <is>
          <t>Первобытный Сценарист хочет протолкнуть свой сценарий в пещеру Редактора.. Но Редактор отказывается принимать сценарий - в нем много острых углов. Эти острые углы обличают хулиганов, пьяниц и бездельников. Сценарист вынужден отбить острые углы у сценария. Только тогда довольный Редактор принимает сценарий. Он кладет его на полку, где лежит целая груда "округлых" сценариев</t>
        </is>
      </c>
      <c r="L5759" s="2" t="inlineStr">
        <is>
          <t>https://gosfilmofond.ru/films/254238/</t>
        </is>
      </c>
      <c r="M5759" s="2">
        <f>HYPERLINK("https://ru.wikipedia.org/w/index.php?search=%D0%9E%D1%81%D0%BA%D0%BE%D0%BB%D0%BA%D0%B8%201966%20%D1%84%D0%B8%D0%BB%D1%8C%D0%BC","искать")</f>
        <v/>
      </c>
      <c r="N5759" s="3" t="n"/>
      <c r="O5759" s="2" t="n"/>
      <c r="P5759" s="2" t="n"/>
    </row>
    <row r="5760">
      <c r="A5760" s="2" t="n">
        <v>5759</v>
      </c>
      <c r="B5760" s="2" t="inlineStr"/>
      <c r="C5760" s="2" t="n">
        <v>7889</v>
      </c>
      <c r="D5760" s="3" t="inlineStr">
        <is>
          <t>Мои цыгане</t>
        </is>
      </c>
      <c r="E5760" s="2" t="n">
        <v>1987</v>
      </c>
      <c r="F5760" s="2" t="inlineStr">
        <is>
          <t>телефильм</t>
        </is>
      </c>
      <c r="G5760" s="2" t="n"/>
      <c r="H5760" s="2" t="n">
        <v>375</v>
      </c>
      <c r="I5760" s="2" t="inlineStr"/>
      <c r="J5760" s="2" t="inlineStr"/>
      <c r="K5760" s="3" t="inlineStr">
        <is>
          <t>По автобиографической повести Нодара Думбадзе "Цыгане". Действие фильма происходит во время Великой Отечественной войны в грузинской деревне Зенобани, где на время остановился цыганский табор. Поющие и танцующие люди очень понравились мальчику Нодари. Он подружился с ними и по просьбе деревенских женщин, чьи мужья и сыновья были на фронте, стал приводить в их дома гадалок.</t>
        </is>
      </c>
      <c r="L5760" s="2" t="inlineStr">
        <is>
          <t>Кино_СССР сводный каталог.xlsx: список телефильмов</t>
        </is>
      </c>
      <c r="M5760" s="2">
        <f>HYPERLINK("https://ru.wikipedia.org/w/index.php?search=%D0%9C%D0%BE%D0%B8%20%D1%86%D1%8B%D0%B3%D0%B0%D0%BD%D0%B5%201987%20%D1%84%D0%B8%D0%BB%D1%8C%D0%BC","искать")</f>
        <v/>
      </c>
      <c r="N5760" s="3" t="n"/>
      <c r="O5760" s="2" t="n"/>
      <c r="P5760" s="2" t="n"/>
    </row>
    <row r="5761">
      <c r="A5761" s="2" t="n">
        <v>5760</v>
      </c>
      <c r="B5761" s="2" t="inlineStr"/>
      <c r="C5761" s="2" t="n">
        <v>7901</v>
      </c>
      <c r="D5761" s="3" t="inlineStr">
        <is>
          <t>Моя жена - бабушка</t>
        </is>
      </c>
      <c r="E5761" s="2" t="n">
        <v>1976</v>
      </c>
      <c r="F5761" s="2" t="inlineStr">
        <is>
          <t>телефильм</t>
        </is>
      </c>
      <c r="G5761" s="2" t="n"/>
      <c r="H5761" s="2" t="n">
        <v>375</v>
      </c>
      <c r="I5761" s="2" t="inlineStr"/>
      <c r="J5761" s="2" t="inlineStr"/>
      <c r="K5761" s="3" t="inlineStr">
        <is>
          <t>Наш герой – настоящий мужчина и король в своем доме, единственный пророк для жены своей. Он – учитель, но все свое свободное время посвящает сочинительству, поэтому домочадцы относятся к нему с трепетом и бережно оберегают его покой, чтобы случайно не спугнуть вдохновение. Но в один прекрасный день в семье появился младенец, сразу же завоевавший всеобщую любовь и внимание.</t>
        </is>
      </c>
      <c r="L5761" s="2" t="inlineStr">
        <is>
          <t>Кино_СССР сводный каталог.xlsx: список телефильмов</t>
        </is>
      </c>
      <c r="M5761" s="2">
        <f>HYPERLINK("https://ru.wikipedia.org/w/index.php?search=%D0%9C%D0%BE%D1%8F%20%D0%B6%D0%B5%D0%BD%D0%B0%20-%20%D0%B1%D0%B0%D0%B1%D1%83%D1%88%D0%BA%D0%B0%201976%20%D1%84%D0%B8%D0%BB%D1%8C%D0%BC","искать")</f>
        <v/>
      </c>
      <c r="N5761" s="3" t="n"/>
      <c r="O5761" s="2" t="n"/>
      <c r="P5761" s="2" t="n"/>
    </row>
    <row r="5762">
      <c r="A5762" s="2" t="n">
        <v>5761</v>
      </c>
      <c r="B5762" s="2" t="inlineStr"/>
      <c r="C5762" s="2" t="n">
        <v>8292</v>
      </c>
      <c r="D5762" s="3" t="inlineStr">
        <is>
          <t>Рядом с комиссаром</t>
        </is>
      </c>
      <c r="E5762" s="2" t="n">
        <v>1978</v>
      </c>
      <c r="F5762" s="2" t="inlineStr">
        <is>
          <t>телефильм</t>
        </is>
      </c>
      <c r="G5762" s="2" t="n"/>
      <c r="H5762" s="2" t="n">
        <v>375</v>
      </c>
      <c r="I5762" s="2" t="inlineStr"/>
      <c r="J5762" s="2" t="inlineStr"/>
      <c r="K5762" s="3" t="inlineStr">
        <is>
          <t>Круто изменилась жизнь мальчика Феди после приезда в деревню волостного комиссара. Федька умел читать и писать, поэтому его назначили писарем деревенского комитета бедноты. Вся деревня рада Советской власти. Но кулаки пытаются вредить, не останавливаясь даже перед убийством. И, когда комиссар погибает от вражеской пули, Федька становится настоящим борцом за лучшее будущее.</t>
        </is>
      </c>
      <c r="L5762" s="2" t="inlineStr">
        <is>
          <t>Кино_СССР сводный каталог.xlsx: список телефильмов</t>
        </is>
      </c>
      <c r="M5762" s="2">
        <f>HYPERLINK("https://ru.wikipedia.org/w/index.php?search=%D0%A0%D1%8F%D0%B4%D0%BE%D0%BC%20%D1%81%20%D0%BA%D0%BE%D0%BC%D0%B8%D1%81%D1%81%D0%B0%D1%80%D0%BE%D0%BC%201978%20%D1%84%D0%B8%D0%BB%D1%8C%D0%BC","искать")</f>
        <v/>
      </c>
      <c r="N5762" s="3" t="n"/>
      <c r="O5762" s="2" t="n"/>
      <c r="P5762" s="2" t="n"/>
    </row>
    <row r="5763">
      <c r="A5763" s="2" t="n">
        <v>5762</v>
      </c>
      <c r="B5763" s="2" t="inlineStr"/>
      <c r="C5763" s="2" t="n">
        <v>8462</v>
      </c>
      <c r="D5763" s="3" t="inlineStr">
        <is>
          <t>Только ты</t>
        </is>
      </c>
      <c r="E5763" s="2" t="n">
        <v>1986</v>
      </c>
      <c r="F5763" s="2" t="inlineStr">
        <is>
          <t>телефильм</t>
        </is>
      </c>
      <c r="G5763" s="2" t="n"/>
      <c r="H5763" s="2" t="n">
        <v>375</v>
      </c>
      <c r="I5763" s="2" t="inlineStr"/>
      <c r="J5763" s="2" t="inlineStr"/>
      <c r="K5763" s="3" t="inlineStr">
        <is>
          <t>По мотивам романа Ильяса Эфендиева "Повесть о Сарыкейнек и Валехе". В крановщицу Сарыкейнек влюблены шофер Валех и сын директора совхоза Ровшан. Чтобы скомпрометировать Валеха, Ровшан и его отец совершают преступление. И поначалу все события разворачиваются по их плану. Но приехавший следователь Мурадзаде доказывает невиновность Валеха и разоблачает подлинных преступников.</t>
        </is>
      </c>
      <c r="L5763" s="2" t="inlineStr">
        <is>
          <t>Кино_СССР сводный каталог.xlsx: список телефильмов</t>
        </is>
      </c>
      <c r="M5763" s="2">
        <f>HYPERLINK("https://ru.wikipedia.org/w/index.php?search=%D0%A2%D0%BE%D0%BB%D1%8C%D0%BA%D0%BE%20%D1%82%D1%8B%201986%20%D1%84%D0%B8%D0%BB%D1%8C%D0%BC","искать")</f>
        <v/>
      </c>
      <c r="N5763" s="3" t="n"/>
      <c r="O5763" s="2" t="n"/>
      <c r="P5763" s="2" t="n"/>
    </row>
    <row r="5764">
      <c r="A5764" s="2" t="n">
        <v>5763</v>
      </c>
      <c r="B5764" s="2" t="inlineStr"/>
      <c r="C5764" s="2" t="n">
        <v>8517</v>
      </c>
      <c r="D5764" s="3" t="inlineStr">
        <is>
          <t>Фотография на память</t>
        </is>
      </c>
      <c r="E5764" s="2" t="n">
        <v>1985</v>
      </c>
      <c r="F5764" s="2" t="inlineStr">
        <is>
          <t>телефильм</t>
        </is>
      </c>
      <c r="G5764" s="2" t="n"/>
      <c r="H5764" s="2" t="n">
        <v>375</v>
      </c>
      <c r="I5764" s="2" t="inlineStr"/>
      <c r="J5764" s="2" t="inlineStr"/>
      <c r="K5764" s="3" t="inlineStr">
        <is>
          <t>Однажды компания подростков "обстреляла" камнями проходившую электричку, ранив ехавшую в ней девочку Олю. Одного из хулиганов - Колю - задержали. Мать Коли стремится любыми средствами "спасти" сына. Жестоко страдает его отец - справедливый честный человек. Смерть отца, чувства возникшие у Коли к Ольге, заставляют юношу по-новому осмыслить свои поступки, признать свою вину.</t>
        </is>
      </c>
      <c r="L5764" s="2" t="inlineStr">
        <is>
          <t>Кино_СССР сводный каталог.xlsx: список телефильмов</t>
        </is>
      </c>
      <c r="M5764" s="2">
        <f>HYPERLINK("https://ru.wikipedia.org/w/index.php?search=%D0%A4%D0%BE%D1%82%D0%BE%D0%B3%D1%80%D0%B0%D1%84%D0%B8%D1%8F%20%D0%BD%D0%B0%20%D0%BF%D0%B0%D0%BC%D1%8F%D1%82%D1%8C%201985%20%D1%84%D0%B8%D0%BB%D1%8C%D0%BC","искать")</f>
        <v/>
      </c>
      <c r="N5764" s="3" t="n"/>
      <c r="O5764" s="2" t="n"/>
      <c r="P5764" s="2" t="n"/>
    </row>
    <row r="5765">
      <c r="A5765" s="2" t="n">
        <v>5764</v>
      </c>
      <c r="B5765" s="2" t="inlineStr"/>
      <c r="C5765" s="2" t="n">
        <v>8864</v>
      </c>
      <c r="D5765" s="3" t="inlineStr">
        <is>
          <t>Наш человек в Сан-Ремо</t>
        </is>
      </c>
      <c r="E5765" s="2" t="n">
        <v>1990</v>
      </c>
      <c r="F5765" s="2" t="inlineStr">
        <is>
          <t>кинофильм</t>
        </is>
      </c>
      <c r="G5765" s="2" t="n"/>
      <c r="H5765" s="2" t="n">
        <v>375</v>
      </c>
      <c r="I5765" s="2" t="inlineStr"/>
      <c r="J5765" s="2" t="inlineStr"/>
      <c r="K5765" s="3" t="inlineStr">
        <is>
          <t>Николай только что выписался из госпиталя после ранения, полученного во время службы в Афганистане, и теперь вместе со своим другом едет отдыхать в Сочи. Но в одном из городов по дороге на юг, в ресторане он знакомится с начинающей певицей Таней и влюбляется в неё. Чтобы завоевать её сердце, Николай решает помочь ей добиться успеха на эстраде и готов сделать для этого всё.</t>
        </is>
      </c>
      <c r="L5765" s="2" t="inlineStr">
        <is>
          <t>https://ru.wikipedia.org/w/index.php?title=%D0%9D%D0%B0%D1%88_%D1%87%D0%B5%D0%BB%D0%BE%D0%B2%D0%B5%D0%BA_%D0%B2_%D0%A1%D0%B0%D0%BD-%D0%A0%D0%B5%D0%BC%D0%BE&amp;oldid=154700403</t>
        </is>
      </c>
      <c r="M5765" s="2">
        <f>HYPERLINK("https://ru.wikipedia.org/w/index.php?search=%D0%9D%D0%B0%D1%88%20%D1%87%D0%B5%D0%BB%D0%BE%D0%B2%D0%B5%D0%BA%20%D0%B2%20%D0%A1%D0%B0%D0%BD-%D0%A0%D0%B5%D0%BC%D0%BE%201990%20%D1%84%D0%B8%D0%BB%D1%8C%D0%BC","искать")</f>
        <v/>
      </c>
      <c r="N5765" s="3" t="n"/>
      <c r="O5765" s="2" t="n"/>
      <c r="P5765" s="2" t="n"/>
    </row>
    <row r="5766">
      <c r="A5766" s="2" t="n">
        <v>5765</v>
      </c>
      <c r="B5766" s="2" t="inlineStr"/>
      <c r="C5766" s="2" t="n">
        <v>7360</v>
      </c>
      <c r="D5766" s="3" t="inlineStr">
        <is>
          <t>Войди в каждый дом</t>
        </is>
      </c>
      <c r="E5766" s="2" t="n">
        <v>1989</v>
      </c>
      <c r="F5766" s="2" t="inlineStr">
        <is>
          <t>телефильм</t>
        </is>
      </c>
      <c r="G5766" s="2" t="n"/>
      <c r="H5766" s="2" t="n">
        <v>376</v>
      </c>
      <c r="I5766" s="2" t="inlineStr"/>
      <c r="J5766" s="2" t="inlineStr"/>
      <c r="K5766" s="3" t="inlineStr">
        <is>
          <t>По одноименному роману Елизара Мальцева. Глава колхоза — Аникей Лузгин готов на всё, чтобы покрасоваться перед начальством. Он задумал перевыполнить предстоящий план, не обращая внимания на то, что от этого страдают его односельчане. Но колхозники уже поняли, что командно-административная система стремительно уходит в прошлое, и решили дать окорот зарвавшемуся председателю.</t>
        </is>
      </c>
      <c r="L5766" s="2" t="inlineStr">
        <is>
          <t>Кино_СССР сводный каталог.xlsx: список телефильмов</t>
        </is>
      </c>
      <c r="M5766" s="2">
        <f>HYPERLINK("https://ru.wikipedia.org/w/index.php?search=%D0%92%D0%BE%D0%B9%D0%B4%D0%B8%20%D0%B2%20%D0%BA%D0%B0%D0%B6%D0%B4%D1%8B%D0%B9%20%D0%B4%D0%BE%D0%BC%201989%20%D1%84%D0%B8%D0%BB%D1%8C%D0%BC","искать")</f>
        <v/>
      </c>
      <c r="N5766" s="3" t="n"/>
      <c r="O5766" s="2" t="n"/>
      <c r="P5766" s="2" t="n"/>
    </row>
    <row r="5767">
      <c r="A5767" s="2" t="n">
        <v>5766</v>
      </c>
      <c r="B5767" s="2" t="inlineStr"/>
      <c r="C5767" s="2" t="n">
        <v>7847</v>
      </c>
      <c r="D5767" s="3" t="inlineStr">
        <is>
          <t>Мальчишки - народ хороший</t>
        </is>
      </c>
      <c r="E5767" s="2" t="n">
        <v>1972</v>
      </c>
      <c r="F5767" s="2" t="inlineStr">
        <is>
          <t>телефильм</t>
        </is>
      </c>
      <c r="G5767" s="2" t="n"/>
      <c r="H5767" s="2" t="n">
        <v>376</v>
      </c>
      <c r="I5767" s="2" t="inlineStr"/>
      <c r="J5767" s="2" t="inlineStr"/>
      <c r="K5767" s="3" t="inlineStr">
        <is>
          <t>Роман, самолюбивый и вспыльчивый девятиклассник, успешно занимается боксом и во всех проведенных им боях выходит победителем. Но в одном бою Роман наносит удар противнику уже после гонга. Тренер на время отстраняет его от матчей. Обиженный Роман покидает ринг. Он, конечно, вернется и, конечно, поймет, что честность и благородство — необходимые качества настоящего спортсмена</t>
        </is>
      </c>
      <c r="L5767" s="2" t="inlineStr">
        <is>
          <t>Кино_СССР сводный каталог.xlsx: список телефильмов</t>
        </is>
      </c>
      <c r="M5767" s="2">
        <f>HYPERLINK("https://ru.wikipedia.org/w/index.php?search=%D0%9C%D0%B0%D0%BB%D1%8C%D1%87%D0%B8%D1%88%D0%BA%D0%B8%20-%20%D0%BD%D0%B0%D1%80%D0%BE%D0%B4%20%D1%85%D0%BE%D1%80%D0%BE%D1%88%D0%B8%D0%B9%201972%20%D1%84%D0%B8%D0%BB%D1%8C%D0%BC","искать")</f>
        <v/>
      </c>
      <c r="N5767" s="3" t="n"/>
      <c r="O5767" s="2" t="n"/>
      <c r="P5767" s="2" t="n"/>
    </row>
    <row r="5768">
      <c r="A5768" s="2" t="n">
        <v>5767</v>
      </c>
      <c r="B5768" s="2" t="inlineStr"/>
      <c r="C5768" s="2" t="n">
        <v>8066</v>
      </c>
      <c r="D5768" s="3" t="inlineStr">
        <is>
          <t>Откровение Иоанна Первопечатника</t>
        </is>
      </c>
      <c r="E5768" s="2" t="n">
        <v>1991</v>
      </c>
      <c r="F5768" s="2" t="inlineStr">
        <is>
          <t>телефильм</t>
        </is>
      </c>
      <c r="G5768" s="2" t="n"/>
      <c r="H5768" s="2" t="n">
        <v>376</v>
      </c>
      <c r="I5768" s="2" t="inlineStr"/>
      <c r="J5768" s="2" t="inlineStr"/>
      <c r="K5768" s="3" t="inlineStr">
        <is>
          <t>О жизни первопечатника Ивана Федорова. В его жизни было много и счастливых, и горестных дней: это и любовь к первой жене Анастасии, погибшей при первом московском пожаре, это и долгая мучительная работа над переводами, которые поручил ему митрополит Макарий. В плодотворную жизнь первопечатника вторгаются политические распри, обостряющие его взаимоотношения с Иваном Грозным.</t>
        </is>
      </c>
      <c r="L5768" s="2" t="inlineStr">
        <is>
          <t>Кино_СССР сводный каталог.xlsx: список телефильмов</t>
        </is>
      </c>
      <c r="M5768" s="2">
        <f>HYPERLINK("https://ru.wikipedia.org/w/index.php?search=%D0%9E%D1%82%D0%BA%D1%80%D0%BE%D0%B2%D0%B5%D0%BD%D0%B8%D0%B5%20%D0%98%D0%BE%D0%B0%D0%BD%D0%BD%D0%B0%20%D0%9F%D0%B5%D1%80%D0%B2%D0%BE%D0%BF%D0%B5%D1%87%D0%B0%D1%82%D0%BD%D0%B8%D0%BA%D0%B0%201991%20%D1%84%D0%B8%D0%BB%D1%8C%D0%BC","искать")</f>
        <v/>
      </c>
      <c r="N5768" s="3" t="n"/>
      <c r="O5768" s="2" t="n"/>
      <c r="P5768" s="2" t="n"/>
    </row>
    <row r="5769">
      <c r="A5769" s="2" t="n">
        <v>5768</v>
      </c>
      <c r="B5769" s="2" t="inlineStr"/>
      <c r="C5769" s="2" t="n">
        <v>8630</v>
      </c>
      <c r="D5769" s="3" t="inlineStr">
        <is>
          <t>Без надежды надеюсь</t>
        </is>
      </c>
      <c r="E5769" s="2" t="n">
        <v>1989</v>
      </c>
      <c r="F5769" s="2" t="inlineStr">
        <is>
          <t>кинофильм</t>
        </is>
      </c>
      <c r="G5769" s="2" t="n"/>
      <c r="H5769" s="2" t="n">
        <v>376</v>
      </c>
      <c r="I5769" s="2" t="inlineStr"/>
      <c r="J5769" s="2" t="inlineStr"/>
      <c r="K5769" s="3" t="inlineStr">
        <is>
          <t>Писатель Косташ накануне своего выступления на экологическом форуме отправляется в вояж по своему району, чтобы поставить в известность местные власти о прибытии гостей и самому лично убедиться в их готовности. Однако парад показухи и вульгарщины ставит в весьма затруднительное положение писателя, некогда уверовавшегося в нравственной чистоте и трудолюбии своих односельчан.</t>
        </is>
      </c>
      <c r="L5769" s="2" t="inlineStr">
        <is>
          <t>Кино_СССР сводный каталог.xlsx: список фильмов (доп.)</t>
        </is>
      </c>
      <c r="M5769" s="2">
        <f>HYPERLINK("https://ru.wikipedia.org/w/index.php?search=%D0%91%D0%B5%D0%B7%20%D0%BD%D0%B0%D0%B4%D0%B5%D0%B6%D0%B4%D1%8B%20%D0%BD%D0%B0%D0%B4%D0%B5%D1%8E%D1%81%D1%8C%201989%20%D1%84%D0%B8%D0%BB%D1%8C%D0%BC","искать")</f>
        <v/>
      </c>
      <c r="N5769" s="3" t="n"/>
      <c r="O5769" s="2" t="n"/>
      <c r="P5769" s="2" t="n"/>
    </row>
    <row r="5770">
      <c r="A5770" s="2" t="n">
        <v>5769</v>
      </c>
      <c r="B5770" s="2" t="inlineStr"/>
      <c r="C5770" s="2" t="n">
        <v>8962</v>
      </c>
      <c r="D5770" s="3" t="inlineStr">
        <is>
          <t>Последняя лисичка</t>
        </is>
      </c>
      <c r="E5770" s="2" t="n">
        <v>1990</v>
      </c>
      <c r="F5770" s="2" t="inlineStr">
        <is>
          <t>кинофильм</t>
        </is>
      </c>
      <c r="G5770" s="2" t="n"/>
      <c r="H5770" s="2" t="n">
        <v>376</v>
      </c>
      <c r="I5770" s="2" t="inlineStr"/>
      <c r="J5770" s="2" t="inlineStr"/>
      <c r="K5770" s="3" t="inlineStr">
        <is>
          <t>Во время каникул Данимбек в очередной раз приезжает к дедушке и бабушке. Он повзрослел и ему стыдно за деда, который встречает его на ишаке в старой, потертой шапке. Но однажды в их капкан попадает лисичка. Данимбеку жалко зверька и он отпускает его на волю. Пусть живет - жизнь так хороша! И не терпится ему рассказать про это деду, который пошел заказывать себе новую шапку.</t>
        </is>
      </c>
      <c r="L5770" s="2" t="inlineStr">
        <is>
          <t>Кино_СССР сводный каталог.xlsx: список фильмов (доп.)</t>
        </is>
      </c>
      <c r="M5770" s="2">
        <f>HYPERLINK("https://ru.wikipedia.org/w/index.php?search=%D0%9F%D0%BE%D1%81%D0%BB%D0%B5%D0%B4%D0%BD%D1%8F%D1%8F%20%D0%BB%D0%B8%D1%81%D0%B8%D1%87%D0%BA%D0%B0%201990%20%D1%84%D0%B8%D0%BB%D1%8C%D0%BC","искать")</f>
        <v/>
      </c>
      <c r="N5770" s="3" t="n"/>
      <c r="O5770" s="2" t="n"/>
      <c r="P5770" s="2" t="n"/>
    </row>
    <row r="5771">
      <c r="A5771" s="2" t="n">
        <v>5770</v>
      </c>
      <c r="B5771" s="2" t="inlineStr"/>
      <c r="C5771" s="2" t="n">
        <v>9177</v>
      </c>
      <c r="D5771" s="3" t="inlineStr">
        <is>
          <t>Штормовое предупреждение</t>
        </is>
      </c>
      <c r="E5771" s="2" t="n">
        <v>1988</v>
      </c>
      <c r="F5771" s="2" t="inlineStr">
        <is>
          <t>кинофильм</t>
        </is>
      </c>
      <c r="G5771" s="2" t="n"/>
      <c r="H5771" s="2" t="n">
        <v>376</v>
      </c>
      <c r="I5771" s="2" t="inlineStr"/>
      <c r="J5771" s="2" t="inlineStr"/>
      <c r="K5771" s="3" t="inlineStr">
        <is>
          <t>На город надвигается стихийное бедствие - синоптики сообщают о приближении урагана. В этой экстремальной ситуации обнаружилась полная несостоятельность людей, по долгу службы обязанных сделать все возможное, чтобы сберечь город от разрушений. Положение осложняется еще и тем, что в городе находится большой химический комбинат, взрыв которого повлечет за собой большие жертвы.</t>
        </is>
      </c>
      <c r="L5771" s="2" t="inlineStr">
        <is>
          <t>Кино_СССР сводный каталог.xlsx: список фильмов (доп.)</t>
        </is>
      </c>
      <c r="M5771" s="2">
        <f>HYPERLINK("https://ru.wikipedia.org/w/index.php?search=%D0%A8%D1%82%D0%BE%D1%80%D0%BC%D0%BE%D0%B2%D0%BE%D0%B5%20%D0%BF%D1%80%D0%B5%D0%B4%D1%83%D0%BF%D1%80%D0%B5%D0%B6%D0%B4%D0%B5%D0%BD%D0%B8%D0%B5%201988%20%D1%84%D0%B8%D0%BB%D1%8C%D0%BC","искать")</f>
        <v/>
      </c>
      <c r="N5771" s="3" t="n"/>
      <c r="O5771" s="2" t="n"/>
      <c r="P5771" s="2" t="n"/>
    </row>
    <row r="5772">
      <c r="A5772" s="2" t="n">
        <v>5771</v>
      </c>
      <c r="B5772" s="2" t="inlineStr"/>
      <c r="C5772" s="2" t="n">
        <v>9353</v>
      </c>
      <c r="D5772" s="3" t="inlineStr">
        <is>
          <t>Ёлки-палки</t>
        </is>
      </c>
      <c r="E5772" s="2" t="n">
        <v>1988</v>
      </c>
      <c r="F5772" s="2" t="inlineStr">
        <is>
          <t>кинофильм</t>
        </is>
      </c>
      <c r="G5772" s="2" t="n"/>
      <c r="H5772" s="2" t="n">
        <v>376</v>
      </c>
      <c r="I5772" s="2" t="inlineStr"/>
      <c r="J5772" s="2" t="inlineStr"/>
      <c r="K5772" s="3" t="inlineStr">
        <is>
          <t>Картина поставлена по мотивам рассказов Василия Шукшина "Штрихи к портрету", "Упорный", "Сильные идут дальше". Воображение Николая Николаевича, механика по ремонту телевизоров в провинциальном городе, неистощимо на идеи: то он избавляет все человечество от неизлечимой болезни, то он самый главный ученый, создавший (наконец!) вечный двигатель, то видный политический деятель.</t>
        </is>
      </c>
      <c r="L5772" s="2" t="inlineStr">
        <is>
          <t>Кино_СССР сводный каталог.xlsx: список фильмов (доп.)</t>
        </is>
      </c>
      <c r="M5772" s="2">
        <f>HYPERLINK("https://ru.wikipedia.org/w/index.php?search=%D0%81%D0%BB%D0%BA%D0%B8-%D0%BF%D0%B0%D0%BB%D0%BA%D0%B8%201988%20%D1%84%D0%B8%D0%BB%D1%8C%D0%BC","искать")</f>
        <v/>
      </c>
      <c r="N5772" s="3" t="n"/>
      <c r="O5772" s="2" t="n"/>
      <c r="P5772" s="2" t="n"/>
    </row>
    <row r="5773">
      <c r="A5773" s="2" t="n">
        <v>5772</v>
      </c>
      <c r="B5773" s="2" t="inlineStr"/>
      <c r="C5773" s="2" t="n">
        <v>10900</v>
      </c>
      <c r="D5773" s="3" t="inlineStr">
        <is>
          <t>Последний срок</t>
        </is>
      </c>
      <c r="E5773" s="2" t="n">
        <v>1981</v>
      </c>
      <c r="F5773" s="2" t="inlineStr">
        <is>
          <t>фильм-спектакль</t>
        </is>
      </c>
      <c r="G5773" s="2" t="inlineStr">
        <is>
          <t>Центральное телевидение</t>
        </is>
      </c>
      <c r="H5773" s="2" t="n">
        <v>376</v>
      </c>
      <c r="I5773" s="2" t="inlineStr"/>
      <c r="J5773" s="2" t="inlineStr"/>
      <c r="K5773" s="3" t="inlineStr">
        <is>
          <t>По одноименной повести Валентина Распутина в постановке Омского государственного драматического театра.
В сибирской деревушке умирает восьмидесятилетняя Анна Степанова. Единственное ее предсмертное желание – последнее свидание с разъехавшимися по стране детьми. И то, какими Анне пришлось увидеть детей, стало для нее самым горьким испытанием, самым тяжелым ударом всей жизни.</t>
        </is>
      </c>
      <c r="L5773" s="2" t="inlineStr">
        <is>
          <t>https://www.kino-teatr.ru/teatr/movie/104021/annot/</t>
        </is>
      </c>
      <c r="M5773" s="2">
        <f>HYPERLINK("https://ru.wikipedia.org/w/index.php?search=%D0%9F%D0%BE%D1%81%D0%BB%D0%B5%D0%B4%D0%BD%D0%B8%D0%B9%20%D1%81%D1%80%D0%BE%D0%BA%201981%20%D1%84%D0%B8%D0%BB%D1%8C%D0%BC","искать")</f>
        <v/>
      </c>
      <c r="N5773" s="3" t="n"/>
      <c r="O5773" s="2" t="n"/>
      <c r="P5773" s="2" t="n"/>
    </row>
    <row r="5774">
      <c r="A5774" s="2" t="n">
        <v>5773</v>
      </c>
      <c r="B5774" s="2" t="inlineStr"/>
      <c r="C5774" s="2" t="n">
        <v>8268</v>
      </c>
      <c r="D5774" s="3" t="inlineStr">
        <is>
          <t>Рафферти</t>
        </is>
      </c>
      <c r="E5774" s="2" t="n">
        <v>1980</v>
      </c>
      <c r="F5774" s="2" t="inlineStr">
        <is>
          <t>телефильм</t>
        </is>
      </c>
      <c r="G5774" s="2" t="inlineStr">
        <is>
          <t>Ленфильм</t>
        </is>
      </c>
      <c r="H5774" s="2" t="n">
        <v>377</v>
      </c>
      <c r="I5774" s="2" t="inlineStr"/>
      <c r="J5774" s="2" t="inlineStr"/>
      <c r="K5774" s="3" t="inlineStr">
        <is>
          <t>По одноименному роману Лайонела Уайта. Честный рабочий парень, борющийся с предпринимателями за интересы рабочих, превращается в босса, занимающегося хищением профсоюзных фондов и предающего друзей и любимую женщину. Действие фильма происходит во время заседания комиссии Конгресса США, расследующей деятельность профсоюзного босса Рафферти, вступившего в сделку с гангстерами.</t>
        </is>
      </c>
      <c r="L5774" s="2" t="inlineStr">
        <is>
          <t>Кино_СССР сводный каталог.xlsx: список телефильмов</t>
        </is>
      </c>
      <c r="M5774" s="2">
        <f>HYPERLINK("https://ru.wikipedia.org/w/index.php?search=%D0%A0%D0%B0%D1%84%D1%84%D0%B5%D1%80%D1%82%D0%B8%201980%20%D1%84%D0%B8%D0%BB%D1%8C%D0%BC","искать")</f>
        <v/>
      </c>
      <c r="N5774" s="3" t="n"/>
      <c r="O5774" s="2" t="n"/>
      <c r="P5774" s="2" t="n"/>
    </row>
    <row r="5775">
      <c r="A5775" s="2" t="n">
        <v>5774</v>
      </c>
      <c r="B5775" s="2" t="inlineStr"/>
      <c r="C5775" s="2" t="n">
        <v>8903</v>
      </c>
      <c r="D5775" s="3" t="inlineStr">
        <is>
          <t>Осень</t>
        </is>
      </c>
      <c r="E5775" s="2" t="n">
        <v>1990</v>
      </c>
      <c r="F5775" s="2" t="inlineStr">
        <is>
          <t>кинофильм</t>
        </is>
      </c>
      <c r="G5775" s="2" t="n"/>
      <c r="H5775" s="2" t="n">
        <v>377</v>
      </c>
      <c r="I5775" s="2" t="inlineStr"/>
      <c r="J5775" s="2" t="inlineStr"/>
      <c r="K5775" s="3" t="inlineStr">
        <is>
          <t>Экранизация повестей Оскара Лутса «Будни» и «Осень». В фильме изображаются реалии жизни в Эстонии 30-х годов. Герои стали влиятельными фигурами в обществе и обзавелись собственными детьми школьного возраста. Только мастер-портной Кийр до сих пор не нашел себе жену. К счастью, в Паунверре приезжают две молодые женщины подходящего возраста, которые помогают в его поисках жены.</t>
        </is>
      </c>
      <c r="L5775" s="2" t="inlineStr">
        <is>
          <t>Кино_СССР сводный каталог.xlsx: список фильмов (доп.)</t>
        </is>
      </c>
      <c r="M5775" s="2">
        <f>HYPERLINK("https://ru.wikipedia.org/w/index.php?search=%D0%9E%D1%81%D0%B5%D0%BD%D1%8C%201990%20%D1%84%D0%B8%D0%BB%D1%8C%D0%BC","искать")</f>
        <v/>
      </c>
      <c r="N5775" s="3" t="n"/>
      <c r="O5775" s="2" t="n"/>
      <c r="P5775" s="2" t="n"/>
    </row>
    <row r="5776">
      <c r="A5776" s="2" t="n">
        <v>5775</v>
      </c>
      <c r="B5776" s="2" t="inlineStr"/>
      <c r="C5776" s="2" t="n">
        <v>9115</v>
      </c>
      <c r="D5776" s="3" t="inlineStr">
        <is>
          <t>Туман</t>
        </is>
      </c>
      <c r="E5776" s="2" t="n">
        <v>1988</v>
      </c>
      <c r="F5776" s="2" t="inlineStr">
        <is>
          <t>кинофильм</t>
        </is>
      </c>
      <c r="G5776" s="2" t="n"/>
      <c r="H5776" s="2" t="n">
        <v>377</v>
      </c>
      <c r="I5776" s="2" t="inlineStr"/>
      <c r="J5776" s="2" t="inlineStr"/>
      <c r="K5776" s="3" t="inlineStr">
        <is>
          <t>Инженер Григас, человек скромный и незатейливый, работает социологом на заводе. Его жизнь обычна: распри с сослуживцами, безденежье, житейские проблемы. Так бы он и прожил, если бы однажды "деловые люди" не предложили ему поработать на них. Григас становится на перепутье: работать с мафией и жить в достатке или продолжать скромно существовать, но не изменять своим принципам.</t>
        </is>
      </c>
      <c r="L5776" s="2" t="inlineStr">
        <is>
          <t>Кино_СССР сводный каталог.xlsx: список фильмов (доп.)</t>
        </is>
      </c>
      <c r="M5776" s="2">
        <f>HYPERLINK("https://ru.wikipedia.org/w/index.php?search=%D0%A2%D1%83%D0%BC%D0%B0%D0%BD%201988%20%D1%84%D0%B8%D0%BB%D1%8C%D0%BC","искать")</f>
        <v/>
      </c>
      <c r="N5776" s="3" t="n"/>
      <c r="O5776" s="2" t="n"/>
      <c r="P5776" s="2" t="n"/>
    </row>
    <row r="5777">
      <c r="A5777" s="2" t="n">
        <v>5776</v>
      </c>
      <c r="B5777" s="2" t="inlineStr"/>
      <c r="C5777" s="2" t="n">
        <v>9484</v>
      </c>
      <c r="D5777" s="3" t="inlineStr">
        <is>
          <t>Мышеловка</t>
        </is>
      </c>
      <c r="E5777" s="2" t="n">
        <v>1990</v>
      </c>
      <c r="F5777" s="2" t="inlineStr">
        <is>
          <t>кинофильм</t>
        </is>
      </c>
      <c r="G5777" s="2" t="n"/>
      <c r="H5777" s="2" t="n">
        <v>377</v>
      </c>
      <c r="I5777" s="2" t="inlineStr"/>
      <c r="J5777" s="2" t="inlineStr"/>
      <c r="K5777" s="3" t="inlineStr">
        <is>
          <t>По мотивам одноименной пьесы Агаты Кристи. Рядом с телом убитой женщины в Педдингтоне найдена записная книжка с адресом пансиона супругов Рэлстон. Под адресом была подпись: "Три слепые мышки", а на трупе записка - "Первая"... Криминальная история вписана в обыденную жизнь преуспевающих, внешне вполне благополучных людей, случайно или нет, собравшихся снежной ночью в усадьбе.</t>
        </is>
      </c>
      <c r="L5777" s="2" t="inlineStr">
        <is>
          <t>Кино_СССР сводный каталог.xlsx: список фильмов (доп.)</t>
        </is>
      </c>
      <c r="M5777" s="2">
        <f>HYPERLINK("https://ru.wikipedia.org/w/index.php?search=%D0%9C%D1%8B%D1%88%D0%B5%D0%BB%D0%BE%D0%B2%D0%BA%D0%B0%201990%20%D1%84%D0%B8%D0%BB%D1%8C%D0%BC","искать")</f>
        <v/>
      </c>
      <c r="N5777" s="3" t="n"/>
      <c r="O5777" s="2" t="n"/>
      <c r="P5777" s="2" t="n"/>
    </row>
    <row r="5778">
      <c r="A5778" s="2" t="n">
        <v>5777</v>
      </c>
      <c r="B5778" s="2" t="inlineStr"/>
      <c r="C5778" s="2" t="n">
        <v>10563</v>
      </c>
      <c r="D5778" s="3" t="inlineStr">
        <is>
          <t>Ильинский о Зощенко</t>
        </is>
      </c>
      <c r="E5778" s="2" t="n">
        <v>1974</v>
      </c>
      <c r="F5778" s="2" t="inlineStr">
        <is>
          <t>фильм-спектакль</t>
        </is>
      </c>
      <c r="G5778" s="2" t="inlineStr">
        <is>
          <t>ТО "Экран"</t>
        </is>
      </c>
      <c r="H5778" s="2" t="n">
        <v>377</v>
      </c>
      <c r="I5778" s="2" t="inlineStr"/>
      <c r="J5778" s="2" t="inlineStr"/>
      <c r="K5778" s="3" t="inlineStr">
        <is>
          <t>- Как-то Михаилу Михайловичу Зощенко был задан вопрос -
кто, по его мнению, лучше всех читает его рассказы?
- "Вне всякого сомнения, Игорь Владимирович Ильинский", -
ответил Зощенко...
Игорь Ильинский рассказывает о своем знакомстве с писателем
и читает рассказы Михаила Зощенко:
"Аристократка", "Баня", "Ёлка", "Искусство Мельпомены",
"Глупая история", "Лимонад" и "Рогулька".</t>
        </is>
      </c>
      <c r="L5778" s="2" t="inlineStr">
        <is>
          <t>https://www.kino-teatr.ru/teatr/movie/107702/annot/</t>
        </is>
      </c>
      <c r="M5778" s="2">
        <f>HYPERLINK("https://ru.wikipedia.org/w/index.php?search=%D0%98%D0%BB%D1%8C%D0%B8%D0%BD%D1%81%D0%BA%D0%B8%D0%B9%20%D0%BE%20%D0%97%D0%BE%D1%89%D0%B5%D0%BD%D0%BA%D0%BE%201974%20%D1%84%D0%B8%D0%BB%D1%8C%D0%BC","искать")</f>
        <v/>
      </c>
      <c r="N5778" s="3" t="n"/>
      <c r="O5778" s="2" t="n"/>
      <c r="P5778" s="2" t="n"/>
    </row>
    <row r="5779">
      <c r="A5779" s="2" t="n">
        <v>5778</v>
      </c>
      <c r="B5779" s="2" t="inlineStr"/>
      <c r="C5779" s="2" t="n">
        <v>10691</v>
      </c>
      <c r="D5779" s="3" t="inlineStr">
        <is>
          <t>Кошка на радиаторе</t>
        </is>
      </c>
      <c r="E5779" s="2" t="n">
        <v>1977</v>
      </c>
      <c r="F5779" s="2" t="inlineStr">
        <is>
          <t>фильм-спектакль</t>
        </is>
      </c>
      <c r="G5779" s="2" t="inlineStr">
        <is>
          <t>Гл. ред. лит-драм программ</t>
        </is>
      </c>
      <c r="H5779" s="2" t="n">
        <v>377</v>
      </c>
      <c r="I5779" s="2" t="inlineStr"/>
      <c r="J5779" s="2" t="inlineStr"/>
      <c r="K5779" s="3" t="inlineStr">
        <is>
          <t>Первый телеспектакль трилогии о супругах Кузнецовых, в которую входят еще два «Часы с кукушкой» (1978) и «Осторожно, ремонт!» (1979) .
По мотивам одноименной комедии Анны Родионовой. Комедия о молодых супругах, которые поссорились и сгоряча развелись, но вынуждены жить в одной квартире. Проходит время, и после ряда смешных перипетий они понимают, что не могут друг без друга.</t>
        </is>
      </c>
      <c r="L5779" s="2" t="inlineStr">
        <is>
          <t>https://www.kino-teatr.ru/teatr/movie/16152/annot/</t>
        </is>
      </c>
      <c r="M5779" s="2">
        <f>HYPERLINK("https://ru.wikipedia.org/w/index.php?search=%D0%9A%D0%BE%D1%88%D0%BA%D0%B0%20%D0%BD%D0%B0%20%D1%80%D0%B0%D0%B4%D0%B8%D0%B0%D1%82%D0%BE%D1%80%D0%B5%201977%20%D1%84%D0%B8%D0%BB%D1%8C%D0%BC","искать")</f>
        <v/>
      </c>
      <c r="N5779" s="3" t="n"/>
      <c r="O5779" s="2" t="n"/>
      <c r="P5779" s="2" t="n"/>
    </row>
    <row r="5780">
      <c r="A5780" s="2" t="n">
        <v>5779</v>
      </c>
      <c r="B5780" s="2" t="inlineStr"/>
      <c r="C5780" s="2" t="n">
        <v>8201</v>
      </c>
      <c r="D5780" s="3" t="inlineStr">
        <is>
          <t>Приключения Буратино</t>
        </is>
      </c>
      <c r="E5780" s="2" t="n">
        <v>1975</v>
      </c>
      <c r="F5780" s="2" t="inlineStr">
        <is>
          <t>телефильм</t>
        </is>
      </c>
      <c r="G5780" s="2" t="n"/>
      <c r="H5780" s="2" t="n">
        <v>378</v>
      </c>
      <c r="I5780" s="2" t="inlineStr"/>
      <c r="J5780" s="2" t="inlineStr"/>
      <c r="K5780" s="3" t="inlineStr">
        <is>
          <t>По мотивам сказки Алексея Толстого. На дурака не нужен нож: ему немного подпоешь - и делай с ним, что хошь! Деревянный человечек, которого Папа Карло выстругал из полена, получился веселым, дерзким, шумным и доверчивым. Лиса Алиса и Кот Базилио завели его в Страну дураков, но мудрая Черепаха Тортилла помогла Буратино найти Золотой Ключик, потому что он был ужасно обаятельным.</t>
        </is>
      </c>
      <c r="L5780" s="2" t="inlineStr">
        <is>
          <t>Кино_СССР сводный каталог.xlsx: список телефильмов</t>
        </is>
      </c>
      <c r="M5780" s="2">
        <f>HYPERLINK("https://ru.wikipedia.org/w/index.php?search=%D0%9F%D1%80%D0%B8%D0%BA%D0%BB%D1%8E%D1%87%D0%B5%D0%BD%D0%B8%D1%8F%20%D0%91%D1%83%D1%80%D0%B0%D1%82%D0%B8%D0%BD%D0%BE%201975%20%D1%84%D0%B8%D0%BB%D1%8C%D0%BC","искать")</f>
        <v/>
      </c>
      <c r="N5780" s="3" t="n"/>
      <c r="O5780" s="2" t="n"/>
      <c r="P5780" s="2" t="n"/>
    </row>
    <row r="5781">
      <c r="A5781" s="2" t="n">
        <v>5780</v>
      </c>
      <c r="B5781" s="2" t="inlineStr"/>
      <c r="C5781" s="2" t="n">
        <v>8559</v>
      </c>
      <c r="D5781" s="3" t="inlineStr">
        <is>
          <t>Четверо из Чорсанга</t>
        </is>
      </c>
      <c r="E5781" s="2" t="n">
        <v>1972</v>
      </c>
      <c r="F5781" s="2" t="inlineStr">
        <is>
          <t>телефильм</t>
        </is>
      </c>
      <c r="G5781" s="2" t="n"/>
      <c r="H5781" s="2" t="n">
        <v>378</v>
      </c>
      <c r="I5781" s="2" t="inlineStr"/>
      <c r="J5781" s="2" t="inlineStr"/>
      <c r="K5781" s="3" t="inlineStr">
        <is>
          <t>О судьбах четырех друзей: Давлята, Наима, Хайдара и Гульшан, выросших в одном таджикском кишлаке. Их дружба проходит испытание временем и жизненными обстоятельствами. Так, они спасают от брака с нелюбимым богачом Гульшан, невесту Давлята, увезя ее в город. Спустя несколько лет вызволяют самого Давлята, который оказывается в числе пленных басмачей, работающих на строительстве.</t>
        </is>
      </c>
      <c r="L5781" s="2" t="inlineStr">
        <is>
          <t>Кино_СССР сводный каталог.xlsx: список телефильмов</t>
        </is>
      </c>
      <c r="M5781" s="2">
        <f>HYPERLINK("https://ru.wikipedia.org/w/index.php?search=%D0%A7%D0%B5%D1%82%D0%B2%D0%B5%D1%80%D0%BE%20%D0%B8%D0%B7%20%D0%A7%D0%BE%D1%80%D1%81%D0%B0%D0%BD%D0%B3%D0%B0%201972%20%D1%84%D0%B8%D0%BB%D1%8C%D0%BC","искать")</f>
        <v/>
      </c>
      <c r="N5781" s="3" t="n"/>
      <c r="O5781" s="2" t="n"/>
      <c r="P5781" s="2" t="n"/>
    </row>
    <row r="5782">
      <c r="A5782" s="2" t="n">
        <v>5781</v>
      </c>
      <c r="B5782" s="2" t="inlineStr"/>
      <c r="C5782" s="2" t="n">
        <v>8761</v>
      </c>
      <c r="D5782" s="3" t="inlineStr">
        <is>
          <t>Каталажка</t>
        </is>
      </c>
      <c r="E5782" s="2" t="n">
        <v>1990</v>
      </c>
      <c r="F5782" s="2" t="inlineStr">
        <is>
          <t>кинофильм</t>
        </is>
      </c>
      <c r="G5782" s="2" t="n"/>
      <c r="H5782" s="2" t="n">
        <v>378</v>
      </c>
      <c r="I5782" s="2" t="inlineStr"/>
      <c r="J5782" s="2" t="inlineStr"/>
      <c r="K5782" s="3" t="inlineStr">
        <is>
          <t>Где-то лет сто назад один нерадивый заключённый бился головой о стенку. В наше время стена тюрьмы рухнула, и, чтобы избежать побега зэков, мэр города при содействии начальника РОВД решает расселить зэков по квартирам тех, кто продолжительное время не платит за коммунальные услуги, а заодно и обнести город колючей проволокой и сделать из него сильно смягчённое подобие каторги.</t>
        </is>
      </c>
      <c r="L5782" s="2" t="inlineStr">
        <is>
          <t>https://ru.wikipedia.org/w/index.php?title=%D0%9A%D0%B0%D1%82%D0%B0%D0%BB%D0%B0%D0%B6%D0%BA%D0%B0_%28%D1%84%D0%B8%D0%BB%D1%8C%D0%BC%29&amp;oldid=155109592</t>
        </is>
      </c>
      <c r="M5782" s="2">
        <f>HYPERLINK("https://ru.wikipedia.org/w/index.php?search=%D0%9A%D0%B0%D1%82%D0%B0%D0%BB%D0%B0%D0%B6%D0%BA%D0%B0%201990%20%D1%84%D0%B8%D0%BB%D1%8C%D0%BC","искать")</f>
        <v/>
      </c>
      <c r="N5782" s="3" t="n"/>
      <c r="O5782" s="2" t="n"/>
      <c r="P5782" s="2" t="n"/>
    </row>
    <row r="5783">
      <c r="A5783" s="2" t="n">
        <v>5782</v>
      </c>
      <c r="B5783" s="2" t="inlineStr"/>
      <c r="C5783" s="2" t="n">
        <v>9104</v>
      </c>
      <c r="D5783" s="3" t="inlineStr">
        <is>
          <t>Только воскресенье</t>
        </is>
      </c>
      <c r="E5783" s="2" t="n">
        <v>1990</v>
      </c>
      <c r="F5783" s="2" t="inlineStr">
        <is>
          <t>кинофильм</t>
        </is>
      </c>
      <c r="G5783" s="2" t="n"/>
      <c r="H5783" s="2" t="n">
        <v>378</v>
      </c>
      <c r="I5783" s="2" t="inlineStr"/>
      <c r="J5783" s="2" t="inlineStr"/>
      <c r="K5783" s="3" t="inlineStr">
        <is>
          <t>1954 год. Тихий эстонский городок. После долгой разлуки в родительском доме встретились два брата. Младший, Ильмар, в прошлом способный художник, только что освободился по амнистии из лагеря, куда попал за какую-то юношескую выходку. Старший брат Алекс, по своей натуре человек более сдержанный, предпочитающий находить компромиссные решения, - полная противоположность Ильмару.</t>
        </is>
      </c>
      <c r="L5783" s="2" t="inlineStr">
        <is>
          <t>Кино_СССР сводный каталог.xlsx: список фильмов (доп.)</t>
        </is>
      </c>
      <c r="M5783" s="2">
        <f>HYPERLINK("https://ru.wikipedia.org/w/index.php?search=%D0%A2%D0%BE%D0%BB%D1%8C%D0%BA%D0%BE%20%D0%B2%D0%BE%D1%81%D0%BA%D1%80%D0%B5%D1%81%D0%B5%D0%BD%D1%8C%D0%B5%201990%20%D1%84%D0%B8%D0%BB%D1%8C%D0%BC","искать")</f>
        <v/>
      </c>
      <c r="N5783" s="3" t="n"/>
      <c r="O5783" s="2" t="n"/>
      <c r="P5783" s="2" t="n"/>
    </row>
    <row r="5784">
      <c r="A5784" s="2" t="n">
        <v>5783</v>
      </c>
      <c r="B5784" s="2" t="inlineStr"/>
      <c r="C5784" s="2" t="n">
        <v>9368</v>
      </c>
      <c r="D5784" s="3" t="inlineStr">
        <is>
          <t>Закат</t>
        </is>
      </c>
      <c r="E5784" s="2" t="n">
        <v>1990</v>
      </c>
      <c r="F5784" s="2" t="inlineStr">
        <is>
          <t>кинофильм</t>
        </is>
      </c>
      <c r="G5784" s="2" t="n"/>
      <c r="H5784" s="2" t="n">
        <v>378</v>
      </c>
      <c r="I5784" s="2" t="inlineStr"/>
      <c r="J5784" s="2" t="inlineStr"/>
      <c r="K5784" s="3" t="inlineStr">
        <is>
          <t>Драма разворачивается на фоне любви престарелого биндюжника Менделя Крика к красавице Марусе. Мендель готов продать своё дело и вместе с любимой уехать доживать свои дни в Бессарабию. Иного мнения придерживаются сыновья Менделя Беня и Лева.
В историю еврейской семьи вмешивается Октябрьская революция, которая совершенно неожиданным образом расставляет акценты в судьбах героев.</t>
        </is>
      </c>
      <c r="L5784" s="2" t="inlineStr">
        <is>
          <t>https://ru.wikipedia.org/w/index.php?title=%D0%97%D0%B0%D0%BA%D0%B0%D1%82_%28%D1%84%D0%B8%D0%BB%D1%8C%D0%BC%2C_1990%29&amp;oldid=154695859</t>
        </is>
      </c>
      <c r="M5784" s="2">
        <f>HYPERLINK("https://ru.wikipedia.org/w/index.php?search=%D0%97%D0%B0%D0%BA%D0%B0%D1%82%201990%20%D1%84%D0%B8%D0%BB%D1%8C%D0%BC","искать")</f>
        <v/>
      </c>
      <c r="N5784" s="3" t="n"/>
      <c r="O5784" s="2" t="n"/>
      <c r="P5784" s="2" t="n"/>
    </row>
    <row r="5785">
      <c r="A5785" s="2" t="n">
        <v>5784</v>
      </c>
      <c r="B5785" s="2" t="inlineStr"/>
      <c r="C5785" s="2" t="n">
        <v>9585</v>
      </c>
      <c r="D5785" s="3" t="inlineStr">
        <is>
          <t>Приговорённый</t>
        </is>
      </c>
      <c r="E5785" s="2" t="n">
        <v>1989</v>
      </c>
      <c r="F5785" s="2" t="inlineStr">
        <is>
          <t>кинофильм</t>
        </is>
      </c>
      <c r="G5785" s="2" t="n"/>
      <c r="H5785" s="2" t="n">
        <v>378</v>
      </c>
      <c r="I5785" s="2" t="inlineStr"/>
      <c r="J5785" s="2" t="inlineStr"/>
      <c r="K5785" s="3" t="inlineStr">
        <is>
          <t>Отслужив в Афганистане, Павел поехал к другу и устроился шофером в колонну, где работали и бывшие уголовники. Однажды он встретил девушку Зою, которая попросилась к нему в машину, но так уж вышло, что подвезти ее не смог, а позволил пересесть к друзьям: те гнали свою машину по наикратчайшему пути. Когда Павел нашел Зою и понял, что они с ней сделали, то сам решил вершить суд.</t>
        </is>
      </c>
      <c r="L5785" s="2" t="inlineStr">
        <is>
          <t>Кино_СССР сводный каталог.xlsx: список фильмов (доп.)</t>
        </is>
      </c>
      <c r="M5785" s="2">
        <f>HYPERLINK("https://ru.wikipedia.org/w/index.php?search=%D0%9F%D1%80%D0%B8%D0%B3%D0%BE%D0%B2%D0%BE%D1%80%D1%91%D0%BD%D0%BD%D1%8B%D0%B9%201989%20%D1%84%D0%B8%D0%BB%D1%8C%D0%BC","искать")</f>
        <v/>
      </c>
      <c r="N5785" s="3" t="n"/>
      <c r="O5785" s="2" t="n"/>
      <c r="P5785" s="2" t="n"/>
    </row>
    <row r="5786">
      <c r="A5786" s="2" t="n">
        <v>5785</v>
      </c>
      <c r="B5786" s="2" t="inlineStr"/>
      <c r="C5786" s="2" t="n">
        <v>10422</v>
      </c>
      <c r="D5786" s="3" t="inlineStr">
        <is>
          <t>Театральная ночь</t>
        </is>
      </c>
      <c r="E5786" s="2" t="n">
        <v>1971</v>
      </c>
      <c r="F5786" s="2" t="inlineStr">
        <is>
          <t>фильм-спектакль</t>
        </is>
      </c>
      <c r="G5786" s="2" t="inlineStr">
        <is>
          <t>Эстонское телевидение</t>
        </is>
      </c>
      <c r="H5786" s="2" t="n">
        <v>378</v>
      </c>
      <c r="I5786" s="2" t="inlineStr"/>
      <c r="J5786" s="2" t="inlineStr"/>
      <c r="K5786" s="3" t="inlineStr">
        <is>
          <t>Фильм посвящен солистке театра "Эстония", актрисе оперы и оперетты Хельги Салло.
В музыкальном фильме в блестящем исполнении Хельги Салло звучат сцены из мюзиклов и оперетт театра "Эстония", такие как" Пеппи Длинный чулок"," Мадмуазель Нитуш", "Звонкая музыка", "Венская кровь " и другие. В отрывках участвуют сценические партнеры разных ролей, эстонский оркестр, хор и танцоры.</t>
        </is>
      </c>
      <c r="L5786" s="2" t="inlineStr">
        <is>
          <t>https://www.kino-teatr.ru/teatr/movie/136736/annot/</t>
        </is>
      </c>
      <c r="M5786" s="2">
        <f>HYPERLINK("https://ru.wikipedia.org/w/index.php?search=%D0%A2%D0%B5%D0%B0%D1%82%D1%80%D0%B0%D0%BB%D1%8C%D0%BD%D0%B0%D1%8F%20%D0%BD%D0%BE%D1%87%D1%8C%201971%20%D1%84%D0%B8%D0%BB%D1%8C%D0%BC","искать")</f>
        <v/>
      </c>
      <c r="N5786" s="3" t="n"/>
      <c r="O5786" s="2" t="n"/>
      <c r="P5786" s="2" t="n"/>
    </row>
    <row r="5787">
      <c r="A5787" s="2" t="n">
        <v>5786</v>
      </c>
      <c r="B5787" s="2" t="inlineStr"/>
      <c r="C5787" s="2" t="n">
        <v>7789</v>
      </c>
      <c r="D5787" s="3" t="inlineStr">
        <is>
          <t>Легенда о волчьей невесте</t>
        </is>
      </c>
      <c r="E5787" s="2" t="n">
        <v>1979</v>
      </c>
      <c r="F5787" s="2" t="inlineStr">
        <is>
          <t>телефильм</t>
        </is>
      </c>
      <c r="G5787" s="2" t="n"/>
      <c r="H5787" s="2" t="n">
        <v>379</v>
      </c>
      <c r="I5787" s="2" t="inlineStr"/>
      <c r="J5787" s="2" t="inlineStr"/>
      <c r="K5787" s="3" t="inlineStr">
        <is>
          <t>Вольная телеэкранизация повести "Невеста волка", вышедшей из-под пера известной эстонско-финской писательницы Айно Каллас. Постановко посвящена 100-летию со дня рождения Каллас. Проникновенный рассказ о молодой женщине, которая заключила договор с лешим, чтобы стать оборотнем. Превращение - это своеобразная метафора многообразия женских чувств и желаний, пробуждения её чувств.</t>
        </is>
      </c>
      <c r="L5787" s="2" t="inlineStr">
        <is>
          <t>Кино_СССР сводный каталог.xlsx: список телефильмов</t>
        </is>
      </c>
      <c r="M5787" s="2">
        <f>HYPERLINK("https://ru.wikipedia.org/w/index.php?search=%D0%9B%D0%B5%D0%B3%D0%B5%D0%BD%D0%B4%D0%B0%20%D0%BE%20%D0%B2%D0%BE%D0%BB%D1%87%D1%8C%D0%B5%D0%B9%20%D0%BD%D0%B5%D0%B2%D0%B5%D1%81%D1%82%D0%B5%201979%20%D1%84%D0%B8%D0%BB%D1%8C%D0%BC","искать")</f>
        <v/>
      </c>
      <c r="N5787" s="3" t="n"/>
      <c r="O5787" s="2" t="n"/>
      <c r="P5787" s="2" t="n"/>
    </row>
    <row r="5788">
      <c r="A5788" s="2" t="n">
        <v>5787</v>
      </c>
      <c r="B5788" s="2" t="inlineStr"/>
      <c r="C5788" s="2" t="n">
        <v>9755</v>
      </c>
      <c r="D5788" s="3" t="inlineStr">
        <is>
          <t>Чиора</t>
        </is>
      </c>
      <c r="E5788" s="2" t="n">
        <v>1984</v>
      </c>
      <c r="F5788" s="2" t="inlineStr">
        <is>
          <t>кинофильм</t>
        </is>
      </c>
      <c r="G5788" s="2" t="n"/>
      <c r="H5788" s="2" t="n">
        <v>379</v>
      </c>
      <c r="I5788" s="2" t="inlineStr"/>
      <c r="J5788" s="2" t="inlineStr"/>
      <c r="K5788" s="3" t="inlineStr">
        <is>
          <t>ჩიორა Выпускники школы Ника и Мари тайком от родителей уезжают к морю. Здесь ребята знакомятся с деревенским пареньком Чиорой, который берет на себя заботу об их дальнейшем существовании. Неожиданная смерть Чиоры, невольными виновниками которой были Ника и Мари, становится проверкой их отношений, впервые влюбленные задумываются об ответственности за каждый свой шаг и поступок.</t>
        </is>
      </c>
      <c r="L5788" s="2" t="inlineStr">
        <is>
          <t>Кино_СССР сводный каталог.xlsx: список фильмов (доп.)</t>
        </is>
      </c>
      <c r="M5788" s="2">
        <f>HYPERLINK("https://ru.wikipedia.org/w/index.php?search=%D0%A7%D0%B8%D0%BE%D1%80%D0%B0%201984%20%D1%84%D0%B8%D0%BB%D1%8C%D0%BC","искать")</f>
        <v/>
      </c>
      <c r="N5788" s="3" t="n"/>
      <c r="O5788" s="2" t="n"/>
      <c r="P5788" s="2" t="n"/>
    </row>
    <row r="5789">
      <c r="A5789" s="2" t="n">
        <v>5788</v>
      </c>
      <c r="B5789" s="2" t="inlineStr"/>
      <c r="C5789" s="2" t="n">
        <v>9817</v>
      </c>
      <c r="D5789" s="3" t="inlineStr">
        <is>
          <t>День рождения</t>
        </is>
      </c>
      <c r="E5789" s="2" t="n">
        <v>1961</v>
      </c>
      <c r="F5789" s="2" t="inlineStr">
        <is>
          <t>кинофильм</t>
        </is>
      </c>
      <c r="G5789" s="2" t="inlineStr">
        <is>
          <t>Минская студия научно-популярных и хроникально-документальных фильмов</t>
        </is>
      </c>
      <c r="H5789" s="2" t="n">
        <v>379</v>
      </c>
      <c r="I5789" s="2" t="inlineStr"/>
      <c r="J5789" s="2" t="inlineStr"/>
      <c r="K5789" s="3" t="inlineStr">
        <is>
          <t>Закончен трудовой день. Сегодня на заводе выдают заработную плату. Получает деньги и мастер Андрей Кузьмич Виноградов. С женой они договорились купить дочке на день рождения дорогой подарок, а нужной суммы не достает. На помощь приходит Сберегательная касса. Сберегательные кассы помогают более правильно строить личный бюджет...
Фильм пропагандирует услуги Сберегательной кассы.</t>
        </is>
      </c>
      <c r="L5789" s="2" t="inlineStr">
        <is>
          <t>https://www.kino-teatr.ru/short/movie/sov/106685/annot/</t>
        </is>
      </c>
      <c r="M5789" s="2">
        <f>HYPERLINK("https://ru.wikipedia.org/w/index.php?search=%D0%94%D0%B5%D0%BD%D1%8C%20%D1%80%D0%BE%D0%B6%D0%B4%D0%B5%D0%BD%D0%B8%D1%8F%201961%20%D1%84%D0%B8%D0%BB%D1%8C%D0%BC","искать")</f>
        <v/>
      </c>
      <c r="N5789" s="3" t="n"/>
      <c r="O5789" s="2" t="n"/>
      <c r="P5789" s="2" t="n"/>
    </row>
    <row r="5790">
      <c r="A5790" s="2" t="n">
        <v>5789</v>
      </c>
      <c r="B5790" s="2" t="inlineStr"/>
      <c r="C5790" s="2" t="n">
        <v>10233</v>
      </c>
      <c r="D5790" s="3" t="inlineStr">
        <is>
          <t>В гостях у московской милиции</t>
        </is>
      </c>
      <c r="E5790" s="2" t="n">
        <v>1968</v>
      </c>
      <c r="F5790" s="2" t="inlineStr">
        <is>
          <t>фильм-спектакль</t>
        </is>
      </c>
      <c r="G5790" s="2" t="inlineStr">
        <is>
          <t>Центральное телевидение</t>
        </is>
      </c>
      <c r="H5790" s="2" t="n">
        <v>379</v>
      </c>
      <c r="I5790" s="2" t="inlineStr"/>
      <c r="J5790" s="2" t="inlineStr"/>
      <c r="K5790" s="3" t="inlineStr">
        <is>
          <t>Большой телевизионный праздник по случаю Дня советской милиции 1968 года.
Во встрече артистов с работниками московской милиции принимают участие Ольга Воронец, Гелена Великанова, Аида Ведищева, квартет «Камертон», Олег Попов, Эдуард Хиль, Валерий Ободзинский, Лидия Притуляк, хор московской милиции, эстрадный оркестр милиции п/у В. Полякова, ансамбль ОРУД (ГАИ) п/у Н. Солодова.</t>
        </is>
      </c>
      <c r="L5790" s="2" t="inlineStr">
        <is>
          <t>https://www.kino-teatr.ru/teatr/movie/103869/annot/</t>
        </is>
      </c>
      <c r="M5790" s="2">
        <f>HYPERLINK("https://ru.wikipedia.org/w/index.php?search=%D0%92%20%D0%B3%D0%BE%D1%81%D1%82%D1%8F%D1%85%20%D1%83%20%D0%BC%D0%BE%D1%81%D0%BA%D0%BE%D0%B2%D1%81%D0%BA%D0%BE%D0%B9%20%D0%BC%D0%B8%D0%BB%D0%B8%D1%86%D0%B8%D0%B8%201968%20%D1%84%D0%B8%D0%BB%D1%8C%D0%BC","искать")</f>
        <v/>
      </c>
      <c r="N5790" s="3" t="n"/>
      <c r="O5790" s="2" t="n"/>
      <c r="P5790" s="2" t="n"/>
    </row>
    <row r="5791">
      <c r="A5791" s="2" t="n">
        <v>5790</v>
      </c>
      <c r="B5791" s="2" t="inlineStr"/>
      <c r="C5791" s="2" t="n">
        <v>10939</v>
      </c>
      <c r="D5791" s="3" t="inlineStr">
        <is>
          <t>Дом</t>
        </is>
      </c>
      <c r="E5791" s="2" t="n">
        <v>1982</v>
      </c>
      <c r="F5791" s="2" t="inlineStr">
        <is>
          <t>фильм-спектакль</t>
        </is>
      </c>
      <c r="G5791" s="2" t="inlineStr">
        <is>
          <t>Лентелефильм</t>
        </is>
      </c>
      <c r="H5791" s="2" t="n">
        <v>379</v>
      </c>
      <c r="I5791" s="2" t="inlineStr"/>
      <c r="J5791" s="2" t="inlineStr"/>
      <c r="K5791" s="3" t="inlineStr">
        <is>
          <t>Спектакль Ленинградского Государственного Малого драматического театра.
По одноименному роману Федора Абрамова.
Это уже мирное время. Уходят старики, спиваются бывшие фронтовики, погибает Лизавета Пряслина, а брат-отец Михаил Пряслин, хозяин и труженик, ничего не может сделать с мнимым благополучием на фоне всеобщего распада, ничего не может сделать с разрушением Дома. Почему?</t>
        </is>
      </c>
      <c r="L5791" s="2" t="inlineStr">
        <is>
          <t>https://www.kino-teatr.ru/teatr/movie/10068/annot/</t>
        </is>
      </c>
      <c r="M5791" s="2">
        <f>HYPERLINK("https://ru.wikipedia.org/w/index.php?search=%D0%94%D0%BE%D0%BC%201982%20%D1%84%D0%B8%D0%BB%D1%8C%D0%BC","искать")</f>
        <v/>
      </c>
      <c r="N5791" s="3" t="n"/>
      <c r="O5791" s="2" t="n"/>
      <c r="P5791" s="2" t="n"/>
    </row>
    <row r="5792">
      <c r="A5792" s="2" t="n">
        <v>5791</v>
      </c>
      <c r="B5792" s="2" t="inlineStr"/>
      <c r="C5792" s="2" t="n">
        <v>11169</v>
      </c>
      <c r="D5792" s="3" t="inlineStr">
        <is>
          <t>Мегрэ у министра</t>
        </is>
      </c>
      <c r="E5792" s="2" t="n">
        <v>1987</v>
      </c>
      <c r="F5792" s="2" t="inlineStr">
        <is>
          <t>фильм-спектакль</t>
        </is>
      </c>
      <c r="G5792" s="2" t="inlineStr">
        <is>
          <t>Главная редакция литературно-драматических программ ЦТ</t>
        </is>
      </c>
      <c r="H5792" s="2" t="n">
        <v>379</v>
      </c>
      <c r="I5792" s="2" t="inlineStr"/>
      <c r="J5792" s="2" t="inlineStr"/>
      <c r="K5792" s="3" t="inlineStr">
        <is>
          <t>По роману Жоржа Сименона (перевод Э.Космаш).
Однажды вечером в доме комиссара Мегрэ раздается звонок. Министр строительства Пуан просит комиссара срочно приехать к нему на квартиру, сохраняя эту просьбу в тайне от полицейского начальства. При встрече выясняется, что из квартиры министра исчез доклад, с которым Пуан должен был через два дня выступать на заседании правительства.</t>
        </is>
      </c>
      <c r="L5792" s="2" t="inlineStr">
        <is>
          <t>https://www.kino-teatr.ru/teatr/movie/3786/annot/</t>
        </is>
      </c>
      <c r="M5792" s="2">
        <f>HYPERLINK("https://ru.wikipedia.org/w/index.php?search=%D0%9C%D0%B5%D0%B3%D1%80%D1%8D%20%D1%83%20%D0%BC%D0%B8%D0%BD%D0%B8%D1%81%D1%82%D1%80%D0%B0%201987%20%D1%84%D0%B8%D0%BB%D1%8C%D0%BC","искать")</f>
        <v/>
      </c>
      <c r="N5792" s="3" t="n"/>
      <c r="O5792" s="2" t="n"/>
      <c r="P5792" s="2" t="n"/>
    </row>
    <row r="5793">
      <c r="A5793" s="2" t="n">
        <v>5792</v>
      </c>
      <c r="B5793" s="2" t="inlineStr"/>
      <c r="C5793" s="2" t="n">
        <v>12776</v>
      </c>
      <c r="D5793" s="3" t="inlineStr">
        <is>
          <t>Ежик и яблоко</t>
        </is>
      </c>
      <c r="E5793" s="2" t="n">
        <v>1979</v>
      </c>
      <c r="F5793" s="2" t="inlineStr">
        <is>
          <t>мультфильм</t>
        </is>
      </c>
      <c r="G5793" s="2" t="inlineStr">
        <is>
          <t>АЗЕРБАЙДЖАНФИЛЬМ</t>
        </is>
      </c>
      <c r="H5793" s="2" t="n">
        <v>379</v>
      </c>
      <c r="I5793" s="2" t="inlineStr"/>
      <c r="J5793" s="2" t="inlineStr"/>
      <c r="K5793" s="3" t="inlineStr">
        <is>
          <t>О бережном отношении к окружающей нас природе. Гуляя по лесу с мамой Ежик увидел на дереве яблоко, но как ни старался, достать его не мог. А тут еще Лиса появилась. Прогнал ее Заяц, нарядившийся тигром. С трудом удалось Ежику с помощью друзей сорвать яблоко, но при этом обломалась ветка. Зверюшки страшно расстроились. Тогда Ежик бережно подвязал веточку и все остались довольны</t>
        </is>
      </c>
      <c r="L5793" s="2" t="inlineStr">
        <is>
          <t>https://gosfilmofond.ru/films/250575/</t>
        </is>
      </c>
      <c r="M5793" s="2">
        <f>HYPERLINK("https://ru.wikipedia.org/w/index.php?search=%D0%95%D0%B6%D0%B8%D0%BA%20%D0%B8%20%D1%8F%D0%B1%D0%BB%D0%BE%D0%BA%D0%BE%201979%20%D1%84%D0%B8%D0%BB%D1%8C%D0%BC","искать")</f>
        <v/>
      </c>
      <c r="N5793" s="3" t="n"/>
      <c r="O5793" s="2" t="n"/>
      <c r="P5793" s="2" t="n"/>
    </row>
    <row r="5794">
      <c r="A5794" s="2" t="n">
        <v>5793</v>
      </c>
      <c r="B5794" s="2" t="inlineStr"/>
      <c r="C5794" s="2" t="n">
        <v>7244</v>
      </c>
      <c r="D5794" s="3" t="inlineStr">
        <is>
          <t>Белые вороны</t>
        </is>
      </c>
      <c r="E5794" s="2" t="n">
        <v>1988</v>
      </c>
      <c r="F5794" s="2" t="inlineStr">
        <is>
          <t>телефильм</t>
        </is>
      </c>
      <c r="G5794" s="2" t="n"/>
      <c r="H5794" s="2" t="n">
        <v>380</v>
      </c>
      <c r="I5794" s="2" t="inlineStr"/>
      <c r="J5794" s="2" t="inlineStr"/>
      <c r="K5794" s="3" t="inlineStr">
        <is>
          <t>Солдаты Васильев и Прохоров, вернувшиеся из Афганистана, узнают, что невеста Васильева изнасилована. Надругался над ней Половняк - шофер секретаря горкома. Последний, зная, что Половняк осведомлен о его должностных преступлениях, просит следователя Пронину, с которой состоит в интимных отношениях, повести следствие по ложному пути, заставить потерпевшую отказаться от показаний.</t>
        </is>
      </c>
      <c r="L5794" s="2" t="inlineStr">
        <is>
          <t>Кино_СССР сводный каталог.xlsx: список телефильмов</t>
        </is>
      </c>
      <c r="M5794" s="2">
        <f>HYPERLINK("https://ru.wikipedia.org/w/index.php?search=%D0%91%D0%B5%D0%BB%D1%8B%D0%B5%20%D0%B2%D0%BE%D1%80%D0%BE%D0%BD%D1%8B%201988%20%D1%84%D0%B8%D0%BB%D1%8C%D0%BC","искать")</f>
        <v/>
      </c>
      <c r="N5794" s="3" t="n"/>
      <c r="O5794" s="2" t="n"/>
      <c r="P5794" s="2" t="n"/>
    </row>
    <row r="5795">
      <c r="A5795" s="2" t="n">
        <v>5794</v>
      </c>
      <c r="B5795" s="2" t="inlineStr"/>
      <c r="C5795" s="2" t="n">
        <v>8241</v>
      </c>
      <c r="D5795" s="3" t="inlineStr">
        <is>
          <t>Прошлогодняя кадриль</t>
        </is>
      </c>
      <c r="E5795" s="2" t="n">
        <v>1978</v>
      </c>
      <c r="F5795" s="2" t="inlineStr">
        <is>
          <t>телефильм</t>
        </is>
      </c>
      <c r="G5795" s="2" t="n"/>
      <c r="H5795" s="2" t="n">
        <v>380</v>
      </c>
      <c r="I5795" s="2" t="inlineStr"/>
      <c r="J5795" s="2" t="inlineStr"/>
      <c r="K5795" s="3" t="inlineStr">
        <is>
          <t>По мотивам повести Н.Сухановой «Кадриль». Студенты-энергетики Юра, Леня и Жанна проходят практику в деревне. На танцах в доме культуры ребята замечают симпатичную девушку Тоню, которая прекрасно танцует кадриль, и начинают ухаживать за ней на спор — чья возьмет. Тоне явно нравится Леня. И Леня наверняка бы выиграл спор, если бы о нем не забыл, потому что действительно влюбился.</t>
        </is>
      </c>
      <c r="L5795" s="2" t="inlineStr">
        <is>
          <t>Кино_СССР сводный каталог.xlsx: список телефильмов</t>
        </is>
      </c>
      <c r="M5795" s="2">
        <f>HYPERLINK("https://ru.wikipedia.org/w/index.php?search=%D0%9F%D1%80%D0%BE%D1%88%D0%BB%D0%BE%D0%B3%D0%BE%D0%B4%D0%BD%D1%8F%D1%8F%20%D0%BA%D0%B0%D0%B4%D1%80%D0%B8%D0%BB%D1%8C%201978%20%D1%84%D0%B8%D0%BB%D1%8C%D0%BC","искать")</f>
        <v/>
      </c>
      <c r="N5795" s="3" t="n"/>
      <c r="O5795" s="2" t="n"/>
      <c r="P5795" s="2" t="n"/>
    </row>
    <row r="5796">
      <c r="A5796" s="2" t="n">
        <v>5795</v>
      </c>
      <c r="B5796" s="2" t="inlineStr"/>
      <c r="C5796" s="2" t="n">
        <v>8808</v>
      </c>
      <c r="D5796" s="3" t="inlineStr">
        <is>
          <t>Люди добрые</t>
        </is>
      </c>
      <c r="E5796" s="2" t="n">
        <v>1983</v>
      </c>
      <c r="F5796" s="2" t="inlineStr">
        <is>
          <t>кинофильм</t>
        </is>
      </c>
      <c r="G5796" s="2" t="n"/>
      <c r="H5796" s="2" t="n">
        <v>380</v>
      </c>
      <c r="I5796" s="2" t="inlineStr"/>
      <c r="J5796" s="2" t="inlineStr"/>
      <c r="K5796" s="3" t="inlineStr">
        <is>
          <t>У Владимира и Ольги полон дом гостей. Шумная компания что-то отмечает. Очередному гостю не хватило стула и хозяин отправляется на поиски к соседям. Мальчик Витя из квартиры напротив предлагает табуретку. Владимир заходит в квартиру и понимает, что сегодня не у всех праздник. В комнате спит пьяная мать, а в полуразрушенной кухне, мальчик варит рассольник из оловянных солдатиков.</t>
        </is>
      </c>
      <c r="L5796" s="2" t="inlineStr">
        <is>
          <t>Кино_СССР сводный каталог.xlsx: список фильмов (доп.)</t>
        </is>
      </c>
      <c r="M5796" s="2">
        <f>HYPERLINK("https://ru.wikipedia.org/w/index.php?search=%D0%9B%D1%8E%D0%B4%D0%B8%20%D0%B4%D0%BE%D0%B1%D1%80%D1%8B%D0%B5%201983%20%D1%84%D0%B8%D0%BB%D1%8C%D0%BC","искать")</f>
        <v/>
      </c>
      <c r="N5796" s="3" t="n"/>
      <c r="O5796" s="2" t="n"/>
      <c r="P5796" s="2" t="n"/>
    </row>
    <row r="5797">
      <c r="A5797" s="2" t="n">
        <v>5796</v>
      </c>
      <c r="B5797" s="2" t="inlineStr"/>
      <c r="C5797" s="2" t="n">
        <v>9378</v>
      </c>
      <c r="D5797" s="3" t="inlineStr">
        <is>
          <t>Зеленинский погост</t>
        </is>
      </c>
      <c r="E5797" s="2" t="n">
        <v>1989</v>
      </c>
      <c r="F5797" s="2" t="inlineStr">
        <is>
          <t>кинофильм</t>
        </is>
      </c>
      <c r="G5797" s="2" t="n"/>
      <c r="H5797" s="2" t="n">
        <v>380</v>
      </c>
      <c r="I5797" s="2" t="inlineStr"/>
      <c r="J5797" s="2" t="inlineStr"/>
      <c r="K5797" s="3" t="inlineStr">
        <is>
          <t>Виктор приезжает в деревню, чтобы поставить памятник деду. Не найдя в доме нужной фотографии, он обращается за помощью к деревенскому "коллекционеру". Фильм - о бессмысленной попытке героя обрести душевный покой там, где прошло его детство. Фон, на котором разворачивается действие - разоренная российская деревня с брошенными домами, невозделанными пашнями, разграбленным храмом.</t>
        </is>
      </c>
      <c r="L5797" s="2" t="inlineStr">
        <is>
          <t>Кино_СССР сводный каталог.xlsx: список фильмов (доп.)</t>
        </is>
      </c>
      <c r="M5797" s="2">
        <f>HYPERLINK("https://ru.wikipedia.org/w/index.php?search=%D0%97%D0%B5%D0%BB%D0%B5%D0%BD%D0%B8%D0%BD%D1%81%D0%BA%D0%B8%D0%B9%20%D0%BF%D0%BE%D0%B3%D0%BE%D1%81%D1%82%201989%20%D1%84%D0%B8%D0%BB%D1%8C%D0%BC","искать")</f>
        <v/>
      </c>
      <c r="N5797" s="3" t="n"/>
      <c r="O5797" s="2" t="n"/>
      <c r="P5797" s="2" t="n"/>
    </row>
    <row r="5798">
      <c r="A5798" s="2" t="n">
        <v>5797</v>
      </c>
      <c r="B5798" s="2" t="inlineStr"/>
      <c r="C5798" s="2" t="n">
        <v>9525</v>
      </c>
      <c r="D5798" s="3" t="inlineStr">
        <is>
          <t>Он еще вернется</t>
        </is>
      </c>
      <c r="E5798" s="2" t="n">
        <v>1943</v>
      </c>
      <c r="F5798" s="2" t="inlineStr">
        <is>
          <t>кинофильм</t>
        </is>
      </c>
      <c r="G5798" s="2" t="n"/>
      <c r="H5798" s="2" t="n">
        <v>380</v>
      </c>
      <c r="I5798" s="2" t="inlineStr"/>
      <c r="J5798" s="2" t="inlineStr"/>
      <c r="K5798" s="3" t="inlineStr">
        <is>
          <t>Молодой боец-грузин в одном из боев за русское село становится свидетелем героической гибели местной девушки-комсомолки. После ранения он приезжает на побывку в родное село. Но память о девушке, умершей на его руках, не дает ему покоя, а её фотография становится причиной недоразумения между ним и его невестой Нино. Но вскоре истина проясняется, и невеста провожает его на фронт.</t>
        </is>
      </c>
      <c r="L5798" s="2" t="inlineStr">
        <is>
          <t>https://ru.wikipedia.org/w/index.php?title=%D0%9E%D0%BD_%D0%B5%D1%89%D1%91_%D0%B2%D0%B5%D1%80%D0%BD%D1%91%D1%82%D1%81%D1%8F&amp;oldid=154701093</t>
        </is>
      </c>
      <c r="M5798" s="2">
        <f>HYPERLINK("https://ru.wikipedia.org/w/index.php?search=%D0%9E%D0%BD%20%D0%B5%D1%89%D0%B5%20%D0%B2%D0%B5%D1%80%D0%BD%D0%B5%D1%82%D1%81%D1%8F%201943%20%D1%84%D0%B8%D0%BB%D1%8C%D0%BC","искать")</f>
        <v/>
      </c>
      <c r="N5798" s="3" t="n"/>
      <c r="O5798" s="2" t="n"/>
      <c r="P5798" s="2" t="n"/>
    </row>
    <row r="5799">
      <c r="A5799" s="2" t="n">
        <v>5798</v>
      </c>
      <c r="B5799" s="2" t="inlineStr"/>
      <c r="C5799" s="2" t="n">
        <v>9919</v>
      </c>
      <c r="D5799" s="3" t="inlineStr">
        <is>
          <t>Лето в зоопарке</t>
        </is>
      </c>
      <c r="E5799" s="2" t="n">
        <v>1976</v>
      </c>
      <c r="F5799" s="2" t="inlineStr">
        <is>
          <t>кинофильм</t>
        </is>
      </c>
      <c r="G5799" s="2" t="inlineStr">
        <is>
          <t>"Казахфильм"</t>
        </is>
      </c>
      <c r="H5799" s="2" t="n">
        <v>380</v>
      </c>
      <c r="I5799" s="2" t="inlineStr"/>
      <c r="J5799" s="2" t="inlineStr"/>
      <c r="K5799" s="3" t="inlineStr">
        <is>
          <t>Айгуль занимается в кружке юных зоологов и ведет наблюдение за животными. Девочка всей душой привязалась к слепой ламе по кличке Гордый. Слепота животного стала угрожать жизни окружающих, и тогда руководство зоопарка приняло решение списать животное. Однако Айгуль сумела всех убедить, что при ласковом общении лама не опасна. Так благодаря девочке Гордый остался жить в зоопарке.</t>
        </is>
      </c>
      <c r="L5799" s="2" t="inlineStr">
        <is>
          <t>https://www.kino-teatr.ru/short/movie/sov/15894/annot/</t>
        </is>
      </c>
      <c r="M5799" s="2">
        <f>HYPERLINK("https://ru.wikipedia.org/w/index.php?search=%D0%9B%D0%B5%D1%82%D0%BE%20%D0%B2%20%D0%B7%D0%BE%D0%BE%D0%BF%D0%B0%D1%80%D0%BA%D0%B5%201976%20%D1%84%D0%B8%D0%BB%D1%8C%D0%BC","искать")</f>
        <v/>
      </c>
      <c r="N5799" s="3" t="n"/>
      <c r="O5799" s="2" t="n"/>
      <c r="P5799" s="2" t="n"/>
    </row>
    <row r="5800">
      <c r="A5800" s="2" t="n">
        <v>5799</v>
      </c>
      <c r="B5800" s="2" t="inlineStr"/>
      <c r="C5800" s="2" t="n">
        <v>11042</v>
      </c>
      <c r="D5800" s="3" t="inlineStr">
        <is>
          <t>Сильфида (фильм-балет)</t>
        </is>
      </c>
      <c r="E5800" s="2" t="n">
        <v>1984</v>
      </c>
      <c r="F5800" s="2" t="inlineStr">
        <is>
          <t>фильм-спектакль</t>
        </is>
      </c>
      <c r="G5800" s="2" t="inlineStr">
        <is>
          <t>Лентелефильм</t>
        </is>
      </c>
      <c r="H5800" s="2" t="n">
        <v>380</v>
      </c>
      <c r="I5800" s="2" t="inlineStr"/>
      <c r="J5800" s="2" t="inlineStr"/>
      <c r="K5800" s="3" t="inlineStr">
        <is>
          <t>Герой балета, молодой крестьянин Джеймс встретил неземное воплощение своей мечты - Сильфиду, девушку-призрак - и влюбился в нее. История их взаимоотношений рассказана в рисунках на старинных гравюрах, которые открывают фильм.
В спектакле заняты артисты балета Ленинградского Академического театра оперы балета имени С.Кирова.
Музыка Х.Левенскьолда. Хореография Августа Бурнонвиля.</t>
        </is>
      </c>
      <c r="L5800" s="2" t="inlineStr">
        <is>
          <t>https://www.kino-teatr.ru/teatr/movie/93783/annot/</t>
        </is>
      </c>
      <c r="M5800" s="2">
        <f>HYPERLINK("https://ru.wikipedia.org/w/index.php?search=%D0%A1%D0%B8%D0%BB%D1%8C%D1%84%D0%B8%D0%B4%D0%B0%20%28%D1%84%D0%B8%D0%BB%D1%8C%D0%BC-%D0%B1%D0%B0%D0%BB%D0%B5%D1%82%29%201984%20%D1%84%D0%B8%D0%BB%D1%8C%D0%BC","искать")</f>
        <v/>
      </c>
      <c r="N5800" s="3" t="n"/>
      <c r="O5800" s="2" t="n"/>
      <c r="P5800" s="2" t="n"/>
    </row>
    <row r="5801">
      <c r="A5801" s="2" t="n">
        <v>5800</v>
      </c>
      <c r="B5801" s="2" t="inlineStr"/>
      <c r="C5801" s="2" t="n">
        <v>8323</v>
      </c>
      <c r="D5801" s="3" t="inlineStr">
        <is>
          <t>Секретный фарватер</t>
        </is>
      </c>
      <c r="E5801" s="2" t="n">
        <v>1986</v>
      </c>
      <c r="F5801" s="2" t="inlineStr">
        <is>
          <t>телефильм</t>
        </is>
      </c>
      <c r="G5801" s="2" t="n"/>
      <c r="H5801" s="2" t="n">
        <v>381</v>
      </c>
      <c r="I5801" s="2" t="inlineStr"/>
      <c r="J5801" s="2" t="inlineStr"/>
      <c r="K5801" s="3" t="inlineStr">
        <is>
          <t>Действие происходит во время Великой Отечественной войны на Балтийском флоте в 1944—1945 годах и после войны в 1952 году.
Фильм повествует о командире торпедного катера Борисе Шубине, который на исходе войны встречается с таинственной немецкой субмариной без опознавательных знаков. Охотясь за этой субмариной, он узнаёт о секретном фарватере и страшных тайнах нацистской Германии.</t>
        </is>
      </c>
      <c r="L5801" s="2" t="inlineStr">
        <is>
          <t>https://ru.wikipedia.org/w/index.php?title=%D0%A1%D0%B5%D0%BA%D1%80%D0%B5%D1%82%D0%BD%D1%8B%D0%B9_%D1%84%D0%B0%D1%80%D0%B2%D0%B0%D1%82%D0%B5%D1%80_%28%D1%84%D0%B8%D0%BB%D1%8C%D0%BC%29&amp;oldid=154173992</t>
        </is>
      </c>
      <c r="M5801" s="2">
        <f>HYPERLINK("https://ru.wikipedia.org/w/index.php?search=%D0%A1%D0%B5%D0%BA%D1%80%D0%B5%D1%82%D0%BD%D1%8B%D0%B9%20%D1%84%D0%B0%D1%80%D0%B2%D0%B0%D1%82%D0%B5%D1%80%201986%20%D1%84%D0%B8%D0%BB%D1%8C%D0%BC","искать")</f>
        <v/>
      </c>
      <c r="N5801" s="3" t="n"/>
      <c r="O5801" s="2" t="n"/>
      <c r="P5801" s="2" t="n"/>
    </row>
    <row r="5802">
      <c r="A5802" s="2" t="n">
        <v>5801</v>
      </c>
      <c r="B5802" s="2" t="inlineStr"/>
      <c r="C5802" s="2" t="n">
        <v>8715</v>
      </c>
      <c r="D5802" s="3" t="inlineStr">
        <is>
          <t>Духов день</t>
        </is>
      </c>
      <c r="E5802" s="2" t="n">
        <v>1990</v>
      </c>
      <c r="F5802" s="2" t="inlineStr">
        <is>
          <t>кинофильм</t>
        </is>
      </c>
      <c r="G5802" s="2" t="inlineStr">
        <is>
          <t>Ленфильм</t>
        </is>
      </c>
      <c r="H5802" s="2" t="n">
        <v>381</v>
      </c>
      <c r="I5802" s="2" t="inlineStr"/>
      <c r="J5802" s="2" t="inlineStr"/>
      <c r="K5802" s="3" t="inlineStr">
        <is>
          <t>В самом начале фильма Иван Христофоров, обладающий способностью предчувствовать взрывы, даёт интервью журналистам. Чуть позже взрывается не выключенный соседом газ, что и было предсказано. Затем Иван начинает рассказ о себе. Мы узнаем историю героя, особенности развития его творческой личности, уникальную связь с окружающим миром посредством озарений, свойственных ему с детства.</t>
        </is>
      </c>
      <c r="L5802" s="2" t="inlineStr">
        <is>
          <t>Кино_СССР сводный каталог.xlsx: список фильмов (доп.)</t>
        </is>
      </c>
      <c r="M5802" s="2">
        <f>HYPERLINK("https://ru.wikipedia.org/w/index.php?search=%D0%94%D1%83%D1%85%D0%BE%D0%B2%20%D0%B4%D0%B5%D0%BD%D1%8C%201990%20%D1%84%D0%B8%D0%BB%D1%8C%D0%BC","искать")</f>
        <v/>
      </c>
      <c r="N5802" s="3" t="n"/>
      <c r="O5802" s="2" t="n"/>
      <c r="P5802" s="2" t="n"/>
    </row>
    <row r="5803">
      <c r="A5803" s="2" t="n">
        <v>5802</v>
      </c>
      <c r="B5803" s="2" t="inlineStr"/>
      <c r="C5803" s="2" t="n">
        <v>9728</v>
      </c>
      <c r="D5803" s="3" t="inlineStr">
        <is>
          <t>Фуфло</t>
        </is>
      </c>
      <c r="E5803" s="2" t="n">
        <v>1990</v>
      </c>
      <c r="F5803" s="2" t="inlineStr">
        <is>
          <t>кинофильм</t>
        </is>
      </c>
      <c r="G5803" s="2" t="n"/>
      <c r="H5803" s="2" t="n">
        <v>381</v>
      </c>
      <c r="I5803" s="2" t="inlineStr"/>
      <c r="J5803" s="2" t="inlineStr"/>
      <c r="K5803" s="3" t="inlineStr">
        <is>
          <t>У героя картины есть внешность, способности, ум, но разменял он все по женщинам, принося им по большей части горе, обманывая их и вытягивая из тех, что постарше и побогаче, все что можно. Но вот раскусили его и выгнали балетмейстером в провинцию, где он буквально загибался. Там возникла закономерная, но противоестественная одновременно дружба-вражда с наркоманом по кличке Бурый.</t>
        </is>
      </c>
      <c r="L5803" s="2" t="inlineStr">
        <is>
          <t>Кино_СССР сводный каталог.xlsx: список фильмов (доп.)</t>
        </is>
      </c>
      <c r="M5803" s="2">
        <f>HYPERLINK("https://ru.wikipedia.org/w/index.php?search=%D0%A4%D1%83%D1%84%D0%BB%D0%BE%201990%20%D1%84%D0%B8%D0%BB%D1%8C%D0%BC","искать")</f>
        <v/>
      </c>
      <c r="N5803" s="3" t="n"/>
      <c r="O5803" s="2" t="n"/>
      <c r="P5803" s="2" t="n"/>
    </row>
    <row r="5804">
      <c r="A5804" s="2" t="n">
        <v>5803</v>
      </c>
      <c r="B5804" s="2" t="inlineStr"/>
      <c r="C5804" s="2" t="n">
        <v>10106</v>
      </c>
      <c r="D5804" s="3" t="inlineStr">
        <is>
          <t>Верните плату за обучение</t>
        </is>
      </c>
      <c r="E5804" s="2" t="n">
        <v>1963</v>
      </c>
      <c r="F5804" s="2" t="inlineStr">
        <is>
          <t>фильм-спектакль</t>
        </is>
      </c>
      <c r="G5804" s="2" t="inlineStr">
        <is>
          <t>Центральное телевидение</t>
        </is>
      </c>
      <c r="H5804" s="2" t="n">
        <v>381</v>
      </c>
      <c r="I5804" s="2" t="inlineStr"/>
      <c r="J5804" s="2" t="inlineStr"/>
      <c r="K5804" s="3" t="inlineStr">
        <is>
          <t>Телевизионный фильм по мотивам одноименного произведения венгерского писателя Фридьеша Каринти (1887-1938).
Бывший ученик частной гимназии через 18 лет приходит к директору, чтобы получить обратно деньги, отданные когда-то за обучение. По его мнению, он ничему в этой гимназии не научился. Учителя проводят переэкзаменовку, ставя ему отличные отметки, невзирая на качество ответов.</t>
        </is>
      </c>
      <c r="L5804" s="2" t="inlineStr">
        <is>
          <t>https://www.kino-teatr.ru/teatr/movie/15087/annot/</t>
        </is>
      </c>
      <c r="M5804" s="2">
        <f>HYPERLINK("https://ru.wikipedia.org/w/index.php?search=%D0%92%D0%B5%D1%80%D0%BD%D0%B8%D1%82%D0%B5%20%D0%BF%D0%BB%D0%B0%D1%82%D1%83%20%D0%B7%D0%B0%20%D0%BE%D0%B1%D1%83%D1%87%D0%B5%D0%BD%D0%B8%D0%B5%201963%20%D1%84%D0%B8%D0%BB%D1%8C%D0%BC","искать")</f>
        <v/>
      </c>
      <c r="N5804" s="3" t="n"/>
      <c r="O5804" s="2" t="n"/>
      <c r="P5804" s="2" t="n"/>
    </row>
    <row r="5805">
      <c r="A5805" s="2" t="n">
        <v>5804</v>
      </c>
      <c r="B5805" s="2" t="inlineStr"/>
      <c r="C5805" s="2" t="n">
        <v>10192</v>
      </c>
      <c r="D5805" s="3" t="inlineStr">
        <is>
          <t>Домик</t>
        </is>
      </c>
      <c r="E5805" s="2" t="n">
        <v>1967</v>
      </c>
      <c r="F5805" s="2" t="inlineStr">
        <is>
          <t>фильм-спектакль</t>
        </is>
      </c>
      <c r="G5805" s="2" t="inlineStr">
        <is>
          <t>Ленинградское ТВ</t>
        </is>
      </c>
      <c r="H5805" s="2" t="n">
        <v>381</v>
      </c>
      <c r="I5805" s="2" t="inlineStr"/>
      <c r="J5805" s="2" t="inlineStr"/>
      <c r="K5805" s="3" t="inlineStr">
        <is>
          <t>По комедии Валентина Катаева.
Действие происходит в 30-х годах, весной, летом и осенью, в вымышленном городе Конске. Директор местного парка культуры и отдыха Персюков, вообразивший, что в Конске бывал великий математик Лобачевский, решает воспользоваться этим обстоятельством. Бурная деятельность, которую развивает Персюков, в несколько месяцев меняет лицо заштатного райцентра..</t>
        </is>
      </c>
      <c r="L5805" s="2" t="inlineStr">
        <is>
          <t>https://www.kino-teatr.ru/teatr/movie/92846/annot/</t>
        </is>
      </c>
      <c r="M5805" s="2">
        <f>HYPERLINK("https://ru.wikipedia.org/w/index.php?search=%D0%94%D0%BE%D0%BC%D0%B8%D0%BA%201967%20%D1%84%D0%B8%D0%BB%D1%8C%D0%BC","искать")</f>
        <v/>
      </c>
      <c r="N5805" s="3" t="n"/>
      <c r="O5805" s="2" t="n"/>
      <c r="P5805" s="2" t="n"/>
    </row>
    <row r="5806">
      <c r="A5806" s="2" t="n">
        <v>5805</v>
      </c>
      <c r="B5806" s="2" t="inlineStr"/>
      <c r="C5806" s="2" t="n">
        <v>11466</v>
      </c>
      <c r="D5806" s="3" t="inlineStr">
        <is>
          <t>Четверо с одного двора</t>
        </is>
      </c>
      <c r="E5806" s="2" t="n">
        <v>1967</v>
      </c>
      <c r="F5806" s="2" t="inlineStr">
        <is>
          <t>мультфильм</t>
        </is>
      </c>
      <c r="G5806" s="2" t="inlineStr">
        <is>
          <t>Союзмультфильм</t>
        </is>
      </c>
      <c r="H5806" s="2" t="n">
        <v>381</v>
      </c>
      <c r="I5806" s="2" t="inlineStr"/>
      <c r="J5806" s="2" t="inlineStr"/>
      <c r="K5806" s="3" t="inlineStr">
        <is>
          <t>История закадычных друзей — мышонка, котенка, козленка и цыпленка, которые жили по соседству. Однако в последнее время отношения между друзьями стали портиться. У котенка из мисочки пропадало молоко, щенок недосчитался очень вкусной косточки, а козленок и вовсе остался без морковки. Друзья поначалу начали упрекать друг друга в пропажах, однако поразмыслив решили найти виновника.</t>
        </is>
      </c>
      <c r="L5806" s="2" t="inlineStr">
        <is>
          <t>2026-10_мультфильмы_список_владельца.xlsx; https://animator.ru/db/?p=show_film&amp;fid=2237</t>
        </is>
      </c>
      <c r="M5806" s="2">
        <f>HYPERLINK("https://ru.wikipedia.org/w/index.php?search=%D0%A7%D0%B5%D1%82%D0%B2%D0%B5%D1%80%D0%BE%20%D1%81%20%D0%BE%D0%B4%D0%BD%D0%BE%D0%B3%D0%BE%20%D0%B4%D0%B2%D0%BE%D1%80%D0%B0%201967%20%D1%84%D0%B8%D0%BB%D1%8C%D0%BC","искать")</f>
        <v/>
      </c>
      <c r="N5806" s="3" t="n"/>
      <c r="O5806" s="2" t="n"/>
      <c r="P5806" s="2" t="n"/>
    </row>
    <row r="5807">
      <c r="A5807" s="2" t="n">
        <v>5806</v>
      </c>
      <c r="B5807" s="2" t="inlineStr"/>
      <c r="C5807" s="2" t="n">
        <v>7297</v>
      </c>
      <c r="D5807" s="3" t="inlineStr">
        <is>
          <t>В поисках утраченного сокровища</t>
        </is>
      </c>
      <c r="E5807" s="2" t="n">
        <v>1987</v>
      </c>
      <c r="F5807" s="2" t="inlineStr">
        <is>
          <t>телефильм</t>
        </is>
      </c>
      <c r="G5807" s="2" t="n"/>
      <c r="H5807" s="2" t="n">
        <v>382</v>
      </c>
      <c r="I5807" s="2" t="inlineStr"/>
      <c r="J5807" s="2" t="inlineStr"/>
      <c r="K5807" s="3" t="inlineStr">
        <is>
          <t>Героико-приключенческий фильм о пламенной любви трех друзей к своему отчеству. Умирая, дед завещал своему внуку Луке верой и правдой служить герою Вамеху, который по народному поверию должен придти и освободить страну от гнета кровожадного визиря. Княжна Твалта тоже ждет прихода Вамеха - она должна передать ему семейную тайну - сокровище, благодаря которому Вамех станет неуязвим.</t>
        </is>
      </c>
      <c r="L5807" s="2" t="inlineStr">
        <is>
          <t>Кино_СССР сводный каталог.xlsx: список телефильмов</t>
        </is>
      </c>
      <c r="M5807" s="2">
        <f>HYPERLINK("https://ru.wikipedia.org/w/index.php?search=%D0%92%20%D0%BF%D0%BE%D0%B8%D1%81%D0%BA%D0%B0%D1%85%20%D1%83%D1%82%D1%80%D0%B0%D1%87%D0%B5%D0%BD%D0%BD%D0%BE%D0%B3%D0%BE%20%D1%81%D0%BE%D0%BA%D1%80%D0%BE%D0%B2%D0%B8%D1%89%D0%B0%201987%20%D1%84%D0%B8%D0%BB%D1%8C%D0%BC","искать")</f>
        <v/>
      </c>
      <c r="N5807" s="3" t="n"/>
      <c r="O5807" s="2" t="n"/>
      <c r="P5807" s="2" t="n"/>
    </row>
    <row r="5808">
      <c r="A5808" s="2" t="n">
        <v>5807</v>
      </c>
      <c r="B5808" s="2" t="inlineStr"/>
      <c r="C5808" s="2" t="n">
        <v>7734</v>
      </c>
      <c r="D5808" s="3" t="inlineStr">
        <is>
          <t>Когда отзовется эхо</t>
        </is>
      </c>
      <c r="E5808" s="2" t="n">
        <v>1989</v>
      </c>
      <c r="F5808" s="2" t="inlineStr">
        <is>
          <t>телефильм</t>
        </is>
      </c>
      <c r="G5808" s="2" t="n"/>
      <c r="H5808" s="2" t="n">
        <v>382</v>
      </c>
      <c r="I5808" s="2" t="inlineStr"/>
      <c r="J5808" s="2" t="inlineStr"/>
      <c r="K5808" s="3" t="inlineStr">
        <is>
          <t>Осенью 1945 года в обезлюдевшее селение пробирается бывший фронтовик Умар Бадалов. Он честно выполнил свой воинский долг, теперь его комиссовали и вот он в своем ауле. Окрашенная трагизмом осенняя умирающая природа и разоренный аул, в котором он не встретил ни души, кроме одной мертвой собаки. Вечером патруль НКВД отвел его в милицейский участок, и Умар был отправлен в Казахстан.</t>
        </is>
      </c>
      <c r="L5808" s="2" t="inlineStr">
        <is>
          <t>Кино_СССР сводный каталог.xlsx: список телефильмов</t>
        </is>
      </c>
      <c r="M5808" s="2">
        <f>HYPERLINK("https://ru.wikipedia.org/w/index.php?search=%D0%9A%D0%BE%D0%B3%D0%B4%D0%B0%20%D0%BE%D1%82%D0%B7%D0%BE%D0%B2%D0%B5%D1%82%D1%81%D1%8F%20%D1%8D%D1%85%D0%BE%201989%20%D1%84%D0%B8%D0%BB%D1%8C%D0%BC","искать")</f>
        <v/>
      </c>
      <c r="N5808" s="3" t="n"/>
      <c r="O5808" s="2" t="n"/>
      <c r="P5808" s="2" t="n"/>
    </row>
    <row r="5809">
      <c r="A5809" s="2" t="n">
        <v>5808</v>
      </c>
      <c r="B5809" s="2" t="inlineStr"/>
      <c r="C5809" s="2" t="n">
        <v>8800</v>
      </c>
      <c r="D5809" s="3" t="inlineStr">
        <is>
          <t>Ловушка</t>
        </is>
      </c>
      <c r="E5809" s="2" t="n">
        <v>1990</v>
      </c>
      <c r="F5809" s="2" t="inlineStr">
        <is>
          <t>кинофильм</t>
        </is>
      </c>
      <c r="G5809" s="2" t="n"/>
      <c r="H5809" s="2" t="n">
        <v>382</v>
      </c>
      <c r="I5809" s="2" t="inlineStr"/>
      <c r="J5809" s="2" t="inlineStr"/>
      <c r="K5809" s="3" t="inlineStr">
        <is>
          <t>В одном из пригородов Баку экстремисты готовят взрыв строящихся домов для беженцев. Студент и его девушка становятся случайными свидетелями этой диверсии. Юноша снимает все подробности ночи на пленку. Этот материал кого-то оставляет равнодушным, а кого-то настораживает. В результате студент попадает под машину, а люди, находящиеся на строительной площадке во время взрыва, гибнут.</t>
        </is>
      </c>
      <c r="L5809" s="2" t="inlineStr">
        <is>
          <t>Кино_СССР сводный каталог.xlsx: список фильмов (доп.)</t>
        </is>
      </c>
      <c r="M5809" s="2">
        <f>HYPERLINK("https://ru.wikipedia.org/w/index.php?search=%D0%9B%D0%BE%D0%B2%D1%83%D1%88%D0%BA%D0%B0%201990%20%D1%84%D0%B8%D0%BB%D1%8C%D0%BC","искать")</f>
        <v/>
      </c>
      <c r="N5809" s="3" t="n"/>
      <c r="O5809" s="2" t="n"/>
      <c r="P5809" s="2" t="n"/>
    </row>
    <row r="5810">
      <c r="A5810" s="2" t="n">
        <v>5809</v>
      </c>
      <c r="B5810" s="2" t="inlineStr"/>
      <c r="C5810" s="2" t="n">
        <v>9709</v>
      </c>
      <c r="D5810" s="3" t="inlineStr">
        <is>
          <t>Украинская вендетта</t>
        </is>
      </c>
      <c r="E5810" s="2" t="n">
        <v>1990</v>
      </c>
      <c r="F5810" s="2" t="inlineStr">
        <is>
          <t>кинофильм</t>
        </is>
      </c>
      <c r="G5810" s="2" t="n"/>
      <c r="H5810" s="2" t="n">
        <v>382</v>
      </c>
      <c r="I5810" s="2" t="inlineStr"/>
      <c r="J5810" s="2" t="inlineStr"/>
      <c r="K5810" s="3" t="inlineStr">
        <is>
          <t>Фильм поставлен по одноимённой повести Анатолия Димарова. С фанатизмом, с которым Ульяна работала в поле с утра до вечера еще до войны, она начинает мстить за погибшего мужа и сына, которого до смерти забили полицаи. Один за другим от ее руки гибнут фашисты и предатели. От ее же руки погибает подросток, бывший одноклассник ее сына, а теперь, как и многие, завербованный в полицаи.</t>
        </is>
      </c>
      <c r="L5810" s="2" t="inlineStr">
        <is>
          <t>Кино_СССР сводный каталог.xlsx: список фильмов (доп.)</t>
        </is>
      </c>
      <c r="M5810" s="2">
        <f>HYPERLINK("https://ru.wikipedia.org/w/index.php?search=%D0%A3%D0%BA%D1%80%D0%B0%D0%B8%D0%BD%D1%81%D0%BA%D0%B0%D1%8F%20%D0%B2%D0%B5%D0%BD%D0%B4%D0%B5%D1%82%D1%82%D0%B0%201990%20%D1%84%D0%B8%D0%BB%D1%8C%D0%BC","искать")</f>
        <v/>
      </c>
      <c r="N5810" s="3" t="n"/>
      <c r="O5810" s="2" t="n"/>
      <c r="P5810" s="2" t="n"/>
    </row>
    <row r="5811">
      <c r="A5811" s="2" t="n">
        <v>5810</v>
      </c>
      <c r="B5811" s="2" t="inlineStr"/>
      <c r="C5811" s="2" t="n">
        <v>12661</v>
      </c>
      <c r="D5811" s="3" t="inlineStr">
        <is>
          <t>Вася Буслик и его друзья</t>
        </is>
      </c>
      <c r="E5811" s="2" t="n">
        <v>1973</v>
      </c>
      <c r="F5811" s="2" t="inlineStr">
        <is>
          <t>мультфильм</t>
        </is>
      </c>
      <c r="G5811" s="2" t="inlineStr">
        <is>
          <t>БЕЛАРУСЬФИЛЬМ НАЦИОНАЛЬНАЯ КИНОСТУДИЯ - ГП</t>
        </is>
      </c>
      <c r="H5811" s="2" t="n">
        <v>382</v>
      </c>
      <c r="I5811" s="2" t="inlineStr"/>
      <c r="J5811" s="2" t="inlineStr"/>
      <c r="K5811" s="3" t="inlineStr">
        <is>
          <t>Фильм рассказывает о дружбе пионера Васи Буслика с животными и утверждает старую, но всегда актуальную мысль о необходимости знаний в жизни.Петушок, Заяц, Волк и Медвежонок играли в футбол на лесной поляне. Неподалеку стояла доска с надписью: "Внимание! Болото!" Футболисты не умели читать и в результате попали в трясину. Их спас Вася Буслик, который охотился в лесу с фото ружьем.</t>
        </is>
      </c>
      <c r="L5811" s="2" t="inlineStr">
        <is>
          <t>2026-10_мультфильмы_список_владельца.xlsx; https://animator.ru/db/?p=show_film&amp;fid=3854</t>
        </is>
      </c>
      <c r="M5811" s="2">
        <f>HYPERLINK("https://ru.wikipedia.org/w/index.php?search=%D0%92%D0%B0%D1%81%D1%8F%20%D0%91%D1%83%D1%81%D0%BB%D0%B8%D0%BA%20%D0%B8%20%D0%B5%D0%B3%D0%BE%20%D0%B4%D1%80%D1%83%D0%B7%D1%8C%D1%8F%201973%20%D1%84%D0%B8%D0%BB%D1%8C%D0%BC","искать")</f>
        <v/>
      </c>
      <c r="N5811" s="3" t="n"/>
      <c r="O5811" s="2" t="n"/>
      <c r="P5811" s="2" t="n"/>
    </row>
    <row r="5812">
      <c r="A5812" s="2" t="n">
        <v>5811</v>
      </c>
      <c r="B5812" s="2" t="inlineStr"/>
      <c r="C5812" s="2" t="n">
        <v>7508</v>
      </c>
      <c r="D5812" s="3" t="inlineStr">
        <is>
          <t>Дети как дети</t>
        </is>
      </c>
      <c r="E5812" s="2" t="n">
        <v>1978</v>
      </c>
      <c r="F5812" s="2" t="inlineStr">
        <is>
          <t>телефильм</t>
        </is>
      </c>
      <c r="G5812" s="2" t="n"/>
      <c r="H5812" s="2" t="n">
        <v>383</v>
      </c>
      <c r="I5812" s="2" t="inlineStr"/>
      <c r="J5812" s="2" t="inlineStr"/>
      <c r="K5812" s="3" t="inlineStr">
        <is>
          <t>Игорь — отец Оли — четыре года назад полюбил другую женщину, Татьяну, и ушёл от жены. У Татьяны есть сын Дима, которого Игорь усыновляет. И вот однажды Игорь не может встретить Олю, чтобы повести её в «Пенаты», и посылает вместо себя Диму. Дети знакомятся. Возникает парадокс. Оля ненавидит Диму и его мать, он же настроен дружелюбно. Детям предстоит перейти грань любви и ненависти.</t>
        </is>
      </c>
      <c r="L5812" s="2" t="inlineStr">
        <is>
          <t>https://ru.wikipedia.org/w/index.php?title=%D0%94%D0%B5%D1%82%D0%B8_%D0%BA%D0%B0%D0%BA_%D0%B4%D0%B5%D1%82%D0%B8&amp;oldid=151251140</t>
        </is>
      </c>
      <c r="M5812" s="2">
        <f>HYPERLINK("https://ru.wikipedia.org/w/index.php?search=%D0%94%D0%B5%D1%82%D0%B8%20%D0%BA%D0%B0%D0%BA%20%D0%B4%D0%B5%D1%82%D0%B8%201978%20%D1%84%D0%B8%D0%BB%D1%8C%D0%BC","искать")</f>
        <v/>
      </c>
      <c r="N5812" s="3" t="n"/>
      <c r="O5812" s="2" t="n"/>
      <c r="P5812" s="2" t="n"/>
    </row>
    <row r="5813">
      <c r="A5813" s="2" t="n">
        <v>5812</v>
      </c>
      <c r="B5813" s="2" t="inlineStr"/>
      <c r="C5813" s="2" t="n">
        <v>8359</v>
      </c>
      <c r="D5813" s="3" t="inlineStr">
        <is>
          <t>Случай из газетной практики</t>
        </is>
      </c>
      <c r="E5813" s="2" t="n">
        <v>1987</v>
      </c>
      <c r="F5813" s="2" t="inlineStr">
        <is>
          <t>телефильм</t>
        </is>
      </c>
      <c r="G5813" s="2" t="n"/>
      <c r="H5813" s="2" t="n">
        <v>383</v>
      </c>
      <c r="I5813" s="2" t="inlineStr"/>
      <c r="J5813" s="2" t="inlineStr"/>
      <c r="K5813" s="3" t="inlineStr">
        <is>
          <t>Социальная драма по одноименной пьесе Константина Щербакова. Герой фильма, журналист Алексей Кривцов, проявляя интуицию и волю, пытается досконально разобраться, каким образом в Институте гуманитарных проблем во времена начавшейся перестройки дается оценка важным историческим событиям. В своем рвении к истине герой сразу же наживает себе врага в лице директора института Шороховой.</t>
        </is>
      </c>
      <c r="L5813" s="2" t="inlineStr">
        <is>
          <t>Кино_СССР сводный каталог.xlsx: список телефильмов</t>
        </is>
      </c>
      <c r="M5813" s="2">
        <f>HYPERLINK("https://ru.wikipedia.org/w/index.php?search=%D0%A1%D0%BB%D1%83%D1%87%D0%B0%D0%B9%20%D0%B8%D0%B7%20%D0%B3%D0%B0%D0%B7%D0%B5%D1%82%D0%BD%D0%BE%D0%B9%20%D0%BF%D1%80%D0%B0%D0%BA%D1%82%D0%B8%D0%BA%D0%B8%201987%20%D1%84%D0%B8%D0%BB%D1%8C%D0%BC","искать")</f>
        <v/>
      </c>
      <c r="N5813" s="3" t="n"/>
      <c r="O5813" s="2" t="n"/>
      <c r="P5813" s="2" t="n"/>
    </row>
    <row r="5814">
      <c r="A5814" s="2" t="n">
        <v>5813</v>
      </c>
      <c r="B5814" s="2" t="inlineStr"/>
      <c r="C5814" s="2" t="n">
        <v>9253</v>
      </c>
      <c r="D5814" s="3" t="inlineStr">
        <is>
          <t>Бродячий автобус</t>
        </is>
      </c>
      <c r="E5814" s="2" t="n">
        <v>1989</v>
      </c>
      <c r="F5814" s="2" t="inlineStr">
        <is>
          <t>кинофильм</t>
        </is>
      </c>
      <c r="G5814" s="2" t="n"/>
      <c r="H5814" s="2" t="n">
        <v>383</v>
      </c>
      <c r="I5814" s="2" t="inlineStr"/>
      <c r="J5814" s="2" t="inlineStr"/>
      <c r="K5814" s="3" t="inlineStr">
        <is>
          <t>Фильм рассказывает об артистах одного театра. Это бродячая труппа, которая путешествует на своём старом почти разбитом автобусе от одного населённого пункта к другому, чтобы показать зрителям несколько своих спектаклей. Каждый из артистов по-своему влюблён в театр, но в фильме также поднимаются и проблемы материального плана, например, проблема выбора между творчеством и деньгами.</t>
        </is>
      </c>
      <c r="L5814" s="2" t="inlineStr">
        <is>
          <t>https://ru.wikipedia.org/w/index.php?title=%D0%91%D1%80%D0%BE%D0%B4%D1%8F%D1%87%D0%B8%D0%B9_%D0%B0%D0%B2%D1%82%D0%BE%D0%B1%D1%83%D1%81&amp;oldid=144097834</t>
        </is>
      </c>
      <c r="M5814" s="2">
        <f>HYPERLINK("https://ru.wikipedia.org/w/index.php?search=%D0%91%D1%80%D0%BE%D0%B4%D1%8F%D1%87%D0%B8%D0%B9%20%D0%B0%D0%B2%D1%82%D0%BE%D0%B1%D1%83%D1%81%201989%20%D1%84%D0%B8%D0%BB%D1%8C%D0%BC","искать")</f>
        <v/>
      </c>
      <c r="N5814" s="3" t="n"/>
      <c r="O5814" s="2" t="n"/>
      <c r="P5814" s="2" t="n"/>
    </row>
    <row r="5815">
      <c r="A5815" s="2" t="n">
        <v>5814</v>
      </c>
      <c r="B5815" s="2" t="inlineStr"/>
      <c r="C5815" s="2" t="n">
        <v>7653</v>
      </c>
      <c r="D5815" s="3" t="inlineStr">
        <is>
          <t>Золотая стрела</t>
        </is>
      </c>
      <c r="E5815" s="2" t="n">
        <v>1980</v>
      </c>
      <c r="F5815" s="2" t="inlineStr">
        <is>
          <t>телефильм</t>
        </is>
      </c>
      <c r="G5815" s="2" t="n"/>
      <c r="H5815" s="2" t="n">
        <v>384</v>
      </c>
      <c r="I5815" s="2" t="inlineStr"/>
      <c r="J5815" s="2" t="inlineStr"/>
      <c r="K5815" s="3" t="inlineStr">
        <is>
          <t>Телефильм. Режиссерский дебют в кино Сайдо Курбанова. О легенде таджикского спорта, абсолютной чемпионке мира по стрельбе из лука и призере Олимпийских игр, Зебунисо Рустамовой. Студентка Анор завоевала звание чемпионки страны по стрельбе из лука. В этом немалая заслуга ее тренера. Чтобы прийти к победе, ей многое пришлось преодолеть в непросто складывающихся отношениях между ними.</t>
        </is>
      </c>
      <c r="L5815" s="2" t="inlineStr">
        <is>
          <t>Кино_СССР сводный каталог.xlsx: список телефильмов</t>
        </is>
      </c>
      <c r="M5815" s="2">
        <f>HYPERLINK("https://ru.wikipedia.org/w/index.php?search=%D0%97%D0%BE%D0%BB%D0%BE%D1%82%D0%B0%D1%8F%20%D1%81%D1%82%D1%80%D0%B5%D0%BB%D0%B0%201980%20%D1%84%D0%B8%D0%BB%D1%8C%D0%BC","искать")</f>
        <v/>
      </c>
      <c r="N5815" s="3" t="n"/>
      <c r="O5815" s="2" t="n"/>
      <c r="P5815" s="2" t="n"/>
    </row>
    <row r="5816">
      <c r="A5816" s="2" t="n">
        <v>5815</v>
      </c>
      <c r="B5816" s="2" t="inlineStr"/>
      <c r="C5816" s="2" t="n">
        <v>11338</v>
      </c>
      <c r="D5816" s="3" t="inlineStr">
        <is>
          <t>Женитьба</t>
        </is>
      </c>
      <c r="E5816" s="2" t="n">
        <v>1991</v>
      </c>
      <c r="F5816" s="2" t="inlineStr">
        <is>
          <t>фильм-спектакль</t>
        </is>
      </c>
      <c r="G5816" s="2" t="inlineStr">
        <is>
          <t>Главная редакция литературно-художественных программ ЦТ</t>
        </is>
      </c>
      <c r="H5816" s="2" t="n">
        <v>384</v>
      </c>
      <c r="I5816" s="2" t="inlineStr"/>
      <c r="J5816" s="2" t="inlineStr"/>
      <c r="K5816" s="3" t="inlineStr">
        <is>
          <t>По одноименной комедии Н.В. Гоголя в постановке Воронежского академического драматического театра имени А.В. Кольцова.
Надворный советник Подколесин намерен жениться, но, несмотря на помощь свахи, никак не может довести дело до финала. На помощь ему приходит друг Кочкарев, который умело плетет интриги, сводит своего подопечного с невестой и попутно отваживает от нее других женихов.</t>
        </is>
      </c>
      <c r="L5816" s="2" t="inlineStr">
        <is>
          <t>https://www.kino-teatr.ru/teatr/movie/107632/annot/</t>
        </is>
      </c>
      <c r="M5816" s="2">
        <f>HYPERLINK("https://ru.wikipedia.org/w/index.php?search=%D0%96%D0%B5%D0%BD%D0%B8%D1%82%D1%8C%D0%B1%D0%B0%201991%20%D1%84%D0%B8%D0%BB%D1%8C%D0%BC","искать")</f>
        <v/>
      </c>
      <c r="N5816" s="3" t="n"/>
      <c r="O5816" s="2" t="n"/>
      <c r="P5816" s="2" t="n"/>
    </row>
    <row r="5817">
      <c r="A5817" s="2" t="n">
        <v>5816</v>
      </c>
      <c r="B5817" s="2" t="inlineStr"/>
      <c r="C5817" s="2" t="n">
        <v>7550</v>
      </c>
      <c r="D5817" s="3" t="inlineStr">
        <is>
          <t>Дорога в ад</t>
        </is>
      </c>
      <c r="E5817" s="2" t="n">
        <v>1988</v>
      </c>
      <c r="F5817" s="2" t="inlineStr">
        <is>
          <t>телефильм</t>
        </is>
      </c>
      <c r="G5817" s="2" t="n"/>
      <c r="H5817" s="2" t="n">
        <v>385</v>
      </c>
      <c r="I5817" s="2" t="inlineStr"/>
      <c r="J5817" s="2" t="inlineStr"/>
      <c r="K5817" s="3" t="inlineStr">
        <is>
          <t>"Дорогой в ад" стала жизнь молодых людей Марины и ее брата Олега, пристрастившихся к наркотикам. За их сломанными судьбами стоят люди, которых молодые люди считают своими благодетелями. Наркоторговцы не останавливаются ни перед чем, чтобы расширять рынки сбыта. Угрожая физической расправой, они пытаются втянуть в свой бизнес лаборантку Катю и ее друга водителя-дальнобойщика Алексея.</t>
        </is>
      </c>
      <c r="L5817" s="2" t="inlineStr">
        <is>
          <t>Кино_СССР сводный каталог.xlsx: список телефильмов</t>
        </is>
      </c>
      <c r="M5817" s="2">
        <f>HYPERLINK("https://ru.wikipedia.org/w/index.php?search=%D0%94%D0%BE%D1%80%D0%BE%D0%B3%D0%B0%20%D0%B2%20%D0%B0%D0%B4%201988%20%D1%84%D0%B8%D0%BB%D1%8C%D0%BC","искать")</f>
        <v/>
      </c>
      <c r="N5817" s="3" t="n"/>
      <c r="O5817" s="2" t="n"/>
      <c r="P5817" s="2" t="n"/>
    </row>
    <row r="5818">
      <c r="A5818" s="2" t="n">
        <v>5817</v>
      </c>
      <c r="B5818" s="2" t="inlineStr"/>
      <c r="C5818" s="2" t="n">
        <v>8156</v>
      </c>
      <c r="D5818" s="3" t="inlineStr">
        <is>
          <t>Полигон</t>
        </is>
      </c>
      <c r="E5818" s="2" t="n">
        <v>1982</v>
      </c>
      <c r="F5818" s="2" t="inlineStr">
        <is>
          <t>телефильм</t>
        </is>
      </c>
      <c r="G5818" s="2" t="n"/>
      <c r="H5818" s="2" t="n">
        <v>385</v>
      </c>
      <c r="I5818" s="2" t="inlineStr"/>
      <c r="J5818" s="2" t="inlineStr"/>
      <c r="K5818" s="3" t="inlineStr">
        <is>
          <t>По мотивам повести А.Жука "Звезды над полигоном". Командир дивизии Лукошин назначает командиром офицерских сборов подполковника Белова, давно заслужившего славу умелого наставника молодежи. На сборы прибывают лейтенанты запаса, призванные в армию на два года после окончания вуза. Белов учит молодых офицеров быть сильными, выносливыми, чтобы они могли выйти живыми из любого сражения.</t>
        </is>
      </c>
      <c r="L5818" s="2" t="inlineStr">
        <is>
          <t>Кино_СССР сводный каталог.xlsx: список телефильмов</t>
        </is>
      </c>
      <c r="M5818" s="2">
        <f>HYPERLINK("https://ru.wikipedia.org/w/index.php?search=%D0%9F%D0%BE%D0%BB%D0%B8%D0%B3%D0%BE%D0%BD%201982%20%D1%84%D0%B8%D0%BB%D1%8C%D0%BC","искать")</f>
        <v/>
      </c>
      <c r="N5818" s="3" t="n"/>
      <c r="O5818" s="2" t="n"/>
      <c r="P5818" s="2" t="n"/>
    </row>
    <row r="5819">
      <c r="A5819" s="2" t="n">
        <v>5818</v>
      </c>
      <c r="B5819" s="2" t="inlineStr"/>
      <c r="C5819" s="2" t="n">
        <v>8593</v>
      </c>
      <c r="D5819" s="3" t="inlineStr">
        <is>
          <t>Эта мужская дружба</t>
        </is>
      </c>
      <c r="E5819" s="2" t="n">
        <v>1982</v>
      </c>
      <c r="F5819" s="2" t="inlineStr">
        <is>
          <t>телефильм</t>
        </is>
      </c>
      <c r="G5819" s="2" t="n"/>
      <c r="H5819" s="2" t="n">
        <v>385</v>
      </c>
      <c r="I5819" s="2" t="inlineStr"/>
      <c r="J5819" s="2" t="inlineStr"/>
      <c r="K5819" s="3" t="inlineStr">
        <is>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is>
      </c>
      <c r="L5819" s="2" t="inlineStr">
        <is>
          <t>Кино_СССР сводный каталог.xlsx: список телефильмов</t>
        </is>
      </c>
      <c r="M5819" s="2">
        <f>HYPERLINK("https://ru.wikipedia.org/w/index.php?search=%D0%AD%D1%82%D0%B0%20%D0%BC%D1%83%D0%B6%D1%81%D0%BA%D0%B0%D1%8F%20%D0%B4%D1%80%D1%83%D0%B6%D0%B1%D0%B0%201982%20%D1%84%D0%B8%D0%BB%D1%8C%D0%BC","искать")</f>
        <v/>
      </c>
      <c r="N5819" s="3" t="n"/>
      <c r="O5819" s="2" t="n"/>
      <c r="P5819" s="2" t="n"/>
    </row>
    <row r="5820">
      <c r="A5820" s="2" t="n">
        <v>5819</v>
      </c>
      <c r="B5820" s="2" t="inlineStr"/>
      <c r="C5820" s="2" t="n">
        <v>10129</v>
      </c>
      <c r="D5820" s="3" t="inlineStr">
        <is>
          <t>Совесть не прощает</t>
        </is>
      </c>
      <c r="E5820" s="2" t="n">
        <v>1964</v>
      </c>
      <c r="F5820" s="2" t="inlineStr">
        <is>
          <t>фильм-спектакль</t>
        </is>
      </c>
      <c r="G5820" s="2" t="inlineStr">
        <is>
          <t>Центральное телевидение / Ленинградская студия телевидения</t>
        </is>
      </c>
      <c r="H5820" s="2" t="n">
        <v>385</v>
      </c>
      <c r="I5820" s="2" t="inlineStr"/>
      <c r="J5820" s="2" t="inlineStr"/>
      <c r="K5820" s="3" t="inlineStr">
        <is>
          <t>По пьесе Токтоболота Абдомаму́нова "Обжалованию не подлежит".
Телеспектакль посвящен вопросам морали, рассказывает об испытаниях любви и дружбы.
Главный герой Нурдин - человек, не сумевший защитить дружбу и любовь, отступивший перед коварством и лицемерием. Доброжелательного зрителя олицетворяет Старик - персонаж, стоящий как бы вне сюжета. Нурдин рассказывает Старику о своей жизни.</t>
        </is>
      </c>
      <c r="L5820" s="2" t="inlineStr">
        <is>
          <t>https://www.kino-teatr.ru/teatr/movie/8284/annot/</t>
        </is>
      </c>
      <c r="M5820" s="2">
        <f>HYPERLINK("https://ru.wikipedia.org/w/index.php?search=%D0%A1%D0%BE%D0%B2%D0%B5%D1%81%D1%82%D1%8C%20%D0%BD%D0%B5%20%D0%BF%D1%80%D0%BE%D1%89%D0%B0%D0%B5%D1%82%201964%20%D1%84%D0%B8%D0%BB%D1%8C%D0%BC","искать")</f>
        <v/>
      </c>
      <c r="N5820" s="3" t="n"/>
      <c r="O5820" s="2" t="n"/>
      <c r="P5820" s="2" t="n"/>
    </row>
    <row r="5821">
      <c r="A5821" s="2" t="n">
        <v>5820</v>
      </c>
      <c r="B5821" s="2" t="inlineStr"/>
      <c r="C5821" s="2" t="n">
        <v>11569</v>
      </c>
      <c r="D5821" s="3" t="inlineStr">
        <is>
          <t>Чертовщина</t>
        </is>
      </c>
      <c r="E5821" s="2" t="n">
        <v>1968</v>
      </c>
      <c r="F5821" s="2" t="inlineStr">
        <is>
          <t>мультфильм</t>
        </is>
      </c>
      <c r="G5821" s="2" t="inlineStr">
        <is>
          <t>Союзмультфильм</t>
        </is>
      </c>
      <c r="H5821" s="2" t="n">
        <v>385</v>
      </c>
      <c r="I5821" s="2" t="inlineStr"/>
      <c r="J5821" s="2" t="inlineStr"/>
      <c r="K5821" s="3" t="inlineStr">
        <is>
          <t>Надоело человеку жить, и решил он отдать богу душу. Но бог-заявляет, что его, бога, отменили. А черт посылает к своей матери, та-к своей; и везде требуют справки. Чертова бабушка посылает его к богу-пусть тот даст справку, что его нет. Надоело все человеку, и вернулся он опять на землю. Это в сказке; а в жизни ходил человек, ходил со своим заявлением и добился своего-отдал богу душу</t>
        </is>
      </c>
      <c r="L5821" s="2" t="inlineStr">
        <is>
          <t>https://gosfilmofond.ru/films/251399/</t>
        </is>
      </c>
      <c r="M5821" s="2">
        <f>HYPERLINK("https://ru.wikipedia.org/w/index.php?search=%D0%A7%D0%B5%D1%80%D1%82%D0%BE%D0%B2%D1%89%D0%B8%D0%BD%D0%B0%201968%20%D1%84%D0%B8%D0%BB%D1%8C%D0%BC","искать")</f>
        <v/>
      </c>
      <c r="N5821" s="3" t="n"/>
      <c r="O5821" s="2" t="n"/>
      <c r="P5821" s="2" t="n"/>
    </row>
    <row r="5822">
      <c r="A5822" s="2" t="n">
        <v>5821</v>
      </c>
      <c r="B5822" s="2" t="inlineStr"/>
      <c r="C5822" s="2" t="n">
        <v>12828</v>
      </c>
      <c r="D5822" s="3" t="inlineStr">
        <is>
          <t>Ослик лурджа</t>
        </is>
      </c>
      <c r="E5822" s="2" t="n">
        <v>1970</v>
      </c>
      <c r="F5822" s="2" t="inlineStr">
        <is>
          <t>мультфильм</t>
        </is>
      </c>
      <c r="G5822" s="2" t="inlineStr">
        <is>
          <t>ГРУЗИЯ-ФИЛЬМ - АО</t>
        </is>
      </c>
      <c r="H5822" s="2" t="n">
        <v>385</v>
      </c>
      <c r="I5822" s="2" t="inlineStr"/>
      <c r="J5822" s="2" t="inlineStr"/>
      <c r="K5822" s="3" t="inlineStr">
        <is>
          <t>Ослик Лурджа бродит по лугам и лесам, собирая сено. В лесу нападает на него Серый Волк и хочет съесть. Ослик пытается спастись бегством и, перебежав речку, сбрасывает в воду бревно, по которому перебежал. Но Волк упорен, он долго ищет и находит Ослика. Лурджу спасает хитрость - он просит Волка вынуть у него из копыта гвоздь и больно бьет хищника. С тех пор Волк оставляет его в покое</t>
        </is>
      </c>
      <c r="L5822" s="2" t="inlineStr">
        <is>
          <t>https://gosfilmofond.ru/films/255166/</t>
        </is>
      </c>
      <c r="M5822" s="2">
        <f>HYPERLINK("https://ru.wikipedia.org/w/index.php?search=%D0%9E%D1%81%D0%BB%D0%B8%D0%BA%20%D0%BB%D1%83%D1%80%D0%B4%D0%B6%D0%B0%201970%20%D1%84%D0%B8%D0%BB%D1%8C%D0%BC","искать")</f>
        <v/>
      </c>
      <c r="N5822" s="3" t="n"/>
      <c r="O5822" s="2" t="n"/>
      <c r="P5822" s="2" t="n"/>
    </row>
    <row r="5823">
      <c r="A5823" s="2" t="n">
        <v>5822</v>
      </c>
      <c r="B5823" s="2" t="inlineStr"/>
      <c r="C5823" s="2" t="n">
        <v>7711</v>
      </c>
      <c r="D5823" s="3" t="inlineStr">
        <is>
          <t>Капитан Немо</t>
        </is>
      </c>
      <c r="E5823" s="2" t="n">
        <v>1975</v>
      </c>
      <c r="F5823" s="2" t="inlineStr">
        <is>
          <t>телефильм</t>
        </is>
      </c>
      <c r="G5823" s="2" t="n"/>
      <c r="H5823" s="2" t="n">
        <v>386</v>
      </c>
      <c r="I5823" s="2" t="inlineStr"/>
      <c r="J5823" s="2" t="inlineStr"/>
      <c r="K5823" s="3" t="inlineStr">
        <is>
          <t>Телесериал снят по мотивам романов Жюля Верна "20000 лье под водой" и "Паровой дом". Морское чудовище уничтожает военные корабли, и знаменитый профессор Аронакс отправляется в карательную экспедицию. После неудачного сражения с чудовищем корабль идет ко дну, а профессор, его слуга Консель и китобой Нед Лэнд попадают на подводный корабль и совершают удивительное путешествие под водой.</t>
        </is>
      </c>
      <c r="L5823" s="2" t="inlineStr">
        <is>
          <t>Кино_СССР сводный каталог.xlsx: список телефильмов</t>
        </is>
      </c>
      <c r="M5823" s="2">
        <f>HYPERLINK("https://ru.wikipedia.org/w/index.php?search=%D0%9A%D0%B0%D0%BF%D0%B8%D1%82%D0%B0%D0%BD%20%D0%9D%D0%B5%D0%BC%D0%BE%201975%20%D1%84%D0%B8%D0%BB%D1%8C%D0%BC","искать")</f>
        <v/>
      </c>
      <c r="N5823" s="3" t="n"/>
      <c r="O5823" s="2" t="n"/>
      <c r="P5823" s="2" t="n"/>
    </row>
    <row r="5824">
      <c r="A5824" s="2" t="n">
        <v>5823</v>
      </c>
      <c r="B5824" s="2" t="inlineStr"/>
      <c r="C5824" s="2" t="n">
        <v>11174</v>
      </c>
      <c r="D5824" s="3" t="inlineStr">
        <is>
          <t>Недоросль</t>
        </is>
      </c>
      <c r="E5824" s="2" t="n">
        <v>1987</v>
      </c>
      <c r="F5824" s="2" t="inlineStr">
        <is>
          <t>фильм-спектакль</t>
        </is>
      </c>
      <c r="G5824" s="2" t="inlineStr">
        <is>
          <t>ТО "Экран"</t>
        </is>
      </c>
      <c r="H5824" s="2" t="n">
        <v>386</v>
      </c>
      <c r="I5824" s="2" t="inlineStr"/>
      <c r="J5824" s="2" t="inlineStr"/>
      <c r="K5824" s="3" t="inlineStr">
        <is>
          <t>По одноименной пьесе Д.И.Фонвизина.
В основе — спектакль Малого театра СССР.
Помещичья усадьба. Семейство Простаковых. Здесь все подчинено воле полновластной хозяйки, опекающей и не дозволяющей вольности не только своим дворовым, но и родным. Единственная радость и отрада материнскому сердцу - любимый сыночек Митрофанушка, для которого не жалко ничего, в том числе и наемных учителей.</t>
        </is>
      </c>
      <c r="L5824" s="2" t="inlineStr">
        <is>
          <t>https://www.kino-teatr.ru/teatr/movie/4365/annot/</t>
        </is>
      </c>
      <c r="M5824" s="2">
        <f>HYPERLINK("https://ru.wikipedia.org/w/index.php?search=%D0%9D%D0%B5%D0%B4%D0%BE%D1%80%D0%BE%D1%81%D0%BB%D1%8C%201987%20%D1%84%D0%B8%D0%BB%D1%8C%D0%BC","искать")</f>
        <v/>
      </c>
      <c r="N5824" s="3" t="n"/>
      <c r="O5824" s="2" t="n"/>
      <c r="P5824" s="2" t="n"/>
    </row>
    <row r="5825">
      <c r="A5825" s="2" t="n">
        <v>5824</v>
      </c>
      <c r="B5825" s="2" t="inlineStr"/>
      <c r="C5825" s="2" t="n">
        <v>13163</v>
      </c>
      <c r="D5825" s="3" t="inlineStr">
        <is>
          <t>Спор о винограде</t>
        </is>
      </c>
      <c r="E5825" s="2" t="n">
        <v>1989</v>
      </c>
      <c r="F5825" s="2" t="inlineStr">
        <is>
          <t>мультфильм</t>
        </is>
      </c>
      <c r="G5825" s="2" t="inlineStr">
        <is>
          <t>ТУРКМЕНФИЛЬМ</t>
        </is>
      </c>
      <c r="H5825" s="2" t="n">
        <v>386</v>
      </c>
      <c r="I5825" s="2" t="inlineStr"/>
      <c r="J5825" s="2" t="inlineStr"/>
      <c r="K5825" s="3" t="inlineStr">
        <is>
          <t>По мотивам притчи Дж.Руми. Грек, турок и араб вытащили из моря кувшин, в котором находились несколько монет. Каждый решил купить на эти деньгт виноград, но сказал это на своем языке. Возник страшный спор, хотя все говорили об одном и том же. Непонимание превратило дружбу во вражду. Их выручил старик, который дал спорящим по грозди прекрасного спелого винограда - конфликт был исчерпан</t>
        </is>
      </c>
      <c r="L5825" s="2" t="inlineStr">
        <is>
          <t>https://gosfilmofond.ru/films/250614/</t>
        </is>
      </c>
      <c r="M5825" s="2">
        <f>HYPERLINK("https://ru.wikipedia.org/w/index.php?search=%D0%A1%D0%BF%D0%BE%D1%80%20%D0%BE%20%D0%B2%D0%B8%D0%BD%D0%BE%D0%B3%D1%80%D0%B0%D0%B4%D0%B5%201989%20%D1%84%D0%B8%D0%BB%D1%8C%D0%BC","искать")</f>
        <v/>
      </c>
      <c r="N5825" s="3" t="n"/>
      <c r="O5825" s="2" t="n"/>
      <c r="P5825" s="2" t="n"/>
    </row>
    <row r="5826">
      <c r="A5826" s="2" t="n">
        <v>5825</v>
      </c>
      <c r="B5826" s="2" t="inlineStr"/>
      <c r="C5826" s="2" t="n">
        <v>7215</v>
      </c>
      <c r="D5826" s="3" t="inlineStr">
        <is>
          <t>Апрельские сны</t>
        </is>
      </c>
      <c r="E5826" s="2" t="n">
        <v>1980</v>
      </c>
      <c r="F5826" s="2" t="inlineStr">
        <is>
          <t>телефильм</t>
        </is>
      </c>
      <c r="G5826" s="2" t="inlineStr">
        <is>
          <t>Таджикфильм</t>
        </is>
      </c>
      <c r="H5826" s="2" t="n">
        <v>387</v>
      </c>
      <c r="I5826" s="2" t="inlineStr"/>
      <c r="J5826" s="2" t="inlineStr"/>
      <c r="K5826" s="3" t="inlineStr">
        <is>
          <t>Телефильм. О дружбе русского и таджикского юношей. Зоотехник зоопарка Коля срочно уезжает к невесте. Заботу о его питомце - медвежонке - берет на себя Анвар. Медвежонок вовлекает Анвара в самые невероятные, смешные и грустные истории. Но где бы они ни оказались: в небольшом городке солнечного Таджикистана или далеко на Севере, - всюду они ощущают доброту и участие окружающих их людей.</t>
        </is>
      </c>
      <c r="L5826" s="2" t="inlineStr">
        <is>
          <t>Кино_СССР сводный каталог.xlsx: список телефильмов</t>
        </is>
      </c>
      <c r="M5826" s="2">
        <f>HYPERLINK("https://ru.wikipedia.org/w/index.php?search=%D0%90%D0%BF%D1%80%D0%B5%D0%BB%D1%8C%D1%81%D0%BA%D0%B8%D0%B5%20%D1%81%D0%BD%D1%8B%201980%20%D1%84%D0%B8%D0%BB%D1%8C%D0%BC","искать")</f>
        <v/>
      </c>
      <c r="N5826" s="3" t="n"/>
      <c r="O5826" s="2" t="n"/>
      <c r="P5826" s="2" t="n"/>
    </row>
    <row r="5827">
      <c r="A5827" s="2" t="n">
        <v>5826</v>
      </c>
      <c r="B5827" s="2" t="inlineStr"/>
      <c r="C5827" s="2" t="n">
        <v>7784</v>
      </c>
      <c r="D5827" s="3" t="inlineStr">
        <is>
          <t>Купальская ночь</t>
        </is>
      </c>
      <c r="E5827" s="2" t="n">
        <v>1982</v>
      </c>
      <c r="F5827" s="2" t="inlineStr">
        <is>
          <t>телефильм</t>
        </is>
      </c>
      <c r="G5827" s="2" t="n"/>
      <c r="H5827" s="2" t="n">
        <v>387</v>
      </c>
      <c r="I5827" s="2" t="inlineStr"/>
      <c r="J5827" s="2" t="inlineStr"/>
      <c r="K5827" s="3" t="inlineStr">
        <is>
          <t>Василий и Зося любят друг друга, но родители против их брака. Приближается праздник Ивана Купалы. В ночь можно узнать свою дальнейшую судьбу, можно очиститься от всего худого, набраться сил и здоровья. В эту волшебную ночь не спят, жгут костры, поют песни. В эту ночь происходят разные забавные приключения, веселые розыгрыши, а кому-то доведется испытать силу и очарование первой любви.</t>
        </is>
      </c>
      <c r="L5827" s="2" t="inlineStr">
        <is>
          <t>Кино_СССР сводный каталог.xlsx: список телефильмов</t>
        </is>
      </c>
      <c r="M5827" s="2">
        <f>HYPERLINK("https://ru.wikipedia.org/w/index.php?search=%D0%9A%D1%83%D0%BF%D0%B0%D0%BB%D1%8C%D1%81%D0%BA%D0%B0%D1%8F%20%D0%BD%D0%BE%D1%87%D1%8C%201982%20%D1%84%D0%B8%D0%BB%D1%8C%D0%BC","искать")</f>
        <v/>
      </c>
      <c r="N5827" s="3" t="n"/>
      <c r="O5827" s="2" t="n"/>
      <c r="P5827" s="2" t="n"/>
    </row>
    <row r="5828">
      <c r="A5828" s="2" t="n">
        <v>5827</v>
      </c>
      <c r="B5828" s="2" t="inlineStr"/>
      <c r="C5828" s="2" t="n">
        <v>8696</v>
      </c>
      <c r="D5828" s="3" t="inlineStr">
        <is>
          <t>День казни</t>
        </is>
      </c>
      <c r="E5828" s="2" t="n">
        <v>1990</v>
      </c>
      <c r="F5828" s="2" t="inlineStr">
        <is>
          <t>кинофильм</t>
        </is>
      </c>
      <c r="G5828" s="2" t="n"/>
      <c r="H5828" s="2" t="n">
        <v>387</v>
      </c>
      <c r="I5828" s="2" t="inlineStr"/>
      <c r="J5828" s="2" t="inlineStr"/>
      <c r="K5828" s="3" t="inlineStr">
        <is>
          <t>По мотивам одноименного романа Юсифа Самедоглу. Литературовед, найдя рукопись азербайджанского писателя Сади-эффенди, репрессированного в 30-е годы и давно уже реабилитированного, безуспешно пытается ее опубликовать. Время не терпит, к тому же литературовед серьезно болен. Светлая цель возбуждает воображение литератора — и он начинает писать книгу о Сади-эффенди и неправедном времени.</t>
        </is>
      </c>
      <c r="L5828" s="2" t="inlineStr">
        <is>
          <t>Кино_СССР сводный каталог.xlsx: список фильмов (доп.)</t>
        </is>
      </c>
      <c r="M5828" s="2">
        <f>HYPERLINK("https://ru.wikipedia.org/w/index.php?search=%D0%94%D0%B5%D0%BD%D1%8C%20%D0%BA%D0%B0%D0%B7%D0%BD%D0%B8%201990%20%D1%84%D0%B8%D0%BB%D1%8C%D0%BC","искать")</f>
        <v/>
      </c>
      <c r="N5828" s="3" t="n"/>
      <c r="O5828" s="2" t="n"/>
      <c r="P5828" s="2" t="n"/>
    </row>
    <row r="5829">
      <c r="A5829" s="2" t="n">
        <v>5828</v>
      </c>
      <c r="B5829" s="2" t="inlineStr"/>
      <c r="C5829" s="2" t="n">
        <v>9553</v>
      </c>
      <c r="D5829" s="3" t="inlineStr">
        <is>
          <t>По 206-й...</t>
        </is>
      </c>
      <c r="E5829" s="2" t="n">
        <v>1990</v>
      </c>
      <c r="F5829" s="2" t="inlineStr">
        <is>
          <t>кинофильм</t>
        </is>
      </c>
      <c r="G5829" s="2" t="n"/>
      <c r="H5829" s="2" t="n">
        <v>387</v>
      </c>
      <c r="I5829" s="2" t="inlineStr"/>
      <c r="J5829" s="2" t="inlineStr"/>
      <c r="K5829" s="3" t="inlineStr">
        <is>
          <t>По одноименному произведению Василия Белова. Законы пишут люди, по законам живут люди, законы исполняют люди. Но закон - не значит справедливость, если его можно повернуть в разные стороны. И тогда за совершенный пустяк вполне возможно искорежить судьбу человека... Сельский тракторист Костя Смагин совершил мелкое хулиганство, но попал под очередную кампанию, на этот раз перестроечную.</t>
        </is>
      </c>
      <c r="L5829" s="2" t="inlineStr">
        <is>
          <t>Кино_СССР сводный каталог.xlsx: список фильмов (доп.)</t>
        </is>
      </c>
      <c r="M5829" s="2">
        <f>HYPERLINK("https://ru.wikipedia.org/w/index.php?search=%D0%9F%D0%BE%20206-%D0%B9...%201990%20%D1%84%D0%B8%D0%BB%D1%8C%D0%BC","искать")</f>
        <v/>
      </c>
      <c r="N5829" s="3" t="n"/>
      <c r="O5829" s="2" t="n"/>
      <c r="P5829" s="2" t="n"/>
    </row>
    <row r="5830">
      <c r="A5830" s="2" t="n">
        <v>5829</v>
      </c>
      <c r="B5830" s="2" t="inlineStr"/>
      <c r="C5830" s="2" t="n">
        <v>9747</v>
      </c>
      <c r="D5830" s="3" t="inlineStr">
        <is>
          <t>Человек из чёрной "Волги"</t>
        </is>
      </c>
      <c r="E5830" s="2" t="n">
        <v>1990</v>
      </c>
      <c r="F5830" s="2" t="inlineStr">
        <is>
          <t>кинофильм</t>
        </is>
      </c>
      <c r="G5830" s="2" t="n"/>
      <c r="H5830" s="2" t="n">
        <v>387</v>
      </c>
      <c r="I5830" s="2" t="inlineStr"/>
      <c r="J5830" s="2" t="inlineStr"/>
      <c r="K5830" s="3" t="inlineStr">
        <is>
          <t>По мотивам романа А. Молчанова "Новый год в октябре". О молодом ученом - обаятельном и целеустремлённом приспособленце и карьеристе новейшего, перестроечного образца, - который ради карьеры идет на обман, мошенничество и убийство... Стараясь максимально использовать служебное положение отца - крупного учёного, директора института, он всячески стремится "застолбить" своё место в науке.</t>
        </is>
      </c>
      <c r="L5830" s="2" t="inlineStr">
        <is>
          <t>Кино_СССР сводный каталог.xlsx: список фильмов (доп.)</t>
        </is>
      </c>
      <c r="M5830" s="2">
        <f>HYPERLINK("https://ru.wikipedia.org/w/index.php?search=%D0%A7%D0%B5%D0%BB%D0%BE%D0%B2%D0%B5%D0%BA%20%D0%B8%D0%B7%20%D1%87%D1%91%D1%80%D0%BD%D0%BE%D0%B9%20%22%D0%92%D0%BE%D0%BB%D0%B3%D0%B8%22%201990%20%D1%84%D0%B8%D0%BB%D1%8C%D0%BC","искать")</f>
        <v/>
      </c>
      <c r="N5830" s="3" t="n"/>
      <c r="O5830" s="2" t="n"/>
      <c r="P5830" s="2" t="n"/>
    </row>
    <row r="5831">
      <c r="A5831" s="2" t="n">
        <v>5830</v>
      </c>
      <c r="B5831" s="2" t="inlineStr"/>
      <c r="C5831" s="2" t="n">
        <v>10821</v>
      </c>
      <c r="D5831" s="3" t="inlineStr">
        <is>
          <t>Униженные и оскорблённые</t>
        </is>
      </c>
      <c r="E5831" s="2" t="n">
        <v>1979</v>
      </c>
      <c r="F5831" s="2" t="inlineStr">
        <is>
          <t>фильм-спектакль</t>
        </is>
      </c>
      <c r="G5831" s="2" t="n"/>
      <c r="H5831" s="2" t="n">
        <v>387</v>
      </c>
      <c r="I5831" s="2" t="inlineStr"/>
      <c r="J5831" s="2" t="inlineStr"/>
      <c r="K5831" s="3" t="inlineStr">
        <is>
          <t>Экранизация одноименного романа Ф.М. Достоевского.
В основе телепостановки — спектакль Малого театра (Москва, 1976).
Мечтательный писатель Иван Петрович любит девушку — Наташу Ихменеву — и видит в любви к ней все счастье своей жизни. Она же, хотя и понимает высоту его души, отдает предпочтение человеку, гораздо менее достойному, — ветреному, бесхарактерному красавцу Алеше Валковскому.</t>
        </is>
      </c>
      <c r="L5831" s="2" t="inlineStr">
        <is>
          <t>https://www.kino-teatr.ru/teatr/movie/80053/annot/</t>
        </is>
      </c>
      <c r="M5831" s="2">
        <f>HYPERLINK("https://ru.wikipedia.org/w/index.php?search=%D0%A3%D0%BD%D0%B8%D0%B6%D0%B5%D0%BD%D0%BD%D1%8B%D0%B5%20%D0%B8%20%D0%BE%D1%81%D0%BA%D0%BE%D1%80%D0%B1%D0%BB%D1%91%D0%BD%D0%BD%D1%8B%D0%B5%201979%20%D1%84%D0%B8%D0%BB%D1%8C%D0%BC","искать")</f>
        <v/>
      </c>
      <c r="N5831" s="3" t="n"/>
      <c r="O5831" s="2" t="n"/>
      <c r="P5831" s="2" t="n"/>
    </row>
    <row r="5832">
      <c r="A5832" s="2" t="n">
        <v>5831</v>
      </c>
      <c r="B5832" s="2" t="inlineStr"/>
      <c r="C5832" s="2" t="n">
        <v>11525</v>
      </c>
      <c r="D5832" s="3" t="inlineStr">
        <is>
          <t>Сказка про Колобок</t>
        </is>
      </c>
      <c r="E5832" s="2" t="n">
        <v>1969</v>
      </c>
      <c r="F5832" s="2" t="inlineStr">
        <is>
          <t>мультфильм</t>
        </is>
      </c>
      <c r="G5832" s="2" t="inlineStr">
        <is>
          <t>Союзмультфильм</t>
        </is>
      </c>
      <c r="H5832" s="2" t="n">
        <v>387</v>
      </c>
      <c r="I5832" s="2" t="inlineStr"/>
      <c r="J5832" s="2" t="inlineStr"/>
      <c r="K5832" s="3" t="inlineStr">
        <is>
          <t>По мотивам русской народной сказки "Колобок". Испекла бабка колобок и отправила его в путь-дорогу на день рождения внучки. Катится колобок, а навстречу ему звери, сначала заяц, затем волк, а потом медведь и лиса, и каждый грозится его съесть. Да уж больно веселый и добрый колобок, и зверюшкам становится жалко его есть. Они дружной компанией приходят в гости к внучке и вместе веселятся</t>
        </is>
      </c>
      <c r="L5832" s="2" t="inlineStr">
        <is>
          <t>https://gosfilmofond.ru/films/254767/</t>
        </is>
      </c>
      <c r="M5832" s="2">
        <f>HYPERLINK("https://ru.wikipedia.org/w/index.php?search=%D0%A1%D0%BA%D0%B0%D0%B7%D0%BA%D0%B0%20%D0%BF%D1%80%D0%BE%20%D0%9A%D0%BE%D0%BB%D0%BE%D0%B1%D0%BE%D0%BA%201969%20%D1%84%D0%B8%D0%BB%D1%8C%D0%BC","искать")</f>
        <v/>
      </c>
      <c r="N5832" s="3" t="n"/>
      <c r="O5832" s="2" t="n"/>
      <c r="P5832" s="2" t="n"/>
    </row>
    <row r="5833">
      <c r="A5833" s="2" t="n">
        <v>5832</v>
      </c>
      <c r="B5833" s="2" t="inlineStr"/>
      <c r="C5833" s="2" t="n">
        <v>8189</v>
      </c>
      <c r="D5833" s="3" t="inlineStr">
        <is>
          <t>Премьера</t>
        </is>
      </c>
      <c r="E5833" s="2" t="n">
        <v>1991</v>
      </c>
      <c r="F5833" s="2" t="inlineStr">
        <is>
          <t>телефильм</t>
        </is>
      </c>
      <c r="G5833" s="2" t="n"/>
      <c r="H5833" s="2" t="n">
        <v>388</v>
      </c>
      <c r="I5833" s="2" t="inlineStr"/>
      <c r="J5833" s="2" t="inlineStr"/>
      <c r="K5833" s="3" t="inlineStr">
        <is>
          <t>В старой тбилисской квартире собирается большая семья: Марго - в прошлом прекрасная актриса, Ада - ее несчастная тридцатилетняя дочь, брат Марго - Ираклий - великий грузинский актер и его молодая жена Нелли. Они постоянно что-то говорят, но, как в театре абсурда, не слышат друг друга. Все ждут премьеру нового спектакля Ираклия, единственного цветного эпизода во всем черно-белом фильме.</t>
        </is>
      </c>
      <c r="L5833" s="2" t="inlineStr">
        <is>
          <t>Кино_СССР сводный каталог.xlsx: список телефильмов</t>
        </is>
      </c>
      <c r="M5833" s="2">
        <f>HYPERLINK("https://ru.wikipedia.org/w/index.php?search=%D0%9F%D1%80%D0%B5%D0%BC%D1%8C%D0%B5%D1%80%D0%B0%201991%20%D1%84%D0%B8%D0%BB%D1%8C%D0%BC","искать")</f>
        <v/>
      </c>
      <c r="N5833" s="3" t="n"/>
      <c r="O5833" s="2" t="n"/>
      <c r="P5833" s="2" t="n"/>
    </row>
    <row r="5834">
      <c r="A5834" s="2" t="n">
        <v>5833</v>
      </c>
      <c r="B5834" s="2" t="inlineStr"/>
      <c r="C5834" s="2" t="n">
        <v>8227</v>
      </c>
      <c r="D5834" s="3" t="inlineStr">
        <is>
          <t>Проданный смех</t>
        </is>
      </c>
      <c r="E5834" s="2" t="n">
        <v>1981</v>
      </c>
      <c r="F5834" s="2" t="inlineStr">
        <is>
          <t>телефильм</t>
        </is>
      </c>
      <c r="G5834" s="2" t="inlineStr">
        <is>
          <t>Беларусьфильм</t>
        </is>
      </c>
      <c r="H5834" s="2" t="n">
        <v>388</v>
      </c>
      <c r="I5834" s="2" t="inlineStr"/>
      <c r="J5834" s="2" t="inlineStr"/>
      <c r="K5834" s="3" t="inlineStr">
        <is>
          <t>Мальчик-сирота Тим Талер променял свой смех на способность выигрывать любое пари. Эта фантастическая сделка была заключена с бароном Трёчем. Тим понимает, что лишившись смеха, он потерял способность противостоять невзгодам и не может чувствовать себя счастливым. Но друзья, появившиеся у Тима в его поисках возможности вернуть себе проданный смех, находят способ перехитрить барона Трёча.</t>
        </is>
      </c>
      <c r="L5834" s="2" t="inlineStr">
        <is>
          <t>https://ru.wikipedia.org/w/index.php?title=%D0%9F%D1%80%D0%BE%D0%B4%D0%B0%D0%BD%D0%BD%D1%8B%D0%B9_%D1%81%D0%BC%D0%B5%D1%85&amp;oldid=154404278</t>
        </is>
      </c>
      <c r="M5834" s="2">
        <f>HYPERLINK("https://ru.wikipedia.org/w/index.php?search=%D0%9F%D1%80%D0%BE%D0%B4%D0%B0%D0%BD%D0%BD%D1%8B%D0%B9%20%D1%81%D0%BC%D0%B5%D1%85%201981%20%D1%84%D0%B8%D0%BB%D1%8C%D0%BC","искать")</f>
        <v/>
      </c>
      <c r="N5834" s="3" t="n"/>
      <c r="O5834" s="2" t="n"/>
      <c r="P5834" s="2" t="n"/>
    </row>
    <row r="5835">
      <c r="A5835" s="2" t="n">
        <v>5834</v>
      </c>
      <c r="B5835" s="2" t="inlineStr"/>
      <c r="C5835" s="2" t="n">
        <v>10150</v>
      </c>
      <c r="D5835" s="3" t="inlineStr">
        <is>
          <t>Обыкновенный человек</t>
        </is>
      </c>
      <c r="E5835" s="2" t="n">
        <v>1965</v>
      </c>
      <c r="F5835" s="2" t="inlineStr">
        <is>
          <t>фильм-спектакль</t>
        </is>
      </c>
      <c r="G5835" s="2" t="inlineStr">
        <is>
          <t>Гл. ред. лит-драм программ</t>
        </is>
      </c>
      <c r="H5835" s="2" t="n">
        <v>388</v>
      </c>
      <c r="I5835" s="2" t="inlineStr"/>
      <c r="J5835" s="2" t="inlineStr"/>
      <c r="K5835" s="3" t="inlineStr">
        <is>
          <t>Телеспектакль Театра Сатиры по одноименной комедии сербского писателя Бранислава Нушича (перевод Д.Жукова).
Дочь состоятельных родителей — Зорка — влюблена в поэта Домяновича, которого она никогда не видела. Когда же он появляется в доме ее родителей под чужим именем, Зорка долго не может примириться с тем, что поэт оказывается самым обычным и простым человеком... Но любовь взяла свое.</t>
        </is>
      </c>
      <c r="L5835" s="2" t="inlineStr">
        <is>
          <t>https://www.kino-teatr.ru/teatr/movie/17147/annot/</t>
        </is>
      </c>
      <c r="M5835" s="2">
        <f>HYPERLINK("https://ru.wikipedia.org/w/index.php?search=%D0%9E%D0%B1%D1%8B%D0%BA%D0%BD%D0%BE%D0%B2%D0%B5%D0%BD%D0%BD%D1%8B%D0%B9%20%D1%87%D0%B5%D0%BB%D0%BE%D0%B2%D0%B5%D0%BA%201965%20%D1%84%D0%B8%D0%BB%D1%8C%D0%BC","искать")</f>
        <v/>
      </c>
      <c r="N5835" s="3" t="n"/>
      <c r="O5835" s="2" t="n"/>
      <c r="P5835" s="2" t="n"/>
    </row>
    <row r="5836">
      <c r="A5836" s="2" t="n">
        <v>5835</v>
      </c>
      <c r="B5836" s="2" t="inlineStr"/>
      <c r="C5836" s="2" t="n">
        <v>10574</v>
      </c>
      <c r="D5836" s="3" t="inlineStr">
        <is>
          <t>Ночь ошибок</t>
        </is>
      </c>
      <c r="E5836" s="2" t="n">
        <v>1974</v>
      </c>
      <c r="F5836" s="2" t="inlineStr">
        <is>
          <t>фильм-спектакль</t>
        </is>
      </c>
      <c r="G5836" s="2" t="inlineStr">
        <is>
          <t>Центральное телевидение</t>
        </is>
      </c>
      <c r="H5836" s="2" t="n">
        <v>388</v>
      </c>
      <c r="I5836" s="2" t="inlineStr"/>
      <c r="J5836" s="2" t="inlineStr"/>
      <c r="K5836" s="3" t="inlineStr">
        <is>
          <t>По мотивам комедии английского писателя Оливера Голдсмита "Ночь ошибок, или унижение паче гордости".
С приездом Чарли Марлоу с другом суматошная неразбериха установилась в доме достопочтенного мистера Харткестля, где жили его дочь, воспитанница и приемный сын. Кто из молодых людей в кого влюблен? Кто кого ненавидит?
Но "ночь ошибок" прошла, а утро и любовь все расставили на свои места.</t>
        </is>
      </c>
      <c r="L5836" s="2" t="inlineStr">
        <is>
          <t>https://www.kino-teatr.ru/teatr/movie/4562/annot/</t>
        </is>
      </c>
      <c r="M5836" s="2">
        <f>HYPERLINK("https://ru.wikipedia.org/w/index.php?search=%D0%9D%D0%BE%D1%87%D1%8C%20%D0%BE%D1%88%D0%B8%D0%B1%D0%BE%D0%BA%201974%20%D1%84%D0%B8%D0%BB%D1%8C%D0%BC","искать")</f>
        <v/>
      </c>
      <c r="N5836" s="3" t="n"/>
      <c r="O5836" s="2" t="n"/>
      <c r="P5836" s="2" t="n"/>
    </row>
    <row r="5837">
      <c r="A5837" s="2" t="n">
        <v>5836</v>
      </c>
      <c r="B5837" s="2" t="inlineStr"/>
      <c r="C5837" s="2" t="n">
        <v>11420</v>
      </c>
      <c r="D5837" s="3" t="inlineStr">
        <is>
          <t>Жил-был Козявин</t>
        </is>
      </c>
      <c r="E5837" s="2" t="n">
        <v>1966</v>
      </c>
      <c r="F5837" s="2" t="inlineStr">
        <is>
          <t>мультфильм</t>
        </is>
      </c>
      <c r="G5837" s="2" t="inlineStr">
        <is>
          <t>Союзмультфильм</t>
        </is>
      </c>
      <c r="H5837" s="2" t="n">
        <v>388</v>
      </c>
      <c r="I5837" s="2" t="inlineStr"/>
      <c r="J5837" s="2" t="inlineStr"/>
      <c r="K5837" s="3" t="inlineStr">
        <is>
          <t>Жил-был на свете черезчур исполительный человек Козявин. Все поручения он выполнял не задумываясь. Однажды начальник послал его найти Сидорова. А так как к этому поручению Козявин отнесся со всей серьезностью то,разыскивая Сидорова, обошел вокруг весь земной шар, пройдя через пустыни, моря и горы. Вернувшись, доложил начальнику, что не нашел нигде Сидорова. И стал ждать новых поручений</t>
        </is>
      </c>
      <c r="L5837" s="2" t="inlineStr">
        <is>
          <t>https://gosfilmofond.ru/films/254225/</t>
        </is>
      </c>
      <c r="M5837" s="2">
        <f>HYPERLINK("https://ru.wikipedia.org/w/index.php?search=%D0%96%D0%B8%D0%BB-%D0%B1%D1%8B%D0%BB%20%D0%9A%D0%BE%D0%B7%D1%8F%D0%B2%D0%B8%D0%BD%201966%20%D1%84%D0%B8%D0%BB%D1%8C%D0%BC","искать")</f>
        <v/>
      </c>
      <c r="N5837" s="3" t="n"/>
      <c r="O5837" s="2" t="n"/>
      <c r="P5837" s="2" t="n"/>
    </row>
    <row r="5838">
      <c r="A5838" s="2" t="n">
        <v>5837</v>
      </c>
      <c r="B5838" s="2" t="inlineStr"/>
      <c r="C5838" s="2" t="n">
        <v>7644</v>
      </c>
      <c r="D5838" s="3" t="inlineStr">
        <is>
          <t>Земля-кормилица</t>
        </is>
      </c>
      <c r="E5838" s="2" t="n">
        <v>1977</v>
      </c>
      <c r="F5838" s="2" t="inlineStr">
        <is>
          <t>телефильм</t>
        </is>
      </c>
      <c r="G5838" s="2" t="n"/>
      <c r="H5838" s="2" t="n">
        <v>389</v>
      </c>
      <c r="I5838" s="2" t="inlineStr"/>
      <c r="J5838" s="2" t="inlineStr"/>
      <c r="K5838" s="3" t="inlineStr">
        <is>
          <t>Фильм поставлен по одноименному роману Пятраса Цвирки. Главный герой - крестьянин Юрас Тарутис принимает участие в борьбе за независимую Литву и в избирательной кампании в сейм, болезненно переживает фашистский переворот в 1926 году. Сначала он свято верит в земельную реформу и только после тяжёлых испытаний - смерти сына и торгов - разочаровывается в реформе и в самом буржуазном строе.</t>
        </is>
      </c>
      <c r="L5838" s="2" t="inlineStr">
        <is>
          <t>Кино_СССР сводный каталог.xlsx: список телефильмов</t>
        </is>
      </c>
      <c r="M5838" s="2">
        <f>HYPERLINK("https://ru.wikipedia.org/w/index.php?search=%D0%97%D0%B5%D0%BC%D0%BB%D1%8F-%D0%BA%D0%BE%D1%80%D0%BC%D0%B8%D0%BB%D0%B8%D1%86%D0%B0%201977%20%D1%84%D0%B8%D0%BB%D1%8C%D0%BC","искать")</f>
        <v/>
      </c>
      <c r="N5838" s="3" t="n"/>
      <c r="O5838" s="2" t="n"/>
      <c r="P5838" s="2" t="n"/>
    </row>
    <row r="5839">
      <c r="A5839" s="2" t="n">
        <v>5838</v>
      </c>
      <c r="B5839" s="2" t="inlineStr"/>
      <c r="C5839" s="2" t="n">
        <v>8774</v>
      </c>
      <c r="D5839" s="3" t="inlineStr">
        <is>
          <t>Конь, ружьё и вольный ветер</t>
        </is>
      </c>
      <c r="E5839" s="2" t="n">
        <v>1975</v>
      </c>
      <c r="F5839" s="2" t="inlineStr">
        <is>
          <t>кинофильм</t>
        </is>
      </c>
      <c r="G5839" s="2" t="n"/>
      <c r="H5839" s="2" t="n">
        <v>389</v>
      </c>
      <c r="I5839" s="2" t="inlineStr"/>
      <c r="J5839" s="2" t="inlineStr"/>
      <c r="K5839" s="3" t="inlineStr">
        <is>
          <t>В XVIII веке молдавская земля находилась под игом иноземных захватчиков и гнетом местных бояр. В стране развернулась национально-освободительная борьба, в которой активное участие принимали гайдуки под предводительством атамана Бадиу. Боярину Мане с помощью наемников удалось захватить его в плен. Но дочь боярина, любившая Бадиу, собрала отряд гайдуков, которые освободили своего атамана.</t>
        </is>
      </c>
      <c r="L5839" s="2" t="inlineStr">
        <is>
          <t>Кино_СССР сводный каталог.xlsx: список фильмов (доп.)</t>
        </is>
      </c>
      <c r="M5839" s="2">
        <f>HYPERLINK("https://ru.wikipedia.org/w/index.php?search=%D0%9A%D0%BE%D0%BD%D1%8C%2C%20%D1%80%D1%83%D0%B6%D1%8C%D1%91%20%D0%B8%20%D0%B2%D0%BE%D0%BB%D1%8C%D0%BD%D1%8B%D0%B9%20%D0%B2%D0%B5%D1%82%D0%B5%D1%80%201975%20%D1%84%D0%B8%D0%BB%D1%8C%D0%BC","искать")</f>
        <v/>
      </c>
      <c r="N5839" s="3" t="n"/>
      <c r="O5839" s="2" t="n"/>
      <c r="P5839" s="2" t="n"/>
    </row>
    <row r="5840">
      <c r="A5840" s="2" t="n">
        <v>5839</v>
      </c>
      <c r="B5840" s="2" t="inlineStr"/>
      <c r="C5840" s="2" t="n">
        <v>7727</v>
      </c>
      <c r="D5840" s="3" t="inlineStr">
        <is>
          <t>Квартира</t>
        </is>
      </c>
      <c r="E5840" s="2" t="n">
        <v>1989</v>
      </c>
      <c r="F5840" s="2" t="inlineStr">
        <is>
          <t>телефильм</t>
        </is>
      </c>
      <c r="G5840" s="2" t="n"/>
      <c r="H5840" s="2" t="n">
        <v>390</v>
      </c>
      <c r="I5840" s="2" t="inlineStr"/>
      <c r="J5840" s="2" t="inlineStr"/>
      <c r="K5840" s="3" t="inlineStr">
        <is>
          <t>Сентиментальная история, случившаяся на окраине Империи накануне ее распада. О трех друзьях из разных социальных слоев, выросших вместе. Комната с игрушками, вид из окна на фонтан одного из них были образцом жизненного благополучия и счастья для другого. Став взрослым и встретив любовь, он рассказывает своей возлюбленной об этой квартире, обещает ей счастье, о котором мечтал с детства и.</t>
        </is>
      </c>
      <c r="L5840" s="2" t="inlineStr">
        <is>
          <t>Кино_СССР сводный каталог.xlsx: список телефильмов</t>
        </is>
      </c>
      <c r="M5840" s="2">
        <f>HYPERLINK("https://ru.wikipedia.org/w/index.php?search=%D0%9A%D0%B2%D0%B0%D1%80%D1%82%D0%B8%D1%80%D0%B0%201989%20%D1%84%D0%B8%D0%BB%D1%8C%D0%BC","искать")</f>
        <v/>
      </c>
      <c r="N5840" s="3" t="n"/>
      <c r="O5840" s="2" t="n"/>
      <c r="P5840" s="2" t="n"/>
    </row>
    <row r="5841">
      <c r="A5841" s="2" t="n">
        <v>5840</v>
      </c>
      <c r="B5841" s="2" t="inlineStr"/>
      <c r="C5841" s="2" t="n">
        <v>8982</v>
      </c>
      <c r="D5841" s="3" t="inlineStr">
        <is>
          <t>Продавец снов</t>
        </is>
      </c>
      <c r="E5841" s="2" t="n">
        <v>1990</v>
      </c>
      <c r="F5841" s="2" t="inlineStr">
        <is>
          <t>кинофильм</t>
        </is>
      </c>
      <c r="G5841" s="2" t="n"/>
      <c r="H5841" s="2" t="n">
        <v>390</v>
      </c>
      <c r="I5841" s="2" t="inlineStr"/>
      <c r="J5841" s="2" t="inlineStr"/>
      <c r="K5841" s="3" t="inlineStr">
        <is>
          <t>Школьник Карим, увлекающийся электроникой, неожиданно попадает в сказочную страну, в лабораторию волшебника Огимы, который давно искал способного ученика. Огима придумывает сны - сладкие и веселые, будучи уверен, что делает благо для простых людкй. Оказывается нужно чтобы больше двух людей встали в круг вокруг волшебного зеркала и взялись за руки — тогда всё о чём помечтаешь, исполнится.</t>
        </is>
      </c>
      <c r="L5841" s="2" t="inlineStr">
        <is>
          <t>Кино_СССР сводный каталог.xlsx: список фильмов (доп.)</t>
        </is>
      </c>
      <c r="M5841" s="2">
        <f>HYPERLINK("https://ru.wikipedia.org/w/index.php?search=%D0%9F%D1%80%D0%BE%D0%B4%D0%B0%D0%B2%D0%B5%D1%86%20%D1%81%D0%BD%D0%BE%D0%B2%201990%20%D1%84%D0%B8%D0%BB%D1%8C%D0%BC","искать")</f>
        <v/>
      </c>
      <c r="N5841" s="3" t="n"/>
      <c r="O5841" s="2" t="n"/>
      <c r="P5841" s="2" t="n"/>
    </row>
    <row r="5842">
      <c r="A5842" s="2" t="n">
        <v>5841</v>
      </c>
      <c r="B5842" s="2" t="inlineStr"/>
      <c r="C5842" s="2" t="n">
        <v>9351</v>
      </c>
      <c r="D5842" s="3" t="inlineStr">
        <is>
          <t>Дыхание</t>
        </is>
      </c>
      <c r="E5842" s="2" t="n">
        <v>1988</v>
      </c>
      <c r="F5842" s="2" t="inlineStr">
        <is>
          <t>кинофильм</t>
        </is>
      </c>
      <c r="G5842" s="2" t="n"/>
      <c r="H5842" s="2" t="n">
        <v>390</v>
      </c>
      <c r="I5842" s="2" t="inlineStr"/>
      <c r="J5842" s="2" t="inlineStr"/>
      <c r="K5842" s="3" t="inlineStr">
        <is>
          <t>Когда-то в Араратской долине был спешно построен промышленный комбинат — с нарушением санитарных и экологических норм. Прошли годы и теперь общественность требует закрыть вредные цеха и прекратить сброс отравленных вод в близлежащее озеро. Председатель комитета Арам, в ведении которого находится комбинат, понимает, что окружающая природа гибнет, но не решается на конфликт с руководством.</t>
        </is>
      </c>
      <c r="L5842" s="2" t="inlineStr">
        <is>
          <t>Кино_СССР сводный каталог.xlsx: список фильмов (доп.)</t>
        </is>
      </c>
      <c r="M5842" s="2">
        <f>HYPERLINK("https://ru.wikipedia.org/w/index.php?search=%D0%94%D1%8B%D1%85%D0%B0%D0%BD%D0%B8%D0%B5%201988%20%D1%84%D0%B8%D0%BB%D1%8C%D0%BC","искать")</f>
        <v/>
      </c>
      <c r="N5842" s="3" t="n"/>
      <c r="O5842" s="2" t="n"/>
      <c r="P5842" s="2" t="n"/>
    </row>
    <row r="5843">
      <c r="A5843" s="2" t="n">
        <v>5842</v>
      </c>
      <c r="B5843" s="2" t="inlineStr"/>
      <c r="C5843" s="2" t="n">
        <v>9822</v>
      </c>
      <c r="D5843" s="3" t="inlineStr">
        <is>
          <t>Остров Ольховый</t>
        </is>
      </c>
      <c r="E5843" s="2" t="n">
        <v>1962</v>
      </c>
      <c r="F5843" s="2" t="inlineStr">
        <is>
          <t>телефильм</t>
        </is>
      </c>
      <c r="G5843" s="2" t="inlineStr">
        <is>
          <t>Мосфильм</t>
        </is>
      </c>
      <c r="H5843" s="2" t="n">
        <v>390</v>
      </c>
      <c r="I5843" s="2" t="inlineStr"/>
      <c r="J5843" s="2" t="inlineStr"/>
      <c r="K5843" s="3" t="inlineStr">
        <is>
          <t>Телефильм. Много лет назад геолог Илья вместе со своим другом Петром приехал на остров Ольховый близ Сахалина. Здесь они вели поиск железной руды. Петр погиб во время изыскательских работ, а Илья успешно продолжил поиск. Прошли годы. Начальник геологоразведочной партии Илья из-за внезапной болезни был вынужден навсегда покинуть остров. И тогда дело, начатое друзьями, продолжил сын Петра.</t>
        </is>
      </c>
      <c r="L5843" s="2" t="inlineStr">
        <is>
          <t>https://www.kino-teatr.ru/short/movie/sov/4843/annot/</t>
        </is>
      </c>
      <c r="M5843" s="2">
        <f>HYPERLINK("https://ru.wikipedia.org/w/index.php?search=%D0%9E%D1%81%D1%82%D1%80%D0%BE%D0%B2%20%D0%9E%D0%BB%D1%8C%D1%85%D0%BE%D0%B2%D1%8B%D0%B9%201962%20%D1%84%D0%B8%D0%BB%D1%8C%D0%BC","искать")</f>
        <v/>
      </c>
      <c r="N5843" s="3" t="n"/>
      <c r="O5843" s="2" t="n"/>
      <c r="P5843" s="2" t="n"/>
    </row>
    <row r="5844">
      <c r="A5844" s="2" t="n">
        <v>5843</v>
      </c>
      <c r="B5844" s="2" t="inlineStr"/>
      <c r="C5844" s="2" t="n">
        <v>10036</v>
      </c>
      <c r="D5844" s="3" t="inlineStr">
        <is>
          <t>В Альдебаран!</t>
        </is>
      </c>
      <c r="E5844" s="2" t="n">
        <v>1989</v>
      </c>
      <c r="F5844" s="2" t="inlineStr">
        <is>
          <t>телефильм</t>
        </is>
      </c>
      <c r="G5844" s="2" t="inlineStr">
        <is>
          <t>Одесская киностудия по заказу Гостелерадио СССР</t>
        </is>
      </c>
      <c r="H5844" s="2" t="n">
        <v>390</v>
      </c>
      <c r="I5844" s="2" t="inlineStr"/>
      <c r="J5844" s="2" t="inlineStr"/>
      <c r="K5844" s="3" t="inlineStr">
        <is>
          <t>По мотивам пьесы А.Сударева. Однажды в квартире скромного конструктора Пересухина появляется Неизвестный, который предлагает ему стать правителем планеты Альдебаран. Но для того, чтобы перейти в другое пространственное измерение, герой фильма должен расстаться с жизнью, спрыгнув с третьего этажа. И Пересухин предпочитает привычное существование искушению стать диктатором далекой планеты.</t>
        </is>
      </c>
      <c r="L5844" s="2" t="inlineStr">
        <is>
          <t>https://www.kino-teatr.ru/short/movie/sov/86542/annot/</t>
        </is>
      </c>
      <c r="M5844" s="2">
        <f>HYPERLINK("https://ru.wikipedia.org/w/index.php?search=%D0%92%20%D0%90%D0%BB%D1%8C%D0%B4%D0%B5%D0%B1%D0%B0%D1%80%D0%B0%D0%BD%21%201989%20%D1%84%D0%B8%D0%BB%D1%8C%D0%BC","искать")</f>
        <v/>
      </c>
      <c r="N5844" s="3" t="n"/>
      <c r="O5844" s="2" t="n"/>
      <c r="P5844" s="2" t="n"/>
    </row>
    <row r="5845">
      <c r="A5845" s="2" t="n">
        <v>5844</v>
      </c>
      <c r="B5845" s="2" t="inlineStr"/>
      <c r="C5845" s="2" t="n">
        <v>10835</v>
      </c>
      <c r="D5845" s="3" t="inlineStr">
        <is>
          <t>В порядке исключения</t>
        </is>
      </c>
      <c r="E5845" s="2" t="n">
        <v>1980</v>
      </c>
      <c r="F5845" s="2" t="inlineStr">
        <is>
          <t>фильм-спектакль</t>
        </is>
      </c>
      <c r="G5845" s="2" t="inlineStr">
        <is>
          <t>Центральное телевидение</t>
        </is>
      </c>
      <c r="H5845" s="2" t="n">
        <v>390</v>
      </c>
      <c r="I5845" s="2" t="inlineStr"/>
      <c r="J5845" s="2" t="inlineStr"/>
      <c r="K5845" s="3" t="inlineStr">
        <is>
          <t>По пьесе Ю. Виноградова в постановке Московского театра им. М.Н. Ермоловой.
Дочь генерала ракетных войск решила доказать, что современная девушка может служить в армии не хуже мужчины. Командир батареи и его подчиненная, героиня спектакля, полюбили друг друга. Только в финальном эпизоде в воинской части узнают, что рядовая-телефонистка - дочь командующего крупным воинским подразделением.</t>
        </is>
      </c>
      <c r="L5845" s="2" t="inlineStr">
        <is>
          <t>https://www.kino-teatr.ru/teatr/movie/92993/annot/</t>
        </is>
      </c>
      <c r="M5845" s="2">
        <f>HYPERLINK("https://ru.wikipedia.org/w/index.php?search=%D0%92%20%D0%BF%D0%BE%D1%80%D1%8F%D0%B4%D0%BA%D0%B5%20%D0%B8%D1%81%D0%BA%D0%BB%D1%8E%D1%87%D0%B5%D0%BD%D0%B8%D1%8F%201980%20%D1%84%D0%B8%D0%BB%D1%8C%D0%BC","искать")</f>
        <v/>
      </c>
      <c r="N5845" s="3" t="n"/>
      <c r="O5845" s="2" t="n"/>
      <c r="P5845" s="2" t="n"/>
    </row>
    <row r="5846">
      <c r="A5846" s="2" t="n">
        <v>5845</v>
      </c>
      <c r="B5846" s="2" t="inlineStr"/>
      <c r="C5846" s="2" t="n">
        <v>7298</v>
      </c>
      <c r="D5846" s="3" t="inlineStr">
        <is>
          <t>В связи с переходом на другую работу</t>
        </is>
      </c>
      <c r="E5846" s="2" t="n">
        <v>1988</v>
      </c>
      <c r="F5846" s="2" t="inlineStr">
        <is>
          <t>телефильм</t>
        </is>
      </c>
      <c r="G5846" s="2" t="n"/>
      <c r="H5846" s="2" t="n">
        <v>391</v>
      </c>
      <c r="I5846" s="2" t="inlineStr"/>
      <c r="J5846" s="2" t="inlineStr"/>
      <c r="K5846" s="3" t="inlineStr">
        <is>
          <t>Председатель райисполкома Голощапов, жестокий и беспринципный человек, узнаёт, что занимавшего высокое служебное положение Выборнова должны отправить на пенсию. Больше угодничать перед ним не нужно, решает он, и по-хамски обращается с Выборновым. Однако выясняется, что слухи об уходе на пенсию Выборнова ошибочны, и тогда Голощапов, опасаясь за собственную карьеру, организует его убийство.</t>
        </is>
      </c>
      <c r="L5846" s="2" t="inlineStr">
        <is>
          <t>Кино_СССР сводный каталог.xlsx: список телефильмов</t>
        </is>
      </c>
      <c r="M5846" s="2">
        <f>HYPERLINK("https://ru.wikipedia.org/w/index.php?search=%D0%92%20%D1%81%D0%B2%D1%8F%D0%B7%D0%B8%20%D1%81%20%D0%BF%D0%B5%D1%80%D0%B5%D1%85%D0%BE%D0%B4%D0%BE%D0%BC%20%D0%BD%D0%B0%20%D0%B4%D1%80%D1%83%D0%B3%D1%83%D1%8E%20%D1%80%D0%B0%D0%B1%D0%BE%D1%82%D1%83%201988%20%D1%84%D0%B8%D0%BB%D1%8C%D0%BC","искать")</f>
        <v/>
      </c>
      <c r="N5846" s="3" t="n"/>
      <c r="O5846" s="2" t="n"/>
      <c r="P5846" s="2" t="n"/>
    </row>
    <row r="5847">
      <c r="A5847" s="2" t="n">
        <v>5846</v>
      </c>
      <c r="B5847" s="2" t="inlineStr"/>
      <c r="C5847" s="2" t="n">
        <v>7779</v>
      </c>
      <c r="D5847" s="3" t="inlineStr">
        <is>
          <t>Кто поедет в Трускавец?</t>
        </is>
      </c>
      <c r="E5847" s="2" t="n">
        <v>1977</v>
      </c>
      <c r="F5847" s="2" t="inlineStr">
        <is>
          <t>телефильм</t>
        </is>
      </c>
      <c r="G5847" s="2" t="n"/>
      <c r="H5847" s="2" t="n">
        <v>391</v>
      </c>
      <c r="I5847" s="2" t="inlineStr"/>
      <c r="J5847" s="2" t="inlineStr"/>
      <c r="K5847" s="3" t="inlineStr">
        <is>
          <t>Телеэкранизация одноименной повести Максуда Ибрагимбекова. Герой фильма в поликлинике знакомится с молодой женщиной. Их отношения складываются весьма банально. Оба не придают им достаточно серьезного значения, и порой даже кажется, что они делают все, чтобы поскорее расстаться. Но когда она уезжает в отпуск в Трускавец, герой вылетает туда же самолетом, чтобы встретить любимую на вокзале.</t>
        </is>
      </c>
      <c r="L5847" s="2" t="inlineStr">
        <is>
          <t>Кино_СССР сводный каталог.xlsx: список телефильмов</t>
        </is>
      </c>
      <c r="M5847" s="2">
        <f>HYPERLINK("https://ru.wikipedia.org/w/index.php?search=%D0%9A%D1%82%D0%BE%20%D0%BF%D0%BE%D0%B5%D0%B4%D0%B5%D1%82%20%D0%B2%20%D0%A2%D1%80%D1%83%D1%81%D0%BA%D0%B0%D0%B2%D0%B5%D1%86%3F%201977%20%D1%84%D0%B8%D0%BB%D1%8C%D0%BC","искать")</f>
        <v/>
      </c>
      <c r="N5847" s="3" t="n"/>
      <c r="O5847" s="2" t="n"/>
      <c r="P5847" s="2" t="n"/>
    </row>
    <row r="5848">
      <c r="A5848" s="2" t="n">
        <v>5847</v>
      </c>
      <c r="B5848" s="2" t="inlineStr"/>
      <c r="C5848" s="2" t="n">
        <v>8725</v>
      </c>
      <c r="D5848" s="3" t="inlineStr">
        <is>
          <t>Жильцы</t>
        </is>
      </c>
      <c r="E5848" s="2" t="n">
        <v>1989</v>
      </c>
      <c r="F5848" s="2" t="inlineStr">
        <is>
          <t>кинофильм</t>
        </is>
      </c>
      <c r="G5848" s="2" t="n"/>
      <c r="H5848" s="2" t="n">
        <v>391</v>
      </c>
      <c r="I5848" s="2" t="inlineStr"/>
      <c r="J5848" s="2" t="inlineStr"/>
      <c r="K5848" s="3" t="inlineStr">
        <is>
          <t>Герой фильма — Амиран — однажды принес в свой дом человека, потерявшего сознание. Затем появилась молодая дочь незнакомца, потом другая. Обе стали активно наводить порядок в доме, а ночью оказались в постели у Амирана. Когда наступило утро, квартиру навестили братья подруг. В фильме использованы мотивы грузинских народных сказок и произведений Кобо Абэ, Хулио Кортасара, Михаила Булгакова.</t>
        </is>
      </c>
      <c r="L5848" s="2" t="inlineStr">
        <is>
          <t>Кино_СССР сводный каталог.xlsx: список фильмов (доп.)</t>
        </is>
      </c>
      <c r="M5848" s="2">
        <f>HYPERLINK("https://ru.wikipedia.org/w/index.php?search=%D0%96%D0%B8%D0%BB%D1%8C%D1%86%D1%8B%201989%20%D1%84%D0%B8%D0%BB%D1%8C%D0%BC","искать")</f>
        <v/>
      </c>
      <c r="N5848" s="3" t="n"/>
      <c r="O5848" s="2" t="n"/>
      <c r="P5848" s="2" t="n"/>
    </row>
    <row r="5849">
      <c r="A5849" s="2" t="n">
        <v>5848</v>
      </c>
      <c r="B5849" s="2" t="inlineStr"/>
      <c r="C5849" s="2" t="n">
        <v>8842</v>
      </c>
      <c r="D5849" s="3" t="inlineStr">
        <is>
          <t>Мой милый</t>
        </is>
      </c>
      <c r="E5849" s="2" t="n">
        <v>1991</v>
      </c>
      <c r="F5849" s="2" t="inlineStr">
        <is>
          <t>кинофильм</t>
        </is>
      </c>
      <c r="G5849" s="2" t="n"/>
      <c r="H5849" s="2" t="n">
        <v>391</v>
      </c>
      <c r="I5849" s="2" t="inlineStr"/>
      <c r="J5849" s="2" t="inlineStr"/>
      <c r="K5849" s="3" t="inlineStr">
        <is>
          <t>Жесткое, местами пронзительно лирическое повествование о повседневной и порой безысходной жизни в казахской провинциальной глубинке. Через судьбы двух юных влюбленных подростков прослеживается социальная драма поколения. Разрушительные последствия взрывов на атомном, теперь уже опустевшем, полигоне не проходят бесследно для становления и формирования характера юного героя и его поколения.</t>
        </is>
      </c>
      <c r="L5849" s="2" t="inlineStr">
        <is>
          <t>Кино_СССР сводный каталог.xlsx: список фильмов (доп.)</t>
        </is>
      </c>
      <c r="M5849" s="2">
        <f>HYPERLINK("https://ru.wikipedia.org/w/index.php?search=%D0%9C%D0%BE%D0%B9%20%D0%BC%D0%B8%D0%BB%D1%8B%D0%B9%201991%20%D1%84%D0%B8%D0%BB%D1%8C%D0%BC","искать")</f>
        <v/>
      </c>
      <c r="N5849" s="3" t="n"/>
      <c r="O5849" s="2" t="n"/>
      <c r="P5849" s="2" t="n"/>
    </row>
    <row r="5850">
      <c r="A5850" s="2" t="n">
        <v>5849</v>
      </c>
      <c r="B5850" s="2" t="inlineStr"/>
      <c r="C5850" s="2" t="n">
        <v>8954</v>
      </c>
      <c r="D5850" s="3" t="inlineStr">
        <is>
          <t>Полтергейст-90</t>
        </is>
      </c>
      <c r="E5850" s="2" t="n">
        <v>1991</v>
      </c>
      <c r="F5850" s="2" t="inlineStr">
        <is>
          <t>кинофильм</t>
        </is>
      </c>
      <c r="G5850" s="2" t="n"/>
      <c r="H5850" s="2" t="n">
        <v>391</v>
      </c>
      <c r="I5850" s="2" t="inlineStr"/>
      <c r="J5850" s="2" t="inlineStr"/>
      <c r="K5850" s="3" t="inlineStr">
        <is>
          <t>Режиссёр снял фильм под названием "Мафия бессмертна", но он положен на полку, а создателю недвусмысленно угрожают. На его глазах воспламеняются несколько человек, начинают происходить странные вещи. Он решает провести собственное расследование вместе со своим другом, ученым (Баталов). Они находят подпольную лабораторию, генерирующую лучи, позволяющие на расстоянии воздействовать на людей.</t>
        </is>
      </c>
      <c r="L5850" s="2" t="inlineStr">
        <is>
          <t>Кино_СССР сводный каталог.xlsx: список фильмов (доп.)</t>
        </is>
      </c>
      <c r="M5850" s="2">
        <f>HYPERLINK("https://ru.wikipedia.org/w/index.php?search=%D0%9F%D0%BE%D0%BB%D1%82%D0%B5%D1%80%D0%B3%D0%B5%D0%B9%D1%81%D1%82-90%201991%20%D1%84%D0%B8%D0%BB%D1%8C%D0%BC","искать")</f>
        <v/>
      </c>
      <c r="N5850" s="3" t="n"/>
      <c r="O5850" s="2" t="n"/>
      <c r="P5850" s="2" t="n"/>
    </row>
    <row r="5851">
      <c r="A5851" s="2" t="n">
        <v>5850</v>
      </c>
      <c r="B5851" s="2" t="inlineStr"/>
      <c r="C5851" s="2" t="n">
        <v>9365</v>
      </c>
      <c r="D5851" s="3" t="inlineStr">
        <is>
          <t>Загадка колонии беглецов</t>
        </is>
      </c>
      <c r="E5851" s="2" t="n">
        <v>1981</v>
      </c>
      <c r="F5851" s="2" t="inlineStr">
        <is>
          <t>кинофильм</t>
        </is>
      </c>
      <c r="G5851" s="2" t="inlineStr">
        <is>
          <t>DEFA-Studio für Spielfilme; при участии Kinostudio EGO (Москва), ICAIC (Гавана)</t>
        </is>
      </c>
      <c r="H5851" s="2" t="n">
        <v>391</v>
      </c>
      <c r="I5851" s="2" t="inlineStr"/>
      <c r="J5851" s="2" t="inlineStr"/>
      <c r="K5851" s="3" t="inlineStr">
        <is>
          <t>Южная Америка, начало 80-х годов. Мария, молодая женщина, стала свидетелем убийства человека, которого убили преследователи из близлежащей фермы. Мария просит своего друга, журналиста Освальдо, чтобы расследовал это преступление. Освальдо узнаёт, что хозяева фермы - бывшие фашисты. Он решается на собственное расследование, но скоро понимает, что недооценил опасности, которая ему угрожает.</t>
        </is>
      </c>
      <c r="L5851" s="2" t="inlineStr">
        <is>
          <t>Кино_СССР сводный каталог.xlsx: список фильмов (доп.)</t>
        </is>
      </c>
      <c r="M5851" s="2">
        <f>HYPERLINK("https://ru.wikipedia.org/w/index.php?search=%D0%97%D0%B0%D0%B3%D0%B0%D0%B4%D0%BA%D0%B0%20%D0%BA%D0%BE%D0%BB%D0%BE%D0%BD%D0%B8%D0%B8%20%D0%B1%D0%B5%D0%B3%D0%BB%D0%B5%D1%86%D0%BE%D0%B2%201981%20%D1%84%D0%B8%D0%BB%D1%8C%D0%BC","искать")</f>
        <v/>
      </c>
      <c r="N5851" s="3" t="n"/>
      <c r="O5851" s="2" t="n"/>
      <c r="P5851" s="2" t="n"/>
    </row>
    <row r="5852">
      <c r="A5852" s="2" t="n">
        <v>5851</v>
      </c>
      <c r="B5852" s="2" t="inlineStr"/>
      <c r="C5852" s="2" t="n">
        <v>10510</v>
      </c>
      <c r="D5852" s="3" t="inlineStr">
        <is>
          <t>Память сердца</t>
        </is>
      </c>
      <c r="E5852" s="2" t="n">
        <v>1973</v>
      </c>
      <c r="F5852" s="2" t="inlineStr">
        <is>
          <t>фильм-спектакль</t>
        </is>
      </c>
      <c r="G5852" s="2" t="inlineStr">
        <is>
          <t>Главная редакция литературно-драматических программ</t>
        </is>
      </c>
      <c r="H5852" s="2" t="n">
        <v>391</v>
      </c>
      <c r="I5852" s="2" t="inlineStr"/>
      <c r="J5852" s="2" t="inlineStr"/>
      <c r="K5852" s="3" t="inlineStr">
        <is>
          <t>По одноименной пьесе А.Корнейчука в постановке Государственного академического театра имени Евг.Вахтангова. Из Италии в Киев приезжает Антонио Террачини, чтобы вновь встретить женщину, которую любил в годы войны. Здесь он узнает, что имеет взрослого сына. Однако у Террачини на родине - семья. И вновь расстаются герои пьесы, но память о прошлом остается в их сердцах. Постановка Е.Симонова.</t>
        </is>
      </c>
      <c r="L5852" s="2" t="inlineStr">
        <is>
          <t>https://www.kino-teatr.ru/teatr/movie/16415/annot/</t>
        </is>
      </c>
      <c r="M5852" s="2">
        <f>HYPERLINK("https://ru.wikipedia.org/w/index.php?search=%D0%9F%D0%B0%D0%BC%D1%8F%D1%82%D1%8C%20%D1%81%D0%B5%D1%80%D0%B4%D1%86%D0%B0%201973%20%D1%84%D0%B8%D0%BB%D1%8C%D0%BC","искать")</f>
        <v/>
      </c>
      <c r="N5852" s="3" t="n"/>
      <c r="O5852" s="2" t="n"/>
      <c r="P5852" s="2" t="n"/>
    </row>
    <row r="5853">
      <c r="A5853" s="2" t="n">
        <v>5852</v>
      </c>
      <c r="B5853" s="2" t="inlineStr"/>
      <c r="C5853" s="2" t="n">
        <v>10775</v>
      </c>
      <c r="D5853" s="3" t="inlineStr">
        <is>
          <t>Средство Макропулоса</t>
        </is>
      </c>
      <c r="E5853" s="2" t="n">
        <v>1978</v>
      </c>
      <c r="F5853" s="2" t="inlineStr">
        <is>
          <t>фильм-спектакль</t>
        </is>
      </c>
      <c r="G5853" s="2" t="inlineStr">
        <is>
          <t>Гл. ред. лит-драм программ</t>
        </is>
      </c>
      <c r="H5853" s="2" t="n">
        <v>391</v>
      </c>
      <c r="I5853" s="2" t="inlineStr"/>
      <c r="J5853" s="2" t="inlineStr"/>
      <c r="K5853" s="3" t="inlineStr">
        <is>
          <t>По одноимённой пьесе К. Чапека в постановке Государственного академического Малого театра СССР.
Средство Макропулоса – эликсир долголетия, возможность обладания которым становится для героев пьесы испытанием их человеческой состоятельности. Спектакль завершается несколько неожиданно: бессмертие, оказывается, не так уж заманчиво, и герои спектакля не отваживаются воспользоваться элексиром.</t>
        </is>
      </c>
      <c r="L5853" s="2" t="inlineStr">
        <is>
          <t>https://www.kino-teatr.ru/teatr/movie/6728/annot/</t>
        </is>
      </c>
      <c r="M5853" s="2">
        <f>HYPERLINK("https://ru.wikipedia.org/w/index.php?search=%D0%A1%D1%80%D0%B5%D0%B4%D1%81%D1%82%D0%B2%D0%BE%20%D0%9C%D0%B0%D0%BA%D1%80%D0%BE%D0%BF%D1%83%D0%BB%D0%BE%D1%81%D0%B0%201978%20%D1%84%D0%B8%D0%BB%D1%8C%D0%BC","искать")</f>
        <v/>
      </c>
      <c r="N5853" s="3" t="n"/>
      <c r="O5853" s="2" t="n"/>
      <c r="P5853" s="2" t="n"/>
    </row>
    <row r="5854">
      <c r="A5854" s="2" t="n">
        <v>5853</v>
      </c>
      <c r="B5854" s="2" t="inlineStr"/>
      <c r="C5854" s="2" t="n">
        <v>11224</v>
      </c>
      <c r="D5854" s="3" t="inlineStr">
        <is>
          <t>Ричард II</t>
        </is>
      </c>
      <c r="E5854" s="2" t="n">
        <v>1988</v>
      </c>
      <c r="F5854" s="2" t="inlineStr">
        <is>
          <t>фильм-спектакль</t>
        </is>
      </c>
      <c r="G5854" s="2" t="inlineStr">
        <is>
          <t>Главная редакция литературно-драматических программ ЦТ</t>
        </is>
      </c>
      <c r="H5854" s="2" t="n">
        <v>391</v>
      </c>
      <c r="I5854" s="2" t="inlineStr"/>
      <c r="J5854" s="2" t="inlineStr"/>
      <c r="K5854" s="3" t="inlineStr">
        <is>
          <t>По одноименной хронике Уильяма Шекспира в постановке Кироваканского (Ванадзорского) государственного драматического театра имени Ованеса Абеляна.
Историческая хроника, которая охватывает события 1399—1400 гг.; в её центре — низложение короля Ричарда II и захват власти его двоюродным братом Генрихом Болингброком — основателем дома Ланкастеров Генрихом IV, а затем убийство пленного Ричарда.</t>
        </is>
      </c>
      <c r="L5854" s="2" t="inlineStr">
        <is>
          <t>https://www.kino-teatr.ru/teatr/movie/81794/annot/</t>
        </is>
      </c>
      <c r="M5854" s="2">
        <f>HYPERLINK("https://ru.wikipedia.org/w/index.php?search=%D0%A0%D0%B8%D1%87%D0%B0%D1%80%D0%B4%20II%201988%20%D1%84%D0%B8%D0%BB%D1%8C%D0%BC","искать")</f>
        <v/>
      </c>
      <c r="N5854" s="3" t="n"/>
      <c r="O5854" s="2" t="n"/>
      <c r="P5854" s="2" t="n"/>
    </row>
    <row r="5855">
      <c r="A5855" s="2" t="n">
        <v>5854</v>
      </c>
      <c r="B5855" s="2" t="inlineStr"/>
      <c r="C5855" s="2" t="n">
        <v>9121</v>
      </c>
      <c r="D5855" s="3" t="inlineStr">
        <is>
          <t>Убить скорпиона</t>
        </is>
      </c>
      <c r="E5855" s="2" t="n">
        <v>1991</v>
      </c>
      <c r="F5855" s="2" t="inlineStr">
        <is>
          <t>кинофильм</t>
        </is>
      </c>
      <c r="G5855" s="2" t="n"/>
      <c r="H5855" s="2" t="n">
        <v>392</v>
      </c>
      <c r="I5855" s="2" t="inlineStr"/>
      <c r="J5855" s="2" t="inlineStr"/>
      <c r="K5855" s="3" t="inlineStr">
        <is>
          <t>В таежной глуши, на отечественном острове находится тюремная зона, где зэки добывают руду. В одной из пещер острова обнаруживают кости динозавров. Для их исследования приглашается столичный научный сотрудник, а в сопровождение ей выделяется бравый сержант срочной службы. Параллельно развиваются события с участием пахана Скорпиона и компании отмороженных зэков, которые готовят побег с зоны.</t>
        </is>
      </c>
      <c r="L5855" s="2" t="inlineStr">
        <is>
          <t>Кино_СССР сводный каталог.xlsx: список фильмов (доп.)</t>
        </is>
      </c>
      <c r="M5855" s="2">
        <f>HYPERLINK("https://ru.wikipedia.org/w/index.php?search=%D0%A3%D0%B1%D0%B8%D1%82%D1%8C%20%D1%81%D0%BA%D0%BE%D1%80%D0%BF%D0%B8%D0%BE%D0%BD%D0%B0%201991%20%D1%84%D0%B8%D0%BB%D1%8C%D0%BC","искать")</f>
        <v/>
      </c>
      <c r="N5855" s="3" t="n"/>
      <c r="O5855" s="2" t="n"/>
      <c r="P5855" s="2" t="n"/>
    </row>
    <row r="5856">
      <c r="A5856" s="2" t="n">
        <v>5855</v>
      </c>
      <c r="B5856" s="2" t="inlineStr"/>
      <c r="C5856" s="2" t="n">
        <v>9277</v>
      </c>
      <c r="D5856" s="3" t="inlineStr">
        <is>
          <t>Волки в зоне</t>
        </is>
      </c>
      <c r="E5856" s="2" t="n">
        <v>1990</v>
      </c>
      <c r="F5856" s="2" t="inlineStr">
        <is>
          <t>кинофильм</t>
        </is>
      </c>
      <c r="G5856" s="2" t="n"/>
      <c r="H5856" s="2" t="n">
        <v>392</v>
      </c>
      <c r="I5856" s="2" t="inlineStr"/>
      <c r="J5856" s="2" t="inlineStr"/>
      <c r="K5856" s="3" t="inlineStr">
        <is>
          <t>В основе фильма факты чернобыльской трагедии и ликвидации аварии. Герои этого фильма мародер Семен, сбывающий зараженную технику, его бывший сослуживец Стас, капитан милиции, в недавнем прошлом ликвидатор аварии и некий Человек-Зона, наблюдающий за событиями. Брошенные людьми вещи, драгоценности и техника становятся легкой добычей преступников, действующих под прикрытием властей и милиции.</t>
        </is>
      </c>
      <c r="L5856" s="2" t="inlineStr">
        <is>
          <t>Кино_СССР сводный каталог.xlsx: список фильмов (доп.)</t>
        </is>
      </c>
      <c r="M5856" s="2">
        <f>HYPERLINK("https://ru.wikipedia.org/w/index.php?search=%D0%92%D0%BE%D0%BB%D0%BA%D0%B8%20%D0%B2%20%D0%B7%D0%BE%D0%BD%D0%B5%201990%20%D1%84%D0%B8%D0%BB%D1%8C%D0%BC","искать")</f>
        <v/>
      </c>
      <c r="N5856" s="3" t="n"/>
      <c r="O5856" s="2" t="n"/>
      <c r="P5856" s="2" t="n"/>
    </row>
    <row r="5857">
      <c r="A5857" s="2" t="n">
        <v>5856</v>
      </c>
      <c r="B5857" s="2" t="inlineStr"/>
      <c r="C5857" s="2" t="n">
        <v>7870</v>
      </c>
      <c r="D5857" s="3" t="inlineStr">
        <is>
          <t>Место действия</t>
        </is>
      </c>
      <c r="E5857" s="2" t="n">
        <v>1983</v>
      </c>
      <c r="F5857" s="2" t="inlineStr">
        <is>
          <t>телефильм</t>
        </is>
      </c>
      <c r="G5857" s="2" t="n"/>
      <c r="H5857" s="2" t="n">
        <v>393</v>
      </c>
      <c r="I5857" s="2" t="inlineStr"/>
      <c r="J5857" s="2" t="inlineStr"/>
      <c r="K5857" s="3" t="inlineStr">
        <is>
          <t>Телефильм по мотивам одноименного романа Александра Проханова (1978). Действие фильма разворачивается на строительстве нефтехимического комбината в старинном городе Ядринске. Герой фильма Петр Константинович Пушкарев, директор комбината, привлекая местную интеллигенцию, искренне и горячо стремится к тому, чтобы индустриализация сибирского города не погубила исторические памятники и природу.</t>
        </is>
      </c>
      <c r="L5857" s="2" t="inlineStr">
        <is>
          <t>Кино_СССР сводный каталог.xlsx: список телефильмов</t>
        </is>
      </c>
      <c r="M5857" s="2">
        <f>HYPERLINK("https://ru.wikipedia.org/w/index.php?search=%D0%9C%D0%B5%D1%81%D1%82%D0%BE%20%D0%B4%D0%B5%D0%B9%D1%81%D1%82%D0%B2%D0%B8%D1%8F%201983%20%D1%84%D0%B8%D0%BB%D1%8C%D0%BC","искать")</f>
        <v/>
      </c>
      <c r="N5857" s="3" t="n"/>
      <c r="O5857" s="2" t="n"/>
      <c r="P5857" s="2" t="n"/>
    </row>
    <row r="5858">
      <c r="A5858" s="2" t="n">
        <v>5857</v>
      </c>
      <c r="B5858" s="2" t="inlineStr"/>
      <c r="C5858" s="2" t="n">
        <v>8135</v>
      </c>
      <c r="D5858" s="3" t="inlineStr">
        <is>
          <t>Под чужим именем</t>
        </is>
      </c>
      <c r="E5858" s="2" t="n">
        <v>1984</v>
      </c>
      <c r="F5858" s="2" t="inlineStr">
        <is>
          <t>телефильм</t>
        </is>
      </c>
      <c r="G5858" s="2" t="n"/>
      <c r="H5858" s="2" t="n">
        <v>393</v>
      </c>
      <c r="I5858" s="2" t="inlineStr"/>
      <c r="J5858" s="2" t="inlineStr"/>
      <c r="K5858" s="3" t="inlineStr">
        <is>
          <t>Телефильм исследует ситуацию, когда части эстонцев приходилось воевать против своей страны и своего народа. Кто-то служил фашистам, кто-то (как герой фильма Хэндрик Папалепа) - Советской власти.Его засылают в оккупированный немцами Таллин незадолго до прихода туда советских войск. Хэндрик выдает себя за своего погибшего одноклассника Мярта Куузика, который был сотрудником эстонской охранки.</t>
        </is>
      </c>
      <c r="L5858" s="2" t="inlineStr">
        <is>
          <t>Кино_СССР сводный каталог.xlsx: список телефильмов</t>
        </is>
      </c>
      <c r="M5858" s="2">
        <f>HYPERLINK("https://ru.wikipedia.org/w/index.php?search=%D0%9F%D0%BE%D0%B4%20%D1%87%D1%83%D0%B6%D0%B8%D0%BC%20%D0%B8%D0%BC%D0%B5%D0%BD%D0%B5%D0%BC%201984%20%D1%84%D0%B8%D0%BB%D1%8C%D0%BC","искать")</f>
        <v/>
      </c>
      <c r="N5858" s="3" t="n"/>
      <c r="O5858" s="2" t="n"/>
      <c r="P5858" s="2" t="n"/>
    </row>
    <row r="5859">
      <c r="A5859" s="2" t="n">
        <v>5858</v>
      </c>
      <c r="B5859" s="2" t="inlineStr"/>
      <c r="C5859" s="2" t="n">
        <v>11087</v>
      </c>
      <c r="D5859" s="3" t="inlineStr">
        <is>
          <t>Такой странный вечер в узком семейном кругу</t>
        </is>
      </c>
      <c r="E5859" s="2" t="n">
        <v>1985</v>
      </c>
      <c r="F5859" s="2" t="inlineStr">
        <is>
          <t>фильм-спектакль</t>
        </is>
      </c>
      <c r="G5859" s="2" t="inlineStr">
        <is>
          <t>Главная редакция литературно-драматических программ ЦТ</t>
        </is>
      </c>
      <c r="H5859" s="2" t="n">
        <v>393</v>
      </c>
      <c r="I5859" s="2" t="inlineStr"/>
      <c r="J5859" s="2" t="inlineStr"/>
      <c r="K5859" s="3" t="inlineStr">
        <is>
          <t>В основе телеспектакля лежат реальные события.
Героиня спектакля - Дина Александровна - в годы Великой Отечественной войны была радисткой в партизанском соединении, действовавшем на территории Чехословакии. Через 27 лет она посещает места былых боев, встречается с товарищами по совместной борьбе. Героиня пытается установить истинную причину гибели командира и комиссара партизанского отряда.</t>
        </is>
      </c>
      <c r="L5859" s="2" t="inlineStr">
        <is>
          <t>https://www.kino-teatr.ru/teatr/movie/10465/annot/</t>
        </is>
      </c>
      <c r="M5859" s="2">
        <f>HYPERLINK("https://ru.wikipedia.org/w/index.php?search=%D0%A2%D0%B0%D0%BA%D0%BE%D0%B9%20%D1%81%D1%82%D1%80%D0%B0%D0%BD%D0%BD%D1%8B%D0%B9%20%D0%B2%D0%B5%D1%87%D0%B5%D1%80%20%D0%B2%20%D1%83%D0%B7%D0%BA%D0%BE%D0%BC%20%D1%81%D0%B5%D0%BC%D0%B5%D0%B9%D0%BD%D0%BE%D0%BC%20%D0%BA%D1%80%D1%83%D0%B3%D1%83%201985%20%D1%84%D0%B8%D0%BB%D1%8C%D0%BC","искать")</f>
        <v/>
      </c>
      <c r="N5859" s="3" t="n"/>
      <c r="O5859" s="2" t="n"/>
      <c r="P5859" s="2" t="n"/>
    </row>
    <row r="5860">
      <c r="A5860" s="2" t="n">
        <v>5859</v>
      </c>
      <c r="B5860" s="2" t="inlineStr"/>
      <c r="C5860" s="2" t="n">
        <v>11458</v>
      </c>
      <c r="D5860" s="3" t="inlineStr">
        <is>
          <t>Рай в шалаше</t>
        </is>
      </c>
      <c r="E5860" s="2" t="n">
        <v>1966</v>
      </c>
      <c r="F5860" s="2" t="inlineStr">
        <is>
          <t>мультфильм</t>
        </is>
      </c>
      <c r="G5860" s="2" t="inlineStr">
        <is>
          <t>Союзмультфильм</t>
        </is>
      </c>
      <c r="H5860" s="2" t="n">
        <v>393</v>
      </c>
      <c r="I5860" s="2" t="inlineStr"/>
      <c r="J5860" s="2" t="inlineStr"/>
      <c r="K5860" s="3" t="inlineStr">
        <is>
          <t>В двух семьях очень плохо воспитывали своих детей. Парень и девушка выросли бездельниками и лентяями. В институт поступить им не удалось, а работать молодые люди не хотят. Юная парочка решает пожениться. Однако в супружестве они продолжают тунеядствовать, сидя на шее у своих родителей. В конце концов молодожены выживают своих родителей из квартиры. А родители вынуждены поселиться...в шалаше</t>
        </is>
      </c>
      <c r="L5860" s="2" t="inlineStr">
        <is>
          <t>https://gosfilmofond.ru/films/254285/</t>
        </is>
      </c>
      <c r="M5860" s="2">
        <f>HYPERLINK("https://ru.wikipedia.org/w/index.php?search=%D0%A0%D0%B0%D0%B9%20%D0%B2%20%D1%88%D0%B0%D0%BB%D0%B0%D1%88%D0%B5%201966%20%D1%84%D0%B8%D0%BB%D1%8C%D0%BC","искать")</f>
        <v/>
      </c>
      <c r="N5860" s="3" t="n"/>
      <c r="O5860" s="2" t="n"/>
      <c r="P5860" s="2" t="n"/>
    </row>
    <row r="5861">
      <c r="A5861" s="2" t="n">
        <v>5860</v>
      </c>
      <c r="B5861" s="2" t="inlineStr"/>
      <c r="C5861" s="2" t="n">
        <v>13267</v>
      </c>
      <c r="D5861" s="3" t="inlineStr">
        <is>
          <t>Упрямцы</t>
        </is>
      </c>
      <c r="E5861" s="2" t="n">
        <v>1966</v>
      </c>
      <c r="F5861" s="2" t="inlineStr">
        <is>
          <t>мультфильм</t>
        </is>
      </c>
      <c r="G5861" s="2" t="inlineStr">
        <is>
          <t>ТАЛЛИННФИЛЬМ</t>
        </is>
      </c>
      <c r="H5861" s="2" t="n">
        <v>393</v>
      </c>
      <c r="I5861" s="2" t="inlineStr"/>
      <c r="J5861" s="2" t="inlineStr"/>
      <c r="K5861" s="3" t="inlineStr">
        <is>
          <t>Из-за своих сварливых характеров трое рыбаков оказываются на льдине в открытом море. И даже в этой ситуации он продолжают ругаться, не обращая внимания ни на свирепых акул, ни на шторм. За сварливый нрав рыбаков изгоняют со своего тихого острова кривляки-обезьяны. Спасает рыбаков случайно оказавшийся поблизости пароход. Сварливые рыбаки снова отправляются на рыбалку...и снова затевают ссору</t>
        </is>
      </c>
      <c r="L5861" s="2" t="inlineStr">
        <is>
          <t>https://gosfilmofond.ru/films/254253/</t>
        </is>
      </c>
      <c r="M5861" s="2">
        <f>HYPERLINK("https://ru.wikipedia.org/w/index.php?search=%D0%A3%D0%BF%D1%80%D1%8F%D0%BC%D1%86%D1%8B%201966%20%D1%84%D0%B8%D0%BB%D1%8C%D0%BC","искать")</f>
        <v/>
      </c>
      <c r="N5861" s="3" t="n"/>
      <c r="O5861" s="2" t="n"/>
      <c r="P5861" s="2" t="n"/>
    </row>
    <row r="5862">
      <c r="A5862" s="2" t="n">
        <v>5861</v>
      </c>
      <c r="B5862" s="2" t="inlineStr"/>
      <c r="C5862" s="2" t="n">
        <v>7969</v>
      </c>
      <c r="D5862" s="3" t="inlineStr">
        <is>
          <t>Небесные ласточки</t>
        </is>
      </c>
      <c r="E5862" s="2" t="n">
        <v>1976</v>
      </c>
      <c r="F5862" s="2" t="inlineStr">
        <is>
          <t>телефильм</t>
        </is>
      </c>
      <c r="G5862" s="2" t="inlineStr">
        <is>
          <t>Ленфильм</t>
        </is>
      </c>
      <c r="H5862" s="2" t="n">
        <v>394</v>
      </c>
      <c r="I5862" s="2" t="inlineStr"/>
      <c r="J5862" s="2" t="inlineStr"/>
      <c r="K5862" s="3" t="inlineStr">
        <is>
          <t>Телефильм по оперетте композитора Флоримона Эрве "Мадемуазель Нитуш" (либретто Анри Мельяк, Алббер Мийо). В живописном месте расположен пансион для благородных девиц, в котором преподает пение священник Селестен. Каждый раз, выходя на улицу, он преображается во Флоридора, который страстно влюблен в театр, сочиняет развеселые куплеты, сам пишет водевиль и мечтает стать известным композитором.</t>
        </is>
      </c>
      <c r="L5862" s="2" t="inlineStr">
        <is>
          <t>Кино_СССР сводный каталог.xlsx: список телефильмов</t>
        </is>
      </c>
      <c r="M5862" s="2">
        <f>HYPERLINK("https://ru.wikipedia.org/w/index.php?search=%D0%9D%D0%B5%D0%B1%D0%B5%D1%81%D0%BD%D1%8B%D0%B5%20%D0%BB%D0%B0%D1%81%D1%82%D0%BE%D1%87%D0%BA%D0%B8%201976%20%D1%84%D0%B8%D0%BB%D1%8C%D0%BC","искать")</f>
        <v/>
      </c>
      <c r="N5862" s="3" t="n"/>
      <c r="O5862" s="2" t="n"/>
      <c r="P5862" s="2" t="n"/>
    </row>
    <row r="5863">
      <c r="A5863" s="2" t="n">
        <v>5862</v>
      </c>
      <c r="B5863" s="2" t="inlineStr"/>
      <c r="C5863" s="2" t="n">
        <v>12203</v>
      </c>
      <c r="D5863" s="3" t="inlineStr">
        <is>
          <t>Выкрутасы</t>
        </is>
      </c>
      <c r="E5863" s="2" t="n">
        <v>1987</v>
      </c>
      <c r="F5863" s="2" t="inlineStr">
        <is>
          <t>мультфильм</t>
        </is>
      </c>
      <c r="G5863" s="2" t="inlineStr">
        <is>
          <t>Союзмультфильм</t>
        </is>
      </c>
      <c r="H5863" s="2" t="n">
        <v>394</v>
      </c>
      <c r="I5863" s="2" t="inlineStr"/>
      <c r="J5863" s="2" t="inlineStr"/>
      <c r="K5863" s="3" t="inlineStr">
        <is>
          <t>История проволочного человека, который защиту себя от окружающих довел до абсурда, переделав жену, собаку в колючую проволоку, и отгородил себя от окружающего мира.
Почетный Диплом МФ короткомерт. Фильмов в Кракове (Польша) 1988 г.
Приз Жюри МФ в Шанхае (Китай) 1988 г.
Первый Приз ассоц. кинокритиков на МКФ в Лос-Анжелесе (США) 1989 г.
"Золотая Пальмовая Ветвь" МКФ в Каннах (Франция) 1988 г.</t>
        </is>
      </c>
      <c r="L5863" s="2" t="inlineStr">
        <is>
          <t>https://animator.ru/db/?p=show_film&amp;fid=3320</t>
        </is>
      </c>
      <c r="M5863" s="2">
        <f>HYPERLINK("https://ru.wikipedia.org/w/index.php?search=%D0%92%D1%8B%D0%BA%D1%80%D1%83%D1%82%D0%B0%D1%81%D1%8B%201987%20%D1%84%D0%B8%D0%BB%D1%8C%D0%BC","искать")</f>
        <v/>
      </c>
      <c r="N5863" s="3" t="n"/>
      <c r="O5863" s="2" t="n"/>
      <c r="P5863" s="2" t="n"/>
    </row>
    <row r="5864">
      <c r="A5864" s="2" t="n">
        <v>5863</v>
      </c>
      <c r="B5864" s="2" t="inlineStr"/>
      <c r="C5864" s="2" t="n">
        <v>7605</v>
      </c>
      <c r="D5864" s="3" t="inlineStr">
        <is>
          <t>Жил-был Шишлов</t>
        </is>
      </c>
      <c r="E5864" s="2" t="n">
        <v>1987</v>
      </c>
      <c r="F5864" s="2" t="inlineStr">
        <is>
          <t>телефильм</t>
        </is>
      </c>
      <c r="G5864" s="2" t="inlineStr">
        <is>
          <t>к/с им. Довженко</t>
        </is>
      </c>
      <c r="H5864" s="2" t="n">
        <v>395</v>
      </c>
      <c r="I5864" s="2" t="inlineStr"/>
      <c r="J5864" s="2" t="inlineStr"/>
      <c r="K5864" s="3" t="inlineStr">
        <is>
          <t>По мотивам пьесы Афанасия Салынского «Молва». Действие телефильма происходит в послереволюционные годы в провинциальном городке Птюньки. В центре сюжета история телефониста Ивана Шишлова, молодого коммуниста, тяжело переживающего эпоху НЭПа. Запутавшийся в сложных переменах в жизни, обманутый недругами, Ваня несправедливо обвиняет свою любимую девушку, землеустроителя Алю, в получении взятки.</t>
        </is>
      </c>
      <c r="L5864" s="2" t="inlineStr">
        <is>
          <t>Кино_СССР сводный каталог.xlsx: список телефильмов</t>
        </is>
      </c>
      <c r="M5864" s="2">
        <f>HYPERLINK("https://ru.wikipedia.org/w/index.php?search=%D0%96%D0%B8%D0%BB-%D0%B1%D1%8B%D0%BB%20%D0%A8%D0%B8%D1%88%D0%BB%D0%BE%D0%B2%201987%20%D1%84%D0%B8%D0%BB%D1%8C%D0%BC","искать")</f>
        <v/>
      </c>
      <c r="N5864" s="3" t="n"/>
      <c r="O5864" s="2" t="n"/>
      <c r="P5864" s="2" t="n"/>
    </row>
    <row r="5865">
      <c r="A5865" s="2" t="n">
        <v>5864</v>
      </c>
      <c r="B5865" s="2" t="inlineStr"/>
      <c r="C5865" s="2" t="n">
        <v>8522</v>
      </c>
      <c r="D5865" s="3" t="inlineStr">
        <is>
          <t>Хождение по мукам</t>
        </is>
      </c>
      <c r="E5865" s="2" t="n">
        <v>1974</v>
      </c>
      <c r="F5865" s="2" t="inlineStr">
        <is>
          <t>телефильм</t>
        </is>
      </c>
      <c r="G5865" s="2" t="n"/>
      <c r="H5865" s="2" t="n">
        <v>395</v>
      </c>
      <c r="I5865" s="2" t="inlineStr"/>
      <c r="J5865" s="2" t="inlineStr"/>
      <c r="K5865" s="3" t="inlineStr">
        <is>
          <t>Телесериал по роману Алексея Толстого. История четырех представителей интеллигенции, ввергнутых в водоворот революции и гражданской войны. Петербург 1914 года, город мрачных рабочих окраин и яркой аристократической жизни. Героини фильма - сестры Катя и Даша Булавины. Старшая, Катя, жена либерального адвоката Смоковникова, уже долгое время живет в тоске и отчаянии от пустоты собственной жизни.</t>
        </is>
      </c>
      <c r="L5865" s="2" t="inlineStr">
        <is>
          <t>Кино_СССР сводный каталог.xlsx: список телефильмов</t>
        </is>
      </c>
      <c r="M5865" s="2">
        <f>HYPERLINK("https://ru.wikipedia.org/w/index.php?search=%D0%A5%D0%BE%D0%B6%D0%B4%D0%B5%D0%BD%D0%B8%D0%B5%20%D0%BF%D0%BE%20%D0%BC%D1%83%D0%BA%D0%B0%D0%BC%201974%20%D1%84%D0%B8%D0%BB%D1%8C%D0%BC","искать")</f>
        <v/>
      </c>
      <c r="N5865" s="3" t="n"/>
      <c r="O5865" s="2" t="n"/>
      <c r="P5865" s="2" t="n"/>
    </row>
    <row r="5866">
      <c r="A5866" s="2" t="n">
        <v>5865</v>
      </c>
      <c r="B5866" s="2" t="inlineStr"/>
      <c r="C5866" s="2" t="n">
        <v>8601</v>
      </c>
      <c r="D5866" s="3" t="inlineStr">
        <is>
          <t>Эффект Ромашкина</t>
        </is>
      </c>
      <c r="E5866" s="2" t="n">
        <v>1973</v>
      </c>
      <c r="F5866" s="2" t="inlineStr">
        <is>
          <t>телефильм</t>
        </is>
      </c>
      <c r="G5866" s="2" t="n"/>
      <c r="H5866" s="2" t="n">
        <v>395</v>
      </c>
      <c r="I5866" s="2" t="inlineStr"/>
      <c r="J5866" s="2" t="inlineStr"/>
      <c r="K5866" s="3" t="inlineStr">
        <is>
          <t>Четверо друзей-кинолюбителей откликнулись на просьбу администрации молокозавода снять рекламный фильм о кефире. От корыстного учёного Вадима Баламутникова они узнают о некоем Василии Васильевиче Ромашкине, который видит видения и фантазии, а кефир усиливает эти видения. Этот феномен (эффект Ромашкина) исследует профессор Занозов Аристарх Иванович, в лаборатории которого работает Баламутников.</t>
        </is>
      </c>
      <c r="L5866" s="2" t="inlineStr">
        <is>
          <t>https://ru.wikipedia.org/w/index.php?title=%D0%AD%D1%84%D1%84%D0%B5%D0%BA%D1%82_%D0%A0%D0%BE%D0%BC%D0%B0%D1%88%D0%BA%D0%B8%D0%BD%D0%B0&amp;oldid=154850958</t>
        </is>
      </c>
      <c r="M5866" s="2">
        <f>HYPERLINK("https://ru.wikipedia.org/w/index.php?search=%D0%AD%D1%84%D1%84%D0%B5%D0%BA%D1%82%20%D0%A0%D0%BE%D0%BC%D0%B0%D1%88%D0%BA%D0%B8%D0%BD%D0%B0%201973%20%D1%84%D0%B8%D0%BB%D1%8C%D0%BC","искать")</f>
        <v/>
      </c>
      <c r="N5866" s="3" t="n"/>
      <c r="O5866" s="2" t="n"/>
      <c r="P5866" s="2" t="n"/>
    </row>
    <row r="5867">
      <c r="A5867" s="2" t="n">
        <v>5866</v>
      </c>
      <c r="B5867" s="2" t="inlineStr"/>
      <c r="C5867" s="2" t="n">
        <v>8686</v>
      </c>
      <c r="D5867" s="3" t="inlineStr">
        <is>
          <t>Груз-300</t>
        </is>
      </c>
      <c r="E5867" s="2" t="n">
        <v>1989</v>
      </c>
      <c r="F5867" s="2" t="inlineStr">
        <is>
          <t>кинофильм</t>
        </is>
      </c>
      <c r="G5867" s="2" t="n"/>
      <c r="H5867" s="2" t="n">
        <v>395</v>
      </c>
      <c r="I5867" s="2" t="inlineStr"/>
      <c r="J5867" s="2" t="inlineStr"/>
      <c r="K5867" s="3" t="inlineStr">
        <is>
          <t>Военные действия в Афганистане. От границы в сторону Кабула по горной дороге движется колонна советской военной бронетехники. Путь колонны лежит через единственный в этих краях разборный мост. Об этом прекрасно осведомлены афганские моджахеды и под руководством американского инструктора Купера они готовят операцию по захвату моста и уничтожению заблокированной в этом случае советской техники.</t>
        </is>
      </c>
      <c r="L5867" s="2" t="inlineStr">
        <is>
          <t>Кино_СССР сводный каталог.xlsx: список фильмов (доп.)</t>
        </is>
      </c>
      <c r="M5867" s="2">
        <f>HYPERLINK("https://ru.wikipedia.org/w/index.php?search=%D0%93%D1%80%D1%83%D0%B7-300%201989%20%D1%84%D0%B8%D0%BB%D1%8C%D0%BC","искать")</f>
        <v/>
      </c>
      <c r="N5867" s="3" t="n"/>
      <c r="O5867" s="2" t="n"/>
      <c r="P5867" s="2" t="n"/>
    </row>
    <row r="5868">
      <c r="A5868" s="2" t="n">
        <v>5867</v>
      </c>
      <c r="B5868" s="2" t="inlineStr"/>
      <c r="C5868" s="2" t="n">
        <v>10778</v>
      </c>
      <c r="D5868" s="3" t="inlineStr">
        <is>
          <t>Таблетку под язык</t>
        </is>
      </c>
      <c r="E5868" s="2" t="n">
        <v>1978</v>
      </c>
      <c r="F5868" s="2" t="inlineStr">
        <is>
          <t>фильм-спектакль</t>
        </is>
      </c>
      <c r="G5868" s="2" t="inlineStr">
        <is>
          <t>Гл. ред. литературно-драматических программ</t>
        </is>
      </c>
      <c r="H5868" s="2" t="n">
        <v>395</v>
      </c>
      <c r="I5868" s="2" t="inlineStr"/>
      <c r="J5868" s="2" t="inlineStr"/>
      <c r="K5868" s="3" t="inlineStr">
        <is>
          <t>По одноименной пьесе А. Макаенка в постановке Московского академического театра сатиры.
Один день из жизни председателя колхоза Каравая. Кто только не приходит к нему со своими заботами и проблемами. Всякого может выслушать и помочь Каравай (к концу дня не обойтись без таблетки валидола). Рядом с ним - деревенский мудрец дед Цибулька, всегда готовый дать добрый совет односельчанам и приезжим.</t>
        </is>
      </c>
      <c r="L5868" s="2" t="inlineStr">
        <is>
          <t>https://www.kino-teatr.ru/teatr/movie/81441/annot/</t>
        </is>
      </c>
      <c r="M5868" s="2">
        <f>HYPERLINK("https://ru.wikipedia.org/w/index.php?search=%D0%A2%D0%B0%D0%B1%D0%BB%D0%B5%D1%82%D0%BA%D1%83%20%D0%BF%D0%BE%D0%B4%20%D1%8F%D0%B7%D1%8B%D0%BA%201978%20%D1%84%D0%B8%D0%BB%D1%8C%D0%BC","искать")</f>
        <v/>
      </c>
      <c r="N5868" s="3" t="n"/>
      <c r="O5868" s="2" t="n"/>
      <c r="P5868" s="2" t="n"/>
    </row>
    <row r="5869">
      <c r="A5869" s="2" t="n">
        <v>5868</v>
      </c>
      <c r="B5869" s="2" t="inlineStr"/>
      <c r="C5869" s="2" t="n">
        <v>11073</v>
      </c>
      <c r="D5869" s="3" t="inlineStr">
        <is>
          <t>Принц и нищий</t>
        </is>
      </c>
      <c r="E5869" s="2" t="n">
        <v>1985</v>
      </c>
      <c r="F5869" s="2" t="inlineStr">
        <is>
          <t>фильм-спектакль</t>
        </is>
      </c>
      <c r="G5869" s="2" t="inlineStr">
        <is>
          <t>Творческое объединение "Экран"</t>
        </is>
      </c>
      <c r="H5869" s="2" t="n">
        <v>395</v>
      </c>
      <c r="I5869" s="2" t="inlineStr"/>
      <c r="J5869" s="2" t="inlineStr"/>
      <c r="K5869" s="3" t="inlineStr">
        <is>
          <t>Пьеса Сергея Михалкова по мотивам повести Марка Твена в постановке Московского Художественного Академического театра им. М. Горького.
Лондон, середина XVI столетия.
В один и тот же день рождаются два мальчика - Том, сын вора Джона Кенти, ютящегося в вонючем тупике Двор Отбросов, и Эдуард, наследник короля Генриха Восьмого. Эдуарда ждет вся Англия, Том не очень-то нужен даже собственной семье.</t>
        </is>
      </c>
      <c r="L5869" s="2" t="inlineStr">
        <is>
          <t>https://www.kino-teatr.ru/teatr/movie/17148/annot/</t>
        </is>
      </c>
      <c r="M5869" s="2">
        <f>HYPERLINK("https://ru.wikipedia.org/w/index.php?search=%D0%9F%D1%80%D0%B8%D0%BD%D1%86%20%D0%B8%20%D0%BD%D0%B8%D1%89%D0%B8%D0%B9%201985%20%D1%84%D0%B8%D0%BB%D1%8C%D0%BC","искать")</f>
        <v/>
      </c>
      <c r="N5869" s="3" t="n"/>
      <c r="O5869" s="2" t="n"/>
      <c r="P5869" s="2" t="n"/>
    </row>
    <row r="5870">
      <c r="A5870" s="2" t="n">
        <v>5869</v>
      </c>
      <c r="B5870" s="2" t="inlineStr"/>
      <c r="C5870" s="2" t="n">
        <v>12540</v>
      </c>
      <c r="D5870" s="3" t="inlineStr">
        <is>
          <t>Самый дорогой рисунок</t>
        </is>
      </c>
      <c r="E5870" s="2" t="n">
        <v>1975</v>
      </c>
      <c r="F5870" s="2" t="inlineStr">
        <is>
          <t>мультфильм</t>
        </is>
      </c>
      <c r="G5870" s="2" t="inlineStr">
        <is>
          <t>КИЕВНАУЧФИЛЬМ</t>
        </is>
      </c>
      <c r="H5870" s="2" t="n">
        <v>395</v>
      </c>
      <c r="I5870" s="2" t="inlineStr"/>
      <c r="J5870" s="2" t="inlineStr"/>
      <c r="K5870" s="3" t="inlineStr">
        <is>
          <t>Мальчик любил рисовать. Он подарил друзьям воздушных змеев, на которых нарисовал: солнце, парусник, птицу. Он был пионером. Когда в город вошли фашисты, мальчику велели нарисовать свастику. Но юный патриот нарисовал на воздушном змее "Серп и молот" на красном флаге, а не "фашистский знак". Прежде чем раздался выстрел, мальчик успел запустить воздушный змей в небо, и это увидели жители города.</t>
        </is>
      </c>
      <c r="L5870" s="2" t="inlineStr">
        <is>
          <t>2026-10_мультфильмы_список_владельца.xlsx; https://animator.ru/db/?p=show_film&amp;fid=3718</t>
        </is>
      </c>
      <c r="M5870" s="2">
        <f>HYPERLINK("https://ru.wikipedia.org/w/index.php?search=%D0%A1%D0%B0%D0%BC%D1%8B%D0%B9%20%D0%B4%D0%BE%D1%80%D0%BE%D0%B3%D0%BE%D0%B9%20%D1%80%D0%B8%D1%81%D1%83%D0%BD%D0%BE%D0%BA%201975%20%D1%84%D0%B8%D0%BB%D1%8C%D0%BC","искать")</f>
        <v/>
      </c>
      <c r="N5870" s="3" t="n"/>
      <c r="O5870" s="2" t="n"/>
      <c r="P5870" s="2" t="n"/>
    </row>
    <row r="5871">
      <c r="A5871" s="2" t="n">
        <v>5870</v>
      </c>
      <c r="B5871" s="2" t="inlineStr"/>
      <c r="C5871" s="2" t="n">
        <v>8365</v>
      </c>
      <c r="D5871" s="3" t="inlineStr">
        <is>
          <t>Смятение</t>
        </is>
      </c>
      <c r="E5871" s="2" t="n">
        <v>1970</v>
      </c>
      <c r="F5871" s="2" t="inlineStr">
        <is>
          <t>телефильм</t>
        </is>
      </c>
      <c r="G5871" s="2" t="n"/>
      <c r="H5871" s="2" t="n">
        <v>396</v>
      </c>
      <c r="I5871" s="2" t="inlineStr"/>
      <c r="J5871" s="2" t="inlineStr"/>
      <c r="K5871" s="3" t="inlineStr">
        <is>
          <t>Телефильм по повести С.Степняка-Кравчинского "Домик на Волге". 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is>
      </c>
      <c r="L5871" s="2" t="inlineStr">
        <is>
          <t>Кино_СССР сводный каталог.xlsx: список телефильмов</t>
        </is>
      </c>
      <c r="M5871" s="2">
        <f>HYPERLINK("https://ru.wikipedia.org/w/index.php?search=%D0%A1%D0%BC%D1%8F%D1%82%D0%B5%D0%BD%D0%B8%D0%B5%201970%20%D1%84%D0%B8%D0%BB%D1%8C%D0%BC","искать")</f>
        <v/>
      </c>
      <c r="N5871" s="3" t="n"/>
      <c r="O5871" s="2" t="n"/>
      <c r="P5871" s="2" t="n"/>
    </row>
    <row r="5872">
      <c r="A5872" s="2" t="n">
        <v>5871</v>
      </c>
      <c r="B5872" s="2" t="inlineStr"/>
      <c r="C5872" s="2" t="n">
        <v>8372</v>
      </c>
      <c r="D5872" s="3" t="inlineStr">
        <is>
          <t>Собака, которая умела петь</t>
        </is>
      </c>
      <c r="E5872" s="2" t="n">
        <v>1991</v>
      </c>
      <c r="F5872" s="2" t="inlineStr">
        <is>
          <t>телефильм</t>
        </is>
      </c>
      <c r="G5872" s="2" t="n"/>
      <c r="H5872" s="2" t="n">
        <v>396</v>
      </c>
      <c r="I5872" s="2" t="inlineStr"/>
      <c r="J5872" s="2" t="inlineStr"/>
      <c r="K5872" s="3" t="inlineStr">
        <is>
          <t>Телефильм по рассказу Джека Лондона "Майкл, брат Джерри" о дружбе человека и собаки. Много приключений выпало на долю красивого пса по кличке Майкл. Его много раз крали и продавали, он жил и у добрых, и у жестоких хозяев, и даже выступал на арене цирка. И вот, во время своих нелёгких скитаний, Майкл попадает в руки к одинокому моряку Дагу, который, рискуя потерять работу, берет собаку с собой.</t>
        </is>
      </c>
      <c r="L5872" s="2" t="inlineStr">
        <is>
          <t>Кино_СССР сводный каталог.xlsx: список телефильмов</t>
        </is>
      </c>
      <c r="M5872" s="2">
        <f>HYPERLINK("https://ru.wikipedia.org/w/index.php?search=%D0%A1%D0%BE%D0%B1%D0%B0%D0%BA%D0%B0%2C%20%D0%BA%D0%BE%D1%82%D0%BE%D1%80%D0%B0%D1%8F%20%D1%83%D0%BC%D0%B5%D0%BB%D0%B0%20%D0%BF%D0%B5%D1%82%D1%8C%201991%20%D1%84%D0%B8%D0%BB%D1%8C%D0%BC","искать")</f>
        <v/>
      </c>
      <c r="N5872" s="3" t="n"/>
      <c r="O5872" s="2" t="n"/>
      <c r="P5872" s="2" t="n"/>
    </row>
    <row r="5873">
      <c r="A5873" s="2" t="n">
        <v>5872</v>
      </c>
      <c r="B5873" s="2" t="inlineStr"/>
      <c r="C5873" s="2" t="n">
        <v>12740</v>
      </c>
      <c r="D5873" s="3" t="inlineStr">
        <is>
          <t>Хитрая задачка</t>
        </is>
      </c>
      <c r="E5873" s="2" t="n">
        <v>1988</v>
      </c>
      <c r="F5873" s="2" t="inlineStr">
        <is>
          <t>мультфильм</t>
        </is>
      </c>
      <c r="G5873" s="2" t="inlineStr">
        <is>
          <t>АЗЕРБАЙДЖАНФИЛЬМ</t>
        </is>
      </c>
      <c r="H5873" s="2" t="n">
        <v>396</v>
      </c>
      <c r="I5873" s="2" t="inlineStr"/>
      <c r="J5873" s="2" t="inlineStr"/>
      <c r="K5873" s="3" t="inlineStr">
        <is>
          <t>Всем известна старая логическая задачка: "Пастуху надо переправить через реку охапку сена, ягненка и волка. Всякий раз он может взять в лодку только что-то одно. Как ему поступить, чтобы и сено и ягненок и волк остались целыми?". В фильме рассказыватся о том, как маленький Ягненок, заставив Волка задуматься над этим вопросом, не только избежал гибели в волчьей пасти, но и подружился с хищником</t>
        </is>
      </c>
      <c r="L5873" s="2" t="inlineStr">
        <is>
          <t>https://gosfilmofond.ru/films/240711/</t>
        </is>
      </c>
      <c r="M5873" s="2">
        <f>HYPERLINK("https://ru.wikipedia.org/w/index.php?search=%D0%A5%D0%B8%D1%82%D1%80%D0%B0%D1%8F%20%D0%B7%D0%B0%D0%B4%D0%B0%D1%87%D0%BA%D0%B0%201988%20%D1%84%D0%B8%D0%BB%D1%8C%D0%BC","искать")</f>
        <v/>
      </c>
      <c r="N5873" s="3" t="n"/>
      <c r="O5873" s="2" t="n"/>
      <c r="P5873" s="2" t="n"/>
    </row>
    <row r="5874">
      <c r="A5874" s="2" t="n">
        <v>5873</v>
      </c>
      <c r="B5874" s="2" t="inlineStr"/>
      <c r="C5874" s="2" t="n">
        <v>12820</v>
      </c>
      <c r="D5874" s="3" t="inlineStr">
        <is>
          <t>Любовь и кибернетика</t>
        </is>
      </c>
      <c r="E5874" s="2" t="n">
        <v>1966</v>
      </c>
      <c r="F5874" s="2" t="inlineStr">
        <is>
          <t>мультфильм</t>
        </is>
      </c>
      <c r="G5874" s="2" t="inlineStr">
        <is>
          <t>ГРУЗИЯ-ФИЛЬМ - АО</t>
        </is>
      </c>
      <c r="H5874" s="2" t="n">
        <v>396</v>
      </c>
      <c r="I5874" s="2" t="inlineStr"/>
      <c r="J5874" s="2" t="inlineStr"/>
      <c r="K5874" s="3" t="inlineStr">
        <is>
          <t>Молодые ученые-кибернетики Евтихий и Лия любят друг друга. Однако признаться в своем чувстве стесняются. Каждый из них создает био-электронное устройство и посылает вместо себя для объяснения в любви. Но случилось так, что при встрече оба кибера коснулись друг друга, протзошло короткое замыкание и оба робота вышли из строя. Теперь влюбленные вынуждены сами объясняться. Но они об этом не жалеют</t>
        </is>
      </c>
      <c r="L5874" s="2" t="inlineStr">
        <is>
          <t>https://gosfilmofond.ru/films/254231/</t>
        </is>
      </c>
      <c r="M5874" s="2">
        <f>HYPERLINK("https://ru.wikipedia.org/w/index.php?search=%D0%9B%D1%8E%D0%B1%D0%BE%D0%B2%D1%8C%20%D0%B8%20%D0%BA%D0%B8%D0%B1%D0%B5%D1%80%D0%BD%D0%B5%D1%82%D0%B8%D0%BA%D0%B0%201966%20%D1%84%D0%B8%D0%BB%D1%8C%D0%BC","искать")</f>
        <v/>
      </c>
      <c r="N5874" s="3" t="n"/>
      <c r="O5874" s="2" t="n"/>
      <c r="P5874" s="2" t="n"/>
    </row>
    <row r="5875">
      <c r="A5875" s="2" t="n">
        <v>5874</v>
      </c>
      <c r="B5875" s="2" t="inlineStr"/>
      <c r="C5875" s="2" t="n">
        <v>7354</v>
      </c>
      <c r="D5875" s="3" t="inlineStr">
        <is>
          <t>Возвращение Будулая</t>
        </is>
      </c>
      <c r="E5875" s="2" t="n">
        <v>1985</v>
      </c>
      <c r="F5875" s="2" t="inlineStr">
        <is>
          <t>телефильм</t>
        </is>
      </c>
      <c r="G5875" s="2" t="inlineStr">
        <is>
          <t>Творческое объединение «Экран»</t>
        </is>
      </c>
      <c r="H5875" s="2" t="n">
        <v>397</v>
      </c>
      <c r="I5875" s="2" t="inlineStr"/>
      <c r="J5875" s="2" t="inlineStr"/>
      <c r="K5875" s="3" t="inlineStr">
        <is>
          <t>Бандиты жестоко избили Будулая, и память не возвращалась к нему более полугода. Только случайная встреча с сыном Ваней, который узнал от матери, кто его настоящий отец, помогла цыгану вспомнить своё прошлое.
Будулай решает найти преступников. Ему помогают друзья и милиция. После того как бандиты оказываются за решёткой, цыган возвращается к Клавдии и любимому сыну на донской хутор Пухляковский.</t>
        </is>
      </c>
      <c r="L5875" s="2" t="inlineStr">
        <is>
          <t>https://ru.wikipedia.org/w/index.php?title=%D0%92%D0%BE%D0%B7%D0%B2%D1%80%D0%B0%D1%89%D0%B5%D0%BD%D0%B8%D0%B5_%D0%91%D1%83%D0%B4%D1%83%D0%BB%D0%B0%D1%8F&amp;oldid=151799550</t>
        </is>
      </c>
      <c r="M5875" s="2">
        <f>HYPERLINK("https://ru.wikipedia.org/w/index.php?search=%D0%92%D0%BE%D0%B7%D0%B2%D1%80%D0%B0%D1%89%D0%B5%D0%BD%D0%B8%D0%B5%20%D0%91%D1%83%D0%B4%D1%83%D0%BB%D0%B0%D1%8F%201985%20%D1%84%D0%B8%D0%BB%D1%8C%D0%BC","искать")</f>
        <v/>
      </c>
      <c r="N5875" s="3" t="n"/>
      <c r="O5875" s="2" t="n"/>
      <c r="P5875" s="2" t="n"/>
    </row>
    <row r="5876">
      <c r="A5876" s="2" t="n">
        <v>5875</v>
      </c>
      <c r="B5876" s="2" t="inlineStr"/>
      <c r="C5876" s="2" t="n">
        <v>8958</v>
      </c>
      <c r="D5876" s="3" t="inlineStr">
        <is>
          <t>Последнее путешествие Каипа</t>
        </is>
      </c>
      <c r="E5876" s="2" t="n">
        <v>1989</v>
      </c>
      <c r="F5876" s="2" t="inlineStr">
        <is>
          <t>кинофильм</t>
        </is>
      </c>
      <c r="G5876" s="2" t="n"/>
      <c r="H5876" s="2" t="n">
        <v>397</v>
      </c>
      <c r="I5876" s="2" t="inlineStr"/>
      <c r="J5876" s="2" t="inlineStr"/>
      <c r="K5876" s="3" t="inlineStr">
        <is>
          <t>По мотивам одноименной повести Тимура Пулатова. Фильм погружает нас в мир героя, старого рыбака, в конце жизни совершающего путешествие назад, в собственные детство и юность, пытающегося осмыслить запутанные обстоятельства собственной жизни, понять смысл прожитого. Каип выполняет последний долг - он возвращается на родной берег, где родился, вырос и полюбил на всю жизнь прекрасную девушку Айшу.</t>
        </is>
      </c>
      <c r="L5876" s="2" t="inlineStr">
        <is>
          <t>Кино_СССР сводный каталог.xlsx: список фильмов (доп.)</t>
        </is>
      </c>
      <c r="M5876" s="2">
        <f>HYPERLINK("https://ru.wikipedia.org/w/index.php?search=%D0%9F%D0%BE%D1%81%D0%BB%D0%B5%D0%B4%D0%BD%D0%B5%D0%B5%20%D0%BF%D1%83%D1%82%D0%B5%D1%88%D0%B5%D1%81%D1%82%D0%B2%D0%B8%D0%B5%20%D0%9A%D0%B0%D0%B8%D0%BF%D0%B0%201989%20%D1%84%D0%B8%D0%BB%D1%8C%D0%BC","искать")</f>
        <v/>
      </c>
      <c r="N5876" s="3" t="n"/>
      <c r="O5876" s="2" t="n"/>
      <c r="P5876" s="2" t="n"/>
    </row>
    <row r="5877">
      <c r="A5877" s="2" t="n">
        <v>5876</v>
      </c>
      <c r="B5877" s="2" t="inlineStr"/>
      <c r="C5877" s="2" t="n">
        <v>9682</v>
      </c>
      <c r="D5877" s="3" t="inlineStr">
        <is>
          <t>Сын</t>
        </is>
      </c>
      <c r="E5877" s="2" t="n">
        <v>1989</v>
      </c>
      <c r="F5877" s="2" t="inlineStr">
        <is>
          <t>кинофильм</t>
        </is>
      </c>
      <c r="G5877" s="2" t="n"/>
      <c r="H5877" s="2" t="n">
        <v>397</v>
      </c>
      <c r="I5877" s="2" t="inlineStr"/>
      <c r="J5877" s="2" t="inlineStr"/>
      <c r="K5877" s="3" t="inlineStr">
        <is>
          <t>Военные годы. На плечи юного Батыра ложатся заботы о матери и новорожденной сестренке. Отец мальчика, известный в селении мастер игры на дутаре, погиб на фронте. Батыр решает овладеть сложным искусством дутариста. Но идет война — и в тылу не до музыкальных школ. Однако настойчивый мальчуган покоряет сложный инструмент — и мать с радостью замечает, что в ее доме появился самостоятельный мужчина.</t>
        </is>
      </c>
      <c r="L5877" s="2" t="inlineStr">
        <is>
          <t>Кино_СССР сводный каталог.xlsx: список фильмов (доп.)</t>
        </is>
      </c>
      <c r="M5877" s="2">
        <f>HYPERLINK("https://ru.wikipedia.org/w/index.php?search=%D0%A1%D1%8B%D0%BD%201989%20%D1%84%D0%B8%D0%BB%D1%8C%D0%BC","искать")</f>
        <v/>
      </c>
      <c r="N5877" s="3" t="n"/>
      <c r="O5877" s="2" t="n"/>
      <c r="P5877" s="2" t="inlineStr">
        <is>
          <t>ГФФ: «СЫН» 1990 — год отличается, проверить — по сверке другой фильм, не предложено</t>
        </is>
      </c>
    </row>
    <row r="5878">
      <c r="A5878" s="2" t="n">
        <v>5877</v>
      </c>
      <c r="B5878" s="2" t="inlineStr"/>
      <c r="C5878" s="2" t="n">
        <v>10355</v>
      </c>
      <c r="D5878" s="3" t="inlineStr">
        <is>
          <t>До востребования</t>
        </is>
      </c>
      <c r="E5878" s="2" t="n">
        <v>1970</v>
      </c>
      <c r="F5878" s="2" t="inlineStr">
        <is>
          <t>фильм-спектакль</t>
        </is>
      </c>
      <c r="G5878" s="2" t="inlineStr">
        <is>
          <t>Ленинградское телевидение</t>
        </is>
      </c>
      <c r="H5878" s="2" t="n">
        <v>397</v>
      </c>
      <c r="I5878" s="2" t="inlineStr"/>
      <c r="J5878" s="2" t="inlineStr"/>
      <c r="K5878" s="3" t="inlineStr">
        <is>
          <t>По пьесе Вл.Полякова о сотрудниках маленького почтового отделения, которые философски замечают, что все мы — люди до востребования. И оживаем лишь в тот момент, когда становимся востребованы. Вопрос лишь в том, что ты лично сделал, чтобы оказаться таковым. Написал ли книгу, признался в любви женщине, схватил преступника? Все это и многое другое происходит на маленькой почте заброшенной станции.</t>
        </is>
      </c>
      <c r="L5878" s="2" t="inlineStr">
        <is>
          <t>https://www.kino-teatr.ru/teatr/movie/91931/annot/</t>
        </is>
      </c>
      <c r="M5878" s="2">
        <f>HYPERLINK("https://ru.wikipedia.org/w/index.php?search=%D0%94%D0%BE%20%D0%B2%D0%BE%D1%81%D1%82%D1%80%D0%B5%D0%B1%D0%BE%D0%B2%D0%B0%D0%BD%D0%B8%D1%8F%201970%20%D1%84%D0%B8%D0%BB%D1%8C%D0%BC","искать")</f>
        <v/>
      </c>
      <c r="N5878" s="3" t="n"/>
      <c r="O5878" s="2" t="n"/>
      <c r="P5878" s="2" t="n"/>
    </row>
    <row r="5879">
      <c r="A5879" s="2" t="n">
        <v>5878</v>
      </c>
      <c r="B5879" s="2" t="inlineStr"/>
      <c r="C5879" s="2" t="n">
        <v>11606</v>
      </c>
      <c r="D5879" s="3" t="inlineStr">
        <is>
          <t>Приключения огуречика</t>
        </is>
      </c>
      <c r="E5879" s="2" t="n">
        <v>1970</v>
      </c>
      <c r="F5879" s="2" t="inlineStr">
        <is>
          <t>мультфильм</t>
        </is>
      </c>
      <c r="G5879" s="2" t="inlineStr">
        <is>
          <t>Союзмультфильм</t>
        </is>
      </c>
      <c r="H5879" s="2" t="n">
        <v>397</v>
      </c>
      <c r="I5879" s="2" t="inlineStr"/>
      <c r="J5879" s="2" t="inlineStr"/>
      <c r="K5879" s="3" t="inlineStr">
        <is>
          <t>С детства Огуречик, слушая колыбельную песенку мамы, привык к тому, что бояться ему в жизни надо только мышей. Однажды он решает уйти из дому погулять, по пути он сажает в гнездо выпавшего птенца, спасает из пруда Цыпленка, мирит ссорящихся Щенка и Котенка. Возвращаясь, он видит серого зверька, который тащит что-то с их огорода, и прогоняет его. Только потом узнает Огуречик, что он прогнал мышь</t>
        </is>
      </c>
      <c r="L5879" s="2" t="inlineStr">
        <is>
          <t>https://gosfilmofond.ru/films/255171/</t>
        </is>
      </c>
      <c r="M5879" s="2">
        <f>HYPERLINK("https://ru.wikipedia.org/w/index.php?search=%D0%9F%D1%80%D0%B8%D0%BA%D0%BB%D1%8E%D1%87%D0%B5%D0%BD%D0%B8%D1%8F%20%D0%BE%D0%B3%D1%83%D1%80%D0%B5%D1%87%D0%B8%D0%BA%D0%B0%201970%20%D1%84%D0%B8%D0%BB%D1%8C%D0%BC","искать")</f>
        <v/>
      </c>
      <c r="N5879" s="3" t="n"/>
      <c r="O5879" s="2" t="n"/>
      <c r="P5879" s="2" t="n"/>
    </row>
    <row r="5880">
      <c r="A5880" s="2" t="n">
        <v>5879</v>
      </c>
      <c r="B5880" s="2" t="inlineStr"/>
      <c r="C5880" s="2" t="n">
        <v>10684</v>
      </c>
      <c r="D5880" s="3" t="inlineStr">
        <is>
          <t>Дело Боброва</t>
        </is>
      </c>
      <c r="E5880" s="2" t="n">
        <v>1977</v>
      </c>
      <c r="F5880" s="2" t="inlineStr">
        <is>
          <t>фильм-спектакль</t>
        </is>
      </c>
      <c r="G5880" s="2" t="inlineStr">
        <is>
          <t>Центральное телевидение</t>
        </is>
      </c>
      <c r="H5880" s="2" t="n">
        <v>398</v>
      </c>
      <c r="I5880" s="2" t="inlineStr"/>
      <c r="J5880" s="2" t="inlineStr"/>
      <c r="K5880" s="3" t="inlineStr">
        <is>
          <t>По одноименной пьесе Валентина Черных в постановке Воронежского академического драматического театра имени А.В. Кольцова.
В центре телеспектакля - образ молодого энергичного председателя колхоза Семёна Боброва, увлеченного идеей создания проекта новой деревни. Бобров вовлекает в свои планы реконструкции деревни архитекторов-дипломников, среди которых встречает Клару Вересову - свою будущую жену.</t>
        </is>
      </c>
      <c r="L5880" s="2" t="inlineStr">
        <is>
          <t>https://www.kino-teatr.ru/teatr/movie/105779/annot/</t>
        </is>
      </c>
      <c r="M5880" s="2">
        <f>HYPERLINK("https://ru.wikipedia.org/w/index.php?search=%D0%94%D0%B5%D0%BB%D0%BE%20%D0%91%D0%BE%D0%B1%D1%80%D0%BE%D0%B2%D0%B0%201977%20%D1%84%D0%B8%D0%BB%D1%8C%D0%BC","искать")</f>
        <v/>
      </c>
      <c r="N5880" s="3" t="n"/>
      <c r="O5880" s="2" t="n"/>
      <c r="P5880" s="2" t="n"/>
    </row>
    <row r="5881">
      <c r="A5881" s="2" t="n">
        <v>5880</v>
      </c>
      <c r="B5881" s="2" t="inlineStr"/>
      <c r="C5881" s="2" t="n">
        <v>12341</v>
      </c>
      <c r="D5881" s="3" t="inlineStr">
        <is>
          <t>Волшебные очки</t>
        </is>
      </c>
      <c r="E5881" s="2" t="n">
        <v>1970</v>
      </c>
      <c r="F5881" s="2" t="inlineStr">
        <is>
          <t>мультфильм</t>
        </is>
      </c>
      <c r="G5881" s="2" t="inlineStr">
        <is>
          <t>КИЕВНАУЧФИЛЬМ</t>
        </is>
      </c>
      <c r="H5881" s="2" t="n">
        <v>398</v>
      </c>
      <c r="I5881" s="2" t="inlineStr"/>
      <c r="J5881" s="2" t="inlineStr"/>
      <c r="K5881" s="3" t="inlineStr">
        <is>
          <t>По мотивам сказки Лео Мура "Совенок и очки". Маленький Совенок, услышав, как его дедушка дает мудрые советы лесным жителям, решил, что помогают ему волшебные очки. Совенок думал, что, стащив очки, он станет таким же мудрым, как дед. Но советы, которые дает Совенок зверюшкам, один нелепее другого. наконец, очки случайно разбились, и тогда Совенок задумывается: а правда ли , что очки волшебные...?</t>
        </is>
      </c>
      <c r="L5881" s="2" t="inlineStr">
        <is>
          <t>https://gosfilmofond.ru/films/254789/</t>
        </is>
      </c>
      <c r="M5881" s="2">
        <f>HYPERLINK("https://ru.wikipedia.org/w/index.php?search=%D0%92%D0%BE%D0%BB%D1%88%D0%B5%D0%B1%D0%BD%D1%8B%D0%B5%20%D0%BE%D1%87%D0%BA%D0%B8%201970%20%D1%84%D0%B8%D0%BB%D1%8C%D0%BC","искать")</f>
        <v/>
      </c>
      <c r="N5881" s="3" t="n"/>
      <c r="O5881" s="2" t="n"/>
      <c r="P5881" s="2" t="n"/>
    </row>
    <row r="5882">
      <c r="A5882" s="2" t="n">
        <v>5881</v>
      </c>
      <c r="B5882" s="2" t="inlineStr"/>
      <c r="C5882" s="2" t="n">
        <v>7557</v>
      </c>
      <c r="D5882" s="3" t="inlineStr">
        <is>
          <t>Доченька</t>
        </is>
      </c>
      <c r="E5882" s="2" t="n">
        <v>1987</v>
      </c>
      <c r="F5882" s="2" t="inlineStr">
        <is>
          <t>телефильм</t>
        </is>
      </c>
      <c r="G5882" s="2" t="n"/>
      <c r="H5882" s="2" t="n">
        <v>399</v>
      </c>
      <c r="I5882" s="2" t="inlineStr"/>
      <c r="J5882" s="2" t="inlineStr"/>
      <c r="K5882" s="3" t="inlineStr">
        <is>
          <t>Юрия Степановича Ипатова, занимавшего высокий пост, за финансовые нарушения сняли с работы. Осознав и глубоко пережив свою вину, он решает пойти рядовым рабочим на завод, где когда-то начинал трудовую деятельность. Однако, принимая такое решение, Ипатов не ожидал, что его любимая дочь Наташа не только не одобрит этого поступка, но и сочтет унизительным для себя быть дочерью "маленького" человека.</t>
        </is>
      </c>
      <c r="L5882" s="2" t="inlineStr">
        <is>
          <t>Кино_СССР сводный каталог.xlsx: список телефильмов</t>
        </is>
      </c>
      <c r="M5882" s="2">
        <f>HYPERLINK("https://ru.wikipedia.org/w/index.php?search=%D0%94%D0%BE%D1%87%D0%B5%D0%BD%D1%8C%D0%BA%D0%B0%201987%20%D1%84%D0%B8%D0%BB%D1%8C%D0%BC","искать")</f>
        <v/>
      </c>
      <c r="N5882" s="3" t="n"/>
      <c r="O5882" s="2" t="n"/>
      <c r="P5882" s="2" t="n"/>
    </row>
    <row r="5883">
      <c r="A5883" s="2" t="n">
        <v>5882</v>
      </c>
      <c r="B5883" s="2" t="inlineStr"/>
      <c r="C5883" s="2" t="n">
        <v>7659</v>
      </c>
      <c r="D5883" s="3" t="inlineStr">
        <is>
          <t>И завтра жить</t>
        </is>
      </c>
      <c r="E5883" s="2" t="n">
        <v>1987</v>
      </c>
      <c r="F5883" s="2" t="inlineStr">
        <is>
          <t>телефильм</t>
        </is>
      </c>
      <c r="G5883" s="2" t="n"/>
      <c r="H5883" s="2" t="n">
        <v>399</v>
      </c>
      <c r="I5883" s="2" t="inlineStr"/>
      <c r="J5883" s="2" t="inlineStr"/>
      <c r="K5883" s="3" t="inlineStr">
        <is>
          <t>В годы перестройки молодому и способному руководителю Игорю Шитикову предлагают возглавить отстающий колхоз. После обновления он смог бы снабжать заводчан крупного промышленного объединения сельскохозяйственной продукцией. Но вопрос о реорганизации колхоза полномочен решить лишь сельский сход... Телефильм основан на реальных фактах деятельности Белгородского промышленного объединения "Энергомаш".</t>
        </is>
      </c>
      <c r="L5883" s="2" t="inlineStr">
        <is>
          <t>Кино_СССР сводный каталог.xlsx: список телефильмов</t>
        </is>
      </c>
      <c r="M5883" s="2">
        <f>HYPERLINK("https://ru.wikipedia.org/w/index.php?search=%D0%98%20%D0%B7%D0%B0%D0%B2%D1%82%D1%80%D0%B0%20%D0%B6%D0%B8%D1%82%D1%8C%201987%20%D1%84%D0%B8%D0%BB%D1%8C%D0%BC","искать")</f>
        <v/>
      </c>
      <c r="N5883" s="3" t="n"/>
      <c r="O5883" s="2" t="n"/>
      <c r="P5883" s="2" t="n"/>
    </row>
    <row r="5884">
      <c r="A5884" s="2" t="n">
        <v>5883</v>
      </c>
      <c r="B5884" s="2" t="inlineStr"/>
      <c r="C5884" s="2" t="n">
        <v>9233</v>
      </c>
      <c r="D5884" s="3" t="inlineStr">
        <is>
          <t>Белый танец</t>
        </is>
      </c>
      <c r="E5884" s="2" t="n">
        <v>1981</v>
      </c>
      <c r="F5884" s="2" t="inlineStr">
        <is>
          <t>кинофильм</t>
        </is>
      </c>
      <c r="G5884" s="2" t="n"/>
      <c r="H5884" s="2" t="n">
        <v>399</v>
      </c>
      <c r="I5884" s="2" t="inlineStr"/>
      <c r="J5884" s="2" t="inlineStr"/>
      <c r="K5884" s="3" t="inlineStr">
        <is>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is>
      </c>
      <c r="L5884" s="2" t="inlineStr">
        <is>
          <t>Кино_СССР сводный каталог.xlsx: список фильмов (доп.)</t>
        </is>
      </c>
      <c r="M5884" s="2">
        <f>HYPERLINK("https://ru.wikipedia.org/w/index.php?search=%D0%91%D0%B5%D0%BB%D1%8B%D0%B9%20%D1%82%D0%B0%D0%BD%D0%B5%D1%86%201981%20%D1%84%D0%B8%D0%BB%D1%8C%D0%BC","искать")</f>
        <v/>
      </c>
      <c r="N5884" s="3" t="n"/>
      <c r="O5884" s="2" t="n"/>
      <c r="P5884" s="2" t="n"/>
    </row>
    <row r="5885">
      <c r="A5885" s="2" t="n">
        <v>5884</v>
      </c>
      <c r="B5885" s="2" t="inlineStr"/>
      <c r="C5885" s="2" t="n">
        <v>10144</v>
      </c>
      <c r="D5885" s="3" t="inlineStr">
        <is>
          <t>Корабли в Лиссе</t>
        </is>
      </c>
      <c r="E5885" s="2" t="n">
        <v>1965</v>
      </c>
      <c r="F5885" s="2" t="inlineStr">
        <is>
          <t>фильм-спектакль</t>
        </is>
      </c>
      <c r="G5885" s="2" t="inlineStr">
        <is>
          <t>Ленинградское телевидение</t>
        </is>
      </c>
      <c r="H5885" s="2" t="n">
        <v>399</v>
      </c>
      <c r="I5885" s="2" t="inlineStr"/>
      <c r="J5885" s="2" t="inlineStr"/>
      <c r="K5885" s="3" t="inlineStr">
        <is>
          <t>В порту Лисса оказались заблокированы пять торговых судов — их выходу в открытое море препятствовал вражеский корсар. Судя по всему, Гринландия или её метрополия находились в состоянии войны с одной из морских держав. Четверо шкиперов заперли свои корабли в гавани и теперь сидели в таверне «Забудь печаль», ломая головы над тем, как обмануть неприятельского корсара и вырваться на морские просторы.</t>
        </is>
      </c>
      <c r="L5885" s="2" t="inlineStr">
        <is>
          <t>https://ru.wikipedia.org/w/index.php?title=%D0%9A%D0%BE%D1%80%D0%B0%D0%B1%D0%BB%D0%B8_%D0%B2_%D0%9B%D0%B8%D1%81%D1%81%D0%B5_%28%D1%84%D0%B8%D0%BB%D1%8C%D0%BC%2C_1965%29&amp;oldid=155001070</t>
        </is>
      </c>
      <c r="M5885" s="2">
        <f>HYPERLINK("https://ru.wikipedia.org/w/index.php?search=%D0%9A%D0%BE%D1%80%D0%B0%D0%B1%D0%BB%D0%B8%20%D0%B2%20%D0%9B%D0%B8%D1%81%D1%81%D0%B5%201965%20%D1%84%D0%B8%D0%BB%D1%8C%D0%BC","искать")</f>
        <v/>
      </c>
      <c r="N5885" s="3" t="n"/>
      <c r="O5885" s="2" t="n"/>
      <c r="P5885" s="2" t="n"/>
    </row>
    <row r="5886">
      <c r="A5886" s="2" t="n">
        <v>5885</v>
      </c>
      <c r="B5886" s="2" t="inlineStr"/>
      <c r="C5886" s="2" t="n">
        <v>10218</v>
      </c>
      <c r="D5886" s="3" t="inlineStr">
        <is>
          <t>Северо-западнее Берлина</t>
        </is>
      </c>
      <c r="E5886" s="2" t="n">
        <v>1967</v>
      </c>
      <c r="F5886" s="2" t="inlineStr">
        <is>
          <t>фильм-спектакль</t>
        </is>
      </c>
      <c r="G5886" s="2" t="inlineStr">
        <is>
          <t>Центральное телевидение</t>
        </is>
      </c>
      <c r="H5886" s="2" t="n">
        <v>399</v>
      </c>
      <c r="I5886" s="2" t="inlineStr"/>
      <c r="J5886" s="2" t="inlineStr"/>
      <c r="K5886" s="3" t="inlineStr">
        <is>
          <t>По одноименной пьесе Севера Гансовского.
Действие происходит в последние дни Великой Отечественной войны. Воинское подразделение освободило из плена солдата. Оказалось, что в этом подразделении служит медсестрой его невеста. Но солдат, лицо которого было изуродовано фашистами, не решался встретиться с ней. Только после гибели солдата, его невеста узнает, что рядом с ней находился любимый человек.</t>
        </is>
      </c>
      <c r="L5886" s="2" t="inlineStr">
        <is>
          <t>https://www.kino-teatr.ru/teatr/movie/14528/annot/</t>
        </is>
      </c>
      <c r="M5886" s="2">
        <f>HYPERLINK("https://ru.wikipedia.org/w/index.php?search=%D0%A1%D0%B5%D0%B2%D0%B5%D1%80%D0%BE-%D0%B7%D0%B0%D0%BF%D0%B0%D0%B4%D0%BD%D0%B5%D0%B5%20%D0%91%D0%B5%D1%80%D0%BB%D0%B8%D0%BD%D0%B0%201967%20%D1%84%D0%B8%D0%BB%D1%8C%D0%BC","искать")</f>
        <v/>
      </c>
      <c r="N5886" s="3" t="n"/>
      <c r="O5886" s="2" t="n"/>
      <c r="P5886" s="2" t="n"/>
    </row>
    <row r="5887">
      <c r="A5887" s="2" t="n">
        <v>5886</v>
      </c>
      <c r="B5887" s="2" t="inlineStr"/>
      <c r="C5887" s="2" t="n">
        <v>10761</v>
      </c>
      <c r="D5887" s="3" t="inlineStr">
        <is>
          <t>На полпути к вершине</t>
        </is>
      </c>
      <c r="E5887" s="2" t="n">
        <v>1978</v>
      </c>
      <c r="F5887" s="2" t="inlineStr">
        <is>
          <t>фильм-спектакль</t>
        </is>
      </c>
      <c r="G5887" s="2" t="n"/>
      <c r="H5887" s="2" t="n">
        <v>399</v>
      </c>
      <c r="I5887" s="2" t="inlineStr"/>
      <c r="J5887" s="2" t="inlineStr"/>
      <c r="K5887" s="3" t="inlineStr">
        <is>
          <t>Англия второй половины XX века. После длительной военной службы за рубежом возвращается домой генерал Фицбатресс. Дома его его встречают уже взрослые сын хиппи, беременная дочь. Генерал искренне пытается понять жизненные принципы жены и детей. В спектакле довольно с неожиданной стороны показана проблема отцов и детей на фоне великолепной игры актеров. Спектакль поставлен по пьесе Питера Устинова.</t>
        </is>
      </c>
      <c r="L5887" s="2" t="inlineStr">
        <is>
          <t>https://www.kino-teatr.ru/teatr/movie/37670/annot/</t>
        </is>
      </c>
      <c r="M5887" s="2">
        <f>HYPERLINK("https://ru.wikipedia.org/w/index.php?search=%D0%9D%D0%B0%20%D0%BF%D0%BE%D0%BB%D0%BF%D1%83%D1%82%D0%B8%20%D0%BA%20%D0%B2%D0%B5%D1%80%D1%88%D0%B8%D0%BD%D0%B5%201978%20%D1%84%D0%B8%D0%BB%D1%8C%D0%BC","искать")</f>
        <v/>
      </c>
      <c r="N5887" s="3" t="n"/>
      <c r="O5887" s="2" t="n"/>
      <c r="P5887" s="2" t="n"/>
    </row>
    <row r="5888">
      <c r="A5888" s="2" t="n">
        <v>5887</v>
      </c>
      <c r="B5888" s="2" t="inlineStr"/>
      <c r="C5888" s="2" t="n">
        <v>13251</v>
      </c>
      <c r="D5888" s="3" t="inlineStr">
        <is>
          <t>Парк</t>
        </is>
      </c>
      <c r="E5888" s="2" t="n">
        <v>1966</v>
      </c>
      <c r="F5888" s="2" t="inlineStr">
        <is>
          <t>мультфильм</t>
        </is>
      </c>
      <c r="G5888" s="2" t="inlineStr">
        <is>
          <t>ТАЛЛИННФИЛЬМ</t>
        </is>
      </c>
      <c r="H5888" s="2" t="n">
        <v>399</v>
      </c>
      <c r="I5888" s="2" t="inlineStr"/>
      <c r="J5888" s="2" t="inlineStr"/>
      <c r="K5888" s="3" t="inlineStr">
        <is>
          <t>В одном городе парк был совсем заброшенным. И архитекторы разработали новый проект парка. Когда же разбитый по этому проекту парк открыли, то выяснилось, что людям негде гулять - кругом запрещающие таблички. Снова разрабатывается очередной проект, снова в парке кипит работа. Вырубаются старые деревья, сажаются новые, старую дорогоу ломают, новую прокладывают. И парк становится совсем непроходимым</t>
        </is>
      </c>
      <c r="L5888" s="2" t="inlineStr">
        <is>
          <t>https://gosfilmofond.ru/films/254239/</t>
        </is>
      </c>
      <c r="M5888" s="2">
        <f>HYPERLINK("https://ru.wikipedia.org/w/index.php?search=%D0%9F%D0%B0%D1%80%D0%BA%201966%20%D1%84%D0%B8%D0%BB%D1%8C%D0%BC","искать")</f>
        <v/>
      </c>
      <c r="N5888" s="3" t="n"/>
      <c r="O5888" s="2" t="n"/>
      <c r="P5888" s="2" t="n"/>
    </row>
    <row r="5889">
      <c r="A5889" s="2" t="n">
        <v>5888</v>
      </c>
      <c r="B5889" s="2" t="inlineStr"/>
      <c r="C5889" s="2" t="n">
        <v>7364</v>
      </c>
      <c r="D5889" s="3" t="inlineStr">
        <is>
          <t>Володя большой, Володя маленький</t>
        </is>
      </c>
      <c r="E5889" s="2" t="n">
        <v>1985</v>
      </c>
      <c r="F5889" s="2" t="inlineStr">
        <is>
          <t>телефильм</t>
        </is>
      </c>
      <c r="G5889" s="2" t="inlineStr">
        <is>
          <t>к/с им. Довженко</t>
        </is>
      </c>
      <c r="H5889" s="2" t="n">
        <v>400</v>
      </c>
      <c r="I5889" s="2" t="inlineStr"/>
      <c r="J5889" s="2" t="inlineStr"/>
      <c r="K5889" s="3" t="inlineStr">
        <is>
          <t>Телефильм по мотивам рассказов Чехова. Действие происходит в захолустном маленьком городке. История жизни супружеской пары - полковника Ягича и его жены Софьи Львовны, молодой женщины, и их друга - военного доктора, которого зовут, как и мужа Сонечки, Владимиром. Отчасти назло Володе маленькому, когда-то не ответившему на ее чувство, Сонечка вышла замуж за Ягича, который старше ее на тридцать лет.</t>
        </is>
      </c>
      <c r="L5889" s="2" t="inlineStr">
        <is>
          <t>Кино_СССР сводный каталог.xlsx: список телефильмов</t>
        </is>
      </c>
      <c r="M5889" s="2">
        <f>HYPERLINK("https://ru.wikipedia.org/w/index.php?search=%D0%92%D0%BE%D0%BB%D0%BE%D0%B4%D1%8F%20%D0%B1%D0%BE%D0%BB%D1%8C%D1%88%D0%BE%D0%B9%2C%20%D0%92%D0%BE%D0%BB%D0%BE%D0%B4%D1%8F%20%D0%BC%D0%B0%D0%BB%D0%B5%D0%BD%D1%8C%D0%BA%D0%B8%D0%B9%201985%20%D1%84%D0%B8%D0%BB%D1%8C%D0%BC","искать")</f>
        <v/>
      </c>
      <c r="N5889" s="3" t="n"/>
      <c r="O5889" s="2" t="n"/>
      <c r="P5889" s="2" t="n"/>
    </row>
    <row r="5890">
      <c r="A5890" s="2" t="n">
        <v>5889</v>
      </c>
      <c r="B5890" s="2" t="inlineStr"/>
      <c r="C5890" s="2" t="n">
        <v>7560</v>
      </c>
      <c r="D5890" s="3" t="inlineStr">
        <is>
          <t>Друг Тыманчи</t>
        </is>
      </c>
      <c r="E5890" s="2" t="n">
        <v>1970</v>
      </c>
      <c r="F5890" s="2" t="inlineStr">
        <is>
          <t>телефильм</t>
        </is>
      </c>
      <c r="G5890" s="2" t="n"/>
      <c r="H5890" s="2" t="n">
        <v>400</v>
      </c>
      <c r="I5890" s="2" t="inlineStr"/>
      <c r="J5890" s="2" t="inlineStr"/>
      <c r="K5890" s="3" t="inlineStr">
        <is>
          <t>Отец мальчика по имени Тыманчи вынужденно застрелил в лесу самку-волчицу, но у неё остался щенок. Отец Тыманчи приносит из леса волчонка своему сыну в посёлок. Тыманчи и щенок очень сдружились. Мальчик нянчился с ним, втайне от матери таскал для волчонка со стола лучшие куски мяса. Однако жившие поблизости люди отрицательно отнеслись к самой идее сожительства волка — грозы оленьих стад — с людьми.</t>
        </is>
      </c>
      <c r="L5890" s="2" t="inlineStr">
        <is>
          <t>https://ru.wikipedia.org/w/index.php?title=%D0%94%D1%80%D1%83%D0%B3_%D0%A2%D1%8B%D0%BC%D0%B0%D0%BD%D1%87%D0%B8&amp;oldid=153492840</t>
        </is>
      </c>
      <c r="M5890" s="2">
        <f>HYPERLINK("https://ru.wikipedia.org/w/index.php?search=%D0%94%D1%80%D1%83%D0%B3%20%D0%A2%D1%8B%D0%BC%D0%B0%D0%BD%D1%87%D0%B8%201970%20%D1%84%D0%B8%D0%BB%D1%8C%D0%BC","искать")</f>
        <v/>
      </c>
      <c r="N5890" s="3" t="n"/>
      <c r="O5890" s="2" t="n"/>
      <c r="P5890" s="2" t="n"/>
    </row>
    <row r="5891">
      <c r="A5891" s="2" t="n">
        <v>5890</v>
      </c>
      <c r="B5891" s="2" t="inlineStr"/>
      <c r="C5891" s="2" t="n">
        <v>8072</v>
      </c>
      <c r="D5891" s="3" t="inlineStr">
        <is>
          <t>Ох, этот ужасный, ужасный телевизор</t>
        </is>
      </c>
      <c r="E5891" s="2" t="n">
        <v>1990</v>
      </c>
      <c r="F5891" s="2" t="inlineStr">
        <is>
          <t>телефильм</t>
        </is>
      </c>
      <c r="G5891" s="2" t="n"/>
      <c r="H5891" s="2" t="n">
        <v>400</v>
      </c>
      <c r="I5891" s="2" t="inlineStr"/>
      <c r="J5891" s="2" t="inlineStr"/>
      <c r="K5891" s="3" t="inlineStr">
        <is>
          <t>Очаровательная, с великолепным мягким юмором, чудесная сказка про любовь... У фотографа Тазо есть почти всё - старая квартира в старом Тбилиси, и дама сердца, и работа, и футбол... Для окончательного счастья не хватает только телевизора. И так уж получилось, что вместо новенькой цветной "Иверии" в телемагазине, он покупает допотопный "ящик" с рук у странного старика, да ещё и по баснословной цене.</t>
        </is>
      </c>
      <c r="L5891" s="2" t="inlineStr">
        <is>
          <t>Кино_СССР сводный каталог.xlsx: список телефильмов</t>
        </is>
      </c>
      <c r="M5891" s="2">
        <f>HYPERLINK("https://ru.wikipedia.org/w/index.php?search=%D0%9E%D1%85%2C%20%D1%8D%D1%82%D0%BE%D1%82%20%D1%83%D0%B6%D0%B0%D1%81%D0%BD%D1%8B%D0%B9%2C%20%D1%83%D0%B6%D0%B0%D1%81%D0%BD%D1%8B%D0%B9%20%D1%82%D0%B5%D0%BB%D0%B5%D0%B2%D0%B8%D0%B7%D0%BE%D1%80%201990%20%D1%84%D0%B8%D0%BB%D1%8C%D0%BC","искать")</f>
        <v/>
      </c>
      <c r="N5891" s="3" t="n"/>
      <c r="O5891" s="2" t="n"/>
      <c r="P5891" s="2" t="n"/>
    </row>
    <row r="5892">
      <c r="A5892" s="2" t="n">
        <v>5891</v>
      </c>
      <c r="B5892" s="2" t="inlineStr"/>
      <c r="C5892" s="2" t="n">
        <v>8797</v>
      </c>
      <c r="D5892" s="3" t="inlineStr">
        <is>
          <t>Летучий голландец</t>
        </is>
      </c>
      <c r="E5892" s="2" t="n">
        <v>1990</v>
      </c>
      <c r="F5892" s="2" t="inlineStr">
        <is>
          <t>кинофильм</t>
        </is>
      </c>
      <c r="G5892" s="2" t="n"/>
      <c r="H5892" s="2" t="n">
        <v>400</v>
      </c>
      <c r="I5892" s="2" t="inlineStr"/>
      <c r="J5892" s="2" t="inlineStr"/>
      <c r="K5892" s="3" t="inlineStr">
        <is>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t>
        </is>
      </c>
      <c r="L5892" s="2" t="inlineStr">
        <is>
          <t>Кино_СССР сводный каталог.xlsx: список фильмов (доп.)</t>
        </is>
      </c>
      <c r="M5892" s="2">
        <f>HYPERLINK("https://ru.wikipedia.org/w/index.php?search=%D0%9B%D0%B5%D1%82%D1%83%D1%87%D0%B8%D0%B9%20%D0%B3%D0%BE%D0%BB%D0%BB%D0%B0%D0%BD%D0%B4%D0%B5%D1%86%201990%20%D1%84%D0%B8%D0%BB%D1%8C%D0%BC","искать")</f>
        <v/>
      </c>
      <c r="N5892" s="3" t="n"/>
      <c r="O5892" s="2" t="n"/>
      <c r="P5892" s="2" t="n"/>
    </row>
    <row r="5893">
      <c r="A5893" s="2" t="n">
        <v>5892</v>
      </c>
      <c r="B5893" s="2" t="inlineStr"/>
      <c r="C5893" s="2" t="n">
        <v>8974</v>
      </c>
      <c r="D5893" s="3" t="inlineStr">
        <is>
          <t>Призраки зелёной комнаты</t>
        </is>
      </c>
      <c r="E5893" s="2" t="n">
        <v>1991</v>
      </c>
      <c r="F5893" s="2" t="inlineStr">
        <is>
          <t>кинофильм</t>
        </is>
      </c>
      <c r="G5893" s="2" t="n"/>
      <c r="H5893" s="2" t="n">
        <v>400</v>
      </c>
      <c r="I5893" s="2" t="inlineStr"/>
      <c r="J5893" s="2" t="inlineStr"/>
      <c r="K5893" s="3" t="inlineStr">
        <is>
          <t>По повести Дж.Б.Пристли «Дженни Вильерс». В Зеленой комнате города Бартон-Спа, своеобразном театральном музее, перед премьерой собрались актеры Лондонского театра. Драматург Мартин Чиверел высказывает свои сомнения о том, что театр способен обрести былое очарование. Оставшись один в Зеленой комнате, Чиверел видит актеров прошлого века и становится свидетелем драмы, происшедшей здесь сто лет назад.</t>
        </is>
      </c>
      <c r="L5893" s="2" t="inlineStr">
        <is>
          <t>Кино_СССР сводный каталог.xlsx: список фильмов (доп.)</t>
        </is>
      </c>
      <c r="M5893" s="2">
        <f>HYPERLINK("https://ru.wikipedia.org/w/index.php?search=%D0%9F%D1%80%D0%B8%D0%B7%D1%80%D0%B0%D0%BA%D0%B8%20%D0%B7%D0%B5%D0%BB%D1%91%D0%BD%D0%BE%D0%B9%20%D0%BA%D0%BE%D0%BC%D0%BD%D0%B0%D1%82%D1%8B%201991%20%D1%84%D0%B8%D0%BB%D1%8C%D0%BC","искать")</f>
        <v/>
      </c>
      <c r="N5893" s="3" t="n"/>
      <c r="O5893" s="2" t="n"/>
      <c r="P5893" s="2" t="n"/>
    </row>
    <row r="5894">
      <c r="A5894" s="2" t="n">
        <v>5893</v>
      </c>
      <c r="B5894" s="2" t="inlineStr"/>
      <c r="C5894" s="2" t="n">
        <v>10894</v>
      </c>
      <c r="D5894" s="3" t="inlineStr">
        <is>
          <t>Неравный бой</t>
        </is>
      </c>
      <c r="E5894" s="2" t="n">
        <v>1981</v>
      </c>
      <c r="F5894" s="2" t="inlineStr">
        <is>
          <t>фильм-спектакль</t>
        </is>
      </c>
      <c r="G5894" s="2" t="inlineStr">
        <is>
          <t>Главная редакция литературно-драматических программ</t>
        </is>
      </c>
      <c r="H5894" s="2" t="n">
        <v>400</v>
      </c>
      <c r="I5894" s="2" t="inlineStr"/>
      <c r="J5894" s="2" t="inlineStr"/>
      <c r="K5894" s="3" t="inlineStr">
        <is>
          <t>По пьесе Виктора Розова.
Действие происходит в пригороде Москвы, где живут главные герои — Слава и Лиза. Они только что окончили среднюю школу, и Слава успешно выдержал экзамены в университет. Молодые люди любят друг друга, но родственники решительно возражают против их встреч, полагая, что это помешает Славе в учёбе. Однако Лизе и Славе удается выстоять в этом неравном бою и защитить свою любовь.</t>
        </is>
      </c>
      <c r="L5894" s="2" t="inlineStr">
        <is>
          <t>https://www.kino-teatr.ru/teatr/movie/137601/annot/</t>
        </is>
      </c>
      <c r="M5894" s="2">
        <f>HYPERLINK("https://ru.wikipedia.org/w/index.php?search=%D0%9D%D0%B5%D1%80%D0%B0%D0%B2%D0%BD%D1%8B%D0%B9%20%D0%B1%D0%BE%D0%B9%201981%20%D1%84%D0%B8%D0%BB%D1%8C%D0%BC","искать")</f>
        <v/>
      </c>
      <c r="N5894" s="3" t="n"/>
      <c r="O5894" s="2" t="n"/>
      <c r="P5894" s="2" t="n"/>
    </row>
    <row r="5895">
      <c r="A5895" s="2" t="n">
        <v>5894</v>
      </c>
      <c r="B5895" s="2" t="inlineStr"/>
      <c r="C5895" s="2" t="n">
        <v>11614</v>
      </c>
      <c r="D5895" s="3" t="inlineStr">
        <is>
          <t>Умка ищет друга</t>
        </is>
      </c>
      <c r="E5895" s="2" t="n">
        <v>1970</v>
      </c>
      <c r="F5895" s="2" t="inlineStr">
        <is>
          <t>мультфильм</t>
        </is>
      </c>
      <c r="G5895" s="2" t="inlineStr">
        <is>
          <t>Союзмультфильм</t>
        </is>
      </c>
      <c r="H5895" s="2" t="n">
        <v>400</v>
      </c>
      <c r="I5895" s="2" t="inlineStr"/>
      <c r="J5895" s="2" t="inlineStr"/>
      <c r="K5895" s="3" t="inlineStr">
        <is>
          <t>Продолжение мультфильма "Умка". Маленький медвежонок Умка скучает без своего друга мальчика и отправляется на его поиски. Он попадает на станцию полярников, где ребятишки веселятся у новогодней елки: заглядывает в окна домов, забегает на радиостанцию. Но нигде своего друга не находит. Спасаясь от преследований повара, у которого он съел торт. Умка забирается в вертолет и улетает на поиски мальчика</t>
        </is>
      </c>
      <c r="L5895" s="2" t="inlineStr">
        <is>
          <t>https://gosfilmofond.ru/films/255180/</t>
        </is>
      </c>
      <c r="M5895" s="2">
        <f>HYPERLINK("https://ru.wikipedia.org/w/index.php?search=%D0%A3%D0%BC%D0%BA%D0%B0%20%D0%B8%D1%89%D0%B5%D1%82%20%D0%B4%D1%80%D1%83%D0%B3%D0%B0%201970%20%D1%84%D0%B8%D0%BB%D1%8C%D0%BC","искать")</f>
        <v/>
      </c>
      <c r="N5895" s="3" t="n"/>
      <c r="O5895" s="2" t="n"/>
      <c r="P5895" s="2" t="n"/>
    </row>
    <row r="5896">
      <c r="A5896" s="2" t="n">
        <v>5895</v>
      </c>
      <c r="B5896" s="2" t="inlineStr"/>
      <c r="C5896" s="2" t="n">
        <v>7462</v>
      </c>
      <c r="D5896" s="3" t="inlineStr">
        <is>
          <t>Гран па в белую ночь</t>
        </is>
      </c>
      <c r="E5896" s="2" t="n">
        <v>1988</v>
      </c>
      <c r="F5896" s="2" t="inlineStr">
        <is>
          <t>телефильм</t>
        </is>
      </c>
      <c r="G5896" s="2" t="inlineStr">
        <is>
          <t>Лентелефильм</t>
        </is>
      </c>
      <c r="H5896" s="2" t="n">
        <v>401</v>
      </c>
      <c r="I5896" s="2" t="inlineStr"/>
      <c r="J5896" s="2" t="inlineStr"/>
      <c r="K5896" s="3" t="inlineStr">
        <is>
          <t>Творческий диалог двух балетных трупп - Ленинградского академического театра оперы и балета им. С.М.Кирова и “Балет XX века” Мориса Бежара. В программе фрагменты балетов П.Чайковского, Л.Минкуса, А.Мачавариани, И.Стравинского, Ле Барса, М.Теодоракиса, П.Гертеля. В июне 1987 года в Петербурге (тогда Ленинграде) гастролировала труппа “Балет XX века” выдающегося хореографа современности Мориса Бежара.</t>
        </is>
      </c>
      <c r="L5896" s="2" t="inlineStr">
        <is>
          <t>Кино_СССР сводный каталог.xlsx: список телефильмов</t>
        </is>
      </c>
      <c r="M5896" s="2">
        <f>HYPERLINK("https://ru.wikipedia.org/w/index.php?search=%D0%93%D1%80%D0%B0%D0%BD%20%D0%BF%D0%B0%20%D0%B2%20%D0%B1%D0%B5%D0%BB%D1%83%D1%8E%20%D0%BD%D0%BE%D1%87%D1%8C%201988%20%D1%84%D0%B8%D0%BB%D1%8C%D0%BC","искать")</f>
        <v/>
      </c>
      <c r="N5896" s="3" t="n"/>
      <c r="O5896" s="2" t="n"/>
      <c r="P5896" s="2" t="n"/>
    </row>
    <row r="5897">
      <c r="A5897" s="2" t="n">
        <v>5896</v>
      </c>
      <c r="B5897" s="2" t="inlineStr"/>
      <c r="C5897" s="2" t="n">
        <v>7976</v>
      </c>
      <c r="D5897" s="3" t="inlineStr">
        <is>
          <t>Незнайка с нашего двора</t>
        </is>
      </c>
      <c r="E5897" s="2" t="n">
        <v>1983</v>
      </c>
      <c r="F5897" s="2" t="inlineStr">
        <is>
          <t>телефильм</t>
        </is>
      </c>
      <c r="G5897" s="2" t="n"/>
      <c r="H5897" s="2" t="n">
        <v>401</v>
      </c>
      <c r="I5897" s="2" t="inlineStr"/>
      <c r="J5897" s="2" t="inlineStr"/>
      <c r="K5897" s="3" t="inlineStr">
        <is>
          <t>Группа ребятишек играла у себя во дворе. Позже им стало скучно, и вдруг к ним на велосипеде приехал волшебник. Чтобы некоторые из ребят поверили в волшебников, он устроил им сюрприз: перенёс их в сказочный мир Незнайки и его друзей, где ребята сами стали героями этой сказки. После такого приключения ребята действительно поверили в волшебников, даже Знайка, который до этого отрицал их существование.</t>
        </is>
      </c>
      <c r="L5897" s="2" t="inlineStr">
        <is>
          <t>https://ru.wikipedia.org/w/index.php?title=%D0%9D%D0%B5%D0%B7%D0%BD%D0%B0%D0%B9%D0%BA%D0%B0_%D1%81_%D0%BD%D0%B0%D1%88%D0%B5%D0%B3%D0%BE_%D0%B4%D0%B2%D0%BE%D1%80%D0%B0&amp;oldid=153762171</t>
        </is>
      </c>
      <c r="M5897" s="2">
        <f>HYPERLINK("https://ru.wikipedia.org/w/index.php?search=%D0%9D%D0%B5%D0%B7%D0%BD%D0%B0%D0%B9%D0%BA%D0%B0%20%D1%81%20%D0%BD%D0%B0%D1%88%D0%B5%D0%B3%D0%BE%20%D0%B4%D0%B2%D0%BE%D1%80%D0%B0%201983%20%D1%84%D0%B8%D0%BB%D1%8C%D0%BC","искать")</f>
        <v/>
      </c>
      <c r="N5897" s="3" t="n"/>
      <c r="O5897" s="2" t="n"/>
      <c r="P5897" s="2" t="n"/>
    </row>
    <row r="5898">
      <c r="A5898" s="2" t="n">
        <v>5897</v>
      </c>
      <c r="B5898" s="2" t="inlineStr"/>
      <c r="C5898" s="2" t="n">
        <v>9810</v>
      </c>
      <c r="D5898" s="3" t="inlineStr">
        <is>
          <t>Хористка</t>
        </is>
      </c>
      <c r="E5898" s="2" t="n">
        <v>1955</v>
      </c>
      <c r="F5898" s="2" t="inlineStr">
        <is>
          <t>телефильм</t>
        </is>
      </c>
      <c r="G5898" s="2" t="inlineStr">
        <is>
          <t>Центральная студия телевидения</t>
        </is>
      </c>
      <c r="H5898" s="2" t="n">
        <v>401</v>
      </c>
      <c r="I5898" s="2" t="inlineStr"/>
      <c r="J5898" s="2" t="inlineStr"/>
      <c r="K5898" s="3" t="inlineStr">
        <is>
          <t>По одноименному рассказу А.П.Чехова.
Во время встречи хористки Паши со своим любовником Колпаковым неожиданно появляется его жена. Окинув Пашу прицельным взглядом, она стала требовать от нее драгоценности, якобы подаренные Колпаковым. Паша, кроме сладких пирожков от Колпакова ничего не имела, но сконфузилась и покраснела. Обобрав растерявшуюся хористку, Колпаковы один за другим покинули несчастную.</t>
        </is>
      </c>
      <c r="L5898" s="2" t="inlineStr">
        <is>
          <t>https://www.kino-teatr.ru/short/movie/sov/7641/annot/</t>
        </is>
      </c>
      <c r="M5898" s="2">
        <f>HYPERLINK("https://ru.wikipedia.org/w/index.php?search=%D0%A5%D0%BE%D1%80%D0%B8%D1%81%D1%82%D0%BA%D0%B0%201955%20%D1%84%D0%B8%D0%BB%D1%8C%D0%BC","искать")</f>
        <v/>
      </c>
      <c r="N5898" s="3" t="n"/>
      <c r="O5898" s="2" t="n"/>
      <c r="P5898" s="2" t="n"/>
    </row>
    <row r="5899">
      <c r="A5899" s="2" t="n">
        <v>5898</v>
      </c>
      <c r="B5899" s="2" t="inlineStr"/>
      <c r="C5899" s="2" t="n">
        <v>10337</v>
      </c>
      <c r="D5899" s="3" t="inlineStr">
        <is>
          <t>Улица Ангела</t>
        </is>
      </c>
      <c r="E5899" s="2" t="n">
        <v>1969</v>
      </c>
      <c r="F5899" s="2" t="inlineStr">
        <is>
          <t>фильм-спектакль</t>
        </is>
      </c>
      <c r="G5899" s="2" t="inlineStr">
        <is>
          <t>Главная редакция литературно-драматических программ ЦТ</t>
        </is>
      </c>
      <c r="H5899" s="2" t="n">
        <v>401</v>
      </c>
      <c r="I5899" s="2" t="inlineStr"/>
      <c r="J5899" s="2" t="inlineStr"/>
      <c r="K5899" s="3" t="inlineStr">
        <is>
          <t>По мотивам одноименного романа английского писателя Дж.Пристли.
На улице Ангела в Лондоне находилась контора "Твиг и Дэрсингем". Дела фирмы шли плохо, но неожиданно в конторе появляется агент по сбыту товаров. С его приходом фирма стала преуспевать, и у людей, работавших там, появились радужные надежды на будущее. Однако им не суждено было сбыться. Агент Голспи оказался аферистом, разорившим фирму.</t>
        </is>
      </c>
      <c r="L5899" s="2" t="inlineStr">
        <is>
          <t>https://www.kino-teatr.ru/teatr/movie/15384/annot/</t>
        </is>
      </c>
      <c r="M5899" s="2">
        <f>HYPERLINK("https://ru.wikipedia.org/w/index.php?search=%D0%A3%D0%BB%D0%B8%D1%86%D0%B0%20%D0%90%D0%BD%D0%B3%D0%B5%D0%BB%D0%B0%201969%20%D1%84%D0%B8%D0%BB%D1%8C%D0%BC","искать")</f>
        <v/>
      </c>
      <c r="N5899" s="3" t="n"/>
      <c r="O5899" s="2" t="n"/>
      <c r="P5899" s="2" t="n"/>
    </row>
    <row r="5900">
      <c r="A5900" s="2" t="n">
        <v>5899</v>
      </c>
      <c r="B5900" s="2" t="inlineStr"/>
      <c r="C5900" s="2" t="n">
        <v>10614</v>
      </c>
      <c r="D5900" s="3" t="inlineStr">
        <is>
          <t>Кружилиха</t>
        </is>
      </c>
      <c r="E5900" s="2" t="n">
        <v>1975</v>
      </c>
      <c r="F5900" s="2" t="inlineStr">
        <is>
          <t>фильм-спектакль</t>
        </is>
      </c>
      <c r="G5900" s="2" t="inlineStr">
        <is>
          <t>Гл. ред. лит-драм программ</t>
        </is>
      </c>
      <c r="H5900" s="2" t="n">
        <v>401</v>
      </c>
      <c r="I5900" s="2" t="inlineStr"/>
      <c r="J5900" s="2" t="inlineStr"/>
      <c r="K5900" s="3" t="inlineStr">
        <is>
          <t>По мотивам одноименного романа Веры Пановой. Действие происходит на крупном оборонном заводе в конце Великой Отечественной войны и в первые месяцы после победы. Война свела на Кружилихе, так называется завод, людей очень разных, но их объединяет стремление помочь фронту, сделать все для победы. Кончается война, налаживается мирная жизнь, и герои телеспектакля находят в ней свое место, свое счастье.</t>
        </is>
      </c>
      <c r="L5900" s="2" t="inlineStr">
        <is>
          <t>https://www.kino-teatr.ru/teatr/movie/11025/annot/</t>
        </is>
      </c>
      <c r="M5900" s="2">
        <f>HYPERLINK("https://ru.wikipedia.org/w/index.php?search=%D0%9A%D1%80%D1%83%D0%B6%D0%B8%D0%BB%D0%B8%D1%85%D0%B0%201975%20%D1%84%D0%B8%D0%BB%D1%8C%D0%BC","искать")</f>
        <v/>
      </c>
      <c r="N5900" s="3" t="n"/>
      <c r="O5900" s="2" t="n"/>
      <c r="P5900" s="2" t="n"/>
    </row>
    <row r="5901">
      <c r="A5901" s="2" t="n">
        <v>5900</v>
      </c>
      <c r="B5901" s="2" t="inlineStr"/>
      <c r="C5901" s="2" t="n">
        <v>11428</v>
      </c>
      <c r="D5901" s="3" t="inlineStr">
        <is>
          <t>Про бегемота, который боялся прививок</t>
        </is>
      </c>
      <c r="E5901" s="2" t="n">
        <v>1966</v>
      </c>
      <c r="F5901" s="2" t="inlineStr">
        <is>
          <t>мультфильм</t>
        </is>
      </c>
      <c r="G5901" s="2" t="inlineStr">
        <is>
          <t>Союзмультфильм</t>
        </is>
      </c>
      <c r="H5901" s="2" t="n">
        <v>401</v>
      </c>
      <c r="I5901" s="2" t="inlineStr"/>
      <c r="J5901" s="2" t="inlineStr"/>
      <c r="K5901" s="3" t="inlineStr">
        <is>
          <t>Боязливый Бегемот прочитал объявление о том, что всем зверям будут делать прививки. Прочитал и очень испугался. Когда Бегемота вызвали в кабинет врача, он от страха стал белым. И удрал из кабинета. Но когда он пришел домой, то заболел желтухой, ведь он не сделал прививки. Его отвезли в больницу. И вот Бегемот вынужден лежать в постели. А все остальные звери, сделавшие прививки, веселятся на лужайке</t>
        </is>
      </c>
      <c r="L5901" s="2" t="inlineStr">
        <is>
          <t>https://gosfilmofond.ru/films/254244/</t>
        </is>
      </c>
      <c r="M5901" s="2">
        <f>HYPERLINK("https://ru.wikipedia.org/w/index.php?search=%D0%9F%D1%80%D0%BE%20%D0%B1%D0%B5%D0%B3%D0%B5%D0%BC%D0%BE%D1%82%D0%B0%2C%20%D0%BA%D0%BE%D1%82%D0%BE%D1%80%D1%8B%D0%B9%20%D0%B1%D0%BE%D1%8F%D0%BB%D1%81%D1%8F%20%D0%BF%D1%80%D0%B8%D0%B2%D0%B8%D0%B2%D0%BE%D0%BA%201966%20%D1%84%D0%B8%D0%BB%D1%8C%D0%BC","искать")</f>
        <v/>
      </c>
      <c r="N5901" s="3" t="n"/>
      <c r="O5901" s="2" t="n"/>
      <c r="P5901" s="2" t="n"/>
    </row>
    <row r="5902">
      <c r="A5902" s="2" t="n">
        <v>5901</v>
      </c>
      <c r="B5902" s="2" t="inlineStr"/>
      <c r="C5902" s="2" t="n">
        <v>7241</v>
      </c>
      <c r="D5902" s="3" t="inlineStr">
        <is>
          <t>Без семьи</t>
        </is>
      </c>
      <c r="E5902" s="2" t="n">
        <v>1984</v>
      </c>
      <c r="F5902" s="2" t="inlineStr">
        <is>
          <t>телефильм</t>
        </is>
      </c>
      <c r="G5902" s="2" t="inlineStr">
        <is>
          <t>Киностудия «Ленфильм»; Творческое объединение телевизионных фильмов</t>
        </is>
      </c>
      <c r="H5902" s="2" t="n">
        <v>402</v>
      </c>
      <c r="I5902" s="2" t="inlineStr"/>
      <c r="J5902" s="2" t="inlineStr"/>
      <c r="K5902" s="3" t="inlineStr">
        <is>
          <t>Телефильм по мотивам одноименной повести Гектора Мало о жизни и злоключениях мальчика-подкидыша, воспитывающий в детях доброту и отвагу. Действие происходит в XIX веке во Франции. Мальчик Реми скитается с бродячим цирком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is>
      </c>
      <c r="L5902" s="2" t="inlineStr">
        <is>
          <t>Кино_СССР сводный каталог.xlsx: список телефильмов</t>
        </is>
      </c>
      <c r="M5902" s="2">
        <f>HYPERLINK("https://ru.wikipedia.org/w/index.php?search=%D0%91%D0%B5%D0%B7%20%D1%81%D0%B5%D0%BC%D1%8C%D0%B8%201984%20%D1%84%D0%B8%D0%BB%D1%8C%D0%BC","искать")</f>
        <v/>
      </c>
      <c r="N5902" s="3" t="n"/>
      <c r="O5902" s="2" t="n"/>
      <c r="P5902" s="2" t="n"/>
    </row>
    <row r="5903">
      <c r="A5903" s="2" t="n">
        <v>5902</v>
      </c>
      <c r="B5903" s="2" t="inlineStr"/>
      <c r="C5903" s="2" t="n">
        <v>7336</v>
      </c>
      <c r="D5903" s="3" t="inlineStr">
        <is>
          <t>Взлётная полоса</t>
        </is>
      </c>
      <c r="E5903" s="2" t="n">
        <v>1970</v>
      </c>
      <c r="F5903" s="2" t="inlineStr">
        <is>
          <t>телефильм</t>
        </is>
      </c>
      <c r="G5903" s="2" t="n"/>
      <c r="H5903" s="2" t="n">
        <v>402</v>
      </c>
      <c r="I5903" s="2" t="inlineStr"/>
      <c r="J5903" s="2" t="inlineStr"/>
      <c r="K5903" s="3" t="inlineStr">
        <is>
          <t>Телефильм.
В горном кишлаке живет Мухаббат, мастерица национальных женских украшений. Часто прилетает в кишлак летчик сельскохозяйственной авиации Зафар, который давно любит девушку. Но отец Мухаббат, не желая, чтобы дочь покидала родные места, пытается выдать ее замуж за другого. Но любовь Мухаббат и Зафара побеждает…
Подробнее на Кино-Театр.РУ https://www.kino-teatr.ru/kino/movie/sov/11798/annot/</t>
        </is>
      </c>
      <c r="L5903" s="2" t="inlineStr">
        <is>
          <t>Кино_СССР сводный каталог.xlsx: список телефильмов</t>
        </is>
      </c>
      <c r="M5903" s="2">
        <f>HYPERLINK("https://ru.wikipedia.org/w/index.php?search=%D0%92%D0%B7%D0%BB%D1%91%D1%82%D0%BD%D0%B0%D1%8F%20%D0%BF%D0%BE%D0%BB%D0%BE%D1%81%D0%B0%201970%20%D1%84%D0%B8%D0%BB%D1%8C%D0%BC","искать")</f>
        <v/>
      </c>
      <c r="N5903" s="3" t="n"/>
      <c r="O5903" s="2" t="n"/>
      <c r="P5903" s="2" t="n"/>
    </row>
    <row r="5904">
      <c r="A5904" s="2" t="n">
        <v>5903</v>
      </c>
      <c r="B5904" s="2" t="inlineStr"/>
      <c r="C5904" s="2" t="n">
        <v>8001</v>
      </c>
      <c r="D5904" s="3" t="inlineStr">
        <is>
          <t>Новая земля</t>
        </is>
      </c>
      <c r="E5904" s="2" t="n">
        <v>1982</v>
      </c>
      <c r="F5904" s="2" t="inlineStr">
        <is>
          <t>телефильм</t>
        </is>
      </c>
      <c r="G5904" s="2" t="n"/>
      <c r="H5904" s="2" t="n">
        <v>402</v>
      </c>
      <c r="I5904" s="2" t="inlineStr"/>
      <c r="J5904" s="2" t="inlineStr"/>
      <c r="K5904" s="3" t="inlineStr">
        <is>
          <t>По мотивам одноименной поэмы Якуба Коласа. О своей земле и свободе страстно мечтают главные герои фильма - лесник Михал, его жена Ганна и брат Антось. Но пока для покупки участка нет денег, и Михал вынужден переезжать с места на место, чтобы прокормить свою большую семью. Много трудностей и невзгод придется преодолеть Михалу и его близким, чтобы хоть немного приблизиться к осуществлению своей мечты.</t>
        </is>
      </c>
      <c r="L5904" s="2" t="inlineStr">
        <is>
          <t>Кино_СССР сводный каталог.xlsx: список телефильмов</t>
        </is>
      </c>
      <c r="M5904" s="2">
        <f>HYPERLINK("https://ru.wikipedia.org/w/index.php?search=%D0%9D%D0%BE%D0%B2%D0%B0%D1%8F%20%D0%B7%D0%B5%D0%BC%D0%BB%D1%8F%201982%20%D1%84%D0%B8%D0%BB%D1%8C%D0%BC","искать")</f>
        <v/>
      </c>
      <c r="N5904" s="3" t="n"/>
      <c r="O5904" s="2" t="n"/>
      <c r="P5904" s="2" t="n"/>
    </row>
    <row r="5905">
      <c r="A5905" s="2" t="n">
        <v>5904</v>
      </c>
      <c r="B5905" s="2" t="inlineStr"/>
      <c r="C5905" s="2" t="n">
        <v>9071</v>
      </c>
      <c r="D5905" s="3" t="inlineStr">
        <is>
          <t>Степные раскаты (Уральск в огне)</t>
        </is>
      </c>
      <c r="E5905" s="2" t="n">
        <v>1974</v>
      </c>
      <c r="F5905" s="2" t="inlineStr">
        <is>
          <t>кинофильм</t>
        </is>
      </c>
      <c r="G5905" s="2" t="n"/>
      <c r="H5905" s="2" t="n">
        <v>402</v>
      </c>
      <c r="I5905" s="2" t="inlineStr"/>
      <c r="J5905" s="2" t="inlineStr"/>
      <c r="K5905" s="3" t="inlineStr">
        <is>
          <t>Фильм "Степные раскаты" посвящен событиям гражданской войны, наступлению войск Деникина и Колчака на Уральск, обороне города. Исторические факты в нем представлены с значительным размахом, через личности и судьбы многих персонажей, с широким вводом массовых и батальных сцен. Сюжетной завязкой фильма является спор отца и сына Тучновых, генерал-майора и прапорщика белой армии, о правомерности насилия.</t>
        </is>
      </c>
      <c r="L5905" s="2" t="inlineStr">
        <is>
          <t>Кино_СССР сводный каталог.xlsx: список фильмов (доп.)</t>
        </is>
      </c>
      <c r="M5905" s="2">
        <f>HYPERLINK("https://ru.wikipedia.org/w/index.php?search=%D0%A1%D1%82%D0%B5%D0%BF%D0%BD%D1%8B%D0%B5%20%D1%80%D0%B0%D1%81%D0%BA%D0%B0%D1%82%D1%8B%20%28%D0%A3%D1%80%D0%B0%D0%BB%D1%8C%D1%81%D0%BA%20%D0%B2%20%D0%BE%D0%B3%D0%BD%D0%B5%29%201974%20%D1%84%D0%B8%D0%BB%D1%8C%D0%BC","искать")</f>
        <v/>
      </c>
      <c r="N5905" s="3" t="n"/>
      <c r="O5905" s="2" t="n"/>
      <c r="P5905" s="2" t="n"/>
    </row>
    <row r="5906">
      <c r="A5906" s="2" t="n">
        <v>5905</v>
      </c>
      <c r="B5906" s="2" t="inlineStr"/>
      <c r="C5906" s="2" t="n">
        <v>9407</v>
      </c>
      <c r="D5906" s="3" t="inlineStr">
        <is>
          <t>Капитан Крокус</t>
        </is>
      </c>
      <c r="E5906" s="2" t="n">
        <v>1991</v>
      </c>
      <c r="F5906" s="2" t="inlineStr">
        <is>
          <t>кинофильм</t>
        </is>
      </c>
      <c r="G5906" s="2" t="n"/>
      <c r="H5906" s="2" t="n">
        <v>402</v>
      </c>
      <c r="I5906" s="2" t="inlineStr"/>
      <c r="J5906" s="2" t="inlineStr"/>
      <c r="K5906" s="3" t="inlineStr">
        <is>
          <t>Появление клоуна Коко и поросенка Персика на арене цирка - это всегда веселый праздник для детей и взрослых одного маленького города. Но страшное Чучелище готово на все, лишь бы этот праздник не состоялся, а детский смех превратился в слезы. В это время городская власть оказывается в руках коварного Генерала-Кибернатора, который приказывает закрыть цирк, арестовать Коко, а из Персика сделать чучело.</t>
        </is>
      </c>
      <c r="L5906" s="2" t="inlineStr">
        <is>
          <t>Кино_СССР сводный каталог.xlsx: список фильмов (доп.)</t>
        </is>
      </c>
      <c r="M5906" s="2">
        <f>HYPERLINK("https://ru.wikipedia.org/w/index.php?search=%D0%9A%D0%B0%D0%BF%D0%B8%D1%82%D0%B0%D0%BD%20%D0%9A%D1%80%D0%BE%D0%BA%D1%83%D1%81%201991%20%D1%84%D0%B8%D0%BB%D1%8C%D0%BC","искать")</f>
        <v/>
      </c>
      <c r="N5906" s="3" t="n"/>
      <c r="O5906" s="2" t="n"/>
      <c r="P5906" s="2" t="n"/>
    </row>
    <row r="5907">
      <c r="A5907" s="2" t="n">
        <v>5906</v>
      </c>
      <c r="B5907" s="2" t="inlineStr"/>
      <c r="C5907" s="2" t="n">
        <v>10331</v>
      </c>
      <c r="D5907" s="3" t="inlineStr">
        <is>
          <t>Солдаты в синих шинелях</t>
        </is>
      </c>
      <c r="E5907" s="2" t="n">
        <v>1969</v>
      </c>
      <c r="F5907" s="2" t="inlineStr">
        <is>
          <t>фильм-спектакль</t>
        </is>
      </c>
      <c r="G5907" s="2" t="inlineStr">
        <is>
          <t>Центральное телевидение</t>
        </is>
      </c>
      <c r="H5907" s="2" t="n">
        <v>402</v>
      </c>
      <c r="I5907" s="2" t="inlineStr"/>
      <c r="J5907" s="2" t="inlineStr"/>
      <c r="K5907" s="3" t="inlineStr">
        <is>
          <t>По рассказу "Ночной выстрел" из сборника рассказов Александра и Ольги Лавровых "Солдаты в синих шинелях" (работники милиции в свое время были в синей форме). Рассказ о работе следователя Стрепетова - главного героя книги Лавровых. После этого телеспектакля Лавровым заказали цикл с общими героями. Лавровы согласились и через определенное количество времени был создан сериал "Следствие ведут Знатоки".</t>
        </is>
      </c>
      <c r="L5907" s="2" t="inlineStr">
        <is>
          <t>https://www.kino-teatr.ru/teatr/movie/83198/annot/</t>
        </is>
      </c>
      <c r="M5907" s="2">
        <f>HYPERLINK("https://ru.wikipedia.org/w/index.php?search=%D0%A1%D0%BE%D0%BB%D0%B4%D0%B0%D1%82%D1%8B%20%D0%B2%20%D1%81%D0%B8%D0%BD%D0%B8%D1%85%20%D1%88%D0%B8%D0%BD%D0%B5%D0%BB%D1%8F%D1%85%201969%20%D1%84%D0%B8%D0%BB%D1%8C%D0%BC","искать")</f>
        <v/>
      </c>
      <c r="N5907" s="3" t="n"/>
      <c r="O5907" s="2" t="n"/>
      <c r="P5907" s="2" t="n"/>
    </row>
    <row r="5908">
      <c r="A5908" s="2" t="n">
        <v>5907</v>
      </c>
      <c r="B5908" s="2" t="inlineStr"/>
      <c r="C5908" s="2" t="n">
        <v>10338</v>
      </c>
      <c r="D5908" s="3" t="inlineStr">
        <is>
          <t>Уральская рябинушка</t>
        </is>
      </c>
      <c r="E5908" s="2" t="n">
        <v>1969</v>
      </c>
      <c r="F5908" s="2" t="inlineStr">
        <is>
          <t>фильм-спектакль</t>
        </is>
      </c>
      <c r="G5908" s="2" t="inlineStr">
        <is>
          <t>Свердловская киностудия</t>
        </is>
      </c>
      <c r="H5908" s="2" t="n">
        <v>402</v>
      </c>
      <c r="I5908" s="2" t="inlineStr"/>
      <c r="J5908" s="2" t="inlineStr"/>
      <c r="K5908" s="3" t="inlineStr">
        <is>
          <t>В ролях: Государственный Уральский Русский Народный хор
Советский мюзикл "Уральская рябинушка" - это большой подарок всем жаждущим гармонии и покоя.
Лирические песни и пляски под гармошку, хороводы и казачий задор чередуются с неповторимыми видами дивной русской природы.
Исполнения артистов необыкновенно реалистичны, зрелищны и красочны, завораживают мастерством и надолго остаются в памяти зрителей.</t>
        </is>
      </c>
      <c r="L5908" s="2" t="inlineStr">
        <is>
          <t>https://www.kino-teatr.ru/teatr/movie/96348/annot/</t>
        </is>
      </c>
      <c r="M5908" s="2">
        <f>HYPERLINK("https://ru.wikipedia.org/w/index.php?search=%D0%A3%D1%80%D0%B0%D0%BB%D1%8C%D1%81%D0%BA%D0%B0%D1%8F%20%D1%80%D1%8F%D0%B1%D0%B8%D0%BD%D1%83%D1%88%D0%BA%D0%B0%201969%20%D1%84%D0%B8%D0%BB%D1%8C%D0%BC","искать")</f>
        <v/>
      </c>
      <c r="N5908" s="3" t="n"/>
      <c r="O5908" s="2" t="n"/>
      <c r="P5908" s="2" t="n"/>
    </row>
    <row r="5909">
      <c r="A5909" s="2" t="n">
        <v>5908</v>
      </c>
      <c r="B5909" s="2" t="inlineStr"/>
      <c r="C5909" s="2" t="n">
        <v>7312</v>
      </c>
      <c r="D5909" s="3" t="inlineStr">
        <is>
          <t>Васька</t>
        </is>
      </c>
      <c r="E5909" s="2" t="n">
        <v>1989</v>
      </c>
      <c r="F5909" s="2" t="inlineStr">
        <is>
          <t>телефильм</t>
        </is>
      </c>
      <c r="G5909" s="2" t="n"/>
      <c r="H5909" s="2" t="n">
        <v>403</v>
      </c>
      <c r="I5909" s="2" t="inlineStr"/>
      <c r="J5909" s="2" t="inlineStr"/>
      <c r="K5909" s="3" t="inlineStr">
        <is>
          <t>По одноименной повести Сергея Антонова. В 1934 году на строительстве Московского метрополитена работала Маргарита Чугуева, прозванная за крупную стать и мужскую силу Васькой. Однажды среди новичков бригады она узнала Осипа - своего мучителя, издевавшегося над спецпереселенцами в сибирском поселке, куда была сослана в годы коллективизации семья зажиточных крестьян Чугуевых, и откуда сбежала Маргарита.</t>
        </is>
      </c>
      <c r="L5909" s="2" t="inlineStr">
        <is>
          <t>Кино_СССР сводный каталог.xlsx: список телефильмов</t>
        </is>
      </c>
      <c r="M5909" s="2">
        <f>HYPERLINK("https://ru.wikipedia.org/w/index.php?search=%D0%92%D0%B0%D1%81%D1%8C%D0%BA%D0%B0%201989%20%D1%84%D0%B8%D0%BB%D1%8C%D0%BC","искать")</f>
        <v/>
      </c>
      <c r="N5909" s="3" t="n"/>
      <c r="O5909" s="2" t="n"/>
      <c r="P5909" s="2" t="n"/>
    </row>
    <row r="5910">
      <c r="A5910" s="2" t="n">
        <v>5909</v>
      </c>
      <c r="B5910" s="2" t="inlineStr"/>
      <c r="C5910" s="2" t="n">
        <v>9286</v>
      </c>
      <c r="D5910" s="3" t="inlineStr">
        <is>
          <t>Враг народа - Бухарин</t>
        </is>
      </c>
      <c r="E5910" s="2" t="n">
        <v>1990</v>
      </c>
      <c r="F5910" s="2" t="inlineStr">
        <is>
          <t>кинофильм</t>
        </is>
      </c>
      <c r="G5910" s="2" t="n"/>
      <c r="H5910" s="2" t="n">
        <v>403</v>
      </c>
      <c r="I5910" s="2" t="inlineStr"/>
      <c r="J5910" s="2" t="inlineStr"/>
      <c r="K5910" s="3" t="inlineStr">
        <is>
          <t>Историко-биографический фильм о Николае Бухарине (1888-1938). Авторы исторической драмы приоткрывают малоизвестную страницу истории -«ложный» процесс над Николаем Бухариным, который стал репетицией главного действа, не замедлившего себя долго ждать. По архивным документам, именно на этом «малом» процессе Бухарин решил полностью изменить его ход и вместо навязанного ему сценария начал говорить правду.</t>
        </is>
      </c>
      <c r="L5910" s="2" t="inlineStr">
        <is>
          <t>Кино_СССР сводный каталог.xlsx: список фильмов (доп.)</t>
        </is>
      </c>
      <c r="M5910" s="2">
        <f>HYPERLINK("https://ru.wikipedia.org/w/index.php?search=%D0%92%D1%80%D0%B0%D0%B3%20%D0%BD%D0%B0%D1%80%D0%BE%D0%B4%D0%B0%20-%20%D0%91%D1%83%D1%85%D0%B0%D1%80%D0%B8%D0%BD%201990%20%D1%84%D0%B8%D0%BB%D1%8C%D0%BC","искать")</f>
        <v/>
      </c>
      <c r="N5910" s="3" t="n"/>
      <c r="O5910" s="2" t="n"/>
      <c r="P5910" s="2" t="n"/>
    </row>
    <row r="5911">
      <c r="A5911" s="2" t="n">
        <v>5910</v>
      </c>
      <c r="B5911" s="2" t="inlineStr"/>
      <c r="C5911" s="2" t="n">
        <v>9766</v>
      </c>
      <c r="D5911" s="3" t="inlineStr">
        <is>
          <t>Шельменко-денщик</t>
        </is>
      </c>
      <c r="E5911" s="2" t="n">
        <v>1971</v>
      </c>
      <c r="F5911" s="2" t="inlineStr">
        <is>
          <t>кинофильм</t>
        </is>
      </c>
      <c r="G5911" s="2" t="n"/>
      <c r="H5911" s="2" t="n">
        <v>403</v>
      </c>
      <c r="I5911" s="2" t="inlineStr"/>
      <c r="J5911" s="2" t="inlineStr"/>
      <c r="K5911" s="3" t="inlineStr">
        <is>
          <t>Сюжет типичен для европейских водевилей, только перенесён на украинскую почву. Помещики Шпак отказываются выдавать свою дочь Присиньку за любимого ею молодого капитана Скворцова. У стариков припасён для дочери более завидный жених, и они всячески стараются разлучить влюблённых. Но тут в дело вмешивается хитрый денщик Скворцова — Потап Шельменко, и, разумеется, находит способ устроить счастье молодых.</t>
        </is>
      </c>
      <c r="L5911" s="2" t="inlineStr">
        <is>
          <t>https://ru.wikipedia.org/w/index.php?title=%D0%A8%D0%B5%D0%BB%D1%8C%D0%BC%D0%B5%D0%BD%D0%BA%D0%BE-%D0%B4%D0%B5%D0%BD%D1%89%D0%B8%D0%BA_%28%D1%84%D0%B8%D0%BB%D1%8C%D0%BC%29&amp;oldid=152246460</t>
        </is>
      </c>
      <c r="M5911" s="2">
        <f>HYPERLINK("https://ru.wikipedia.org/w/index.php?search=%D0%A8%D0%B5%D0%BB%D1%8C%D0%BC%D0%B5%D0%BD%D0%BA%D0%BE-%D0%B4%D0%B5%D0%BD%D1%89%D0%B8%D0%BA%201971%20%D1%84%D0%B8%D0%BB%D1%8C%D0%BC","искать")</f>
        <v/>
      </c>
      <c r="N5911" s="3" t="n"/>
      <c r="O5911" s="2" t="n"/>
      <c r="P5911" s="2" t="n"/>
    </row>
    <row r="5912">
      <c r="A5912" s="2" t="n">
        <v>5911</v>
      </c>
      <c r="B5912" s="2" t="inlineStr"/>
      <c r="C5912" s="2" t="n">
        <v>10278</v>
      </c>
      <c r="D5912" s="3" t="inlineStr">
        <is>
          <t>Человеческий голос</t>
        </is>
      </c>
      <c r="E5912" s="2" t="n">
        <v>1968</v>
      </c>
      <c r="F5912" s="2" t="inlineStr">
        <is>
          <t>фильм-спектакль</t>
        </is>
      </c>
      <c r="G5912" s="2" t="n"/>
      <c r="H5912" s="2" t="n">
        <v>403</v>
      </c>
      <c r="I5912" s="2" t="inlineStr"/>
      <c r="J5912" s="2" t="inlineStr"/>
      <c r="K5912" s="3" t="inlineStr">
        <is>
          <t>Моноопера по одноактной пьесе Жана Кокто на музыку Франсиса Пуленка. Женщина, брошенная любовником, разговаривает с ним по телефону, связь постоянно прерывается. Женщина мечется по квартире и за время разговора выказывает весь спектр эмоций, пытаясь удержать любимого. Она смеется, плачет, умоляет, унижается, обвиняет и снова умоляет, сознается в попытке самоубийства и все время говорит ему: "Прости".</t>
        </is>
      </c>
      <c r="L5912" s="2" t="inlineStr">
        <is>
          <t>https://www.kino-teatr.ru/teatr/movie/100053/annot/</t>
        </is>
      </c>
      <c r="M5912" s="2">
        <f>HYPERLINK("https://ru.wikipedia.org/w/index.php?search=%D0%A7%D0%B5%D0%BB%D0%BE%D0%B2%D0%B5%D1%87%D0%B5%D1%81%D0%BA%D0%B8%D0%B9%20%D0%B3%D0%BE%D0%BB%D0%BE%D1%81%201968%20%D1%84%D0%B8%D0%BB%D1%8C%D0%BC","искать")</f>
        <v/>
      </c>
      <c r="N5912" s="3" t="n"/>
      <c r="O5912" s="2" t="n"/>
      <c r="P5912" s="2" t="n"/>
    </row>
    <row r="5913">
      <c r="A5913" s="2" t="n">
        <v>5912</v>
      </c>
      <c r="B5913" s="2" t="inlineStr"/>
      <c r="C5913" s="2" t="n">
        <v>10982</v>
      </c>
      <c r="D5913" s="3" t="inlineStr">
        <is>
          <t>Вера</t>
        </is>
      </c>
      <c r="E5913" s="2" t="n">
        <v>1983</v>
      </c>
      <c r="F5913" s="2" t="inlineStr">
        <is>
          <t>фильм-спектакль</t>
        </is>
      </c>
      <c r="G5913" s="2" t="inlineStr">
        <is>
          <t>Главная редакция литературно-драматических программ ЦТ</t>
        </is>
      </c>
      <c r="H5913" s="2" t="n">
        <v>403</v>
      </c>
      <c r="I5913" s="2" t="inlineStr"/>
      <c r="J5913" s="2" t="inlineStr"/>
      <c r="K5913" s="3" t="inlineStr">
        <is>
          <t>Из цикла "По Вашему письму".
Героиня телеспектакля Вера, учительница в школе рабочей молодежи, влюбляется в своего ученика Петрова, который моложе ее на восемь лет. Ее сестра Аля, считающая себя практичной, знающей жизнь, выступает против этой любви. Она уверена, что разница в возрасте - непреодолимое препятствие для брака. К тому же ей не нравится, что избранник сестры всего лишь плотник на стройке.</t>
        </is>
      </c>
      <c r="L5913" s="2" t="inlineStr">
        <is>
          <t>https://www.kino-teatr.ru/teatr/movie/103474/annot/</t>
        </is>
      </c>
      <c r="M5913" s="2">
        <f>HYPERLINK("https://ru.wikipedia.org/w/index.php?search=%D0%92%D0%B5%D1%80%D0%B0%201983%20%D1%84%D0%B8%D0%BB%D1%8C%D0%BC","искать")</f>
        <v/>
      </c>
      <c r="N5913" s="3" t="n"/>
      <c r="O5913" s="2" t="n"/>
      <c r="P5913" s="2" t="n"/>
    </row>
    <row r="5914">
      <c r="A5914" s="2" t="n">
        <v>5913</v>
      </c>
      <c r="B5914" s="2" t="inlineStr"/>
      <c r="C5914" s="2" t="n">
        <v>7496</v>
      </c>
      <c r="D5914" s="3" t="inlineStr">
        <is>
          <t>Дело передается в суд</t>
        </is>
      </c>
      <c r="E5914" s="2" t="n">
        <v>1976</v>
      </c>
      <c r="F5914" s="2" t="inlineStr">
        <is>
          <t>телефильм</t>
        </is>
      </c>
      <c r="G5914" s="2" t="n"/>
      <c r="H5914" s="2" t="n">
        <v>404</v>
      </c>
      <c r="I5914" s="2" t="inlineStr"/>
      <c r="J5914" s="2" t="inlineStr"/>
      <c r="K5914" s="3" t="inlineStr">
        <is>
          <t>Телефильм-киноповесть о молодой помощнице прокурора Лиане Девдариани, которой доверили завершить работу по делу о рухнувшем мосте. Проведя собственное расследование, она понимает, что привлеченный к уголовной ответственности инженер Сартания, на самом деле не виновен. Лиана не только оправдывает невинно осужденного, но и изобличает подлинных виновников трагедии, повлекшей за собой человеческие жертвы.</t>
        </is>
      </c>
      <c r="L5914" s="2" t="inlineStr">
        <is>
          <t>Кино_СССР сводный каталог.xlsx: список телефильмов</t>
        </is>
      </c>
      <c r="M5914" s="2">
        <f>HYPERLINK("https://ru.wikipedia.org/w/index.php?search=%D0%94%D0%B5%D0%BB%D0%BE%20%D0%BF%D0%B5%D1%80%D0%B5%D0%B4%D0%B0%D0%B5%D1%82%D1%81%D1%8F%20%D0%B2%20%D1%81%D1%83%D0%B4%201976%20%D1%84%D0%B8%D0%BB%D1%8C%D0%BC","искать")</f>
        <v/>
      </c>
      <c r="N5914" s="3" t="n"/>
      <c r="O5914" s="2" t="n"/>
      <c r="P5914" s="2" t="n"/>
    </row>
    <row r="5915">
      <c r="A5915" s="2" t="n">
        <v>5914</v>
      </c>
      <c r="B5915" s="2" t="inlineStr"/>
      <c r="C5915" s="2" t="n">
        <v>7861</v>
      </c>
      <c r="D5915" s="3" t="inlineStr">
        <is>
          <t>Между тремя поветриями</t>
        </is>
      </c>
      <c r="E5915" s="2" t="n">
        <v>1970</v>
      </c>
      <c r="F5915" s="2" t="inlineStr">
        <is>
          <t>телефильм</t>
        </is>
      </c>
      <c r="G5915" s="2" t="n"/>
      <c r="H5915" s="2" t="n">
        <v>404</v>
      </c>
      <c r="I5915" s="2" t="inlineStr"/>
      <c r="J5915" s="2" t="inlineStr"/>
      <c r="K5915" s="3" t="inlineStr">
        <is>
          <t>О судьбе философа второй половины XVI века — Балтазара Руссова — первого в истории пастора-эстонца, автора «Хроники провинции Ливония».
XVI век. Таллинн под властью Швеции. Эстонский пастор Бальтазар Руссов борется за себя в немецкоязычном высшем классе, но который также близок душе не-немецкого сельского народа. Чужак в своей собственной стране, он становится тайным летописцем хроники своего времени.</t>
        </is>
      </c>
      <c r="L5915" s="2" t="inlineStr">
        <is>
          <t>https://ru.wikipedia.org/w/index.php?title=%D0%9C%D0%B5%D0%B6%D0%B4%D1%83_%D1%82%D1%80%D0%B5%D0%BC%D1%8F_%D0%BF%D0%BE%D0%B2%D0%B5%D1%82%D1%80%D0%B8%D1%8F%D0%BC%D0%B8_%28%D1%84%D0%B8%D0%BB%D1%8C%D0%BC%29&amp;oldid=154699439</t>
        </is>
      </c>
      <c r="M5915" s="2">
        <f>HYPERLINK("https://ru.wikipedia.org/w/index.php?search=%D0%9C%D0%B5%D0%B6%D0%B4%D1%83%20%D1%82%D1%80%D0%B5%D0%BC%D1%8F%20%D0%BF%D0%BE%D0%B2%D0%B5%D1%82%D1%80%D0%B8%D1%8F%D0%BC%D0%B8%201970%20%D1%84%D0%B8%D0%BB%D1%8C%D0%BC","искать")</f>
        <v/>
      </c>
      <c r="N5915" s="3" t="n"/>
      <c r="O5915" s="2" t="n"/>
      <c r="P5915" s="2" t="n"/>
    </row>
    <row r="5916">
      <c r="A5916" s="2" t="n">
        <v>5915</v>
      </c>
      <c r="B5916" s="2" t="inlineStr"/>
      <c r="C5916" s="2" t="n">
        <v>8228</v>
      </c>
      <c r="D5916" s="3" t="inlineStr">
        <is>
          <t>Проделки Скапена</t>
        </is>
      </c>
      <c r="E5916" s="2" t="n">
        <v>1984</v>
      </c>
      <c r="F5916" s="2" t="inlineStr">
        <is>
          <t>телефильм</t>
        </is>
      </c>
      <c r="G5916" s="2" t="n"/>
      <c r="H5916" s="2" t="n">
        <v>404</v>
      </c>
      <c r="I5916" s="2" t="inlineStr"/>
      <c r="J5916" s="2" t="inlineStr"/>
      <c r="K5916" s="3" t="inlineStr">
        <is>
          <t>Плутовская комедия по мотивам одноименной пьесы французского драматурга Жана-Батиста Мольера. Ловкий слуга Скапен помогает воссоединиться влюбленным парам, хитроумно обведя вокруг пальца их скупердяев-отцов. Он самозабвенно и с упоением вершит чудеса, превращая самую банальную и рутинную жизненную ситуацию в шумное, веселое представление, и не жалеет для этого ни сил, ни времени, ни изобретательности.</t>
        </is>
      </c>
      <c r="L5916" s="2" t="inlineStr">
        <is>
          <t>Кино_СССР сводный каталог.xlsx: список телефильмов</t>
        </is>
      </c>
      <c r="M5916" s="2">
        <f>HYPERLINK("https://ru.wikipedia.org/w/index.php?search=%D0%9F%D1%80%D0%BE%D0%B4%D0%B5%D0%BB%D0%BA%D0%B8%20%D0%A1%D0%BA%D0%B0%D0%BF%D0%B5%D0%BD%D0%B0%201984%20%D1%84%D0%B8%D0%BB%D1%8C%D0%BC","искать")</f>
        <v/>
      </c>
      <c r="N5916" s="3" t="n"/>
      <c r="O5916" s="2" t="n"/>
      <c r="P5916" s="2" t="n"/>
    </row>
    <row r="5917">
      <c r="A5917" s="2" t="n">
        <v>5916</v>
      </c>
      <c r="B5917" s="2" t="inlineStr"/>
      <c r="C5917" s="2" t="n">
        <v>8540</v>
      </c>
      <c r="D5917" s="3" t="inlineStr">
        <is>
          <t>Чародеи</t>
        </is>
      </c>
      <c r="E5917" s="2" t="n">
        <v>1982</v>
      </c>
      <c r="F5917" s="2" t="inlineStr">
        <is>
          <t>телефильм</t>
        </is>
      </c>
      <c r="G5917" s="2" t="n"/>
      <c r="H5917" s="2" t="n">
        <v>404</v>
      </c>
      <c r="I5917" s="2" t="inlineStr"/>
      <c r="J5917" s="2" t="inlineStr"/>
      <c r="K5917" s="3" t="inlineStr">
        <is>
          <t>Фильм снят по мотивам знаменитой повести Аркадия и Бориса Стругацких "Понедельник начинается в субботу". Двухсерийная телевизионная музыкальная комедия с элементами фантастики - о любви и коварстве, о волшебных силах, которые помогают жениху (Александр Абдулов) после множества приключений накануне Нового года расколдовать его возлюбленную (Александра Яковлева), научную сотрудницу Института волшебства.</t>
        </is>
      </c>
      <c r="L5917" s="2" t="inlineStr">
        <is>
          <t>Кино_СССР сводный каталог.xlsx: список телефильмов</t>
        </is>
      </c>
      <c r="M5917" s="2">
        <f>HYPERLINK("https://ru.wikipedia.org/w/index.php?search=%D0%A7%D0%B0%D1%80%D0%BE%D0%B4%D0%B5%D0%B8%201982%20%D1%84%D0%B8%D0%BB%D1%8C%D0%BC","искать")</f>
        <v/>
      </c>
      <c r="N5917" s="3" t="n"/>
      <c r="O5917" s="2" t="n"/>
      <c r="P5917" s="2" t="n"/>
    </row>
    <row r="5918">
      <c r="A5918" s="2" t="n">
        <v>5917</v>
      </c>
      <c r="B5918" s="2" t="inlineStr"/>
      <c r="C5918" s="2" t="n">
        <v>9461</v>
      </c>
      <c r="D5918" s="3" t="inlineStr">
        <is>
          <t>Любовь немолодого человека</t>
        </is>
      </c>
      <c r="E5918" s="2" t="n">
        <v>1990</v>
      </c>
      <c r="F5918" s="2" t="inlineStr">
        <is>
          <t>кинофильм</t>
        </is>
      </c>
      <c r="G5918" s="2" t="n"/>
      <c r="H5918" s="2" t="n">
        <v>404</v>
      </c>
      <c r="I5918" s="2" t="inlineStr"/>
      <c r="J5918" s="2" t="inlineStr"/>
      <c r="K5918" s="3" t="inlineStr">
        <is>
          <t>Немолодой женатый мужчина отправляется с юной возлюбленной на юг.Там неожиданно в ресторанчике он увидел свою жену в сопровождении некоего брюнета.Уязвленное мужское самолюбие заставляет его потребовать от возлюбленной заснять прогулки жены и ее спутника и отдать пленки в проявку.Но ослепленный ревностью,герой перепутал пленки и жена увидела фотографии,на которых ее супруг развлекается с юной подругой</t>
        </is>
      </c>
      <c r="L5918" s="2" t="inlineStr">
        <is>
          <t>https://gosfilmofond.ru/films/251172/</t>
        </is>
      </c>
      <c r="M5918" s="2">
        <f>HYPERLINK("https://ru.wikipedia.org/w/index.php?search=%D0%9B%D1%8E%D0%B1%D0%BE%D0%B2%D1%8C%20%D0%BD%D0%B5%D0%BC%D0%BE%D0%BB%D0%BE%D0%B4%D0%BE%D0%B3%D0%BE%20%D1%87%D0%B5%D0%BB%D0%BE%D0%B2%D0%B5%D0%BA%D0%B0%201990%20%D1%84%D0%B8%D0%BB%D1%8C%D0%BC","искать")</f>
        <v/>
      </c>
      <c r="N5918" s="3" t="n"/>
      <c r="O5918" s="2" t="n"/>
      <c r="P5918" s="2" t="n"/>
    </row>
    <row r="5919">
      <c r="A5919" s="2" t="n">
        <v>5918</v>
      </c>
      <c r="B5919" s="2" t="inlineStr"/>
      <c r="C5919" s="2" t="n">
        <v>7204</v>
      </c>
      <c r="D5919" s="3" t="inlineStr">
        <is>
          <t>Алмазный пояс</t>
        </is>
      </c>
      <c r="E5919" s="2" t="n">
        <v>1986</v>
      </c>
      <c r="F5919" s="2" t="inlineStr">
        <is>
          <t>телефильм</t>
        </is>
      </c>
      <c r="G5919" s="2" t="n"/>
      <c r="H5919" s="2" t="n">
        <v>405</v>
      </c>
      <c r="I5919" s="2" t="inlineStr"/>
      <c r="J5919" s="2" t="inlineStr"/>
      <c r="K5919" s="3" t="inlineStr">
        <is>
          <t>По мотивам одноименного романа Пиримкула Кадырова. Герои фильма - молодые ташкентские архитекторы, муж и жена. В основе сюжета - конфликт, возникший между авторами проекта застройки городского района, основанного лишь на мнимой экономической выгоде без учета подлинных интересов его жителей, и молодыми архитекторами, отстаивающими проект создания этнографического парка-заповедника на берегах реки Анхор.</t>
        </is>
      </c>
      <c r="L5919" s="2" t="inlineStr">
        <is>
          <t>Кино_СССР сводный каталог.xlsx: список телефильмов</t>
        </is>
      </c>
      <c r="M5919" s="2">
        <f>HYPERLINK("https://ru.wikipedia.org/w/index.php?search=%D0%90%D0%BB%D0%BC%D0%B0%D0%B7%D0%BD%D1%8B%D0%B9%20%D0%BF%D0%BE%D1%8F%D1%81%201986%20%D1%84%D0%B8%D0%BB%D1%8C%D0%BC","искать")</f>
        <v/>
      </c>
      <c r="N5919" s="3" t="n"/>
      <c r="O5919" s="2" t="n"/>
      <c r="P5919" s="2" t="n"/>
    </row>
    <row r="5920">
      <c r="A5920" s="2" t="n">
        <v>5919</v>
      </c>
      <c r="B5920" s="2" t="inlineStr"/>
      <c r="C5920" s="2" t="n">
        <v>12425</v>
      </c>
      <c r="D5920" s="3" t="inlineStr">
        <is>
          <t>Кит и кот</t>
        </is>
      </c>
      <c r="E5920" s="2" t="n">
        <v>1969</v>
      </c>
      <c r="F5920" s="2" t="inlineStr">
        <is>
          <t>мультфильм</t>
        </is>
      </c>
      <c r="G5920" s="2" t="inlineStr">
        <is>
          <t>КИЕВНАУЧФИЛЬМ</t>
        </is>
      </c>
      <c r="H5920" s="2" t="n">
        <v>405</v>
      </c>
      <c r="I5920" s="2" t="inlineStr"/>
      <c r="J5920" s="2" t="inlineStr"/>
      <c r="K5920" s="3" t="inlineStr">
        <is>
          <t>В детской книжке получилась опечатка: вместо слова "Кит" напечатано "Кот", и произошли от этого крупные неприятности. Кит- маленький и беспомощный - живет в доме, спит под табуреткой, и все, даже мыши, обижают его. А Кот - огромный рыжий - плавает в море, повергая в ужас моряков-китобоев и задавая неразрешимые загадки ученым...И только маленький мальчик разрешает их сомнения, показав книжку с опечаткой</t>
        </is>
      </c>
      <c r="L5920" s="2" t="inlineStr">
        <is>
          <t>https://gosfilmofond.ru/films/254749/</t>
        </is>
      </c>
      <c r="M5920" s="2">
        <f>HYPERLINK("https://ru.wikipedia.org/w/index.php?search=%D0%9A%D0%B8%D1%82%20%D0%B8%20%D0%BA%D0%BE%D1%82%201969%20%D1%84%D0%B8%D0%BB%D1%8C%D0%BC","искать")</f>
        <v/>
      </c>
      <c r="N5920" s="3" t="n"/>
      <c r="O5920" s="2" t="n"/>
      <c r="P5920" s="2" t="n"/>
    </row>
    <row r="5921">
      <c r="A5921" s="2" t="n">
        <v>5920</v>
      </c>
      <c r="B5921" s="2" t="inlineStr"/>
      <c r="C5921" s="2" t="n">
        <v>13258</v>
      </c>
      <c r="D5921" s="3" t="inlineStr">
        <is>
          <t>Семь друзей Юссике</t>
        </is>
      </c>
      <c r="E5921" s="2" t="n">
        <v>1967</v>
      </c>
      <c r="F5921" s="2" t="inlineStr">
        <is>
          <t>мультфильм</t>
        </is>
      </c>
      <c r="G5921" s="2" t="inlineStr">
        <is>
          <t>ТАЛЛИННФИЛЬМ</t>
        </is>
      </c>
      <c r="H5921" s="2" t="n">
        <v>405</v>
      </c>
      <c r="I5921" s="2" t="inlineStr"/>
      <c r="J5921" s="2" t="inlineStr"/>
      <c r="K5921" s="3" t="inlineStr">
        <is>
          <t>По книге для детей С.Вяльял. Маленький Юссике очень любил Воскресенье. Но каждый раз за играми он не замечал, как оно уходило от него. Однажды он решил встретиться с Воскресеньем. Но прежде чем попасть к нему мальчику пришлось переделать много дел: помочь в поле Понедельнику, затем каменщику Вторнику, потрудиться по дому со Средой, половить рыбу с Четрвергом, полить цветы Пятнице, затопить баню Субботе</t>
        </is>
      </c>
      <c r="L5921" s="2" t="inlineStr">
        <is>
          <t>https://gosfilmofond.ru/films/254289/</t>
        </is>
      </c>
      <c r="M5921" s="2">
        <f>HYPERLINK("https://ru.wikipedia.org/w/index.php?search=%D0%A1%D0%B5%D0%BC%D1%8C%20%D0%B4%D1%80%D1%83%D0%B7%D0%B5%D0%B9%20%D0%AE%D1%81%D1%81%D0%B8%D0%BA%D0%B5%201967%20%D1%84%D0%B8%D0%BB%D1%8C%D0%BC","искать")</f>
        <v/>
      </c>
      <c r="N5921" s="3" t="n"/>
      <c r="O5921" s="2" t="n"/>
      <c r="P5921" s="2" t="n"/>
    </row>
    <row r="5922">
      <c r="A5922" s="2" t="n">
        <v>5921</v>
      </c>
      <c r="B5922" s="2" t="inlineStr"/>
      <c r="C5922" s="2" t="n">
        <v>14449</v>
      </c>
      <c r="D5922" s="3" t="inlineStr">
        <is>
          <t>Филя</t>
        </is>
      </c>
      <c r="E5922" s="2" t="n">
        <v>1986</v>
      </c>
      <c r="F5922" s="2" t="inlineStr">
        <is>
          <t>мультфильм</t>
        </is>
      </c>
      <c r="G5922" s="2" t="inlineStr">
        <is>
          <t>КУЙБЫШЕВТЕЛЕФИЛЬМ</t>
        </is>
      </c>
      <c r="H5922" s="2" t="n">
        <v>405</v>
      </c>
      <c r="I5922" s="2" t="inlineStr"/>
      <c r="J5922" s="2" t="inlineStr"/>
      <c r="K5922" s="3" t="inlineStr">
        <is>
          <t>О том, как добрый и смелый маленький филин понял, что он нужен не только ночью... Старый филин говорил своему внуку: "Не ходи на белый свет, а то пропадешь". Но Филя не послушался деда, вышел утром из чащи и увидел восход солнца и росу на цветах. А потом познакомился с цыплёнком Гошей и помог его папе - Петуху - прогнать мышей с птицефабрики. И оказалось, что добрый и смелый Филя нужен не только ночью.</t>
        </is>
      </c>
      <c r="L5922" s="2" t="inlineStr">
        <is>
          <t>https://animator.ru/db/?p=show_film&amp;fid=6699</t>
        </is>
      </c>
      <c r="M5922" s="2">
        <f>HYPERLINK("https://ru.wikipedia.org/w/index.php?search=%D0%A4%D0%B8%D0%BB%D1%8F%201986%20%D1%84%D0%B8%D0%BB%D1%8C%D0%BC","искать")</f>
        <v/>
      </c>
      <c r="N5922" s="3" t="n"/>
      <c r="O5922" s="2" t="n"/>
      <c r="P5922" s="2" t="n"/>
    </row>
    <row r="5923">
      <c r="A5923" s="2" t="n">
        <v>5922</v>
      </c>
      <c r="B5923" s="2" t="inlineStr"/>
      <c r="C5923" s="2" t="n">
        <v>9451</v>
      </c>
      <c r="D5923" s="3" t="inlineStr">
        <is>
          <t>Леди Макбет Мценского уезда</t>
        </is>
      </c>
      <c r="E5923" s="2" t="n">
        <v>1989</v>
      </c>
      <c r="F5923" s="2" t="inlineStr">
        <is>
          <t>кинофильм</t>
        </is>
      </c>
      <c r="G5923" s="2" t="n"/>
      <c r="H5923" s="2" t="n">
        <v>406</v>
      </c>
      <c r="I5923" s="2" t="inlineStr"/>
      <c r="J5923" s="2" t="inlineStr"/>
      <c r="K5923" s="3" t="inlineStr">
        <is>
          <t>По мотивам одноименного очерка Н.С. Лескова. О жене богатого купца, красавице Катерине Измайловой. Екатерина Львовна вышла замуж явно не по любви. Шесть лет она томилась, а потом не без сопротивления отдалась видному работнику мужа Сергею. Узнав, что любовь, это и есть, скорее всего, то, на что она была способна на этом свете, Катя, имея для этого все, что может дать природа, отдалась страсти полностью.</t>
        </is>
      </c>
      <c r="L5923" s="2" t="inlineStr">
        <is>
          <t>Кино_СССР сводный каталог.xlsx: список фильмов (доп.)</t>
        </is>
      </c>
      <c r="M5923" s="2">
        <f>HYPERLINK("https://ru.wikipedia.org/w/index.php?search=%D0%9B%D0%B5%D0%B4%D0%B8%20%D0%9C%D0%B0%D0%BA%D0%B1%D0%B5%D1%82%20%D0%9C%D1%86%D0%B5%D0%BD%D1%81%D0%BA%D0%BE%D0%B3%D0%BE%20%D1%83%D0%B5%D0%B7%D0%B4%D0%B0%201989%20%D1%84%D0%B8%D0%BB%D1%8C%D0%BC","искать")</f>
        <v/>
      </c>
      <c r="N5923" s="3" t="n"/>
      <c r="O5923" s="2" t="n"/>
      <c r="P5923" s="2" t="n"/>
    </row>
    <row r="5924">
      <c r="A5924" s="2" t="n">
        <v>5923</v>
      </c>
      <c r="B5924" s="2" t="inlineStr"/>
      <c r="C5924" s="2" t="n">
        <v>9993</v>
      </c>
      <c r="D5924" s="3" t="inlineStr">
        <is>
          <t>Обуза</t>
        </is>
      </c>
      <c r="E5924" s="2" t="n">
        <v>1983</v>
      </c>
      <c r="F5924" s="2" t="inlineStr">
        <is>
          <t>телефильм</t>
        </is>
      </c>
      <c r="G5924" s="2" t="inlineStr">
        <is>
          <t>Беларусьфильм</t>
        </is>
      </c>
      <c r="H5924" s="2" t="n">
        <v>406</v>
      </c>
      <c r="I5924" s="2" t="inlineStr"/>
      <c r="J5924" s="2" t="inlineStr"/>
      <c r="K5924" s="3" t="inlineStr">
        <is>
          <t>Телефильм. Маленькая Оля после смерти матери живет вдвоем с отцом. Однажды вечером девочка слышит, как ее отец предлагает любимой девушке Свете остаться у них насовсем. Но та предлагает отдать девочку в круглосуточный садик, чтобы она не стала для них обузой. Оля спрашивает у воспитательницы Вари, что значит это слово? Оля очень привязана к своей воспитательнице и именно ее хотела бы видеть новой мамой.</t>
        </is>
      </c>
      <c r="L5924" s="2" t="inlineStr">
        <is>
          <t>https://www.kino-teatr.ru/short/movie/sov/14157/annot/</t>
        </is>
      </c>
      <c r="M5924" s="2">
        <f>HYPERLINK("https://ru.wikipedia.org/w/index.php?search=%D0%9E%D0%B1%D1%83%D0%B7%D0%B0%201983%20%D1%84%D0%B8%D0%BB%D1%8C%D0%BC","искать")</f>
        <v/>
      </c>
      <c r="N5924" s="3" t="n"/>
      <c r="O5924" s="2" t="n"/>
      <c r="P5924" s="2" t="n"/>
    </row>
    <row r="5925">
      <c r="A5925" s="2" t="n">
        <v>5924</v>
      </c>
      <c r="B5925" s="2" t="inlineStr"/>
      <c r="C5925" s="2" t="n">
        <v>7671</v>
      </c>
      <c r="D5925" s="3" t="inlineStr">
        <is>
          <t>Иванко и царь Поганин</t>
        </is>
      </c>
      <c r="E5925" s="2" t="n">
        <v>1984</v>
      </c>
      <c r="F5925" s="2" t="inlineStr">
        <is>
          <t>телефильм</t>
        </is>
      </c>
      <c r="G5925" s="2" t="n"/>
      <c r="H5925" s="2" t="n">
        <v>407</v>
      </c>
      <c r="I5925" s="2" t="inlineStr"/>
      <c r="J5925" s="2" t="inlineStr"/>
      <c r="K5925" s="3" t="inlineStr">
        <is>
          <t>Сказка о мальчике по имени Иванко, чью мать Маричку вместе со всеми односельчанами угнали в полон слуги царя Поганина. Мальчика усыновляет царь воронов Каркарон и готовит его в наследники, но тот, когда подрастает, отправляется выручать мать из беды. А беда эта больше, чем он думает, ведь его мать не просто пленница — на неё ещё и наложено заклятие. Но любовь, дружба и смелость справятся и с колдовством.</t>
        </is>
      </c>
      <c r="L5925" s="2" t="inlineStr">
        <is>
          <t>https://ru.wikipedia.org/w/index.php?title=%D0%98%D0%B2%D0%B0%D0%BD%D0%BA%D0%BE_%D0%B8_%D1%86%D0%B0%D1%80%D1%8C_%D0%9F%D0%BE%D0%B3%D0%B0%D0%BD%D0%B8%D0%BD&amp;oldid=144232507</t>
        </is>
      </c>
      <c r="M5925" s="2">
        <f>HYPERLINK("https://ru.wikipedia.org/w/index.php?search=%D0%98%D0%B2%D0%B0%D0%BD%D0%BA%D0%BE%20%D0%B8%20%D1%86%D0%B0%D1%80%D1%8C%20%D0%9F%D0%BE%D0%B3%D0%B0%D0%BD%D0%B8%D0%BD%201984%20%D1%84%D0%B8%D0%BB%D1%8C%D0%BC","искать")</f>
        <v/>
      </c>
      <c r="N5925" s="3" t="n"/>
      <c r="O5925" s="2" t="n"/>
      <c r="P5925" s="2" t="n"/>
    </row>
    <row r="5926">
      <c r="A5926" s="2" t="n">
        <v>5925</v>
      </c>
      <c r="B5926" s="2" t="inlineStr"/>
      <c r="C5926" s="2" t="n">
        <v>9007</v>
      </c>
      <c r="D5926" s="3" t="inlineStr">
        <is>
          <t>Райский сад</t>
        </is>
      </c>
      <c r="E5926" s="2" t="n">
        <v>1990</v>
      </c>
      <c r="F5926" s="2" t="inlineStr">
        <is>
          <t>кинофильм</t>
        </is>
      </c>
      <c r="G5926" s="2" t="n"/>
      <c r="H5926" s="2" t="n">
        <v>407</v>
      </c>
      <c r="I5926" s="2" t="inlineStr"/>
      <c r="J5926" s="2" t="inlineStr"/>
      <c r="K5926" s="3" t="inlineStr">
        <is>
          <t>По мотивам туркменских народных сказок. Старик Халназар рассказывает сироте Тойкули о похищенной Гюлькахкас-пери, несущей людям радость. Мальчик решает разыскать Гюлькахкас. Испытания, выпавшие на его долю, разделила повстречавшаяся ему девочка по имени... Гюлькахкас. Лишь в конце своих странствий Тойкули понял, что его спутница - пери, которую он искал, и только доброта и любовь способны творить чудеса.</t>
        </is>
      </c>
      <c r="L5926" s="2" t="inlineStr">
        <is>
          <t>Кино_СССР сводный каталог.xlsx: список фильмов (доп.)</t>
        </is>
      </c>
      <c r="M5926" s="2">
        <f>HYPERLINK("https://ru.wikipedia.org/w/index.php?search=%D0%A0%D0%B0%D0%B9%D1%81%D0%BA%D0%B8%D0%B9%20%D1%81%D0%B0%D0%B4%201990%20%D1%84%D0%B8%D0%BB%D1%8C%D0%BC","искать")</f>
        <v/>
      </c>
      <c r="N5926" s="3" t="n"/>
      <c r="O5926" s="2" t="n"/>
      <c r="P5926" s="2" t="n"/>
    </row>
    <row r="5927">
      <c r="A5927" s="2" t="n">
        <v>5926</v>
      </c>
      <c r="B5927" s="2" t="inlineStr"/>
      <c r="C5927" s="2" t="n">
        <v>9765</v>
      </c>
      <c r="D5927" s="3" t="inlineStr">
        <is>
          <t>Швейк готовится к бою</t>
        </is>
      </c>
      <c r="E5927" s="2" t="n">
        <v>1942</v>
      </c>
      <c r="F5927" s="2" t="inlineStr">
        <is>
          <t>кинофильм</t>
        </is>
      </c>
      <c r="G5927" s="2" t="n"/>
      <c r="H5927" s="2" t="n">
        <v>407</v>
      </c>
      <c r="I5927" s="2" t="inlineStr"/>
      <c r="J5927" s="2" t="inlineStr"/>
      <c r="K5927" s="3" t="inlineStr">
        <is>
          <t>Фильм состоит из двух новелл: «Моды Парижа» и «Последний крестоносец». Чешские патриоты планируют вызволение из застенок гестапо своего соратника. Инсценировав свадьбу, они собираются в одном из местных кабачков. Швейку, играющему роль жениха, предстоит тянуть время, развлекая собравшихся историями о французских патриотах. Операция заканчивается удачно, и бравому солдату снова удаётся одурачить фашистов.</t>
        </is>
      </c>
      <c r="L5927" s="2" t="inlineStr">
        <is>
          <t>https://ru.wikipedia.org/w/index.php?title=%D0%A8%D0%B2%D0%B5%D0%B9%D0%BA_%D0%B3%D0%BE%D1%82%D0%BE%D0%B2%D0%B8%D1%82%D1%81%D1%8F_%D0%BA_%D0%B1%D0%BE%D1%8E&amp;oldid=149108074</t>
        </is>
      </c>
      <c r="M5927" s="2">
        <f>HYPERLINK("https://ru.wikipedia.org/w/index.php?search=%D0%A8%D0%B2%D0%B5%D0%B9%D0%BA%20%D0%B3%D0%BE%D1%82%D0%BE%D0%B2%D0%B8%D1%82%D1%81%D1%8F%20%D0%BA%20%D0%B1%D0%BE%D1%8E%201942%20%D1%84%D0%B8%D0%BB%D1%8C%D0%BC","искать")</f>
        <v/>
      </c>
      <c r="N5927" s="3" t="n"/>
      <c r="O5927" s="2" t="n"/>
      <c r="P5927" s="2" t="n"/>
    </row>
    <row r="5928">
      <c r="A5928" s="2" t="n">
        <v>5927</v>
      </c>
      <c r="B5928" s="2" t="inlineStr"/>
      <c r="C5928" s="2" t="n">
        <v>12998</v>
      </c>
      <c r="D5928" s="3" t="inlineStr">
        <is>
          <t>Хвостик</t>
        </is>
      </c>
      <c r="E5928" s="2" t="n">
        <v>1969</v>
      </c>
      <c r="F5928" s="2" t="inlineStr">
        <is>
          <t>мультфильм</t>
        </is>
      </c>
      <c r="G5928" s="2" t="inlineStr">
        <is>
          <t>КАЗАХФИЛЬМ</t>
        </is>
      </c>
      <c r="H5928" s="2" t="n">
        <v>407</v>
      </c>
      <c r="I5928" s="2" t="inlineStr"/>
      <c r="J5928" s="2" t="inlineStr"/>
      <c r="K5928" s="3" t="inlineStr">
        <is>
          <t>По мотивам казахской народной сказки.
В бедной юрте живут старик и старуха; одна у них отрада - коза. Да уж больно капризная и бодливая, совсем от рук отбилась; вот и съели ее волки. Один хвостик остался. От бабушкиных слез оживает хвостик и превращается в маленького мальчика. Хоть и мал он, да умен - сумел волков перехитрить и лису-воровку прогнать. С тех пор спокойно и счастливо зажили старик и старуха</t>
        </is>
      </c>
      <c r="L5928" s="2" t="inlineStr">
        <is>
          <t>https://gosfilmofond.ru/films/254778/</t>
        </is>
      </c>
      <c r="M5928" s="2">
        <f>HYPERLINK("https://ru.wikipedia.org/w/index.php?search=%D0%A5%D0%B2%D0%BE%D1%81%D1%82%D0%B8%D0%BA%201969%20%D1%84%D0%B8%D0%BB%D1%8C%D0%BC","искать")</f>
        <v/>
      </c>
      <c r="N5928" s="3" t="n"/>
      <c r="O5928" s="2" t="n"/>
      <c r="P5928" s="2" t="n"/>
    </row>
    <row r="5929">
      <c r="A5929" s="2" t="n">
        <v>5928</v>
      </c>
      <c r="B5929" s="2" t="inlineStr"/>
      <c r="C5929" s="2" t="n">
        <v>13350</v>
      </c>
      <c r="D5929" s="3" t="inlineStr">
        <is>
          <t>Ковер-самолет</t>
        </is>
      </c>
      <c r="E5929" s="2" t="n">
        <v>1977</v>
      </c>
      <c r="F5929" s="2" t="inlineStr">
        <is>
          <t>мультфильм</t>
        </is>
      </c>
      <c r="G5929" s="2" t="inlineStr">
        <is>
          <t>ТУРКМЕНФИЛЬМ</t>
        </is>
      </c>
      <c r="H5929" s="2" t="n">
        <v>407</v>
      </c>
      <c r="I5929" s="2" t="inlineStr"/>
      <c r="J5929" s="2" t="inlineStr"/>
      <c r="K5929" s="3" t="inlineStr">
        <is>
          <t>Увидел Мальчик летящего орла и решил сделать себе крылья. Но добрый Джин дарит ему ковер-самолет. Радостный Мальчик летает над землей. Однако вор крадет волшебный ковер и он в конце-концов оказывается у Падишаха, который решает с его помощью завоевать весь мир. Злодей сажает на ковер войско и пытается заключить в клетки все живое, но сам вместе с войском попадает в клетку. А Мальчик вновь мастерит крылья</t>
        </is>
      </c>
      <c r="L5929" s="2" t="inlineStr">
        <is>
          <t>https://gosfilmofond.ru/films/250606/</t>
        </is>
      </c>
      <c r="M5929" s="2">
        <f>HYPERLINK("https://ru.wikipedia.org/w/index.php?search=%D0%9A%D0%BE%D0%B2%D0%B5%D1%80-%D1%81%D0%B0%D0%BC%D0%BE%D0%BB%D0%B5%D1%82%201977%20%D1%84%D0%B8%D0%BB%D1%8C%D0%BC","искать")</f>
        <v/>
      </c>
      <c r="N5929" s="3" t="n"/>
      <c r="O5929" s="2" t="n"/>
      <c r="P5929" s="2" t="n"/>
    </row>
    <row r="5930">
      <c r="A5930" s="2" t="n">
        <v>5929</v>
      </c>
      <c r="B5930" s="2" t="inlineStr"/>
      <c r="C5930" s="2" t="n">
        <v>7528</v>
      </c>
      <c r="D5930" s="3" t="inlineStr">
        <is>
          <t>Долг</t>
        </is>
      </c>
      <c r="E5930" s="2" t="n">
        <v>1977</v>
      </c>
      <c r="F5930" s="2" t="inlineStr">
        <is>
          <t>телефильм</t>
        </is>
      </c>
      <c r="G5930" s="2" t="inlineStr">
        <is>
          <t>Творческое объединение «Экран»</t>
        </is>
      </c>
      <c r="H5930" s="2" t="n">
        <v>408</v>
      </c>
      <c r="I5930" s="2" t="inlineStr"/>
      <c r="J5930" s="2" t="inlineStr"/>
      <c r="K5930" s="3" t="inlineStr">
        <is>
          <t>Фильм по мотивам ранних рассказов Вс. Иванова о гражданской войне. Комиссару Селиванову (Николай Олялин) и нескольким красноармейцам удается бежать из плена. Их преследуют белогвардейцы и басмачи во главе с полковником, которого в своё время освободил под честное слово Селиванов. Спасаясь, красноармейцы захватывают тачанку, в которой находят грудного ребенка, и рискуя жизнью, делают все, чтобы спасти его.</t>
        </is>
      </c>
      <c r="L5930" s="2" t="inlineStr">
        <is>
          <t>Кино_СССР сводный каталог.xlsx: список телефильмов</t>
        </is>
      </c>
      <c r="M5930" s="2">
        <f>HYPERLINK("https://ru.wikipedia.org/w/index.php?search=%D0%94%D0%BE%D0%BB%D0%B3%201977%20%D1%84%D0%B8%D0%BB%D1%8C%D0%BC","искать")</f>
        <v/>
      </c>
      <c r="N5930" s="3" t="n"/>
      <c r="O5930" s="2" t="n"/>
      <c r="P5930" s="2" t="n"/>
    </row>
    <row r="5931">
      <c r="A5931" s="2" t="n">
        <v>5930</v>
      </c>
      <c r="B5931" s="2" t="inlineStr"/>
      <c r="C5931" s="2" t="n">
        <v>7994</v>
      </c>
      <c r="D5931" s="3" t="inlineStr">
        <is>
          <t>Нет чужой земли</t>
        </is>
      </c>
      <c r="E5931" s="2" t="n">
        <v>1990</v>
      </c>
      <c r="F5931" s="2" t="inlineStr">
        <is>
          <t>телефильм</t>
        </is>
      </c>
      <c r="G5931" s="2" t="n"/>
      <c r="H5931" s="2" t="n">
        <v>408</v>
      </c>
      <c r="I5931" s="2" t="inlineStr"/>
      <c r="J5931" s="2" t="inlineStr"/>
      <c r="K5931" s="3" t="inlineStr">
        <is>
          <t>О жизни и просветительской деятельности декабриста Николая Бестужева в Сибири после каторги. 1839 год. Декабристов - братьев Николая и Михаила Бестужевых - переводят с каторги на поселение в забайкальский Селенгинск. Там им предстоит привыкнуть к новым для себя порядкам и традициям. В 1846 году, после смерти матери, к Николаю и Михаилу в Селенгинск на жительство приезжают их сестры - Елена, Мария и Ольга.</t>
        </is>
      </c>
      <c r="L5931" s="2" t="inlineStr">
        <is>
          <t>Кино_СССР сводный каталог.xlsx: список телефильмов</t>
        </is>
      </c>
      <c r="M5931" s="2">
        <f>HYPERLINK("https://ru.wikipedia.org/w/index.php?search=%D0%9D%D0%B5%D1%82%20%D1%87%D1%83%D0%B6%D0%BE%D0%B9%20%D0%B7%D0%B5%D0%BC%D0%BB%D0%B8%201990%20%D1%84%D0%B8%D0%BB%D1%8C%D0%BC","искать")</f>
        <v/>
      </c>
      <c r="N5931" s="3" t="n"/>
      <c r="O5931" s="2" t="n"/>
      <c r="P5931" s="2" t="n"/>
    </row>
    <row r="5932">
      <c r="A5932" s="2" t="n">
        <v>5931</v>
      </c>
      <c r="B5932" s="2" t="inlineStr"/>
      <c r="C5932" s="2" t="n">
        <v>10556</v>
      </c>
      <c r="D5932" s="3" t="inlineStr">
        <is>
          <t>Дарю тебе жизнь</t>
        </is>
      </c>
      <c r="E5932" s="2" t="n">
        <v>1974</v>
      </c>
      <c r="F5932" s="2" t="inlineStr">
        <is>
          <t>фильм-спектакль</t>
        </is>
      </c>
      <c r="G5932" s="2" t="inlineStr">
        <is>
          <t>Главная редакция литературно-драматических программ ЦТ</t>
        </is>
      </c>
      <c r="H5932" s="2" t="n">
        <v>408</v>
      </c>
      <c r="I5932" s="2" t="inlineStr"/>
      <c r="J5932" s="2" t="inlineStr"/>
      <c r="K5932" s="3" t="inlineStr">
        <is>
          <t>По одноименной пьесе Д.Валеева в постановке Московского театра им. М.Н.Ермоловой.
Герой спектакля - секретарь горкома партии Саттаров - человек деятельный, принципиальный, настойчивый в достижении поставленной цели. Его авторитет и знание дела позволили ускорить строительство заводского комплекса. Будучи уже тяжело больным, он остается таким же требовательным и в то же время чутким к окружающим его людям.</t>
        </is>
      </c>
      <c r="L5932" s="2" t="inlineStr">
        <is>
          <t>https://www.kino-teatr.ru/teatr/movie/79225/annot/</t>
        </is>
      </c>
      <c r="M5932" s="2">
        <f>HYPERLINK("https://ru.wikipedia.org/w/index.php?search=%D0%94%D0%B0%D1%80%D1%8E%20%D1%82%D0%B5%D0%B1%D0%B5%20%D0%B6%D0%B8%D0%B7%D0%BD%D1%8C%201974%20%D1%84%D0%B8%D0%BB%D1%8C%D0%BC","искать")</f>
        <v/>
      </c>
      <c r="N5932" s="3" t="n"/>
      <c r="O5932" s="2" t="n"/>
      <c r="P5932" s="2" t="n"/>
    </row>
    <row r="5933">
      <c r="A5933" s="2" t="n">
        <v>5932</v>
      </c>
      <c r="B5933" s="2" t="inlineStr"/>
      <c r="C5933" s="2" t="n">
        <v>10638</v>
      </c>
      <c r="D5933" s="3" t="inlineStr">
        <is>
          <t>Вечерний свет</t>
        </is>
      </c>
      <c r="E5933" s="2" t="n">
        <v>1976</v>
      </c>
      <c r="F5933" s="2" t="inlineStr">
        <is>
          <t>фильм-спектакль</t>
        </is>
      </c>
      <c r="G5933" s="2" t="inlineStr">
        <is>
          <t>Главная редакция литературно-драматических программ ЦТ</t>
        </is>
      </c>
      <c r="H5933" s="2" t="n">
        <v>408</v>
      </c>
      <c r="I5933" s="2" t="inlineStr"/>
      <c r="J5933" s="2" t="inlineStr"/>
      <c r="K5933" s="3" t="inlineStr">
        <is>
          <t>По одноименной пьесе А.Арбузова в постановке Государственного академического театра имени Моссовета.
В областной газете во время отсутствия главного редактора была опубликована критическая статья о неоправданной вырубке леса. Автор статьи был уволен. В нелегком положении оказался и давний друг редактора, его заместитель. Однако областной комитет партии поддержал выступление газеты за справедливую критику.</t>
        </is>
      </c>
      <c r="L5933" s="2" t="inlineStr">
        <is>
          <t>https://www.kino-teatr.ru/teatr/movie/79799/annot/</t>
        </is>
      </c>
      <c r="M5933" s="2">
        <f>HYPERLINK("https://ru.wikipedia.org/w/index.php?search=%D0%92%D0%B5%D1%87%D0%B5%D1%80%D0%BD%D0%B8%D0%B9%20%D1%81%D0%B2%D0%B5%D1%82%201976%20%D1%84%D0%B8%D0%BB%D1%8C%D0%BC","искать")</f>
        <v/>
      </c>
      <c r="N5933" s="3" t="n"/>
      <c r="O5933" s="2" t="n"/>
      <c r="P5933" s="2" t="n"/>
    </row>
    <row r="5934">
      <c r="A5934" s="2" t="n">
        <v>5933</v>
      </c>
      <c r="B5934" s="2" t="inlineStr"/>
      <c r="C5934" s="2" t="n">
        <v>11529</v>
      </c>
      <c r="D5934" s="3" t="inlineStr">
        <is>
          <t>Умка</t>
        </is>
      </c>
      <c r="E5934" s="2" t="n">
        <v>1969</v>
      </c>
      <c r="F5934" s="2" t="inlineStr">
        <is>
          <t>мультфильм</t>
        </is>
      </c>
      <c r="G5934" s="2" t="inlineStr">
        <is>
          <t>Союзмультфильм</t>
        </is>
      </c>
      <c r="H5934" s="2" t="n">
        <v>409</v>
      </c>
      <c r="I5934" s="2" t="inlineStr"/>
      <c r="J5934" s="2" t="inlineStr"/>
      <c r="K5934" s="3" t="inlineStr">
        <is>
          <t>Все впервой маленькому медвежонку Умке: и печальная рыба-солнце, и прогулка с мамой-медведицей...Совсем близко подошли они к деревне. Вдруг рядом пронесся олень, а с него упал тоже "медвежонок", только на двух ногах. И пока мама-медведица добывала рыбу, Умка подружился с мальчиком и поиграл с ним...Но мама позвала Умку, а когда он вернулся, мальчика уже не было, и только шапка осталась медвежонку на память</t>
        </is>
      </c>
      <c r="L5934" s="2" t="inlineStr">
        <is>
          <t>https://gosfilmofond.ru/films/254776/</t>
        </is>
      </c>
      <c r="M5934" s="2">
        <f>HYPERLINK("https://ru.wikipedia.org/w/index.php?search=%D0%A3%D0%BC%D0%BA%D0%B0%201969%20%D1%84%D0%B8%D0%BB%D1%8C%D0%BC","искать")</f>
        <v/>
      </c>
      <c r="N5934" s="3" t="n"/>
      <c r="O5934" s="2" t="n"/>
      <c r="P5934" s="2" t="n"/>
    </row>
    <row r="5935">
      <c r="A5935" s="2" t="n">
        <v>5934</v>
      </c>
      <c r="B5935" s="2" t="inlineStr"/>
      <c r="C5935" s="2" t="n">
        <v>7461</v>
      </c>
      <c r="D5935" s="3" t="inlineStr">
        <is>
          <t>Гражданский иск</t>
        </is>
      </c>
      <c r="E5935" s="2" t="n">
        <v>1988</v>
      </c>
      <c r="F5935" s="2" t="inlineStr">
        <is>
          <t>телефильм</t>
        </is>
      </c>
      <c r="G5935" s="2" t="n"/>
      <c r="H5935" s="2" t="n">
        <v>410</v>
      </c>
      <c r="I5935" s="2" t="inlineStr"/>
      <c r="J5935" s="2" t="inlineStr"/>
      <c r="K5935" s="3" t="inlineStr">
        <is>
          <t>Телефильм. Директор химкомбината Бутов получает новое назначение, он переведен в Москву. С этой новостью Бутов возвращается домой, в свой небольшой городок. Там только что закончился суд по делу об отравлении нутрий на звероферме колхоза из-за попадания в реку отходов химкомбината. Суд заканчивается для него благополучно, но становится известно, что загрязнение реки стало причиной смерти нескольких человек.</t>
        </is>
      </c>
      <c r="L5935" s="2" t="inlineStr">
        <is>
          <t>Кино_СССР сводный каталог.xlsx: список телефильмов</t>
        </is>
      </c>
      <c r="M5935" s="2">
        <f>HYPERLINK("https://ru.wikipedia.org/w/index.php?search=%D0%93%D1%80%D0%B0%D0%B6%D0%B4%D0%B0%D0%BD%D1%81%D0%BA%D0%B8%D0%B9%20%D0%B8%D1%81%D0%BA%201988%20%D1%84%D0%B8%D0%BB%D1%8C%D0%BC","искать")</f>
        <v/>
      </c>
      <c r="N5935" s="3" t="n"/>
      <c r="O5935" s="2" t="n"/>
      <c r="P5935" s="2" t="n"/>
    </row>
    <row r="5936">
      <c r="A5936" s="2" t="n">
        <v>5935</v>
      </c>
      <c r="B5936" s="2" t="inlineStr"/>
      <c r="C5936" s="2" t="n">
        <v>8334</v>
      </c>
      <c r="D5936" s="3" t="inlineStr">
        <is>
          <t>Сергеев ищет Сергеева</t>
        </is>
      </c>
      <c r="E5936" s="2" t="n">
        <v>1974</v>
      </c>
      <c r="F5936" s="2" t="inlineStr">
        <is>
          <t>телефильм</t>
        </is>
      </c>
      <c r="G5936" s="2" t="inlineStr">
        <is>
          <t>Беларусьфильм</t>
        </is>
      </c>
      <c r="H5936" s="2" t="n">
        <v>410</v>
      </c>
      <c r="I5936" s="2" t="inlineStr"/>
      <c r="J5936" s="2" t="inlineStr"/>
      <c r="K5936" s="3" t="inlineStr">
        <is>
          <t>Телефильм. Сотрудник научно-исследовательского института Юрий Сергеев таинственно исчез. В ходе расследования, который ведет участковый милиционер Илья Сергеев, однофамилец пропавшего, выясняется, что Юрий находится в командировке, но об этом в институте толком никто ничего не знает. Милиция находит Сергеева, но к этому времени пропадает начальник отдела, в котором работает Юрий, и вновь объявляется розыск.</t>
        </is>
      </c>
      <c r="L5936" s="2" t="inlineStr">
        <is>
          <t>Кино_СССР сводный каталог.xlsx: список телефильмов</t>
        </is>
      </c>
      <c r="M5936" s="2">
        <f>HYPERLINK("https://ru.wikipedia.org/w/index.php?search=%D0%A1%D0%B5%D1%80%D0%B3%D0%B5%D0%B5%D0%B2%20%D0%B8%D1%89%D0%B5%D1%82%20%D0%A1%D0%B5%D1%80%D0%B3%D0%B5%D0%B5%D0%B2%D0%B0%201974%20%D1%84%D0%B8%D0%BB%D1%8C%D0%BC","искать")</f>
        <v/>
      </c>
      <c r="N5936" s="3" t="n"/>
      <c r="O5936" s="2" t="n"/>
      <c r="P5936" s="2" t="n"/>
    </row>
    <row r="5937">
      <c r="A5937" s="2" t="n">
        <v>5936</v>
      </c>
      <c r="B5937" s="2" t="inlineStr"/>
      <c r="C5937" s="2" t="n">
        <v>9011</v>
      </c>
      <c r="D5937" s="3" t="inlineStr">
        <is>
          <t>Резиновая женщина</t>
        </is>
      </c>
      <c r="E5937" s="2" t="n">
        <v>1991</v>
      </c>
      <c r="F5937" s="2" t="inlineStr">
        <is>
          <t>кинофильм</t>
        </is>
      </c>
      <c r="G5937" s="2" t="n"/>
      <c r="H5937" s="2" t="n">
        <v>410</v>
      </c>
      <c r="I5937" s="2" t="inlineStr"/>
      <c r="J5937" s="2" t="inlineStr"/>
      <c r="K5937" s="3" t="inlineStr">
        <is>
          <t>Эдуард Марцевич удивительно хорош в роли скульптора, семья которого эмигрировала, а он не захотел и теперь живет отшельником на даче, попивая водочку с местным бодрым пьяницей Никоненко и "заделывая гипсовых поросят" для его жены Руслановой, торгующей сей продукцией на Старом Арбате. Друг присылает ему из Италии резиновую женщину, принимающую чудодейственным образом внешность Натальи Гурзо в застывшем виде.</t>
        </is>
      </c>
      <c r="L5937" s="2" t="inlineStr">
        <is>
          <t>Кино_СССР сводный каталог.xlsx: список фильмов (доп.)</t>
        </is>
      </c>
      <c r="M5937" s="2">
        <f>HYPERLINK("https://ru.wikipedia.org/w/index.php?search=%D0%A0%D0%B5%D0%B7%D0%B8%D0%BD%D0%BE%D0%B2%D0%B0%D1%8F%20%D0%B6%D0%B5%D0%BD%D1%89%D0%B8%D0%BD%D0%B0%201991%20%D1%84%D0%B8%D0%BB%D1%8C%D0%BC","искать")</f>
        <v/>
      </c>
      <c r="N5937" s="3" t="n"/>
      <c r="O5937" s="2" t="n"/>
      <c r="P5937" s="2" t="n"/>
    </row>
    <row r="5938">
      <c r="A5938" s="2" t="n">
        <v>5937</v>
      </c>
      <c r="B5938" s="2" t="inlineStr"/>
      <c r="C5938" s="2" t="n">
        <v>11508</v>
      </c>
      <c r="D5938" s="3" t="inlineStr">
        <is>
          <t>Винни-Пух</t>
        </is>
      </c>
      <c r="E5938" s="2" t="n">
        <v>1969</v>
      </c>
      <c r="F5938" s="2" t="inlineStr">
        <is>
          <t>мультфильм</t>
        </is>
      </c>
      <c r="G5938" s="2" t="inlineStr">
        <is>
          <t>Союзмультфильм</t>
        </is>
      </c>
      <c r="H5938" s="2" t="n">
        <v>410</v>
      </c>
      <c r="I5938" s="2" t="inlineStr"/>
      <c r="J5938" s="2" t="inlineStr"/>
      <c r="K5938" s="3" t="inlineStr">
        <is>
          <t>Медвеженок Винни-Пух, гуляя по лесу и сочиняя забавные песенки, натыкается на высокий дуб, в дупле которого пчелы устроили улей. Винни зовет на подмогу поросенка Пятачка. На его воздушном шарике он подымается к дуплу. Чтобы обмануть пчел, похититель меда изображает из себя тучку, а Пятачек разгуливает с зонтиком и делает вид, будто собирается дождик. Но пчелы смело защищают улей, и лакомке здорово достается</t>
        </is>
      </c>
      <c r="L5938" s="2" t="inlineStr">
        <is>
          <t>https://gosfilmofond.ru/films/254734/</t>
        </is>
      </c>
      <c r="M5938" s="2">
        <f>HYPERLINK("https://ru.wikipedia.org/w/index.php?search=%D0%92%D0%B8%D0%BD%D0%BD%D0%B8-%D0%9F%D1%83%D1%85%201969%20%D1%84%D0%B8%D0%BB%D1%8C%D0%BC","искать")</f>
        <v/>
      </c>
      <c r="N5938" s="3" t="n"/>
      <c r="O5938" s="2" t="n"/>
      <c r="P5938" s="2" t="n"/>
    </row>
    <row r="5939">
      <c r="A5939" s="2" t="n">
        <v>5938</v>
      </c>
      <c r="B5939" s="2" t="inlineStr"/>
      <c r="C5939" s="2" t="n">
        <v>7347</v>
      </c>
      <c r="D5939" s="3" t="inlineStr">
        <is>
          <t>Вместе</t>
        </is>
      </c>
      <c r="E5939" s="2" t="n">
        <v>1988</v>
      </c>
      <c r="F5939" s="2" t="inlineStr">
        <is>
          <t>телефильм</t>
        </is>
      </c>
      <c r="G5939" s="2" t="n"/>
      <c r="H5939" s="2" t="n">
        <v>411</v>
      </c>
      <c r="I5939" s="2" t="inlineStr"/>
      <c r="J5939" s="2" t="inlineStr"/>
      <c r="K5939" s="3" t="inlineStr">
        <is>
          <t>В казахском селе живут дед Джумагали с шестилетним внуком Аханом, еще в младенчестве оставшемся сиротой. Нелегко им приходится, хотя мальчик уже научился раздувать самовар, мыть посуду и за ходить за скотиной. Но старик давно и тяжело болен, и он знает, что долго ему не протянуть. Вот и решил Джумагали расстаться с любимым внуком - отправил его в город к родственникам, а сам остался доживать свой век в селе.</t>
        </is>
      </c>
      <c r="L5939" s="2" t="inlineStr">
        <is>
          <t>Кино_СССР сводный каталог.xlsx: список телефильмов</t>
        </is>
      </c>
      <c r="M5939" s="2">
        <f>HYPERLINK("https://ru.wikipedia.org/w/index.php?search=%D0%92%D0%BC%D0%B5%D1%81%D1%82%D0%B5%201988%20%D1%84%D0%B8%D0%BB%D1%8C%D0%BC","искать")</f>
        <v/>
      </c>
      <c r="N5939" s="3" t="n"/>
      <c r="O5939" s="2" t="n"/>
      <c r="P5939" s="2" t="n"/>
    </row>
    <row r="5940">
      <c r="A5940" s="2" t="n">
        <v>5939</v>
      </c>
      <c r="B5940" s="2" t="inlineStr"/>
      <c r="C5940" s="2" t="n">
        <v>7549</v>
      </c>
      <c r="D5940" s="3" t="inlineStr">
        <is>
          <t>Дорога</t>
        </is>
      </c>
      <c r="E5940" s="2" t="n">
        <v>1975</v>
      </c>
      <c r="F5940" s="2" t="inlineStr">
        <is>
          <t>телефильм</t>
        </is>
      </c>
      <c r="G5940" s="2" t="inlineStr">
        <is>
          <t>Свердловская киностудия</t>
        </is>
      </c>
      <c r="H5940" s="2" t="n">
        <v>411</v>
      </c>
      <c r="I5940" s="2" t="inlineStr"/>
      <c r="J5940" s="2" t="inlineStr"/>
      <c r="K5940" s="3" t="inlineStr">
        <is>
          <t>Лена и Паша приезжают в родной город девушки, чтобы подать заявление на развод. Паша не понимает мотивов развода и очень расстраивается по этому поводу. Но в ЗАГСе говорят, что необходимо подождать три месяца. Молодые люди решают на это время остаться в городе и договариваются не встречаться и не общаться. Они оба устраиваются на строительство крупной дороги, и с этого момента их судьба кардинально меняется.</t>
        </is>
      </c>
      <c r="L5940" s="2" t="inlineStr">
        <is>
          <t>https://ru.wikipedia.org/w/index.php?title=%D0%94%D0%BE%D1%80%D0%BE%D0%B3%D0%B0_%28%D1%84%D0%B8%D0%BB%D1%8C%D0%BC%2C_1975%29&amp;oldid=148004903</t>
        </is>
      </c>
      <c r="M5940" s="2">
        <f>HYPERLINK("https://ru.wikipedia.org/w/index.php?search=%D0%94%D0%BE%D1%80%D0%BE%D0%B3%D0%B0%201975%20%D1%84%D0%B8%D0%BB%D1%8C%D0%BC","искать")</f>
        <v/>
      </c>
      <c r="N5940" s="3" t="n"/>
      <c r="O5940" s="2" t="n"/>
      <c r="P5940" s="2" t="n"/>
    </row>
    <row r="5941">
      <c r="A5941" s="2" t="n">
        <v>5940</v>
      </c>
      <c r="B5941" s="2" t="inlineStr"/>
      <c r="C5941" s="2" t="n">
        <v>9360</v>
      </c>
      <c r="D5941" s="3" t="inlineStr">
        <is>
          <t>Живодёр</t>
        </is>
      </c>
      <c r="E5941" s="2" t="n">
        <v>1990</v>
      </c>
      <c r="F5941" s="2" t="inlineStr">
        <is>
          <t>кинофильм</t>
        </is>
      </c>
      <c r="G5941" s="2" t="n"/>
      <c r="H5941" s="2" t="n">
        <v>411</v>
      </c>
      <c r="I5941" s="2" t="inlineStr"/>
      <c r="J5941" s="2" t="inlineStr"/>
      <c r="K5941" s="3" t="inlineStr">
        <is>
          <t>Трогательная история о сильном, внешне грубоватом человеке, работающем в питомнике. Одиночество — не тема личных переживаний героя, он любит животных — и в этом вся его жизнь. Но однажды он получает приказ из управления убить одного из двух медведей — Митьку, того самого, которого вырастил... В 2001 году Николай Соловцов сделал новый вариант этого фильма, дополнив его не вошедшими в начальную версию сценами.</t>
        </is>
      </c>
      <c r="L5941" s="2" t="inlineStr">
        <is>
          <t>Кино_СССР сводный каталог.xlsx: список фильмов (доп.)</t>
        </is>
      </c>
      <c r="M5941" s="2">
        <f>HYPERLINK("https://ru.wikipedia.org/w/index.php?search=%D0%96%D0%B8%D0%B2%D0%BE%D0%B4%D1%91%D1%80%201990%20%D1%84%D0%B8%D0%BB%D1%8C%D0%BC","искать")</f>
        <v/>
      </c>
      <c r="N5941" s="3" t="n"/>
      <c r="O5941" s="2" t="n"/>
      <c r="P5941" s="2" t="n"/>
    </row>
    <row r="5942">
      <c r="A5942" s="2" t="n">
        <v>5941</v>
      </c>
      <c r="B5942" s="2" t="inlineStr"/>
      <c r="C5942" s="2" t="n">
        <v>10794</v>
      </c>
      <c r="D5942" s="3" t="inlineStr">
        <is>
          <t>Ватага "Семь ветров"</t>
        </is>
      </c>
      <c r="E5942" s="2" t="n">
        <v>1979</v>
      </c>
      <c r="F5942" s="2" t="inlineStr">
        <is>
          <t>фильм-спектакль</t>
        </is>
      </c>
      <c r="G5942" s="2" t="inlineStr">
        <is>
          <t>Студия Центрального телевидения</t>
        </is>
      </c>
      <c r="H5942" s="2" t="n">
        <v>411</v>
      </c>
      <c r="I5942" s="2" t="inlineStr"/>
      <c r="J5942" s="2" t="inlineStr"/>
      <c r="K5942" s="3" t="inlineStr">
        <is>
          <t>Многосерийный фильм-спектакль повести писателя Симона Соловейчика.
В школе одного из спальных районов подмосковного рабочего города учатся дети как дети - из вполне благополучных семей, но разрозненные, ничем особо не увлеченные. Жизнь девятого класса определяет семьветровская ватага... Учитель истории ставит перед собой задачу сплотить ребят, одухотворить, сделать их жизнь более творческой и содержательной.</t>
        </is>
      </c>
      <c r="L5942" s="2" t="inlineStr">
        <is>
          <t>https://www.kino-teatr.ru/teatr/movie/9010/annot/</t>
        </is>
      </c>
      <c r="M5942" s="2">
        <f>HYPERLINK("https://ru.wikipedia.org/w/index.php?search=%D0%92%D0%B0%D1%82%D0%B0%D0%B3%D0%B0%20%22%D0%A1%D0%B5%D0%BC%D1%8C%20%D0%B2%D0%B5%D1%82%D1%80%D0%BE%D0%B2%22%201979%20%D1%84%D0%B8%D0%BB%D1%8C%D0%BC","искать")</f>
        <v/>
      </c>
      <c r="N5942" s="3" t="n"/>
      <c r="O5942" s="2" t="n"/>
      <c r="P5942" s="2" t="n"/>
    </row>
    <row r="5943">
      <c r="A5943" s="2" t="n">
        <v>5942</v>
      </c>
      <c r="B5943" s="2" t="inlineStr"/>
      <c r="C5943" s="2" t="n">
        <v>13049</v>
      </c>
      <c r="D5943" s="3" t="inlineStr">
        <is>
          <t>Чудной даука</t>
        </is>
      </c>
      <c r="E5943" s="2" t="n">
        <v>1968</v>
      </c>
      <c r="F5943" s="2" t="inlineStr">
        <is>
          <t>мультфильм</t>
        </is>
      </c>
      <c r="G5943" s="2" t="inlineStr">
        <is>
          <t>РИЖСКАЯ КИНОСТУДИЯ</t>
        </is>
      </c>
      <c r="H5943" s="2" t="n">
        <v>411</v>
      </c>
      <c r="I5943" s="2" t="inlineStr"/>
      <c r="J5943" s="2" t="inlineStr"/>
      <c r="K5943" s="3" t="inlineStr">
        <is>
          <t>По мотивам повести Судрабу Эджуе о бедном сироте Дауке.
В деревне Дауку зовут чудным, потому что он постоянно задает всем вопросы: куда девается солнце, когда садится в море; правда ли, что земля круглая. Ответа на свои вопросы он нигде не получает: ни работая подпаском, ни в школе, ни у портного, куда его отдали учиться. Наконец, он решает сам увидеть, что же происходит с солнцем, и уплывает на лодке в море</t>
        </is>
      </c>
      <c r="L5943" s="2" t="inlineStr">
        <is>
          <t>https://gosfilmofond.ru/films/246759/</t>
        </is>
      </c>
      <c r="M5943" s="2">
        <f>HYPERLINK("https://ru.wikipedia.org/w/index.php?search=%D0%A7%D1%83%D0%B4%D0%BD%D0%BE%D0%B9%20%D0%B4%D0%B0%D1%83%D0%BA%D0%B0%201968%20%D1%84%D0%B8%D0%BB%D1%8C%D0%BC","искать")</f>
        <v/>
      </c>
      <c r="N5943" s="3" t="n"/>
      <c r="O5943" s="2" t="n"/>
      <c r="P5943" s="2" t="n"/>
    </row>
    <row r="5944">
      <c r="A5944" s="2" t="n">
        <v>5943</v>
      </c>
      <c r="B5944" s="2" t="inlineStr"/>
      <c r="C5944" s="2" t="n">
        <v>13184</v>
      </c>
      <c r="D5944" s="3" t="inlineStr">
        <is>
          <t>Попрыгунчик</t>
        </is>
      </c>
      <c r="E5944" s="2" t="n">
        <v>1969</v>
      </c>
      <c r="F5944" s="2" t="inlineStr">
        <is>
          <t>мультфильм</t>
        </is>
      </c>
      <c r="G5944" s="2" t="inlineStr">
        <is>
          <t>УЗБЕКФИЛЬМ</t>
        </is>
      </c>
      <c r="H5944" s="2" t="n">
        <v>411</v>
      </c>
      <c r="I5944" s="2" t="inlineStr"/>
      <c r="J5944" s="2" t="inlineStr"/>
      <c r="K5944" s="3" t="inlineStr">
        <is>
          <t>Ночью в магазине игрушек оживают фигурки кукол и зверюшек. Играя между собой, они обнаруживают коробку с надписью "Попрыгунчик". Выскочив из коробки, маленький пружинистый человечек начинает толкаться, всем мешать, буянить, разрушает железную дорогу. Игрушки решают проучить нахала. Они катают его в ракете под потолком. Испугавшись, он признает, что вел себя плохо, и просит у всех извинения за свое поведение.</t>
        </is>
      </c>
      <c r="L5944" s="2" t="inlineStr">
        <is>
          <t>https://gosfilmofond.ru/films/254712/</t>
        </is>
      </c>
      <c r="M5944" s="2">
        <f>HYPERLINK("https://ru.wikipedia.org/w/index.php?search=%D0%9F%D0%BE%D0%BF%D1%80%D1%8B%D0%B3%D1%83%D0%BD%D1%87%D0%B8%D0%BA%201969%20%D1%84%D0%B8%D0%BB%D1%8C%D0%BC","искать")</f>
        <v/>
      </c>
      <c r="N5944" s="3" t="n"/>
      <c r="O5944" s="2" t="n"/>
      <c r="P5944" s="2" t="n"/>
    </row>
    <row r="5945">
      <c r="A5945" s="2" t="n">
        <v>5944</v>
      </c>
      <c r="B5945" s="2" t="inlineStr"/>
      <c r="C5945" s="2" t="n">
        <v>7501</v>
      </c>
      <c r="D5945" s="3" t="inlineStr">
        <is>
          <t>День за днём</t>
        </is>
      </c>
      <c r="E5945" s="2" t="n">
        <v>1971</v>
      </c>
      <c r="F5945" s="2" t="inlineStr">
        <is>
          <t>телефильм</t>
        </is>
      </c>
      <c r="G5945" s="2" t="n"/>
      <c r="H5945" s="2" t="n">
        <v>412</v>
      </c>
      <c r="I5945" s="2" t="inlineStr"/>
      <c r="J5945" s="2" t="inlineStr"/>
      <c r="K5945" s="3" t="inlineStr">
        <is>
          <t>Действие строится вокруг жильцов московской коммунальной квартиры, в частности, семей Якушевых и Баныкиных. Их прекрасным взаимоотношениям могут позавидовать даже самые близкие родственники. На протяжении многих дней перед зрителями открываются сложные судьбы разных людей. Но старый дом идет на слом, и всех соседей расселяют по разным квартирам… Этот первый советский сериал пользовался огромной популярностью.</t>
        </is>
      </c>
      <c r="L5945" s="2" t="inlineStr">
        <is>
          <t>Кино_СССР сводный каталог.xlsx: список телефильмов</t>
        </is>
      </c>
      <c r="M5945" s="2">
        <f>HYPERLINK("https://ru.wikipedia.org/w/index.php?search=%D0%94%D0%B5%D0%BD%D1%8C%20%D0%B7%D0%B0%20%D0%B4%D0%BD%D1%91%D0%BC%201971%20%D1%84%D0%B8%D0%BB%D1%8C%D0%BC","искать")</f>
        <v/>
      </c>
      <c r="N5945" s="3" t="n"/>
      <c r="O5945" s="2" t="n"/>
      <c r="P5945" s="2" t="n"/>
    </row>
    <row r="5946">
      <c r="A5946" s="2" t="n">
        <v>5945</v>
      </c>
      <c r="B5946" s="2" t="inlineStr"/>
      <c r="C5946" s="2" t="n">
        <v>7809</v>
      </c>
      <c r="D5946" s="3" t="inlineStr">
        <is>
          <t>Линия жизни</t>
        </is>
      </c>
      <c r="E5946" s="2" t="n">
        <v>1981</v>
      </c>
      <c r="F5946" s="2" t="inlineStr">
        <is>
          <t>телефильм</t>
        </is>
      </c>
      <c r="G5946" s="2" t="n"/>
      <c r="H5946" s="2" t="n">
        <v>412</v>
      </c>
      <c r="I5946" s="2" t="inlineStr"/>
      <c r="J5946" s="2" t="inlineStr"/>
      <c r="K5946" s="3" t="inlineStr">
        <is>
          <t>Телефильм. Действие фильма происходит на строительстве тоннеля в Заполярье. Молодого инженера Андрея Арефьева назначают начальником участка. Между ним и Николаем Крумовым, начальником соседнего участка, возникает серьезный конфликт. И дело тут не только в разных профессиональных подходах к методам строительства в тяжелых условиях: любимая девушка Арефьева Светлана, нисколько не мучаясь, предпочла ему Крумова.</t>
        </is>
      </c>
      <c r="L5946" s="2" t="inlineStr">
        <is>
          <t>Кино_СССР сводный каталог.xlsx: список телефильмов</t>
        </is>
      </c>
      <c r="M5946" s="2">
        <f>HYPERLINK("https://ru.wikipedia.org/w/index.php?search=%D0%9B%D0%B8%D0%BD%D0%B8%D1%8F%20%D0%B6%D0%B8%D0%B7%D0%BD%D0%B8%201981%20%D1%84%D0%B8%D0%BB%D1%8C%D0%BC","искать")</f>
        <v/>
      </c>
      <c r="N5946" s="3" t="n"/>
      <c r="O5946" s="2" t="n"/>
      <c r="P5946" s="2" t="n"/>
    </row>
    <row r="5947">
      <c r="A5947" s="2" t="n">
        <v>5946</v>
      </c>
      <c r="B5947" s="2" t="inlineStr"/>
      <c r="C5947" s="2" t="n">
        <v>11124</v>
      </c>
      <c r="D5947" s="3" t="inlineStr">
        <is>
          <t>Пиквикский клуб</t>
        </is>
      </c>
      <c r="E5947" s="2" t="n">
        <v>1986</v>
      </c>
      <c r="F5947" s="2" t="inlineStr">
        <is>
          <t>фильм-спектакль</t>
        </is>
      </c>
      <c r="G5947" s="2" t="inlineStr">
        <is>
          <t>Лентелефильм</t>
        </is>
      </c>
      <c r="H5947" s="2" t="n">
        <v>412</v>
      </c>
      <c r="I5947" s="2" t="inlineStr"/>
      <c r="J5947" s="2" t="inlineStr"/>
      <c r="K5947" s="3" t="inlineStr">
        <is>
          <t>Фильм-спектакль.
Сценическая версия БДТ им. Горького в постановке Г.Товстоногова.
История о жизни и приключениях наивного и мудрого мистера Пиквика, неутомимого исследователя человеческой природы и окружающей нас действительности. Веселый, смешной, полный доброго юмора красочный спектакль. Забавные характеры героев дают повод для остроумных актерских импровизаций, которые неизменно находили отклик у зрителей.</t>
        </is>
      </c>
      <c r="L5947" s="2" t="inlineStr">
        <is>
          <t>https://www.kino-teatr.ru/teatr/movie/5121/annot/</t>
        </is>
      </c>
      <c r="M5947" s="2">
        <f>HYPERLINK("https://ru.wikipedia.org/w/index.php?search=%D0%9F%D0%B8%D0%BA%D0%B2%D0%B8%D0%BA%D1%81%D0%BA%D0%B8%D0%B9%20%D0%BA%D0%BB%D1%83%D0%B1%201986%20%D1%84%D0%B8%D0%BB%D1%8C%D0%BC","искать")</f>
        <v/>
      </c>
      <c r="N5947" s="3" t="n"/>
      <c r="O5947" s="2" t="n"/>
      <c r="P5947" s="2" t="n"/>
    </row>
    <row r="5948">
      <c r="A5948" s="2" t="n">
        <v>5947</v>
      </c>
      <c r="B5948" s="2" t="inlineStr"/>
      <c r="C5948" s="2" t="n">
        <v>7316</v>
      </c>
      <c r="D5948" s="3" t="inlineStr">
        <is>
          <t>Везучий человек</t>
        </is>
      </c>
      <c r="E5948" s="2" t="n">
        <v>1987</v>
      </c>
      <c r="F5948" s="2" t="inlineStr">
        <is>
          <t>телефильм</t>
        </is>
      </c>
      <c r="G5948" s="2" t="n"/>
      <c r="H5948" s="2" t="n">
        <v>413</v>
      </c>
      <c r="I5948" s="2" t="inlineStr"/>
      <c r="J5948" s="2" t="inlineStr"/>
      <c r="K5948" s="3" t="inlineStr">
        <is>
          <t>Мелодрама по мотивам повести Юрия Чернякова «Прокол». Прораба Макарова направляют в командировку на строительство комбината, где под его началом работает бригада, в которую входят пять человек - "алконавтов", как прозвали их другие рабочие. Ответственность за доверенных ему людей, мудрость много повидавшего в жизни человека помогают Макарову установить с ними контакт, пробудить в них стремление к лучшей жизни.</t>
        </is>
      </c>
      <c r="L5948" s="2" t="inlineStr">
        <is>
          <t>Кино_СССР сводный каталог.xlsx: список телефильмов</t>
        </is>
      </c>
      <c r="M5948" s="2">
        <f>HYPERLINK("https://ru.wikipedia.org/w/index.php?search=%D0%92%D0%B5%D0%B7%D1%83%D1%87%D0%B8%D0%B9%20%D1%87%D0%B5%D0%BB%D0%BE%D0%B2%D0%B5%D0%BA%201987%20%D1%84%D0%B8%D0%BB%D1%8C%D0%BC","искать")</f>
        <v/>
      </c>
      <c r="N5948" s="3" t="n"/>
      <c r="O5948" s="2" t="n"/>
      <c r="P5948" s="2" t="n"/>
    </row>
    <row r="5949">
      <c r="A5949" s="2" t="n">
        <v>5948</v>
      </c>
      <c r="B5949" s="2" t="inlineStr"/>
      <c r="C5949" s="2" t="n">
        <v>10069</v>
      </c>
      <c r="D5949" s="3" t="inlineStr">
        <is>
          <t>Сто тысяч</t>
        </is>
      </c>
      <c r="E5949" s="2" t="n">
        <v>1958</v>
      </c>
      <c r="F5949" s="2" t="inlineStr">
        <is>
          <t>фильм-спектакль</t>
        </is>
      </c>
      <c r="G5949" s="2" t="inlineStr">
        <is>
          <t>Киевская киностудия</t>
        </is>
      </c>
      <c r="H5949" s="2" t="n">
        <v>413</v>
      </c>
      <c r="I5949" s="2" t="inlineStr"/>
      <c r="J5949" s="2" t="inlineStr"/>
      <c r="K5949" s="3" t="inlineStr">
        <is>
          <t>Фильм-спектакль по одноименной пьесе И. Карпенко-Карого в постановке Киевского академического украинского драматического театра им. И.Франко. Режиссер спектакля - Гнат Юра.
Главный герой, Герасим Калитка (Димитрий Милютенко), мечтает о ста тысячах рублей, чтобы приобрести как можно больше земли. Для этого он решается купить купюры у фальшивомонетчика. Но вместо банкнот мошенник подсунул Калитке чистые бумажки.</t>
        </is>
      </c>
      <c r="L5949" s="2" t="inlineStr">
        <is>
          <t>https://www.kino-teatr.ru/teatr/movie/12979/annot/</t>
        </is>
      </c>
      <c r="M5949" s="2">
        <f>HYPERLINK("https://ru.wikipedia.org/w/index.php?search=%D0%A1%D1%82%D0%BE%20%D1%82%D1%8B%D1%81%D1%8F%D1%87%201958%20%D1%84%D0%B8%D0%BB%D1%8C%D0%BC","искать")</f>
        <v/>
      </c>
      <c r="N5949" s="3" t="n"/>
      <c r="O5949" s="2" t="n"/>
      <c r="P5949" s="2" t="n"/>
    </row>
    <row r="5950">
      <c r="A5950" s="2" t="n">
        <v>5949</v>
      </c>
      <c r="B5950" s="2" t="inlineStr"/>
      <c r="C5950" s="2" t="n">
        <v>10243</v>
      </c>
      <c r="D5950" s="3" t="inlineStr">
        <is>
          <t>Гуля Королёва</t>
        </is>
      </c>
      <c r="E5950" s="2" t="n">
        <v>1968</v>
      </c>
      <c r="F5950" s="2" t="inlineStr">
        <is>
          <t>фильм-спектакль</t>
        </is>
      </c>
      <c r="G5950" s="2" t="inlineStr">
        <is>
          <t>Центральное телевидение</t>
        </is>
      </c>
      <c r="H5950" s="2" t="n">
        <v>413</v>
      </c>
      <c r="I5950" s="2" t="inlineStr"/>
      <c r="J5950" s="2" t="inlineStr"/>
      <c r="K5950" s="3" t="inlineStr">
        <is>
          <t>По мотивам повести Елены Ильиной "Четвертая высота".
С детства Гуля Королева воспитывала в себе силу воли, умение преодолевать трудности, брать свои высоты. Главным экзаменом ее недолгой жизни стала война. В Сталинградской битве под огнем Гуля выносила раненых солдат и, будучи сама раненой, нашла в себе силы повести за собой отряд в наступление. Она взяла свою четвертую высоту, которая стала для нее последней.</t>
        </is>
      </c>
      <c r="L5950" s="2" t="inlineStr">
        <is>
          <t>https://www.kino-teatr.ru/teatr/movie/1549/annot/</t>
        </is>
      </c>
      <c r="M5950" s="2">
        <f>HYPERLINK("https://ru.wikipedia.org/w/index.php?search=%D0%93%D1%83%D0%BB%D1%8F%20%D0%9A%D0%BE%D1%80%D0%BE%D0%BB%D1%91%D0%B2%D0%B0%201968%20%D1%84%D0%B8%D0%BB%D1%8C%D0%BC","искать")</f>
        <v/>
      </c>
      <c r="N5950" s="3" t="n"/>
      <c r="O5950" s="2" t="n"/>
      <c r="P5950" s="2" t="n"/>
    </row>
    <row r="5951">
      <c r="A5951" s="2" t="n">
        <v>5950</v>
      </c>
      <c r="B5951" s="2" t="inlineStr"/>
      <c r="C5951" s="2" t="n">
        <v>8784</v>
      </c>
      <c r="D5951" s="3" t="inlineStr">
        <is>
          <t>Крюк</t>
        </is>
      </c>
      <c r="E5951" s="2" t="n">
        <v>1989</v>
      </c>
      <c r="F5951" s="2" t="inlineStr">
        <is>
          <t>кинофильм</t>
        </is>
      </c>
      <c r="G5951" s="2" t="n"/>
      <c r="H5951" s="2" t="n">
        <v>414</v>
      </c>
      <c r="I5951" s="2" t="inlineStr"/>
      <c r="J5951" s="2" t="inlineStr"/>
      <c r="K5951" s="3" t="inlineStr">
        <is>
          <t>Фильм снят по произведению узбексого писателя Хайриддинна Султанова "Ой, Джамшид". Аринбай проиграл в азартные игры. Он должен выплатить долг к утру. В квартире жуткая тишина. Родственники собрались. Начались консультации по взысканию и погашению этого долга. Просматривая фильм, мы понимаем, что утрата доброты, искренности и терпимости между родственниками – это большая трагедия, чем проигрыш в жизненном риске.</t>
        </is>
      </c>
      <c r="L5951" s="2" t="inlineStr">
        <is>
          <t>Кино_СССР сводный каталог.xlsx: список фильмов (доп.)</t>
        </is>
      </c>
      <c r="M5951" s="2">
        <f>HYPERLINK("https://ru.wikipedia.org/w/index.php?search=%D0%9A%D1%80%D1%8E%D0%BA%201989%20%D1%84%D0%B8%D0%BB%D1%8C%D0%BC","искать")</f>
        <v/>
      </c>
      <c r="N5951" s="3" t="n"/>
      <c r="O5951" s="2" t="n"/>
      <c r="P5951" s="2" t="n"/>
    </row>
    <row r="5952">
      <c r="A5952" s="2" t="n">
        <v>5951</v>
      </c>
      <c r="B5952" s="2" t="inlineStr"/>
      <c r="C5952" s="2" t="n">
        <v>10495</v>
      </c>
      <c r="D5952" s="3" t="inlineStr">
        <is>
          <t>До новых встреч!</t>
        </is>
      </c>
      <c r="E5952" s="2" t="n">
        <v>1973</v>
      </c>
      <c r="F5952" s="2" t="inlineStr">
        <is>
          <t>фильм-спектакль</t>
        </is>
      </c>
      <c r="G5952" s="2" t="n"/>
      <c r="H5952" s="2" t="n">
        <v>414</v>
      </c>
      <c r="I5952" s="2" t="inlineStr"/>
      <c r="J5952" s="2" t="inlineStr"/>
      <c r="K5952" s="3" t="inlineStr">
        <is>
          <t>Действие проходит в годы Великой Отечественной Войны. По-разному складываются судьбы двух подруг — Люси и Люки. Люся — человек цельный и постоянный в своих привязанностях.
Люка, возлагая надежды лишь на свою красоту, стремилась любыми средствами достигнуть избранной цели — стать артисткой. Вновь встретились подруги после войны. Люся обрела свое подлинное счастье, а Люка так и не сумела найти свое место в жизни.</t>
        </is>
      </c>
      <c r="L5952" s="2" t="inlineStr">
        <is>
          <t>https://www.kino-teatr.ru/teatr/movie/92426/annot/</t>
        </is>
      </c>
      <c r="M5952" s="2">
        <f>HYPERLINK("https://ru.wikipedia.org/w/index.php?search=%D0%94%D0%BE%20%D0%BD%D0%BE%D0%B2%D1%8B%D1%85%20%D0%B2%D1%81%D1%82%D1%80%D0%B5%D1%87%21%201973%20%D1%84%D0%B8%D0%BB%D1%8C%D0%BC","искать")</f>
        <v/>
      </c>
      <c r="N5952" s="3" t="n"/>
      <c r="O5952" s="2" t="n"/>
      <c r="P5952" s="2" t="n"/>
    </row>
    <row r="5953">
      <c r="A5953" s="2" t="n">
        <v>5952</v>
      </c>
      <c r="B5953" s="2" t="inlineStr"/>
      <c r="C5953" s="2" t="n">
        <v>7515</v>
      </c>
      <c r="D5953" s="3" t="inlineStr">
        <is>
          <t>Для домашнего очага</t>
        </is>
      </c>
      <c r="E5953" s="2" t="n">
        <v>1970</v>
      </c>
      <c r="F5953" s="2" t="inlineStr">
        <is>
          <t>телефильм</t>
        </is>
      </c>
      <c r="G5953" s="2" t="n"/>
      <c r="H5953" s="2" t="n">
        <v>415</v>
      </c>
      <c r="I5953" s="2" t="inlineStr"/>
      <c r="J5953" s="2" t="inlineStr"/>
      <c r="K5953" s="3" t="inlineStr">
        <is>
          <t>Экранизация одноименной повести Ивана Франко. История счастливого семейства Анели и Антося Ангаровичей. Они любят друг друга, обожают своих детей и готовы на все для благополучия своего семейного очага. Ради этого Антось пять лет своей жизни отдал службе в Боснии. По-своему решила эту проблему Анеля: чтобы спасти честь своей семьи, которую она запятнала участием в криминальных делах, кончает жизнь самоубийством.</t>
        </is>
      </c>
      <c r="L5953" s="2" t="inlineStr">
        <is>
          <t>Кино_СССР сводный каталог.xlsx: список телефильмов</t>
        </is>
      </c>
      <c r="M5953" s="2">
        <f>HYPERLINK("https://ru.wikipedia.org/w/index.php?search=%D0%94%D0%BB%D1%8F%20%D0%B4%D0%BE%D0%BC%D0%B0%D1%88%D0%BD%D0%B5%D0%B3%D0%BE%20%D0%BE%D1%87%D0%B0%D0%B3%D0%B0%201970%20%D1%84%D0%B8%D0%BB%D1%8C%D0%BC","искать")</f>
        <v/>
      </c>
      <c r="N5953" s="3" t="n"/>
      <c r="O5953" s="2" t="n"/>
      <c r="P5953" s="2" t="n"/>
    </row>
    <row r="5954">
      <c r="A5954" s="2" t="n">
        <v>5953</v>
      </c>
      <c r="B5954" s="2" t="inlineStr"/>
      <c r="C5954" s="2" t="n">
        <v>8236</v>
      </c>
      <c r="D5954" s="3" t="inlineStr">
        <is>
          <t>Просто ужас!</t>
        </is>
      </c>
      <c r="E5954" s="2" t="n">
        <v>1982</v>
      </c>
      <c r="F5954" s="2" t="inlineStr">
        <is>
          <t>телефильм</t>
        </is>
      </c>
      <c r="G5954" s="2" t="inlineStr">
        <is>
          <t>Одесская киностудия</t>
        </is>
      </c>
      <c r="H5954" s="2" t="n">
        <v>415</v>
      </c>
      <c r="I5954" s="2" t="inlineStr"/>
      <c r="J5954" s="2" t="inlineStr"/>
      <c r="K5954" s="3" t="inlineStr">
        <is>
          <t>Картина рассказывает о забавных приключениях шестиклассника Антона Мурашова и его папы, которые были уверены, что быть другим человеком и заниматься другими делами очень просто. Гораздо проще, чем быть собой. Отец друга Антона изобрёл «Исполнителя желаний» (сокращённо «ИЖ»), и с помощью этой машины Антон и Вадим Петрович поменялись местами — Антон становится ветеринаром, а его отец, врач-ветеринар, — школьником.</t>
        </is>
      </c>
      <c r="L5954" s="2" t="inlineStr">
        <is>
          <t>https://ru.wikipedia.org/w/index.php?title=%D0%9F%D1%80%D0%BE%D1%81%D1%82%D0%BE_%D1%83%D0%B6%D0%B0%D1%81%21&amp;oldid=155206958</t>
        </is>
      </c>
      <c r="M5954" s="2">
        <f>HYPERLINK("https://ru.wikipedia.org/w/index.php?search=%D0%9F%D1%80%D0%BE%D1%81%D1%82%D0%BE%20%D1%83%D0%B6%D0%B0%D1%81%21%201982%20%D1%84%D0%B8%D0%BB%D1%8C%D0%BC","искать")</f>
        <v/>
      </c>
      <c r="N5954" s="3" t="n"/>
      <c r="O5954" s="2" t="n"/>
      <c r="P5954" s="2" t="n"/>
    </row>
    <row r="5955">
      <c r="A5955" s="2" t="n">
        <v>5954</v>
      </c>
      <c r="B5955" s="2" t="inlineStr"/>
      <c r="C5955" s="2" t="n">
        <v>9752</v>
      </c>
      <c r="D5955" s="3" t="inlineStr">
        <is>
          <t>Чернов</t>
        </is>
      </c>
      <c r="E5955" s="2" t="n">
        <v>1990</v>
      </c>
      <c r="F5955" s="2" t="inlineStr">
        <is>
          <t>кинофильм</t>
        </is>
      </c>
      <c r="G5955" s="2" t="n"/>
      <c r="H5955" s="2" t="n">
        <v>415</v>
      </c>
      <c r="I5955" s="2" t="inlineStr"/>
      <c r="J5955" s="2" t="inlineStr"/>
      <c r="K5955" s="3" t="inlineStr">
        <is>
          <t>По одноименной повести Сергея Юрского. Странное название объясняется тем, что в картине как бы два фильма: один — о реальном дне жизни реального московского архитектора Александра Петровича Чернова, его душевном кризисе; а другой — вымысел Чернова. Там — иная судьба, иная страна, иная жизнь. Именно в нее, в эту самую жизнь Чернов и стремится попасть — и ради поездки в Испанию ему придется пойти на предательство.</t>
        </is>
      </c>
      <c r="L5955" s="2" t="inlineStr">
        <is>
          <t>Кино_СССР сводный каталог.xlsx: список фильмов (доп.)</t>
        </is>
      </c>
      <c r="M5955" s="2">
        <f>HYPERLINK("https://ru.wikipedia.org/w/index.php?search=%D0%A7%D0%B5%D1%80%D0%BD%D0%BE%D0%B2%201990%20%D1%84%D0%B8%D0%BB%D1%8C%D0%BC","искать")</f>
        <v/>
      </c>
      <c r="N5955" s="3" t="n"/>
      <c r="O5955" s="2" t="n"/>
      <c r="P5955" s="2" t="n"/>
    </row>
    <row r="5956">
      <c r="A5956" s="2" t="n">
        <v>5955</v>
      </c>
      <c r="B5956" s="2" t="inlineStr"/>
      <c r="C5956" s="2" t="n">
        <v>7542</v>
      </c>
      <c r="D5956" s="3" t="inlineStr">
        <is>
          <t>Дом у кольцевой дороги</t>
        </is>
      </c>
      <c r="E5956" s="2" t="n">
        <v>1980</v>
      </c>
      <c r="F5956" s="2" t="inlineStr">
        <is>
          <t>телефильм</t>
        </is>
      </c>
      <c r="G5956" s="2" t="n"/>
      <c r="H5956" s="2" t="n">
        <v>416</v>
      </c>
      <c r="I5956" s="2" t="inlineStr"/>
      <c r="J5956" s="2" t="inlineStr"/>
      <c r="K5956" s="3" t="inlineStr">
        <is>
          <t>В центре повествования история с Колей Никифоровым, учащимся того самого ПТУ, где работают преподавателями снявшие на лето деревянный домик на Сиреневой улице Ксения, Саранцев и Семен Золотов. Из-за конфликта с отцом мальчик уходит из родного дома. Умение понять его, по-настоящему помочь — определяют нравственную сущность каждого из персонажей фильма и, в первую очередь, Надежды Казимировны, хозяйки старого дома.</t>
        </is>
      </c>
      <c r="L5956" s="2" t="inlineStr">
        <is>
          <t>Кино_СССР сводный каталог.xlsx: список телефильмов</t>
        </is>
      </c>
      <c r="M5956" s="2">
        <f>HYPERLINK("https://ru.wikipedia.org/w/index.php?search=%D0%94%D0%BE%D0%BC%20%D1%83%20%D0%BA%D0%BE%D0%BB%D1%8C%D1%86%D0%B5%D0%B2%D0%BE%D0%B9%20%D0%B4%D0%BE%D1%80%D0%BE%D0%B3%D0%B8%201980%20%D1%84%D0%B8%D0%BB%D1%8C%D0%BC","искать")</f>
        <v/>
      </c>
      <c r="N5956" s="3" t="n"/>
      <c r="O5956" s="2" t="n"/>
      <c r="P5956" s="2" t="n"/>
    </row>
    <row r="5957">
      <c r="A5957" s="2" t="n">
        <v>5956</v>
      </c>
      <c r="B5957" s="2" t="inlineStr"/>
      <c r="C5957" s="2" t="n">
        <v>7844</v>
      </c>
      <c r="D5957" s="3" t="inlineStr">
        <is>
          <t>Мальчик со шпагой</t>
        </is>
      </c>
      <c r="E5957" s="2" t="n">
        <v>1975</v>
      </c>
      <c r="F5957" s="2" t="inlineStr">
        <is>
          <t>телефильм</t>
        </is>
      </c>
      <c r="G5957" s="2" t="n"/>
      <c r="H5957" s="2" t="n">
        <v>416</v>
      </c>
      <c r="I5957" s="2" t="inlineStr"/>
      <c r="J5957" s="2" t="inlineStr"/>
      <c r="K5957" s="3" t="inlineStr">
        <is>
          <t>По одноименной повести Владислава Крапивина. ...Отличительная черта мальчишек из дворового клуба «Эспада» — нежелание мириться с несправедливостью, с жестокостью, где бы она ни проявлялась: во дворе, на улице, в школе или в далекой стране. Им до всего есть дело. Обижен ли малыш, пристали ли к кому-то хулиганы, убит ли в Чили их сверстник — мальчишки из «Эспады» всегда готовы обнажить свои шпаги в защиту человека.</t>
        </is>
      </c>
      <c r="L5957" s="2" t="inlineStr">
        <is>
          <t>Кино_СССР сводный каталог.xlsx: список телефильмов</t>
        </is>
      </c>
      <c r="M5957" s="2">
        <f>HYPERLINK("https://ru.wikipedia.org/w/index.php?search=%D0%9C%D0%B0%D0%BB%D1%8C%D1%87%D0%B8%D0%BA%20%D1%81%D0%BE%20%D1%88%D0%BF%D0%B0%D0%B3%D0%BE%D0%B9%201975%20%D1%84%D0%B8%D0%BB%D1%8C%D0%BC","искать")</f>
        <v/>
      </c>
      <c r="N5957" s="3" t="n"/>
      <c r="O5957" s="2" t="n"/>
      <c r="P5957" s="2" t="n"/>
    </row>
    <row r="5958">
      <c r="A5958" s="2" t="n">
        <v>5957</v>
      </c>
      <c r="B5958" s="2" t="inlineStr"/>
      <c r="C5958" s="2" t="n">
        <v>7962</v>
      </c>
      <c r="D5958" s="3" t="inlineStr">
        <is>
          <t>Не имеющий чина</t>
        </is>
      </c>
      <c r="E5958" s="2" t="n">
        <v>1985</v>
      </c>
      <c r="F5958" s="2" t="inlineStr">
        <is>
          <t>телефильм</t>
        </is>
      </c>
      <c r="G5958" s="2" t="n"/>
      <c r="H5958" s="2" t="n">
        <v>416</v>
      </c>
      <c r="I5958" s="2" t="inlineStr"/>
      <c r="J5958" s="2" t="inlineStr"/>
      <c r="K5958" s="3" t="inlineStr">
        <is>
          <t>Историко-биографический фильм о жизни М.В.Фрунзе. Действие фильма охватывает период с 1915 по 1916 год. Фильм посвящен одному из самых таинственных эпизодов жизни Михаила Фрунзе, когда он в 1915 году совершил побег из пересыльной тюрьмы. В блестящем дворянине Василенко жандармские офицеры не смогли вычислить дерзкого беглеца, ставшего после гражданской войны опасным оппонентом для набиравшего силу Иосифа Сталина.</t>
        </is>
      </c>
      <c r="L5958" s="2" t="inlineStr">
        <is>
          <t>Кино_СССР сводный каталог.xlsx: список телефильмов</t>
        </is>
      </c>
      <c r="M5958" s="2">
        <f>HYPERLINK("https://ru.wikipedia.org/w/index.php?search=%D0%9D%D0%B5%20%D0%B8%D0%BC%D0%B5%D1%8E%D1%89%D0%B8%D0%B9%20%D1%87%D0%B8%D0%BD%D0%B0%201985%20%D1%84%D0%B8%D0%BB%D1%8C%D0%BC","искать")</f>
        <v/>
      </c>
      <c r="N5958" s="3" t="n"/>
      <c r="O5958" s="2" t="n"/>
      <c r="P5958" s="2" t="n"/>
    </row>
    <row r="5959">
      <c r="A5959" s="2" t="n">
        <v>5958</v>
      </c>
      <c r="B5959" s="2" t="inlineStr"/>
      <c r="C5959" s="2" t="n">
        <v>8736</v>
      </c>
      <c r="D5959" s="3" t="inlineStr">
        <is>
          <t>Зелёная ветка мая</t>
        </is>
      </c>
      <c r="E5959" s="2" t="n">
        <v>1961</v>
      </c>
      <c r="F5959" s="2" t="inlineStr">
        <is>
          <t>кинофильм</t>
        </is>
      </c>
      <c r="G5959" s="2" t="n"/>
      <c r="H5959" s="2" t="n">
        <v>416</v>
      </c>
      <c r="I5959" s="2" t="inlineStr"/>
      <c r="J5959" s="2" t="inlineStr"/>
      <c r="K5959" s="3" t="inlineStr">
        <is>
          <t>Киноповесть о судьбе девушки, чье детство и юность проходили в годы революции и становления Советской власти. Героиня - девушка хорошего рода, её воспитывает тётка, выкупившая келью при монастыре. К тётке она попадает ещё в Первую мировую; вместе они переживают смутные революционные годы... После окончания школы героине предлагают поехать в деревню учительницей, потом она попадает на курсы повышения квалификации.</t>
        </is>
      </c>
      <c r="L5959" s="2" t="inlineStr">
        <is>
          <t>Кино_СССР сводный каталог.xlsx: список фильмов (доп.)</t>
        </is>
      </c>
      <c r="M5959" s="2">
        <f>HYPERLINK("https://ru.wikipedia.org/w/index.php?search=%D0%97%D0%B5%D0%BB%D1%91%D0%BD%D0%B0%D1%8F%20%D0%B2%D0%B5%D1%82%D0%BA%D0%B0%20%D0%BC%D0%B0%D1%8F%201961%20%D1%84%D0%B8%D0%BB%D1%8C%D0%BC","искать")</f>
        <v/>
      </c>
      <c r="N5959" s="3" t="n"/>
      <c r="O5959" s="2" t="n"/>
      <c r="P5959" s="2" t="n"/>
    </row>
    <row r="5960">
      <c r="A5960" s="2" t="n">
        <v>5959</v>
      </c>
      <c r="B5960" s="2" t="inlineStr"/>
      <c r="C5960" s="2" t="n">
        <v>11527</v>
      </c>
      <c r="D5960" s="3" t="inlineStr">
        <is>
          <t>Солнечное зернышко</t>
        </is>
      </c>
      <c r="E5960" s="2" t="n">
        <v>1969</v>
      </c>
      <c r="F5960" s="2" t="inlineStr">
        <is>
          <t>мультфильм</t>
        </is>
      </c>
      <c r="G5960" s="2" t="inlineStr">
        <is>
          <t>Союзмультфильм</t>
        </is>
      </c>
      <c r="H5960" s="2" t="n">
        <v>416</v>
      </c>
      <c r="I5960" s="2" t="inlineStr"/>
      <c r="J5960" s="2" t="inlineStr"/>
      <c r="K5960" s="3" t="inlineStr">
        <is>
          <t>В глубине океана, где царит темнота, живет Раковинка. рассказали ей рыбки о красоте и щедрости солнца. Ни сонный Кальмар, ни высокомерная Медуза, ни Улитка не понимают зачем Раковинке знать, что такое свет и тепло. И только морские коньки поднимают Раковинку к поверхности океана. Здесь к ней попало сверкающее зернышко - простая песчинка, но из нее потом получилась Жемчужина, которая сверкает, как маленькое солнце</t>
        </is>
      </c>
      <c r="L5960" s="2" t="inlineStr">
        <is>
          <t>https://gosfilmofond.ru/films/254771/</t>
        </is>
      </c>
      <c r="M5960" s="2">
        <f>HYPERLINK("https://ru.wikipedia.org/w/index.php?search=%D0%A1%D0%BE%D0%BB%D0%BD%D0%B5%D1%87%D0%BD%D0%BE%D0%B5%20%D0%B7%D0%B5%D1%80%D0%BD%D1%8B%D1%88%D0%BA%D0%BE%201969%20%D1%84%D0%B8%D0%BB%D1%8C%D0%BC","искать")</f>
        <v/>
      </c>
      <c r="N5960" s="3" t="n"/>
      <c r="O5960" s="2" t="n"/>
      <c r="P5960" s="2" t="n"/>
    </row>
    <row r="5961">
      <c r="A5961" s="2" t="n">
        <v>5960</v>
      </c>
      <c r="B5961" s="2" t="inlineStr"/>
      <c r="C5961" s="2" t="n">
        <v>13270</v>
      </c>
      <c r="D5961" s="3" t="inlineStr">
        <is>
          <t>Шестеренка</t>
        </is>
      </c>
      <c r="E5961" s="2" t="n">
        <v>1968</v>
      </c>
      <c r="F5961" s="2" t="inlineStr">
        <is>
          <t>мультфильм</t>
        </is>
      </c>
      <c r="G5961" s="2" t="inlineStr">
        <is>
          <t>ТАЛЛИННФИЛЬМ</t>
        </is>
      </c>
      <c r="H5961" s="2" t="n">
        <v>416</v>
      </c>
      <c r="I5961" s="2" t="inlineStr"/>
      <c r="J5961" s="2" t="inlineStr"/>
      <c r="K5961" s="3" t="inlineStr">
        <is>
          <t>На одном из рыбокомбинатов Эстонии неожиданно выходит из строя дорогостоящее оборудование. А виной всему - поломка одной маленькой шестеренки. Длительные и упорные поиски этой незначительной детали оказываются безрезультатными. Тогда руководители предприятия посылают в большой город в качестве "толкача" инженера, который вскоре возвращается с победой. Говорят, что от таких "толкачей" в больших городах прохода нет</t>
        </is>
      </c>
      <c r="L5961" s="2" t="inlineStr">
        <is>
          <t>https://gosfilmofond.ru/films/254727/</t>
        </is>
      </c>
      <c r="M5961" s="2">
        <f>HYPERLINK("https://ru.wikipedia.org/w/index.php?search=%D0%A8%D0%B5%D1%81%D1%82%D0%B5%D1%80%D0%B5%D0%BD%D0%BA%D0%B0%201968%20%D1%84%D0%B8%D0%BB%D1%8C%D0%BC","искать")</f>
        <v/>
      </c>
      <c r="N5961" s="3" t="n"/>
      <c r="O5961" s="2" t="n"/>
      <c r="P5961" s="2" t="n"/>
    </row>
    <row r="5962">
      <c r="A5962" s="2" t="n">
        <v>5961</v>
      </c>
      <c r="B5962" s="2" t="inlineStr"/>
      <c r="C5962" s="2" t="n">
        <v>7623</v>
      </c>
      <c r="D5962" s="3" t="inlineStr">
        <is>
          <t>Загадка кубачинского браслета</t>
        </is>
      </c>
      <c r="E5962" s="2" t="n">
        <v>1982</v>
      </c>
      <c r="F5962" s="2" t="inlineStr">
        <is>
          <t>телефильм</t>
        </is>
      </c>
      <c r="G5962" s="2" t="n"/>
      <c r="H5962" s="2" t="n">
        <v>417</v>
      </c>
      <c r="I5962" s="2" t="inlineStr"/>
      <c r="J5962" s="2" t="inlineStr"/>
      <c r="K5962" s="3" t="inlineStr">
        <is>
          <t>1950-е годы. На учёбу в Москву в Литературный институт из дагестанского села Кубачи презжает Мурад, здесь он встречает Саиду, которая, как оказывается, тоже родом из того же села. Молодые люди женятся, но вскоре узнают, что их семьи враждуют уже много лет — между их отцами, Сабуром и Омаром, кубачинскими мастерами-златокузнецами, вышел спор… Теперь, чтобы быть вместе Мураду и Саиде нужно положить конец тому спору.</t>
        </is>
      </c>
      <c r="L5962" s="2" t="inlineStr">
        <is>
          <t>https://ru.wikipedia.org/w/index.php?title=%D0%97%D0%B0%D0%B3%D0%B0%D0%B4%D0%BA%D0%B0_%D0%BA%D1%83%D0%B1%D0%B0%D1%87%D0%B8%D0%BD%D1%81%D0%BA%D0%BE%D0%B3%D0%BE_%D0%B1%D1%80%D0%B0%D1%81%D0%BB%D0%B5%D1%82%D0%B0&amp;oldid=154695814</t>
        </is>
      </c>
      <c r="M5962" s="2">
        <f>HYPERLINK("https://ru.wikipedia.org/w/index.php?search=%D0%97%D0%B0%D0%B3%D0%B0%D0%B4%D0%BA%D0%B0%20%D0%BA%D1%83%D0%B1%D0%B0%D1%87%D0%B8%D0%BD%D1%81%D0%BA%D0%BE%D0%B3%D0%BE%20%D0%B1%D1%80%D0%B0%D1%81%D0%BB%D0%B5%D1%82%D0%B0%201982%20%D1%84%D0%B8%D0%BB%D1%8C%D0%BC","искать")</f>
        <v/>
      </c>
      <c r="N5962" s="3" t="n"/>
      <c r="O5962" s="2" t="n"/>
      <c r="P5962" s="2" t="n"/>
    </row>
    <row r="5963">
      <c r="A5963" s="2" t="n">
        <v>5962</v>
      </c>
      <c r="B5963" s="2" t="inlineStr"/>
      <c r="C5963" s="2" t="n">
        <v>8390</v>
      </c>
      <c r="D5963" s="3" t="inlineStr">
        <is>
          <t>Спираль</t>
        </is>
      </c>
      <c r="E5963" s="2" t="n">
        <v>1990</v>
      </c>
      <c r="F5963" s="2" t="inlineStr">
        <is>
          <t>телефильм</t>
        </is>
      </c>
      <c r="G5963" s="2" t="n"/>
      <c r="H5963" s="2" t="n">
        <v>417</v>
      </c>
      <c r="I5963" s="2" t="inlineStr"/>
      <c r="J5963" s="2" t="inlineStr"/>
      <c r="K5963" s="3" t="inlineStr">
        <is>
          <t>Телесериал. Научно-фантастический фильм по одноименному роману Гурама Панджикидзе. Физик Давид Гиоргадзе стоит на пороге открытия нового вида энергии, которая может не только изменить облик планеты, но и принести неожиданные разрушения. Однако сам ученый стар, дни его сочтены. И тогда профессор медицины Торадзе предлагает физику эксперимент: его мозг пересадить в тело молодого человека, погибшего в автокатастрофе.</t>
        </is>
      </c>
      <c r="L5963" s="2" t="inlineStr">
        <is>
          <t>Кино_СССР сводный каталог.xlsx: список телефильмов</t>
        </is>
      </c>
      <c r="M5963" s="2">
        <f>HYPERLINK("https://ru.wikipedia.org/w/index.php?search=%D0%A1%D0%BF%D0%B8%D1%80%D0%B0%D0%BB%D1%8C%201990%20%D1%84%D0%B8%D0%BB%D1%8C%D0%BC","искать")</f>
        <v/>
      </c>
      <c r="N5963" s="3" t="n"/>
      <c r="O5963" s="2" t="n"/>
      <c r="P5963" s="2" t="n"/>
    </row>
    <row r="5964">
      <c r="A5964" s="2" t="n">
        <v>5963</v>
      </c>
      <c r="B5964" s="2" t="inlineStr"/>
      <c r="C5964" s="2" t="n">
        <v>8404</v>
      </c>
      <c r="D5964" s="3" t="inlineStr">
        <is>
          <t>Сто вёрст по реке</t>
        </is>
      </c>
      <c r="E5964" s="2" t="n">
        <v>1990</v>
      </c>
      <c r="F5964" s="2" t="inlineStr">
        <is>
          <t>телефильм</t>
        </is>
      </c>
      <c r="G5964" s="2" t="n"/>
      <c r="H5964" s="2" t="n">
        <v>417</v>
      </c>
      <c r="I5964" s="2" t="inlineStr"/>
      <c r="J5964" s="2" t="inlineStr"/>
      <c r="K5964" s="3" t="inlineStr">
        <is>
          <t>По мотивам рассказов Александра Грина. Драматическое повествование о первом увлечении и разочаровании, любви и неверии, преступлении и наказании. Герой фильма Нок, пережив предательство возлюбленной, навсегда, казалось бы, теряет веру в любовь и преданность. Однако встреча с юной Гелли, совместное пребывание в нелегких условиях и постоянно грозящей опасности, заставляют их сблизиться, понять и полюбить друг друга.</t>
        </is>
      </c>
      <c r="L5964" s="2" t="inlineStr">
        <is>
          <t>Кино_СССР сводный каталог.xlsx: список телефильмов</t>
        </is>
      </c>
      <c r="M5964" s="2">
        <f>HYPERLINK("https://ru.wikipedia.org/w/index.php?search=%D0%A1%D1%82%D0%BE%20%D0%B2%D1%91%D1%80%D1%81%D1%82%20%D0%BF%D0%BE%20%D1%80%D0%B5%D0%BA%D0%B5%201990%20%D1%84%D0%B8%D0%BB%D1%8C%D0%BC","искать")</f>
        <v/>
      </c>
      <c r="N5964" s="3" t="n"/>
      <c r="O5964" s="2" t="n"/>
      <c r="P5964" s="2" t="n"/>
    </row>
    <row r="5965">
      <c r="A5965" s="2" t="n">
        <v>5964</v>
      </c>
      <c r="B5965" s="2" t="inlineStr"/>
      <c r="C5965" s="2" t="n">
        <v>8433</v>
      </c>
      <c r="D5965" s="3" t="inlineStr">
        <is>
          <t>Тайник у Красных камней</t>
        </is>
      </c>
      <c r="E5965" s="2" t="n">
        <v>1972</v>
      </c>
      <c r="F5965" s="2" t="inlineStr">
        <is>
          <t>телефильм</t>
        </is>
      </c>
      <c r="G5965" s="2" t="n"/>
      <c r="H5965" s="2" t="n">
        <v>417</v>
      </c>
      <c r="I5965" s="2" t="inlineStr"/>
      <c r="J5965" s="2" t="inlineStr"/>
      <c r="K5965" s="3" t="inlineStr">
        <is>
          <t>Агент иностранной разведки Мирсаид, попав к советским пограничникам, по приговору суда направляется в колонию строгого режима. Ему удаётся скрыть местонахождения тайника, где хранится план-карта. Вскоре границу успешно переходят новые агенты — Лойнаб и Гулам. Их цель проста: навестить Мирсаида в колонии, узнать местонахождение тайника и взять спрятанную карту. Чекисты предоставляют им пока полную свободу действий.</t>
        </is>
      </c>
      <c r="L5965" s="2" t="inlineStr">
        <is>
          <t>https://ru.wikipedia.org/w/index.php?title=%D0%A2%D0%B0%D0%B9%D0%BD%D0%B8%D0%BA_%D1%83_%D0%9A%D1%80%D0%B0%D1%81%D0%BD%D1%8B%D1%85_%D0%BA%D0%B0%D0%BC%D0%BD%D0%B5%D0%B9&amp;oldid=153943968</t>
        </is>
      </c>
      <c r="M5965" s="2">
        <f>HYPERLINK("https://ru.wikipedia.org/w/index.php?search=%D0%A2%D0%B0%D0%B9%D0%BD%D0%B8%D0%BA%20%D1%83%20%D0%9A%D1%80%D0%B0%D1%81%D0%BD%D1%8B%D1%85%20%D0%BA%D0%B0%D0%BC%D0%BD%D0%B5%D0%B9%201972%20%D1%84%D0%B8%D0%BB%D1%8C%D0%BC","искать")</f>
        <v/>
      </c>
      <c r="N5965" s="3" t="n"/>
      <c r="O5965" s="2" t="n"/>
      <c r="P5965" s="2" t="n"/>
    </row>
    <row r="5966">
      <c r="A5966" s="2" t="n">
        <v>5965</v>
      </c>
      <c r="B5966" s="2" t="inlineStr"/>
      <c r="C5966" s="2" t="n">
        <v>10075</v>
      </c>
      <c r="D5966" s="3" t="inlineStr">
        <is>
          <t>Демон (фильм-опера)</t>
        </is>
      </c>
      <c r="E5966" s="2" t="n">
        <v>1960</v>
      </c>
      <c r="F5966" s="2" t="inlineStr">
        <is>
          <t>фильм-спектакль</t>
        </is>
      </c>
      <c r="G5966" s="2" t="inlineStr">
        <is>
          <t>Центральная студия телевидения СССР на Шаболовке, Подборки фильмов, фильмы на основе оперы</t>
        </is>
      </c>
      <c r="H5966" s="2" t="n">
        <v>417</v>
      </c>
      <c r="I5966" s="2" t="inlineStr"/>
      <c r="J5966" s="2" t="inlineStr"/>
      <c r="K5966" s="3" t="inlineStr">
        <is>
          <t>Трагическая история любви Демона — изгнанника рая, к смертной девушке. Устав сеять зло и разрушения на земле, устав от ненависти ко всему сущему, Демон встречает юную княжну Тамару. Полюбив её Злой дух отрекается от всего нечистого. Он готов раскаяться, примириться с небом, веровать добру. Он клянется ей в вечной любви… но эта любовь была обречена. Тамара, поддавшись искусителю, погибает после первого его поцелуя.</t>
        </is>
      </c>
      <c r="L5966" s="2" t="inlineStr">
        <is>
          <t>https://ru.wikipedia.org/w/index.php?title=%D0%94%D0%B5%D0%BC%D0%BE%D0%BD_%28%D1%84%D0%B8%D0%BB%D1%8C%D0%BC-%D0%BE%D0%BF%D0%B5%D1%80%D0%B0%29&amp;oldid=152878006</t>
        </is>
      </c>
      <c r="M5966" s="2">
        <f>HYPERLINK("https://ru.wikipedia.org/w/index.php?search=%D0%94%D0%B5%D0%BC%D0%BE%D0%BD%20%28%D1%84%D0%B8%D0%BB%D1%8C%D0%BC-%D0%BE%D0%BF%D0%B5%D1%80%D0%B0%29%201960%20%D1%84%D0%B8%D0%BB%D1%8C%D0%BC","искать")</f>
        <v/>
      </c>
      <c r="N5966" s="3" t="n"/>
      <c r="O5966" s="2" t="n"/>
      <c r="P5966" s="2" t="n"/>
    </row>
    <row r="5967">
      <c r="A5967" s="2" t="n">
        <v>5966</v>
      </c>
      <c r="B5967" s="2" t="inlineStr"/>
      <c r="C5967" s="2" t="n">
        <v>11110</v>
      </c>
      <c r="D5967" s="3" t="inlineStr">
        <is>
          <t>Женитьба Бальзаминова</t>
        </is>
      </c>
      <c r="E5967" s="2" t="n">
        <v>1986</v>
      </c>
      <c r="F5967" s="2" t="inlineStr">
        <is>
          <t>фильм-спектакль</t>
        </is>
      </c>
      <c r="G5967" s="2" t="inlineStr">
        <is>
          <t>ТО “Экран”</t>
        </is>
      </c>
      <c r="H5967" s="2" t="n">
        <v>417</v>
      </c>
      <c r="I5967" s="2" t="inlineStr"/>
      <c r="J5967" s="2" t="inlineStr"/>
      <c r="K5967" s="3" t="inlineStr">
        <is>
          <t>По пьесам А.Н.Островского "Праздничный сон - до обеда", "Свои собаки грызутся, чужая не приставай!", "За чем пойдешь, то и найдешь" в постановке Малого театра.
Яркая и живописная постановка о похождениях мелкого чиновника Миши Бальзаминова, которому для полного счастья не хватает только одного - жениться на богатой невесте. Но до того как мечта осуществится, Михаила ждет множество недоразумений и забавных ситуаций</t>
        </is>
      </c>
      <c r="L5967" s="2" t="inlineStr">
        <is>
          <t>https://www.kino-teatr.ru/teatr/movie/82057/annot/</t>
        </is>
      </c>
      <c r="M5967" s="2">
        <f>HYPERLINK("https://ru.wikipedia.org/w/index.php?search=%D0%96%D0%B5%D0%BD%D0%B8%D1%82%D1%8C%D0%B1%D0%B0%20%D0%91%D0%B0%D0%BB%D1%8C%D0%B7%D0%B0%D0%BC%D0%B8%D0%BD%D0%BE%D0%B2%D0%B0%201986%20%D1%84%D0%B8%D0%BB%D1%8C%D0%BC","искать")</f>
        <v/>
      </c>
      <c r="N5967" s="3" t="n"/>
      <c r="O5967" s="2" t="n"/>
      <c r="P5967" s="2" t="n"/>
    </row>
    <row r="5968">
      <c r="A5968" s="2" t="n">
        <v>5967</v>
      </c>
      <c r="B5968" s="2" t="inlineStr"/>
      <c r="C5968" s="2" t="n">
        <v>7716</v>
      </c>
      <c r="D5968" s="3" t="inlineStr">
        <is>
          <t>Карастояновы</t>
        </is>
      </c>
      <c r="E5968" s="2" t="n">
        <v>1983</v>
      </c>
      <c r="F5968" s="2" t="inlineStr">
        <is>
          <t>телефильм</t>
        </is>
      </c>
      <c r="G5968" s="2" t="inlineStr">
        <is>
          <t>к/с им. Довженко</t>
        </is>
      </c>
      <c r="H5968" s="2" t="n">
        <v>418</v>
      </c>
      <c r="I5968" s="2" t="inlineStr"/>
      <c r="J5968" s="2" t="inlineStr"/>
      <c r="K5968" s="3" t="inlineStr">
        <is>
          <t>Действие сериала происходит в 1923—1945 годы. Рассказывается о болгарской семье Карастояновых, сторонников коммунистических идей. Показаны события в Болгарии 1920-х годов, эпизоды Сентябрьского восстания 1923 года, его подавление, гибель и аресты членов семьи, мытарства в тюрьмах. Затем бегство в Советский Союз, жизнь в СССР в 1930-е годы, любовь, участие в Великой Отечественной войне, гибель в партизанском отряде.</t>
        </is>
      </c>
      <c r="L5968" s="2" t="inlineStr">
        <is>
          <t>https://ru.wikipedia.org/w/index.php?title=%D0%9A%D0%B0%D1%80%D0%B0%D1%81%D1%82%D0%BE%D1%8F%D0%BD%D0%BE%D0%B2%D1%8B&amp;oldid=154696781</t>
        </is>
      </c>
      <c r="M5968" s="2">
        <f>HYPERLINK("https://ru.wikipedia.org/w/index.php?search=%D0%9A%D0%B0%D1%80%D0%B0%D1%81%D1%82%D0%BE%D1%8F%D0%BD%D0%BE%D0%B2%D1%8B%201983%20%D1%84%D0%B8%D0%BB%D1%8C%D0%BC","искать")</f>
        <v/>
      </c>
      <c r="N5968" s="3" t="n"/>
      <c r="O5968" s="2" t="n"/>
      <c r="P5968" s="2" t="n"/>
    </row>
    <row r="5969">
      <c r="A5969" s="2" t="n">
        <v>5968</v>
      </c>
      <c r="B5969" s="2" t="inlineStr"/>
      <c r="C5969" s="2" t="n">
        <v>10376</v>
      </c>
      <c r="D5969" s="3" t="inlineStr">
        <is>
          <t>Уступи место...</t>
        </is>
      </c>
      <c r="E5969" s="2" t="n">
        <v>1970</v>
      </c>
      <c r="F5969" s="2" t="inlineStr">
        <is>
          <t>фильм-спектакль</t>
        </is>
      </c>
      <c r="G5969" s="2" t="inlineStr">
        <is>
          <t>Укртелефільм</t>
        </is>
      </c>
      <c r="H5969" s="2" t="n">
        <v>418</v>
      </c>
      <c r="I5969" s="2" t="inlineStr"/>
      <c r="J5969" s="2" t="inlineStr"/>
      <c r="K5969" s="3" t="inlineStr">
        <is>
          <t>Фильм-спектакль в постановке Киевского государственного академического драматического театра им. Ивана Франко по киноповести американской писательницы Винья Дельмар "Уступи место завтрашнему дню"(фильм 1937 года) на основе пьесы Хелен и Ноа Лири, которая, в свою очередь, была написана по роману Джозефины Лоуренс "Долгие годы" о пожилых супругах, разлученных собственными детьми после пятидесяти лет, прожитых вместе.</t>
        </is>
      </c>
      <c r="L5969" s="2" t="inlineStr">
        <is>
          <t>https://www.kino-teatr.ru/teatr/movie/91650/annot/</t>
        </is>
      </c>
      <c r="M5969" s="2">
        <f>HYPERLINK("https://ru.wikipedia.org/w/index.php?search=%D0%A3%D1%81%D1%82%D1%83%D0%BF%D0%B8%20%D0%BC%D0%B5%D1%81%D1%82%D0%BE...%201970%20%D1%84%D0%B8%D0%BB%D1%8C%D0%BC","искать")</f>
        <v/>
      </c>
      <c r="N5969" s="3" t="n"/>
      <c r="O5969" s="2" t="n"/>
      <c r="P5969" s="2" t="n"/>
    </row>
    <row r="5970">
      <c r="A5970" s="2" t="n">
        <v>5969</v>
      </c>
      <c r="B5970" s="2" t="inlineStr"/>
      <c r="C5970" s="2" t="n">
        <v>7630</v>
      </c>
      <c r="D5970" s="3" t="inlineStr">
        <is>
          <t>Затишье</t>
        </is>
      </c>
      <c r="E5970" s="2" t="n">
        <v>1981</v>
      </c>
      <c r="F5970" s="2" t="inlineStr">
        <is>
          <t>телефильм</t>
        </is>
      </c>
      <c r="G5970" s="2" t="n"/>
      <c r="H5970" s="2" t="n">
        <v>419</v>
      </c>
      <c r="I5970" s="2" t="inlineStr"/>
      <c r="J5970" s="2" t="inlineStr"/>
      <c r="K5970" s="3" t="inlineStr">
        <is>
          <t>Приехав проверить своё дальнее имение село Сасово, молодой помещик Астахов знакомится с соседом помещиком Ипатовым, а также с его свояченицей Марьей Павловной и соседкой Надеждой Алексеевной Веретьевой, которые производят сильное впечатление на Астахова. Планировавший уехать на следующий день, Астахов остаётся на некоторое время, чтобы поближе познакомиться с девушками, чем разрушает затишье обычной усадебной жизни.</t>
        </is>
      </c>
      <c r="L5970" s="2" t="inlineStr">
        <is>
          <t>https://ru.wikipedia.org/w/index.php?title=%D0%97%D0%B0%D1%82%D0%B8%D1%88%D1%8C%D0%B5_%28%D1%84%D0%B8%D0%BB%D1%8C%D0%BC%29&amp;oldid=152196811</t>
        </is>
      </c>
      <c r="M5970" s="2">
        <f>HYPERLINK("https://ru.wikipedia.org/w/index.php?search=%D0%97%D0%B0%D1%82%D0%B8%D1%88%D1%8C%D0%B5%201981%20%D1%84%D0%B8%D0%BB%D1%8C%D0%BC","искать")</f>
        <v/>
      </c>
      <c r="N5970" s="3" t="n"/>
      <c r="O5970" s="2" t="n"/>
      <c r="P5970" s="2" t="n"/>
    </row>
    <row r="5971">
      <c r="A5971" s="2" t="n">
        <v>5970</v>
      </c>
      <c r="B5971" s="2" t="inlineStr"/>
      <c r="C5971" s="2" t="n">
        <v>10904</v>
      </c>
      <c r="D5971" s="3" t="inlineStr">
        <is>
          <t>Приглашение к жизни</t>
        </is>
      </c>
      <c r="E5971" s="2" t="n">
        <v>1981</v>
      </c>
      <c r="F5971" s="2" t="inlineStr">
        <is>
          <t>фильм-спектакль</t>
        </is>
      </c>
      <c r="G5971" s="2" t="inlineStr">
        <is>
          <t>Центральное телевидение</t>
        </is>
      </c>
      <c r="H5971" s="2" t="n">
        <v>419</v>
      </c>
      <c r="I5971" s="2" t="inlineStr"/>
      <c r="J5971" s="2" t="inlineStr"/>
      <c r="K5971" s="3" t="inlineStr">
        <is>
          <t>По мотивам романа Леонида Леонова "Русский лес" в постановке Ленинградского государственного академического театра драмы имени А.С. Пушкина.
Об ученом-лесоводе Иване Вихрове, посвятившего жизнь лесу и борьбе с тем, что «лесоводство превращается в обычное лесопользование». Действие спектакля начинается в 1941 году и на протяжении спектакля то переносится в дореволюционные годы, то возвращается к событиям военных лет.</t>
        </is>
      </c>
      <c r="L5971" s="2" t="inlineStr">
        <is>
          <t>https://www.kino-teatr.ru/teatr/movie/15378/annot/</t>
        </is>
      </c>
      <c r="M5971" s="2">
        <f>HYPERLINK("https://ru.wikipedia.org/w/index.php?search=%D0%9F%D1%80%D0%B8%D0%B3%D0%BB%D0%B0%D1%88%D0%B5%D0%BD%D0%B8%D0%B5%20%D0%BA%20%D0%B6%D0%B8%D0%B7%D0%BD%D0%B8%201981%20%D1%84%D0%B8%D0%BB%D1%8C%D0%BC","искать")</f>
        <v/>
      </c>
      <c r="N5971" s="3" t="n"/>
      <c r="O5971" s="2" t="n"/>
      <c r="P5971" s="2" t="n"/>
    </row>
    <row r="5972">
      <c r="A5972" s="2" t="n">
        <v>5971</v>
      </c>
      <c r="B5972" s="2" t="inlineStr"/>
      <c r="C5972" s="2" t="n">
        <v>12379</v>
      </c>
      <c r="D5972" s="3" t="inlineStr">
        <is>
          <t>Злостный разбиватель яиц</t>
        </is>
      </c>
      <c r="E5972" s="2" t="n">
        <v>1966</v>
      </c>
      <c r="F5972" s="2" t="inlineStr">
        <is>
          <t>мультфильм</t>
        </is>
      </c>
      <c r="G5972" s="2" t="inlineStr">
        <is>
          <t>КИЕВНАУЧФИЛЬМ</t>
        </is>
      </c>
      <c r="H5972" s="2" t="n">
        <v>419</v>
      </c>
      <c r="I5972" s="2" t="inlineStr"/>
      <c r="J5972" s="2" t="inlineStr"/>
      <c r="K5972" s="3" t="inlineStr">
        <is>
          <t>Не успел Цыпленок вылупиться из яйца, как недоброжелатели стали упрекать его за то, что он...разбил яйцо. И что бы ни делал потом Цыпленок, ставший со временем красивым Петух, недоброжелатели не переставали его ругать. Дескать, страдает куриной слепотой, скользит по наклонной плоскости...Петух совсем растерялся. И только полюбившаяся Петуху Курица советует ему не обращать внимания на злобные пересуды и жить спокойно</t>
        </is>
      </c>
      <c r="L5972" s="2" t="inlineStr">
        <is>
          <t>https://gosfilmofond.ru/films/254227/</t>
        </is>
      </c>
      <c r="M5972" s="2">
        <f>HYPERLINK("https://ru.wikipedia.org/w/index.php?search=%D0%97%D0%BB%D0%BE%D1%81%D1%82%D0%BD%D1%8B%D0%B9%20%D1%80%D0%B0%D0%B7%D0%B1%D0%B8%D0%B2%D0%B0%D1%82%D0%B5%D0%BB%D1%8C%20%D1%8F%D0%B8%D1%86%201966%20%D1%84%D0%B8%D0%BB%D1%8C%D0%BC","искать")</f>
        <v/>
      </c>
      <c r="N5972" s="3" t="n"/>
      <c r="O5972" s="2" t="n"/>
      <c r="P5972" s="2" t="n"/>
    </row>
    <row r="5973">
      <c r="A5973" s="2" t="n">
        <v>5972</v>
      </c>
      <c r="B5973" s="2" t="inlineStr"/>
      <c r="C5973" s="2" t="n">
        <v>13161</v>
      </c>
      <c r="D5973" s="3" t="inlineStr">
        <is>
          <t>Легенда о дутаре</t>
        </is>
      </c>
      <c r="E5973" s="2" t="n">
        <v>1988</v>
      </c>
      <c r="F5973" s="2" t="inlineStr">
        <is>
          <t>мультфильм</t>
        </is>
      </c>
      <c r="G5973" s="2" t="inlineStr">
        <is>
          <t>ТУРКМЕНФИЛЬМ</t>
        </is>
      </c>
      <c r="H5973" s="2" t="n">
        <v>419</v>
      </c>
      <c r="I5973" s="2" t="inlineStr"/>
      <c r="J5973" s="2" t="inlineStr"/>
      <c r="K5973" s="3" t="inlineStr">
        <is>
          <t>Много сотен лет росло среди выжженных солнцем песков Дерево и радовалось звукам далекой человечесой жизни, прилетавшими вместе с Ветром. Но в пустыне были Черные силы, убивающие жизнь. Дерево и Ветер решили помочь людям. Добрый дух подсказал им, что только музыка способна разрушить Черные силы. Тогда Дерево согласилось перелить свою жизнь в дутар. Полилась над землею музыка, пробуждая в каждом сердце добро и красоту</t>
        </is>
      </c>
      <c r="L5973" s="2" t="inlineStr">
        <is>
          <t>https://gosfilmofond.ru/films/250607/</t>
        </is>
      </c>
      <c r="M5973" s="2">
        <f>HYPERLINK("https://ru.wikipedia.org/w/index.php?search=%D0%9B%D0%B5%D0%B3%D0%B5%D0%BD%D0%B4%D0%B0%20%D0%BE%20%D0%B4%D1%83%D1%82%D0%B0%D1%80%D0%B5%201988%20%D1%84%D0%B8%D0%BB%D1%8C%D0%BC","искать")</f>
        <v/>
      </c>
      <c r="N5973" s="3" t="n"/>
      <c r="O5973" s="2" t="n"/>
      <c r="P5973" s="2" t="n"/>
    </row>
    <row r="5974">
      <c r="A5974" s="2" t="n">
        <v>5973</v>
      </c>
      <c r="B5974" s="2" t="inlineStr"/>
      <c r="C5974" s="2" t="n">
        <v>7359</v>
      </c>
      <c r="D5974" s="3" t="inlineStr">
        <is>
          <t>Возьми меня с собой</t>
        </is>
      </c>
      <c r="E5974" s="2" t="n">
        <v>1989</v>
      </c>
      <c r="F5974" s="2" t="inlineStr">
        <is>
          <t>телефильм</t>
        </is>
      </c>
      <c r="G5974" s="2" t="n"/>
      <c r="H5974" s="2" t="n">
        <v>420</v>
      </c>
      <c r="I5974" s="2" t="inlineStr"/>
      <c r="J5974" s="2" t="inlineStr"/>
      <c r="K5974" s="3" t="inlineStr">
        <is>
          <t>Телефильм. Моряк Андрей, отправляясь в отпуск, становится свидетелем мошенничества молодых людей, вымогающих деньги на вокзалах. Его привлекает героиня «аферы» - Светлана. Андрей проникается сочувствием к девушке, стремится помочь ей вырваться из порочного круга… Но выясняется, что это всего лишь специально срежиссированное действо, придуманное режиссером-авангардистом с целью оживления «отмирающих» театральных форм.</t>
        </is>
      </c>
      <c r="L5974" s="2" t="inlineStr">
        <is>
          <t>Кино_СССР сводный каталог.xlsx: список телефильмов</t>
        </is>
      </c>
      <c r="M5974" s="2">
        <f>HYPERLINK("https://ru.wikipedia.org/w/index.php?search=%D0%92%D0%BE%D0%B7%D1%8C%D0%BC%D0%B8%20%D0%BC%D0%B5%D0%BD%D1%8F%20%D1%81%20%D1%81%D0%BE%D0%B1%D0%BE%D0%B9%201989%20%D1%84%D0%B8%D0%BB%D1%8C%D0%BC","искать")</f>
        <v/>
      </c>
      <c r="N5974" s="3" t="n"/>
      <c r="O5974" s="2" t="n"/>
      <c r="P5974" s="2" t="n"/>
    </row>
    <row r="5975">
      <c r="A5975" s="2" t="n">
        <v>5974</v>
      </c>
      <c r="B5975" s="2" t="inlineStr"/>
      <c r="C5975" s="2" t="n">
        <v>8063</v>
      </c>
      <c r="D5975" s="3" t="inlineStr">
        <is>
          <t>Отважный Ширак</t>
        </is>
      </c>
      <c r="E5975" s="2" t="n">
        <v>1976</v>
      </c>
      <c r="F5975" s="2" t="inlineStr">
        <is>
          <t>телефильм</t>
        </is>
      </c>
      <c r="G5975" s="2" t="n"/>
      <c r="H5975" s="2" t="n">
        <v>420</v>
      </c>
      <c r="I5975" s="2" t="inlineStr"/>
      <c r="J5975" s="2" t="inlineStr"/>
      <c r="K5975" s="3" t="inlineStr">
        <is>
          <t>Таджикские народные артисты и комедианты «Маскарабозы» приезжают в пионерский лагерь, для того чтобы дать представление, и разыгрывают для детей на летней эстраде музыкальную сказку о злых и хитрых разбойниках, пугающих мирных жителей страшным драконом, и храбром юноше по имени Ширак, который считает себя последователем Ходжи Насреддина. Шираку удаётся изгнать страх из жителей поселения и вместе победить разбойников.</t>
        </is>
      </c>
      <c r="L5975" s="2" t="inlineStr">
        <is>
          <t>https://ru.wikipedia.org/w/index.php?title=%D0%9E%D1%82%D0%B2%D0%B0%D0%B6%D0%BD%D1%8B%D0%B9_%D0%A8%D0%B8%D1%80%D0%B0%D0%BA&amp;oldid=154701377</t>
        </is>
      </c>
      <c r="M5975" s="2">
        <f>HYPERLINK("https://ru.wikipedia.org/w/index.php?search=%D0%9E%D1%82%D0%B2%D0%B0%D0%B6%D0%BD%D1%8B%D0%B9%20%D0%A8%D0%B8%D1%80%D0%B0%D0%BA%201976%20%D1%84%D0%B8%D0%BB%D1%8C%D0%BC","искать")</f>
        <v/>
      </c>
      <c r="N5975" s="3" t="n"/>
      <c r="O5975" s="2" t="n"/>
      <c r="P5975" s="2" t="n"/>
    </row>
    <row r="5976">
      <c r="A5976" s="2" t="n">
        <v>5975</v>
      </c>
      <c r="B5976" s="2" t="inlineStr"/>
      <c r="C5976" s="2" t="n">
        <v>8077</v>
      </c>
      <c r="D5976" s="3" t="inlineStr">
        <is>
          <t>Память</t>
        </is>
      </c>
      <c r="E5976" s="2" t="n">
        <v>1975</v>
      </c>
      <c r="F5976" s="2" t="inlineStr">
        <is>
          <t>телефильм</t>
        </is>
      </c>
      <c r="G5976" s="2" t="n"/>
      <c r="H5976" s="2" t="n">
        <v>420</v>
      </c>
      <c r="I5976" s="2" t="inlineStr"/>
      <c r="J5976" s="2" t="inlineStr"/>
      <c r="K5976" s="3" t="inlineStr">
        <is>
          <t>Телесериал. Рассказ о первых послевоенных годах жизни в Ленинграде. Героиня фильма ленинградка Мария осталась после войны вдовой с тремя детьми. Жизнь тяжелая, трудная, внезапно семью настигает новое горе — гибнет старший сын Сергей... А когда недавно вернувшийся с фронта Игорь, хочет предложить помощь и заботу Марии и ее детям, в семье вспыхивает конфликт: дочь Марина не хочет примириться с забвением памяти об отце.</t>
        </is>
      </c>
      <c r="L5976" s="2" t="inlineStr">
        <is>
          <t>Кино_СССР сводный каталог.xlsx: список телефильмов</t>
        </is>
      </c>
      <c r="M5976" s="2">
        <f>HYPERLINK("https://ru.wikipedia.org/w/index.php?search=%D0%9F%D0%B0%D0%BC%D1%8F%D1%82%D1%8C%201975%20%D1%84%D0%B8%D0%BB%D1%8C%D0%BC","искать")</f>
        <v/>
      </c>
      <c r="N5976" s="3" t="n"/>
      <c r="O5976" s="2" t="n"/>
      <c r="P5976" s="2" t="n"/>
    </row>
    <row r="5977">
      <c r="A5977" s="2" t="n">
        <v>5976</v>
      </c>
      <c r="B5977" s="2" t="inlineStr"/>
      <c r="C5977" s="2" t="n">
        <v>10672</v>
      </c>
      <c r="D5977" s="3" t="inlineStr">
        <is>
          <t>Степной король Лир</t>
        </is>
      </c>
      <c r="E5977" s="2" t="n">
        <v>1976</v>
      </c>
      <c r="F5977" s="2" t="inlineStr">
        <is>
          <t>фильм-спектакль</t>
        </is>
      </c>
      <c r="G5977" s="2" t="inlineStr">
        <is>
          <t>ТО Телефильмов</t>
        </is>
      </c>
      <c r="H5977" s="2" t="n">
        <v>420</v>
      </c>
      <c r="I5977" s="2" t="inlineStr"/>
      <c r="J5977" s="2" t="inlineStr"/>
      <c r="K5977" s="3" t="inlineStr">
        <is>
          <t>По мотивам одноименной повести И.С. Тургенева.
В компании помещиков ведется неспешный разговор о шекспировских типах. Один из собеседников вспоминает, что в юности знавал одного "короля Лира". Человек прямой и неглупый, этот среднерусский Лир "очень на себя надеялся, решительно ничего не боялся, ни в ком не не заискивал, денег не просил". Закончил он, однако, так же трагически, как и его шекспировский предшественник.</t>
        </is>
      </c>
      <c r="L5977" s="2" t="inlineStr">
        <is>
          <t>https://www.kino-teatr.ru/teatr/movie/13161/annot/</t>
        </is>
      </c>
      <c r="M5977" s="2">
        <f>HYPERLINK("https://ru.wikipedia.org/w/index.php?search=%D0%A1%D1%82%D0%B5%D0%BF%D0%BD%D0%BE%D0%B9%20%D0%BA%D0%BE%D1%80%D0%BE%D0%BB%D1%8C%20%D0%9B%D0%B8%D1%80%201976%20%D1%84%D0%B8%D0%BB%D1%8C%D0%BC","искать")</f>
        <v/>
      </c>
      <c r="N5977" s="3" t="n"/>
      <c r="O5977" s="2" t="n"/>
      <c r="P5977" s="2" t="n"/>
    </row>
    <row r="5978">
      <c r="A5978" s="2" t="n">
        <v>5977</v>
      </c>
      <c r="B5978" s="2" t="inlineStr"/>
      <c r="C5978" s="2" t="n">
        <v>10674</v>
      </c>
      <c r="D5978" s="3" t="inlineStr">
        <is>
          <t>Топаз</t>
        </is>
      </c>
      <c r="E5978" s="2" t="n">
        <v>1976</v>
      </c>
      <c r="F5978" s="2" t="inlineStr">
        <is>
          <t>фильм-спектакль</t>
        </is>
      </c>
      <c r="G5978" s="2" t="n"/>
      <c r="H5978" s="2" t="n">
        <v>420</v>
      </c>
      <c r="I5978" s="2" t="inlineStr"/>
      <c r="J5978" s="2" t="inlineStr"/>
      <c r="K5978" s="3" t="inlineStr">
        <is>
          <t>По пьесе французского писателя Марселя Паньоля. Действие сатирической комедии происходит в небольшом городке. Молодой учитель Топаз подает большие надежды, но честность и принципиальность приводят его к увольнению. Юношу втягивают в крупную финансовую авантюру, воспользовавшись его доверчивостью. "Покрутившись" в мире беспринципных дельцов, Топаз сильно изменился и теперь может дать сто очков вперед своим "учителям".</t>
        </is>
      </c>
      <c r="L5978" s="2" t="inlineStr">
        <is>
          <t>https://www.kino-teatr.ru/teatr/movie/99454/annot/</t>
        </is>
      </c>
      <c r="M5978" s="2">
        <f>HYPERLINK("https://ru.wikipedia.org/w/index.php?search=%D0%A2%D0%BE%D0%BF%D0%B0%D0%B7%201976%20%D1%84%D0%B8%D0%BB%D1%8C%D0%BC","искать")</f>
        <v/>
      </c>
      <c r="N5978" s="3" t="n"/>
      <c r="O5978" s="2" t="n"/>
      <c r="P5978" s="2" t="n"/>
    </row>
    <row r="5979">
      <c r="A5979" s="2" t="n">
        <v>5978</v>
      </c>
      <c r="B5979" s="2" t="inlineStr"/>
      <c r="C5979" s="2" t="n">
        <v>11249</v>
      </c>
      <c r="D5979" s="3" t="inlineStr">
        <is>
          <t>Брестский мир</t>
        </is>
      </c>
      <c r="E5979" s="2" t="n">
        <v>1989</v>
      </c>
      <c r="F5979" s="2" t="inlineStr">
        <is>
          <t>фильм-спектакль</t>
        </is>
      </c>
      <c r="G5979" s="2" t="n"/>
      <c r="H5979" s="2" t="n">
        <v>420</v>
      </c>
      <c r="I5979" s="2" t="inlineStr"/>
      <c r="J5979" s="2" t="inlineStr"/>
      <c r="K5979" s="3" t="inlineStr">
        <is>
          <t>По пьесе Михаила Шатрова в постановке Театр им. Вахтангова. История заключения Брестского мира — огромного и чудовищного компромисса, на который пошло правительство большевиков ради спасения революции, — имела в своем размахе нечто шекспировское, что и позволило Роберту Стуруа, создателю увлекательнейших шекспировских спектаклей («Ричард III», «Король Лир»), поставить пьесу Шатрова как вариацию шекспировских хроник .</t>
        </is>
      </c>
      <c r="L5979" s="2" t="inlineStr">
        <is>
          <t>https://www.kino-teatr.ru/teatr/movie/81525/annot/</t>
        </is>
      </c>
      <c r="M5979" s="2">
        <f>HYPERLINK("https://ru.wikipedia.org/w/index.php?search=%D0%91%D1%80%D0%B5%D1%81%D1%82%D1%81%D0%BA%D0%B8%D0%B9%20%D0%BC%D0%B8%D1%80%201989%20%D1%84%D0%B8%D0%BB%D1%8C%D0%BC","искать")</f>
        <v/>
      </c>
      <c r="N5979" s="3" t="n"/>
      <c r="O5979" s="2" t="n"/>
      <c r="P5979" s="2" t="n"/>
    </row>
    <row r="5980">
      <c r="A5980" s="2" t="n">
        <v>5979</v>
      </c>
      <c r="B5980" s="2" t="inlineStr"/>
      <c r="C5980" s="2" t="n">
        <v>14122</v>
      </c>
      <c r="D5980" s="3" t="inlineStr">
        <is>
          <t>Капризка</t>
        </is>
      </c>
      <c r="E5980" s="2" t="n">
        <v>1983</v>
      </c>
      <c r="F5980" s="2" t="inlineStr">
        <is>
          <t>мультфильм</t>
        </is>
      </c>
      <c r="G5980" s="2" t="inlineStr">
        <is>
          <t>ПЕРМЬТЕЛЕФИЛЬМ</t>
        </is>
      </c>
      <c r="H5980" s="2" t="n">
        <v>420</v>
      </c>
      <c r="I5980" s="2" t="inlineStr"/>
      <c r="J5980" s="2" t="inlineStr"/>
      <c r="K5980" s="3" t="inlineStr">
        <is>
          <t>Музыкальный мультфильм по мотивам повести пермского писателя Владимира Воробьева «Капризка – вождь ничевоков». Маленький человечек Капризка всегда появляется рядом с малышами. И когда они засыпают, нашептывает им на ухо всякие нехорошие вещи – призывает не слушать родителей и бабушек-дедушек, заставляет плакать, капризничать и безобразничать. Чем может обернуться такое поведение для маленьких детей и самого Капризки?</t>
        </is>
      </c>
      <c r="L5980" s="2" t="inlineStr">
        <is>
          <t>2026-10_мультфильмы_список_владельца.xlsx; https://animator.ru/db/?p=show_film&amp;fid=5520</t>
        </is>
      </c>
      <c r="M5980" s="2">
        <f>HYPERLINK("https://ru.wikipedia.org/w/index.php?search=%D0%9A%D0%B0%D0%BF%D1%80%D0%B8%D0%B7%D0%BA%D0%B0%201983%20%D1%84%D0%B8%D0%BB%D1%8C%D0%BC","искать")</f>
        <v/>
      </c>
      <c r="N5980" s="3" t="n"/>
      <c r="O5980" s="2" t="n"/>
      <c r="P5980" s="2" t="n"/>
    </row>
    <row r="5981">
      <c r="A5981" s="2" t="n">
        <v>5980</v>
      </c>
      <c r="B5981" s="2" t="inlineStr"/>
      <c r="C5981" s="2" t="n">
        <v>11005</v>
      </c>
      <c r="D5981" s="3" t="inlineStr">
        <is>
          <t>Полнолуние</t>
        </is>
      </c>
      <c r="E5981" s="2" t="n">
        <v>1983</v>
      </c>
      <c r="F5981" s="2" t="inlineStr">
        <is>
          <t>фильм-спектакль</t>
        </is>
      </c>
      <c r="G5981" s="2" t="inlineStr">
        <is>
          <t>Главная редакция литературно-драматических программ ЦТ</t>
        </is>
      </c>
      <c r="H5981" s="2" t="n">
        <v>421</v>
      </c>
      <c r="I5981" s="2" t="inlineStr"/>
      <c r="J5981" s="2" t="inlineStr"/>
      <c r="K5981" s="3" t="inlineStr">
        <is>
          <t>Из цикла "По Вашему письму".
Этот спектакль о том, как надо оберегать и ценить простое человеческое счастье: дом, семью, любовь, детей. В этой семье всех женщин по традиции называют - Вера, и женщины всегда верховодят. Но в то злополучное утро Вера Романовна узнает, что ее дочь Вера, решила развестись со своим мужем, внучка Верочка решила выйти замуж. Бабушка ошеломлена, так как Верочка еще не закончила десятый класс.</t>
        </is>
      </c>
      <c r="L5981" s="2" t="inlineStr">
        <is>
          <t>https://www.kino-teatr.ru/teatr/movie/17231/annot/</t>
        </is>
      </c>
      <c r="M5981" s="2">
        <f>HYPERLINK("https://ru.wikipedia.org/w/index.php?search=%D0%9F%D0%BE%D0%BB%D0%BD%D0%BE%D0%BB%D1%83%D0%BD%D0%B8%D0%B5%201983%20%D1%84%D0%B8%D0%BB%D1%8C%D0%BC","искать")</f>
        <v/>
      </c>
      <c r="N5981" s="3" t="n"/>
      <c r="O5981" s="2" t="n"/>
      <c r="P5981" s="2" t="n"/>
    </row>
    <row r="5982">
      <c r="A5982" s="2" t="n">
        <v>5981</v>
      </c>
      <c r="B5982" s="2" t="inlineStr"/>
      <c r="C5982" s="2" t="n">
        <v>11146</v>
      </c>
      <c r="D5982" s="3" t="inlineStr">
        <is>
          <t>Говори...</t>
        </is>
      </c>
      <c r="E5982" s="2" t="n">
        <v>1987</v>
      </c>
      <c r="F5982" s="2" t="inlineStr">
        <is>
          <t>фильм-спектакль</t>
        </is>
      </c>
      <c r="G5982" s="2" t="inlineStr">
        <is>
          <t>Главная редакция литературно-драматических программ ЦТ</t>
        </is>
      </c>
      <c r="H5982" s="2" t="n">
        <v>421</v>
      </c>
      <c r="I5982" s="2" t="inlineStr"/>
      <c r="J5982" s="2" t="inlineStr"/>
      <c r="K5982" s="3" t="inlineStr">
        <is>
          <t>Пьеса Александра Буравского по мотивам очерков "Районные будни" и страницам биографии писателя Валентина Овечкина.
Постановка Московского театра имени М.Н. Ермоловой.
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
Одно из главных событий театрального сезона 1985 года.</t>
        </is>
      </c>
      <c r="L5982" s="2" t="inlineStr">
        <is>
          <t>https://www.kino-teatr.ru/teatr/movie/81293/annot/</t>
        </is>
      </c>
      <c r="M5982" s="2">
        <f>HYPERLINK("https://ru.wikipedia.org/w/index.php?search=%D0%93%D0%BE%D0%B2%D0%BE%D1%80%D0%B8...%201987%20%D1%84%D0%B8%D0%BB%D1%8C%D0%BC","искать")</f>
        <v/>
      </c>
      <c r="N5982" s="3" t="n"/>
      <c r="O5982" s="2" t="n"/>
      <c r="P5982" s="2" t="n"/>
    </row>
    <row r="5983">
      <c r="A5983" s="2" t="n">
        <v>5982</v>
      </c>
      <c r="B5983" s="2" t="inlineStr"/>
      <c r="C5983" s="2" t="n">
        <v>8591</v>
      </c>
      <c r="D5983" s="3" t="inlineStr">
        <is>
          <t>Электронная бабушка</t>
        </is>
      </c>
      <c r="E5983" s="2" t="n">
        <v>1985</v>
      </c>
      <c r="F5983" s="2" t="inlineStr">
        <is>
          <t>телефильм</t>
        </is>
      </c>
      <c r="G5983" s="2" t="inlineStr">
        <is>
          <t>Литовская к/с</t>
        </is>
      </c>
      <c r="H5983" s="2" t="n">
        <v>422</v>
      </c>
      <c r="I5983" s="2" t="inlineStr"/>
      <c r="J5983" s="2" t="inlineStr"/>
      <c r="K5983" s="3" t="inlineStr">
        <is>
          <t>Дети узнают причину болезни своей подруги Агаты — у всех есть бабушки, а у неё нет. Они покупают ей электронную бабушку. Бабушка совсем не выглядит старой, наоборот, выглядит молодой и красивой. Она придумывает интересные игры и даже летает вместе с ними на Луну. Проводя много времени с детьми, она восполняет их родительские проблемы, возникшие по вине родителей — у них совершенно нет времени на воспитание своих детей.</t>
        </is>
      </c>
      <c r="L5983" s="2" t="inlineStr">
        <is>
          <t>https://ru.wikipedia.org/w/index.php?title=%D0%AD%D0%BB%D0%B5%D0%BA%D1%82%D1%80%D0%BE%D0%BD%D0%BD%D0%B0%D1%8F_%D0%B1%D0%B0%D0%B1%D1%83%D1%88%D0%BA%D0%B0&amp;oldid=154509754</t>
        </is>
      </c>
      <c r="M5983" s="2">
        <f>HYPERLINK("https://ru.wikipedia.org/w/index.php?search=%D0%AD%D0%BB%D0%B5%D0%BA%D1%82%D1%80%D0%BE%D0%BD%D0%BD%D0%B0%D1%8F%20%D0%B1%D0%B0%D0%B1%D1%83%D1%88%D0%BA%D0%B0%201985%20%D1%84%D0%B8%D0%BB%D1%8C%D0%BC","искать")</f>
        <v/>
      </c>
      <c r="N5983" s="3" t="n"/>
      <c r="O5983" s="2" t="n"/>
      <c r="P5983" s="2" t="n"/>
    </row>
    <row r="5984">
      <c r="A5984" s="2" t="n">
        <v>5983</v>
      </c>
      <c r="B5984" s="2" t="inlineStr"/>
      <c r="C5984" s="2" t="n">
        <v>10303</v>
      </c>
      <c r="D5984" s="3" t="inlineStr">
        <is>
          <t>Грех</t>
        </is>
      </c>
      <c r="E5984" s="2" t="n">
        <v>1969</v>
      </c>
      <c r="F5984" s="2" t="inlineStr">
        <is>
          <t>фильм-спектакль</t>
        </is>
      </c>
      <c r="G5984" s="2" t="n"/>
      <c r="H5984" s="2" t="n">
        <v>422</v>
      </c>
      <c r="I5984" s="2" t="inlineStr"/>
      <c r="J5984" s="2" t="inlineStr"/>
      <c r="K5984" s="3" t="inlineStr">
        <is>
          <t>По одноименной пьесе польского писателя Стефана Жеромского.
В пансионе Ванды Огродской и ее младшей сестры Анны проживают богатая вдова Софья Пармен с гувернанткой Яниной и молодой адвокат Петр Букович, в которого влюблены все женщины дома. Пани Софья предлагает адвокату жениться на ней, но получает отказ - Петр любит бесприданницу Анну. В отместку Софья дает богатое приданое своей гувернантке, и Петр женится на Янине.</t>
        </is>
      </c>
      <c r="L5984" s="2" t="inlineStr">
        <is>
          <t>https://www.kino-teatr.ru/teatr/movie/81418/annot/</t>
        </is>
      </c>
      <c r="M5984" s="2">
        <f>HYPERLINK("https://ru.wikipedia.org/w/index.php?search=%D0%93%D1%80%D0%B5%D1%85%201969%20%D1%84%D0%B8%D0%BB%D1%8C%D0%BC","искать")</f>
        <v/>
      </c>
      <c r="N5984" s="3" t="n"/>
      <c r="O5984" s="2" t="n"/>
      <c r="P5984" s="2" t="n"/>
    </row>
    <row r="5985">
      <c r="A5985" s="2" t="n">
        <v>5984</v>
      </c>
      <c r="B5985" s="2" t="inlineStr"/>
      <c r="C5985" s="2" t="n">
        <v>11442</v>
      </c>
      <c r="D5985" s="3" t="inlineStr">
        <is>
          <t>Зеркальце</t>
        </is>
      </c>
      <c r="E5985" s="2" t="n">
        <v>1967</v>
      </c>
      <c r="F5985" s="2" t="inlineStr">
        <is>
          <t>мультфильм</t>
        </is>
      </c>
      <c r="G5985" s="2" t="inlineStr">
        <is>
          <t>Союзмультфильм</t>
        </is>
      </c>
      <c r="H5985" s="2" t="n">
        <v>422</v>
      </c>
      <c r="I5985" s="2" t="inlineStr"/>
      <c r="J5985" s="2" t="inlineStr"/>
      <c r="K5985" s="3" t="inlineStr">
        <is>
          <t>Девочка идет по лесу и обещает дать конфетку тому. кто лучше всех ее похвалит. Зайцу очень хочется получит конфетку - он никогда не ел конфет, но не может придумать удачный комплимент. Еж колет своими иголками девочку-кривляку, и когда она перестает воображать и кривляться, звери видят, что это и в самом деле красивая девочка. Конфета достается Зайцу, зеркальце Ежу. Но коварная ворона ухитряется утащить у Зайца конфету</t>
        </is>
      </c>
      <c r="L5985" s="2" t="inlineStr">
        <is>
          <t>https://gosfilmofond.ru/films/254263/</t>
        </is>
      </c>
      <c r="M5985" s="2">
        <f>HYPERLINK("https://ru.wikipedia.org/w/index.php?search=%D0%97%D0%B5%D1%80%D0%BA%D0%B0%D0%BB%D1%8C%D1%86%D0%B5%201967%20%D1%84%D0%B8%D0%BB%D1%8C%D0%BC","искать")</f>
        <v/>
      </c>
      <c r="N5985" s="3" t="n"/>
      <c r="O5985" s="2" t="n"/>
      <c r="P5985" s="2" t="n"/>
    </row>
    <row r="5986">
      <c r="A5986" s="2" t="n">
        <v>5985</v>
      </c>
      <c r="B5986" s="2" t="inlineStr"/>
      <c r="C5986" s="2" t="n">
        <v>11531</v>
      </c>
      <c r="D5986" s="3" t="inlineStr">
        <is>
          <t>Что такое хорошо и что такое плохо</t>
        </is>
      </c>
      <c r="E5986" s="2" t="n">
        <v>1969</v>
      </c>
      <c r="F5986" s="2" t="inlineStr">
        <is>
          <t>мультфильм</t>
        </is>
      </c>
      <c r="G5986" s="2" t="inlineStr">
        <is>
          <t>Союзмультфильм</t>
        </is>
      </c>
      <c r="H5986" s="2" t="n">
        <v>422</v>
      </c>
      <c r="I5986" s="2" t="inlineStr"/>
      <c r="J5986" s="2" t="inlineStr"/>
      <c r="K5986" s="3" t="inlineStr">
        <is>
          <t>По одноименному стихотворению Владимира Маяковского. Оживаент волшебный Карандашик и начинает путешествовать по книжным полкам. он окрывает страницы известного стихотворения Владимира маяковского и встречается с самыми разными ребятами: одни могут послужить хорошим примером, а другие достойны осуждения. Когда путешествие заканчивается, Карандашик обещает отправиться в новое путешествие по страницам любимых книжек детей</t>
        </is>
      </c>
      <c r="L5986" s="2" t="inlineStr">
        <is>
          <t>https://gosfilmofond.ru/films/248538/</t>
        </is>
      </c>
      <c r="M5986" s="2">
        <f>HYPERLINK("https://ru.wikipedia.org/w/index.php?search=%D0%A7%D1%82%D0%BE%20%D1%82%D0%B0%D0%BA%D0%BE%D0%B5%20%D1%85%D0%BE%D1%80%D0%BE%D1%88%D0%BE%20%D0%B8%20%D1%87%D1%82%D0%BE%20%D1%82%D0%B0%D0%BA%D0%BE%D0%B5%20%D0%BF%D0%BB%D0%BE%D1%85%D0%BE%201969%20%D1%84%D0%B8%D0%BB%D1%8C%D0%BC","искать")</f>
        <v/>
      </c>
      <c r="N5986" s="3" t="n"/>
      <c r="O5986" s="2" t="n"/>
      <c r="P5986" s="2" t="n"/>
    </row>
    <row r="5987">
      <c r="A5987" s="2" t="n">
        <v>5986</v>
      </c>
      <c r="B5987" s="2" t="inlineStr"/>
      <c r="C5987" s="2" t="n">
        <v>13158</v>
      </c>
      <c r="D5987" s="3" t="inlineStr">
        <is>
          <t>Оазис</t>
        </is>
      </c>
      <c r="E5987" s="2" t="n">
        <v>1986</v>
      </c>
      <c r="F5987" s="2" t="inlineStr">
        <is>
          <t>мультфильм</t>
        </is>
      </c>
      <c r="G5987" s="2" t="inlineStr">
        <is>
          <t>ТУРКМЕНФИЛЬМ</t>
        </is>
      </c>
      <c r="H5987" s="2" t="n">
        <v>422</v>
      </c>
      <c r="I5987" s="2" t="inlineStr"/>
      <c r="J5987" s="2" t="inlineStr"/>
      <c r="K5987" s="3" t="inlineStr">
        <is>
          <t>О том, как дружба помогла вырастить в пустыне замечательный сад плодовых деревьев. Живут в пустыне два брата. Старший помогает животным, поливает хрупкий росток, а младший беззаботно играет, не понимая, какой ценой дается жизнь всему живому под палящим солнцем. Благодаря заботам сташего мальчика из тоненького росточка вырастает большое дерево. Малыш съедает плод, а из оставшейся косточки он рашает тоже вырастить дерево</t>
        </is>
      </c>
      <c r="L5987" s="2" t="inlineStr">
        <is>
          <t>https://gosfilmofond.ru/films/250611/</t>
        </is>
      </c>
      <c r="M5987" s="2">
        <f>HYPERLINK("https://ru.wikipedia.org/w/index.php?search=%D0%9E%D0%B0%D0%B7%D0%B8%D1%81%201986%20%D1%84%D0%B8%D0%BB%D1%8C%D0%BC","искать")</f>
        <v/>
      </c>
      <c r="N5987" s="3" t="n"/>
      <c r="O5987" s="2" t="n"/>
      <c r="P5987" s="2" t="n"/>
    </row>
    <row r="5988">
      <c r="A5988" s="2" t="n">
        <v>5987</v>
      </c>
      <c r="B5988" s="2" t="inlineStr"/>
      <c r="C5988" s="2" t="n">
        <v>8833</v>
      </c>
      <c r="D5988" s="3" t="inlineStr">
        <is>
          <t>Месье!</t>
        </is>
      </c>
      <c r="E5988" s="2" t="n">
        <v>1986</v>
      </c>
      <c r="F5988" s="2" t="inlineStr">
        <is>
          <t>кинофильм</t>
        </is>
      </c>
      <c r="G5988" s="2" t="n"/>
      <c r="H5988" s="2" t="n">
        <v>423</v>
      </c>
      <c r="I5988" s="2" t="inlineStr"/>
      <c r="J5988" s="2" t="inlineStr"/>
      <c r="K5988" s="3" t="inlineStr">
        <is>
          <t>Фильм поставлен по пьесе французского писателя Ива Жамиака «Месье Амилькар, или Человек, который платит». Обеспеченный, обворожительный Александр Амилькар создает себе иллюзию счастья – то, что необходимо мужчине его возраста - верного друга, обожаемую жену и ребенка. Воспользовавшись весьма внушительной суммой наличности, Александр нанимает бомжа Машу, Элеонору - безработную актрису, и совсем юную проститутку Виржинию.</t>
        </is>
      </c>
      <c r="L5988" s="2" t="inlineStr">
        <is>
          <t>Кино_СССР сводный каталог.xlsx: список фильмов (доп.)</t>
        </is>
      </c>
      <c r="M5988" s="2">
        <f>HYPERLINK("https://ru.wikipedia.org/w/index.php?search=%D0%9C%D0%B5%D1%81%D1%8C%D0%B5%21%201986%20%D1%84%D0%B8%D0%BB%D1%8C%D0%BC","искать")</f>
        <v/>
      </c>
      <c r="N5988" s="3" t="n"/>
      <c r="O5988" s="2" t="n"/>
      <c r="P5988" s="2" t="n"/>
    </row>
    <row r="5989">
      <c r="A5989" s="2" t="n">
        <v>5988</v>
      </c>
      <c r="B5989" s="2" t="inlineStr"/>
      <c r="C5989" s="2" t="n">
        <v>12424</v>
      </c>
      <c r="D5989" s="3" t="inlineStr">
        <is>
          <t>Катигорошек</t>
        </is>
      </c>
      <c r="E5989" s="2" t="n">
        <v>1970</v>
      </c>
      <c r="F5989" s="2" t="inlineStr">
        <is>
          <t>мультфильм</t>
        </is>
      </c>
      <c r="G5989" s="2" t="inlineStr">
        <is>
          <t>КИЕВНАУЧФИЛЬМ</t>
        </is>
      </c>
      <c r="H5989" s="2" t="n">
        <v>423</v>
      </c>
      <c r="I5989" s="2" t="inlineStr"/>
      <c r="J5989" s="2" t="inlineStr"/>
      <c r="K5989" s="3" t="inlineStr">
        <is>
          <t>По украинской народной сказке. Налетевший ураганным вихрем злой Змей пожег посевы старого деда и похитил его сыновей и дочь. Горюют о детях старик со старухой. Вдруг видит старик, что из проросшего стебелька появился мальчик Катигорошек. Кузнец выковал ему булаву, и отправился мальчик на борьбу со Змеем. С помощью друзей - Вернидуба, Верникоры и Крутиуса - Катигорошку удается победить Змея и возвратить старикам их детей</t>
        </is>
      </c>
      <c r="L5989" s="2" t="inlineStr">
        <is>
          <t>https://gosfilmofond.ru/films/255156/</t>
        </is>
      </c>
      <c r="M5989" s="2">
        <f>HYPERLINK("https://ru.wikipedia.org/w/index.php?search=%D0%9A%D0%B0%D1%82%D0%B8%D0%B3%D0%BE%D1%80%D0%BE%D1%88%D0%B5%D0%BA%201970%20%D1%84%D0%B8%D0%BB%D1%8C%D0%BC","искать")</f>
        <v/>
      </c>
      <c r="N5989" s="3" t="n"/>
      <c r="O5989" s="2" t="n"/>
      <c r="P5989" s="2" t="n"/>
    </row>
    <row r="5990">
      <c r="A5990" s="2" t="n">
        <v>5989</v>
      </c>
      <c r="B5990" s="2" t="inlineStr"/>
      <c r="C5990" s="2" t="n">
        <v>7899</v>
      </c>
      <c r="D5990" s="3" t="inlineStr">
        <is>
          <t>Москва в нотах</t>
        </is>
      </c>
      <c r="E5990" s="2" t="n">
        <v>1969</v>
      </c>
      <c r="F5990" s="2" t="inlineStr">
        <is>
          <t>телефильм</t>
        </is>
      </c>
      <c r="G5990" s="2" t="inlineStr">
        <is>
          <t>Мосфильм, Bavaria Atelier</t>
        </is>
      </c>
      <c r="H5990" s="2" t="n">
        <v>424</v>
      </c>
      <c r="I5990" s="2" t="inlineStr"/>
      <c r="J5990" s="2" t="inlineStr"/>
      <c r="K5990" s="3" t="inlineStr">
        <is>
          <t>Фильм рассказывает о Москве. Город показан таким, каким его видят иностранцы. Картина состоит из нескольких музыкальных номеров, каждый из которых демонстрирует одну из достопримечательностей города или просто одну из вещей, которыми гордятся русские: Московский метрополитен, государственный университет, спорткомплекс Лужники, знаменитый русский балет, классические песни и танцы и, конечно, традиционные русские матрёшки.</t>
        </is>
      </c>
      <c r="L5990" s="2" t="inlineStr">
        <is>
          <t>Кино_СССР сводный каталог.xlsx: список телефильмов</t>
        </is>
      </c>
      <c r="M5990" s="2">
        <f>HYPERLINK("https://ru.wikipedia.org/w/index.php?search=%D0%9C%D0%BE%D1%81%D0%BA%D0%B2%D0%B0%20%D0%B2%20%D0%BD%D0%BE%D1%82%D0%B0%D1%85%201969%20%D1%84%D0%B8%D0%BB%D1%8C%D0%BC","искать")</f>
        <v/>
      </c>
      <c r="N5990" s="3" t="n"/>
      <c r="O5990" s="2" t="n"/>
      <c r="P5990" s="2" t="n"/>
    </row>
    <row r="5991">
      <c r="A5991" s="2" t="n">
        <v>5990</v>
      </c>
      <c r="B5991" s="2" t="inlineStr"/>
      <c r="C5991" s="2" t="n">
        <v>9302</v>
      </c>
      <c r="D5991" s="3" t="inlineStr">
        <is>
          <t>Гвоздь в сапоге</t>
        </is>
      </c>
      <c r="E5991" s="2" t="n">
        <v>1932</v>
      </c>
      <c r="F5991" s="2" t="inlineStr">
        <is>
          <t>кинофильм</t>
        </is>
      </c>
      <c r="G5991" s="2" t="inlineStr">
        <is>
          <t>Госкинпром Грузии</t>
        </is>
      </c>
      <c r="H5991" s="2" t="n">
        <v>424</v>
      </c>
      <c r="I5991" s="2" t="inlineStr"/>
      <c r="J5991" s="2" t="inlineStr"/>
      <c r="K5991" s="3" t="inlineStr">
        <is>
          <t>Оборонный агитпропфильм на тему «Бракоделы – вредители обороны!», снятый в форме притчи. Из-за негодных сапог рабочий не успевает передать важное донесение во время маневров, и команда бронепоезда «погибает» в условной газовой атаке. Герой оказывается на скамье подсудимых, но трибунал, как выясняется, виновен сам: в его составе – команда «погибшего» бронепоезда, в которую входят обувщики, изготовившие бракованные сапоги.</t>
        </is>
      </c>
      <c r="L5991" s="2" t="inlineStr">
        <is>
          <t>Кино_СССР сводный каталог.xlsx: список фильмов (доп.)</t>
        </is>
      </c>
      <c r="M5991" s="2">
        <f>HYPERLINK("https://ru.wikipedia.org/w/index.php?search=%D0%93%D0%B2%D0%BE%D0%B7%D0%B4%D1%8C%20%D0%B2%20%D1%81%D0%B0%D0%BF%D0%BE%D0%B3%D0%B5%201932%20%D1%84%D0%B8%D0%BB%D1%8C%D0%BC","искать")</f>
        <v/>
      </c>
      <c r="N5991" s="3" t="n"/>
      <c r="O5991" s="2" t="n"/>
      <c r="P5991" s="2" t="n"/>
    </row>
    <row r="5992">
      <c r="A5992" s="2" t="n">
        <v>5991</v>
      </c>
      <c r="B5992" s="2" t="inlineStr"/>
      <c r="C5992" s="2" t="n">
        <v>10073</v>
      </c>
      <c r="D5992" s="3" t="inlineStr">
        <is>
          <t>Обнажённая со скрипкой</t>
        </is>
      </c>
      <c r="E5992" s="2" t="n">
        <v>1959</v>
      </c>
      <c r="F5992" s="2" t="inlineStr">
        <is>
          <t>фильм-спектакль</t>
        </is>
      </c>
      <c r="G5992" s="2" t="inlineStr">
        <is>
          <t>Главная редакция литературно-драматических программ ЦТ</t>
        </is>
      </c>
      <c r="H5992" s="2" t="n">
        <v>424</v>
      </c>
      <c r="I5992" s="2" t="inlineStr"/>
      <c r="J5992" s="2" t="inlineStr"/>
      <c r="K5992" s="3" t="inlineStr">
        <is>
          <t>Телеверсия спектакля Московского Театра сатиры.
По одноименной комедии английского писателя Н. Кауарда.
Англия. 1950-е годы. Умер знаменитый художник Поль Сородэн. Его слуга Себастьян, которому Поль доверял, раскрывает перед родными и близкими умершего тайну: все картины Сородэна были написаны его любовницами и четырнадцатилетним сыном Себастьяна. По словам слуги, это был крестовый поход художника против лжи в искусстве.</t>
        </is>
      </c>
      <c r="L5992" s="2" t="inlineStr">
        <is>
          <t>https://www.kino-teatr.ru/teatr/movie/4620/annot/</t>
        </is>
      </c>
      <c r="M5992" s="2">
        <f>HYPERLINK("https://ru.wikipedia.org/w/index.php?search=%D0%9E%D0%B1%D0%BD%D0%B0%D0%B6%D1%91%D0%BD%D0%BD%D0%B0%D1%8F%20%D1%81%D0%BE%20%D1%81%D0%BA%D1%80%D0%B8%D0%BF%D0%BA%D0%BE%D0%B9%201959%20%D1%84%D0%B8%D0%BB%D1%8C%D0%BC","искать")</f>
        <v/>
      </c>
      <c r="N5992" s="3" t="n"/>
      <c r="O5992" s="2" t="n"/>
      <c r="P5992" s="2" t="n"/>
    </row>
    <row r="5993">
      <c r="A5993" s="2" t="n">
        <v>5992</v>
      </c>
      <c r="B5993" s="2" t="inlineStr"/>
      <c r="C5993" s="2" t="n">
        <v>7355</v>
      </c>
      <c r="D5993" s="3" t="inlineStr">
        <is>
          <t>Возвращение в Зурбаган</t>
        </is>
      </c>
      <c r="E5993" s="2" t="n">
        <v>1990</v>
      </c>
      <c r="F5993" s="2" t="inlineStr">
        <is>
          <t>телефильм</t>
        </is>
      </c>
      <c r="G5993" s="2" t="inlineStr">
        <is>
          <t>к/с им. Довженко</t>
        </is>
      </c>
      <c r="H5993" s="2" t="n">
        <v>425</v>
      </c>
      <c r="I5993" s="2" t="inlineStr"/>
      <c r="J5993" s="2" t="inlineStr"/>
      <c r="K5993" s="3" t="inlineStr">
        <is>
          <t>Владимир Старков возвращается в Керчь после восьми лет заключения. Здесь он встречает Татьяну, женщину, которую любил в молодости. За время его отсутствия у Татьяны появилась дочь Нелли. Знакомство Стефана с девочкой становится началом их близкой связи. Однако Старкову предстоит столкнуться с прошлыми друзьями, из-за которых он оказался в тюрьме. Они требуют от него отдать старые долги и похитить его названную дочь Нелли.</t>
        </is>
      </c>
      <c r="L5993" s="2" t="inlineStr">
        <is>
          <t>https://ru.wikipedia.org/w/index.php?title=%D0%92%D0%BE%D0%B7%D0%B2%D1%80%D0%B0%D1%89%D0%B5%D0%BD%D0%B8%D0%B5_%D0%B2_%D0%97%D1%83%D1%80%D0%B1%D0%B0%D0%B3%D0%B0%D0%BD&amp;oldid=154076717</t>
        </is>
      </c>
      <c r="M5993" s="2">
        <f>HYPERLINK("https://ru.wikipedia.org/w/index.php?search=%D0%92%D0%BE%D0%B7%D0%B2%D1%80%D0%B0%D1%89%D0%B5%D0%BD%D0%B8%D0%B5%20%D0%B2%20%D0%97%D1%83%D1%80%D0%B1%D0%B0%D0%B3%D0%B0%D0%BD%201990%20%D1%84%D0%B8%D0%BB%D1%8C%D0%BC","искать")</f>
        <v/>
      </c>
      <c r="N5993" s="3" t="n"/>
      <c r="O5993" s="2" t="n"/>
      <c r="P5993" s="2" t="n"/>
    </row>
    <row r="5994">
      <c r="A5994" s="2" t="n">
        <v>5993</v>
      </c>
      <c r="B5994" s="2" t="inlineStr"/>
      <c r="C5994" s="2" t="n">
        <v>8438</v>
      </c>
      <c r="D5994" s="3" t="inlineStr">
        <is>
          <t>Талант</t>
        </is>
      </c>
      <c r="E5994" s="2" t="n">
        <v>1977</v>
      </c>
      <c r="F5994" s="2" t="inlineStr">
        <is>
          <t>телефильм</t>
        </is>
      </c>
      <c r="G5994" s="2" t="n"/>
      <c r="H5994" s="2" t="n">
        <v>425</v>
      </c>
      <c r="I5994" s="2" t="inlineStr"/>
      <c r="J5994" s="2" t="inlineStr"/>
      <c r="K5994" s="3" t="inlineStr">
        <is>
          <t>Авиаконструктор Алексей Бережков начинает карьеру инженера в «секретной» лаборатории, работая на афериста Анатолия Подрайского. После революции он сталкивается с трудностями и разочарованиями, но не теряет веру в себя. В условиях НЭПа Бережков мечтает создать уникальную мельницу для обогащения, но сталкивается с трудностями. Несмотря на арест и неудачи, он не сдаётся и добивается успеха, создавая мощный авиационный мотор.</t>
        </is>
      </c>
      <c r="L5994" s="2" t="inlineStr">
        <is>
          <t>https://ru.wikipedia.org/w/index.php?title=%D0%A2%D0%B0%D0%BB%D0%B0%D0%BD%D1%82_%28%D1%84%D0%B8%D0%BB%D1%8C%D0%BC%29&amp;oldid=154828494</t>
        </is>
      </c>
      <c r="M5994" s="2">
        <f>HYPERLINK("https://ru.wikipedia.org/w/index.php?search=%D0%A2%D0%B0%D0%BB%D0%B0%D0%BD%D1%82%201977%20%D1%84%D0%B8%D0%BB%D1%8C%D0%BC","искать")</f>
        <v/>
      </c>
      <c r="N5994" s="3" t="n"/>
      <c r="O5994" s="2" t="n"/>
      <c r="P5994" s="2" t="n"/>
    </row>
    <row r="5995">
      <c r="A5995" s="2" t="n">
        <v>5994</v>
      </c>
      <c r="B5995" s="2" t="inlineStr"/>
      <c r="C5995" s="2" t="n">
        <v>12409</v>
      </c>
      <c r="D5995" s="3" t="inlineStr">
        <is>
          <t>Как казак счастье искал</t>
        </is>
      </c>
      <c r="E5995" s="2" t="n">
        <v>1969</v>
      </c>
      <c r="F5995" s="2" t="inlineStr">
        <is>
          <t>мультфильм</t>
        </is>
      </c>
      <c r="G5995" s="2" t="inlineStr">
        <is>
          <t>КИЕВНАУЧФИЛЬМ</t>
        </is>
      </c>
      <c r="H5995" s="2" t="n">
        <v>425</v>
      </c>
      <c r="I5995" s="2" t="inlineStr"/>
      <c r="J5995" s="2" t="inlineStr"/>
      <c r="K5995" s="3" t="inlineStr">
        <is>
          <t>Идет по белу свету Парубок, встречает цыганку. Нагадала она ему удачу. Встречает Парубок Водяного и угощает его горилкой с перцем. Тот с радости вручает Парубку связку подков. Попадается молодцу Черт и проигрывает седло. А потом парубок идет в царский терем и своей силой и ловкостью превосходит всех удальцов, ожидавших в награду за победу руки царской дочери. И хотя Парубок мечтал о коне, от красавицы-царевны не отказался</t>
        </is>
      </c>
      <c r="L5995" s="2" t="inlineStr">
        <is>
          <t>https://gosfilmofond.ru/films/254746/</t>
        </is>
      </c>
      <c r="M5995" s="2">
        <f>HYPERLINK("https://ru.wikipedia.org/w/index.php?search=%D0%9A%D0%B0%D0%BA%20%D0%BA%D0%B0%D0%B7%D0%B0%D0%BA%20%D1%81%D1%87%D0%B0%D1%81%D1%82%D1%8C%D0%B5%20%D0%B8%D1%81%D0%BA%D0%B0%D0%BB%201969%20%D1%84%D0%B8%D0%BB%D1%8C%D0%BC","искать")</f>
        <v/>
      </c>
      <c r="N5995" s="3" t="n"/>
      <c r="O5995" s="2" t="n"/>
      <c r="P5995" s="2" t="n"/>
    </row>
    <row r="5996">
      <c r="A5996" s="2" t="n">
        <v>5995</v>
      </c>
      <c r="B5996" s="2" t="inlineStr"/>
      <c r="C5996" s="2" t="n">
        <v>13882</v>
      </c>
      <c r="D5996" s="3" t="inlineStr">
        <is>
          <t>Роковая любовь</t>
        </is>
      </c>
      <c r="E5996" s="2" t="n">
        <v>1990</v>
      </c>
      <c r="F5996" s="2" t="inlineStr">
        <is>
          <t>мультфильм</t>
        </is>
      </c>
      <c r="G5996" s="2" t="inlineStr">
        <is>
          <t>ЭКРАН</t>
        </is>
      </c>
      <c r="H5996" s="2" t="n">
        <v>425</v>
      </c>
      <c r="I5996" s="2" t="inlineStr"/>
      <c r="J5996" s="2" t="inlineStr"/>
      <c r="K5996" s="3"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L5996" s="2" t="inlineStr">
        <is>
          <t>2026-10_мультфильмы_список_владельца.xlsx; https://animator.ru/db/?p=show_film&amp;fid=5275</t>
        </is>
      </c>
      <c r="M5996" s="2">
        <f>HYPERLINK("https://ru.wikipedia.org/w/index.php?search=%D0%A0%D0%BE%D0%BA%D0%BE%D0%B2%D0%B0%D1%8F%20%D0%BB%D1%8E%D0%B1%D0%BE%D0%B2%D1%8C%201990%20%D1%84%D0%B8%D0%BB%D1%8C%D0%BC","искать")</f>
        <v/>
      </c>
      <c r="N5996" s="3" t="n"/>
      <c r="O5996" s="2" t="n"/>
      <c r="P5996" s="2" t="n"/>
    </row>
    <row r="5997">
      <c r="A5997" s="2" t="n">
        <v>5996</v>
      </c>
      <c r="B5997" s="2" t="inlineStr"/>
      <c r="C5997" s="2" t="n">
        <v>14432</v>
      </c>
      <c r="D5997" s="3" t="inlineStr">
        <is>
          <t>Роковая любовь. Фильм 1</t>
        </is>
      </c>
      <c r="E5997" s="2" t="n">
        <v>1989</v>
      </c>
      <c r="F5997" s="2" t="inlineStr">
        <is>
          <t>мультфильм</t>
        </is>
      </c>
      <c r="G5997" s="2" t="n"/>
      <c r="H5997" s="2" t="n">
        <v>425</v>
      </c>
      <c r="I5997" s="2" t="inlineStr"/>
      <c r="J5997" s="2" t="inlineStr"/>
      <c r="K5997" s="3"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L5997" s="2" t="inlineStr">
        <is>
          <t>https://animator.ru/db/?p=show_film&amp;fid=6675</t>
        </is>
      </c>
      <c r="M5997" s="2">
        <f>HYPERLINK("https://ru.wikipedia.org/w/index.php?search=%D0%A0%D0%BE%D0%BA%D0%BE%D0%B2%D0%B0%D1%8F%20%D0%BB%D1%8E%D0%B1%D0%BE%D0%B2%D1%8C.%20%D0%A4%D0%B8%D0%BB%D1%8C%D0%BC%201%201989%20%D1%84%D0%B8%D0%BB%D1%8C%D0%BC","искать")</f>
        <v/>
      </c>
      <c r="N5997" s="3" t="n"/>
      <c r="O5997" s="2" t="n"/>
      <c r="P5997" s="2" t="n"/>
    </row>
    <row r="5998">
      <c r="A5998" s="2" t="n">
        <v>5997</v>
      </c>
      <c r="B5998" s="2" t="inlineStr"/>
      <c r="C5998" s="2" t="n">
        <v>8029</v>
      </c>
      <c r="D5998" s="3" t="inlineStr">
        <is>
          <t>Овод</t>
        </is>
      </c>
      <c r="E5998" s="2" t="n">
        <v>1980</v>
      </c>
      <c r="F5998" s="2" t="inlineStr">
        <is>
          <t>телефильм</t>
        </is>
      </c>
      <c r="G5998" s="2" t="inlineStr">
        <is>
          <t>к/с им. Довженко</t>
        </is>
      </c>
      <c r="H5998" s="2" t="n">
        <v>426</v>
      </c>
      <c r="I5998" s="2" t="inlineStr"/>
      <c r="J5998" s="2" t="inlineStr"/>
      <c r="K5998" s="3" t="inlineStr">
        <is>
          <t>События телесериала разворачиваются на фоне революционно- освободительного движения – борьбы итальянских патриотов против австрийских оккупантов. В судьбе романтического юноши Артура Бертона немало неординарных событий – тайна рождения, предательство близких людей, инсценированное самоубийство, трагическая безответная любовь, пронесенная через всю жизнь… 1-я серия - "Память"; 2-я серия - "Джемма"; 3-я серия - "Отец и сын".</t>
        </is>
      </c>
      <c r="L5998" s="2" t="inlineStr">
        <is>
          <t>Кино_СССР сводный каталог.xlsx: список телефильмов</t>
        </is>
      </c>
      <c r="M5998" s="2">
        <f>HYPERLINK("https://ru.wikipedia.org/w/index.php?search=%D0%9E%D0%B2%D0%BE%D0%B4%201980%20%D1%84%D0%B8%D0%BB%D1%8C%D0%BC","искать")</f>
        <v/>
      </c>
      <c r="N5998" s="3" t="n"/>
      <c r="O5998" s="2" t="n"/>
      <c r="P5998" s="2" t="n"/>
    </row>
    <row r="5999">
      <c r="A5999" s="2" t="n">
        <v>5998</v>
      </c>
      <c r="B5999" s="2" t="inlineStr"/>
      <c r="C5999" s="2" t="n">
        <v>8196</v>
      </c>
      <c r="D5999" s="3" t="inlineStr">
        <is>
          <t>Привет с фронта</t>
        </is>
      </c>
      <c r="E5999" s="2" t="n">
        <v>1983</v>
      </c>
      <c r="F5999" s="2" t="inlineStr">
        <is>
          <t>телефильм</t>
        </is>
      </c>
      <c r="G5999" s="2" t="n"/>
      <c r="H5999" s="2" t="n">
        <v>426</v>
      </c>
      <c r="I5999" s="2" t="inlineStr"/>
      <c r="J5999" s="2" t="inlineStr"/>
      <c r="K5999" s="3" t="inlineStr">
        <is>
          <t>Великая Отечественная война, в подмосковном госпитале медсестра Нина получает письмо от лейтенанта Юры, который недавно был здесь на излечении по ранению, и которого она даже и не запомнила толком. Юра шлёт ей привет с фронта и пишет, что полюбил её, но так и не решился признаться в своих чувствах. Завязывается любовь «по переписке», однажды обрывающаяся, но Нина ждёт новых писем, хотя понимает, что Юра скорее всего погиб.</t>
        </is>
      </c>
      <c r="L5999" s="2" t="inlineStr">
        <is>
          <t>https://ru.wikipedia.org/w/index.php?title=%D0%9F%D1%80%D0%B8%D0%B2%D0%B5%D1%82_%D1%81_%D1%84%D1%80%D0%BE%D0%BD%D1%82%D0%B0_%28%D1%84%D0%B8%D0%BB%D1%8C%D0%BC%29&amp;oldid=154703053</t>
        </is>
      </c>
      <c r="M5999" s="2">
        <f>HYPERLINK("https://ru.wikipedia.org/w/index.php?search=%D0%9F%D1%80%D0%B8%D0%B2%D0%B5%D1%82%20%D1%81%20%D1%84%D1%80%D0%BE%D0%BD%D1%82%D0%B0%201983%20%D1%84%D0%B8%D0%BB%D1%8C%D0%BC","искать")</f>
        <v/>
      </c>
      <c r="N5999" s="3" t="n"/>
      <c r="O5999" s="2" t="n"/>
      <c r="P5999" s="2" t="n"/>
    </row>
    <row r="6000">
      <c r="A6000" s="2" t="n">
        <v>5999</v>
      </c>
      <c r="B6000" s="2" t="inlineStr"/>
      <c r="C6000" s="2" t="n">
        <v>9658</v>
      </c>
      <c r="D6000" s="3" t="inlineStr">
        <is>
          <t>Совесть</t>
        </is>
      </c>
      <c r="E6000" s="2" t="n">
        <v>1968</v>
      </c>
      <c r="F6000" s="2" t="inlineStr">
        <is>
          <t>кинофильм</t>
        </is>
      </c>
      <c r="G6000" s="2" t="inlineStr">
        <is>
          <t>Киевский государственный институт театрального искусства им. И. К. Карпенко-Карого</t>
        </is>
      </c>
      <c r="H6000" s="2" t="n">
        <v>426</v>
      </c>
      <c r="I6000" s="2" t="inlineStr"/>
      <c r="J6000" s="2" t="inlineStr"/>
      <c r="K6000" s="3" t="inlineStr">
        <is>
          <t>Великая отечественная война. В одном украинском селе шеф гестапо Рихтер собственноручно расстрелял невинных людей. Сельский хлопец Василь в отместку убил его, при этом сам получил ранение. Друг мстителя перевязал рану и помог спрятаться. Узнав, что фашисты расстреляют всех жителей села, если к утру они не выдадут его местонахождения, Василь вышел из своего укрытия. Жертва оказалась напрасной - массовое убийство состоялось.</t>
        </is>
      </c>
      <c r="L6000" s="2" t="inlineStr">
        <is>
          <t>https://gosfilmofond.ru/films/255920/</t>
        </is>
      </c>
      <c r="M6000" s="2">
        <f>HYPERLINK("https://ru.wikipedia.org/w/index.php?search=%D0%A1%D0%BE%D0%B2%D0%B5%D1%81%D1%82%D1%8C%201968%20%D1%84%D0%B8%D0%BB%D1%8C%D0%BC","искать")</f>
        <v/>
      </c>
      <c r="N6000" s="3" t="n"/>
      <c r="O6000" s="2" t="n"/>
      <c r="P6000" s="2" t="n"/>
    </row>
    <row r="6001">
      <c r="A6001" s="2" t="n">
        <v>6000</v>
      </c>
      <c r="B6001" s="2" t="inlineStr"/>
      <c r="C6001" s="2" t="n">
        <v>9932</v>
      </c>
      <c r="D6001" s="3" t="inlineStr">
        <is>
          <t>У нас новенькая</t>
        </is>
      </c>
      <c r="E6001" s="2" t="n">
        <v>1977</v>
      </c>
      <c r="F6001" s="2" t="inlineStr">
        <is>
          <t>кинофильм</t>
        </is>
      </c>
      <c r="G6001" s="2" t="inlineStr">
        <is>
          <t>Одесская киностудия</t>
        </is>
      </c>
      <c r="H6001" s="2" t="n">
        <v>426</v>
      </c>
      <c r="I6001" s="2" t="inlineStr"/>
      <c r="J6001" s="2" t="inlineStr"/>
      <c r="K6001" s="3" t="inlineStr">
        <is>
          <t>По мотивам рассказа Бориса Екимова "Офицерша".
На стройке появляется новая рабочая - бойкая и принципиальная Шура Русакова. Ее открытое недовольство и непримиримость к беспорядкам на строительстве вызывают понимание и симпатии у мастера. Дружеские отношения между Шурой и Сергеем Петровичем очень скоро перерастают в любовь. Неожиданно на стройке появляется мужчина. Когда-то Шура его любила, но он не захотел на ней жениться.</t>
        </is>
      </c>
      <c r="L6001" s="2" t="inlineStr">
        <is>
          <t>https://www.kino-teatr.ru/short/movie/sov/7364/annot/</t>
        </is>
      </c>
      <c r="M6001" s="2">
        <f>HYPERLINK("https://ru.wikipedia.org/w/index.php?search=%D0%A3%20%D0%BD%D0%B0%D1%81%20%D0%BD%D0%BE%D0%B2%D0%B5%D0%BD%D1%8C%D0%BA%D0%B0%D1%8F%201977%20%D1%84%D0%B8%D0%BB%D1%8C%D0%BC","искать")</f>
        <v/>
      </c>
      <c r="N6001" s="3" t="n"/>
      <c r="O6001" s="2" t="n"/>
      <c r="P6001" s="2" t="n"/>
    </row>
    <row r="6002">
      <c r="A6002" s="2" t="n">
        <v>6001</v>
      </c>
      <c r="B6002" s="2" t="inlineStr"/>
      <c r="C6002" s="2" t="n">
        <v>10020</v>
      </c>
      <c r="D6002" s="3" t="inlineStr">
        <is>
          <t>Как я был самостоятельным</t>
        </is>
      </c>
      <c r="E6002" s="2" t="n">
        <v>1987</v>
      </c>
      <c r="F6002" s="2" t="inlineStr">
        <is>
          <t>телефильм</t>
        </is>
      </c>
      <c r="G6002" s="2" t="inlineStr">
        <is>
          <t>К/ст им. Горького по заказу Гостелерадио СССР</t>
        </is>
      </c>
      <c r="H6002" s="2" t="n">
        <v>426</v>
      </c>
      <c r="I6002" s="2" t="inlineStr"/>
      <c r="J6002" s="2" t="inlineStr"/>
      <c r="K6002" s="3" t="inlineStr">
        <is>
          <t>По мотивам одноименного рассказа Юрия Сотника.
Ладо очень хотелось доказать ребятам, что он "самостоятельный мужчина". Как-то раз его оставили одного в квартире. И Ладо пригласил товарищей по играм репетировать спектакль "дворового театра" к себе домой. В ход пошла мамина косметика, из оконных штор сделали занавес, а деревянного игрушечного коня переделали в козла. Теперь ребята смогли убедиться в "самостоятельности" Ладо.</t>
        </is>
      </c>
      <c r="L6002" s="2" t="inlineStr">
        <is>
          <t>https://www.kino-teatr.ru/short/movie/sov/81133/annot/</t>
        </is>
      </c>
      <c r="M6002" s="2">
        <f>HYPERLINK("https://ru.wikipedia.org/w/index.php?search=%D0%9A%D0%B0%D0%BA%20%D1%8F%20%D0%B1%D1%8B%D0%BB%20%D1%81%D0%B0%D0%BC%D0%BE%D1%81%D1%82%D0%BE%D1%8F%D1%82%D0%B5%D0%BB%D1%8C%D0%BD%D1%8B%D0%BC%201987%20%D1%84%D0%B8%D0%BB%D1%8C%D0%BC","искать")</f>
        <v/>
      </c>
      <c r="N6002" s="3" t="n"/>
      <c r="O6002" s="2" t="n"/>
      <c r="P6002" s="2" t="n"/>
    </row>
    <row r="6003">
      <c r="A6003" s="2" t="n">
        <v>6002</v>
      </c>
      <c r="B6003" s="2" t="inlineStr"/>
      <c r="C6003" s="2" t="n">
        <v>11464</v>
      </c>
      <c r="D6003" s="3" t="inlineStr">
        <is>
          <t>Франтишек</t>
        </is>
      </c>
      <c r="E6003" s="2" t="n">
        <v>1967</v>
      </c>
      <c r="F6003" s="2" t="inlineStr">
        <is>
          <t>мультфильм</t>
        </is>
      </c>
      <c r="G6003" s="2" t="inlineStr">
        <is>
          <t>Союзмультфильм</t>
        </is>
      </c>
      <c r="H6003" s="2" t="n">
        <v>426</v>
      </c>
      <c r="I6003" s="2" t="inlineStr"/>
      <c r="J6003" s="2" t="inlineStr"/>
      <c r="K6003" s="3" t="inlineStr">
        <is>
          <t>Среди маленьких Морозцев, учеников Деда Мороза, самый непослушный Франтишек. Он фантазер, вытягивает из капли сосульку не прямую, а ветвистую, окно раскрашивает цветным карандашом, полученным в подарок от девочки Власты. Перед Новым годом Власта помогает Франтишеку приобрести краски, показывает ему цветы в Ботаническом саду. В новогоднюю ночь Франтишек раскрасил окно девочки цветными красками. И даже Морозу оно понравилось</t>
        </is>
      </c>
      <c r="L6003" s="2" t="inlineStr">
        <is>
          <t>https://gosfilmofond.ru/films/254297/</t>
        </is>
      </c>
      <c r="M6003" s="2">
        <f>HYPERLINK("https://ru.wikipedia.org/w/index.php?search=%D0%A4%D1%80%D0%B0%D0%BD%D1%82%D0%B8%D1%88%D0%B5%D0%BA%201967%20%D1%84%D0%B8%D0%BB%D1%8C%D0%BC","искать")</f>
        <v/>
      </c>
      <c r="N6003" s="3" t="n"/>
      <c r="O6003" s="2" t="n"/>
      <c r="P6003" s="2" t="n"/>
    </row>
    <row r="6004">
      <c r="A6004" s="2" t="n">
        <v>6003</v>
      </c>
      <c r="B6004" s="2" t="inlineStr"/>
      <c r="C6004" s="2" t="n">
        <v>8879</v>
      </c>
      <c r="D6004" s="3" t="inlineStr">
        <is>
          <t>Ночи Полнолуния</t>
        </is>
      </c>
      <c r="E6004" s="2" t="n">
        <v>1990</v>
      </c>
      <c r="F6004" s="2" t="inlineStr">
        <is>
          <t>кинофильм</t>
        </is>
      </c>
      <c r="G6004" s="2" t="n"/>
      <c r="H6004" s="2" t="n">
        <v>427</v>
      </c>
      <c r="I6004" s="2" t="inlineStr"/>
      <c r="J6004" s="2" t="inlineStr"/>
      <c r="K6004" s="3" t="inlineStr">
        <is>
          <t>Фильм состоит из трёх частей. На протяжении фильма главный герой проходит через целый ряд искушений, которые губят его душу и доводят, в конце концов, до сумасшедшего дома.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t>
        </is>
      </c>
      <c r="L6004" s="2" t="inlineStr">
        <is>
          <t>Кино_СССР сводный каталог.xlsx: список фильмов (доп.)</t>
        </is>
      </c>
      <c r="M6004" s="2">
        <f>HYPERLINK("https://ru.wikipedia.org/w/index.php?search=%D0%9D%D0%BE%D1%87%D0%B8%20%D0%9F%D0%BE%D0%BB%D0%BD%D0%BE%D0%BB%D1%83%D0%BD%D0%B8%D1%8F%201990%20%D1%84%D0%B8%D0%BB%D1%8C%D0%BC","искать")</f>
        <v/>
      </c>
      <c r="N6004" s="3" t="n"/>
      <c r="O6004" s="2" t="n"/>
      <c r="P6004" s="2" t="n"/>
    </row>
    <row r="6005">
      <c r="A6005" s="2" t="n">
        <v>6004</v>
      </c>
      <c r="B6005" s="2" t="inlineStr"/>
      <c r="C6005" s="2" t="n">
        <v>10275</v>
      </c>
      <c r="D6005" s="3" t="inlineStr">
        <is>
          <t>Судьба играет человеком</t>
        </is>
      </c>
      <c r="E6005" s="2" t="n">
        <v>1968</v>
      </c>
      <c r="F6005" s="2" t="inlineStr">
        <is>
          <t>фильм-спектакль</t>
        </is>
      </c>
      <c r="G6005" s="2" t="inlineStr">
        <is>
          <t>Главная редакция литературно-драматических программ</t>
        </is>
      </c>
      <c r="H6005" s="2" t="n">
        <v>427</v>
      </c>
      <c r="I6005" s="2" t="inlineStr"/>
      <c r="J6005" s="2" t="inlineStr"/>
      <c r="K6005" s="3" t="inlineStr">
        <is>
          <t>Спектакль Театра Сатиры по одноименной комедии Б.Рымаря.
Семь лет живут и работают в далеком сибирском городе Лиза и Антон. И вот наконец они собираются вернуться в Москву. Но у Антона, депутата горсовета, есть еще множество незавершенных дел, а у Лизы возникли проблемы с чертежами нового строительства. Супруги мечутся между мечтой о встрече Нового года в Москве и желанием уладить дела в городе, который стал для них родным.</t>
        </is>
      </c>
      <c r="L6005" s="2" t="inlineStr">
        <is>
          <t>https://www.kino-teatr.ru/teatr/movie/81440/annot/</t>
        </is>
      </c>
      <c r="M6005" s="2">
        <f>HYPERLINK("https://ru.wikipedia.org/w/index.php?search=%D0%A1%D1%83%D0%B4%D1%8C%D0%B1%D0%B0%20%D0%B8%D0%B3%D1%80%D0%B0%D0%B5%D1%82%20%D1%87%D0%B5%D0%BB%D0%BE%D0%B2%D0%B5%D0%BA%D0%BE%D0%BC%201968%20%D1%84%D0%B8%D0%BB%D1%8C%D0%BC","искать")</f>
        <v/>
      </c>
      <c r="N6005" s="3" t="n"/>
      <c r="O6005" s="2" t="n"/>
      <c r="P6005" s="2" t="n"/>
    </row>
    <row r="6006">
      <c r="A6006" s="2" t="n">
        <v>6005</v>
      </c>
      <c r="B6006" s="2" t="inlineStr"/>
      <c r="C6006" s="2" t="n">
        <v>10416</v>
      </c>
      <c r="D6006" s="3" t="inlineStr">
        <is>
          <t>РџСЂРѕ Р РѕРјРєСѓ Рё РµРіРѕ РґСЂСѓР·РµР№</t>
        </is>
      </c>
      <c r="E6006" s="2" t="n">
        <v>1971</v>
      </c>
      <c r="F6006" s="2" t="inlineStr">
        <is>
          <t>фильм-спектакль</t>
        </is>
      </c>
      <c r="G6006" s="2" t="n"/>
      <c r="H6006" s="2" t="n">
        <v>427</v>
      </c>
      <c r="I6006" s="2" t="inlineStr"/>
      <c r="J6006" s="2" t="inlineStr"/>
      <c r="K6006" s="3" t="inlineStr">
        <is>
          <t>РџРѕ РїСЊРµСЃРµ РђРЅР°С‚РѕР»РёСЏ РЎРѕР±РѕР»РµРІР° "РџРѕСЃРІСЏС‰РµРЅРёРµ РІ СЂС‹С†Р°СЂРё".
РћР± СѓС‡РµРЅРёРєР°С… РїСЏС‚РѕРіРѕ РєР»Р°СЃСЃР°, Рѕ Р РѕРјРµ Р”РµРЅРёСЃРѕРІРµ, РєРѕС‚РѕСЂС‹Р№ СЃСѓРјРµР» РІРѕСЃРїРёС‚Р°С‚СЊ РІ СЃРµР±Рµ СЃРёР»Сѓ РІРѕР»Рё. РћРЅ РЅРµ РїРѕР±РѕСЏР»СЃСЏ РїРѕСЂРІР°С‚СЊ СЃ РїР»РѕС…РѕР№ РєРѕРјРїР°РЅРёРµР№ Рё РґР°Р¶Рµ СЃРѕРІРµСЂС€РёС‚СЊ РїРѕСЃС‚СѓРїРѕРє, РєРѕС‚РѕСЂС‹Рј РІРѕСЃС…РёС‰Р°Р»СЃСЏ РІРµСЃСЊ РєР»Р°СЃСЃ.</t>
        </is>
      </c>
      <c r="L6006" s="2" t="inlineStr">
        <is>
          <t>https://www.kino-teatr.ru/teatr/movie/106193/annot/</t>
        </is>
      </c>
      <c r="M6006" s="2">
        <f>HYPERLINK("https://ru.wikipedia.org/w/index.php?search=%D0%A0%D1%9F%D0%A1%D0%82%D0%A0%D1%95%20%D0%A0%20%D0%A0%D1%95%D0%A0%D1%98%D0%A0%D1%94%D0%A1%D1%93%20%D0%A0%D1%91%20%D0%A0%C2%B5%D0%A0%D1%96%D0%A0%D1%95%20%D0%A0%D2%91%D0%A1%D0%82%D0%A1%D1%93%D0%A0%C2%B7%D0%A0%C2%B5%D0%A0%E2%84%96%201971%20%D1%84%D0%B8%D0%BB%D1%8C%D0%BC","искать")</f>
        <v/>
      </c>
      <c r="N6006" s="3" t="n"/>
      <c r="O6006" s="2" t="n"/>
      <c r="P6006" s="2" t="n"/>
    </row>
    <row r="6007">
      <c r="A6007" s="2" t="n">
        <v>6006</v>
      </c>
      <c r="B6007" s="2" t="inlineStr"/>
      <c r="C6007" s="2" t="n">
        <v>11297</v>
      </c>
      <c r="D6007" s="3" t="inlineStr">
        <is>
          <t>Два дня из жизни бывшего капитана</t>
        </is>
      </c>
      <c r="E6007" s="2" t="n">
        <v>1990</v>
      </c>
      <c r="F6007" s="2" t="inlineStr">
        <is>
          <t>фильм-спектакль</t>
        </is>
      </c>
      <c r="G6007" s="2" t="inlineStr">
        <is>
          <t>Главная редакция литературно-художественных программ ЦТ</t>
        </is>
      </c>
      <c r="H6007" s="2" t="n">
        <v>427</v>
      </c>
      <c r="I6007" s="2" t="inlineStr"/>
      <c r="J6007" s="2" t="inlineStr"/>
      <c r="K6007" s="3" t="inlineStr">
        <is>
          <t>Из цикла "Политический театр".
По одноименной пьесе Юрия Щекочихина.
Действие происходит в кабинете следователя. Два дня идет допрос капитана милиции Голубева. В ходе следствия он вышел на крупную мафиозную группу, которая была связана с высшими чинами МВД. Совершив самосуд, Голубев убивает главаря группы, считая, что исполнил свой гражданский долг. Но следователь Крамольников устанавливает, что был убит невиновный человек.</t>
        </is>
      </c>
      <c r="L6007" s="2" t="inlineStr">
        <is>
          <t>https://www.kino-teatr.ru/teatr/movie/14720/annot/</t>
        </is>
      </c>
      <c r="M6007" s="2">
        <f>HYPERLINK("https://ru.wikipedia.org/w/index.php?search=%D0%94%D0%B2%D0%B0%20%D0%B4%D0%BD%D1%8F%20%D0%B8%D0%B7%20%D0%B6%D0%B8%D0%B7%D0%BD%D0%B8%20%D0%B1%D1%8B%D0%B2%D1%88%D0%B5%D0%B3%D0%BE%20%D0%BA%D0%B0%D0%BF%D0%B8%D1%82%D0%B0%D0%BD%D0%B0%201990%20%D1%84%D0%B8%D0%BB%D1%8C%D0%BC","искать")</f>
        <v/>
      </c>
      <c r="N6007" s="3" t="n"/>
      <c r="O6007" s="2" t="n"/>
      <c r="P6007" s="2" t="n"/>
    </row>
    <row r="6008">
      <c r="A6008" s="2" t="n">
        <v>6007</v>
      </c>
      <c r="B6008" s="2" t="inlineStr"/>
      <c r="C6008" s="2" t="n">
        <v>13249</v>
      </c>
      <c r="D6008" s="3" t="inlineStr">
        <is>
          <t>Оператор Кыпс в царстве камней</t>
        </is>
      </c>
      <c r="E6008" s="2" t="n">
        <v>1968</v>
      </c>
      <c r="F6008" s="2" t="inlineStr">
        <is>
          <t>мультфильм</t>
        </is>
      </c>
      <c r="G6008" s="2" t="inlineStr">
        <is>
          <t>ТАЛЛИННФИЛЬМ</t>
        </is>
      </c>
      <c r="H6008" s="2" t="n">
        <v>427</v>
      </c>
      <c r="I6008" s="2" t="inlineStr"/>
      <c r="J6008" s="2" t="inlineStr"/>
      <c r="K6008" s="3" t="inlineStr">
        <is>
          <t>Оператор Кыпс и сорока Нипитири попадают в царство камней. Подземный царь решает не выпускать их пока они не создадут хотя бы один камень. Дочь царя Улли показывает Кыпсу красоты подземного царства, оператор их снимает, чтобы показать детям. Улли уговаривает его остаться в подземном царстве. Но Кыпс просит научить его делать кристаллы. И Улли, сгорая создает новый кристалл, с помощью которого Кыпс и Нипитири выходят на волю</t>
        </is>
      </c>
      <c r="L6008" s="2" t="inlineStr">
        <is>
          <t>https://gosfilmofond.ru/films/254323/</t>
        </is>
      </c>
      <c r="M6008" s="2">
        <f>HYPERLINK("https://ru.wikipedia.org/w/index.php?search=%D0%9E%D0%BF%D0%B5%D1%80%D0%B0%D1%82%D0%BE%D1%80%20%D0%9A%D1%8B%D0%BF%D1%81%20%D0%B2%20%D1%86%D0%B0%D1%80%D1%81%D1%82%D0%B2%D0%B5%20%D0%BA%D0%B0%D0%BC%D0%BD%D0%B5%D0%B9%201968%20%D1%84%D0%B8%D0%BB%D1%8C%D0%BC","искать")</f>
        <v/>
      </c>
      <c r="N6008" s="3" t="n"/>
      <c r="O6008" s="2" t="n"/>
      <c r="P6008" s="2" t="n"/>
    </row>
    <row r="6009">
      <c r="A6009" s="2" t="n">
        <v>6008</v>
      </c>
      <c r="B6009" s="2" t="inlineStr"/>
      <c r="C6009" s="2" t="n">
        <v>7556</v>
      </c>
      <c r="D6009" s="3" t="inlineStr">
        <is>
          <t>Дорогой Эдисон!</t>
        </is>
      </c>
      <c r="E6009" s="2" t="n">
        <v>1986</v>
      </c>
      <c r="F6009" s="2" t="inlineStr">
        <is>
          <t>телефильм</t>
        </is>
      </c>
      <c r="G6009" s="2" t="n"/>
      <c r="H6009" s="2" t="n">
        <v>428</v>
      </c>
      <c r="I6009" s="2" t="inlineStr"/>
      <c r="J6009" s="2" t="inlineStr"/>
      <c r="K6009" s="3" t="inlineStr">
        <is>
          <t>Один из самых скандальных фильмов новой "перестроечной" волны, по материалам которого была развернута дискуссия на страницах "Правды" и "Известий". Молодой талантливый ученый Одинцов, выпускник столичного ВУЗа, попадает в жернова советских "аппаратных игр". Впервые на экране подробно, реалистично и психологически достоверно показана технология вполне "законного" уничтожения талантов хитроумной и опытной командой партократов.</t>
        </is>
      </c>
      <c r="L6009" s="2" t="inlineStr">
        <is>
          <t>Кино_СССР сводный каталог.xlsx: список телефильмов</t>
        </is>
      </c>
      <c r="M6009" s="2">
        <f>HYPERLINK("https://ru.wikipedia.org/w/index.php?search=%D0%94%D0%BE%D1%80%D0%BE%D0%B3%D0%BE%D0%B9%20%D0%AD%D0%B4%D0%B8%D1%81%D0%BE%D0%BD%21%201986%20%D1%84%D0%B8%D0%BB%D1%8C%D0%BC","искать")</f>
        <v/>
      </c>
      <c r="N6009" s="3" t="n"/>
      <c r="O6009" s="2" t="n"/>
      <c r="P6009" s="2" t="n"/>
    </row>
    <row r="6010">
      <c r="A6010" s="2" t="n">
        <v>6009</v>
      </c>
      <c r="B6010" s="2" t="inlineStr"/>
      <c r="C6010" s="2" t="n">
        <v>8060</v>
      </c>
      <c r="D6010" s="3" t="inlineStr">
        <is>
          <t>Остров Серафимы</t>
        </is>
      </c>
      <c r="E6010" s="2" t="n">
        <v>1978</v>
      </c>
      <c r="F6010" s="2" t="inlineStr">
        <is>
          <t>телефильм</t>
        </is>
      </c>
      <c r="G6010" s="2" t="n"/>
      <c r="H6010" s="2" t="n">
        <v>428</v>
      </c>
      <c r="I6010" s="2" t="inlineStr"/>
      <c r="J6010" s="2" t="inlineStr"/>
      <c r="K6010" s="3" t="inlineStr">
        <is>
          <t>По мотивам рассказа Л.Брандта. Двое полюбили друг друга, сыграли свадьбу. Он – биолог, работает лесничим в заповеднике; она – радиожурналистка и социолог, работает в городе. Мир природы соединяет. Он ярок и разнообразен: клекот аистов и лебедей, крики галок, серебряный блеск воды, трепетание травы, стройные и величественные деревья, словно стражи, охраняющие окружающую красоту,– во всем этом существует гармония и равновесие.</t>
        </is>
      </c>
      <c r="L6010" s="2" t="inlineStr">
        <is>
          <t>Кино_СССР сводный каталог.xlsx: список телефильмов</t>
        </is>
      </c>
      <c r="M6010" s="2">
        <f>HYPERLINK("https://ru.wikipedia.org/w/index.php?search=%D0%9E%D1%81%D1%82%D1%80%D0%BE%D0%B2%20%D0%A1%D0%B5%D1%80%D0%B0%D1%84%D0%B8%D0%BC%D1%8B%201978%20%D1%84%D0%B8%D0%BB%D1%8C%D0%BC","искать")</f>
        <v/>
      </c>
      <c r="N6010" s="3" t="n"/>
      <c r="O6010" s="2" t="n"/>
      <c r="P6010" s="2" t="n"/>
    </row>
    <row r="6011">
      <c r="A6011" s="2" t="n">
        <v>6010</v>
      </c>
      <c r="B6011" s="2" t="inlineStr"/>
      <c r="C6011" s="2" t="n">
        <v>8824</v>
      </c>
      <c r="D6011" s="3" t="inlineStr">
        <is>
          <t>Мать Урагана</t>
        </is>
      </c>
      <c r="E6011" s="2" t="n">
        <v>1990</v>
      </c>
      <c r="F6011" s="2" t="inlineStr">
        <is>
          <t>кинофильм</t>
        </is>
      </c>
      <c r="G6011" s="2" t="n"/>
      <c r="H6011" s="2" t="n">
        <v>428</v>
      </c>
      <c r="I6011" s="2" t="inlineStr"/>
      <c r="J6011" s="2" t="inlineStr"/>
      <c r="K6011" s="3" t="inlineStr">
        <is>
          <t>Середина XVIII века. В крестьянской усадьбе вдовы Агны Ветер праздник — вечер перед свадьбой её сына Василя, искусного оружейника. В суете хлопот появляется некий Вощила — один из организаторов грядущего крестьянского восстания против бесчинств польского князя Радзивилла. Василь поначалу выступает против бунта, но после бесчинств сборщиков налогов Радзивилла идёт за Вощилой и участвует в Кричевском восстании против феодалов.</t>
        </is>
      </c>
      <c r="L6011" s="2" t="inlineStr">
        <is>
          <t>https://ru.wikipedia.org/w/index.php?title=%D0%9C%D0%B0%D1%82%D1%8C_%D0%A3%D1%80%D0%B0%D0%B3%D0%B0%D0%BD%D0%B0_%28%D1%84%D0%B8%D0%BB%D1%8C%D0%BC%29&amp;oldid=154699356</t>
        </is>
      </c>
      <c r="M6011" s="2">
        <f>HYPERLINK("https://ru.wikipedia.org/w/index.php?search=%D0%9C%D0%B0%D1%82%D1%8C%20%D0%A3%D1%80%D0%B0%D0%B3%D0%B0%D0%BD%D0%B0%201990%20%D1%84%D0%B8%D0%BB%D1%8C%D0%BC","искать")</f>
        <v/>
      </c>
      <c r="N6011" s="3" t="n"/>
      <c r="O6011" s="2" t="n"/>
      <c r="P6011" s="2" t="n"/>
    </row>
    <row r="6012">
      <c r="A6012" s="2" t="n">
        <v>6011</v>
      </c>
      <c r="B6012" s="2" t="inlineStr"/>
      <c r="C6012" s="2" t="n">
        <v>8892</v>
      </c>
      <c r="D6012" s="3" t="inlineStr">
        <is>
          <t>Одно воскресенье</t>
        </is>
      </c>
      <c r="E6012" s="2" t="n">
        <v>1988</v>
      </c>
      <c r="F6012" s="2" t="inlineStr">
        <is>
          <t>кинофильм</t>
        </is>
      </c>
      <c r="G6012" s="2" t="n"/>
      <c r="H6012" s="2" t="n">
        <v>428</v>
      </c>
      <c r="I6012" s="2" t="inlineStr"/>
      <c r="J6012" s="2" t="inlineStr"/>
      <c r="K6012" s="3" t="inlineStr">
        <is>
          <t>Грустный фильм об одиночестве и неприкаянности юного парня и пожилого человека, живущих по-соседству. Николай Степанович посвятил все воскресенье сыну, а тот выпроводил его из своей квартиры, ожидая знакомую женщину... Дмитрий весь день провел у окна... И только в финале фильма старик и юноша встречаются в полупустом зале кинотеатра, где юноша до слез хохочет над фильмом, не замечая, что рядом сидящий пожилой человек - умер.</t>
        </is>
      </c>
      <c r="L6012" s="2" t="inlineStr">
        <is>
          <t>Кино_СССР сводный каталог.xlsx: список фильмов (доп.)</t>
        </is>
      </c>
      <c r="M6012" s="2">
        <f>HYPERLINK("https://ru.wikipedia.org/w/index.php?search=%D0%9E%D0%B4%D0%BD%D0%BE%20%D0%B2%D0%BE%D1%81%D0%BA%D1%80%D0%B5%D1%81%D0%B5%D0%BD%D1%8C%D0%B5%201988%20%D1%84%D0%B8%D0%BB%D1%8C%D0%BC","искать")</f>
        <v/>
      </c>
      <c r="N6012" s="3" t="n"/>
      <c r="O6012" s="2" t="n"/>
      <c r="P6012" s="2" t="n"/>
    </row>
    <row r="6013">
      <c r="A6013" s="2" t="n">
        <v>6012</v>
      </c>
      <c r="B6013" s="2" t="inlineStr"/>
      <c r="C6013" s="2" t="n">
        <v>11477</v>
      </c>
      <c r="D6013" s="3" t="inlineStr">
        <is>
          <t>Кот в сапогах (1938)</t>
        </is>
      </c>
      <c r="E6013" s="2" t="n">
        <v>1968</v>
      </c>
      <c r="F6013" s="2" t="inlineStr">
        <is>
          <t>мультфильм</t>
        </is>
      </c>
      <c r="G6013" s="2" t="inlineStr">
        <is>
          <t>Союзмультфильм</t>
        </is>
      </c>
      <c r="H6013" s="2" t="n">
        <v>428</v>
      </c>
      <c r="I6013" s="2" t="inlineStr"/>
      <c r="J6013" s="2" t="inlineStr"/>
      <c r="K6013" s="3" t="inlineStr">
        <is>
          <t>По мотивам одноименной сказки Шарля Перро. Мельник, умирая, оставил своим сыновьям: старшему - мельницу, среднему - осла, а младшему - кота. Загрустил младший сын, не знает, что делать ему с котом, как жить с таким наследством. Но кот оказывается не простым, а волшебным, он носит сапоги и умеет устроить все дела своего хозяина. Он знакомит сына мельника с королем и принцессой, побеждает людоеда и поселяет хозяина в его замке</t>
        </is>
      </c>
      <c r="L6013" s="2" t="inlineStr">
        <is>
          <t>https://gosfilmofond.ru/films/254313/</t>
        </is>
      </c>
      <c r="M6013" s="2">
        <f>HYPERLINK("https://ru.wikipedia.org/w/index.php?search=%D0%9A%D0%BE%D1%82%20%D0%B2%20%D1%81%D0%B0%D0%BF%D0%BE%D0%B3%D0%B0%D1%85%20%281938%29%201968%20%D1%84%D0%B8%D0%BB%D1%8C%D0%BC","искать")</f>
        <v/>
      </c>
      <c r="N6013" s="3" t="n"/>
      <c r="O6013" s="2" t="n"/>
      <c r="P6013" s="2" t="n"/>
    </row>
    <row r="6014">
      <c r="A6014" s="2" t="n">
        <v>6013</v>
      </c>
      <c r="B6014" s="2" t="inlineStr"/>
      <c r="C6014" s="2" t="n">
        <v>9588</v>
      </c>
      <c r="D6014" s="3" t="inlineStr">
        <is>
          <t>Примите Адама</t>
        </is>
      </c>
      <c r="E6014" s="2" t="n">
        <v>1984</v>
      </c>
      <c r="F6014" s="2" t="inlineStr">
        <is>
          <t>кинофильм</t>
        </is>
      </c>
      <c r="G6014" s="2" t="n"/>
      <c r="H6014" s="2" t="n">
        <v>429</v>
      </c>
      <c r="I6014" s="2" t="inlineStr"/>
      <c r="J6014" s="2" t="inlineStr"/>
      <c r="K6014" s="3" t="inlineStr">
        <is>
          <t>Адам, неловкий и смешной человек, терпел одну неудачу за другой — и на службе, и в личной жизни. Монтажником-высотником его зачислили только из уважения к матери. И когда подвернулась горящая путевка на высокогорную турбазу в Алатау, никто особенно не возражал. Но эта поездка в корне изменила парня. Когда на канатной дороге произошла авария, именно Адам устранил все неисправности — и лыжники благополучно вернулись на турбазу.</t>
        </is>
      </c>
      <c r="L6014" s="2" t="inlineStr">
        <is>
          <t>Кино_СССР сводный каталог.xlsx: список фильмов (доп.)</t>
        </is>
      </c>
      <c r="M6014" s="2">
        <f>HYPERLINK("https://ru.wikipedia.org/w/index.php?search=%D0%9F%D1%80%D0%B8%D0%BC%D0%B8%D1%82%D0%B5%20%D0%90%D0%B4%D0%B0%D0%BC%D0%B0%201984%20%D1%84%D0%B8%D0%BB%D1%8C%D0%BC","искать")</f>
        <v/>
      </c>
      <c r="N6014" s="3" t="n"/>
      <c r="O6014" s="2" t="n"/>
      <c r="P6014" s="2" t="n"/>
    </row>
    <row r="6015">
      <c r="A6015" s="2" t="n">
        <v>6014</v>
      </c>
      <c r="B6015" s="2" t="inlineStr"/>
      <c r="C6015" s="2" t="n">
        <v>11327</v>
      </c>
      <c r="D6015" s="3" t="inlineStr">
        <is>
          <t>Там, где мы бывали...</t>
        </is>
      </c>
      <c r="E6015" s="2" t="n">
        <v>1990</v>
      </c>
      <c r="F6015" s="2" t="inlineStr">
        <is>
          <t>фильм-спектакль</t>
        </is>
      </c>
      <c r="G6015" s="2" t="inlineStr">
        <is>
          <t>Главная редакция литературно-драматических программ ЦТ</t>
        </is>
      </c>
      <c r="H6015" s="2" t="n">
        <v>429</v>
      </c>
      <c r="I6015" s="2" t="inlineStr"/>
      <c r="J6015" s="2" t="inlineStr"/>
      <c r="K6015" s="3" t="inlineStr">
        <is>
          <t>Телеспектакль был поставлен к 45-летию со дня Победы.
Название пьесе дали стихи Константина Симонова о военных корреспондентах.
Спектакль рассказывает о военных кинооператорах, чьим оружием была - кинокамера.
В спектакль также включены стихи А.Межирова, Б.Пастернака, А.Твардовского.
Использованы воспоминания Р.Кармена, В.Микоши, К.Симонова, Б.Небылицкого, С.Школьникова, А.Лебедева, фронтовых кинооператоров и другие материалы.</t>
        </is>
      </c>
      <c r="L6015" s="2" t="inlineStr">
        <is>
          <t>https://www.kino-teatr.ru/teatr/movie/102407/annot/</t>
        </is>
      </c>
      <c r="M6015" s="2">
        <f>HYPERLINK("https://ru.wikipedia.org/w/index.php?search=%D0%A2%D0%B0%D0%BC%2C%20%D0%B3%D0%B4%D0%B5%20%D0%BC%D1%8B%20%D0%B1%D1%8B%D0%B2%D0%B0%D0%BB%D0%B8...%201990%20%D1%84%D0%B8%D0%BB%D1%8C%D0%BC","искать")</f>
        <v/>
      </c>
      <c r="N6015" s="3" t="n"/>
      <c r="O6015" s="2" t="n"/>
      <c r="P6015" s="2" t="n"/>
    </row>
    <row r="6016">
      <c r="A6016" s="2" t="n">
        <v>6015</v>
      </c>
      <c r="B6016" s="2" t="inlineStr"/>
      <c r="C6016" s="2" t="n">
        <v>8089</v>
      </c>
      <c r="D6016" s="3" t="inlineStr">
        <is>
          <t>Первые радости</t>
        </is>
      </c>
      <c r="E6016" s="2" t="n">
        <v>1977</v>
      </c>
      <c r="F6016" s="2" t="inlineStr">
        <is>
          <t>телефильм</t>
        </is>
      </c>
      <c r="G6016" s="2" t="inlineStr">
        <is>
          <t>Ленфильм</t>
        </is>
      </c>
      <c r="H6016" s="2" t="n">
        <v>430</v>
      </c>
      <c r="I6016" s="2" t="inlineStr"/>
      <c r="J6016" s="2" t="inlineStr"/>
      <c r="K6016" s="3" t="inlineStr">
        <is>
          <t>Телевизионный фильм по одноимённому роману Константина Федина.
Действие фильма происходит в маленьком провинциальном приволжском городке предреволюционной поры. В центре повествования — восемнадцатилетний студент технического училища Кирилл Извеков (Юрий Демич). Молодой человек ещё только входит во взрослую жизнь. Он полон надежд и предпринимает первые, пока ещё не до конца осознанные, попытки найти своё место в будущей жизни.</t>
        </is>
      </c>
      <c r="L6016" s="2" t="inlineStr">
        <is>
          <t>https://ru.wikipedia.org/w/index.php?title=%D0%9F%D0%B5%D1%80%D0%B2%D1%8B%D0%B5_%D1%80%D0%B0%D0%B4%D0%BE%D1%81%D1%82%D0%B8_%28%D1%84%D0%B8%D0%BB%D1%8C%D0%BC%2C_1977%29&amp;oldid=144879691</t>
        </is>
      </c>
      <c r="M6016" s="2">
        <f>HYPERLINK("https://ru.wikipedia.org/w/index.php?search=%D0%9F%D0%B5%D1%80%D0%B2%D1%8B%D0%B5%20%D1%80%D0%B0%D0%B4%D0%BE%D1%81%D1%82%D0%B8%201977%20%D1%84%D0%B8%D0%BB%D1%8C%D0%BC","искать")</f>
        <v/>
      </c>
      <c r="N6016" s="3" t="n"/>
      <c r="O6016" s="2" t="n"/>
      <c r="P6016" s="2" t="n"/>
    </row>
    <row r="6017">
      <c r="A6017" s="2" t="n">
        <v>6016</v>
      </c>
      <c r="B6017" s="2" t="inlineStr"/>
      <c r="C6017" s="2" t="n">
        <v>10558</v>
      </c>
      <c r="D6017" s="3" t="inlineStr">
        <is>
          <t>Двери хлопают</t>
        </is>
      </c>
      <c r="E6017" s="2" t="n">
        <v>1974</v>
      </c>
      <c r="F6017" s="2" t="inlineStr">
        <is>
          <t>фильм-спектакль</t>
        </is>
      </c>
      <c r="G6017" s="2" t="inlineStr">
        <is>
          <t>Центральное телевидение</t>
        </is>
      </c>
      <c r="H6017" s="2" t="n">
        <v>430</v>
      </c>
      <c r="I6017" s="2" t="inlineStr"/>
      <c r="J6017" s="2" t="inlineStr"/>
      <c r="K6017" s="3" t="inlineStr">
        <is>
          <t>Спектакль театра им. Моссовета по комедии Мишеля Фермо.
Под одной крышей пытаются ужиться не очень старые родители, заметно подросшие дети и бодрая бабушка. Нет мира и согласия в большой французской семье — все рвутся в разные стороны. Они вечно спорят по утрам, кому занять единственную на всех ванную комнату, без конца выясняют отношения, ссорятся, хлопают дверьми… А наступит ли согласие, если у младшей дочери появится малыш?</t>
        </is>
      </c>
      <c r="L6017" s="2" t="inlineStr">
        <is>
          <t>https://www.kino-teatr.ru/teatr/movie/136758/annot/</t>
        </is>
      </c>
      <c r="M6017" s="2">
        <f>HYPERLINK("https://ru.wikipedia.org/w/index.php?search=%D0%94%D0%B2%D0%B5%D1%80%D0%B8%20%D1%85%D0%BB%D0%BE%D0%BF%D0%B0%D1%8E%D1%82%201974%20%D1%84%D0%B8%D0%BB%D1%8C%D0%BC","искать")</f>
        <v/>
      </c>
      <c r="N6017" s="3" t="n"/>
      <c r="O6017" s="2" t="n"/>
      <c r="P6017" s="2" t="n"/>
    </row>
    <row r="6018">
      <c r="A6018" s="2" t="n">
        <v>6017</v>
      </c>
      <c r="B6018" s="2" t="inlineStr"/>
      <c r="C6018" s="2" t="n">
        <v>11107</v>
      </c>
      <c r="D6018" s="3" t="inlineStr">
        <is>
          <t>Дождь будет</t>
        </is>
      </c>
      <c r="E6018" s="2" t="n">
        <v>1986</v>
      </c>
      <c r="F6018" s="2" t="inlineStr">
        <is>
          <t>фильм-спектакль</t>
        </is>
      </c>
      <c r="G6018" s="2" t="inlineStr">
        <is>
          <t>Главная редакция литературно-драматических программ ЦТ</t>
        </is>
      </c>
      <c r="H6018" s="2" t="n">
        <v>430</v>
      </c>
      <c r="I6018" s="2" t="inlineStr"/>
      <c r="J6018" s="2" t="inlineStr"/>
      <c r="K6018" s="3" t="inlineStr">
        <is>
          <t>По произведению Бориса Можаева.
Главный герой телеспектакля - председатель колхоза Пётр Звонарёв - отличный организатор, высококвалифицированный специалист, выведший хозяйство из отстающих в передовые. Он ратует за то, чтобы колхозник был подлинным хозяином на земле. Основной конфликт возникает между Звонарёвым и начальником Сельхозуправления Басмановым, бюрократом и интриганом. Но все интриги Басманова заканчиваются неудачей.</t>
        </is>
      </c>
      <c r="L6018" s="2" t="inlineStr">
        <is>
          <t>https://www.kino-teatr.ru/teatr/movie/101319/annot/</t>
        </is>
      </c>
      <c r="M6018" s="2">
        <f>HYPERLINK("https://ru.wikipedia.org/w/index.php?search=%D0%94%D0%BE%D0%B6%D0%B4%D1%8C%20%D0%B1%D1%83%D0%B4%D0%B5%D1%82%201986%20%D1%84%D0%B8%D0%BB%D1%8C%D0%BC","искать")</f>
        <v/>
      </c>
      <c r="N6018" s="3" t="n"/>
      <c r="O6018" s="2" t="n"/>
      <c r="P6018" s="2" t="n"/>
    </row>
    <row r="6019">
      <c r="A6019" s="2" t="n">
        <v>6018</v>
      </c>
      <c r="B6019" s="2" t="inlineStr"/>
      <c r="C6019" s="2" t="n">
        <v>8485</v>
      </c>
      <c r="D6019" s="3" t="inlineStr">
        <is>
          <t>Тропинины</t>
        </is>
      </c>
      <c r="E6019" s="2" t="n">
        <v>1981</v>
      </c>
      <c r="F6019" s="2" t="inlineStr">
        <is>
          <t>телефильм</t>
        </is>
      </c>
      <c r="G6019" s="2" t="n"/>
      <c r="H6019" s="2" t="n">
        <v>433</v>
      </c>
      <c r="I6019" s="2" t="inlineStr"/>
      <c r="J6019" s="2" t="inlineStr"/>
      <c r="K6019" s="3" t="inlineStr">
        <is>
          <t>Телефильм. Главный герой — полковник Алексей Тропинин, возглавляющий районный военкомат небольшого города. В его руках патриотическое воспитание будущих воинов. Он ведет работу с теми, кто уже отслужил в армии, заботится о ветеранах. И они доверчиво идут к нему со своими заботами, просьбами. Может быть еще и потому, что избранная Тропининым профессия — дело глубоко личное: на войне погиб отец, память о котором свято чтят в семье.</t>
        </is>
      </c>
      <c r="L6019" s="2" t="inlineStr">
        <is>
          <t>Кино_СССР сводный каталог.xlsx: список телефильмов</t>
        </is>
      </c>
      <c r="M6019" s="2">
        <f>HYPERLINK("https://ru.wikipedia.org/w/index.php?search=%D0%A2%D1%80%D0%BE%D0%BF%D0%B8%D0%BD%D0%B8%D0%BD%D1%8B%201981%20%D1%84%D0%B8%D0%BB%D1%8C%D0%BC","искать")</f>
        <v/>
      </c>
      <c r="N6019" s="3" t="n"/>
      <c r="O6019" s="2" t="n"/>
      <c r="P6019" s="2" t="n"/>
    </row>
    <row r="6020">
      <c r="A6020" s="2" t="n">
        <v>6019</v>
      </c>
      <c r="B6020" s="2" t="inlineStr"/>
      <c r="C6020" s="2" t="n">
        <v>8930</v>
      </c>
      <c r="D6020" s="3" t="inlineStr">
        <is>
          <t>Плач перелетной птицы</t>
        </is>
      </c>
      <c r="E6020" s="2" t="n">
        <v>1990</v>
      </c>
      <c r="F6020" s="2" t="inlineStr">
        <is>
          <t>кинофильм</t>
        </is>
      </c>
      <c r="G6020" s="2" t="n"/>
      <c r="H6020" s="2" t="n">
        <v>433</v>
      </c>
      <c r="I6020" s="2" t="inlineStr"/>
      <c r="J6020" s="2" t="inlineStr"/>
      <c r="K6020" s="3" t="inlineStr">
        <is>
          <t>По повести Чингиза Айтматова «Лицом к лицу». Во избежании сурового наказания за дезертирство Исмаил прячется в горах недалеко от родного аила. Иногда тайком герой ночью пробирается домой, где его всякий раз ждет жена Сейда. Однажды ее вызывает майор НКВД и требует от нее признания. Женщина не выдает мужа и, встретившись с ним вновь, соглашается идти за перевал — туда, где их никто не знает и где, возможно они еще будут счастливы.</t>
        </is>
      </c>
      <c r="L6020" s="2" t="inlineStr">
        <is>
          <t>Кино_СССР сводный каталог.xlsx: список фильмов (доп.)</t>
        </is>
      </c>
      <c r="M6020" s="2">
        <f>HYPERLINK("https://ru.wikipedia.org/w/index.php?search=%D0%9F%D0%BB%D0%B0%D1%87%20%D0%BF%D0%B5%D1%80%D0%B5%D0%BB%D0%B5%D1%82%D0%BD%D0%BE%D0%B9%20%D0%BF%D1%82%D0%B8%D1%86%D1%8B%201990%20%D1%84%D0%B8%D0%BB%D1%8C%D0%BC","искать")</f>
        <v/>
      </c>
      <c r="N6020" s="3" t="n"/>
      <c r="O6020" s="2" t="n"/>
      <c r="P6020" s="2" t="n"/>
    </row>
    <row r="6021">
      <c r="A6021" s="2" t="n">
        <v>6020</v>
      </c>
      <c r="B6021" s="2" t="inlineStr"/>
      <c r="C6021" s="2" t="n">
        <v>9505</v>
      </c>
      <c r="D6021" s="3" t="inlineStr">
        <is>
          <t>Неустрашимые</t>
        </is>
      </c>
      <c r="E6021" s="2" t="n">
        <v>1937</v>
      </c>
      <c r="F6021" s="2" t="inlineStr">
        <is>
          <t>кинофильм</t>
        </is>
      </c>
      <c r="G6021" s="2" t="n"/>
      <c r="H6021" s="2" t="n">
        <v>433</v>
      </c>
      <c r="I6021" s="2" t="inlineStr"/>
      <c r="J6021" s="2" t="inlineStr"/>
      <c r="K6021" s="3" t="inlineStr">
        <is>
          <t>Фильм начинается с клятвы советских воинов защищать землю от напавшего врага. После боя на территории противника сводно-казачий полк расположился в захваченном монастыре, где получил очередную боевую задачу переправиться через реку и остановить подходящие резервы вражеских войск. Коварный враг, подслушав при помощи служителей церкви планы командования полка, решил устроить засаду нашему полку, тщательно замаскировав свои позиции.</t>
        </is>
      </c>
      <c r="L6021" s="2" t="inlineStr">
        <is>
          <t>Кино_СССР сводный каталог.xlsx: список фильмов (доп.)</t>
        </is>
      </c>
      <c r="M6021" s="2">
        <f>HYPERLINK("https://ru.wikipedia.org/w/index.php?search=%D0%9D%D0%B5%D1%83%D1%81%D1%82%D1%80%D0%B0%D1%88%D0%B8%D0%BC%D1%8B%D0%B5%201937%20%D1%84%D0%B8%D0%BB%D1%8C%D0%BC","искать")</f>
        <v/>
      </c>
      <c r="N6021" s="3" t="n"/>
      <c r="O6021" s="2" t="n"/>
      <c r="P6021" s="2" t="n"/>
    </row>
    <row r="6022">
      <c r="A6022" s="2" t="n">
        <v>6021</v>
      </c>
      <c r="B6022" s="2" t="inlineStr"/>
      <c r="C6022" s="2" t="n">
        <v>9833</v>
      </c>
      <c r="D6022" s="3" t="inlineStr">
        <is>
          <t>Ожидания</t>
        </is>
      </c>
      <c r="E6022" s="2" t="n">
        <v>1966</v>
      </c>
      <c r="F6022" s="2" t="inlineStr">
        <is>
          <t>телефильм</t>
        </is>
      </c>
      <c r="G6022" s="2" t="inlineStr">
        <is>
          <t>Мосфильм по заказу Центрального телевидения</t>
        </is>
      </c>
      <c r="H6022" s="2" t="n">
        <v>434</v>
      </c>
      <c r="I6022" s="2" t="inlineStr"/>
      <c r="J6022" s="2" t="inlineStr"/>
      <c r="K6022" s="3" t="inlineStr">
        <is>
          <t>Почтальон Тася Корычева, одиноко и тоскливо жившая в небольшом посёлке, помогает проезжавшему командированному получить столь необходимый ему денежный перевод. Благодарный за помощь геолог (он везёт образцы пробурённых пород и должен рассчитаться с рабочими и лодочником) тепло расстаётся с девушкой, обещая вскоре прислать письмо. На мгновенье ей кажется, что это и есть тот самый человек, встречу с которым она ждала всю свою жизнь.</t>
        </is>
      </c>
      <c r="L6022" s="2" t="inlineStr">
        <is>
          <t>https://ru.wikipedia.org/w/index.php?title=%D0%9E%D0%B6%D0%B8%D0%B4%D0%B0%D0%BD%D0%B8%D1%8F&amp;oldid=150189636</t>
        </is>
      </c>
      <c r="M6022" s="2">
        <f>HYPERLINK("https://ru.wikipedia.org/w/index.php?search=%D0%9E%D0%B6%D0%B8%D0%B4%D0%B0%D0%BD%D0%B8%D1%8F%201966%20%D1%84%D0%B8%D0%BB%D1%8C%D0%BC","искать")</f>
        <v/>
      </c>
      <c r="N6022" s="3" t="n"/>
      <c r="O6022" s="2" t="n"/>
      <c r="P6022" s="2" t="n"/>
    </row>
    <row r="6023">
      <c r="A6023" s="2" t="n">
        <v>6022</v>
      </c>
      <c r="B6023" s="2" t="inlineStr"/>
      <c r="C6023" s="2" t="n">
        <v>10187</v>
      </c>
      <c r="D6023" s="3" t="inlineStr">
        <is>
          <t>Волшебник страны Оз</t>
        </is>
      </c>
      <c r="E6023" s="2" t="n">
        <v>1967</v>
      </c>
      <c r="F6023" s="2" t="inlineStr">
        <is>
          <t>фильм-спектакль</t>
        </is>
      </c>
      <c r="G6023" s="2" t="inlineStr">
        <is>
          <t>Ленинградское телевидение, Связанные проекты, Волшебник страны Оз, (1925),, (1939),, Истории о стране Оз, (1961),, Возвращение в страну Оз, (1964),, Чудесная страна Оз, (1969),</t>
        </is>
      </c>
      <c r="H6023" s="2" t="n">
        <v>435</v>
      </c>
      <c r="I6023" s="2" t="inlineStr"/>
      <c r="J6023" s="2" t="inlineStr"/>
      <c r="K6023" s="3" t="inlineStr">
        <is>
          <t>Музыкальный телеспектакль по сказке Френка Баума.
Девочку Элли и собачку Тотошку смерч уносит вместе с домиком в сказочную страну Оз. Там она становится обладательницей волшебных туфель. Элли, собачка Тотошка и её новые друзья — Страшила, Железный Дровосек и Трусливый Лев — идут по дороге из жёлтого кирпича в Изумрудный город, чтобы просить всемогущего волшебника помочь ей вернуться домой, а друзьям — выполнить их заветные желания.</t>
        </is>
      </c>
      <c r="L6023" s="2" t="inlineStr">
        <is>
          <t>https://www.kino-teatr.ru/teatr/movie/103917/annot/</t>
        </is>
      </c>
      <c r="M6023" s="2">
        <f>HYPERLINK("https://ru.wikipedia.org/w/index.php?search=%D0%92%D0%BE%D0%BB%D1%88%D0%B5%D0%B1%D0%BD%D0%B8%D0%BA%20%D1%81%D1%82%D1%80%D0%B0%D0%BD%D1%8B%20%D0%9E%D0%B7%201967%20%D1%84%D0%B8%D0%BB%D1%8C%D0%BC","искать")</f>
        <v/>
      </c>
      <c r="N6023" s="3" t="n"/>
      <c r="O6023" s="2" t="n"/>
      <c r="P6023" s="2" t="n"/>
    </row>
    <row r="6024">
      <c r="A6024" s="2" t="n">
        <v>6023</v>
      </c>
      <c r="B6024" s="2" t="inlineStr"/>
      <c r="C6024" s="2" t="n">
        <v>12971</v>
      </c>
      <c r="D6024" s="3" t="inlineStr">
        <is>
          <t>Аксак Кулан</t>
        </is>
      </c>
      <c r="E6024" s="2" t="n">
        <v>1968</v>
      </c>
      <c r="F6024" s="2" t="inlineStr">
        <is>
          <t>мультфильм</t>
        </is>
      </c>
      <c r="G6024" s="2" t="inlineStr">
        <is>
          <t>КАЗАХФИЛЬМ</t>
        </is>
      </c>
      <c r="H6024" s="2" t="n">
        <v>435</v>
      </c>
      <c r="I6024" s="2" t="inlineStr"/>
      <c r="J6024" s="2" t="inlineStr"/>
      <c r="K6024" s="3" t="inlineStr">
        <is>
          <t>По мотивам казахской народной легенды. Спокойно и счастливо жили люди, но напали на страну полчища Чингиз-хана и белые города превратились в пепел, а жизнь человека стала дешевле пыли. Дикий конь Кулан убил сына хана. О гибели хановича рассказала жестокому завоевателю домбра Кербуги, и тогда хан приказал казнить домбру. Но жар расплавленного свинца оказался бессильным перед музыкой, и через века донесла домбра эту печальную легенду</t>
        </is>
      </c>
      <c r="L6024" s="2" t="inlineStr">
        <is>
          <t>https://gosfilmofond.ru/films/254303/</t>
        </is>
      </c>
      <c r="M6024" s="2">
        <f>HYPERLINK("https://ru.wikipedia.org/w/index.php?search=%D0%90%D0%BA%D1%81%D0%B0%D0%BA%20%D0%9A%D1%83%D0%BB%D0%B0%D0%BD%201968%20%D1%84%D0%B8%D0%BB%D1%8C%D0%BC","искать")</f>
        <v/>
      </c>
      <c r="N6024" s="3" t="n"/>
      <c r="O6024" s="2" t="n"/>
      <c r="P6024" s="2" t="n"/>
    </row>
    <row r="6025">
      <c r="A6025" s="2" t="n">
        <v>6024</v>
      </c>
      <c r="B6025" s="2" t="inlineStr"/>
      <c r="C6025" s="2" t="n">
        <v>9917</v>
      </c>
      <c r="D6025" s="3" t="inlineStr">
        <is>
          <t>Иваника и Симоника</t>
        </is>
      </c>
      <c r="E6025" s="2" t="n">
        <v>1976</v>
      </c>
      <c r="F6025" s="2" t="inlineStr">
        <is>
          <t>телефильм</t>
        </is>
      </c>
      <c r="G6025" s="2" t="inlineStr">
        <is>
          <t>Грузия-фильм, по заказу государственного комитета Совета министров СССР по телевидению и радиовещанию</t>
        </is>
      </c>
      <c r="H6025" s="2" t="n">
        <v>436</v>
      </c>
      <c r="I6025" s="2" t="inlineStr"/>
      <c r="J6025" s="2" t="inlineStr"/>
      <c r="K6025" s="3" t="inlineStr">
        <is>
          <t>Притча снята по мотивам грузинских сказок. Рассказывает она историю двух братьев, злого и доброго. Доброго брата звали Иваника, он был младшим, а злого звали Симоника и он был старшим братом. Когда Симоника делал что-то злое, то Иваника наоборот в ответ делал что-то доброе.
Настал момент, когда злобные козни старшего брата оказались направленными против него самого, а добрая душа Иваники не откликнулась и не заступилась за Симонику.</t>
        </is>
      </c>
      <c r="L6025" s="2" t="inlineStr">
        <is>
          <t>https://ru.wikipedia.org/w/index.php?title=%D0%98%D0%B2%D0%B0%D0%BD%D0%B8%D0%BA%D0%B0_%D0%B8_%D0%A1%D0%B8%D0%BC%D0%BE%D0%BD%D0%B8%D0%BA%D0%B0&amp;oldid=150189805</t>
        </is>
      </c>
      <c r="M6025" s="2">
        <f>HYPERLINK("https://ru.wikipedia.org/w/index.php?search=%D0%98%D0%B2%D0%B0%D0%BD%D0%B8%D0%BA%D0%B0%20%D0%B8%20%D0%A1%D0%B8%D0%BC%D0%BE%D0%BD%D0%B8%D0%BA%D0%B0%201976%20%D1%84%D0%B8%D0%BB%D1%8C%D0%BC","искать")</f>
        <v/>
      </c>
      <c r="N6025" s="3" t="n"/>
      <c r="O6025" s="2" t="n"/>
      <c r="P6025" s="2" t="n"/>
    </row>
    <row r="6026">
      <c r="A6026" s="2" t="n">
        <v>6025</v>
      </c>
      <c r="B6026" s="2" t="inlineStr"/>
      <c r="C6026" s="2" t="n">
        <v>10808</v>
      </c>
      <c r="D6026" s="3" t="inlineStr">
        <is>
          <t>Кот в сапогах</t>
        </is>
      </c>
      <c r="E6026" s="2" t="n">
        <v>1979</v>
      </c>
      <c r="F6026" s="2" t="inlineStr">
        <is>
          <t>фильм-спектакль</t>
        </is>
      </c>
      <c r="G6026" s="2" t="inlineStr">
        <is>
          <t>Центральное телевидение</t>
        </is>
      </c>
      <c r="H6026" s="2" t="n">
        <v>436</v>
      </c>
      <c r="I6026" s="2" t="inlineStr"/>
      <c r="J6026" s="2" t="inlineStr"/>
      <c r="K6026" s="3" t="inlineStr">
        <is>
          <t>По одноименной пьесе-сказке Гейнца Калау в постановке Государственного академического театра имени Евг. Вахтангова.
Досталось трем братьям от отца наследство, да только поделили они его несправедливо: старший и средний забрали себе дом и мельницу, а младшего брата выгнали из дома с котом. Расстроился было парень, да вот только кот оказался ...в сапогах! Вот этот-то Кот, благодаря своему уму, и помогает Стефану жениться на принцессе!</t>
        </is>
      </c>
      <c r="L6026" s="2" t="inlineStr">
        <is>
          <t>https://www.kino-teatr.ru/teatr/movie/81541/annot/</t>
        </is>
      </c>
      <c r="M6026" s="2">
        <f>HYPERLINK("https://ru.wikipedia.org/w/index.php?search=%D0%9A%D0%BE%D1%82%20%D0%B2%20%D1%81%D0%B0%D0%BF%D0%BE%D0%B3%D0%B0%D1%85%201979%20%D1%84%D0%B8%D0%BB%D1%8C%D0%BC","искать")</f>
        <v/>
      </c>
      <c r="N6026" s="3" t="n"/>
      <c r="O6026" s="2" t="n"/>
      <c r="P6026" s="2" t="n"/>
    </row>
    <row r="6027">
      <c r="A6027" s="2" t="n">
        <v>6026</v>
      </c>
      <c r="B6027" s="2" t="inlineStr"/>
      <c r="C6027" s="2" t="n">
        <v>11610</v>
      </c>
      <c r="D6027" s="3" t="inlineStr">
        <is>
          <t>Сказка о живом времени</t>
        </is>
      </c>
      <c r="E6027" s="2" t="n">
        <v>1970</v>
      </c>
      <c r="F6027" s="2" t="inlineStr">
        <is>
          <t>мультфильм</t>
        </is>
      </c>
      <c r="G6027" s="2" t="inlineStr">
        <is>
          <t>Союзмультфильм</t>
        </is>
      </c>
      <c r="H6027" s="2" t="n">
        <v>436</v>
      </c>
      <c r="I6027" s="2" t="inlineStr"/>
      <c r="J6027" s="2" t="inlineStr"/>
      <c r="K6027" s="3" t="inlineStr">
        <is>
          <t>Отец уезжает на фронт воевать за царя. А мальчик остается с матерью. Она с утра до вечера стирает чужое белье. Из промерзлых окопов приходят письма - солдаты надеются вернуться домой, когда живое время придет. И мальчик отправляется на поиски живого времени. Много трудностей пришлось испытать мальчику, много времени утекло, прежде чем раздался залп "Авроры", вернулись с фронта отцы, и по-новому зазвучали куранты на кремлевской башне</t>
        </is>
      </c>
      <c r="L6027" s="2" t="inlineStr">
        <is>
          <t>https://gosfilmofond.ru/films/255192/</t>
        </is>
      </c>
      <c r="M6027" s="2">
        <f>HYPERLINK("https://ru.wikipedia.org/w/index.php?search=%D0%A1%D0%BA%D0%B0%D0%B7%D0%BA%D0%B0%20%D0%BE%20%D0%B6%D0%B8%D0%B2%D0%BE%D0%BC%20%D0%B2%D1%80%D0%B5%D0%BC%D0%B5%D0%BD%D0%B8%201970%20%D1%84%D0%B8%D0%BB%D1%8C%D0%BC","искать")</f>
        <v/>
      </c>
      <c r="N6027" s="3" t="n"/>
      <c r="O6027" s="2" t="n"/>
      <c r="P6027" s="2" t="n"/>
    </row>
    <row r="6028">
      <c r="A6028" s="2" t="n">
        <v>6027</v>
      </c>
      <c r="B6028" s="2" t="inlineStr"/>
      <c r="C6028" s="2" t="n">
        <v>7788</v>
      </c>
      <c r="D6028" s="3" t="inlineStr">
        <is>
          <t>Лев ушел из дома</t>
        </is>
      </c>
      <c r="E6028" s="2" t="n">
        <v>1977</v>
      </c>
      <c r="F6028" s="2" t="inlineStr">
        <is>
          <t>телефильм</t>
        </is>
      </c>
      <c r="G6028" s="2" t="n"/>
      <c r="H6028" s="2" t="n">
        <v>437</v>
      </c>
      <c r="I6028" s="2" t="inlineStr"/>
      <c r="J6028" s="2" t="inlineStr"/>
      <c r="K6028" s="3" t="inlineStr">
        <is>
          <t>Телефильм по мотивам одноименной сказки-повести Ю.Яковлева. Дебют кинооператора Расима Исмаилова, как режиссера. Фильм повествует о дружбе детей с животными. Маленький Рустам, находясь в зоопарке у клетки льва, думал о том, как было бы хорошо иметь такого сильного и преданного товарища. Фантазия мальчика преобразила окружающий мир: вместо обычного зоопарка появился чудесный зооград, где звери устраивали малышам веселые представления.</t>
        </is>
      </c>
      <c r="L6028" s="2" t="inlineStr">
        <is>
          <t>Кино_СССР сводный каталог.xlsx: список телефильмов</t>
        </is>
      </c>
      <c r="M6028" s="2">
        <f>HYPERLINK("https://ru.wikipedia.org/w/index.php?search=%D0%9B%D0%B5%D0%B2%20%D1%83%D1%88%D0%B5%D0%BB%20%D0%B8%D0%B7%20%D0%B4%D0%BE%D0%BC%D0%B0%201977%20%D1%84%D0%B8%D0%BB%D1%8C%D0%BC","искать")</f>
        <v/>
      </c>
      <c r="N6028" s="3" t="n"/>
      <c r="O6028" s="2" t="n"/>
      <c r="P6028" s="2" t="n"/>
    </row>
    <row r="6029">
      <c r="A6029" s="2" t="n">
        <v>6028</v>
      </c>
      <c r="B6029" s="2" t="inlineStr"/>
      <c r="C6029" s="2" t="n">
        <v>8286</v>
      </c>
      <c r="D6029" s="3" t="inlineStr">
        <is>
          <t>Руины стреляют...</t>
        </is>
      </c>
      <c r="E6029" s="2" t="n">
        <v>1970</v>
      </c>
      <c r="F6029" s="2" t="inlineStr">
        <is>
          <t>телефильм</t>
        </is>
      </c>
      <c r="G6029" s="2" t="n"/>
      <c r="H6029" s="2" t="n">
        <v>438</v>
      </c>
      <c r="I6029" s="2" t="inlineStr"/>
      <c r="J6029" s="2" t="inlineStr"/>
      <c r="K6029" s="3" t="inlineStr">
        <is>
          <t>Телесериал по документальной повести Ивана Новикова "Руины стреляют в упор" о героях Минского подполья в годы Великой Отечественной войны. 1 и 2 серии сняты в 1970 г., 3-4 серии - в 1971 г., 5-6 серии - в 1972 г. В центре сюжета - реальные люди : инженер-нефтяник Исай Казинец, военнослужащий Иван Кабушкин, студент-журналист Владимир Омельянюк, профессор-медик Евгений Клумов, партийный и советский работник Сергей Благоразумов и другие.</t>
        </is>
      </c>
      <c r="L6029" s="2" t="inlineStr">
        <is>
          <t>Кино_СССР сводный каталог.xlsx: список телефильмов</t>
        </is>
      </c>
      <c r="M6029" s="2">
        <f>HYPERLINK("https://ru.wikipedia.org/w/index.php?search=%D0%A0%D1%83%D0%B8%D0%BD%D1%8B%20%D1%81%D1%82%D1%80%D0%B5%D0%BB%D1%8F%D1%8E%D1%82...%201970%20%D1%84%D0%B8%D0%BB%D1%8C%D0%BC","искать")</f>
        <v/>
      </c>
      <c r="N6029" s="3" t="n"/>
      <c r="O6029" s="2" t="n"/>
      <c r="P6029" s="2" t="n"/>
    </row>
    <row r="6030">
      <c r="A6030" s="2" t="n">
        <v>6029</v>
      </c>
      <c r="B6030" s="2" t="inlineStr"/>
      <c r="C6030" s="2" t="n">
        <v>9442</v>
      </c>
      <c r="D6030" s="3" t="inlineStr">
        <is>
          <t>Круг второй</t>
        </is>
      </c>
      <c r="E6030" s="2" t="n">
        <v>1990</v>
      </c>
      <c r="F6030" s="2" t="inlineStr">
        <is>
          <t>кинофильм</t>
        </is>
      </c>
      <c r="G6030" s="2" t="n"/>
      <c r="H6030" s="2" t="n">
        <v>439</v>
      </c>
      <c r="I6030" s="2" t="inlineStr"/>
      <c r="J6030" s="2" t="inlineStr"/>
      <c r="K6030" s="3" t="inlineStr">
        <is>
          <t>Герой фильма, у которого умер отец, проходит все круги, суждёные человеку в эту трагическую пору — муку вины, и муку беспомощного сострадания. Он приезжает в зимний арктический город один, его обворовывают, и он должен как-то и на что-то устраивать похороны. Эпическая простота и хроникальные подробности выявляют отсутствие связей в нашей жизни, механическую инерцию распавшихся общечеловеческих ритуалов, имевших когда-то глубокий смысл.</t>
        </is>
      </c>
      <c r="L6030" s="2" t="inlineStr">
        <is>
          <t>https://ru.wikipedia.org/w/index.php?title=%D0%9A%D1%80%D1%83%D0%B3_%D0%B2%D1%82%D0%BE%D1%80%D0%BE%D0%B9&amp;oldid=151921111</t>
        </is>
      </c>
      <c r="M6030" s="2">
        <f>HYPERLINK("https://ru.wikipedia.org/w/index.php?search=%D0%9A%D1%80%D1%83%D0%B3%20%D0%B2%D1%82%D0%BE%D1%80%D0%BE%D0%B9%201990%20%D1%84%D0%B8%D0%BB%D1%8C%D0%BC","искать")</f>
        <v/>
      </c>
      <c r="N6030" s="3" t="n"/>
      <c r="O6030" s="2" t="n"/>
      <c r="P6030" s="2" t="n"/>
    </row>
    <row r="6031">
      <c r="A6031" s="2" t="n">
        <v>6030</v>
      </c>
      <c r="B6031" s="2" t="inlineStr"/>
      <c r="C6031" s="2" t="n">
        <v>11435</v>
      </c>
      <c r="D6031" s="3" t="inlineStr">
        <is>
          <t>Это не про меня</t>
        </is>
      </c>
      <c r="E6031" s="2" t="n">
        <v>1966</v>
      </c>
      <c r="F6031" s="2" t="inlineStr">
        <is>
          <t>мультфильм</t>
        </is>
      </c>
      <c r="G6031" s="2" t="inlineStr">
        <is>
          <t>Союзмультфильм</t>
        </is>
      </c>
      <c r="H6031" s="2" t="n">
        <v>440</v>
      </c>
      <c r="I6031" s="2" t="inlineStr"/>
      <c r="J6031" s="2" t="inlineStr"/>
      <c r="K6031" s="3" t="inlineStr">
        <is>
          <t>Маленький мальчик раскапризничался потому, что у него нет такой игрушки, как у соседней девочки. Но девочка не жадная и отдает ему свою игрушку -коровку.. Прошли годы. Мальчик вырос, стал эгоистом м барышником. На нечестно нажитые деньги он построил огромную дачу и созвал "полезных" гостей. Но в самый разгар веселья хозяин вдруг увидел, что к нему приближается, как укор, однорогая корова, похожая на ту, что когда-то подарила ему девочка</t>
        </is>
      </c>
      <c r="L6031" s="2" t="inlineStr">
        <is>
          <t>https://gosfilmofond.ru/films/246578/</t>
        </is>
      </c>
      <c r="M6031" s="2">
        <f>HYPERLINK("https://ru.wikipedia.org/w/index.php?search=%D0%AD%D1%82%D0%BE%20%D0%BD%D0%B5%20%D0%BF%D1%80%D0%BE%20%D0%BC%D0%B5%D0%BD%D1%8F%201966%20%D1%84%D0%B8%D0%BB%D1%8C%D0%BC","искать")</f>
        <v/>
      </c>
      <c r="N6031" s="3" t="n"/>
      <c r="O6031" s="2" t="n"/>
      <c r="P6031" s="2" t="n"/>
    </row>
    <row r="6032">
      <c r="A6032" s="2" t="n">
        <v>6031</v>
      </c>
      <c r="B6032" s="2" t="inlineStr"/>
      <c r="C6032" s="2" t="n">
        <v>11970</v>
      </c>
      <c r="D6032" s="3" t="inlineStr">
        <is>
          <t>Киноцирк</t>
        </is>
      </c>
      <c r="E6032" s="2" t="n">
        <v>1942</v>
      </c>
      <c r="F6032" s="2" t="inlineStr">
        <is>
          <t>мультфильм</t>
        </is>
      </c>
      <c r="G6032" s="2" t="inlineStr">
        <is>
          <t>Союзмультфильм</t>
        </is>
      </c>
      <c r="H6032" s="2" t="n">
        <v>440</v>
      </c>
      <c r="I6032" s="2" t="inlineStr"/>
      <c r="J6032" s="2" t="inlineStr"/>
      <c r="K6032" s="3" t="inlineStr">
        <is>
          <t>В трех эпизодах фильма, объединенных конферансом Михаила Румянцева (Каранд"Аша), проводится мысль о неизбежной гибели Гитлера и его клики. I. Гитлер посещает могилу Наполеона. Мертвый император рекомендует своему последователю не отправляться на Восток. II. Между гитлеровскими сателлитами - Франко, Муссолини и представителем Японии - возникает ссора. III. Гитлер становится жертвой взрыва порохового склада, к которому он сам поднес факел</t>
        </is>
      </c>
      <c r="L6032" s="2" t="inlineStr">
        <is>
          <t>https://gosfilmofond.ru/films/250713/</t>
        </is>
      </c>
      <c r="M6032" s="2">
        <f>HYPERLINK("https://ru.wikipedia.org/w/index.php?search=%D0%9A%D0%B8%D0%BD%D0%BE%D1%86%D0%B8%D1%80%D0%BA%201942%20%D1%84%D0%B8%D0%BB%D1%8C%D0%BC","искать")</f>
        <v/>
      </c>
      <c r="N6032" s="3" t="n"/>
      <c r="O6032" s="2" t="n"/>
      <c r="P6032" s="2" t="n"/>
    </row>
    <row r="6033">
      <c r="A6033" s="2" t="n">
        <v>6032</v>
      </c>
      <c r="B6033" s="2" t="inlineStr"/>
      <c r="C6033" s="2" t="n">
        <v>9363</v>
      </c>
      <c r="D6033" s="3" t="inlineStr">
        <is>
          <t>За кем замужем певица?</t>
        </is>
      </c>
      <c r="E6033" s="2" t="n">
        <v>1988</v>
      </c>
      <c r="F6033" s="2" t="inlineStr">
        <is>
          <t>кинофильм</t>
        </is>
      </c>
      <c r="G6033" s="2" t="n"/>
      <c r="H6033" s="2" t="n">
        <v>441</v>
      </c>
      <c r="I6033" s="2" t="inlineStr"/>
      <c r="J6033" s="2" t="inlineStr"/>
      <c r="K6033" s="3" t="inlineStr">
        <is>
          <t>Иногда для души она поет в хоре местной самодеятельности. Но как-то однажды к ним в типографию зашел руководитель городского фольклорного ансамбля, они разговорились, и он предложил Ксении прийти к нему на прослушивание. Она приходит, репетирует со всеми, но на концерты ее почему-то не выпускают. Там же случайно она знакомится с одним шустрым администратором, который собирает концертную бригаду и предлагает ей поехать с ними на гастроли.</t>
        </is>
      </c>
      <c r="L6033" s="2" t="inlineStr">
        <is>
          <t>Кино_СССР сводный каталог.xlsx: список фильмов (доп.)</t>
        </is>
      </c>
      <c r="M6033" s="2">
        <f>HYPERLINK("https://ru.wikipedia.org/w/index.php?search=%D0%97%D0%B0%20%D0%BA%D0%B5%D0%BC%20%D0%B7%D0%B0%D0%BC%D1%83%D0%B6%D0%B5%D0%BC%20%D0%BF%D0%B5%D0%B2%D0%B8%D1%86%D0%B0%3F%201988%20%D1%84%D0%B8%D0%BB%D1%8C%D0%BC","искать")</f>
        <v/>
      </c>
      <c r="N6033" s="3" t="n"/>
      <c r="O6033" s="2" t="n"/>
      <c r="P6033" s="2" t="n"/>
    </row>
    <row r="6034">
      <c r="A6034" s="2" t="n">
        <v>6033</v>
      </c>
      <c r="B6034" s="2" t="inlineStr"/>
      <c r="C6034" s="2" t="n">
        <v>9756</v>
      </c>
      <c r="D6034" s="3" t="inlineStr">
        <is>
          <t>Член парламента</t>
        </is>
      </c>
      <c r="E6034" s="2" t="n">
        <v>1918</v>
      </c>
      <c r="F6034" s="2" t="inlineStr">
        <is>
          <t>кинофильм</t>
        </is>
      </c>
      <c r="G6034" s="2" t="n"/>
      <c r="H6034" s="2" t="n">
        <v>441</v>
      </c>
      <c r="I6034" s="2" t="inlineStr"/>
      <c r="J6034" s="2" t="inlineStr"/>
      <c r="K6034" s="3" t="inlineStr">
        <is>
          <t>Джон Шилькотт, член английского парламента, нервный, болезненный человек, уже давно потерял всякую энергию к работе, и только временами все увеличивающиеся дозы морфия, которые он себе впрыскивает, дают ему еще иллюзию притока жизненных сил. В семейной жизни у него тоже не все обстоит благополучно: за последние три года он отдалился от жены, никакой духовной близости между ними нет, и Эва Шилькотт умоляет отца помочь ей добиться развода.</t>
        </is>
      </c>
      <c r="L6034" s="2" t="inlineStr">
        <is>
          <t>Кино_СССР сводный каталог.xlsx: список фильмов (доп.)</t>
        </is>
      </c>
      <c r="M6034" s="2">
        <f>HYPERLINK("https://ru.wikipedia.org/w/index.php?search=%D0%A7%D0%BB%D0%B5%D0%BD%20%D0%BF%D0%B0%D1%80%D0%BB%D0%B0%D0%BC%D0%B5%D0%BD%D1%82%D0%B0%201918%20%D1%84%D0%B8%D0%BB%D1%8C%D0%BC","искать")</f>
        <v/>
      </c>
      <c r="N6034" s="3" t="n"/>
      <c r="O6034" s="2" t="n"/>
      <c r="P6034" s="2" t="n"/>
    </row>
    <row r="6035">
      <c r="A6035" s="2" t="n">
        <v>6034</v>
      </c>
      <c r="B6035" s="2" t="inlineStr"/>
      <c r="C6035" s="2" t="n">
        <v>13193</v>
      </c>
      <c r="D6035" s="3" t="inlineStr">
        <is>
          <t>Счастье, вернись!</t>
        </is>
      </c>
      <c r="E6035" s="2" t="n">
        <v>1969</v>
      </c>
      <c r="F6035" s="2" t="inlineStr">
        <is>
          <t>мультфильм</t>
        </is>
      </c>
      <c r="G6035" s="2" t="inlineStr">
        <is>
          <t>УЗБЕКФИЛЬМ</t>
        </is>
      </c>
      <c r="H6035" s="2" t="n">
        <v>441</v>
      </c>
      <c r="I6035" s="2" t="inlineStr"/>
      <c r="J6035" s="2" t="inlineStr"/>
      <c r="K6035" s="3" t="inlineStr">
        <is>
          <t>По мотивам узбекских народных сказок.
Молодой чабан спасает от несчастья старика, а тот оказывается чародеем и одаривает юношу. Но самая большая награда - любовь прекрасной девушки. Юноша готов ввести ее в дом, но появляется отвратительная колдунья, которая пытается завладеть сердцем молодого чабана, подчинить его своей злобной силе. Однако это ей не удается, она гибнет, не в силах побороть то светлое и доброе, что есть в каждом человеке</t>
        </is>
      </c>
      <c r="L6035" s="2" t="inlineStr">
        <is>
          <t>https://gosfilmofond.ru/films/254774/</t>
        </is>
      </c>
      <c r="M6035" s="2">
        <f>HYPERLINK("https://ru.wikipedia.org/w/index.php?search=%D0%A1%D1%87%D0%B0%D1%81%D1%82%D1%8C%D0%B5%2C%20%D0%B2%D0%B5%D1%80%D0%BD%D0%B8%D1%81%D1%8C%21%201969%20%D1%84%D0%B8%D0%BB%D1%8C%D0%BC","искать")</f>
        <v/>
      </c>
      <c r="N6035" s="3" t="n"/>
      <c r="O6035" s="2" t="n"/>
      <c r="P6035" s="2" t="n"/>
    </row>
    <row r="6036">
      <c r="A6036" s="2" t="n">
        <v>6035</v>
      </c>
      <c r="B6036" s="2" t="inlineStr"/>
      <c r="C6036" s="2" t="n">
        <v>7677</v>
      </c>
      <c r="D6036" s="3" t="inlineStr">
        <is>
          <t>Иду на вулкан</t>
        </is>
      </c>
      <c r="E6036" s="2" t="n">
        <v>1976</v>
      </c>
      <c r="F6036" s="2" t="inlineStr">
        <is>
          <t>телефильм</t>
        </is>
      </c>
      <c r="G6036" s="2" t="n"/>
      <c r="H6036" s="2" t="n">
        <v>442</v>
      </c>
      <c r="I6036" s="2" t="inlineStr"/>
      <c r="J6036" s="2" t="inlineStr"/>
      <c r="K6036" s="3" t="inlineStr">
        <is>
          <t>Фильм посвящён жизни и деятельности бакинских нефтяников и их напряжённой борьбе за нефть. Встреча сельского паренька-табунщика Надира Биляндарли с геологами оказывается поворотной в его судьбе. В бригаде знатного нефтяника он получает высокую рабочую квалификацию и обретёт новых друзей. А спустя годы Надир заканчивает институт и становится руководителем нефтепромысла, смело и принципиально отстаивая перспективные направления нефтедобычи.</t>
        </is>
      </c>
      <c r="L6036" s="2" t="inlineStr">
        <is>
          <t>https://ru.wikipedia.org/w/index.php?title=%D0%98%D0%B4%D1%83_%D0%BD%D0%B0_%D0%B2%D1%83%D0%BB%D0%BA%D0%B0%D0%BD&amp;oldid=152191392</t>
        </is>
      </c>
      <c r="M6036" s="2">
        <f>HYPERLINK("https://ru.wikipedia.org/w/index.php?search=%D0%98%D0%B4%D1%83%20%D0%BD%D0%B0%20%D0%B2%D1%83%D0%BB%D0%BA%D0%B0%D0%BD%201976%20%D1%84%D0%B8%D0%BB%D1%8C%D0%BC","искать")</f>
        <v/>
      </c>
      <c r="N6036" s="3" t="n"/>
      <c r="O6036" s="2" t="n"/>
      <c r="P6036" s="2" t="n"/>
    </row>
    <row r="6037">
      <c r="A6037" s="2" t="n">
        <v>6036</v>
      </c>
      <c r="B6037" s="2" t="inlineStr"/>
      <c r="C6037" s="2" t="n">
        <v>10175</v>
      </c>
      <c r="D6037" s="3" t="inlineStr">
        <is>
          <t>Театральные встречи БДТ в Москве</t>
        </is>
      </c>
      <c r="E6037" s="2" t="n">
        <v>1966</v>
      </c>
      <c r="F6037" s="2" t="inlineStr">
        <is>
          <t>фильм-спектакль</t>
        </is>
      </c>
      <c r="G6037" s="2" t="n"/>
      <c r="H6037" s="2" t="n">
        <v>442</v>
      </c>
      <c r="I6037" s="2" t="inlineStr"/>
      <c r="J6037" s="2" t="inlineStr"/>
      <c r="K6037" s="3" t="inlineStr">
        <is>
          <t>Один из первых выпусков телевизионных "Театральных встреч" 1966 года. БДТ не был в Москве с гастролями три года и вот теперь театр представительной компанией ведущих актеров предстал в ЦДА перед коллегами из Москвы. Получился веселый театральный капустник.
Шутки, которые можно услышать только в особых актерских компаниях разыгрывались перед камерами ТВ. Но, кроме того, ленинградцы показали несколько отрывков из своих последних постановок.</t>
        </is>
      </c>
      <c r="L6037" s="2" t="inlineStr">
        <is>
          <t>https://www.kino-teatr.ru/teatr/movie/102228/annot/</t>
        </is>
      </c>
      <c r="M6037" s="2">
        <f>HYPERLINK("https://ru.wikipedia.org/w/index.php?search=%D0%A2%D0%B5%D0%B0%D1%82%D1%80%D0%B0%D0%BB%D1%8C%D0%BD%D1%8B%D0%B5%20%D0%B2%D1%81%D1%82%D1%80%D0%B5%D1%87%D0%B8%20%D0%91%D0%94%D0%A2%20%D0%B2%20%D0%9C%D0%BE%D1%81%D0%BA%D0%B2%D0%B5%201966%20%D1%84%D0%B8%D0%BB%D1%8C%D0%BC","искать")</f>
        <v/>
      </c>
      <c r="N6037" s="3" t="n"/>
      <c r="O6037" s="2" t="n"/>
      <c r="P6037" s="2" t="n"/>
    </row>
    <row r="6038">
      <c r="A6038" s="2" t="n">
        <v>6037</v>
      </c>
      <c r="B6038" s="2" t="inlineStr"/>
      <c r="C6038" s="2" t="n">
        <v>13985</v>
      </c>
      <c r="D6038" s="3" t="inlineStr">
        <is>
          <t>Хочу луну</t>
        </is>
      </c>
      <c r="E6038" s="2" t="n">
        <v>1984</v>
      </c>
      <c r="F6038" s="2" t="inlineStr">
        <is>
          <t>мультфильм</t>
        </is>
      </c>
      <c r="G6038" s="2" t="inlineStr">
        <is>
          <t>ЭКРАН</t>
        </is>
      </c>
      <c r="H6038" s="2" t="n">
        <v>442</v>
      </c>
      <c r="I6038" s="2" t="inlineStr"/>
      <c r="J6038" s="2" t="inlineStr"/>
      <c r="K6038" s="3" t="inlineStr">
        <is>
          <t>По мотивам сказки Дж. Тэрбера. Маленькая принцесса объелась конфет и заболела. Король обещает выполнить для дочери любое желание, только бы она перестала плакать. "Хочу луну!" - заявила девочка. И король обещает - "Достану!". Но как, вот вопрос?! "Достань луну, сегодня же!" - сказал он канцлеру. - "Это с нашим то транспортом!..." Однако королевский шут решает исправить эту щекотливую ситуацию, находит "луну" и делает принцессу счастливой.</t>
        </is>
      </c>
      <c r="L6038" s="2" t="inlineStr">
        <is>
          <t>2026-10_мультфильмы_список_владельца.xlsx; https://animator.ru/db/?p=show_film&amp;fid=5379</t>
        </is>
      </c>
      <c r="M6038" s="2">
        <f>HYPERLINK("https://ru.wikipedia.org/w/index.php?search=%D0%A5%D0%BE%D1%87%D1%83%20%D0%BB%D1%83%D0%BD%D1%83%201984%20%D1%84%D0%B8%D0%BB%D1%8C%D0%BC","искать")</f>
        <v/>
      </c>
      <c r="N6038" s="3" t="n"/>
      <c r="O6038" s="2" t="n"/>
      <c r="P6038" s="2" t="n"/>
    </row>
    <row r="6039">
      <c r="A6039" s="2" t="n">
        <v>6038</v>
      </c>
      <c r="B6039" s="2" t="inlineStr"/>
      <c r="C6039" s="2" t="n">
        <v>8216</v>
      </c>
      <c r="D6039" s="3" t="inlineStr">
        <is>
          <t>Принцесса цирка</t>
        </is>
      </c>
      <c r="E6039" s="2" t="n">
        <v>1982</v>
      </c>
      <c r="F6039" s="2" t="inlineStr">
        <is>
          <t>телефильм</t>
        </is>
      </c>
      <c r="G6039" s="2" t="n"/>
      <c r="H6039" s="2" t="n">
        <v>444</v>
      </c>
      <c r="I6039" s="2" t="inlineStr"/>
      <c r="J6039" s="2" t="inlineStr"/>
      <c r="K6039" s="3" t="inlineStr">
        <is>
          <t>Телефильм по мотивам одноименной оперетты Имре Кальмана. Все в городе стремятся в цирк, чтобы посмотреть смертельный номер знаменитого мистера Икс. Приходит сюда и богатая вдова графа, ради расположения которой любой мужчина готов на всё. Кто добьётся любви красавицы? Таинственный мистер Икс, цирковой артист, ежедневно рискующий жизнью, или блестящий аристократ - интриган, домогающийся героини, готовый идти по головам ради достижения цели?.</t>
        </is>
      </c>
      <c r="L6039" s="2" t="inlineStr">
        <is>
          <t>Кино_СССР сводный каталог.xlsx: список телефильмов</t>
        </is>
      </c>
      <c r="M6039" s="2">
        <f>HYPERLINK("https://ru.wikipedia.org/w/index.php?search=%D0%9F%D1%80%D0%B8%D0%BD%D1%86%D0%B5%D1%81%D1%81%D0%B0%20%D1%86%D0%B8%D1%80%D0%BA%D0%B0%201982%20%D1%84%D0%B8%D0%BB%D1%8C%D0%BC","искать")</f>
        <v/>
      </c>
      <c r="N6039" s="3" t="n"/>
      <c r="O6039" s="2" t="n"/>
      <c r="P6039" s="2" t="n"/>
    </row>
    <row r="6040">
      <c r="A6040" s="2" t="n">
        <v>6039</v>
      </c>
      <c r="B6040" s="2" t="inlineStr"/>
      <c r="C6040" s="2" t="n">
        <v>8537</v>
      </c>
      <c r="D6040" s="3" t="inlineStr">
        <is>
          <t>Цыган</t>
        </is>
      </c>
      <c r="E6040" s="2" t="n">
        <v>1979</v>
      </c>
      <c r="F6040" s="2" t="inlineStr">
        <is>
          <t>телефильм</t>
        </is>
      </c>
      <c r="G6040" s="2" t="inlineStr">
        <is>
          <t>Одесская киностудия</t>
        </is>
      </c>
      <c r="H6040" s="2" t="n">
        <v>444</v>
      </c>
      <c r="I6040" s="2" t="inlineStr"/>
      <c r="J6040" s="2" t="inlineStr"/>
      <c r="K6040" s="3" t="inlineStr">
        <is>
          <t>Молодая деревенская женщина, Клавдия Пухлякова, находит у раздавленной немецкими танками кибитки цыганского мальчика. Пожалев ребёнка, она берёт его домой и растит как собственного сына. Проходит 16 лет. Однажды в селе появляется цыган Будулай, одинокий, много переживший человек. Он очень быстро завоёвывает симпатии приёмного сына Пухляковой. Подозревая, что Будулай и есть отец её цыганёнка, Клавдия опасается, что покой семьи будет нарушен.</t>
        </is>
      </c>
      <c r="L6040" s="2" t="inlineStr">
        <is>
          <t>https://ru.wikipedia.org/w/index.php?title=%D0%A6%D1%8B%D0%B3%D0%B0%D0%BD_%28%D1%84%D0%B8%D0%BB%D1%8C%D0%BC%2C_1979%29&amp;oldid=151779949</t>
        </is>
      </c>
      <c r="M6040" s="2">
        <f>HYPERLINK("https://ru.wikipedia.org/w/index.php?search=%D0%A6%D1%8B%D0%B3%D0%B0%D0%BD%201979%20%D1%84%D0%B8%D0%BB%D1%8C%D0%BC","искать")</f>
        <v/>
      </c>
      <c r="N6040" s="3" t="n"/>
      <c r="O6040" s="2" t="n"/>
      <c r="P6040" s="2" t="n"/>
    </row>
    <row r="6041">
      <c r="A6041" s="2" t="n">
        <v>6040</v>
      </c>
      <c r="B6041" s="2" t="inlineStr"/>
      <c r="C6041" s="2" t="n">
        <v>9703</v>
      </c>
      <c r="D6041" s="3" t="inlineStr">
        <is>
          <t>Убийство свидетеля</t>
        </is>
      </c>
      <c r="E6041" s="2" t="n">
        <v>1990</v>
      </c>
      <c r="F6041" s="2" t="inlineStr">
        <is>
          <t>кинофильм</t>
        </is>
      </c>
      <c r="G6041" s="2" t="n"/>
      <c r="H6041" s="2" t="n">
        <v>444</v>
      </c>
      <c r="I6041" s="2" t="inlineStr"/>
      <c r="J6041" s="2" t="inlineStr"/>
      <c r="K6041" s="3" t="inlineStr">
        <is>
          <t>Главарь бандитской группировки по кличке «Каракурт» пытается поймать в свои сети артиста цирка Швецова, который ему нужен для совершения очередного преступления. Чтобы осуществить свой замысел, он знакомит Швецова со своей бывшей любовницей. Но судьба распорядилась иначе… Каждый участник драмы, в конце концов, получает то, что заслужил.
Консультантом фильма был будущий министр МВД Владимир Рушайло, в то время майор милиции, в титрах указан.</t>
        </is>
      </c>
      <c r="L6041" s="2" t="inlineStr">
        <is>
          <t>https://ru.wikipedia.org/w/index.php?title=%D0%A3%D0%B1%D0%B8%D0%B9%D1%81%D1%82%D0%B2%D0%BE_%D1%81%D0%B2%D0%B8%D0%B4%D0%B5%D1%82%D0%B5%D0%BB%D1%8F&amp;oldid=155624348</t>
        </is>
      </c>
      <c r="M6041" s="2">
        <f>HYPERLINK("https://ru.wikipedia.org/w/index.php?search=%D0%A3%D0%B1%D0%B8%D0%B9%D1%81%D1%82%D0%B2%D0%BE%20%D1%81%D0%B2%D0%B8%D0%B4%D0%B5%D1%82%D0%B5%D0%BB%D1%8F%201990%20%D1%84%D0%B8%D0%BB%D1%8C%D0%BC","искать")</f>
        <v/>
      </c>
      <c r="N6041" s="3" t="n"/>
      <c r="O6041" s="2" t="n"/>
      <c r="P6041" s="2" t="n"/>
    </row>
    <row r="6042">
      <c r="A6042" s="2" t="n">
        <v>6041</v>
      </c>
      <c r="B6042" s="2" t="inlineStr"/>
      <c r="C6042" s="2" t="n">
        <v>11501</v>
      </c>
      <c r="D6042" s="3" t="inlineStr">
        <is>
          <t>Балерина на корабле</t>
        </is>
      </c>
      <c r="E6042" s="2" t="n">
        <v>1969</v>
      </c>
      <c r="F6042" s="2" t="inlineStr">
        <is>
          <t>мультфильм</t>
        </is>
      </c>
      <c r="G6042" s="2" t="inlineStr">
        <is>
          <t>Союзмультфильм</t>
        </is>
      </c>
      <c r="H6042" s="2" t="n">
        <v>444</v>
      </c>
      <c r="I6042" s="2" t="inlineStr"/>
      <c r="J6042" s="2" t="inlineStr"/>
      <c r="K6042" s="3" t="inlineStr">
        <is>
          <t>Балерина танцует на палубе корабля, моряки и капитан пытаются подражать ей. Но из-за неуклюжести они оказываются за бортом. Недоволен капитан такой ветренной пассажиркой. Начинается шторм, кораблю грозит гибель. Боцман бросает канат на берег и хочет привязать корабль за дерево. Но канат соскальзывает. Спасает корабль...балерина. Она легко прыгает на берег и завязывает канат. ликующие матросы благодарят балерину и танцуют с ней веселый танец</t>
        </is>
      </c>
      <c r="L6042" s="2" t="inlineStr">
        <is>
          <t>https://gosfilmofond.ru/films/254729/</t>
        </is>
      </c>
      <c r="M6042" s="2">
        <f>HYPERLINK("https://ru.wikipedia.org/w/index.php?search=%D0%91%D0%B0%D0%BB%D0%B5%D1%80%D0%B8%D0%BD%D0%B0%20%D0%BD%D0%B0%20%D0%BA%D0%BE%D1%80%D0%B0%D0%B1%D0%BB%D0%B5%201969%20%D1%84%D0%B8%D0%BB%D1%8C%D0%BC","искать")</f>
        <v/>
      </c>
      <c r="N6042" s="3" t="n"/>
      <c r="O6042" s="2" t="n"/>
      <c r="P6042" s="2" t="n"/>
    </row>
    <row r="6043">
      <c r="A6043" s="2" t="n">
        <v>6042</v>
      </c>
      <c r="B6043" s="2" t="inlineStr"/>
      <c r="C6043" s="2" t="n">
        <v>13548</v>
      </c>
      <c r="D6043" s="3" t="inlineStr">
        <is>
          <t>Калейдоскоп-68</t>
        </is>
      </c>
      <c r="E6043" s="2" t="n">
        <v>1968</v>
      </c>
      <c r="F6043" s="2" t="inlineStr">
        <is>
          <t>мультфильм</t>
        </is>
      </c>
      <c r="G6043" s="2" t="inlineStr">
        <is>
          <t>Союзмультфильм</t>
        </is>
      </c>
      <c r="H6043" s="2" t="n">
        <v>444</v>
      </c>
      <c r="I6043" s="2" t="inlineStr"/>
      <c r="J6043" s="2" t="inlineStr"/>
      <c r="K6043" s="3" t="inlineStr">
        <is>
          <t>Фильм состоит из трех миниатюр. ВЕЛОСИПЕД. Велосипедист бросается вдогонку за автомашиной. Обогнав ее, хочет перегнать поезд, а потом самолет. В конце концов из-за своего упрямства он сваливается с велосипеда. УЧИТЕЛЬ ПЕНИЯ. Учитель пения пытается научить бегемота пению. Широко открыв пасть, бегемот проглатывает учителя. ЗАБОР. Черный пес и белая собака слышат лай друг друга. Их разделяет забор. Они разрушают преграду и дружно уходят вместе</t>
        </is>
      </c>
      <c r="L6043" s="2" t="inlineStr">
        <is>
          <t>https://gosfilmofond.ru/films/254307/</t>
        </is>
      </c>
      <c r="M6043" s="2">
        <f>HYPERLINK("https://ru.wikipedia.org/w/index.php?search=%D0%9A%D0%B0%D0%BB%D0%B5%D0%B9%D0%B4%D0%BE%D1%81%D0%BA%D0%BE%D0%BF-68%201968%20%D1%84%D0%B8%D0%BB%D1%8C%D0%BC","искать")</f>
        <v/>
      </c>
      <c r="N6043" s="3" t="n"/>
      <c r="O6043" s="2" t="n"/>
      <c r="P6043" s="2" t="n"/>
    </row>
    <row r="6044">
      <c r="A6044" s="2" t="n">
        <v>6043</v>
      </c>
      <c r="B6044" s="2" t="inlineStr"/>
      <c r="C6044" s="2" t="n">
        <v>9266</v>
      </c>
      <c r="D6044" s="3" t="inlineStr">
        <is>
          <t>Ваш выход, девочки...</t>
        </is>
      </c>
      <c r="E6044" s="2" t="n">
        <v>1991</v>
      </c>
      <c r="F6044" s="2" t="inlineStr">
        <is>
          <t>кинофильм</t>
        </is>
      </c>
      <c r="G6044" s="2" t="n"/>
      <c r="H6044" s="2" t="n">
        <v>445</v>
      </c>
      <c r="I6044" s="2" t="inlineStr"/>
      <c r="J6044" s="2" t="inlineStr"/>
      <c r="K6044" s="3" t="inlineStr">
        <is>
          <t>Манекенщица Нелли переживает обычные тяготы судьбы: полулюбовь, полуматеринство, полужизнь. Судьба ставит ей ловушку, и Нелли вынуждена принять твердое и однозначное решение. За Неллей наблюдает еще совсем молоденькая Света, которая пока только мечтает стать манекенщицей (ее играет Юлия Алексеева, манекенщица из Театра мод Валентина Юдашкина) и которой в этом рьяно помогает молодой и известный (что, как правило, не бывает) композитор Андрей.</t>
        </is>
      </c>
      <c r="L6044" s="2" t="inlineStr">
        <is>
          <t>Кино_СССР сводный каталог.xlsx: список фильмов (доп.)</t>
        </is>
      </c>
      <c r="M6044" s="2">
        <f>HYPERLINK("https://ru.wikipedia.org/w/index.php?search=%D0%92%D0%B0%D1%88%20%D0%B2%D1%8B%D1%85%D0%BE%D0%B4%2C%20%D0%B4%D0%B5%D0%B2%D0%BE%D1%87%D0%BA%D0%B8...%201991%20%D1%84%D0%B8%D0%BB%D1%8C%D0%BC","искать")</f>
        <v/>
      </c>
      <c r="N6044" s="3" t="n"/>
      <c r="O6044" s="2" t="n"/>
      <c r="P6044" s="2" t="n"/>
    </row>
    <row r="6045">
      <c r="A6045" s="2" t="n">
        <v>6044</v>
      </c>
      <c r="B6045" s="2" t="inlineStr"/>
      <c r="C6045" s="2" t="n">
        <v>9390</v>
      </c>
      <c r="D6045" s="3" t="inlineStr">
        <is>
          <t>Измена</t>
        </is>
      </c>
      <c r="E6045" s="2" t="n">
        <v>1933</v>
      </c>
      <c r="F6045" s="2" t="inlineStr">
        <is>
          <t>кинофильм</t>
        </is>
      </c>
      <c r="G6045" s="2" t="n"/>
      <c r="H6045" s="2" t="n">
        <v>446</v>
      </c>
      <c r="I6045" s="2" t="inlineStr"/>
      <c r="J6045" s="2" t="inlineStr"/>
      <c r="K6045" s="3" t="inlineStr">
        <is>
          <t>Действие фильма происходит во время предполагаемой войны СССР с империалистическим врагом. В центре сюжета — борьба между любовью и долгом перед Родиной. Герой фильма, воспользовавшись ошибкой медиков, не идёт на фронт, а остаётся в тылу со своей любимой молодой женой.
Однако жена-патриотка осуждает мужа-дезертира и уходит от него. После душевных терзаний и угрызений совести герой фильма отправляется на фронт, чтобы искупить свою вину кровью.</t>
        </is>
      </c>
      <c r="L6045" s="2" t="inlineStr">
        <is>
          <t>https://ru.wikipedia.org/w/index.php?title=%D0%98%D0%B7%D0%BC%D0%B5%D0%BD%D0%B0_%28%D1%84%D0%B8%D0%BB%D1%8C%D0%BC%2C_1933%29&amp;oldid=151460765</t>
        </is>
      </c>
      <c r="M6045" s="2">
        <f>HYPERLINK("https://ru.wikipedia.org/w/index.php?search=%D0%98%D0%B7%D0%BC%D0%B5%D0%BD%D0%B0%201933%20%D1%84%D0%B8%D0%BB%D1%8C%D0%BC","искать")</f>
        <v/>
      </c>
      <c r="N6045" s="3" t="n"/>
      <c r="O6045" s="2" t="n"/>
      <c r="P6045" s="2" t="n"/>
    </row>
    <row r="6046">
      <c r="A6046" s="2" t="n">
        <v>6045</v>
      </c>
      <c r="B6046" s="2" t="inlineStr"/>
      <c r="C6046" s="2" t="n">
        <v>10557</v>
      </c>
      <c r="D6046" s="3" t="inlineStr">
        <is>
          <t>Два клена</t>
        </is>
      </c>
      <c r="E6046" s="2" t="n">
        <v>1974</v>
      </c>
      <c r="F6046" s="2" t="inlineStr">
        <is>
          <t>фильм-спектакль</t>
        </is>
      </c>
      <c r="G6046" s="2" t="inlineStr">
        <is>
          <t>Ленинградское Телевидение</t>
        </is>
      </c>
      <c r="H6046" s="2" t="n">
        <v>446</v>
      </c>
      <c r="I6046" s="2" t="inlineStr"/>
      <c r="J6046" s="2" t="inlineStr"/>
      <c r="K6046" s="3" t="inlineStr">
        <is>
          <t>Телеспектакль, музыкальная сказка по одноименной пьесе Евгения Шварца.
Жил-был волшебник. И решил он однажды рассказать детям сказку. Есть в этой сказке и Баба-Яга, и Василиса Прекрасная и другие сказочные персонажи. Баба-Яга, конечно, злая и коварная: забрала она детей у Василисы. И пришлось Василисе наняться к Бабе-Яге батрачить, чтобы детей своих спасти. Ни за что бы не справиться ей с противной Ягой, если бы не помощь кота, собаки и мишки</t>
        </is>
      </c>
      <c r="L6046" s="2" t="inlineStr">
        <is>
          <t>https://www.kino-teatr.ru/teatr/movie/1631/annot/</t>
        </is>
      </c>
      <c r="M6046" s="2">
        <f>HYPERLINK("https://ru.wikipedia.org/w/index.php?search=%D0%94%D0%B2%D0%B0%20%D0%BA%D0%BB%D0%B5%D0%BD%D0%B0%201974%20%D1%84%D0%B8%D0%BB%D1%8C%D0%BC","искать")</f>
        <v/>
      </c>
      <c r="N6046" s="3" t="n"/>
      <c r="O6046" s="2" t="n"/>
      <c r="P6046" s="2" t="n"/>
    </row>
    <row r="6047">
      <c r="A6047" s="2" t="n">
        <v>6046</v>
      </c>
      <c r="B6047" s="2" t="inlineStr"/>
      <c r="C6047" s="2" t="n">
        <v>10692</v>
      </c>
      <c r="D6047" s="3" t="inlineStr">
        <is>
          <t>Кто есть кто?</t>
        </is>
      </c>
      <c r="E6047" s="2" t="n">
        <v>1977</v>
      </c>
      <c r="F6047" s="2" t="inlineStr">
        <is>
          <t>фильм-спектакль</t>
        </is>
      </c>
      <c r="G6047" s="2" t="inlineStr">
        <is>
          <t>Главная редакция литературно-драматических программ ЦТ</t>
        </is>
      </c>
      <c r="H6047" s="2" t="n">
        <v>446</v>
      </c>
      <c r="I6047" s="2" t="inlineStr"/>
      <c r="J6047" s="2" t="inlineStr"/>
      <c r="K6047" s="3" t="inlineStr">
        <is>
          <t>В день 40-летия доктора наук, директора НИИ Андрея Андреевича Щукина к нему в дом приходит некто Щагин и заявляет, что Щукин - это он, и все заслуги настоящего Щукина по праву принадлежат ему, потому что в роддоме их перепутали. Он доказывает Андрею Андреевичу, что все его достижения не результат таланта и способностей, а заботы папы-академика. В конце концов выясняется, что Щагин нашел не того Щукина, поскольку они родились в разных городах.</t>
        </is>
      </c>
      <c r="L6047" s="2" t="inlineStr">
        <is>
          <t>https://www.kino-teatr.ru/teatr/movie/80862/annot/</t>
        </is>
      </c>
      <c r="M6047" s="2">
        <f>HYPERLINK("https://ru.wikipedia.org/w/index.php?search=%D0%9A%D1%82%D0%BE%20%D0%B5%D1%81%D1%82%D1%8C%20%D0%BA%D1%82%D0%BE%3F%201977%20%D1%84%D0%B8%D0%BB%D1%8C%D0%BC","искать")</f>
        <v/>
      </c>
      <c r="N6047" s="3" t="n"/>
      <c r="O6047" s="2" t="n"/>
      <c r="P6047" s="2" t="n"/>
    </row>
    <row r="6048">
      <c r="A6048" s="2" t="n">
        <v>6047</v>
      </c>
      <c r="B6048" s="2" t="inlineStr"/>
      <c r="C6048" s="2" t="n">
        <v>12372</v>
      </c>
      <c r="D6048" s="3" t="inlineStr">
        <is>
          <t>Журавлик (1970)</t>
        </is>
      </c>
      <c r="E6048" s="2" t="n">
        <v>1970</v>
      </c>
      <c r="F6048" s="2" t="inlineStr">
        <is>
          <t>мультфильм</t>
        </is>
      </c>
      <c r="G6048" s="2" t="inlineStr">
        <is>
          <t>КИЕВНАУЧФИЛЬМ</t>
        </is>
      </c>
      <c r="H6048" s="2" t="n">
        <v>446</v>
      </c>
      <c r="I6048" s="2" t="inlineStr"/>
      <c r="J6048" s="2" t="inlineStr"/>
      <c r="K6048" s="3" t="inlineStr">
        <is>
          <t>С наступлением осени стая журавлей улетает в Африку. Там маленький Журавлик с удивлением видит незнакомых птиц и зверей. Все ему нравится здесь. Самый большой интерес Журавлика вызывает Страус. Журавлик всюду ходит за ним по пятам. напрасно Журавлиха умоляет сынка вернуться в стаю. А надменный Страус хохочет над глупым чужим для всех Журавленком. И, наконец, поняв, что никому он здесь не нужен, Журавлик догоняет стаю и улетает с ней на Родину</t>
        </is>
      </c>
      <c r="L6048" s="2" t="inlineStr">
        <is>
          <t>https://gosfilmofond.ru/films/255149/</t>
        </is>
      </c>
      <c r="M6048" s="2">
        <f>HYPERLINK("https://ru.wikipedia.org/w/index.php?search=%D0%96%D1%83%D1%80%D0%B0%D0%B2%D0%BB%D0%B8%D0%BA%20%281970%29%201970%20%D1%84%D0%B8%D0%BB%D1%8C%D0%BC","искать")</f>
        <v/>
      </c>
      <c r="N6048" s="3" t="n"/>
      <c r="O6048" s="2" t="n"/>
      <c r="P6048" s="2" t="n"/>
    </row>
    <row r="6049">
      <c r="A6049" s="2" t="n">
        <v>6048</v>
      </c>
      <c r="B6049" s="2" t="inlineStr"/>
      <c r="C6049" s="2" t="n">
        <v>13174</v>
      </c>
      <c r="D6049" s="3" t="inlineStr">
        <is>
          <t>Девочка и звездочка</t>
        </is>
      </c>
      <c r="E6049" s="2" t="n">
        <v>1970</v>
      </c>
      <c r="F6049" s="2" t="inlineStr">
        <is>
          <t>мультфильм</t>
        </is>
      </c>
      <c r="G6049" s="2" t="inlineStr">
        <is>
          <t>УЗБЕКФИЛЬМ</t>
        </is>
      </c>
      <c r="H6049" s="2" t="n">
        <v>446</v>
      </c>
      <c r="I6049" s="2" t="inlineStr"/>
      <c r="J6049" s="2" t="inlineStr"/>
      <c r="K6049" s="3" t="inlineStr">
        <is>
          <t>Подружившись со Звездочкой маленькая Девочка совершает вместе с ней ночное путешествие, полное чудес и доброты. Они помогают больнлму мальчику, возвращая ему веру в свои силы, выпускают на свободу птичек, запертых в зоомагазине, и попадают на очаровательный бал цветов в парке. Когда с наступлением зари Звездочка исчезает, Девочка безутешно плачет. Но мать успокаивает ее. Она обещает Девочке, что с наступлением сумерек Звездочка вернется к ней</t>
        </is>
      </c>
      <c r="L6049" s="2" t="inlineStr">
        <is>
          <t>https://gosfilmofond.ru/films/247285/</t>
        </is>
      </c>
      <c r="M6049" s="2">
        <f>HYPERLINK("https://ru.wikipedia.org/w/index.php?search=%D0%94%D0%B5%D0%B2%D0%BE%D1%87%D0%BA%D0%B0%20%D0%B8%20%D0%B7%D0%B2%D0%B5%D0%B7%D0%B4%D0%BE%D1%87%D0%BA%D0%B0%201970%20%D1%84%D0%B8%D0%BB%D1%8C%D0%BC","искать")</f>
        <v/>
      </c>
      <c r="N6049" s="3" t="n"/>
      <c r="O6049" s="2" t="n"/>
      <c r="P6049" s="2" t="n"/>
    </row>
    <row r="6050">
      <c r="A6050" s="2" t="n">
        <v>6049</v>
      </c>
      <c r="B6050" s="2" t="inlineStr"/>
      <c r="C6050" s="2" t="n">
        <v>8501</v>
      </c>
      <c r="D6050" s="3" t="inlineStr">
        <is>
          <t>Умные вещи</t>
        </is>
      </c>
      <c r="E6050" s="2" t="n">
        <v>1973</v>
      </c>
      <c r="F6050" s="2" t="inlineStr">
        <is>
          <t>телефильм</t>
        </is>
      </c>
      <c r="G6050" s="2" t="n"/>
      <c r="H6050" s="2" t="n">
        <v>447</v>
      </c>
      <c r="I6050" s="2" t="inlineStr"/>
      <c r="J6050" s="2" t="inlineStr"/>
      <c r="K6050" s="3" t="inlineStr">
        <is>
          <t>На ярмарке в обычной лавке старик продает волшебные вещи: скатерть-самобранку, сапоги-скороходы, шапку-невидимку. Дудка-самогудка и волшебное зеркало понравились бедному музыканту, но денег у него не оказалось. Старик отдал ему эти вещи с условием, что он вернет их через год. Но не только музыканту понравились эти вещи: богач решил забрать их, обманув музыканта и отправив его в тюрьму. Но волшебные вещи не принесли богачу ни денег, ни счастья.</t>
        </is>
      </c>
      <c r="L6050" s="2" t="inlineStr">
        <is>
          <t>https://ru.wikipedia.org/w/index.php?title=%D0%A3%D0%BC%D0%BD%D1%8B%D0%B5_%D0%B2%D0%B5%D1%89%D0%B8&amp;oldid=149858050</t>
        </is>
      </c>
      <c r="M6050" s="2">
        <f>HYPERLINK("https://ru.wikipedia.org/w/index.php?search=%D0%A3%D0%BC%D0%BD%D1%8B%D0%B5%20%D0%B2%D0%B5%D1%89%D0%B8%201973%20%D1%84%D0%B8%D0%BB%D1%8C%D0%BC","искать")</f>
        <v/>
      </c>
      <c r="N6050" s="3" t="n"/>
      <c r="O6050" s="2" t="n"/>
      <c r="P6050" s="2" t="n"/>
    </row>
    <row r="6051">
      <c r="A6051" s="2" t="n">
        <v>6050</v>
      </c>
      <c r="B6051" s="2" t="inlineStr"/>
      <c r="C6051" s="2" t="n">
        <v>8000</v>
      </c>
      <c r="D6051" s="3" t="inlineStr">
        <is>
          <t>Никудышная</t>
        </is>
      </c>
      <c r="E6051" s="2" t="n">
        <v>1980</v>
      </c>
      <c r="F6051" s="2" t="inlineStr">
        <is>
          <t>телефильм</t>
        </is>
      </c>
      <c r="G6051" s="2" t="n"/>
      <c r="H6051" s="2" t="n">
        <v>448</v>
      </c>
      <c r="I6051" s="2" t="inlineStr"/>
      <c r="J6051" s="2" t="inlineStr"/>
      <c r="K6051" s="3" t="inlineStr">
        <is>
          <t>Девочка-подросток с неуравновешенной психикой не может найти взаимопонимание с окружающими — отчасти из-за своего заикания, отчасти из-за невнимания родителей, занятых собственными проблемами. Спасаясь от её агрессии, Аню отправляют в деревню, к родне отчима. Там она встречает старого человека, который принимает живое участие в судьбе девочки и способствует её нравственному перерождению.
Для фоновой музыки фильма использованы песни группы ABBA.</t>
        </is>
      </c>
      <c r="L6051" s="2" t="inlineStr">
        <is>
          <t>https://ru.wikipedia.org/w/index.php?title=%D0%9D%D0%B8%D0%BA%D1%83%D0%B4%D1%8B%D1%88%D0%BD%D0%B0%D1%8F&amp;oldid=142592184</t>
        </is>
      </c>
      <c r="M6051" s="2">
        <f>HYPERLINK("https://ru.wikipedia.org/w/index.php?search=%D0%9D%D0%B8%D0%BA%D1%83%D0%B4%D1%8B%D1%88%D0%BD%D0%B0%D1%8F%201980%20%D1%84%D0%B8%D0%BB%D1%8C%D0%BC","искать")</f>
        <v/>
      </c>
      <c r="N6051" s="3" t="n"/>
      <c r="O6051" s="2" t="n"/>
      <c r="P6051" s="2" t="n"/>
    </row>
    <row r="6052">
      <c r="A6052" s="2" t="n">
        <v>6051</v>
      </c>
      <c r="B6052" s="2" t="inlineStr"/>
      <c r="C6052" s="2" t="n">
        <v>11447</v>
      </c>
      <c r="D6052" s="3" t="inlineStr">
        <is>
          <t>Ну и рыжик</t>
        </is>
      </c>
      <c r="E6052" s="2" t="n">
        <v>1967</v>
      </c>
      <c r="F6052" s="2" t="inlineStr">
        <is>
          <t>мультфильм</t>
        </is>
      </c>
      <c r="G6052" s="2" t="inlineStr">
        <is>
          <t>Союзмультфильм</t>
        </is>
      </c>
      <c r="H6052" s="2" t="n">
        <v>448</v>
      </c>
      <c r="I6052" s="2" t="inlineStr"/>
      <c r="J6052" s="2" t="inlineStr"/>
      <c r="K6052" s="3" t="inlineStr">
        <is>
          <t>Бобик и Полкан мечтают о полете на Луну. Надменный Пудель соглашается их "тренировать". Щенок Рыжик тоже хочет тренироваться, но Пудель высмеивает его. Обиженный Рыжик вместе с цыплятами сооружает "ракету" из пустой бочки. Во время "тренировки" Бобик попадает в воду, а Пудель, струсив, не решается спасать его. Только Рыжик не растерялся: он опускает на воду ракету-бочку и спасает Бобика. Трусливый Пудель посрамлен, а Рыжик становится героем дня</t>
        </is>
      </c>
      <c r="L6052" s="2" t="inlineStr">
        <is>
          <t>https://gosfilmofond.ru/films/247265/</t>
        </is>
      </c>
      <c r="M6052" s="2">
        <f>HYPERLINK("https://ru.wikipedia.org/w/index.php?search=%D0%9D%D1%83%20%D0%B8%20%D1%80%D1%8B%D0%B6%D0%B8%D0%BA%201967%20%D1%84%D0%B8%D0%BB%D1%8C%D0%BC","искать")</f>
        <v/>
      </c>
      <c r="N6052" s="3" t="n"/>
      <c r="O6052" s="2" t="n"/>
      <c r="P6052" s="2" t="n"/>
    </row>
    <row r="6053">
      <c r="A6053" s="2" t="n">
        <v>6052</v>
      </c>
      <c r="B6053" s="2" t="inlineStr"/>
      <c r="C6053" s="2" t="n">
        <v>7744</v>
      </c>
      <c r="D6053" s="3" t="inlineStr">
        <is>
          <t>Комбаты</t>
        </is>
      </c>
      <c r="E6053" s="2" t="n">
        <v>1983</v>
      </c>
      <c r="F6053" s="2" t="inlineStr">
        <is>
          <t>телефильм</t>
        </is>
      </c>
      <c r="G6053" s="2" t="n"/>
      <c r="H6053" s="2" t="n">
        <v>449</v>
      </c>
      <c r="I6053" s="2" t="inlineStr"/>
      <c r="J6053" s="2" t="inlineStr"/>
      <c r="K6053" s="3" t="inlineStr">
        <is>
          <t>Телефильм. В одной воинской части служат друзья - командиры танковых батальонов, майоры Олег Седов, Владимир Лихачев, Иван Зверко. Во время учений Седов принимает рискованное решение прорваться через болото. Его батальону удается первым занять высоту, но батальон Лихачева отстает от первого батальона всего лишь на десять минут, но при этом Лихачев, как всегда сохраняет осторожность и не соглашается на рискованное предложение пройти через болото.</t>
        </is>
      </c>
      <c r="L6053" s="2" t="inlineStr">
        <is>
          <t>Кино_СССР сводный каталог.xlsx: список телефильмов</t>
        </is>
      </c>
      <c r="M6053" s="2">
        <f>HYPERLINK("https://ru.wikipedia.org/w/index.php?search=%D0%9A%D0%BE%D0%BC%D0%B1%D0%B0%D1%82%D1%8B%201983%20%D1%84%D0%B8%D0%BB%D1%8C%D0%BC","искать")</f>
        <v/>
      </c>
      <c r="N6053" s="3" t="n"/>
      <c r="O6053" s="2" t="n"/>
      <c r="P6053" s="2" t="n"/>
    </row>
    <row r="6054">
      <c r="A6054" s="2" t="n">
        <v>6053</v>
      </c>
      <c r="B6054" s="2" t="inlineStr"/>
      <c r="C6054" s="2" t="n">
        <v>8573</v>
      </c>
      <c r="D6054" s="3" t="inlineStr">
        <is>
          <t>Чужой случай</t>
        </is>
      </c>
      <c r="E6054" s="2" t="n">
        <v>1985</v>
      </c>
      <c r="F6054" s="2" t="inlineStr">
        <is>
          <t>телефильм</t>
        </is>
      </c>
      <c r="G6054" s="2" t="n"/>
      <c r="H6054" s="2" t="n">
        <v>449</v>
      </c>
      <c r="I6054" s="2" t="inlineStr"/>
      <c r="J6054" s="2" t="inlineStr"/>
      <c r="K6054" s="3" t="inlineStr">
        <is>
          <t>Школьница Стася во время зимних каникул приезжает в Ригу, чтобы найти своего отца, который оставил их с мамой два года назад. По стечению обстоятельств, накануне Нового года она попадает в дом к адвокату Эрику. Молодой человек решает помочь девочке, он находит её отца и понимает, что это совсем не такой замечательный человек, как представлялось Стасе. Эрика мучает сложный вопрос: вправе ли он разрушить детскую мечту о мужественном и добром папе.</t>
        </is>
      </c>
      <c r="L6054" s="2" t="inlineStr">
        <is>
          <t>https://ru.wikipedia.org/w/index.php?title=%D0%A7%D1%83%D0%B6%D0%BE%D0%B9_%D1%81%D0%BB%D1%83%D1%87%D0%B0%D0%B9&amp;oldid=149113040</t>
        </is>
      </c>
      <c r="M6054" s="2">
        <f>HYPERLINK("https://ru.wikipedia.org/w/index.php?search=%D0%A7%D1%83%D0%B6%D0%BE%D0%B9%20%D1%81%D0%BB%D1%83%D1%87%D0%B0%D0%B9%201985%20%D1%84%D0%B8%D0%BB%D1%8C%D0%BC","искать")</f>
        <v/>
      </c>
      <c r="N6054" s="3" t="n"/>
      <c r="O6054" s="2" t="n"/>
      <c r="P6054" s="2" t="n"/>
    </row>
    <row r="6055">
      <c r="A6055" s="2" t="n">
        <v>6054</v>
      </c>
      <c r="B6055" s="2" t="inlineStr"/>
      <c r="C6055" s="2" t="n">
        <v>9786</v>
      </c>
      <c r="D6055" s="3" t="inlineStr">
        <is>
          <t>Яма</t>
        </is>
      </c>
      <c r="E6055" s="2" t="n">
        <v>1990</v>
      </c>
      <c r="F6055" s="2" t="inlineStr">
        <is>
          <t>кинофильм</t>
        </is>
      </c>
      <c r="G6055" s="2" t="n"/>
      <c r="H6055" s="2" t="n">
        <v>449</v>
      </c>
      <c r="I6055" s="2" t="inlineStr"/>
      <c r="J6055" s="2" t="inlineStr"/>
      <c r="K6055" s="3" t="inlineStr">
        <is>
          <t>Провинциальный город. Три месяца из жизни публичного дома. Его обитательницы — проститутки Люба, Тамара, Женя, Манька-большая и Манька-маленькая — вынуждены продавать себя. Посетители борделя составляют все слои общества: мелкие воришки и убийцы, педагоги и гимназисты, торговцы и чиновники. Адвокат Лихонин решает спасти Любу, одну из обитательниц борделя. Эмма Эдуардовна и Тамара делят власть в публичном доме, на стороне Тамары несколько мужчин.</t>
        </is>
      </c>
      <c r="L6055" s="2" t="inlineStr">
        <is>
          <t>https://ru.wikipedia.org/w/index.php?title=%D0%AF%D0%BC%D0%B0_%28%D1%84%D0%B8%D0%BB%D1%8C%D0%BC%2C_1990%29&amp;oldid=154076750</t>
        </is>
      </c>
      <c r="M6055" s="2">
        <f>HYPERLINK("https://ru.wikipedia.org/w/index.php?search=%D0%AF%D0%BC%D0%B0%201990%20%D1%84%D0%B8%D0%BB%D1%8C%D0%BC","искать")</f>
        <v/>
      </c>
      <c r="N6055" s="3" t="n"/>
      <c r="O6055" s="2" t="n"/>
      <c r="P6055" s="2" t="n"/>
    </row>
    <row r="6056">
      <c r="A6056" s="2" t="n">
        <v>6055</v>
      </c>
      <c r="B6056" s="2" t="inlineStr"/>
      <c r="C6056" s="2" t="n">
        <v>11182</v>
      </c>
      <c r="D6056" s="3" t="inlineStr">
        <is>
          <t>Победительница</t>
        </is>
      </c>
      <c r="E6056" s="2" t="n">
        <v>1987</v>
      </c>
      <c r="F6056" s="2" t="inlineStr">
        <is>
          <t>фильм-спектакль</t>
        </is>
      </c>
      <c r="G6056" s="2" t="inlineStr">
        <is>
          <t>Рижская киностудия</t>
        </is>
      </c>
      <c r="H6056" s="2" t="n">
        <v>449</v>
      </c>
      <c r="I6056" s="2" t="inlineStr"/>
      <c r="J6056" s="2" t="inlineStr"/>
      <c r="K6056" s="3" t="inlineStr">
        <is>
          <t>По одноименной пьесе Алексея Арбузова в постановке Государственного театра юного зрителя Латвийской ССР.
День сорокалетия Майи Александровны Алейниковой стал для нее днем подведения итогов. Вглядываясь в прошлое, она понимает, что прожила жизнь, в которой все было подчинено одной цели - любой ценой добиться высокого общественного положения. Перед судом своей собственной совести она осознает, что все победы обернулись в конечном счете поражением.</t>
        </is>
      </c>
      <c r="L6056" s="2" t="inlineStr">
        <is>
          <t>https://www.kino-teatr.ru/teatr/movie/81144/annot/</t>
        </is>
      </c>
      <c r="M6056" s="2">
        <f>HYPERLINK("https://ru.wikipedia.org/w/index.php?search=%D0%9F%D0%BE%D0%B1%D0%B5%D0%B4%D0%B8%D1%82%D0%B5%D0%BB%D1%8C%D0%BD%D0%B8%D1%86%D0%B0%201987%20%D1%84%D0%B8%D0%BB%D1%8C%D0%BC","искать")</f>
        <v/>
      </c>
      <c r="N6056" s="3" t="n"/>
      <c r="O6056" s="2" t="n"/>
      <c r="P6056" s="2" t="n"/>
    </row>
    <row r="6057">
      <c r="A6057" s="2" t="n">
        <v>6056</v>
      </c>
      <c r="B6057" s="2" t="inlineStr"/>
      <c r="C6057" s="2" t="n">
        <v>10649</v>
      </c>
      <c r="D6057" s="3" t="inlineStr">
        <is>
          <t>Как король хотел достать луну и что из этого получилось</t>
        </is>
      </c>
      <c r="E6057" s="2" t="n">
        <v>1976</v>
      </c>
      <c r="F6057" s="2" t="inlineStr">
        <is>
          <t>фильм-спектакль</t>
        </is>
      </c>
      <c r="G6057" s="2" t="inlineStr">
        <is>
          <t>Эстонской телевидение</t>
        </is>
      </c>
      <c r="H6057" s="2" t="n">
        <v>450</v>
      </c>
      <c r="I6057" s="2" t="inlineStr"/>
      <c r="J6057" s="2" t="inlineStr"/>
      <c r="K6057" s="3" t="inlineStr">
        <is>
          <t>В королевстве был глупый король, он хочет на Луну. Король так сильно хочет этого, и для этого он приглашает к себе майора, который, в свою очередь, просит плотника построить башню с винтовой лестницей, ведущей на Луну. Молитва короля не из легких, и поэтому он обращается к кузнецу, который решает отправить короля на Луну с пушечным ядром! Однако эта идея не совсем хороша, и находчивая компания строит башню из ящиков, которая может достигать Луны.</t>
        </is>
      </c>
      <c r="L6057" s="2" t="inlineStr">
        <is>
          <t>https://www.kino-teatr.ru/teatr/movie/86551/annot/</t>
        </is>
      </c>
      <c r="M6057" s="2">
        <f>HYPERLINK("https://ru.wikipedia.org/w/index.php?search=%D0%9A%D0%B0%D0%BA%20%D0%BA%D0%BE%D1%80%D0%BE%D0%BB%D1%8C%20%D1%85%D0%BE%D1%82%D0%B5%D0%BB%20%D0%B4%D0%BE%D1%81%D1%82%D0%B0%D1%82%D1%8C%20%D0%BB%D1%83%D0%BD%D1%83%20%D0%B8%20%D1%87%D1%82%D0%BE%20%D0%B8%D0%B7%20%D1%8D%D1%82%D0%BE%D0%B3%D0%BE%20%D0%BF%D0%BE%D0%BB%D1%83%D1%87%D0%B8%D0%BB%D0%BE%D1%81%D1%8C%201976%20%D1%84%D0%B8%D0%BB%D1%8C%D0%BC","искать")</f>
        <v/>
      </c>
      <c r="N6057" s="3" t="n"/>
      <c r="O6057" s="2" t="n"/>
      <c r="P6057" s="2" t="n"/>
    </row>
    <row r="6058">
      <c r="A6058" s="2" t="n">
        <v>6057</v>
      </c>
      <c r="B6058" s="2" t="inlineStr"/>
      <c r="C6058" s="2" t="n">
        <v>7949</v>
      </c>
      <c r="D6058" s="3" t="inlineStr">
        <is>
          <t>Нарвский водопад</t>
        </is>
      </c>
      <c r="E6058" s="2" t="n">
        <v>1988</v>
      </c>
      <c r="F6058" s="2" t="inlineStr">
        <is>
          <t>телефильм</t>
        </is>
      </c>
      <c r="G6058" s="2" t="n"/>
      <c r="H6058" s="2" t="n">
        <v>451</v>
      </c>
      <c r="I6058" s="2" t="inlineStr"/>
      <c r="J6058" s="2" t="inlineStr"/>
      <c r="K6058" s="3" t="inlineStr">
        <is>
          <t>Фильм снят по мотивам одноименного романа эстонского писателя Владимира Бээкмана (1929-2009). Главная героиня фильма Сийна вспоминает свою молодость и первую любовь, которая совпала с трагическими событиями в Эстонии, в первый год ее независимости после распада Российской империи. Рассказ разворачивается на фоне исторического и политического острого периода 1918 года после заключения Брестского мирного договора между Советской Россией и Германией.</t>
        </is>
      </c>
      <c r="L6058" s="2" t="inlineStr">
        <is>
          <t>Кино_СССР сводный каталог.xlsx: список телефильмов</t>
        </is>
      </c>
      <c r="M6058" s="2">
        <f>HYPERLINK("https://ru.wikipedia.org/w/index.php?search=%D0%9D%D0%B0%D1%80%D0%B2%D1%81%D0%BA%D0%B8%D0%B9%20%D0%B2%D0%BE%D0%B4%D0%BE%D0%BF%D0%B0%D0%B4%201988%20%D1%84%D0%B8%D0%BB%D1%8C%D0%BC","искать")</f>
        <v/>
      </c>
      <c r="N6058" s="3" t="n"/>
      <c r="O6058" s="2" t="n"/>
      <c r="P6058" s="2" t="n"/>
    </row>
    <row r="6059">
      <c r="A6059" s="2" t="n">
        <v>6058</v>
      </c>
      <c r="B6059" s="2" t="inlineStr"/>
      <c r="C6059" s="2" t="n">
        <v>11474</v>
      </c>
      <c r="D6059" s="3" t="inlineStr">
        <is>
          <t>Клубок</t>
        </is>
      </c>
      <c r="E6059" s="2" t="n">
        <v>1968</v>
      </c>
      <c r="F6059" s="2" t="inlineStr">
        <is>
          <t>мультфильм</t>
        </is>
      </c>
      <c r="G6059" s="2" t="inlineStr">
        <is>
          <t>Союзмультфильм</t>
        </is>
      </c>
      <c r="H6059" s="2" t="n">
        <v>451</v>
      </c>
      <c r="I6059" s="2" t="inlineStr"/>
      <c r="J6059" s="2" t="inlineStr"/>
      <c r="K6059" s="3" t="inlineStr">
        <is>
          <t>Для взрослых. По сказке Овсея Дриза. Получила как-то бедная старушка волшебный клубок - все из него связать можно. Связала себе новую одежду, уютный домик. Но показалось ей мало, все больше и больше вещей тянула Старушка из клубка, а потом захотела связать себе молодое лицо, другую жизнь. Тут и кончилась волшебная сила клубка, покатился он в поле, сматывая нить, распуская неправедное богатство, да и самое Старушку тоже. Погубила бедняжку жадность.</t>
        </is>
      </c>
      <c r="L6059" s="2" t="inlineStr">
        <is>
          <t>https://animator.ru/db/?p=show_film&amp;fid=2245</t>
        </is>
      </c>
      <c r="M6059" s="2">
        <f>HYPERLINK("https://ru.wikipedia.org/w/index.php?search=%D0%9A%D0%BB%D1%83%D0%B1%D0%BE%D0%BA%201968%20%D1%84%D0%B8%D0%BB%D1%8C%D0%BC","искать")</f>
        <v/>
      </c>
      <c r="N6059" s="3" t="n"/>
      <c r="O6059" s="2" t="n"/>
      <c r="P6059" s="2" t="n"/>
    </row>
    <row r="6060">
      <c r="A6060" s="2" t="n">
        <v>6059</v>
      </c>
      <c r="B6060" s="2" t="inlineStr"/>
      <c r="C6060" s="2" t="n">
        <v>10102</v>
      </c>
      <c r="D6060" s="3" t="inlineStr">
        <is>
          <t>Седьмой спутник</t>
        </is>
      </c>
      <c r="E6060" s="2" t="n">
        <v>1962</v>
      </c>
      <c r="F6060" s="2" t="inlineStr">
        <is>
          <t>фильм-спектакль</t>
        </is>
      </c>
      <c r="G6060" s="2" t="inlineStr">
        <is>
          <t>Гл. ред. лит.-драм. программ</t>
        </is>
      </c>
      <c r="H6060" s="2" t="n">
        <v>452</v>
      </c>
      <c r="I6060" s="2" t="inlineStr"/>
      <c r="J6060" s="2" t="inlineStr"/>
      <c r="K6060" s="3" t="inlineStr">
        <is>
          <t>По одноименной повести Б.Лавренева.
Передовой русский интеллигент Евгений Павлович Адамов еще в 1905 году, будучи военным прокурором Севастополя, отказался поддерживать обвинение в суде против революционеров. Однако в первые месяцы советской власти он не до конца принял революцию и находился в роли пассивного наблюдателя. Осознав свой долг перед народом, Адамов сражается против контрреволюции и погибает в рядах защитников революционного Петрограда.</t>
        </is>
      </c>
      <c r="L6060" s="2" t="inlineStr">
        <is>
          <t>https://www.kino-teatr.ru/teatr/movie/80895/annot/</t>
        </is>
      </c>
      <c r="M6060" s="2">
        <f>HYPERLINK("https://ru.wikipedia.org/w/index.php?search=%D0%A1%D0%B5%D0%B4%D1%8C%D0%BC%D0%BE%D0%B9%20%D1%81%D0%BF%D1%83%D1%82%D0%BD%D0%B8%D0%BA%201962%20%D1%84%D0%B8%D0%BB%D1%8C%D0%BC","искать")</f>
        <v/>
      </c>
      <c r="N6060" s="3" t="n"/>
      <c r="O6060" s="2" t="n"/>
      <c r="P6060" s="2" t="n"/>
    </row>
    <row r="6061">
      <c r="A6061" s="2" t="n">
        <v>6060</v>
      </c>
      <c r="B6061" s="2" t="inlineStr"/>
      <c r="C6061" s="2" t="n">
        <v>13194</v>
      </c>
      <c r="D6061" s="3" t="inlineStr">
        <is>
          <t>Про мишку, которого не ждали</t>
        </is>
      </c>
      <c r="E6061" s="2" t="n">
        <v>1970</v>
      </c>
      <c r="F6061" s="2" t="inlineStr">
        <is>
          <t>мультфильм</t>
        </is>
      </c>
      <c r="G6061" s="2" t="inlineStr">
        <is>
          <t>УЗБЕКФИЛЬМ</t>
        </is>
      </c>
      <c r="H6061" s="2" t="n">
        <v>452</v>
      </c>
      <c r="I6061" s="2" t="inlineStr"/>
      <c r="J6061" s="2" t="inlineStr"/>
      <c r="K6061" s="3" t="inlineStr">
        <is>
          <t>По мотивам одноименной сказки В.Колина. Бурый медвежонок Мишка летит из жаркой Африки в родные лесные края. Снежная пурга заносит его вертолет на Южный полюс. Здешние звери - моржи, белые медведи - смеются над Мишкой: он кажется им грязным и гадким. И только когда Мишка спасает от акулы белого медвежонка, к нему начинают относиться иначе: какая разница, бурый он или белый. И уже как друга провожают Мищку на родину моржи, и белые медведи, и пингвины</t>
        </is>
      </c>
      <c r="L6061" s="2" t="inlineStr">
        <is>
          <t>https://gosfilmofond.ru/films/255172/</t>
        </is>
      </c>
      <c r="M6061" s="2">
        <f>HYPERLINK("https://ru.wikipedia.org/w/index.php?search=%D0%9F%D1%80%D0%BE%20%D0%BC%D0%B8%D1%88%D0%BA%D1%83%2C%20%D0%BA%D0%BE%D1%82%D0%BE%D1%80%D0%BE%D0%B3%D0%BE%20%D0%BD%D0%B5%20%D0%B6%D0%B4%D0%B0%D0%BB%D0%B8%201970%20%D1%84%D0%B8%D0%BB%D1%8C%D0%BC","искать")</f>
        <v/>
      </c>
      <c r="N6061" s="3" t="n"/>
      <c r="O6061" s="2" t="n"/>
      <c r="P6061" s="2" t="n"/>
    </row>
    <row r="6062">
      <c r="A6062" s="2" t="n">
        <v>6061</v>
      </c>
      <c r="B6062" s="2" t="inlineStr"/>
      <c r="C6062" s="2" t="n">
        <v>10602</v>
      </c>
      <c r="D6062" s="3" t="inlineStr">
        <is>
          <t>Возвращение</t>
        </is>
      </c>
      <c r="E6062" s="2" t="n">
        <v>1975</v>
      </c>
      <c r="F6062" s="2" t="inlineStr">
        <is>
          <t>фильм-спектакль</t>
        </is>
      </c>
      <c r="G6062" s="2" t="n"/>
      <c r="H6062" s="2" t="n">
        <v>453</v>
      </c>
      <c r="I6062" s="2" t="inlineStr"/>
      <c r="J6062" s="2" t="inlineStr"/>
      <c r="K6062" s="3" t="inlineStr">
        <is>
          <t>Спектакль по повести И.С.Тургенева "Два приятеля".
О двух приятелях, живущих в одной из губерний средней полосы России. Петр Васильич решает женить своего молодого друга Бориса Андреича. Они посещают с визитом одну вдовушку, двух сестер-барышень на выданье и семейство Барсуковых, состоящее из отца и дочери Верочки 19 лет от роду. Вскоре Борис Андреич женится на Верочке, но через некоторое время, заскучав, уезжает за границу, где и погибает на дуэли.</t>
        </is>
      </c>
      <c r="L6062" s="2" t="inlineStr">
        <is>
          <t>https://www.kino-teatr.ru/teatr/movie/15842/annot/</t>
        </is>
      </c>
      <c r="M6062" s="2">
        <f>HYPERLINK("https://ru.wikipedia.org/w/index.php?search=%D0%92%D0%BE%D0%B7%D0%B2%D1%80%D0%B0%D1%89%D0%B5%D0%BD%D0%B8%D0%B5%201975%20%D1%84%D0%B8%D0%BB%D1%8C%D0%BC","искать")</f>
        <v/>
      </c>
      <c r="N6062" s="3" t="n"/>
      <c r="O6062" s="2" t="n"/>
      <c r="P6062" s="2" t="n"/>
    </row>
    <row r="6063">
      <c r="A6063" s="2" t="n">
        <v>6062</v>
      </c>
      <c r="B6063" s="2" t="inlineStr"/>
      <c r="C6063" s="2" t="n">
        <v>10621</v>
      </c>
      <c r="D6063" s="3" t="inlineStr">
        <is>
          <t>Продавец дождя</t>
        </is>
      </c>
      <c r="E6063" s="2" t="n">
        <v>1975</v>
      </c>
      <c r="F6063" s="2" t="inlineStr">
        <is>
          <t>фильм-спектакль</t>
        </is>
      </c>
      <c r="G6063" s="2" t="inlineStr">
        <is>
          <t>Экран (Останкино)</t>
        </is>
      </c>
      <c r="H6063" s="2" t="n">
        <v>453</v>
      </c>
      <c r="I6063" s="2" t="inlineStr"/>
      <c r="J6063" s="2" t="inlineStr"/>
      <c r="K6063" s="3" t="inlineStr">
        <is>
          <t>По пьесе Ричарда Нэша.
В основе - спектакль Московского драматического театра им. Станиславского (постановщик Л.Варпаховский).
Бил Старбак возрождает в людях утраченные надежды. Он приходит к ним в пору засухи и продает дождь, то есть обещание вызвать дождь. Он ставит одно условие - надо верить в чудо. Бил заставляет Лиззи, дочь фермера, поверить в то, что она достойна любви. Дождь действительно пошел, а любимый мужчина Лиззи ответил ей взаимностью.</t>
        </is>
      </c>
      <c r="L6063" s="2" t="inlineStr">
        <is>
          <t>https://www.kino-teatr.ru/teatr/movie/5737/annot/</t>
        </is>
      </c>
      <c r="M6063" s="2">
        <f>HYPERLINK("https://ru.wikipedia.org/w/index.php?search=%D0%9F%D1%80%D0%BE%D0%B4%D0%B0%D0%B2%D0%B5%D1%86%20%D0%B4%D0%BE%D0%B6%D0%B4%D1%8F%201975%20%D1%84%D0%B8%D0%BB%D1%8C%D0%BC","искать")</f>
        <v/>
      </c>
      <c r="N6063" s="3" t="n"/>
      <c r="O6063" s="2" t="n"/>
      <c r="P6063" s="2" t="n"/>
    </row>
    <row r="6064">
      <c r="A6064" s="2" t="n">
        <v>6063</v>
      </c>
      <c r="B6064" s="2" t="inlineStr"/>
      <c r="C6064" s="2" t="n">
        <v>10699</v>
      </c>
      <c r="D6064" s="3" t="inlineStr">
        <is>
          <t>Мещанин во дворянстве</t>
        </is>
      </c>
      <c r="E6064" s="2" t="n">
        <v>1977</v>
      </c>
      <c r="F6064" s="2" t="inlineStr">
        <is>
          <t>фильм-спектакль</t>
        </is>
      </c>
      <c r="G6064" s="2" t="inlineStr">
        <is>
          <t>Гостелерадио</t>
        </is>
      </c>
      <c r="H6064" s="2" t="n">
        <v>453</v>
      </c>
      <c r="I6064" s="2" t="inlineStr"/>
      <c r="J6064" s="2" t="inlineStr"/>
      <c r="K6064" s="3" t="inlineStr">
        <is>
          <t>Запись спектакля Театра им. Евг. Вахтангова по пьесе Ж.-Б. Мольера.
Мещанин во дворянстве - блестящая, искрометная комедия классика французской литературы Жана Батиста Мольера. Попытки необразованного, невежественного, неотесанного мужлана с большими деньгами выглядеть как благородный дворянин не могут не вызывать смех. Главный герой то и дело попадает в нелепые ситуации, а окружающие не упускают возможности воспользоваться его манией себе во благо.</t>
        </is>
      </c>
      <c r="L6064" s="2" t="inlineStr">
        <is>
          <t>https://www.kino-teatr.ru/teatr/movie/80186/annot/</t>
        </is>
      </c>
      <c r="M6064" s="2">
        <f>HYPERLINK("https://ru.wikipedia.org/w/index.php?search=%D0%9C%D0%B5%D1%89%D0%B0%D0%BD%D0%B8%D0%BD%20%D0%B2%D0%BE%20%D0%B4%D0%B2%D0%BE%D1%80%D1%8F%D0%BD%D1%81%D1%82%D0%B2%D0%B5%201977%20%D1%84%D0%B8%D0%BB%D1%8C%D0%BC","искать")</f>
        <v/>
      </c>
      <c r="N6064" s="3" t="n"/>
      <c r="O6064" s="2" t="n"/>
      <c r="P6064" s="2" t="n"/>
    </row>
    <row r="6065">
      <c r="A6065" s="2" t="n">
        <v>6064</v>
      </c>
      <c r="B6065" s="2" t="inlineStr"/>
      <c r="C6065" s="2" t="n">
        <v>11163</v>
      </c>
      <c r="D6065" s="3" t="inlineStr">
        <is>
          <t>Костюмер</t>
        </is>
      </c>
      <c r="E6065" s="2" t="n">
        <v>1987</v>
      </c>
      <c r="F6065" s="2" t="inlineStr">
        <is>
          <t>фильм-спектакль</t>
        </is>
      </c>
      <c r="G6065" s="2" t="inlineStr">
        <is>
          <t>Главная редакция литературно-драматических программ ЦТ</t>
        </is>
      </c>
      <c r="H6065" s="2" t="n">
        <v>453</v>
      </c>
      <c r="I6065" s="2" t="inlineStr"/>
      <c r="J6065" s="2" t="inlineStr"/>
      <c r="K6065" s="3" t="inlineStr">
        <is>
          <t>По одноименной пьесе Р.Харвуда в постановке Московского театра имени М.Н.Ермоловой.
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t>
        </is>
      </c>
      <c r="L6065" s="2" t="inlineStr">
        <is>
          <t>https://www.kino-teatr.ru/teatr/movie/15080/annot/</t>
        </is>
      </c>
      <c r="M6065" s="2">
        <f>HYPERLINK("https://ru.wikipedia.org/w/index.php?search=%D0%9A%D0%BE%D1%81%D1%82%D1%8E%D0%BC%D0%B5%D1%80%201987%20%D1%84%D0%B8%D0%BB%D1%8C%D0%BC","искать")</f>
        <v/>
      </c>
      <c r="N6065" s="3" t="n"/>
      <c r="O6065" s="2" t="n"/>
      <c r="P6065" s="2" t="n"/>
    </row>
    <row r="6066">
      <c r="A6066" s="2" t="n">
        <v>6065</v>
      </c>
      <c r="B6066" s="2" t="inlineStr"/>
      <c r="C6066" s="2" t="n">
        <v>12470</v>
      </c>
      <c r="D6066" s="3" t="inlineStr">
        <is>
          <t>Недобаюканная</t>
        </is>
      </c>
      <c r="E6066" s="2" t="n">
        <v>1989</v>
      </c>
      <c r="F6066" s="2" t="inlineStr">
        <is>
          <t>мультфильм</t>
        </is>
      </c>
      <c r="G6066" s="2" t="inlineStr">
        <is>
          <t>КИЕВНАУЧФИЛЬМ</t>
        </is>
      </c>
      <c r="H6066" s="2" t="n">
        <v>453</v>
      </c>
      <c r="I6066" s="2" t="inlineStr"/>
      <c r="J6066" s="2" t="inlineStr"/>
      <c r="K6066" s="3" t="inlineStr">
        <is>
          <t>Маруся сварливая и вредная, поэтому и долго замуж не выходила. Наконец посватался к ней человек, вышла она замуж. Но недолго они счастливо с мужем прожили, начала она ругаться да мужа обижать. Подумал муж да и понял, отчего Маруся такая злая да несговорчивая: недобаюканная она. Смастерил он большую колыбель, посадил туда Марусю, да начал баюкать. Колыбель он раскачивал пока не взмолилась Маруся и не пообещала, что не станет она больше мужа изводить.</t>
        </is>
      </c>
      <c r="L6066" s="2" t="inlineStr">
        <is>
          <t>2026-10_мультфильмы_список_владельца.xlsx; https://animator.ru/db/?p=show_film&amp;fid=3642</t>
        </is>
      </c>
      <c r="M6066" s="2">
        <f>HYPERLINK("https://ru.wikipedia.org/w/index.php?search=%D0%9D%D0%B5%D0%B4%D0%BE%D0%B1%D0%B0%D1%8E%D0%BA%D0%B0%D0%BD%D0%BD%D0%B0%D1%8F%201989%20%D1%84%D0%B8%D0%BB%D1%8C%D0%BC","искать")</f>
        <v/>
      </c>
      <c r="N6066" s="3" t="n"/>
      <c r="O6066" s="2" t="n"/>
      <c r="P6066" s="2" t="n"/>
    </row>
    <row r="6067">
      <c r="A6067" s="2" t="n">
        <v>6066</v>
      </c>
      <c r="B6067" s="2" t="inlineStr"/>
      <c r="C6067" s="2" t="n">
        <v>7314</v>
      </c>
      <c r="D6067" s="3" t="inlineStr">
        <is>
          <t>Ваши права?</t>
        </is>
      </c>
      <c r="E6067" s="2" t="n">
        <v>1974</v>
      </c>
      <c r="F6067" s="2" t="inlineStr">
        <is>
          <t>телефильм</t>
        </is>
      </c>
      <c r="G6067" s="2" t="n"/>
      <c r="H6067" s="2" t="n">
        <v>454</v>
      </c>
      <c r="I6067" s="2" t="inlineStr"/>
      <c r="J6067" s="2" t="inlineStr"/>
      <c r="K6067" s="3" t="inlineStr">
        <is>
          <t>Четверо подростков с одного двора находятся под влиянием их старшего приятеля Андрея Прудникова, который недавно научился водить автомобиль, но ещё не имеет водительских прав. Друзья отправляются в загородную поездку, используя при этом чужой автомобиль — ВАЗ-2103. Путешествуя по Подмосковью, друзья совершают немало противоправных действий. Через некоторое время они убеждаются в цинизме и трусости своего лидера и решаются освободиться от его влияния.</t>
        </is>
      </c>
      <c r="L6067" s="2" t="inlineStr">
        <is>
          <t>https://ru.wikipedia.org/w/index.php?title=%D0%92%D0%B0%D1%88%D0%B8_%D0%BF%D1%80%D0%B0%D0%B2%D0%B0%3F&amp;oldid=152716438</t>
        </is>
      </c>
      <c r="M6067" s="2">
        <f>HYPERLINK("https://ru.wikipedia.org/w/index.php?search=%D0%92%D0%B0%D1%88%D0%B8%20%D0%BF%D1%80%D0%B0%D0%B2%D0%B0%3F%201974%20%D1%84%D0%B8%D0%BB%D1%8C%D0%BC","искать")</f>
        <v/>
      </c>
      <c r="N6067" s="3" t="n"/>
      <c r="O6067" s="2" t="n"/>
      <c r="P6067" s="2" t="n"/>
    </row>
    <row r="6068">
      <c r="A6068" s="2" t="n">
        <v>6067</v>
      </c>
      <c r="B6068" s="2" t="inlineStr"/>
      <c r="C6068" s="2" t="n">
        <v>8148</v>
      </c>
      <c r="D6068" s="3" t="inlineStr">
        <is>
          <t>Поздний ребёнок</t>
        </is>
      </c>
      <c r="E6068" s="2" t="n">
        <v>1970</v>
      </c>
      <c r="F6068" s="2" t="inlineStr">
        <is>
          <t>телефильм</t>
        </is>
      </c>
      <c r="G6068" s="2" t="inlineStr">
        <is>
          <t>к/с им. Довженко</t>
        </is>
      </c>
      <c r="H6068" s="2" t="n">
        <v>454</v>
      </c>
      <c r="I6068" s="2" t="inlineStr"/>
      <c r="J6068" s="2" t="inlineStr"/>
      <c r="K6068" s="3" t="inlineStr">
        <is>
          <t>Телефильм. Автор повести "Поздний ребенок"(1968) - Анатолий Алексин. Рассказ ведется от имени мальчика Лёни - позднего ребенка. Счастливая семья, где второго ребенка ждали 16 лет. "Ранние дети появляются быстро, сами собой, как отметки в дневнике, если ты пошел в школу". Сестра Лёни, архитектор Людмила, собралась со своим женихом Иваном в командировку на полгода, а с отцом (Василий Меркурьев), этим неунывающим весельчаком, балагуром случился инфаркт.</t>
        </is>
      </c>
      <c r="L6068" s="2" t="inlineStr">
        <is>
          <t>Кино_СССР сводный каталог.xlsx: список телефильмов</t>
        </is>
      </c>
      <c r="M6068" s="2">
        <f>HYPERLINK("https://ru.wikipedia.org/w/index.php?search=%D0%9F%D0%BE%D0%B7%D0%B4%D0%BD%D0%B8%D0%B9%20%D1%80%D0%B5%D0%B1%D1%91%D0%BD%D0%BE%D0%BA%201970%20%D1%84%D0%B8%D0%BB%D1%8C%D0%BC","искать")</f>
        <v/>
      </c>
      <c r="N6068" s="3" t="n"/>
      <c r="O6068" s="2" t="n"/>
      <c r="P6068" s="2" t="n"/>
    </row>
    <row r="6069">
      <c r="A6069" s="2" t="n">
        <v>6068</v>
      </c>
      <c r="B6069" s="2" t="inlineStr"/>
      <c r="C6069" s="2" t="n">
        <v>10875</v>
      </c>
      <c r="D6069" s="3" t="inlineStr">
        <is>
          <t>Безобразная Эльза</t>
        </is>
      </c>
      <c r="E6069" s="2" t="n">
        <v>1981</v>
      </c>
      <c r="F6069" s="2" t="inlineStr">
        <is>
          <t>фильм-спектакль</t>
        </is>
      </c>
      <c r="G6069" s="2" t="inlineStr">
        <is>
          <t>Центральное телевидение</t>
        </is>
      </c>
      <c r="H6069" s="2" t="n">
        <v>454</v>
      </c>
      <c r="I6069" s="2" t="inlineStr"/>
      <c r="J6069" s="2" t="inlineStr"/>
      <c r="K6069" s="3" t="inlineStr">
        <is>
          <t>По пьесе финского драматурга Энсио Рислакки.
Постановка Московского театра им. Моссовета.
У профессорской вдовы Виви Кассель - три дочери: хорошенькие Ирма и Паула и малопривлекательная, но умная, острая на язык Эльза, которую унижает снисходительное отношение сестер и матери. Она решает доказать, что быть женщиной гораздо проще, чем личностью. Посетив косметический салон, она влюбляет в себя не только женихов сестер, но и претендента на руку матери.</t>
        </is>
      </c>
      <c r="L6069" s="2" t="inlineStr">
        <is>
          <t>https://www.kino-teatr.ru/teatr/movie/448/annot/</t>
        </is>
      </c>
      <c r="M6069" s="2">
        <f>HYPERLINK("https://ru.wikipedia.org/w/index.php?search=%D0%91%D0%B5%D0%B7%D0%BE%D0%B1%D1%80%D0%B0%D0%B7%D0%BD%D0%B0%D1%8F%20%D0%AD%D0%BB%D1%8C%D0%B7%D0%B0%201981%20%D1%84%D0%B8%D0%BB%D1%8C%D0%BC","искать")</f>
        <v/>
      </c>
      <c r="N6069" s="3" t="n"/>
      <c r="O6069" s="2" t="n"/>
      <c r="P6069" s="2" t="n"/>
    </row>
    <row r="6070">
      <c r="A6070" s="2" t="n">
        <v>6069</v>
      </c>
      <c r="B6070" s="2" t="inlineStr"/>
      <c r="C6070" s="2" t="n">
        <v>11463</v>
      </c>
      <c r="D6070" s="3" t="inlineStr">
        <is>
          <t>Слонёнок (1967)</t>
        </is>
      </c>
      <c r="E6070" s="2" t="n">
        <v>1967</v>
      </c>
      <c r="F6070" s="2" t="inlineStr">
        <is>
          <t>мультфильм</t>
        </is>
      </c>
      <c r="G6070" s="2" t="inlineStr">
        <is>
          <t>Союзмультфильм</t>
        </is>
      </c>
      <c r="H6070" s="2" t="n">
        <v>454</v>
      </c>
      <c r="I6070" s="2" t="inlineStr"/>
      <c r="J6070" s="2" t="inlineStr"/>
      <c r="K6070" s="3" t="inlineStr">
        <is>
          <t>По одноименной сказке Редиарда Киплинга. Давным-давно у слонов хобота не было, а был только нос. Однажды любопытный Слоненок захотел узнать, что ест за обедом крокодил, и звери направили его к реке Лимпопо. Там он спросил крокодила об этом, а крокодил схватил его за нос. Когда Слоненок вырвался, нос его стал длинным-предлинным. Новый нос был не очень красивым, но зато оказался весьма полезным и Слоненок обрадовался. И теперь у всех слонов есть хоботы</t>
        </is>
      </c>
      <c r="L6070" s="2" t="inlineStr">
        <is>
          <t>https://gosfilmofond.ru/films/254294/</t>
        </is>
      </c>
      <c r="M6070" s="2">
        <f>HYPERLINK("https://ru.wikipedia.org/w/index.php?search=%D0%A1%D0%BB%D0%BE%D0%BD%D1%91%D0%BD%D0%BE%D0%BA%20%281967%29%201967%20%D1%84%D0%B8%D0%BB%D1%8C%D0%BC","искать")</f>
        <v/>
      </c>
      <c r="N6070" s="3" t="n"/>
      <c r="O6070" s="2" t="n"/>
      <c r="P6070" s="2" t="n"/>
    </row>
    <row r="6071">
      <c r="A6071" s="2" t="n">
        <v>6070</v>
      </c>
      <c r="B6071" s="2" t="inlineStr"/>
      <c r="C6071" s="2" t="n">
        <v>7225</v>
      </c>
      <c r="D6071" s="3" t="inlineStr">
        <is>
          <t>Атланты и кариатиды</t>
        </is>
      </c>
      <c r="E6071" s="2" t="n">
        <v>1980</v>
      </c>
      <c r="F6071" s="2" t="inlineStr">
        <is>
          <t>телефильм</t>
        </is>
      </c>
      <c r="G6071" s="2" t="n"/>
      <c r="H6071" s="2" t="n">
        <v>455</v>
      </c>
      <c r="I6071" s="2" t="inlineStr"/>
      <c r="J6071" s="2" t="inlineStr"/>
      <c r="K6071" s="3" t="inlineStr">
        <is>
          <t>По одноименному роману Ивана Шамякина. Главный архитектор города Максим Карнач переживает трудный период в своей личной жизни и карьере. Долгие годы непонимания, упреков и семейных скандалов заставили его принять горькое, но твердое решение: подать на развод со своей красавицей-женой Дашей. Друзья и сослуживцы Карнача не подозревают, что происходит у него в семье, поэтому им непонятен и другой его поступок: самоотвод своей кандидатуры в горком партии.</t>
        </is>
      </c>
      <c r="L6071" s="2" t="inlineStr">
        <is>
          <t>Кино_СССР сводный каталог.xlsx: список телефильмов</t>
        </is>
      </c>
      <c r="M6071" s="2">
        <f>HYPERLINK("https://ru.wikipedia.org/w/index.php?search=%D0%90%D1%82%D0%BB%D0%B0%D0%BD%D1%82%D1%8B%20%D0%B8%20%D0%BA%D0%B0%D1%80%D0%B8%D0%B0%D1%82%D0%B8%D0%B4%D1%8B%201980%20%D1%84%D0%B8%D0%BB%D1%8C%D0%BC","искать")</f>
        <v/>
      </c>
      <c r="N6071" s="3" t="n"/>
      <c r="O6071" s="2" t="n"/>
      <c r="P6071" s="2" t="n"/>
    </row>
    <row r="6072">
      <c r="A6072" s="2" t="n">
        <v>6071</v>
      </c>
      <c r="B6072" s="2" t="inlineStr"/>
      <c r="C6072" s="2" t="n">
        <v>7482</v>
      </c>
      <c r="D6072" s="3" t="inlineStr">
        <is>
          <t>Двери</t>
        </is>
      </c>
      <c r="E6072" s="2" t="n">
        <v>1969</v>
      </c>
      <c r="F6072" s="2" t="inlineStr">
        <is>
          <t>телефильм</t>
        </is>
      </c>
      <c r="G6072" s="2" t="n"/>
      <c r="H6072" s="2" t="n">
        <v>455</v>
      </c>
      <c r="I6072" s="2" t="inlineStr"/>
      <c r="J6072" s="2" t="inlineStr"/>
      <c r="K6072" s="3" t="inlineStr">
        <is>
          <t>Концертная программа, состоящая из трех частей, стильная и позволяет познакомиться с лучшей эстонской современной легкой музыкой в ​​трех аспектах: 1) современная обработка народных мелодий, 2) популярная эстрадная песня, 3) современный джаз. Авторы нашли воображаемый сюжет для соединения трех частей концерта и отдельных номеров, изображающих небольшие концерты, гармонирующее со стилем народное творчество и выставку современного прикладного искусства.</t>
        </is>
      </c>
      <c r="L6072" s="2" t="inlineStr">
        <is>
          <t>Кино_СССР сводный каталог.xlsx: список телефильмов</t>
        </is>
      </c>
      <c r="M6072" s="2">
        <f>HYPERLINK("https://ru.wikipedia.org/w/index.php?search=%D0%94%D0%B2%D0%B5%D1%80%D0%B8%201969%20%D1%84%D0%B8%D0%BB%D1%8C%D0%BC","искать")</f>
        <v/>
      </c>
      <c r="N6072" s="3" t="n"/>
      <c r="O6072" s="2" t="n"/>
      <c r="P6072" s="2" t="n"/>
    </row>
    <row r="6073">
      <c r="A6073" s="2" t="n">
        <v>6072</v>
      </c>
      <c r="B6073" s="2" t="inlineStr"/>
      <c r="C6073" s="2" t="n">
        <v>8455</v>
      </c>
      <c r="D6073" s="3" t="inlineStr">
        <is>
          <t>Тихоня</t>
        </is>
      </c>
      <c r="E6073" s="2" t="n">
        <v>1973</v>
      </c>
      <c r="F6073" s="2" t="inlineStr">
        <is>
          <t>телефильм</t>
        </is>
      </c>
      <c r="G6073" s="2" t="n"/>
      <c r="H6073" s="2" t="n">
        <v>455</v>
      </c>
      <c r="I6073" s="2" t="inlineStr"/>
      <c r="J6073" s="2" t="inlineStr"/>
      <c r="K6073" s="3" t="inlineStr">
        <is>
          <t>Главного героя фильма, жителя небольшого молдавского городка Василия Чебана (Альберт Филозов) все обвиняют в том, что он соблазнил, находясь на отдыхе в Ялте, несчастную девушку Надю (Евгения Ветлова), и она родила в результате ребёнка.
На самом деле Василий не является отцом ребёнка, но он решает помогать Наде в жизни. От своей матери он всё скрывает. Однако мама Василия, случайно обнаружив переписку Нади и Василия, приглашает Надежду приехать к ней.</t>
        </is>
      </c>
      <c r="L6073" s="2" t="inlineStr">
        <is>
          <t>https://ru.wikipedia.org/w/index.php?title=%D0%A2%D0%B8%D1%85%D0%BE%D0%BD%D1%8F_%28%D1%84%D0%B8%D0%BB%D1%8C%D0%BC%2C_1973%29&amp;oldid=149106082</t>
        </is>
      </c>
      <c r="M6073" s="2">
        <f>HYPERLINK("https://ru.wikipedia.org/w/index.php?search=%D0%A2%D0%B8%D1%85%D0%BE%D0%BD%D1%8F%201973%20%D1%84%D0%B8%D0%BB%D1%8C%D0%BC","искать")</f>
        <v/>
      </c>
      <c r="N6073" s="3" t="n"/>
      <c r="O6073" s="2" t="n"/>
      <c r="P6073" s="2" t="n"/>
    </row>
    <row r="6074">
      <c r="A6074" s="2" t="n">
        <v>6073</v>
      </c>
      <c r="B6074" s="2" t="inlineStr"/>
      <c r="C6074" s="2" t="n">
        <v>11166</v>
      </c>
      <c r="D6074" s="3" t="inlineStr">
        <is>
          <t>Кукарача</t>
        </is>
      </c>
      <c r="E6074" s="2" t="n">
        <v>1987</v>
      </c>
      <c r="F6074" s="2" t="inlineStr">
        <is>
          <t>фильм-спектакль</t>
        </is>
      </c>
      <c r="G6074" s="2" t="inlineStr">
        <is>
          <t>Главная редакция литературно-драматических программ ЦТ</t>
        </is>
      </c>
      <c r="H6074" s="2" t="n">
        <v>455</v>
      </c>
      <c r="I6074" s="2" t="inlineStr"/>
      <c r="J6074" s="2" t="inlineStr"/>
      <c r="K6074" s="3" t="inlineStr">
        <is>
          <t>По одноименной повести Н.Думбазе в постановке Грузинского государственного театра юного зрителя.
Действие происходит в довоенном Тбилиси. Бродячая труппа актеров разыгрывает спектакль о милиционере по прозвищу Кукарача, аптекарше Инге и бандите Муртальо. Во имя любви к Инге, нарушив свой служебный долг, Кукарача отпускает задержанного бандита. За это он расплачивается жизнью - Муртальо убивает его. А Инга, преодолев страх, разоблачает Муртальо в суде.</t>
        </is>
      </c>
      <c r="L6074" s="2" t="inlineStr">
        <is>
          <t>https://www.kino-teatr.ru/teatr/movie/81354/annot/</t>
        </is>
      </c>
      <c r="M6074" s="2">
        <f>HYPERLINK("https://ru.wikipedia.org/w/index.php?search=%D0%9A%D1%83%D0%BA%D0%B0%D1%80%D0%B0%D1%87%D0%B0%201987%20%D1%84%D0%B8%D0%BB%D1%8C%D0%BC","искать")</f>
        <v/>
      </c>
      <c r="N6074" s="3" t="n"/>
      <c r="O6074" s="2" t="n"/>
      <c r="P6074" s="2" t="n"/>
    </row>
    <row r="6075">
      <c r="A6075" s="2" t="n">
        <v>6074</v>
      </c>
      <c r="B6075" s="2" t="inlineStr"/>
      <c r="C6075" s="2" t="n">
        <v>11514</v>
      </c>
      <c r="D6075" s="3" t="inlineStr">
        <is>
          <t>Жадный Кузя</t>
        </is>
      </c>
      <c r="E6075" s="2" t="n">
        <v>1969</v>
      </c>
      <c r="F6075" s="2" t="inlineStr">
        <is>
          <t>мультфильм</t>
        </is>
      </c>
      <c r="G6075" s="2" t="inlineStr">
        <is>
          <t>Союзмультфильм</t>
        </is>
      </c>
      <c r="H6075" s="2" t="n">
        <v>455</v>
      </c>
      <c r="I6075" s="2" t="inlineStr"/>
      <c r="J6075" s="2" t="inlineStr"/>
      <c r="K6075" s="3" t="inlineStr">
        <is>
          <t>Кот Кузя - необыкновенно жадный кот. Он поедает все, что видит вокруг - и мясо, и рыбу, и кашу, и овощи, и даже сладости. Ничего съестного не может видеть Кузя равнодушно, сразу хватает и ест... Однажды он стащил торт у Зайца из книжки "Зайкины именины" - вырвал страницу с нарисованным тортом и принялся рвать ее. Зайкины друзья Белочка, Ежик и Лягушонок решают приучить нахала, и это им удается...После этого случая Кузя стал порядочным и вежливым котом</t>
        </is>
      </c>
      <c r="L6075" s="2" t="inlineStr">
        <is>
          <t>https://gosfilmofond.ru/films/254744/</t>
        </is>
      </c>
      <c r="M6075" s="2">
        <f>HYPERLINK("https://ru.wikipedia.org/w/index.php?search=%D0%96%D0%B0%D0%B4%D0%BD%D1%8B%D0%B9%20%D0%9A%D1%83%D0%B7%D1%8F%201969%20%D1%84%D0%B8%D0%BB%D1%8C%D0%BC","искать")</f>
        <v/>
      </c>
      <c r="N6075" s="3" t="n"/>
      <c r="O6075" s="2" t="n"/>
      <c r="P6075" s="2" t="n"/>
    </row>
    <row r="6076">
      <c r="A6076" s="2" t="n">
        <v>6075</v>
      </c>
      <c r="B6076" s="2" t="inlineStr"/>
      <c r="C6076" s="2" t="n">
        <v>12790</v>
      </c>
      <c r="D6076" s="3" t="inlineStr">
        <is>
          <t>Первый</t>
        </is>
      </c>
      <c r="E6076" s="2" t="n">
        <v>1980</v>
      </c>
      <c r="F6076" s="2" t="inlineStr">
        <is>
          <t>мультфильм</t>
        </is>
      </c>
      <c r="G6076" s="2" t="inlineStr">
        <is>
          <t>АРМЕНФИЛЬМ</t>
        </is>
      </c>
      <c r="H6076" s="2" t="n">
        <v>455</v>
      </c>
      <c r="I6076" s="2" t="inlineStr"/>
      <c r="J6076" s="2" t="inlineStr"/>
      <c r="K6076" s="3" t="inlineStr">
        <is>
          <t>О вреде пьянства. В то время как все люди занимаются своими делами, спортом, рыбалкой, один толстяк постоянно прикладывается к бутылке. Бутылка эта превращается то в автомобиль, который крушит все на своем пути, то в подводную лодку, которая топит "Титаник", то в ракету, сбивающую космические корабли. И всем этим правит толстяк, который в конце концов вбегает на кладбище и падает в вырытую могилу, которую закрывает надгробная плита с надписью "первый"</t>
        </is>
      </c>
      <c r="L6076" s="2" t="inlineStr">
        <is>
          <t>https://gosfilmofond.ru/films/255627/</t>
        </is>
      </c>
      <c r="M6076" s="2">
        <f>HYPERLINK("https://ru.wikipedia.org/w/index.php?search=%D0%9F%D0%B5%D1%80%D0%B2%D1%8B%D0%B9%201980%20%D1%84%D0%B8%D0%BB%D1%8C%D0%BC","искать")</f>
        <v/>
      </c>
      <c r="N6076" s="3" t="n"/>
      <c r="O6076" s="2" t="n"/>
      <c r="P6076" s="2" t="n"/>
    </row>
    <row r="6077">
      <c r="A6077" s="2" t="n">
        <v>6076</v>
      </c>
      <c r="B6077" s="2" t="inlineStr"/>
      <c r="C6077" s="2" t="n">
        <v>11643</v>
      </c>
      <c r="D6077" s="3" t="inlineStr">
        <is>
          <t>Сеча при Керженце</t>
        </is>
      </c>
      <c r="E6077" s="2" t="n">
        <v>1971</v>
      </c>
      <c r="F6077" s="2" t="inlineStr">
        <is>
          <t>мультфильм</t>
        </is>
      </c>
      <c r="G6077" s="2" t="inlineStr">
        <is>
          <t>Союзмультфильм</t>
        </is>
      </c>
      <c r="H6077" s="2" t="n">
        <v>456</v>
      </c>
      <c r="I6077" s="2" t="inlineStr"/>
      <c r="J6077" s="2" t="inlineStr"/>
      <c r="K6077" s="3" t="inlineStr">
        <is>
          <t>По мотивам легеды и симфонической поэмы Римского-Корсакова о невидимом граде Китеже, который ушел под воды озера, чтобы избежать татарского нашествия. В фильме использованы мотивы русской фресковой живописи XIV-XVI веков.
I МФ анимационных фильмов в Загребе (СФРЮ), 1972 -- Гран-При; V ВКФ, Тбилиси 1972 -- Приз и Премия за лучший мультипликационный фильм; VII МКФ в Карловых Варах, 1971 -- Премия за лучший анимационный фильм; МКФ в Бомбее, 1972 -- Диплом</t>
        </is>
      </c>
      <c r="L6077" s="2" t="inlineStr">
        <is>
          <t>https://animator.ru/db/?p=show_film&amp;fid=2557</t>
        </is>
      </c>
      <c r="M6077" s="2">
        <f>HYPERLINK("https://ru.wikipedia.org/w/index.php?search=%D0%A1%D0%B5%D1%87%D0%B0%20%D0%BF%D1%80%D0%B8%20%D0%9A%D0%B5%D1%80%D0%B6%D0%B5%D0%BD%D1%86%D0%B5%201971%20%D1%84%D0%B8%D0%BB%D1%8C%D0%BC","искать")</f>
        <v/>
      </c>
      <c r="N6077" s="3" t="n"/>
      <c r="O6077" s="2" t="n"/>
      <c r="P6077" s="2" t="n"/>
    </row>
    <row r="6078">
      <c r="A6078" s="2" t="n">
        <v>6077</v>
      </c>
      <c r="B6078" s="2" t="inlineStr"/>
      <c r="C6078" s="2" t="n">
        <v>13100</v>
      </c>
      <c r="D6078" s="3" t="inlineStr">
        <is>
          <t>Кошелек с двумя денежками</t>
        </is>
      </c>
      <c r="E6078" s="2" t="n">
        <v>1970</v>
      </c>
      <c r="F6078" s="2" t="inlineStr">
        <is>
          <t>мультфильм</t>
        </is>
      </c>
      <c r="G6078" s="2" t="inlineStr">
        <is>
          <t>МОЛДОВА-ФИЛЬМ</t>
        </is>
      </c>
      <c r="H6078" s="2" t="n">
        <v>456</v>
      </c>
      <c r="I6078" s="2" t="inlineStr"/>
      <c r="J6078" s="2" t="inlineStr"/>
      <c r="K6078" s="3" t="inlineStr">
        <is>
          <t>По мотивам одноименной сказки Иона Крянгэ.
Преданно служит Петух своему хозяину Старику, который никак не может выбиться из нищеты. Петух и рад бы помочь хозяину, да у него, кроме песен, ничего нет. И тогда отправляется Петух искать счастья для Старика. Он находит кошелек с двумя денежками, но жадный Барин и глупый Кучер отнимают его у Петуха. И все же смелый, умный и находчивый Петух побеждает жадного Барина и глупого Кучера и приносит Старику счастье</t>
        </is>
      </c>
      <c r="L6078" s="2" t="inlineStr">
        <is>
          <t>https://gosfilmofond.ru/films/254750/</t>
        </is>
      </c>
      <c r="M6078" s="2">
        <f>HYPERLINK("https://ru.wikipedia.org/w/index.php?search=%D0%9A%D0%BE%D1%88%D0%B5%D0%BB%D0%B5%D0%BA%20%D1%81%20%D0%B4%D0%B2%D1%83%D0%BC%D1%8F%20%D0%B4%D0%B5%D0%BD%D0%B5%D0%B6%D0%BA%D0%B0%D0%BC%D0%B8%201970%20%D1%84%D0%B8%D0%BB%D1%8C%D0%BC","искать")</f>
        <v/>
      </c>
      <c r="N6078" s="3" t="n"/>
      <c r="O6078" s="2" t="n"/>
      <c r="P6078" s="2" t="n"/>
    </row>
    <row r="6079">
      <c r="A6079" s="2" t="n">
        <v>6078</v>
      </c>
      <c r="B6079" s="2" t="inlineStr"/>
      <c r="C6079" s="2" t="n">
        <v>7257</v>
      </c>
      <c r="D6079" s="3" t="inlineStr">
        <is>
          <t>Боба и слон</t>
        </is>
      </c>
      <c r="E6079" s="2" t="n">
        <v>1972</v>
      </c>
      <c r="F6079" s="2" t="inlineStr">
        <is>
          <t>телефильм</t>
        </is>
      </c>
      <c r="G6079" s="2" t="n"/>
      <c r="H6079" s="2" t="n">
        <v>457</v>
      </c>
      <c r="I6079" s="2" t="inlineStr"/>
      <c r="J6079" s="2" t="inlineStr"/>
      <c r="K6079" s="3" t="inlineStr">
        <is>
          <t>Пятилетний мальчик Боба проводит время в зоопарке, где его мама продаёт мороженое. Его дружбе со слоном завидует дочь служителя зоопарка, Марина. И ей удаётся убедить Бобу, что все игры слона — его собственные забавы. После этого Боба к слону не приходит.
Когда вечером посетители разошлись, слон отправляется искать своего маленького друга в город, вызывая своим появлением смятение у жителей. Вернуть слона обратно в зоопарк удаётся только Бобе с Мариной.</t>
        </is>
      </c>
      <c r="L6079" s="2" t="inlineStr">
        <is>
          <t>https://ru.wikipedia.org/w/index.php?title=%D0%91%D0%BE%D0%B1%D0%B0_%D0%B8_%D1%81%D0%BB%D0%BE%D0%BD&amp;oldid=154692004</t>
        </is>
      </c>
      <c r="M6079" s="2">
        <f>HYPERLINK("https://ru.wikipedia.org/w/index.php?search=%D0%91%D0%BE%D0%B1%D0%B0%20%D0%B8%20%D1%81%D0%BB%D0%BE%D0%BD%201972%20%D1%84%D0%B8%D0%BB%D1%8C%D0%BC","искать")</f>
        <v/>
      </c>
      <c r="N6079" s="3" t="n"/>
      <c r="O6079" s="2" t="n"/>
      <c r="P6079" s="2" t="n"/>
    </row>
    <row r="6080">
      <c r="A6080" s="2" t="n">
        <v>6079</v>
      </c>
      <c r="B6080" s="2" t="inlineStr"/>
      <c r="C6080" s="2" t="n">
        <v>7180</v>
      </c>
      <c r="D6080" s="3" t="inlineStr">
        <is>
          <t>12 стульев</t>
        </is>
      </c>
      <c r="E6080" s="2" t="n">
        <v>1976</v>
      </c>
      <c r="F6080" s="2" t="inlineStr">
        <is>
          <t>телефильм</t>
        </is>
      </c>
      <c r="G6080" s="2" t="n"/>
      <c r="H6080" s="2" t="n">
        <v>458</v>
      </c>
      <c r="I6080" s="2" t="inlineStr"/>
      <c r="J6080" s="2" t="inlineStr"/>
      <c r="K6080" s="3" t="inlineStr">
        <is>
          <t>Замечательная экранизация бессмертной книги Ильфа и Петрова поставлена в жанре мюзикла. Андрей Миронов и Анатолий Папанов, казалось, самим Богом были предназначены, чтобы сыграть парочку авантюристов - охотников за стульями работы мастера Гамбса. А режиссер Марк Захаров, поставивший это ироничное и смешное представление, куда больше похожее на театральный спектакль, чем на фильм, позаботился окружить главных героев целым созвездием замечательных актеров.</t>
        </is>
      </c>
      <c r="L6080" s="2" t="inlineStr">
        <is>
          <t>Кино_СССР сводный каталог.xlsx: список телефильмов</t>
        </is>
      </c>
      <c r="M6080" s="2">
        <f>HYPERLINK("https://ru.wikipedia.org/w/index.php?search=12%20%D1%81%D1%82%D1%83%D0%BB%D1%8C%D0%B5%D0%B2%201976%20%D1%84%D0%B8%D0%BB%D1%8C%D0%BC","искать")</f>
        <v/>
      </c>
      <c r="N6080" s="3" t="n"/>
      <c r="O6080" s="2" t="n"/>
      <c r="P6080" s="2" t="n"/>
    </row>
    <row r="6081">
      <c r="A6081" s="2" t="n">
        <v>6080</v>
      </c>
      <c r="B6081" s="2" t="inlineStr"/>
      <c r="C6081" s="2" t="n">
        <v>7223</v>
      </c>
      <c r="D6081" s="3" t="inlineStr">
        <is>
          <t>Асиф, Васиф, Агасиф</t>
        </is>
      </c>
      <c r="E6081" s="2" t="n">
        <v>1983</v>
      </c>
      <c r="F6081" s="2" t="inlineStr">
        <is>
          <t>телефильм</t>
        </is>
      </c>
      <c r="G6081" s="2" t="n"/>
      <c r="H6081" s="2" t="n">
        <v>458</v>
      </c>
      <c r="I6081" s="2" t="inlineStr"/>
      <c r="J6081" s="2" t="inlineStr"/>
      <c r="K6081" s="3" t="inlineStr">
        <is>
          <t>В семье трое маленьких детей: Асиф, Васиф и Агасиф. Мама против того, чтобы они ходили в детский сад. Ведь они загружены: у них и плавание, и английский язык, и акробатика, и музыка. Однажды во время прогулки папы с детьми один из братьев — Васиф — присоединился к играющим детям в детском саду. После долгих поисков родители находят сына, которому было так весело со своими новыми друзьями. В результате мама и папа решают отдать всех сыновей в детский сад.</t>
        </is>
      </c>
      <c r="L6081" s="2" t="inlineStr">
        <is>
          <t>https://ru.wikipedia.org/w/index.php?title=%D0%90%D1%81%D0%B8%D1%84%2C_%D0%92%D0%B0%D1%81%D0%B8%D1%84%2C_%D0%90%D0%B3%D0%B0%D1%81%D0%B8%D1%84&amp;oldid=145052019</t>
        </is>
      </c>
      <c r="M6081" s="2">
        <f>HYPERLINK("https://ru.wikipedia.org/w/index.php?search=%D0%90%D1%81%D0%B8%D1%84%2C%20%D0%92%D0%B0%D1%81%D0%B8%D1%84%2C%20%D0%90%D0%B3%D0%B0%D1%81%D0%B8%D1%84%201983%20%D1%84%D0%B8%D0%BB%D1%8C%D0%BC","искать")</f>
        <v/>
      </c>
      <c r="N6081" s="3" t="n"/>
      <c r="O6081" s="2" t="n"/>
      <c r="P6081" s="2" t="n"/>
    </row>
    <row r="6082">
      <c r="A6082" s="2" t="n">
        <v>6081</v>
      </c>
      <c r="B6082" s="2" t="inlineStr"/>
      <c r="C6082" s="2" t="n">
        <v>11150</v>
      </c>
      <c r="D6082" s="3" t="inlineStr">
        <is>
          <t>Дни портных в Силмачах</t>
        </is>
      </c>
      <c r="E6082" s="2" t="n">
        <v>1987</v>
      </c>
      <c r="F6082" s="2" t="inlineStr">
        <is>
          <t>фильм-спектакль</t>
        </is>
      </c>
      <c r="G6082" s="2" t="n"/>
      <c r="H6082" s="2" t="n">
        <v>458</v>
      </c>
      <c r="I6082" s="2" t="inlineStr"/>
      <c r="J6082" s="2" t="inlineStr"/>
      <c r="K6082" s="3" t="inlineStr">
        <is>
          <t>Спектакль Латвийского театра им. Упита по пьесе Р.Блауманиса.
Антония Янош, владелица Силмачей, собирается выйти замуж за Алексиса. За неделю до свадьбы дома много чего надо сделать. Чтобы подготовить свадебные платья, приезжает портной Дударс со своим учеником Рудисом и швеёй Зарой. За ними также вслед приезжают купцы Абрам и его сын Иоске. Бебену также наняли в качестве помощника. Кроме того, у слуг Пичук и Ауце родился сын, о котором заботится Томули.</t>
        </is>
      </c>
      <c r="L6082" s="2" t="inlineStr">
        <is>
          <t>https://www.kino-teatr.ru/teatr/movie/138565/annot/</t>
        </is>
      </c>
      <c r="M6082" s="2">
        <f>HYPERLINK("https://ru.wikipedia.org/w/index.php?search=%D0%94%D0%BD%D0%B8%20%D0%BF%D0%BE%D1%80%D1%82%D0%BD%D1%8B%D1%85%20%D0%B2%20%D0%A1%D0%B8%D0%BB%D0%BC%D0%B0%D1%87%D0%B0%D1%85%201987%20%D1%84%D0%B8%D0%BB%D1%8C%D0%BC","искать")</f>
        <v/>
      </c>
      <c r="N6082" s="3" t="n"/>
      <c r="O6082" s="2" t="n"/>
      <c r="P6082" s="2" t="n"/>
    </row>
    <row r="6083">
      <c r="A6083" s="2" t="n">
        <v>6082</v>
      </c>
      <c r="B6083" s="2" t="inlineStr"/>
      <c r="C6083" s="2" t="n">
        <v>10352</v>
      </c>
      <c r="D6083" s="3" t="inlineStr">
        <is>
          <t>Говорящая машина</t>
        </is>
      </c>
      <c r="E6083" s="2" t="n">
        <v>1970</v>
      </c>
      <c r="F6083" s="2" t="inlineStr">
        <is>
          <t>фильм-спектакль</t>
        </is>
      </c>
      <c r="G6083" s="2" t="inlineStr">
        <is>
          <t>Ленинградское телевидение</t>
        </is>
      </c>
      <c r="H6083" s="2" t="n">
        <v>459</v>
      </c>
      <c r="I6083" s="2" t="inlineStr"/>
      <c r="J6083" s="2" t="inlineStr"/>
      <c r="K6083" s="3" t="inlineStr">
        <is>
          <t>По рассказу Дж.Крюсса.
Профессор Розкам создал удивительную машину, способную переводить язык зверей и птиц на человеческий и наоборот. Действие своего детища изобретатель решил опробовать на питомцах соседей. Поначалу эксперимент казался удачным, соседи узнали много интересного и порой неожиданного о своих воспитанниках. Но дальнейшие события показали, что нельзя таким образом вмешиваться в жизнь животных, где существуют свои собственные взаимоотношения.</t>
        </is>
      </c>
      <c r="L6083" s="2" t="inlineStr">
        <is>
          <t>https://www.kino-teatr.ru/teatr/movie/116686/annot/</t>
        </is>
      </c>
      <c r="M6083" s="2">
        <f>HYPERLINK("https://ru.wikipedia.org/w/index.php?search=%D0%93%D0%BE%D0%B2%D0%BE%D1%80%D1%8F%D1%89%D0%B0%D1%8F%20%D0%BC%D0%B0%D1%88%D0%B8%D0%BD%D0%B0%201970%20%D1%84%D0%B8%D0%BB%D1%8C%D0%BC","искать")</f>
        <v/>
      </c>
      <c r="N6083" s="3" t="n"/>
      <c r="O6083" s="2" t="n"/>
      <c r="P6083" s="2" t="n"/>
    </row>
    <row r="6084">
      <c r="A6084" s="2" t="n">
        <v>6083</v>
      </c>
      <c r="B6084" s="2" t="inlineStr"/>
      <c r="C6084" s="2" t="n">
        <v>11056</v>
      </c>
      <c r="D6084" s="3" t="inlineStr">
        <is>
          <t>Деньги для Марии</t>
        </is>
      </c>
      <c r="E6084" s="2" t="n">
        <v>1985</v>
      </c>
      <c r="F6084" s="2" t="inlineStr">
        <is>
          <t>фильм-спектакль</t>
        </is>
      </c>
      <c r="G6084" s="2" t="inlineStr">
        <is>
          <t>ТО "Экран"</t>
        </is>
      </c>
      <c r="H6084" s="2" t="n">
        <v>459</v>
      </c>
      <c r="I6084" s="2" t="inlineStr"/>
      <c r="J6084" s="2" t="inlineStr"/>
      <c r="K6084" s="3" t="inlineStr">
        <is>
          <t>По одноименному произведению В.Распутина в постановке Московского театра имени М.Н.Ермоловой.
Односельчане уговорили Марию стать продавцом в сельском магазине. Через год обнаружилась недостача, в которой она была неповинна. Ревизор дал три дня на то, чтобы муж Марии, Кузьма, собрал недостающую сумму. В процессе сбора денег проявляются различные черты характеров многих жителей деревни: их порядочность, доброта, готовность помочь человеку, попавшему в беду.</t>
        </is>
      </c>
      <c r="L6084" s="2" t="inlineStr">
        <is>
          <t>https://www.kino-teatr.ru/teatr/movie/80787/annot/</t>
        </is>
      </c>
      <c r="M6084" s="2">
        <f>HYPERLINK("https://ru.wikipedia.org/w/index.php?search=%D0%94%D0%B5%D0%BD%D1%8C%D0%B3%D0%B8%20%D0%B4%D0%BB%D1%8F%20%D0%9C%D0%B0%D1%80%D0%B8%D0%B8%201985%20%D1%84%D0%B8%D0%BB%D1%8C%D0%BC","искать")</f>
        <v/>
      </c>
      <c r="N6084" s="3" t="n"/>
      <c r="O6084" s="2" t="n"/>
      <c r="P6084" s="2" t="n"/>
    </row>
    <row r="6085">
      <c r="A6085" s="2" t="n">
        <v>6084</v>
      </c>
      <c r="B6085" s="2" t="inlineStr"/>
      <c r="C6085" s="2" t="n">
        <v>12742</v>
      </c>
      <c r="D6085" s="3" t="inlineStr">
        <is>
          <t>Волшебная радуга</t>
        </is>
      </c>
      <c r="E6085" s="2" t="n">
        <v>1979</v>
      </c>
      <c r="F6085" s="2" t="inlineStr">
        <is>
          <t>мультфильм</t>
        </is>
      </c>
      <c r="G6085" s="2" t="inlineStr">
        <is>
          <t>АРМЕНФИЛЬМ</t>
        </is>
      </c>
      <c r="H6085" s="2" t="n">
        <v>459</v>
      </c>
      <c r="I6085" s="2" t="inlineStr"/>
      <c r="J6085" s="2" t="inlineStr"/>
      <c r="K6085" s="3" t="inlineStr">
        <is>
          <t>Мальчик и девочка играют, строя песочные замки. Вдруг прибежал хулиган, разрушил все замки и отнял у ребят игрушки. Дети не смогли противостоять хулигану. Неожиданно начинается сильный дождь с грозой, а после дождя появляется прекрасная радуга. Девочка рассказывает, что если пройти под радугой, то станешь смелым и сильным. Дети решают пойти к радуге. Но радуга все дальше и дальше оказывается от них. И пока они шли, сами выросли и стали смелыми и сильными.</t>
        </is>
      </c>
      <c r="L6085" s="2" t="inlineStr">
        <is>
          <t>2026-10_мультфильмы_список_владельца.xlsx; https://animator.ru/db/?p=show_film&amp;fid=3951</t>
        </is>
      </c>
      <c r="M6085" s="2">
        <f>HYPERLINK("https://ru.wikipedia.org/w/index.php?search=%D0%92%D0%BE%D0%BB%D1%88%D0%B5%D0%B1%D0%BD%D0%B0%D1%8F%20%D1%80%D0%B0%D0%B4%D1%83%D0%B3%D0%B0%201979%20%D1%84%D0%B8%D0%BB%D1%8C%D0%BC","искать")</f>
        <v/>
      </c>
      <c r="N6085" s="3" t="n"/>
      <c r="O6085" s="2" t="n"/>
      <c r="P6085" s="2" t="n"/>
    </row>
    <row r="6086">
      <c r="A6086" s="2" t="n">
        <v>6085</v>
      </c>
      <c r="B6086" s="2" t="inlineStr"/>
      <c r="C6086" s="2" t="n">
        <v>8152</v>
      </c>
      <c r="D6086" s="3" t="inlineStr">
        <is>
          <t>Пока не выпал снег</t>
        </is>
      </c>
      <c r="E6086" s="2" t="n">
        <v>1984</v>
      </c>
      <c r="F6086" s="2" t="inlineStr">
        <is>
          <t>телефильм</t>
        </is>
      </c>
      <c r="G6086" s="2" t="n"/>
      <c r="H6086" s="2" t="n">
        <v>460</v>
      </c>
      <c r="I6086" s="2" t="inlineStr"/>
      <c r="J6086" s="2" t="inlineStr"/>
      <c r="K6086" s="3" t="inlineStr">
        <is>
          <t>Две линии первой любви разных поколений, сложности семейных взаимоотношений родителей и их детей.
Готовясь к неожиданной встрече спустя 20 лет с бывшими одноклассниками, зрелая женщина вспоминает забытые школьные годы, свою первую романтическую любовь. Когда-то это вызвало порицание и осуждение окружающих, из-за чего молодым влюблённым пришлось расстаться. И грустная память о своей первой любви помогает матери понять сына-старшеклассника, его влюблённость.</t>
        </is>
      </c>
      <c r="L6086" s="2" t="inlineStr">
        <is>
          <t>https://ru.wikipedia.org/w/index.php?title=%D0%9F%D0%BE%D0%BA%D0%B0_%D0%BD%D0%B5_%D0%B2%D1%8B%D0%BF%D0%B0%D0%BB_%D1%81%D0%BD%D0%B5%D0%B3%E2%80%A6&amp;oldid=154552131</t>
        </is>
      </c>
      <c r="M6086" s="2">
        <f>HYPERLINK("https://ru.wikipedia.org/w/index.php?search=%D0%9F%D0%BE%D0%BA%D0%B0%20%D0%BD%D0%B5%20%D0%B2%D1%8B%D0%BF%D0%B0%D0%BB%20%D1%81%D0%BD%D0%B5%D0%B3%201984%20%D1%84%D0%B8%D0%BB%D1%8C%D0%BC","искать")</f>
        <v/>
      </c>
      <c r="N6086" s="3" t="n"/>
      <c r="O6086" s="2" t="n"/>
      <c r="P6086" s="2" t="n"/>
    </row>
    <row r="6087">
      <c r="A6087" s="2" t="n">
        <v>6086</v>
      </c>
      <c r="B6087" s="2" t="inlineStr"/>
      <c r="C6087" s="2" t="n">
        <v>10306</v>
      </c>
      <c r="D6087" s="3" t="inlineStr">
        <is>
          <t>Егор Булычов и другие</t>
        </is>
      </c>
      <c r="E6087" s="2" t="n">
        <v>1969</v>
      </c>
      <c r="F6087" s="2" t="inlineStr">
        <is>
          <t>фильм-спектакль</t>
        </is>
      </c>
      <c r="G6087" s="2" t="inlineStr">
        <is>
          <t>Главная редакция литературно-драматических программ ЦТ</t>
        </is>
      </c>
      <c r="H6087" s="2" t="n">
        <v>460</v>
      </c>
      <c r="I6087" s="2" t="inlineStr"/>
      <c r="J6087" s="2" t="inlineStr"/>
      <c r="K6087" s="3" t="inlineStr">
        <is>
          <t>Спектакль по одноименной пьесе М.Горького в постановке Московского Художественного академического театра.
Крупный лесопромышленник Егор Булычев неизлечимо болен. В своем доме он окружен ничтожными и жадными людьми, с нетерпением ждущими его смерти. Умный и прозорливый Егор понимает, что прожил всю жизнь с чужими. Он по-своему выражает протест против ханжества и лицемерия "хозяев" - духовенства, либералов, против устоев идущего к краху буржуазного общества.</t>
        </is>
      </c>
      <c r="L6087" s="2" t="inlineStr">
        <is>
          <t>https://www.kino-teatr.ru/teatr/movie/17145/annot/</t>
        </is>
      </c>
      <c r="M6087" s="2">
        <f>HYPERLINK("https://ru.wikipedia.org/w/index.php?search=%D0%95%D0%B3%D0%BE%D1%80%20%D0%91%D1%83%D0%BB%D1%8B%D1%87%D0%BE%D0%B2%20%D0%B8%20%D0%B4%D1%80%D1%83%D0%B3%D0%B8%D0%B5%201969%20%D1%84%D0%B8%D0%BB%D1%8C%D0%BC","искать")</f>
        <v/>
      </c>
      <c r="N6087" s="3" t="n"/>
      <c r="O6087" s="2" t="n"/>
      <c r="P6087" s="2" t="n"/>
    </row>
    <row r="6088">
      <c r="A6088" s="2" t="n">
        <v>6087</v>
      </c>
      <c r="B6088" s="2" t="inlineStr"/>
      <c r="C6088" s="2" t="n">
        <v>10884</v>
      </c>
      <c r="D6088" s="3" t="inlineStr">
        <is>
          <t>Именем земли и солнца</t>
        </is>
      </c>
      <c r="E6088" s="2" t="n">
        <v>1981</v>
      </c>
      <c r="F6088" s="2" t="inlineStr">
        <is>
          <t>фильм-спектакль</t>
        </is>
      </c>
      <c r="G6088" s="2" t="inlineStr">
        <is>
          <t>Экран</t>
        </is>
      </c>
      <c r="H6088" s="2" t="n">
        <v>460</v>
      </c>
      <c r="I6088" s="2" t="inlineStr"/>
      <c r="J6088" s="2" t="inlineStr"/>
      <c r="K6088" s="3" t="inlineStr">
        <is>
          <t>По одноименной пьесе Иона Друцэ в постановке Московского театра имени Ленинского комсомола. Учитель сельской школы Хория, стремясь привить ученикам любовь к своему краю, рассказывает им легенды, связанные со старинной звонницей. Это вызывает недовольство директора школы, который не понял подлинных мотивов поведения учителя. Сгорает во время пожара звонница, уезжает из села Хория. Но все доброе, полезное, что делал Хория, не пропадает. Остаются его ученики.</t>
        </is>
      </c>
      <c r="L6088" s="2" t="inlineStr">
        <is>
          <t>https://www.kino-teatr.ru/teatr/movie/79235/annot/</t>
        </is>
      </c>
      <c r="M6088" s="2">
        <f>HYPERLINK("https://ru.wikipedia.org/w/index.php?search=%D0%98%D0%BC%D0%B5%D0%BD%D0%B5%D0%BC%20%D0%B7%D0%B5%D0%BC%D0%BB%D0%B8%20%D0%B8%20%D1%81%D0%BE%D0%BB%D0%BD%D1%86%D0%B0%201981%20%D1%84%D0%B8%D0%BB%D1%8C%D0%BC","искать")</f>
        <v/>
      </c>
      <c r="N6088" s="3" t="n"/>
      <c r="O6088" s="2" t="n"/>
      <c r="P6088" s="2" t="n"/>
    </row>
    <row r="6089">
      <c r="A6089" s="2" t="n">
        <v>6088</v>
      </c>
      <c r="B6089" s="2" t="inlineStr"/>
      <c r="C6089" s="2" t="n">
        <v>11461</v>
      </c>
      <c r="D6089" s="3" t="inlineStr">
        <is>
          <t>Скамейка</t>
        </is>
      </c>
      <c r="E6089" s="2" t="n">
        <v>1967</v>
      </c>
      <c r="F6089" s="2" t="inlineStr">
        <is>
          <t>мультфильм</t>
        </is>
      </c>
      <c r="G6089" s="2" t="inlineStr">
        <is>
          <t>Союзмультфильм</t>
        </is>
      </c>
      <c r="H6089" s="2" t="n">
        <v>460</v>
      </c>
      <c r="I6089" s="2" t="inlineStr"/>
      <c r="J6089" s="2" t="inlineStr"/>
      <c r="K6089" s="3" t="inlineStr">
        <is>
          <t>По рисункам датского художника-карикатуриста Херлуфа Бидструпа. Утро застает бездомного спящим на скамейке. Когда он уходит, на скамейку садится старик и дремлет. Птицы выщипывают солому из его шляпы и вьют гнездо. Старика сменяет человек с книгой. Он заражает веселым смехом всех остальных, сидящих на скамейке. Затем на скамейку садятся, сменяя друг друга, пьяница, старик со старухой, влюбленная пара. И снова с наступлением ночи скамейку занимает бездомный</t>
        </is>
      </c>
      <c r="L6089" s="2" t="inlineStr">
        <is>
          <t>https://gosfilmofond.ru/films/254292/</t>
        </is>
      </c>
      <c r="M6089" s="2">
        <f>HYPERLINK("https://ru.wikipedia.org/w/index.php?search=%D0%A1%D0%BA%D0%B0%D0%BC%D0%B5%D0%B9%D0%BA%D0%B0%201967%20%D1%84%D0%B8%D0%BB%D1%8C%D0%BC","искать")</f>
        <v/>
      </c>
      <c r="N6089" s="3" t="n"/>
      <c r="O6089" s="2" t="n"/>
      <c r="P6089" s="2" t="n"/>
    </row>
    <row r="6090">
      <c r="A6090" s="2" t="n">
        <v>6089</v>
      </c>
      <c r="B6090" s="2" t="inlineStr"/>
      <c r="C6090" s="2" t="n">
        <v>10019</v>
      </c>
      <c r="D6090" s="3" t="inlineStr">
        <is>
          <t>Дрессировщики</t>
        </is>
      </c>
      <c r="E6090" s="2" t="n">
        <v>1987</v>
      </c>
      <c r="F6090" s="2" t="inlineStr">
        <is>
          <t>телефильм</t>
        </is>
      </c>
      <c r="G6090" s="2" t="inlineStr">
        <is>
          <t>К/ст им. Горького по заказу Гостелерадио СССР</t>
        </is>
      </c>
      <c r="H6090" s="2" t="n">
        <v>461</v>
      </c>
      <c r="I6090" s="2" t="inlineStr"/>
      <c r="J6090" s="2" t="inlineStr"/>
      <c r="K6090" s="3" t="inlineStr">
        <is>
          <t>По мотивам рассказа Юрия Сотника.
Гриша Уточкин сказал как-то ребятам, что его невзрачная с виду собака Пальма умеет ловить преступников. И пришлось Грише срочно обучать ее всяким собачим премудростям. Но Пальма никак не хотела бегать по бревну, прыгать через барьеры, а уж тем более выполнять команду "фас". Финал дрессировки был неожиданным! Пальма разорвала брюки участковому милиционеру. "Или я, или Пальма" - сказал милиционер и... переехал в другой район.</t>
        </is>
      </c>
      <c r="L6090" s="2" t="inlineStr">
        <is>
          <t>https://www.kino-teatr.ru/short/movie/sov/2026/annot/</t>
        </is>
      </c>
      <c r="M6090" s="2">
        <f>HYPERLINK("https://ru.wikipedia.org/w/index.php?search=%D0%94%D1%80%D0%B5%D1%81%D1%81%D0%B8%D1%80%D0%BE%D0%B2%D1%89%D0%B8%D0%BA%D0%B8%201987%20%D1%84%D0%B8%D0%BB%D1%8C%D0%BC","искать")</f>
        <v/>
      </c>
      <c r="N6090" s="3" t="n"/>
      <c r="O6090" s="2" t="n"/>
      <c r="P6090" s="2" t="n"/>
    </row>
    <row r="6091">
      <c r="A6091" s="2" t="n">
        <v>6090</v>
      </c>
      <c r="B6091" s="2" t="inlineStr"/>
      <c r="C6091" s="2" t="n">
        <v>11268</v>
      </c>
      <c r="D6091" s="3" t="inlineStr">
        <is>
          <t>Наедине со всеми</t>
        </is>
      </c>
      <c r="E6091" s="2" t="n">
        <v>1989</v>
      </c>
      <c r="F6091" s="2" t="inlineStr">
        <is>
          <t>фильм-спектакль</t>
        </is>
      </c>
      <c r="G6091" s="2" t="inlineStr">
        <is>
          <t>ЦТ</t>
        </is>
      </c>
      <c r="H6091" s="2" t="n">
        <v>461</v>
      </c>
      <c r="I6091" s="2" t="inlineStr"/>
      <c r="J6091" s="2" t="inlineStr"/>
      <c r="K6091" s="3" t="inlineStr">
        <is>
          <t>Спектакль по одноименной пьесе А. Гельмана в постановке Московсого театра «Современник».
Действие происходит в конце 1970-х годов. В семье Голубевых произошло несчастье: сын Алеша в результате аварии лишился обеих рук. Трагическое событие заставляет родителей Алеши заново прожить прошедшие годы, правдиво и беспощадно оценить меру собственной вины.
Главная роль в этом спектакле дала удивительно ярко проявиться необыкновенному таланту актрисы Аллы Покровской.</t>
        </is>
      </c>
      <c r="L6091" s="2" t="inlineStr">
        <is>
          <t>https://www.kino-teatr.ru/teatr/movie/16369/annot/</t>
        </is>
      </c>
      <c r="M6091" s="2">
        <f>HYPERLINK("https://ru.wikipedia.org/w/index.php?search=%D0%9D%D0%B0%D0%B5%D0%B4%D0%B8%D0%BD%D0%B5%20%D1%81%D0%BE%20%D0%B2%D1%81%D0%B5%D0%BC%D0%B8%201989%20%D1%84%D0%B8%D0%BB%D1%8C%D0%BC","искать")</f>
        <v/>
      </c>
      <c r="N6091" s="3" t="n"/>
      <c r="O6091" s="2" t="n"/>
      <c r="P6091" s="2" t="n"/>
    </row>
    <row r="6092">
      <c r="A6092" s="2" t="n">
        <v>6091</v>
      </c>
      <c r="B6092" s="2" t="inlineStr"/>
      <c r="C6092" s="2" t="n">
        <v>8637</v>
      </c>
      <c r="D6092" s="3" t="inlineStr">
        <is>
          <t>Брюнетка за тридцать копеек</t>
        </is>
      </c>
      <c r="E6092" s="2" t="n">
        <v>1991</v>
      </c>
      <c r="F6092" s="2" t="inlineStr">
        <is>
          <t>кинофильм</t>
        </is>
      </c>
      <c r="G6092" s="2" t="n"/>
      <c r="H6092" s="2" t="n">
        <v>462</v>
      </c>
      <c r="I6092" s="2" t="inlineStr"/>
      <c r="J6092" s="2" t="inlineStr"/>
      <c r="K6092" s="3" t="inlineStr">
        <is>
          <t>В забытом богом Валуйске мэр города, чтобы спасти бюджет, открывает публичный дом в здании краеведческого музея, которым руководит его жена-искусствовед... "Вход в женское общежитие мужским полам запрещен". Такая вывеска висит у входа, но мужские полы все равно лезут в окна. Увидев это тягу к прекрасному, власти провинциального городка решили поправить финансовое положение открытием публичного дома, сохранив при этом целомудрие представительниц слабого пола.</t>
        </is>
      </c>
      <c r="L6092" s="2" t="inlineStr">
        <is>
          <t>Кино_СССР сводный каталог.xlsx: список фильмов (доп.)</t>
        </is>
      </c>
      <c r="M6092" s="2">
        <f>HYPERLINK("https://ru.wikipedia.org/w/index.php?search=%D0%91%D1%80%D1%8E%D0%BD%D0%B5%D1%82%D0%BA%D0%B0%20%D0%B7%D0%B0%20%D1%82%D1%80%D0%B8%D0%B4%D1%86%D0%B0%D1%82%D1%8C%20%D0%BA%D0%BE%D0%BF%D0%B5%D0%B5%D0%BA%201991%20%D1%84%D0%B8%D0%BB%D1%8C%D0%BC","искать")</f>
        <v/>
      </c>
      <c r="N6092" s="3" t="n"/>
      <c r="O6092" s="2" t="n"/>
      <c r="P6092" s="2" t="n"/>
    </row>
    <row r="6093">
      <c r="A6093" s="2" t="n">
        <v>6092</v>
      </c>
      <c r="B6093" s="2" t="inlineStr"/>
      <c r="C6093" s="2" t="n">
        <v>10358</v>
      </c>
      <c r="D6093" s="3" t="inlineStr">
        <is>
          <t>Званый вечер с итальянцами</t>
        </is>
      </c>
      <c r="E6093" s="2" t="n">
        <v>1970</v>
      </c>
      <c r="F6093" s="2" t="inlineStr">
        <is>
          <t>фильм-спектакль</t>
        </is>
      </c>
      <c r="G6093" s="2" t="inlineStr">
        <is>
          <t>Свердловское телевидение</t>
        </is>
      </c>
      <c r="H6093" s="2" t="n">
        <v>462</v>
      </c>
      <c r="I6093" s="2" t="inlineStr"/>
      <c r="J6093" s="2" t="inlineStr"/>
      <c r="K6093" s="3" t="inlineStr">
        <is>
          <t>Отец - торговец обувью Шуфлери - не хочет выдавать свою дочь Эрнестину замуж за бедного музыканта Бонифаса, но попадает в сложное положение. Итальянские артисты, которые были приглашены на званый вечер, уехали, и он может потерять уважение общества. Эрнестина предложила отцу выход - помочь может только Бонифас, тот соглашается в обмен на согласие на брак.
Фильм-спектакль с участием артистов Свердловского театра музыкальной комедии по оперетте Жака Оффенбаха.</t>
        </is>
      </c>
      <c r="L6093" s="2" t="inlineStr">
        <is>
          <t>https://www.kino-teatr.ru/teatr/movie/92983/annot/</t>
        </is>
      </c>
      <c r="M6093" s="2">
        <f>HYPERLINK("https://ru.wikipedia.org/w/index.php?search=%D0%97%D0%B2%D0%B0%D0%BD%D1%8B%D0%B9%20%D0%B2%D0%B5%D1%87%D0%B5%D1%80%20%D1%81%20%D0%B8%D1%82%D0%B0%D0%BB%D1%8C%D1%8F%D0%BD%D1%86%D0%B0%D0%BC%D0%B8%201970%20%D1%84%D0%B8%D0%BB%D1%8C%D0%BC","искать")</f>
        <v/>
      </c>
      <c r="N6093" s="3" t="n"/>
      <c r="O6093" s="2" t="n"/>
      <c r="P6093" s="2" t="n"/>
    </row>
    <row r="6094">
      <c r="A6094" s="2" t="n">
        <v>6093</v>
      </c>
      <c r="B6094" s="2" t="inlineStr"/>
      <c r="C6094" s="2" t="n">
        <v>12810</v>
      </c>
      <c r="D6094" s="3" t="inlineStr">
        <is>
          <t>Золото</t>
        </is>
      </c>
      <c r="E6094" s="2" t="n">
        <v>1966</v>
      </c>
      <c r="F6094" s="2" t="inlineStr">
        <is>
          <t>мультфильм</t>
        </is>
      </c>
      <c r="G6094" s="2" t="inlineStr">
        <is>
          <t>ГРУЗИЯ-ФИЛЬМ - АО</t>
        </is>
      </c>
      <c r="H6094" s="2" t="n">
        <v>462</v>
      </c>
      <c r="I6094" s="2" t="inlineStr"/>
      <c r="J6094" s="2" t="inlineStr"/>
      <c r="K6094" s="3" t="inlineStr">
        <is>
          <t>Первобытный человек находит слиток золота, который становится причиной раздоров и убийств. Тот же слиток откапывают в древнем Египте, и он снова становится причиной преступлений. В средние века слиток попадает в руки пиратов, которые из-за него поубивали друг друга. В наше время слиток попадает к миллионеру, и тот пускает его в оборот, превращая в орудие эксплуатации. И только в городе будущего золото утрачивает свою губительную силу - из него делают унитазы</t>
        </is>
      </c>
      <c r="L6094" s="2" t="inlineStr">
        <is>
          <t>https://gosfilmofond.ru/films/254229/</t>
        </is>
      </c>
      <c r="M6094" s="2">
        <f>HYPERLINK("https://ru.wikipedia.org/w/index.php?search=%D0%97%D0%BE%D0%BB%D0%BE%D1%82%D0%BE%201966%20%D1%84%D0%B8%D0%BB%D1%8C%D0%BC","искать")</f>
        <v/>
      </c>
      <c r="N6094" s="3" t="n"/>
      <c r="O6094" s="2" t="n"/>
      <c r="P6094" s="2" t="n"/>
    </row>
    <row r="6095">
      <c r="A6095" s="2" t="n">
        <v>6094</v>
      </c>
      <c r="B6095" s="2" t="inlineStr"/>
      <c r="C6095" s="2" t="n">
        <v>10677</v>
      </c>
      <c r="D6095" s="3" t="inlineStr">
        <is>
          <t>Ярмарка тщеславия</t>
        </is>
      </c>
      <c r="E6095" s="2" t="n">
        <v>1976</v>
      </c>
      <c r="F6095" s="2" t="inlineStr">
        <is>
          <t>фильм-спектакль</t>
        </is>
      </c>
      <c r="G6095" s="2" t="inlineStr">
        <is>
          <t>ТО "Экран"</t>
        </is>
      </c>
      <c r="H6095" s="2" t="n">
        <v>463</v>
      </c>
      <c r="I6095" s="2" t="inlineStr"/>
      <c r="J6095" s="2" t="inlineStr"/>
      <c r="K6095" s="3" t="inlineStr">
        <is>
          <t>По мотивам романа В.Теккерея "Ярмарка тщеславия. Роман без героя" в постановке Государственного академического Малого театра Союза ССР.
По окончании пансиона юную Ребекку ждет место простой гувернантки, а ведь так хочется попасть в свет, выйти замуж за знатного богатого человека. И она не отчаивается, полагая, что природный ум выручает не хуже папенькиных денежек. Без гроша в кармане, но полная амбиций, Бэкки уверена в своем успехе на ярмарке житейской суеты.</t>
        </is>
      </c>
      <c r="L6095" s="2" t="inlineStr">
        <is>
          <t>https://www.kino-teatr.ru/teatr/movie/13836/annot/</t>
        </is>
      </c>
      <c r="M6095" s="2">
        <f>HYPERLINK("https://ru.wikipedia.org/w/index.php?search=%D0%AF%D1%80%D0%BC%D0%B0%D1%80%D0%BA%D0%B0%20%D1%82%D1%89%D0%B5%D1%81%D0%BB%D0%B0%D0%B2%D0%B8%D1%8F%201976%20%D1%84%D0%B8%D0%BB%D1%8C%D0%BC","искать")</f>
        <v/>
      </c>
      <c r="N6095" s="3" t="n"/>
      <c r="O6095" s="2" t="n"/>
      <c r="P6095" s="2" t="n"/>
    </row>
    <row r="6096">
      <c r="A6096" s="2" t="n">
        <v>6095</v>
      </c>
      <c r="B6096" s="2" t="inlineStr"/>
      <c r="C6096" s="2" t="n">
        <v>13674</v>
      </c>
      <c r="D6096" s="3" t="inlineStr">
        <is>
          <t>Данило и Ненила</t>
        </is>
      </c>
      <c r="E6096" s="2" t="n">
        <v>1990</v>
      </c>
      <c r="F6096" s="2" t="inlineStr">
        <is>
          <t>мультфильм</t>
        </is>
      </c>
      <c r="G6096" s="2" t="inlineStr">
        <is>
          <t>Союзмультфильм</t>
        </is>
      </c>
      <c r="H6096" s="2" t="n">
        <v>463</v>
      </c>
      <c r="I6096" s="2" t="inlineStr"/>
      <c r="J6096" s="2" t="inlineStr"/>
      <c r="K6096" s="3"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получилось...2 серии.©Союзмультфильм, ЭКРАН, 1989-1990 г.Режиссёр:Юрий Трофимов</t>
        </is>
      </c>
      <c r="L6096" s="2" t="inlineStr">
        <is>
          <t>2026-10_мультфильмы_список_владельца.xlsx; https://animator.ru/db/?p=show_film&amp;fid=5066</t>
        </is>
      </c>
      <c r="M6096" s="2">
        <f>HYPERLINK("https://ru.wikipedia.org/w/index.php?search=%D0%94%D0%B0%D0%BD%D0%B8%D0%BB%D0%BE%20%D0%B8%20%D0%9D%D0%B5%D0%BD%D0%B8%D0%BB%D0%B0%201990%20%D1%84%D0%B8%D0%BB%D1%8C%D0%BC","искать")</f>
        <v/>
      </c>
      <c r="N6096" s="3" t="n"/>
      <c r="O6096" s="2" t="n"/>
      <c r="P6096" s="2" t="n"/>
    </row>
    <row r="6097">
      <c r="A6097" s="2" t="n">
        <v>6096</v>
      </c>
      <c r="B6097" s="2" t="inlineStr"/>
      <c r="C6097" s="2" t="n">
        <v>7698</v>
      </c>
      <c r="D6097" s="3" t="inlineStr">
        <is>
          <t>Казус импровизус</t>
        </is>
      </c>
      <c r="E6097" s="2" t="n">
        <v>1991</v>
      </c>
      <c r="F6097" s="2" t="inlineStr">
        <is>
          <t>телефильм</t>
        </is>
      </c>
      <c r="G6097" s="2" t="n"/>
      <c r="H6097" s="2" t="n">
        <v>464</v>
      </c>
      <c r="I6097" s="2" t="inlineStr"/>
      <c r="J6097" s="2" t="inlineStr"/>
      <c r="K6097" s="3" t="inlineStr">
        <is>
          <t>По мотивам пьесы Александра Буравского «Учитель русского». Действие происходит в курортной больнице, места в которой предприимчивый главврач Попов сдает вполне здоровым отдыхающим. Опасаясь проверок, Попов держит своих «мнимых больных» на строжайшем режиме, запрещая выходить даже в туалет. Вот в такой, трагикомической, ситуации встречаются герои фильма — молодой учитель Толя и пенсионерка Козицкая, ехавшие сюда, чтобы погреться на солнышке и покупаться в море.</t>
        </is>
      </c>
      <c r="L6097" s="2" t="inlineStr">
        <is>
          <t>Кино_СССР сводный каталог.xlsx: список телефильмов</t>
        </is>
      </c>
      <c r="M6097" s="2">
        <f>HYPERLINK("https://ru.wikipedia.org/w/index.php?search=%D0%9A%D0%B0%D0%B7%D1%83%D1%81%20%D0%B8%D0%BC%D0%BF%D1%80%D0%BE%D0%B2%D0%B8%D0%B7%D1%83%D1%81%201991%20%D1%84%D0%B8%D0%BB%D1%8C%D0%BC","искать")</f>
        <v/>
      </c>
      <c r="N6097" s="3" t="n"/>
      <c r="O6097" s="2" t="n"/>
      <c r="P6097" s="2" t="n"/>
    </row>
    <row r="6098">
      <c r="A6098" s="2" t="n">
        <v>6097</v>
      </c>
      <c r="B6098" s="2" t="inlineStr"/>
      <c r="C6098" s="2" t="n">
        <v>8220</v>
      </c>
      <c r="D6098" s="3" t="inlineStr">
        <is>
          <t>Про кота...</t>
        </is>
      </c>
      <c r="E6098" s="2" t="n">
        <v>1985</v>
      </c>
      <c r="F6098" s="2" t="inlineStr">
        <is>
          <t>телефильм</t>
        </is>
      </c>
      <c r="G6098" s="2" t="n"/>
      <c r="H6098" s="2" t="n">
        <v>464</v>
      </c>
      <c r="I6098" s="2" t="inlineStr"/>
      <c r="J6098" s="2" t="inlineStr"/>
      <c r="K6098" s="3" t="inlineStr">
        <is>
          <t>Импровизация на тему сказки Шарля Перро "Кот в сапогах". О приключениях находчивого Кота в сказочном королевстве. Святослав Чекин очень любил джаз. Сам одаренный пианист, он много общался с джазовыми людьми, дружил с ними – и как только выдавалась возможность, снимал джаз. Для работы над единственным своим игровым фильмом — сказкой-мюзиклом, снятом по мотивам сказки Шарля Перро, он пригласил как композиторов пианиста Игоря Бриля и гитариста Виталия Розенберга.</t>
        </is>
      </c>
      <c r="L6098" s="2" t="inlineStr">
        <is>
          <t>Кино_СССР сводный каталог.xlsx: список телефильмов</t>
        </is>
      </c>
      <c r="M6098" s="2">
        <f>HYPERLINK("https://ru.wikipedia.org/w/index.php?search=%D0%9F%D1%80%D0%BE%20%D0%BA%D0%BE%D1%82%D0%B0...%201985%20%D1%84%D0%B8%D0%BB%D1%8C%D0%BC","искать")</f>
        <v/>
      </c>
      <c r="N6098" s="3" t="n"/>
      <c r="O6098" s="2" t="n"/>
      <c r="P6098" s="2" t="n"/>
    </row>
    <row r="6099">
      <c r="A6099" s="2" t="n">
        <v>6098</v>
      </c>
      <c r="B6099" s="2" t="inlineStr"/>
      <c r="C6099" s="2" t="n">
        <v>9024</v>
      </c>
      <c r="D6099" s="3" t="inlineStr">
        <is>
          <t>Савой</t>
        </is>
      </c>
      <c r="E6099" s="2" t="n">
        <v>1990</v>
      </c>
      <c r="F6099" s="2" t="inlineStr">
        <is>
          <t>кинофильм</t>
        </is>
      </c>
      <c r="G6099" s="2" t="n"/>
      <c r="H6099" s="2" t="n">
        <v>464</v>
      </c>
      <c r="I6099" s="2" t="inlineStr"/>
      <c r="J6099" s="2" t="inlineStr"/>
      <c r="K6099" s="3" t="inlineStr">
        <is>
          <t>Тридцатилетний москвич, рядовой инженер НИИ, Сергей Гусев был похищен из поезда неизвестными по дороге в служебную командировку и оказался подневольным работником на соляных копях в одной из среднеазиатских республик.
Неожиданно для себя, ему — простому инженеру, пришлось с оружием в руках сражаться за собственную жизнь в борьбе с современными работорговцами, криминальными группировками и коррумпированной милицией. В этой борьбе у него появляются новые друзья.</t>
        </is>
      </c>
      <c r="L6099" s="2" t="inlineStr">
        <is>
          <t>https://ru.wikipedia.org/w/index.php?title=%D0%A1%D0%B0%D0%B2%D0%BE%D0%B9_%28%D1%84%D0%B8%D0%BB%D1%8C%D0%BC%29&amp;oldid=155543640</t>
        </is>
      </c>
      <c r="M6099" s="2">
        <f>HYPERLINK("https://ru.wikipedia.org/w/index.php?search=%D0%A1%D0%B0%D0%B2%D0%BE%D0%B9%201990%20%D1%84%D0%B8%D0%BB%D1%8C%D0%BC","искать")</f>
        <v/>
      </c>
      <c r="N6099" s="3" t="n"/>
      <c r="O6099" s="2" t="n"/>
      <c r="P6099" s="2" t="n"/>
    </row>
    <row r="6100">
      <c r="A6100" s="2" t="n">
        <v>6099</v>
      </c>
      <c r="B6100" s="2" t="inlineStr"/>
      <c r="C6100" s="2" t="n">
        <v>11035</v>
      </c>
      <c r="D6100" s="3" t="inlineStr">
        <is>
          <t>По щучьему велению</t>
        </is>
      </c>
      <c r="E6100" s="2" t="n">
        <v>1984</v>
      </c>
      <c r="F6100" s="2" t="inlineStr">
        <is>
          <t>фильм-спектакль</t>
        </is>
      </c>
      <c r="G6100" s="2" t="inlineStr">
        <is>
          <t>ТО "Экран", Государственный академический Центральный театр кукол</t>
        </is>
      </c>
      <c r="H6100" s="2" t="n">
        <v>464</v>
      </c>
      <c r="I6100" s="2" t="inlineStr"/>
      <c r="J6100" s="2" t="inlineStr"/>
      <c r="K6100" s="3" t="inlineStr">
        <is>
          <t>Сюжет этого спектакля построен на основе русской народной сказки, герой которой - Емеля. Это ему подарила Щука "заветное слово": и все, чего бы он ни захотел, сбывалось. Без лошади ехали сани, без топора рубились дрова, и по первому слову засмеялась царевна Несмеяна и вышла за него замуж.
Смешные перчаточные куклы, золотое смеющееся солнце на вращающейся ширме и другие сценические находки вот уже более 70 лет радуют своим искусством не одно поколение зрителей.</t>
        </is>
      </c>
      <c r="L6100" s="2" t="inlineStr">
        <is>
          <t>https://www.kino-teatr.ru/teatr/movie/11111/annot/</t>
        </is>
      </c>
      <c r="M6100" s="2">
        <f>HYPERLINK("https://ru.wikipedia.org/w/index.php?search=%D0%9F%D0%BE%20%D1%89%D1%83%D1%87%D1%8C%D0%B5%D0%BC%D1%83%20%D0%B2%D0%B5%D0%BB%D0%B5%D0%BD%D0%B8%D1%8E%201984%20%D1%84%D0%B8%D0%BB%D1%8C%D0%BC","искать")</f>
        <v/>
      </c>
      <c r="N6100" s="3" t="n"/>
      <c r="O6100" s="2" t="n"/>
      <c r="P6100" s="2" t="n"/>
    </row>
    <row r="6101">
      <c r="A6101" s="2" t="n">
        <v>6100</v>
      </c>
      <c r="B6101" s="2" t="inlineStr"/>
      <c r="C6101" s="2" t="n">
        <v>10220</v>
      </c>
      <c r="D6101" s="3" t="inlineStr">
        <is>
          <t>Случай в гостинице</t>
        </is>
      </c>
      <c r="E6101" s="2" t="n">
        <v>1967</v>
      </c>
      <c r="F6101" s="2" t="inlineStr">
        <is>
          <t>фильм-спектакль</t>
        </is>
      </c>
      <c r="G6101" s="2" t="inlineStr">
        <is>
          <t>Гл. ред. лит-драм программ</t>
        </is>
      </c>
      <c r="H6101" s="2" t="n">
        <v>465</v>
      </c>
      <c r="I6101" s="2" t="inlineStr"/>
      <c r="J6101" s="2" t="inlineStr"/>
      <c r="K6101" s="3" t="inlineStr">
        <is>
          <t>Телеспектакль по пьесе польского писателя К. Хоиньского "Ночная повесть".
В гостиницу, где уже есть несколько постояльцев (художник - Н.Подгорный, студент-медик - Ю.Соломин и др.), вламывается группа парней (среди которых В.Соломин), незадолго до этого сбивших на машине мотоциклиста с пассажиркой. Угрожая ножом, они требуют дать им машину.
"К чему приводит то, что один человек дает другому растоптать свое достоинство?" - говорит в конце герой Никиты Подгорного.</t>
        </is>
      </c>
      <c r="L6101" s="2" t="inlineStr">
        <is>
          <t>https://www.kino-teatr.ru/teatr/movie/15083/annot/</t>
        </is>
      </c>
      <c r="M6101" s="2">
        <f>HYPERLINK("https://ru.wikipedia.org/w/index.php?search=%D0%A1%D0%BB%D1%83%D1%87%D0%B0%D0%B9%20%D0%B2%20%D0%B3%D0%BE%D1%81%D1%82%D0%B8%D0%BD%D0%B8%D1%86%D0%B5%201967%20%D1%84%D0%B8%D0%BB%D1%8C%D0%BC","искать")</f>
        <v/>
      </c>
      <c r="N6101" s="3" t="n"/>
      <c r="O6101" s="2" t="n"/>
      <c r="P6101" s="2" t="n"/>
    </row>
    <row r="6102">
      <c r="A6102" s="2" t="n">
        <v>6101</v>
      </c>
      <c r="B6102" s="2" t="inlineStr"/>
      <c r="C6102" s="2" t="n">
        <v>11462</v>
      </c>
      <c r="D6102" s="3" t="inlineStr">
        <is>
          <t>С кем поведешься</t>
        </is>
      </c>
      <c r="E6102" s="2" t="n">
        <v>1967</v>
      </c>
      <c r="F6102" s="2" t="inlineStr">
        <is>
          <t>мультфильм</t>
        </is>
      </c>
      <c r="G6102" s="2" t="inlineStr">
        <is>
          <t>Союзмультфильм</t>
        </is>
      </c>
      <c r="H6102" s="2" t="n">
        <v>465</v>
      </c>
      <c r="I6102" s="2" t="inlineStr"/>
      <c r="J6102" s="2" t="inlineStr"/>
      <c r="K6102" s="3" t="inlineStr">
        <is>
          <t>Каменщик Вася не пьет спиртное. Даже после работы он отказывается от приглашения выпить. Он идет в книжный магазин, затем на учебу в технику. И в день рождения Вася отуазывается пить, хотя друзья его уговаривают. Только когда Вася заболел, его уговорили выпить...И вот уже Вася пьет с друзьями в ресторане, затем на улице пристает к женщине, разбивает витрину магазина. Пьяный Вася кладет кирпичи, но стена обваливается. Забинтованного Васю увозит санитарная машина</t>
        </is>
      </c>
      <c r="L6102" s="2" t="inlineStr">
        <is>
          <t>https://gosfilmofond.ru/films/254293/</t>
        </is>
      </c>
      <c r="M6102" s="2">
        <f>HYPERLINK("https://ru.wikipedia.org/w/index.php?search=%D0%A1%20%D0%BA%D0%B5%D0%BC%20%D0%BF%D0%BE%D0%B2%D0%B5%D0%B4%D0%B5%D1%88%D1%8C%D1%81%D1%8F%201967%20%D1%84%D0%B8%D0%BB%D1%8C%D0%BC","искать")</f>
        <v/>
      </c>
      <c r="N6102" s="3" t="n"/>
      <c r="O6102" s="2" t="n"/>
      <c r="P6102" s="2" t="n"/>
    </row>
    <row r="6103">
      <c r="A6103" s="2" t="n">
        <v>6102</v>
      </c>
      <c r="B6103" s="2" t="inlineStr"/>
      <c r="C6103" s="2" t="n">
        <v>7177</v>
      </c>
      <c r="D6103" s="3" t="inlineStr">
        <is>
          <t>"Тигры" на льду</t>
        </is>
      </c>
      <c r="E6103" s="2" t="n">
        <v>1971</v>
      </c>
      <c r="F6103" s="2" t="inlineStr">
        <is>
          <t>телефильм</t>
        </is>
      </c>
      <c r="G6103" s="2" t="n"/>
      <c r="H6103" s="2" t="n">
        <v>466</v>
      </c>
      <c r="I6103" s="2" t="inlineStr"/>
      <c r="J6103" s="2" t="inlineStr"/>
      <c r="K6103" s="3" t="inlineStr">
        <is>
          <t>Телефильм. Сестра и брат - близнецы учатся в одном классе. Девочка Зина занимается в драматическом кружке и секции фигурного катания, а её брат Игнат, убедившись в собственной физической слабости, начинает играть в дворовой хоккейной команде «Тигры». Первые синяки и даже серьезные ушибы не останавливают упорного мальчика — и вскоре он становится смелым и сильным - одним из лучших игроков команды, впервые принявшей участие в соревнованиях на приз «Золотая шайба».</t>
        </is>
      </c>
      <c r="L6103" s="2" t="inlineStr">
        <is>
          <t>Кино_СССР сводный каталог.xlsx: список телефильмов</t>
        </is>
      </c>
      <c r="M6103" s="2">
        <f>HYPERLINK("https://ru.wikipedia.org/w/index.php?search=%22%D0%A2%D0%B8%D0%B3%D1%80%D1%8B%22%20%D0%BD%D0%B0%20%D0%BB%D1%8C%D0%B4%D1%83%201971%20%D1%84%D0%B8%D0%BB%D1%8C%D0%BC","искать")</f>
        <v/>
      </c>
      <c r="N6103" s="3" t="n"/>
      <c r="O6103" s="2" t="n"/>
      <c r="P6103" s="2" t="n"/>
    </row>
    <row r="6104">
      <c r="A6104" s="2" t="n">
        <v>6103</v>
      </c>
      <c r="B6104" s="2" t="inlineStr"/>
      <c r="C6104" s="2" t="n">
        <v>8613</v>
      </c>
      <c r="D6104" s="3" t="inlineStr">
        <is>
          <t>Я придумываю песню</t>
        </is>
      </c>
      <c r="E6104" s="2" t="n">
        <v>1979</v>
      </c>
      <c r="F6104" s="2" t="inlineStr">
        <is>
          <t>телефильм</t>
        </is>
      </c>
      <c r="G6104" s="2" t="n"/>
      <c r="H6104" s="2" t="n">
        <v>466</v>
      </c>
      <c r="I6104" s="2" t="inlineStr"/>
      <c r="J6104" s="2" t="inlineStr"/>
      <c r="K6104" s="3" t="inlineStr">
        <is>
          <t>В одно из азербайджанских сёл Карабаха для отбора талантливых детей из райцентра приезжает представитель музыкальной школы-интерната. Ему помогает местный аксакал и музыкант-кяманчист Бахман-дайы. Много в селе способных детей, но наиболее талантлива 10-летняя дочь мельника и всеобщая любимица, звонкоголосая Сона. Её готовы зачислить в школу без всякого конкурса, но отец категорически против — он не желает, чтобы Сона стала артисткой. И ничьи уговоры не помогают.</t>
        </is>
      </c>
      <c r="L6104" s="2" t="inlineStr">
        <is>
          <t>https://ru.wikipedia.org/w/index.php?title=%D0%AF_%D0%BF%D1%80%D0%B8%D0%B4%D1%83%D0%BC%D1%8B%D0%B2%D0%B0%D1%8E_%D0%BF%D0%B5%D1%81%D0%BD%D1%8E&amp;oldid=153099264</t>
        </is>
      </c>
      <c r="M6104" s="2">
        <f>HYPERLINK("https://ru.wikipedia.org/w/index.php?search=%D0%AF%20%D0%BF%D1%80%D0%B8%D0%B4%D1%83%D0%BC%D1%8B%D0%B2%D0%B0%D1%8E%20%D0%BF%D0%B5%D1%81%D0%BD%D1%8E%201979%20%D1%84%D0%B8%D0%BB%D1%8C%D0%BC","искать")</f>
        <v/>
      </c>
      <c r="N6104" s="3" t="n"/>
      <c r="O6104" s="2" t="n"/>
      <c r="P6104" s="2" t="n"/>
    </row>
    <row r="6105">
      <c r="A6105" s="2" t="n">
        <v>6104</v>
      </c>
      <c r="B6105" s="2" t="inlineStr"/>
      <c r="C6105" s="2" t="n">
        <v>7828</v>
      </c>
      <c r="D6105" s="3" t="inlineStr">
        <is>
          <t>Любовь к трём апельсинам</t>
        </is>
      </c>
      <c r="E6105" s="2" t="n">
        <v>1970</v>
      </c>
      <c r="F6105" s="2" t="inlineStr">
        <is>
          <t>телефильм</t>
        </is>
      </c>
      <c r="G6105" s="2" t="inlineStr">
        <is>
          <t>Мосфильм</t>
        </is>
      </c>
      <c r="H6105" s="2" t="n">
        <v>468</v>
      </c>
      <c r="I6105" s="2" t="inlineStr"/>
      <c r="J6105" s="2" t="inlineStr"/>
      <c r="K6105" s="3" t="inlineStr">
        <is>
          <t>В основе оперы лежит сказка Карло Гоцци «Любовь к трём апельсинам» (1760).
В бродячем театре зритель требует начала представления, и при этом актёры не могут решить, что же сегодня будут играть. Маэстро Дапертутто распределяет роли, и начинается сказка.
Наследный принц Тартальо болен ипохондрической болезнью. Для избавления от болезни он отправляется в путешествие за тремя апельсинами, в одном из которых находит свою избранницу Нинетту. Болезнь навсегда отступает.</t>
        </is>
      </c>
      <c r="L6105" s="2" t="inlineStr">
        <is>
          <t>https://ru.wikipedia.org/w/index.php?title=%D0%9B%D1%8E%D0%B1%D0%BE%D0%B2%D1%8C_%D0%BA_%D1%82%D1%80%D1%91%D0%BC_%D0%B0%D0%BF%D0%B5%D0%BB%D1%8C%D1%81%D0%B8%D0%BD%D0%B0%D0%BC_%28%D1%84%D0%B8%D0%BB%D1%8C%D0%BC%29&amp;oldid=151463833</t>
        </is>
      </c>
      <c r="M6105" s="2">
        <f>HYPERLINK("https://ru.wikipedia.org/w/index.php?search=%D0%9B%D1%8E%D0%B1%D0%BE%D0%B2%D1%8C%20%D0%BA%20%D1%82%D1%80%D1%91%D0%BC%20%D0%B0%D0%BF%D0%B5%D0%BB%D1%8C%D1%81%D0%B8%D0%BD%D0%B0%D0%BC%201970%20%D1%84%D0%B8%D0%BB%D1%8C%D0%BC","искать")</f>
        <v/>
      </c>
      <c r="N6105" s="3" t="n"/>
      <c r="O6105" s="2" t="n"/>
      <c r="P6105" s="2" t="n"/>
    </row>
    <row r="6106">
      <c r="A6106" s="2" t="n">
        <v>6105</v>
      </c>
      <c r="B6106" s="2" t="inlineStr"/>
      <c r="C6106" s="2" t="n">
        <v>10837</v>
      </c>
      <c r="D6106" s="3" t="inlineStr">
        <is>
          <t>Великая магия</t>
        </is>
      </c>
      <c r="E6106" s="2" t="n">
        <v>1980</v>
      </c>
      <c r="F6106" s="2" t="inlineStr">
        <is>
          <t>фильм-спектакль</t>
        </is>
      </c>
      <c r="G6106" s="2" t="inlineStr">
        <is>
          <t>ТО" Экран"</t>
        </is>
      </c>
      <c r="H6106" s="2" t="n">
        <v>468</v>
      </c>
      <c r="I6106" s="2" t="inlineStr"/>
      <c r="J6106" s="2" t="inlineStr"/>
      <c r="K6106" s="3" t="inlineStr">
        <is>
          <t>Один из лучших спектаклей по пьесам Эдуардо де Филиппо в постановке Театра им. Е.Вахтангова. Автор русского текста Сергей Михалков.
Иллюзионист Отто Марвулья убеждает Колоджеро ди Спелта, что его жена Марта спрятана в шкатулке. Обманывая таким образом мужа-простака, он помогает Марте бежать с любовником. Через два года она возвращается и во всем признается мужу. Но Колоджеро не может поверить в это и остается в придуманном "магом" волшебном мире призрачных надежд.</t>
        </is>
      </c>
      <c r="L6106" s="2" t="inlineStr">
        <is>
          <t>https://www.kino-teatr.ru/teatr/movie/81520/annot/</t>
        </is>
      </c>
      <c r="M6106" s="2">
        <f>HYPERLINK("https://ru.wikipedia.org/w/index.php?search=%D0%92%D0%B5%D0%BB%D0%B8%D0%BA%D0%B0%D1%8F%20%D0%BC%D0%B0%D0%B3%D0%B8%D1%8F%201980%20%D1%84%D0%B8%D0%BB%D1%8C%D0%BC","искать")</f>
        <v/>
      </c>
      <c r="N6106" s="3" t="n"/>
      <c r="O6106" s="2" t="n"/>
      <c r="P6106" s="2" t="n"/>
    </row>
    <row r="6107">
      <c r="A6107" s="2" t="n">
        <v>6106</v>
      </c>
      <c r="B6107" s="2" t="inlineStr"/>
      <c r="C6107" s="2" t="n">
        <v>7202</v>
      </c>
      <c r="D6107" s="3" t="inlineStr">
        <is>
          <t>Алёшка и Валет</t>
        </is>
      </c>
      <c r="E6107" s="2" t="n">
        <v>1977</v>
      </c>
      <c r="F6107" s="2" t="inlineStr">
        <is>
          <t>телефильм</t>
        </is>
      </c>
      <c r="G6107" s="2" t="n"/>
      <c r="H6107" s="2" t="n">
        <v>469</v>
      </c>
      <c r="I6107" s="2" t="inlineStr"/>
      <c r="J6107" s="2" t="inlineStr"/>
      <c r="K6107" s="3" t="inlineStr">
        <is>
          <t>О трогательной дружбе мальчика Алёши и собаки Валета. К деду в заповедник из города на летние каникулы приехал Алёшка. Здесь его ждал сюрприз: в доме появился большой чёрный пес – Валет, его оставил Стёпка, сосед, уехавший на заработки. Они сразу подружились, мальчик и собака. Вдвоем на лодке они путешествовали по речным протокам, заросшим камышом, спасали пойманную браконьерскими сетями рыбу, наблюдали, как растут маленькие олени, недавно привезенные в заповедник.</t>
        </is>
      </c>
      <c r="L6107" s="2" t="inlineStr">
        <is>
          <t>Кино_СССР сводный каталог.xlsx: список телефильмов</t>
        </is>
      </c>
      <c r="M6107" s="2">
        <f>HYPERLINK("https://ru.wikipedia.org/w/index.php?search=%D0%90%D0%BB%D1%91%D1%88%D0%BA%D0%B0%20%D0%B8%20%D0%92%D0%B0%D0%BB%D0%B5%D1%82%201977%20%D1%84%D0%B8%D0%BB%D1%8C%D0%BC","искать")</f>
        <v/>
      </c>
      <c r="N6107" s="3" t="n"/>
      <c r="O6107" s="2" t="n"/>
      <c r="P6107" s="2" t="n"/>
    </row>
    <row r="6108">
      <c r="A6108" s="2" t="n">
        <v>6107</v>
      </c>
      <c r="B6108" s="2" t="inlineStr"/>
      <c r="C6108" s="2" t="n">
        <v>7309</v>
      </c>
      <c r="D6108" s="3" t="inlineStr">
        <is>
          <t>Варькина земля</t>
        </is>
      </c>
      <c r="E6108" s="2" t="n">
        <v>1969</v>
      </c>
      <c r="F6108" s="2" t="inlineStr">
        <is>
          <t>телефильм</t>
        </is>
      </c>
      <c r="G6108" s="2" t="inlineStr">
        <is>
          <t>к/с им. Довженко</t>
        </is>
      </c>
      <c r="H6108" s="2" t="n">
        <v>469</v>
      </c>
      <c r="I6108" s="2" t="inlineStr"/>
      <c r="J6108" s="2" t="inlineStr"/>
      <c r="K6108" s="3" t="inlineStr">
        <is>
          <t>Варя Кравец после окончания школы остаётся в родном колхозе, где встречает её первая любовь. После гибели любимого Вари, кризис помогают преодолеть односельчане.
Четырёхсерийный телефильм А. Буковского «Варькина земля» отображает становление характера молодой девушки (Н. Антонова) на широком фоне колхозной жизни. Вступив после окончания школы в самостоятельную жизнь, Варя сталкивается с её сложностями, но не уступает им, не боится трудностей и не ищет лёгких путей.</t>
        </is>
      </c>
      <c r="L6108" s="2" t="inlineStr">
        <is>
          <t>https://ru.wikipedia.org/w/index.php?title=%D0%92%D0%B0%D1%80%D1%8C%D0%BA%D0%B8%D0%BD%D0%B0_%D0%B7%D0%B5%D0%BC%D0%BB%D1%8F&amp;oldid=145842937</t>
        </is>
      </c>
      <c r="M6108" s="2">
        <f>HYPERLINK("https://ru.wikipedia.org/w/index.php?search=%D0%92%D0%B0%D1%80%D1%8C%D0%BA%D0%B8%D0%BD%D0%B0%20%D0%B7%D0%B5%D0%BC%D0%BB%D1%8F%201969%20%D1%84%D0%B8%D0%BB%D1%8C%D0%BC","искать")</f>
        <v/>
      </c>
      <c r="N6108" s="3" t="n"/>
      <c r="O6108" s="2" t="n"/>
      <c r="P6108" s="2" t="n"/>
    </row>
    <row r="6109">
      <c r="A6109" s="2" t="n">
        <v>6108</v>
      </c>
      <c r="B6109" s="2" t="inlineStr"/>
      <c r="C6109" s="2" t="n">
        <v>8335</v>
      </c>
      <c r="D6109" s="3" t="inlineStr">
        <is>
          <t>Сердце не камень</t>
        </is>
      </c>
      <c r="E6109" s="2" t="n">
        <v>1989</v>
      </c>
      <c r="F6109" s="2" t="inlineStr">
        <is>
          <t>телефильм</t>
        </is>
      </c>
      <c r="G6109" s="2" t="n"/>
      <c r="H6109" s="2" t="n">
        <v>469</v>
      </c>
      <c r="I6109" s="2" t="inlineStr"/>
      <c r="J6109" s="2" t="inlineStr"/>
      <c r="K6109" s="3" t="inlineStr">
        <is>
          <t>Телефильм по одноименной пьесе А. Н. Островского. В богатом купеческом доме, словно птица в клетке, томится молодая красавица Вера Филипповна. В 15 лет она вышла замуж за богача Каркунова. Любви Вера Филипповна к мужу не питала, но, будучи порядочной барышней, была ему верной женой. Теперь, когда дни Потапа Потапыча сочтены, хитрый и коварный приказчик Ераст плетет интригу вокруг Веры Филипповны, пытаясь опорочить ее в глазах мужа, дабы завладеть немалым капиталом.</t>
        </is>
      </c>
      <c r="L6109" s="2" t="inlineStr">
        <is>
          <t>Кино_СССР сводный каталог.xlsx: список телефильмов</t>
        </is>
      </c>
      <c r="M6109" s="2">
        <f>HYPERLINK("https://ru.wikipedia.org/w/index.php?search=%D0%A1%D0%B5%D1%80%D0%B4%D1%86%D0%B5%20%D0%BD%D0%B5%20%D0%BA%D0%B0%D0%BC%D0%B5%D0%BD%D1%8C%201989%20%D1%84%D0%B8%D0%BB%D1%8C%D0%BC","искать")</f>
        <v/>
      </c>
      <c r="N6109" s="3" t="n"/>
      <c r="O6109" s="2" t="n"/>
      <c r="P6109" s="2" t="n"/>
    </row>
    <row r="6110">
      <c r="A6110" s="2" t="n">
        <v>6109</v>
      </c>
      <c r="B6110" s="2" t="inlineStr"/>
      <c r="C6110" s="2" t="n">
        <v>8932</v>
      </c>
      <c r="D6110" s="3" t="inlineStr">
        <is>
          <t>Пленник земли</t>
        </is>
      </c>
      <c r="E6110" s="2" t="n">
        <v>1990</v>
      </c>
      <c r="F6110" s="2" t="inlineStr">
        <is>
          <t>кинофильм</t>
        </is>
      </c>
      <c r="G6110" s="2" t="n"/>
      <c r="H6110" s="2" t="n">
        <v>469</v>
      </c>
      <c r="I6110" s="2" t="inlineStr"/>
      <c r="J6110" s="2" t="inlineStr"/>
      <c r="K6110" s="3" t="inlineStr">
        <is>
          <t>Американские лётчики заметили потерпевший крушение советский самолет. Поскольку связи с базой не было из-за магнитной бури, а приземление на месте катастрофы было невозможно, они улетели за помощью, выбросив с парашютом одного из членов своего экипажа. Добравшись до разбитого самолета, американец нашёл единственного оставшегося в живых русского, тяжело раненого и не способного передвигаться. Они будут вместе бороться за существование в течение долгой полярной ночи.</t>
        </is>
      </c>
      <c r="L6110" s="2" t="inlineStr">
        <is>
          <t>https://ru.wikipedia.org/w/index.php?title=%D0%9F%D0%BB%D0%B5%D0%BD%D0%BD%D0%B8%D0%BA_%D0%B7%D0%B5%D0%BC%D0%BB%D0%B8&amp;oldid=155485496</t>
        </is>
      </c>
      <c r="M6110" s="2">
        <f>HYPERLINK("https://ru.wikipedia.org/w/index.php?search=%D0%9F%D0%BB%D0%B5%D0%BD%D0%BD%D0%B8%D0%BA%20%D0%B7%D0%B5%D0%BC%D0%BB%D0%B8%201990%20%D1%84%D0%B8%D0%BB%D1%8C%D0%BC","искать")</f>
        <v/>
      </c>
      <c r="N6110" s="3" t="n"/>
      <c r="O6110" s="2" t="n"/>
      <c r="P6110" s="2" t="n"/>
    </row>
    <row r="6111">
      <c r="A6111" s="2" t="n">
        <v>6110</v>
      </c>
      <c r="B6111" s="2" t="inlineStr"/>
      <c r="C6111" s="2" t="n">
        <v>11144</v>
      </c>
      <c r="D6111" s="3" t="inlineStr">
        <is>
          <t>Виноватые</t>
        </is>
      </c>
      <c r="E6111" s="2" t="n">
        <v>1987</v>
      </c>
      <c r="F6111" s="2" t="inlineStr">
        <is>
          <t>фильм-спектакль</t>
        </is>
      </c>
      <c r="G6111" s="2" t="inlineStr">
        <is>
          <t>Главная редакция литературно-драматических программ ЦТ</t>
        </is>
      </c>
      <c r="H6111" s="2" t="n">
        <v>469</v>
      </c>
      <c r="I6111" s="2" t="inlineStr"/>
      <c r="J6111" s="2" t="inlineStr"/>
      <c r="K6111" s="3" t="inlineStr">
        <is>
          <t>По одноименной пьесе Алексея Арбузова в постановке Государственного академического театра имени Моссовета.
В доме молодого юриста Леонтия Соколика появляется домработница Мария Васильевна. Постепенно выясняется, что она - мать Леонтия, которого бросила в раннем детстве. Чувствуя свою вину перед сыном, она пытается помешать разладу между ним и его женой Тоней. Мария Васильевна признается Леонтию в том, что она - его мать, и, не выдержав нервного напряжения, умирает.</t>
        </is>
      </c>
      <c r="L6111" s="2" t="inlineStr">
        <is>
          <t>https://www.kino-teatr.ru/teatr/movie/81287/annot/</t>
        </is>
      </c>
      <c r="M6111" s="2">
        <f>HYPERLINK("https://ru.wikipedia.org/w/index.php?search=%D0%92%D0%B8%D0%BD%D0%BE%D0%B2%D0%B0%D1%82%D1%8B%D0%B5%201987%20%D1%84%D0%B8%D0%BB%D1%8C%D0%BC","искать")</f>
        <v/>
      </c>
      <c r="N6111" s="3" t="n"/>
      <c r="O6111" s="2" t="n"/>
      <c r="P6111" s="2" t="n"/>
    </row>
    <row r="6112">
      <c r="A6112" s="2" t="n">
        <v>6111</v>
      </c>
      <c r="B6112" s="2" t="inlineStr"/>
      <c r="C6112" s="2" t="n">
        <v>11465</v>
      </c>
      <c r="D6112" s="3" t="inlineStr">
        <is>
          <t>Честное крокодильское!</t>
        </is>
      </c>
      <c r="E6112" s="2" t="n">
        <v>1967</v>
      </c>
      <c r="F6112" s="2" t="inlineStr">
        <is>
          <t>мультфильм</t>
        </is>
      </c>
      <c r="G6112" s="2" t="inlineStr">
        <is>
          <t>Союзмультфильм</t>
        </is>
      </c>
      <c r="H6112" s="2" t="n">
        <v>469</v>
      </c>
      <c r="I6112" s="2" t="inlineStr"/>
      <c r="J6112" s="2" t="inlineStr"/>
      <c r="K6112" s="3" t="inlineStr">
        <is>
          <t>В стране, где жил Крокодильчик, все взрослые курили: и дядя Вулкан, и дядя Паровоз, и дядя Пароход. Крокодильчику очень хотелось поскорей стать таким же большим и уважаемым. И вот однажды он не вытерпел, закурил сигару и...задымился. Слоника отнесла его в больницу, а он все дымился. Пожарники грачи еле залили дым водой. С тех пор Крокодильчик в рот не брал курева. Бросили курить и Паровозик и Пароходик. Только дядя Вулкан не бросил, докурился до того, что взорвался</t>
        </is>
      </c>
      <c r="L6112" s="2" t="inlineStr">
        <is>
          <t>https://gosfilmofond.ru/films/246576/</t>
        </is>
      </c>
      <c r="M6112" s="2">
        <f>HYPERLINK("https://ru.wikipedia.org/w/index.php?search=%D0%A7%D0%B5%D1%81%D1%82%D0%BD%D0%BE%D0%B5%20%D0%BA%D1%80%D0%BE%D0%BA%D0%BE%D0%B4%D0%B8%D0%BB%D1%8C%D1%81%D0%BA%D0%BE%D0%B5%21%201967%20%D1%84%D0%B8%D0%BB%D1%8C%D0%BC","искать")</f>
        <v/>
      </c>
      <c r="N6112" s="3" t="n"/>
      <c r="O6112" s="2" t="n"/>
      <c r="P6112" s="2" t="n"/>
    </row>
    <row r="6113">
      <c r="A6113" s="2" t="n">
        <v>6112</v>
      </c>
      <c r="B6113" s="2" t="inlineStr"/>
      <c r="C6113" s="2" t="n">
        <v>11518</v>
      </c>
      <c r="D6113" s="3" t="inlineStr">
        <is>
          <t>Крылья дядюшки Марабу</t>
        </is>
      </c>
      <c r="E6113" s="2" t="n">
        <v>1969</v>
      </c>
      <c r="F6113" s="2" t="inlineStr">
        <is>
          <t>мультфильм</t>
        </is>
      </c>
      <c r="G6113" s="2" t="inlineStr">
        <is>
          <t>Союзмультфильм</t>
        </is>
      </c>
      <c r="H6113" s="2" t="n">
        <v>469</v>
      </c>
      <c r="I6113" s="2" t="inlineStr"/>
      <c r="J6113" s="2" t="inlineStr"/>
      <c r="K6113" s="3" t="inlineStr">
        <is>
          <t>Жил на свете Крокодил, всему завидовал, но крылья дядюшки Марабу были предметом самой жгучей его зависти. И решил Крокодил обмануть Марабу: попросил у него крылья полетать, да и улетел на них в дальний незнакомый город. Люди решили - дракон появился в их королевстве. Крокодилу понравилось это, начал он требовать дань и принцессу в жены. Но тут Старичок разоблачил Крокодила. И оказался обманщик в зоопарке. А крылья отправили Марабу, чтобы поменьше доверял крокодилам</t>
        </is>
      </c>
      <c r="L6113" s="2" t="inlineStr">
        <is>
          <t>https://gosfilmofond.ru/films/254752/</t>
        </is>
      </c>
      <c r="M6113" s="2">
        <f>HYPERLINK("https://ru.wikipedia.org/w/index.php?search=%D0%9A%D1%80%D1%8B%D0%BB%D1%8C%D1%8F%20%D0%B4%D1%8F%D0%B4%D1%8E%D1%88%D0%BA%D0%B8%20%D0%9C%D0%B0%D1%80%D0%B0%D0%B1%D1%83%201969%20%D1%84%D0%B8%D0%BB%D1%8C%D0%BC","искать")</f>
        <v/>
      </c>
      <c r="N6113" s="3" t="n"/>
      <c r="O6113" s="2" t="n"/>
      <c r="P6113" s="2" t="n"/>
    </row>
    <row r="6114">
      <c r="A6114" s="2" t="n">
        <v>6113</v>
      </c>
      <c r="B6114" s="2" t="inlineStr"/>
      <c r="C6114" s="2" t="n">
        <v>12846</v>
      </c>
      <c r="D6114" s="3" t="inlineStr">
        <is>
          <t>Славный Бакури</t>
        </is>
      </c>
      <c r="E6114" s="2" t="n">
        <v>1971</v>
      </c>
      <c r="F6114" s="2" t="inlineStr">
        <is>
          <t>мультфильм</t>
        </is>
      </c>
      <c r="G6114" s="2" t="inlineStr">
        <is>
          <t>ГРУЗИЯ-ФИЛЬМ - АО</t>
        </is>
      </c>
      <c r="H6114" s="2" t="n">
        <v>469</v>
      </c>
      <c r="I6114" s="2" t="inlineStr"/>
      <c r="J6114" s="2" t="inlineStr"/>
      <c r="K6114" s="3" t="inlineStr">
        <is>
          <t>Давным-давно, когда с неба вместо снега падала каша, жили в деревне Пфапфа, что по грузински и означает - каша, три лентяя, а также трудолюбивый Бакури. Лентяи только ели, да ссорились из-за ложек, которые однажды сломались. Пришла троица в лес, где Бакури рубил для них огромную ложку. И, спросив, кто из ленивцев хочет быстрее заполучить ее к обеду, Бакури вручил им свой топор...И стали они трудиться. Так вот и выросло среди дремучих лесов прекрасное село Бакуриани</t>
        </is>
      </c>
      <c r="L6114" s="2" t="inlineStr">
        <is>
          <t>https://gosfilmofond.ru/films/254769/</t>
        </is>
      </c>
      <c r="M6114" s="2">
        <f>HYPERLINK("https://ru.wikipedia.org/w/index.php?search=%D0%A1%D0%BB%D0%B0%D0%B2%D0%BD%D1%8B%D0%B9%20%D0%91%D0%B0%D0%BA%D1%83%D1%80%D0%B8%201971%20%D1%84%D0%B8%D0%BB%D1%8C%D0%BC","искать")</f>
        <v/>
      </c>
      <c r="N6114" s="3" t="n"/>
      <c r="O6114" s="2" t="n"/>
      <c r="P6114" s="2" t="n"/>
    </row>
    <row r="6115">
      <c r="A6115" s="2" t="n">
        <v>6114</v>
      </c>
      <c r="B6115" s="2" t="inlineStr"/>
      <c r="C6115" s="2" t="n">
        <v>9095</v>
      </c>
      <c r="D6115" s="3" t="inlineStr">
        <is>
          <t>Твербуль</t>
        </is>
      </c>
      <c r="E6115" s="2" t="n">
        <v>1990</v>
      </c>
      <c r="F6115" s="2" t="inlineStr">
        <is>
          <t>кинофильм</t>
        </is>
      </c>
      <c r="G6115" s="2" t="n"/>
      <c r="H6115" s="2" t="n">
        <v>470</v>
      </c>
      <c r="I6115" s="2" t="inlineStr"/>
      <c r="J6115" s="2" t="inlineStr"/>
      <c r="K6115" s="3" t="inlineStr">
        <is>
          <t>Коммунальная квартира на Тверском бульваре.Небольшой устоявшийся мирок,в котором царят свои старсти,свои интересы.Но появляется в квартире новый жилец, и все доброе и привычное рушится на глазах.Новичок,человек замкнутый и озлобленный,соблазняет Тетку,молодую соседку.Тогда дворник,безнадежно влюбленный в нее,кончает жизнь самоубийством.Вместе с ним погибает Хронь,любившая дворника.Несчастья следуют одно за другим...А виновник всех бед садится в свою машину и уезжает</t>
        </is>
      </c>
      <c r="L6115" s="2" t="inlineStr">
        <is>
          <t>https://gosfilmofond.ru/films/253183/</t>
        </is>
      </c>
      <c r="M6115" s="2">
        <f>HYPERLINK("https://ru.wikipedia.org/w/index.php?search=%D0%A2%D0%B2%D0%B5%D1%80%D0%B1%D1%83%D0%BB%D1%8C%201990%20%D1%84%D0%B8%D0%BB%D1%8C%D0%BC","искать")</f>
        <v/>
      </c>
      <c r="N6115" s="3" t="n"/>
      <c r="O6115" s="2" t="n"/>
      <c r="P6115" s="2" t="n"/>
    </row>
    <row r="6116">
      <c r="A6116" s="2" t="n">
        <v>6115</v>
      </c>
      <c r="B6116" s="2" t="inlineStr"/>
      <c r="C6116" s="2" t="n">
        <v>9958</v>
      </c>
      <c r="D6116" s="3" t="inlineStr">
        <is>
          <t>Сват</t>
        </is>
      </c>
      <c r="E6116" s="2" t="n">
        <v>1980</v>
      </c>
      <c r="F6116" s="2" t="inlineStr">
        <is>
          <t>телефильм</t>
        </is>
      </c>
      <c r="G6116" s="2" t="inlineStr">
        <is>
          <t>Новосибирская студия телевидения</t>
        </is>
      </c>
      <c r="H6116" s="2" t="n">
        <v>470</v>
      </c>
      <c r="I6116" s="2" t="inlineStr"/>
      <c r="J6116" s="2" t="inlineStr"/>
      <c r="K6116" s="3" t="inlineStr">
        <is>
          <t>По мотивам рассказа М.Киселёвой "Таискин гусь".
Наверное, половину родного села пересватал дед Степан, потому что всегда его тянуло делать добро людям. Не отучила его от этого и тяжелая болезнь. Возвратившись из больницы в родное село, он снова оказывается в самой гуще сложных взаимоотношений окружающих его людей. И снова ему приходится выступать в роли свата. Только на этот раз вся энергия деда Степана направлена на то, чтобы помочь оказаться вместе… гусю и гусыне.</t>
        </is>
      </c>
      <c r="L6116" s="2" t="inlineStr">
        <is>
          <t>https://www.kino-teatr.ru/short/movie/sov/92672/annot/</t>
        </is>
      </c>
      <c r="M6116" s="2">
        <f>HYPERLINK("https://ru.wikipedia.org/w/index.php?search=%D0%A1%D0%B2%D0%B0%D1%82%201980%20%D1%84%D0%B8%D0%BB%D1%8C%D0%BC","искать")</f>
        <v/>
      </c>
      <c r="N6116" s="3" t="n"/>
      <c r="O6116" s="2" t="n"/>
      <c r="P6116" s="2" t="n"/>
    </row>
    <row r="6117">
      <c r="A6117" s="2" t="n">
        <v>6116</v>
      </c>
      <c r="B6117" s="2" t="inlineStr"/>
      <c r="C6117" s="2" t="n">
        <v>11058</v>
      </c>
      <c r="D6117" s="3" t="inlineStr">
        <is>
          <t>Дорогая Памелла</t>
        </is>
      </c>
      <c r="E6117" s="2" t="n">
        <v>1985</v>
      </c>
      <c r="F6117" s="2" t="inlineStr">
        <is>
          <t>фильм-спектакль</t>
        </is>
      </c>
      <c r="G6117" s="2" t="inlineStr">
        <is>
          <t>Главная редакция литературно-драматических программ ЦТ</t>
        </is>
      </c>
      <c r="H6117" s="2" t="n">
        <v>470</v>
      </c>
      <c r="I6117" s="2" t="inlineStr"/>
      <c r="J6117" s="2" t="inlineStr"/>
      <c r="K6117" s="3" t="inlineStr">
        <is>
          <t>Пьеса Джона Патрика "Как бы нам пришить старушку", перевод Р.Быковой.
Спектакль театра им. Ленинского комсомола.
Три мошенника, спасаясь от преследования полиции, приходят в дом к одинокой старушке - "божьему одуванчику" Памеле Кронки. Им в голову приходит блестящая мысль - застраховать Памелу, устроить ей несчастный случай и получить денежки. Но Памела своей чистотой, верой в людей и любовью к ним заставляет мошенников понять, что деньги в жизни - не самое главное.</t>
        </is>
      </c>
      <c r="L6117" s="2" t="inlineStr">
        <is>
          <t>https://www.kino-teatr.ru/teatr/movie/2001/annot/</t>
        </is>
      </c>
      <c r="M6117" s="2">
        <f>HYPERLINK("https://ru.wikipedia.org/w/index.php?search=%D0%94%D0%BE%D1%80%D0%BE%D0%B3%D0%B0%D1%8F%20%D0%9F%D0%B0%D0%BC%D0%B5%D0%BB%D0%BB%D0%B0%201985%20%D1%84%D0%B8%D0%BB%D1%8C%D0%BC","искать")</f>
        <v/>
      </c>
      <c r="N6117" s="3" t="n"/>
      <c r="O6117" s="2" t="n"/>
      <c r="P6117" s="2" t="n"/>
    </row>
    <row r="6118">
      <c r="A6118" s="2" t="n">
        <v>6117</v>
      </c>
      <c r="B6118" s="2" t="inlineStr"/>
      <c r="C6118" s="2" t="n">
        <v>9352</v>
      </c>
      <c r="D6118" s="3" t="inlineStr">
        <is>
          <t>Дышите глубже</t>
        </is>
      </c>
      <c r="E6118" s="2" t="n">
        <v>1967</v>
      </c>
      <c r="F6118" s="2" t="inlineStr">
        <is>
          <t>кинофильм</t>
        </is>
      </c>
      <c r="G6118" s="2" t="n"/>
      <c r="H6118" s="2" t="n">
        <v>471</v>
      </c>
      <c r="I6118" s="2" t="inlineStr"/>
      <c r="J6118" s="2" t="inlineStr"/>
      <c r="K6118" s="3" t="inlineStr">
        <is>
          <t>Молодой рабочий Цезарь Калныньш в свободное время увлечённо занимается музыкой. Самодеятельный коллектив «Оптимисты» с успехом исполняет написанные им песни. Для успешного творческого роста им не хватает только возможности играть свою музыку на публике.
Чиновник от культуры Анита Сондоре делает всё от неё зависящее, чтобы не допустить молодых музыкантов на сцену. Бескомпромиссная позиция Цезаря, не желающего идти ни на какие уступки, помогает ей исполнить задуманное.</t>
        </is>
      </c>
      <c r="L6118" s="2" t="inlineStr">
        <is>
          <t>https://ru.wikipedia.org/w/index.php?title=%D0%94%D1%8B%D1%88%D0%B8%D1%82%D0%B5_%D0%B3%D0%BB%D1%83%D0%B1%D0%B6%D0%B5&amp;oldid=152202787</t>
        </is>
      </c>
      <c r="M6118" s="2">
        <f>HYPERLINK("https://ru.wikipedia.org/w/index.php?search=%D0%94%D1%8B%D1%88%D0%B8%D1%82%D0%B5%20%D0%B3%D0%BB%D1%83%D0%B1%D0%B6%D0%B5%201967%20%D1%84%D0%B8%D0%BB%D1%8C%D0%BC","искать")</f>
        <v/>
      </c>
      <c r="N6118" s="3" t="n"/>
      <c r="O6118" s="2" t="n"/>
      <c r="P6118" s="2" t="n"/>
    </row>
    <row r="6119">
      <c r="A6119" s="2" t="n">
        <v>6118</v>
      </c>
      <c r="B6119" s="2" t="inlineStr"/>
      <c r="C6119" s="2" t="n">
        <v>12706</v>
      </c>
      <c r="D6119" s="3" t="inlineStr">
        <is>
          <t>Миловица</t>
        </is>
      </c>
      <c r="E6119" s="2" t="n">
        <v>1977</v>
      </c>
      <c r="F6119" s="2" t="inlineStr">
        <is>
          <t>мультфильм</t>
        </is>
      </c>
      <c r="G6119" s="2" t="inlineStr">
        <is>
          <t>БЕЛАРУСЬФИЛЬМ НАЦИОНАЛЬНАЯ КИНОСТУДИЯ - ГП</t>
        </is>
      </c>
      <c r="H6119" s="2" t="n">
        <v>471</v>
      </c>
      <c r="I6119" s="2" t="inlineStr"/>
      <c r="J6119" s="2" t="inlineStr"/>
      <c r="K6119" s="3" t="inlineStr">
        <is>
          <t>Лирическая сказка о том, как простой деревенский парень влюбился в красавицу Миловицу - сестру Солнца. Но беда в том, что ответить взаимностью Миловица не может. Она всего лишь отражение солнца в речной воде. Чтобы ступить на землю ей необходимо одеть стеклянные сапожки, которые надо успеть сделать до того, как первый луч солнца упадет на землю. Влюбленный парень справляется с этой задачей. Но вечером его ждет разочарование - Миловица исчезает вместе с заходом солнца</t>
        </is>
      </c>
      <c r="L6119" s="2" t="inlineStr">
        <is>
          <t>2026-10_мультфильмы_список_владельца.xlsx; https://animator.ru/db/?p=show_film&amp;fid=3901</t>
        </is>
      </c>
      <c r="M6119" s="2">
        <f>HYPERLINK("https://ru.wikipedia.org/w/index.php?search=%D0%9C%D0%B8%D0%BB%D0%BE%D0%B2%D0%B8%D1%86%D0%B0%201977%20%D1%84%D0%B8%D0%BB%D1%8C%D0%BC","искать")</f>
        <v/>
      </c>
      <c r="N6119" s="3" t="n"/>
      <c r="O6119" s="2" t="n"/>
      <c r="P6119" s="2" t="n"/>
    </row>
    <row r="6120">
      <c r="A6120" s="2" t="n">
        <v>6119</v>
      </c>
      <c r="B6120" s="2" t="inlineStr"/>
      <c r="C6120" s="2" t="n">
        <v>11968</v>
      </c>
      <c r="D6120" s="3" t="inlineStr">
        <is>
          <t>Бедняк и жадный бай</t>
        </is>
      </c>
      <c r="E6120" s="2" t="n">
        <v>1976</v>
      </c>
      <c r="F6120" s="2" t="inlineStr">
        <is>
          <t>мультфильм</t>
        </is>
      </c>
      <c r="G6120" s="2" t="n"/>
      <c r="H6120" s="2" t="n">
        <v>472</v>
      </c>
      <c r="I6120" s="2" t="inlineStr"/>
      <c r="J6120" s="2" t="inlineStr"/>
      <c r="K6120" s="3" t="inlineStr">
        <is>
          <t>По мотивам народной туркменской сказки о том, как бедняк проучил жадного бая. Жил-был бедняк, который с утра до вечера трудился, но все достатка не было. И жил богатый жадный бай. Однажды Ворона принесла бедняку волшебную скатерть. Но бай украл эту диковину. Потом отбирает он и единственного осла. А когда Ворона подарила бедняку сундчок, бай тоже украл его и унес к себе во дворец. Но сундучок взорвался и взлетел дворец на воздух. А бедняк вновь трудится на своей земле</t>
        </is>
      </c>
      <c r="L6120" s="2" t="inlineStr">
        <is>
          <t>https://gosfilmofond.ru/films/250603/</t>
        </is>
      </c>
      <c r="M6120" s="2">
        <f>HYPERLINK("https://ru.wikipedia.org/w/index.php?search=%D0%91%D0%B5%D0%B4%D0%BD%D1%8F%D0%BA%20%D0%B8%20%D0%B6%D0%B0%D0%B4%D0%BD%D1%8B%D0%B9%20%D0%B1%D0%B0%D0%B9%201976%20%D1%84%D0%B8%D0%BB%D1%8C%D0%BC","искать")</f>
        <v/>
      </c>
      <c r="N6120" s="3" t="n"/>
      <c r="O6120" s="2" t="n"/>
      <c r="P6120" s="2" t="n"/>
    </row>
    <row r="6121">
      <c r="A6121" s="2" t="n">
        <v>6120</v>
      </c>
      <c r="B6121" s="2" t="inlineStr"/>
      <c r="C6121" s="2" t="n">
        <v>7306</v>
      </c>
      <c r="D6121" s="3" t="inlineStr">
        <is>
          <t>Вальс длиною в жизнь</t>
        </is>
      </c>
      <c r="E6121" s="2" t="n">
        <v>1990</v>
      </c>
      <c r="F6121" s="2" t="inlineStr">
        <is>
          <t>телефильм</t>
        </is>
      </c>
      <c r="G6121" s="2" t="n"/>
      <c r="H6121" s="2" t="n">
        <v>473</v>
      </c>
      <c r="I6121" s="2" t="inlineStr"/>
      <c r="J6121" s="2" t="inlineStr"/>
      <c r="K6121" s="3" t="inlineStr">
        <is>
          <t>О латышской женщине, покинувшей родину во время Второй мировой войны вслед за возлюбленным, молодым немецким солдатом. Велта несомненно сознавала, что ее никогда не оставят в покое угрызения совести и воспоминания о своем первом ребенке, отданном на воспитание сестре. И теперь поездка на родину в качестве гостьи, встречи с друзьями юности и такой чужой дочерью — все это составляет канву кинодрамы, правдиво и эмоционально рассказывающей о времени, ломавшем судьбы людей.</t>
        </is>
      </c>
      <c r="L6121" s="2" t="inlineStr">
        <is>
          <t>Кино_СССР сводный каталог.xlsx: список телефильмов</t>
        </is>
      </c>
      <c r="M6121" s="2">
        <f>HYPERLINK("https://ru.wikipedia.org/w/index.php?search=%D0%92%D0%B0%D0%BB%D1%8C%D1%81%20%D0%B4%D0%BB%D0%B8%D0%BD%D0%BE%D1%8E%20%D0%B2%20%D0%B6%D0%B8%D0%B7%D0%BD%D1%8C%201990%20%D1%84%D0%B8%D0%BB%D1%8C%D0%BC","искать")</f>
        <v/>
      </c>
      <c r="N6121" s="3" t="n"/>
      <c r="O6121" s="2" t="n"/>
      <c r="P6121" s="2" t="n"/>
    </row>
    <row r="6122">
      <c r="A6122" s="2" t="n">
        <v>6121</v>
      </c>
      <c r="B6122" s="2" t="inlineStr"/>
      <c r="C6122" s="2" t="n">
        <v>10072</v>
      </c>
      <c r="D6122" s="3" t="inlineStr">
        <is>
          <t>Композитор Имре Кальман</t>
        </is>
      </c>
      <c r="E6122" s="2" t="n">
        <v>1959</v>
      </c>
      <c r="F6122" s="2" t="inlineStr">
        <is>
          <t>фильм-спектакль</t>
        </is>
      </c>
      <c r="G6122" s="2" t="inlineStr">
        <is>
          <t>Центральное телевидение</t>
        </is>
      </c>
      <c r="H6122" s="2" t="n">
        <v>473</v>
      </c>
      <c r="I6122" s="2" t="inlineStr"/>
      <c r="J6122" s="2" t="inlineStr"/>
      <c r="K6122" s="3" t="inlineStr">
        <is>
          <t>О жизни и творчестве венгерского композитора Имре Кальмана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Сцены и арии из оперетт композитора: "Осенние маневры", "Цыган-премьер", "Маленький король" ("Маттео"), "Сильва", "Баядерка", "Марица", "Фиалка Монмартра", а также фрагменты из кинофильма "Мистер Икс".</t>
        </is>
      </c>
      <c r="L6122" s="2" t="inlineStr">
        <is>
          <t>https://www.kino-teatr.ru/teatr/movie/86569/annot/</t>
        </is>
      </c>
      <c r="M6122" s="2">
        <f>HYPERLINK("https://ru.wikipedia.org/w/index.php?search=%D0%9A%D0%BE%D0%BC%D0%BF%D0%BE%D0%B7%D0%B8%D1%82%D0%BE%D1%80%20%D0%98%D0%BC%D1%80%D0%B5%20%D0%9A%D0%B0%D0%BB%D1%8C%D0%BC%D0%B0%D0%BD%201959%20%D1%84%D0%B8%D0%BB%D1%8C%D0%BC","искать")</f>
        <v/>
      </c>
      <c r="N6122" s="3" t="n"/>
      <c r="O6122" s="2" t="n"/>
      <c r="P6122" s="2" t="n"/>
    </row>
    <row r="6123">
      <c r="A6123" s="2" t="n">
        <v>6122</v>
      </c>
      <c r="B6123" s="2" t="inlineStr"/>
      <c r="C6123" s="2" t="n">
        <v>10518</v>
      </c>
      <c r="D6123" s="3" t="inlineStr">
        <is>
          <t>Село Степанчиково и его обитатели</t>
        </is>
      </c>
      <c r="E6123" s="2" t="n">
        <v>1973</v>
      </c>
      <c r="F6123" s="2" t="inlineStr">
        <is>
          <t>фильм-спектакль</t>
        </is>
      </c>
      <c r="G6123" s="2" t="inlineStr">
        <is>
          <t>МХАТ им. Горького и ТО "Экран"</t>
        </is>
      </c>
      <c r="H6123" s="2" t="n">
        <v>473</v>
      </c>
      <c r="I6123" s="2" t="inlineStr"/>
      <c r="J6123" s="2" t="inlineStr"/>
      <c r="K6123" s="3" t="inlineStr">
        <is>
          <t>Спектакль МХАТ им. Горького.
По мотивам одноименной повести Ф. М. Достоевского
"Я только что соскочил со сковороды (вышел из университета) и некоторое время жил в Петербурге, когда получил от дяди, полковника Ростанева, письмо, в котором он звал меня к себе, в Степанчиково, чтобы жениться на гувернантке его детей (по слухам, прехорошенькой). Так я столкнулся со «сладкогласнейшим человеком» Фомой Фомичем Опискиным и был поставлен в круговорот удивительнейших событий..."</t>
        </is>
      </c>
      <c r="L6123" s="2" t="inlineStr">
        <is>
          <t>https://www.kino-teatr.ru/teatr/movie/87079/annot/</t>
        </is>
      </c>
      <c r="M6123" s="2">
        <f>HYPERLINK("https://ru.wikipedia.org/w/index.php?search=%D0%A1%D0%B5%D0%BB%D0%BE%20%D0%A1%D1%82%D0%B5%D0%BF%D0%B0%D0%BD%D1%87%D0%B8%D0%BA%D0%BE%D0%B2%D0%BE%20%D0%B8%20%D0%B5%D0%B3%D0%BE%20%D0%BE%D0%B1%D0%B8%D1%82%D0%B0%D1%82%D0%B5%D0%BB%D0%B8%201973%20%D1%84%D0%B8%D0%BB%D1%8C%D0%BC","искать")</f>
        <v/>
      </c>
      <c r="N6123" s="3" t="n"/>
      <c r="O6123" s="2" t="n"/>
      <c r="P6123" s="2" t="n"/>
    </row>
    <row r="6124">
      <c r="A6124" s="2" t="n">
        <v>6123</v>
      </c>
      <c r="B6124" s="2" t="inlineStr"/>
      <c r="C6124" s="2" t="n">
        <v>10645</v>
      </c>
      <c r="D6124" s="3" t="inlineStr">
        <is>
          <t>Иван Фёдорович Шпонька и его тётушка</t>
        </is>
      </c>
      <c r="E6124" s="2" t="n">
        <v>1976</v>
      </c>
      <c r="F6124" s="2" t="inlineStr">
        <is>
          <t>фильм-спектакль</t>
        </is>
      </c>
      <c r="G6124" s="2" t="inlineStr">
        <is>
          <t>Главная редакция литературно-драматический программ ЦТ</t>
        </is>
      </c>
      <c r="H6124" s="2" t="n">
        <v>473</v>
      </c>
      <c r="I6124" s="2" t="inlineStr"/>
      <c r="J6124" s="2" t="inlineStr"/>
      <c r="K6124" s="3" t="inlineStr">
        <is>
          <t>По одноименной повести Н.В.Гоголя.
Любимец учителей благонравнейший школьник Ванюша вырос и превратился в застенчивого доверчивого подпоручика в отставке Ивана Федоровича Шпоньку. В провинциальном имении вместе с тетушкой он ведет свое ленивое существование. И только одно происшествие смогло внести беспокойство в неизменный уклад его растительно-пустопорожней жизни - желание тетушки женить Ивана Федоровича. И тут ему снится сон, где он все же выполняет желание тетушки.</t>
        </is>
      </c>
      <c r="L6124" s="2" t="inlineStr">
        <is>
          <t>https://www.kino-teatr.ru/teatr/movie/2618/annot/</t>
        </is>
      </c>
      <c r="M6124" s="2">
        <f>HYPERLINK("https://ru.wikipedia.org/w/index.php?search=%D0%98%D0%B2%D0%B0%D0%BD%20%D0%A4%D1%91%D0%B4%D0%BE%D1%80%D0%BE%D0%B2%D0%B8%D1%87%20%D0%A8%D0%BF%D0%BE%D0%BD%D1%8C%D0%BA%D0%B0%20%D0%B8%20%D0%B5%D0%B3%D0%BE%20%D1%82%D1%91%D1%82%D1%83%D1%88%D0%BA%D0%B0%201976%20%D1%84%D0%B8%D0%BB%D1%8C%D0%BC","искать")</f>
        <v/>
      </c>
      <c r="N6124" s="3" t="n"/>
      <c r="O6124" s="2" t="n"/>
      <c r="P6124" s="2" t="n"/>
    </row>
    <row r="6125">
      <c r="A6125" s="2" t="n">
        <v>6124</v>
      </c>
      <c r="B6125" s="2" t="inlineStr"/>
      <c r="C6125" s="2" t="n">
        <v>11456</v>
      </c>
      <c r="D6125" s="3" t="inlineStr">
        <is>
          <t>Пророки и уроки</t>
        </is>
      </c>
      <c r="E6125" s="2" t="n">
        <v>1967</v>
      </c>
      <c r="F6125" s="2" t="inlineStr">
        <is>
          <t>мультфильм</t>
        </is>
      </c>
      <c r="G6125" s="2" t="inlineStr">
        <is>
          <t>Союзмультфильм</t>
        </is>
      </c>
      <c r="H6125" s="2" t="n">
        <v>473</v>
      </c>
      <c r="I6125" s="2" t="inlineStr"/>
      <c r="J6125" s="2" t="inlineStr"/>
      <c r="K6125" s="3" t="inlineStr">
        <is>
          <t>1917 год. Взятие Зимнего Дворца. Буржуазные пророки уверяют мир, что недолго просуществует советская власть. Но красная конница сметает в море белую армию. Ворона-пророк считает пятилетку утопией. Но встают заводы, зажигаются электрические лампочки, летают в небе самолеты. Снова каркает ворона, сидя на свастике. Но гитлеровский "блиц-криг" оканчивается поражением. Послевоенное строительство - металлургический комбинат, атомная электростанция, спутник.; беснуется буржуй</t>
        </is>
      </c>
      <c r="L6125" s="2" t="inlineStr">
        <is>
          <t>https://gosfilmofond.ru/films/254283/</t>
        </is>
      </c>
      <c r="M6125" s="2">
        <f>HYPERLINK("https://ru.wikipedia.org/w/index.php?search=%D0%9F%D1%80%D0%BE%D1%80%D0%BE%D0%BA%D0%B8%20%D0%B8%20%D1%83%D1%80%D0%BE%D0%BA%D0%B8%201967%20%D1%84%D0%B8%D0%BB%D1%8C%D0%BC","искать")</f>
        <v/>
      </c>
      <c r="N6125" s="3" t="n"/>
      <c r="O6125" s="2" t="n"/>
      <c r="P6125" s="2" t="n"/>
    </row>
    <row r="6126">
      <c r="A6126" s="2" t="n">
        <v>6125</v>
      </c>
      <c r="B6126" s="2" t="inlineStr"/>
      <c r="C6126" s="2" t="n">
        <v>10792</v>
      </c>
      <c r="D6126" s="3" t="inlineStr">
        <is>
          <t>Варвары</t>
        </is>
      </c>
      <c r="E6126" s="2" t="n">
        <v>1979</v>
      </c>
      <c r="F6126" s="2" t="inlineStr">
        <is>
          <t>фильм-спектакль</t>
        </is>
      </c>
      <c r="G6126" s="2" t="inlineStr">
        <is>
          <t>ТО "Экран"</t>
        </is>
      </c>
      <c r="H6126" s="2" t="n">
        <v>474</v>
      </c>
      <c r="I6126" s="2" t="inlineStr"/>
      <c r="J6126" s="2" t="inlineStr"/>
      <c r="K6126" s="3" t="inlineStr">
        <is>
          <t>По одноименной пьесе М.Горького в постановке Московского драматического театра на Малой Бронной.
Спектакль полон событиями и действиями: на наших глазах строятся и распадаются любовные многоугольники, происходят жаркие объяснения в любви и ненависти, случаются ограбление, попытка убийства, разрывы мужей с жёнами и детей с отцами. В сонный провинциальный городок приезжают столичные инженеры, и обыватели выходят им навстречу — каждая роль, на свой лад, почти совершенство.</t>
        </is>
      </c>
      <c r="L6126" s="2" t="inlineStr">
        <is>
          <t>https://www.kino-teatr.ru/teatr/movie/81447/annot/</t>
        </is>
      </c>
      <c r="M6126" s="2">
        <f>HYPERLINK("https://ru.wikipedia.org/w/index.php?search=%D0%92%D0%B0%D1%80%D0%B2%D0%B0%D1%80%D1%8B%201979%20%D1%84%D0%B8%D0%BB%D1%8C%D0%BC","искать")</f>
        <v/>
      </c>
      <c r="N6126" s="3" t="n"/>
      <c r="O6126" s="2" t="n"/>
      <c r="P6126" s="2" t="n"/>
    </row>
    <row r="6127">
      <c r="A6127" s="2" t="n">
        <v>6126</v>
      </c>
      <c r="B6127" s="2" t="inlineStr"/>
      <c r="C6127" s="2" t="n">
        <v>11138</v>
      </c>
      <c r="D6127" s="3" t="inlineStr">
        <is>
          <t>Анонимка</t>
        </is>
      </c>
      <c r="E6127" s="2" t="n">
        <v>1987</v>
      </c>
      <c r="F6127" s="2" t="inlineStr">
        <is>
          <t>фильм-спектакль</t>
        </is>
      </c>
      <c r="G6127" s="2" t="inlineStr">
        <is>
          <t>Главная редакция литературно-драматических программ ЦТ</t>
        </is>
      </c>
      <c r="H6127" s="2" t="n">
        <v>474</v>
      </c>
      <c r="I6127" s="2" t="inlineStr"/>
      <c r="J6127" s="2" t="inlineStr"/>
      <c r="K6127" s="3" t="inlineStr">
        <is>
          <t>По одноименной пьесе Сергея Михалкова.
Герой пьесы - хирург клинического отделения пластической косметологии Василий Васильевич Телкин, готовится отметить свое 60-летие. Но из вышестоящей инстанции в институт была переслана анонимка, в которой против Телкина выдвигались абсурдные обвинения. Несмотря на то, что Василий Васильевич пользовался всеобщим уважением, его коллеги слишком серьезно подошли к этому "сигналу" и тем самым нанесли незаслуженную обиду своему товарищу.</t>
        </is>
      </c>
      <c r="L6127" s="2" t="inlineStr">
        <is>
          <t>https://www.kino-teatr.ru/teatr/movie/80500/annot/</t>
        </is>
      </c>
      <c r="M6127" s="2">
        <f>HYPERLINK("https://ru.wikipedia.org/w/index.php?search=%D0%90%D0%BD%D0%BE%D0%BD%D0%B8%D0%BC%D0%BA%D0%B0%201987%20%D1%84%D0%B8%D0%BB%D1%8C%D0%BC","искать")</f>
        <v/>
      </c>
      <c r="N6127" s="3" t="n"/>
      <c r="O6127" s="2" t="n"/>
      <c r="P6127" s="2" t="n"/>
    </row>
    <row r="6128">
      <c r="A6128" s="2" t="n">
        <v>6127</v>
      </c>
      <c r="B6128" s="2" t="inlineStr"/>
      <c r="C6128" s="2" t="n">
        <v>8059</v>
      </c>
      <c r="D6128" s="3" t="inlineStr">
        <is>
          <t>Остров ржавого генерала</t>
        </is>
      </c>
      <c r="E6128" s="2" t="n">
        <v>1988</v>
      </c>
      <c r="F6128" s="2" t="inlineStr">
        <is>
          <t>телефильм</t>
        </is>
      </c>
      <c r="G6128" s="2" t="inlineStr">
        <is>
          <t>Творческое объединение «Экран»</t>
        </is>
      </c>
      <c r="H6128" s="2" t="n">
        <v>475</v>
      </c>
      <c r="I6128" s="2" t="inlineStr"/>
      <c r="J6128" s="2" t="inlineStr"/>
      <c r="K6128" s="3" t="inlineStr">
        <is>
          <t>Алиса Селезнёва, обычная московская школьница XXI века, получает роль Красной Шапочки в фильме-сказке и летит сниматься. В это время при раскопках обнаруживают старых боевых роботов и отправляют их на переплавку, но по дороге по морю они пропадают. Оказывается, они не полностью утратили свои военные способности и смогли сбежать, высадиться на необитаемом острове и начать подготовку к захвату человечества. Отлучившись в один из дней со съёмок, Алиса попадает к ним в плен.</t>
        </is>
      </c>
      <c r="L6128" s="2" t="inlineStr">
        <is>
          <t>https://ru.wikipedia.org/w/index.php?title=%D0%9E%D1%81%D1%82%D1%80%D0%BE%D0%B2_%D1%80%D0%B6%D0%B0%D0%B2%D0%BE%D0%B3%D0%BE_%D0%B3%D0%B5%D0%BD%D0%B5%D1%80%D0%B0%D0%BB%D0%B0&amp;oldid=147028327</t>
        </is>
      </c>
      <c r="M6128" s="2">
        <f>HYPERLINK("https://ru.wikipedia.org/w/index.php?search=%D0%9E%D1%81%D1%82%D1%80%D0%BE%D0%B2%20%D1%80%D0%B6%D0%B0%D0%B2%D0%BE%D0%B3%D0%BE%20%D0%B3%D0%B5%D0%BD%D0%B5%D1%80%D0%B0%D0%BB%D0%B0%201988%20%D1%84%D0%B8%D0%BB%D1%8C%D0%BC","искать")</f>
        <v/>
      </c>
      <c r="N6128" s="3" t="n"/>
      <c r="O6128" s="2" t="n"/>
      <c r="P6128" s="2" t="n"/>
    </row>
    <row r="6129">
      <c r="A6129" s="2" t="n">
        <v>6128</v>
      </c>
      <c r="B6129" s="2" t="inlineStr"/>
      <c r="C6129" s="2" t="n">
        <v>10582</v>
      </c>
      <c r="D6129" s="3" t="inlineStr">
        <is>
          <t>Преступление Сильвестра Бонара</t>
        </is>
      </c>
      <c r="E6129" s="2" t="n">
        <v>1974</v>
      </c>
      <c r="F6129" s="2" t="inlineStr">
        <is>
          <t>фильм-спектакль</t>
        </is>
      </c>
      <c r="G6129" s="2" t="inlineStr">
        <is>
          <t>ЦТ, Главная редакция литературно-драматических программ</t>
        </is>
      </c>
      <c r="H6129" s="2" t="n">
        <v>475</v>
      </c>
      <c r="I6129" s="2" t="inlineStr"/>
      <c r="J6129" s="2" t="inlineStr"/>
      <c r="K6129" s="3" t="inlineStr">
        <is>
          <t>По роману Анатоля Франса.
Действие происходит в Париже в 1860-1880-х годах. Главный герой - старый книжник, одержимый благородной страстью к старинным манускриптам. Однажды он помог бедной женщине, жившей по соседству, послав ей чашку бульона и полено для камина. Скоро Бонар забыл о своем поступке. Спустя восемь лет он получил в подарок стариннную рукопись, о которой давно мечтал, и с удивлением узнал, что дарительницей была та женщина, которой он помог в трудную минуту.</t>
        </is>
      </c>
      <c r="L6129" s="2" t="inlineStr">
        <is>
          <t>https://www.kino-teatr.ru/teatr/movie/80070/annot/</t>
        </is>
      </c>
      <c r="M6129" s="2">
        <f>HYPERLINK("https://ru.wikipedia.org/w/index.php?search=%D0%9F%D1%80%D0%B5%D1%81%D1%82%D1%83%D0%BF%D0%BB%D0%B5%D0%BD%D0%B8%D0%B5%20%D0%A1%D0%B8%D0%BB%D1%8C%D0%B2%D0%B5%D1%81%D1%82%D1%80%D0%B0%20%D0%91%D0%BE%D0%BD%D0%B0%D1%80%D0%B0%201974%20%D1%84%D0%B8%D0%BB%D1%8C%D0%BC","искать")</f>
        <v/>
      </c>
      <c r="N6129" s="3" t="n"/>
      <c r="O6129" s="2" t="n"/>
      <c r="P6129" s="2" t="n"/>
    </row>
    <row r="6130">
      <c r="A6130" s="2" t="n">
        <v>6129</v>
      </c>
      <c r="B6130" s="2" t="inlineStr"/>
      <c r="C6130" s="2" t="n">
        <v>11516</v>
      </c>
      <c r="D6130" s="3" t="inlineStr">
        <is>
          <t>Капризная принцесса</t>
        </is>
      </c>
      <c r="E6130" s="2" t="n">
        <v>1969</v>
      </c>
      <c r="F6130" s="2" t="inlineStr">
        <is>
          <t>мультфильм</t>
        </is>
      </c>
      <c r="G6130" s="2" t="inlineStr">
        <is>
          <t>Союзмультфильм</t>
        </is>
      </c>
      <c r="H6130" s="2" t="n">
        <v>475</v>
      </c>
      <c r="I6130" s="2" t="inlineStr"/>
      <c r="J6130" s="2" t="inlineStr"/>
      <c r="K6130" s="3" t="inlineStr">
        <is>
          <t>По мотивам одноименной сказки братьев Гримм. Для грубой и дерзкой Принцессы трудно найти жениха - она оскорбляет всех приезжающих свататься. Один из рыцарей, дважды обиженный Принцессой, решает е проучить. Король объявляет, что отдаст дочь за первого нищего. Переодевшись нирщим, рыцарь приходит во дворец и получает Принцессу в жены. Долго пришлось ему воспитывать капризную жену. Но в конце концов она понимает, как плохо вела себя, и искренне полюбив суженого исправляется</t>
        </is>
      </c>
      <c r="L6130" s="2" t="inlineStr">
        <is>
          <t>https://gosfilmofond.ru/films/254748/</t>
        </is>
      </c>
      <c r="M6130" s="2">
        <f>HYPERLINK("https://ru.wikipedia.org/w/index.php?search=%D0%9A%D0%B0%D0%BF%D1%80%D0%B8%D0%B7%D0%BD%D0%B0%D1%8F%20%D0%BF%D1%80%D0%B8%D0%BD%D1%86%D0%B5%D1%81%D1%81%D0%B0%201969%20%D1%84%D0%B8%D0%BB%D1%8C%D0%BC","искать")</f>
        <v/>
      </c>
      <c r="N6130" s="3" t="n"/>
      <c r="O6130" s="2" t="n"/>
      <c r="P6130" s="2" t="n"/>
    </row>
    <row r="6131">
      <c r="A6131" s="2" t="n">
        <v>6130</v>
      </c>
      <c r="B6131" s="2" t="inlineStr"/>
      <c r="C6131" s="2" t="n">
        <v>11519</v>
      </c>
      <c r="D6131" s="3" t="inlineStr">
        <is>
          <t>Лиса, медведь и мотоцикл с коляской</t>
        </is>
      </c>
      <c r="E6131" s="2" t="n">
        <v>1969</v>
      </c>
      <c r="F6131" s="2" t="inlineStr">
        <is>
          <t>мультфильм</t>
        </is>
      </c>
      <c r="G6131" s="2" t="inlineStr">
        <is>
          <t>Союзмультфильм</t>
        </is>
      </c>
      <c r="H6131" s="2" t="n">
        <v>475</v>
      </c>
      <c r="I6131" s="2" t="inlineStr"/>
      <c r="J6131" s="2" t="inlineStr"/>
      <c r="K6131" s="3" t="inlineStr">
        <is>
          <t>Медведь смастерил мотоцикл с коляской и катает малышей по лесу. Бездельницу Лису мучает зависть. Решив обмануть косолапого, она покупает у него лишь одну коляску. Но коляска приделана к мотоциклу, и Медведь вынужден возить Лису. Тогда он отдает ей весь мотоцикл, а сам мастерит велосипед с багажником. Тогда Лиса просит продать ей багажник. Медведь согласен, он везет ее на велосипеде; на мосту багажник с Лисой падает в речку. Все лесные жители смеются над рыжей завистницей</t>
        </is>
      </c>
      <c r="L6131" s="2" t="inlineStr">
        <is>
          <t>https://gosfilmofond.ru/films/247041/</t>
        </is>
      </c>
      <c r="M6131" s="2">
        <f>HYPERLINK("https://ru.wikipedia.org/w/index.php?search=%D0%9B%D0%B8%D1%81%D0%B0%2C%20%D0%BC%D0%B5%D0%B4%D0%B2%D0%B5%D0%B4%D1%8C%20%D0%B8%20%D0%BC%D0%BE%D1%82%D0%BE%D1%86%D0%B8%D0%BA%D0%BB%20%D1%81%20%D0%BA%D0%BE%D0%BB%D1%8F%D1%81%D0%BA%D0%BE%D0%B9%201969%20%D1%84%D0%B8%D0%BB%D1%8C%D0%BC","искать")</f>
        <v/>
      </c>
      <c r="N6131" s="3" t="n"/>
      <c r="O6131" s="2" t="n"/>
      <c r="P6131" s="2" t="n"/>
    </row>
    <row r="6132">
      <c r="A6132" s="2" t="n">
        <v>6131</v>
      </c>
      <c r="B6132" s="2" t="inlineStr"/>
      <c r="C6132" s="2" t="n">
        <v>11520</v>
      </c>
      <c r="D6132" s="3" t="inlineStr">
        <is>
          <t>Мы ищем кляксу</t>
        </is>
      </c>
      <c r="E6132" s="2" t="n">
        <v>1969</v>
      </c>
      <c r="F6132" s="2" t="inlineStr">
        <is>
          <t>мультфильм</t>
        </is>
      </c>
      <c r="G6132" s="2" t="inlineStr">
        <is>
          <t>Союзмультфильм</t>
        </is>
      </c>
      <c r="H6132" s="2" t="n">
        <v>477</v>
      </c>
      <c r="I6132" s="2" t="inlineStr"/>
      <c r="J6132" s="2" t="inlineStr"/>
      <c r="K6132" s="3" t="inlineStr">
        <is>
          <t>Мальчик и девочка, чтобы спасти рисунки художника от ожившей кляксы, отправляются на поиски ее. Во время путешествия по рисункам альбома им приходится пережить много приключений: они встречаются с Бабой-Ягой и со Змеем Горынычем, оказываются на необитаемом острове в гостях у Робинзона и на далекой планете. Всякий раз, когда ребятам угрожает опасность, художник своим чудесным карандашом выручает их из беды. В конце концов им удается поймать кляксу и спасти рисунки художника</t>
        </is>
      </c>
      <c r="L6132" s="2" t="inlineStr">
        <is>
          <t>https://gosfilmofond.ru/films/254758/</t>
        </is>
      </c>
      <c r="M6132" s="2">
        <f>HYPERLINK("https://ru.wikipedia.org/w/index.php?search=%D0%9C%D1%8B%20%D0%B8%D1%89%D0%B5%D0%BC%20%D0%BA%D0%BB%D1%8F%D0%BA%D1%81%D1%83%201969%20%D1%84%D0%B8%D0%BB%D1%8C%D0%BC","искать")</f>
        <v/>
      </c>
      <c r="N6132" s="3" t="n"/>
      <c r="O6132" s="2" t="n"/>
      <c r="P6132" s="2" t="n"/>
    </row>
    <row r="6133">
      <c r="A6133" s="2" t="n">
        <v>6132</v>
      </c>
      <c r="B6133" s="2" t="inlineStr"/>
      <c r="C6133" s="2" t="n">
        <v>13181</v>
      </c>
      <c r="D6133" s="3" t="inlineStr">
        <is>
          <t>Маленький обманщик</t>
        </is>
      </c>
      <c r="E6133" s="2" t="n">
        <v>1969</v>
      </c>
      <c r="F6133" s="2" t="inlineStr">
        <is>
          <t>мультфильм</t>
        </is>
      </c>
      <c r="G6133" s="2" t="inlineStr">
        <is>
          <t>УЗБЕКФИЛЬМ</t>
        </is>
      </c>
      <c r="H6133" s="2" t="n">
        <v>477</v>
      </c>
      <c r="I6133" s="2" t="inlineStr"/>
      <c r="J6133" s="2" t="inlineStr"/>
      <c r="K6133" s="3" t="inlineStr">
        <is>
          <t>Школьник Анвар притворяется больным, чтоб не идти на уроки. Но, когда родители уходят, он с футбольным мячом выбегает на улицу. По его вине происходит авария. В страхе убегает Анвар домой, чтобы милиция не разыскала его. Он просит появившегося джина убрать из города всех милиционеров...Начинается паника и неразбериха, на город нападают разбойники. И тогда мальчик преодолевает свою трусость, громко объявляет он обо всех своих проступках. И порядок в городе восстанавливается</t>
        </is>
      </c>
      <c r="L6133" s="2" t="inlineStr">
        <is>
          <t>https://gosfilmofond.ru/films/254755/</t>
        </is>
      </c>
      <c r="M6133" s="2">
        <f>HYPERLINK("https://ru.wikipedia.org/w/index.php?search=%D0%9C%D0%B0%D0%BB%D0%B5%D0%BD%D1%8C%D0%BA%D0%B8%D0%B9%20%D0%BE%D0%B1%D0%BC%D0%B0%D0%BD%D1%89%D0%B8%D0%BA%201969%20%D1%84%D0%B8%D0%BB%D1%8C%D0%BC","искать")</f>
        <v/>
      </c>
      <c r="N6133" s="3" t="n"/>
      <c r="O6133" s="2" t="n"/>
      <c r="P6133" s="2" t="n"/>
    </row>
    <row r="6134">
      <c r="A6134" s="2" t="n">
        <v>6133</v>
      </c>
      <c r="B6134" s="2" t="inlineStr"/>
      <c r="C6134" s="2" t="n">
        <v>7606</v>
      </c>
      <c r="D6134" s="3" t="inlineStr">
        <is>
          <t>Жили три холостяка</t>
        </is>
      </c>
      <c r="E6134" s="2" t="n">
        <v>1973</v>
      </c>
      <c r="F6134" s="2" t="inlineStr">
        <is>
          <t>телефильм</t>
        </is>
      </c>
      <c r="G6134" s="2" t="n"/>
      <c r="H6134" s="2" t="n">
        <v>478</v>
      </c>
      <c r="I6134" s="2" t="inlineStr"/>
      <c r="J6134" s="2" t="inlineStr"/>
      <c r="K6134" s="3" t="inlineStr">
        <is>
          <t>Три молодых аспиранта — Марк (Михаил Поляк), Андрей (Всеволод Абдулов) и Константин (Владимир Носик) — собираются в экспедицию и во имя науки клянутся оставаться холостяками на ближайшие полгода. Они и не подозревают, что очень скоро им придётся расстаться со своей холостой жизнью.
Но на следующий день к ним в общежитие вселяется новенькая студентка.
Один из друзей дал клятву, будучи уже женатым, неудивительно, что с его помощью и остальные очень быстро находят себе невест.</t>
        </is>
      </c>
      <c r="L6134" s="2" t="inlineStr">
        <is>
          <t>https://ru.wikipedia.org/w/index.php?title=%D0%96%D0%B8%D0%BB%D0%B8_%D1%82%D1%80%D0%B8_%D1%85%D0%BE%D0%BB%D0%BE%D1%81%D1%82%D1%8F%D0%BA%D0%B0&amp;oldid=154695709</t>
        </is>
      </c>
      <c r="M6134" s="2">
        <f>HYPERLINK("https://ru.wikipedia.org/w/index.php?search=%D0%96%D0%B8%D0%BB%D0%B8%20%D1%82%D1%80%D0%B8%20%D1%85%D0%BE%D0%BB%D0%BE%D1%81%D1%82%D1%8F%D0%BA%D0%B0%201973%20%D1%84%D0%B8%D0%BB%D1%8C%D0%BC","искать")</f>
        <v/>
      </c>
      <c r="N6134" s="3" t="n"/>
      <c r="O6134" s="2" t="n"/>
      <c r="P6134" s="2" t="n"/>
    </row>
    <row r="6135">
      <c r="A6135" s="2" t="n">
        <v>6134</v>
      </c>
      <c r="B6135" s="2" t="inlineStr"/>
      <c r="C6135" s="2" t="n">
        <v>8528</v>
      </c>
      <c r="D6135" s="3" t="inlineStr">
        <is>
          <t>Хочу понять</t>
        </is>
      </c>
      <c r="E6135" s="2" t="n">
        <v>1980</v>
      </c>
      <c r="F6135" s="2" t="inlineStr">
        <is>
          <t>телефильм</t>
        </is>
      </c>
      <c r="G6135" s="2" t="n"/>
      <c r="H6135" s="2" t="n">
        <v>479</v>
      </c>
      <c r="I6135" s="2" t="inlineStr"/>
      <c r="J6135" s="2" t="inlineStr"/>
      <c r="K6135" s="3" t="inlineStr">
        <is>
          <t>Телефильм рассказывает про разрушенные мечты и счастье в борьбе за любовь двух людей. Два человека — Рустам и Чинара когда-то влюбились друг в друга и жили счастливо в браке, но в конце концов Чинара, поняв, что кроме любви ей ничего не нужно, решила развестись с мужем, предложив жить в качестве любовников. Этого Рустам не принял, и тогда Чинара поняв ошибку захотела вернуть своё счастье, однако поезд ушёл навсегда, ибо Рустам больше не захотел иметь с Чинарой ничего общего.</t>
        </is>
      </c>
      <c r="L6135" s="2" t="inlineStr">
        <is>
          <t>https://ru.wikipedia.org/w/index.php?title=%D0%A5%D0%BE%D1%87%D1%83_%D0%BF%D0%BE%D0%BD%D1%8F%D1%82%D1%8C&amp;oldid=149110755</t>
        </is>
      </c>
      <c r="M6135" s="2">
        <f>HYPERLINK("https://ru.wikipedia.org/w/index.php?search=%D0%A5%D0%BE%D1%87%D1%83%20%D0%BF%D0%BE%D0%BD%D1%8F%D1%82%D1%8C%201980%20%D1%84%D0%B8%D0%BB%D1%8C%D0%BC","искать")</f>
        <v/>
      </c>
      <c r="N6135" s="3" t="n"/>
      <c r="O6135" s="2" t="n"/>
      <c r="P6135" s="2" t="n"/>
    </row>
    <row r="6136">
      <c r="A6136" s="2" t="n">
        <v>6135</v>
      </c>
      <c r="B6136" s="2" t="inlineStr"/>
      <c r="C6136" s="2" t="n">
        <v>7247</v>
      </c>
      <c r="D6136" s="3" t="inlineStr">
        <is>
          <t>Белый шаман</t>
        </is>
      </c>
      <c r="E6136" s="2" t="n">
        <v>1982</v>
      </c>
      <c r="F6136" s="2" t="inlineStr">
        <is>
          <t>телефильм</t>
        </is>
      </c>
      <c r="G6136" s="2" t="n"/>
      <c r="H6136" s="2" t="n">
        <v>480</v>
      </c>
      <c r="I6136" s="2" t="inlineStr"/>
      <c r="J6136" s="2" t="inlineStr"/>
      <c r="K6136" s="3" t="inlineStr">
        <is>
          <t>Действие происходит в 1930-1940-х гг. на Чукотке. С установлением советской власти в стойбище наступают перемены. Главный герой — охотник Пойгин — осознает значение происходящего не сразу. Происходит череда событий: столкновение с Чёрным шаманом, попытавшимся отнять у охотника любимую женщину, встреча с начальником культбазы Медведевым и др. Пойгин наблюдает за событиями, которые в итоге определяют его жизненную позицию. Он становится председателем первого колхоза на Чукотке.</t>
        </is>
      </c>
      <c r="L6136" s="2" t="inlineStr">
        <is>
          <t>https://ru.wikipedia.org/w/index.php?title=%D0%91%D0%B5%D0%BB%D1%8B%D0%B9_%D1%88%D0%B0%D0%BC%D0%B0%D0%BD_%28%D1%84%D0%B8%D0%BB%D1%8C%D0%BC%29&amp;oldid=155061375</t>
        </is>
      </c>
      <c r="M6136" s="2">
        <f>HYPERLINK("https://ru.wikipedia.org/w/index.php?search=%D0%91%D0%B5%D0%BB%D1%8B%D0%B9%20%D1%88%D0%B0%D0%BC%D0%B0%D0%BD%201982%20%D1%84%D0%B8%D0%BB%D1%8C%D0%BC","искать")</f>
        <v/>
      </c>
      <c r="N6136" s="3" t="n"/>
      <c r="O6136" s="2" t="n"/>
      <c r="P6136" s="2" t="n"/>
    </row>
    <row r="6137">
      <c r="A6137" s="2" t="n">
        <v>6136</v>
      </c>
      <c r="B6137" s="2" t="inlineStr"/>
      <c r="C6137" s="2" t="n">
        <v>10849</v>
      </c>
      <c r="D6137" s="3" t="inlineStr">
        <is>
          <t>Кто прав, кто виноват</t>
        </is>
      </c>
      <c r="E6137" s="2" t="n">
        <v>1980</v>
      </c>
      <c r="F6137" s="2" t="inlineStr">
        <is>
          <t>фильм-спектакль</t>
        </is>
      </c>
      <c r="G6137" s="2" t="inlineStr">
        <is>
          <t>Центральное телевидение</t>
        </is>
      </c>
      <c r="H6137" s="2" t="n">
        <v>480</v>
      </c>
      <c r="I6137" s="2" t="inlineStr"/>
      <c r="J6137" s="2" t="inlineStr"/>
      <c r="K6137" s="3" t="inlineStr">
        <is>
          <t>Телеспектакль по мотивам произведений Натальи и Александра Долининых. К народному судье Кавелину обратился некто Чумаков. Он принес исковое заявление к своему сыну, Сергею Грибанову, в котором требует от него заботы, любви и алиментов. Чумаков, оставивший семью, когда мальчику было два года, сейчас боится остаться один, потому что настоящим, любящим отцом Сергею стал отчим… Судье Кавелину предстоит разобраться в этой непростой, но, к сожалению, встречающейся в жизни ситуации.</t>
        </is>
      </c>
      <c r="L6137" s="2" t="inlineStr">
        <is>
          <t>https://www.kino-teatr.ru/teatr/movie/137634/annot/</t>
        </is>
      </c>
      <c r="M6137" s="2">
        <f>HYPERLINK("https://ru.wikipedia.org/w/index.php?search=%D0%9A%D1%82%D0%BE%20%D0%BF%D1%80%D0%B0%D0%B2%2C%20%D0%BA%D1%82%D0%BE%20%D0%B2%D0%B8%D0%BD%D0%BE%D0%B2%D0%B0%D1%82%201980%20%D1%84%D0%B8%D0%BB%D1%8C%D0%BC","искать")</f>
        <v/>
      </c>
      <c r="N6137" s="3" t="n"/>
      <c r="O6137" s="2" t="n"/>
      <c r="P6137" s="2" t="n"/>
    </row>
    <row r="6138">
      <c r="A6138" s="2" t="n">
        <v>6137</v>
      </c>
      <c r="B6138" s="2" t="inlineStr"/>
      <c r="C6138" s="2" t="n">
        <v>11003</v>
      </c>
      <c r="D6138" s="3" t="inlineStr">
        <is>
          <t>Отпуск по ранению</t>
        </is>
      </c>
      <c r="E6138" s="2" t="n">
        <v>1983</v>
      </c>
      <c r="F6138" s="2" t="inlineStr">
        <is>
          <t>фильм-спектакль</t>
        </is>
      </c>
      <c r="G6138" s="2" t="inlineStr">
        <is>
          <t>Творческое объединение "Экран"</t>
        </is>
      </c>
      <c r="H6138" s="2" t="n">
        <v>480</v>
      </c>
      <c r="I6138" s="2" t="inlineStr"/>
      <c r="J6138" s="2" t="inlineStr"/>
      <c r="K6138" s="3" t="inlineStr">
        <is>
          <t>По одноименной повести Вячеслава Кондратьева в постановке Московского драматического театра на Малой Бронной.
Действие происходит в годы Великой Отечественной войны. Домой в Москву приезжает в отпуск по ранению лейтенант Владимир Канаев. Здесь он встречает старых друзей, обретает первую любовь - Тоню. Владимир решительно отказывается от предложения продолжить военную службу в части отца Тони, наиболее безопасном месте. Он возвращается в родную часть, к своим боевым товарищам.</t>
        </is>
      </c>
      <c r="L6138" s="2" t="inlineStr">
        <is>
          <t>https://www.kino-teatr.ru/teatr/movie/4888/annot/</t>
        </is>
      </c>
      <c r="M6138" s="2">
        <f>HYPERLINK("https://ru.wikipedia.org/w/index.php?search=%D0%9E%D1%82%D0%BF%D1%83%D1%81%D0%BA%20%D0%BF%D0%BE%20%D1%80%D0%B0%D0%BD%D0%B5%D0%BD%D0%B8%D1%8E%201983%20%D1%84%D0%B8%D0%BB%D1%8C%D0%BC","искать")</f>
        <v/>
      </c>
      <c r="N6138" s="3" t="n"/>
      <c r="O6138" s="2" t="n"/>
      <c r="P6138" s="2" t="n"/>
    </row>
    <row r="6139">
      <c r="A6139" s="2" t="n">
        <v>6138</v>
      </c>
      <c r="B6139" s="2" t="inlineStr"/>
      <c r="C6139" s="2" t="n">
        <v>7811</v>
      </c>
      <c r="D6139" s="3" t="inlineStr">
        <is>
          <t>Лицо на мишени</t>
        </is>
      </c>
      <c r="E6139" s="2" t="n">
        <v>1978</v>
      </c>
      <c r="F6139" s="2" t="inlineStr">
        <is>
          <t>телефильм</t>
        </is>
      </c>
      <c r="G6139" s="2" t="n"/>
      <c r="H6139" s="2" t="n">
        <v>481</v>
      </c>
      <c r="I6139" s="2" t="inlineStr"/>
      <c r="J6139" s="2" t="inlineStr"/>
      <c r="K6139" s="3" t="inlineStr">
        <is>
          <t>Фильм снят по мотивам новелл Гилберта Кита Честертона о детективе Хорне Фишере «Человек, который знал слишком много» («Лицо на мишени» и «Причуда рыболова») и о священнике-детективе отце Брауне «Неведение отца Брауна» («Странные шаги», «Летучие звезды» и «Сапфировый крест»).
Действие фильма происходит в начале XX века в Англии. Перед встречей клуба рыболовов в замке промышленного магната Исаака Гука был убит его телохранитель. К расследованию подключается священник отец Браун.</t>
        </is>
      </c>
      <c r="L6139" s="2" t="inlineStr">
        <is>
          <t>https://ru.wikipedia.org/w/index.php?title=%D0%9B%D0%B8%D1%86%D0%BE_%D0%BD%D0%B0_%D0%BC%D0%B8%D1%88%D0%B5%D0%BD%D0%B8&amp;oldid=154577817</t>
        </is>
      </c>
      <c r="M6139" s="2">
        <f>HYPERLINK("https://ru.wikipedia.org/w/index.php?search=%D0%9B%D0%B8%D1%86%D0%BE%20%D0%BD%D0%B0%20%D0%BC%D0%B8%D1%88%D0%B5%D0%BD%D0%B8%201978%20%D1%84%D0%B8%D0%BB%D1%8C%D0%BC","искать")</f>
        <v/>
      </c>
      <c r="N6139" s="3" t="n"/>
      <c r="O6139" s="2" t="n"/>
      <c r="P6139" s="2" t="n"/>
    </row>
    <row r="6140">
      <c r="A6140" s="2" t="n">
        <v>6139</v>
      </c>
      <c r="B6140" s="2" t="inlineStr"/>
      <c r="C6140" s="2" t="n">
        <v>10549</v>
      </c>
      <c r="D6140" s="3" t="inlineStr">
        <is>
          <t>Волшебная лампа Аладдина</t>
        </is>
      </c>
      <c r="E6140" s="2" t="n">
        <v>1974</v>
      </c>
      <c r="F6140" s="2" t="inlineStr">
        <is>
          <t>фильм-спектакль</t>
        </is>
      </c>
      <c r="G6140" s="2" t="inlineStr">
        <is>
          <t>Экран</t>
        </is>
      </c>
      <c r="H6140" s="2" t="n">
        <v>481</v>
      </c>
      <c r="I6140" s="2" t="inlineStr"/>
      <c r="J6140" s="2" t="inlineStr"/>
      <c r="K6140" s="3" t="inlineStr">
        <is>
          <t>Пьеса известного драматурга Нины Гернет написана по мотивам арабских сказок "1001 ночи".
Один из самых красивых спектаклей театра С.В. Образцова - восточный город с золотыми дворцами, парад грациозных кукол, волшебство чудесных превращений и сказочная фантастика. Грозный Джинн Кашкаш и величественный повелитель пустыни - лев. Романтическая любовь Аладдина и царевны Будур, ради которой горячий и смелый юноша вступил в борьбу с коварным и алчным визирем и преодолел все преграды.</t>
        </is>
      </c>
      <c r="L6140" s="2" t="inlineStr">
        <is>
          <t>https://www.kino-teatr.ru/teatr/movie/87295/annot/</t>
        </is>
      </c>
      <c r="M6140" s="2">
        <f>HYPERLINK("https://ru.wikipedia.org/w/index.php?search=%D0%92%D0%BE%D0%BB%D1%88%D0%B5%D0%B1%D0%BD%D0%B0%D1%8F%20%D0%BB%D0%B0%D0%BC%D0%BF%D0%B0%20%D0%90%D0%BB%D0%B0%D0%B4%D0%B4%D0%B8%D0%BD%D0%B0%201974%20%D1%84%D0%B8%D0%BB%D1%8C%D0%BC","искать")</f>
        <v/>
      </c>
      <c r="N6140" s="3" t="n"/>
      <c r="O6140" s="2" t="n"/>
      <c r="P6140" s="2" t="n"/>
    </row>
    <row r="6141">
      <c r="A6141" s="2" t="n">
        <v>6140</v>
      </c>
      <c r="B6141" s="2" t="inlineStr"/>
      <c r="C6141" s="2" t="n">
        <v>11511</v>
      </c>
      <c r="D6141" s="3" t="inlineStr">
        <is>
          <t>В стране невыученных уроков</t>
        </is>
      </c>
      <c r="E6141" s="2" t="n">
        <v>1969</v>
      </c>
      <c r="F6141" s="2" t="inlineStr">
        <is>
          <t>мультфильм</t>
        </is>
      </c>
      <c r="G6141" s="2" t="inlineStr">
        <is>
          <t>Союзмультфильм</t>
        </is>
      </c>
      <c r="H6141" s="2" t="n">
        <v>481</v>
      </c>
      <c r="I6141" s="2" t="inlineStr"/>
      <c r="J6141" s="2" t="inlineStr"/>
      <c r="K6141" s="3" t="inlineStr">
        <is>
          <t>Двоечник и лодырь Витя Перестукин с котом Кузей попадает в фантастическую страну, где встречается с героями своих неверных ответов учительнице. По его словам выходит, что белые медведи живут в жарких странах, а корова - хищное животное. Он уверен, что булки растут на хлебном дереве, путается в грамматике, а в задаче у него получается полтора землекопа. Но, увидев, к чему все это приводит в жизни, Перестукин исправляет свои ошибки и дает слово учиться только на хорошо и отлично</t>
        </is>
      </c>
      <c r="L6141" s="2" t="inlineStr">
        <is>
          <t>https://gosfilmofond.ru/films/254738/</t>
        </is>
      </c>
      <c r="M6141" s="2">
        <f>HYPERLINK("https://ru.wikipedia.org/w/index.php?search=%D0%92%20%D1%81%D1%82%D1%80%D0%B0%D0%BD%D0%B5%20%D0%BD%D0%B5%D0%B2%D1%8B%D1%83%D1%87%D0%B5%D0%BD%D0%BD%D1%8B%D1%85%20%D1%83%D1%80%D0%BE%D0%BA%D0%BE%D0%B2%201969%20%D1%84%D0%B8%D0%BB%D1%8C%D0%BC","искать")</f>
        <v/>
      </c>
      <c r="N6141" s="3" t="n"/>
      <c r="O6141" s="2" t="n"/>
      <c r="P6141" s="2" t="n"/>
    </row>
    <row r="6142">
      <c r="A6142" s="2" t="n">
        <v>6141</v>
      </c>
      <c r="B6142" s="2" t="inlineStr"/>
      <c r="C6142" s="2" t="n">
        <v>13041</v>
      </c>
      <c r="D6142" s="3" t="inlineStr">
        <is>
          <t>Сказка о медяке</t>
        </is>
      </c>
      <c r="E6142" s="2" t="n">
        <v>1969</v>
      </c>
      <c r="F6142" s="2" t="inlineStr">
        <is>
          <t>мультфильм</t>
        </is>
      </c>
      <c r="G6142" s="2" t="inlineStr">
        <is>
          <t>РИЖСКАЯ КИНОСТУДИЯ</t>
        </is>
      </c>
      <c r="H6142" s="2" t="n">
        <v>481</v>
      </c>
      <c r="I6142" s="2" t="inlineStr"/>
      <c r="J6142" s="2" t="inlineStr"/>
      <c r="K6142" s="3" t="inlineStr">
        <is>
          <t>Бедный банщик Ансис мечтает стать таким же богатым, как его клиенты. Однажды какой-то старичок дает ему пятак; пятак оказывается неразменным. И банщиком завладевает страсть наживы: с утра до вечера пересчитывает он бесконечное количество пятаков. Жизнь, полная страстей и радостей, проходит мимо скряги. Появилась было на его пути прекрасная Лайма, но и ее не заметил Ансис. так и ушел он из жизни, не познав ни счастья, ни любви. Мечтал стать барином, а барином-то оказался пятак.</t>
        </is>
      </c>
      <c r="L6142" s="2" t="inlineStr">
        <is>
          <t>https://gosfilmofond.ru/films/254766/</t>
        </is>
      </c>
      <c r="M6142" s="2">
        <f>HYPERLINK("https://ru.wikipedia.org/w/index.php?search=%D0%A1%D0%BA%D0%B0%D0%B7%D0%BA%D0%B0%20%D0%BE%20%D0%BC%D0%B5%D0%B4%D1%8F%D0%BA%D0%B5%201969%20%D1%84%D0%B8%D0%BB%D1%8C%D0%BC","искать")</f>
        <v/>
      </c>
      <c r="N6142" s="3" t="n"/>
      <c r="O6142" s="2" t="n"/>
      <c r="P6142" s="2" t="n"/>
    </row>
    <row r="6143">
      <c r="A6143" s="2" t="n">
        <v>6142</v>
      </c>
      <c r="B6143" s="2" t="inlineStr"/>
      <c r="C6143" s="2" t="n">
        <v>9084</v>
      </c>
      <c r="D6143" s="3" t="inlineStr">
        <is>
          <t>Сэнит зон</t>
        </is>
      </c>
      <c r="E6143" s="2" t="n">
        <v>1990</v>
      </c>
      <c r="F6143" s="2" t="inlineStr">
        <is>
          <t>кинофильм</t>
        </is>
      </c>
      <c r="G6143" s="2" t="n"/>
      <c r="H6143" s="2" t="n">
        <v>482</v>
      </c>
      <c r="I6143" s="2" t="inlineStr"/>
      <c r="J6143" s="2" t="inlineStr"/>
      <c r="K6143" s="3" t="inlineStr">
        <is>
          <t>Действие фильма разворачивается в одном из городов, где по случаю перебазирования оборонного завода и как следствие, открытия города для иностранцев, встречают железнодорожный «Караван мира». Из рядового события делают целое организованное представление по заранее созданному сценарию: пекут десять караваев и собираются по старому русскому обычаю вручить их гостям, но вдруг обнаруживают, что появился одиннадцатый хлеб. Отцы города немедленно делают вывод: в лишнем каравае бомба.</t>
        </is>
      </c>
      <c r="L6143" s="2" t="inlineStr">
        <is>
          <t>https://ru.wikipedia.org/w/index.php?title=%D0%A1%D1%8D%D0%BD%D0%B8%D1%82_%D0%B7%D0%BE%D0%BD&amp;oldid=139541934</t>
        </is>
      </c>
      <c r="M6143" s="2">
        <f>HYPERLINK("https://ru.wikipedia.org/w/index.php?search=%D0%A1%D1%8D%D0%BD%D0%B8%D1%82%20%D0%B7%D0%BE%D0%BD%201990%20%D1%84%D0%B8%D0%BB%D1%8C%D0%BC","искать")</f>
        <v/>
      </c>
      <c r="N6143" s="3" t="n"/>
      <c r="O6143" s="2" t="n"/>
      <c r="P6143" s="2" t="n"/>
    </row>
    <row r="6144">
      <c r="A6144" s="2" t="n">
        <v>6143</v>
      </c>
      <c r="B6144" s="2" t="inlineStr"/>
      <c r="C6144" s="2" t="n">
        <v>9535</v>
      </c>
      <c r="D6144" s="3" t="inlineStr">
        <is>
          <t>Отче наш</t>
        </is>
      </c>
      <c r="E6144" s="2" t="n">
        <v>1989</v>
      </c>
      <c r="F6144" s="2" t="inlineStr">
        <is>
          <t>кинофильм</t>
        </is>
      </c>
      <c r="G6144" s="2" t="n"/>
      <c r="H6144" s="2" t="n">
        <v>482</v>
      </c>
      <c r="I6144" s="2" t="inlineStr"/>
      <c r="J6144" s="2" t="inlineStr"/>
      <c r="K6144" s="3" t="inlineStr">
        <is>
          <t>По мотивам рассказа В. Катаева. В некоем городе царит тоталитарно-полицейский режим. По указанию властей все евреи должны явиться на сборный пункт для отправки в гетто. Направляется туда и еврейская женщина со своим маленьким сыном. Добравшись до пункта и осознав, что ей и ребенку грозит смертельная опасность, она возвращается, надеясь найти хоть какое-нибудь убежище и спастись. Но все ее усилия тщетны. Не найдя нигде крова, она вместе с сыном погибает от холода на берегу моря.</t>
        </is>
      </c>
      <c r="L6144" s="2" t="inlineStr">
        <is>
          <t>https://gosfilmofond.ru/films/240401/</t>
        </is>
      </c>
      <c r="M6144" s="2">
        <f>HYPERLINK("https://ru.wikipedia.org/w/index.php?search=%D0%9E%D1%82%D1%87%D0%B5%20%D0%BD%D0%B0%D1%88%201989%20%D1%84%D0%B8%D0%BB%D1%8C%D0%BC","искать")</f>
        <v/>
      </c>
      <c r="N6144" s="3" t="n"/>
      <c r="O6144" s="2" t="n"/>
      <c r="P6144" s="2" t="n"/>
    </row>
    <row r="6145">
      <c r="A6145" s="2" t="n">
        <v>6144</v>
      </c>
      <c r="B6145" s="2" t="inlineStr"/>
      <c r="C6145" s="2" t="n">
        <v>11109</v>
      </c>
      <c r="D6145" s="3" t="inlineStr">
        <is>
          <t>Железный класс</t>
        </is>
      </c>
      <c r="E6145" s="2" t="n">
        <v>1986</v>
      </c>
      <c r="F6145" s="2" t="inlineStr">
        <is>
          <t>фильм-спектакль</t>
        </is>
      </c>
      <c r="G6145" s="2" t="n"/>
      <c r="H6145" s="2" t="n">
        <v>482</v>
      </c>
      <c r="I6145" s="2" t="inlineStr"/>
      <c r="J6145" s="2" t="inlineStr"/>
      <c r="K6145" s="3" t="inlineStr">
        <is>
          <t>Фильм-спектакль поставлен по произведению итальянского драматурга Альдо Николаи.
Бокка и Палья знакомятся случайно. Встреча этих неприкаянных, душевно одиноких людей становится для них событием поворотным. Вчера еще смирившиеся с печальными итогами своей жизни, - сегодня они взбунтовались, решив бежать... Бежать от постылых будней, от печальных мыслей, эгоизма окружающих, бежать от самих себя. С отвагой мальчишек разрабатывают они тайный план. Их девиз - независимость, свобода!</t>
        </is>
      </c>
      <c r="L6145" s="2" t="inlineStr">
        <is>
          <t>https://www.kino-teatr.ru/teatr/movie/95190/annot/</t>
        </is>
      </c>
      <c r="M6145" s="2">
        <f>HYPERLINK("https://ru.wikipedia.org/w/index.php?search=%D0%96%D0%B5%D0%BB%D0%B5%D0%B7%D0%BD%D1%8B%D0%B9%20%D0%BA%D0%BB%D0%B0%D1%81%D1%81%201986%20%D1%84%D0%B8%D0%BB%D1%8C%D0%BC","искать")</f>
        <v/>
      </c>
      <c r="N6145" s="3" t="n"/>
      <c r="O6145" s="2" t="n"/>
      <c r="P6145" s="2" t="n"/>
    </row>
    <row r="6146">
      <c r="A6146" s="2" t="n">
        <v>6145</v>
      </c>
      <c r="B6146" s="2" t="inlineStr"/>
      <c r="C6146" s="2" t="n">
        <v>9381</v>
      </c>
      <c r="D6146" s="3" t="inlineStr">
        <is>
          <t>Золотая шпага</t>
        </is>
      </c>
      <c r="E6146" s="2" t="n">
        <v>1990</v>
      </c>
      <c r="F6146" s="2" t="inlineStr">
        <is>
          <t>кинофильм</t>
        </is>
      </c>
      <c r="G6146" s="2" t="n"/>
      <c r="H6146" s="2" t="n">
        <v>483</v>
      </c>
      <c r="I6146" s="2" t="inlineStr"/>
      <c r="J6146" s="2" t="inlineStr"/>
      <c r="K6146" s="3" t="inlineStr">
        <is>
          <t>Фильм-сказка в современной манере рассказывает о девятилетней Шурочке и её сестрёнке Кате, проводящих каникулы на даче у бабушки. В Шурочку влюблён эльф, принц волшебного королевства. Другой персонаж, Игорёк — сын состоятельных родителей, нечестно завладевает волшебной шпагой, в результате чего обитателей дачи ожидают серьёзные неприятности, а жизнь волшебного королевства оказывается под угрозой. Кинолента, в которой кадры живых актёров мастерски совмещены с кукольной анимацией.</t>
        </is>
      </c>
      <c r="L6146" s="2" t="inlineStr">
        <is>
          <t>https://ru.wikipedia.org/w/index.php?title=%D0%97%D0%BE%D0%BB%D0%BE%D1%82%D0%B0%D1%8F_%D1%88%D0%BF%D0%B0%D0%B3%D0%B0_%28%D1%84%D0%B8%D0%BB%D1%8C%D0%BC%29&amp;oldid=154696144</t>
        </is>
      </c>
      <c r="M6146" s="2">
        <f>HYPERLINK("https://ru.wikipedia.org/w/index.php?search=%D0%97%D0%BE%D0%BB%D0%BE%D1%82%D0%B0%D1%8F%20%D1%88%D0%BF%D0%B0%D0%B3%D0%B0%201990%20%D1%84%D0%B8%D0%BB%D1%8C%D0%BC","искать")</f>
        <v/>
      </c>
      <c r="N6146" s="3" t="n"/>
      <c r="O6146" s="2" t="n"/>
      <c r="P6146" s="2" t="n"/>
    </row>
    <row r="6147">
      <c r="A6147" s="2" t="n">
        <v>6146</v>
      </c>
      <c r="B6147" s="2" t="inlineStr"/>
      <c r="C6147" s="2" t="n">
        <v>9894</v>
      </c>
      <c r="D6147" s="3" t="inlineStr">
        <is>
          <t>Очкарик</t>
        </is>
      </c>
      <c r="E6147" s="2" t="n">
        <v>1972</v>
      </c>
      <c r="F6147" s="2" t="inlineStr">
        <is>
          <t>телефильм</t>
        </is>
      </c>
      <c r="G6147" s="2" t="inlineStr">
        <is>
          <t>Киргизтелефильм</t>
        </is>
      </c>
      <c r="H6147" s="2" t="n">
        <v>483</v>
      </c>
      <c r="I6147" s="2" t="inlineStr"/>
      <c r="J6147" s="2" t="inlineStr"/>
      <c r="K6147" s="3" t="inlineStr">
        <is>
          <t>Мальчишка Кубанычбек, добрый, но слишком маленький, чтобы противостоять компании нагловатых одноклассников, дружит с девочкой Бермет. Одноклассники обижают и её, и самого Кубанычбека. Он часто мечтает, как, став сильным, защищает Бермет и наказывает её обидчиков. И вот, на летние каникулы он уезжает на озеро Иссык-Куль, к своему дяде, где помогает тому пасти овец, вести хозяйство. За лето Кубанычбек окреп и подрос и, вернувшись в город, уже смог постоять за себя и свою подружку.</t>
        </is>
      </c>
      <c r="L6147" s="2" t="inlineStr">
        <is>
          <t>https://ru.wikipedia.org/w/index.php?title=%D0%9E%D1%87%D0%BA%D0%B0%D1%80%D0%B8%D0%BA_%28%D1%84%D0%B8%D0%BB%D1%8C%D0%BC%2C_1972%29&amp;oldid=155504446</t>
        </is>
      </c>
      <c r="M6147" s="2">
        <f>HYPERLINK("https://ru.wikipedia.org/w/index.php?search=%D0%9E%D1%87%D0%BA%D0%B0%D1%80%D0%B8%D0%BA%201972%20%D1%84%D0%B8%D0%BB%D1%8C%D0%BC","искать")</f>
        <v/>
      </c>
      <c r="N6147" s="3" t="n"/>
      <c r="O6147" s="2" t="n"/>
      <c r="P6147" s="2" t="n"/>
    </row>
    <row r="6148">
      <c r="A6148" s="2" t="n">
        <v>6147</v>
      </c>
      <c r="B6148" s="2" t="inlineStr"/>
      <c r="C6148" s="2" t="n">
        <v>11424</v>
      </c>
      <c r="D6148" s="3" t="inlineStr">
        <is>
          <t>Мой зеленый крокодил</t>
        </is>
      </c>
      <c r="E6148" s="2" t="n">
        <v>1966</v>
      </c>
      <c r="F6148" s="2" t="inlineStr">
        <is>
          <t>мультфильм</t>
        </is>
      </c>
      <c r="G6148" s="2" t="inlineStr">
        <is>
          <t>Союзмультфильм</t>
        </is>
      </c>
      <c r="H6148" s="2" t="n">
        <v>484</v>
      </c>
      <c r="I6148" s="2" t="inlineStr"/>
      <c r="J6148" s="2" t="inlineStr"/>
      <c r="K6148" s="3" t="inlineStr">
        <is>
          <t>Жил на свете зеленый Крокодил, который очень любил цветы. Любили их и красивая Корова. Однажды Крокодил и Корова встретиились на лугу...и полюбили друг друга. Но завистливые Бегемоты не поверили в эту любовь и настраивали Корову против Крокодила. Пришла осень, завяли цветы, опали листья, Корова охладела к Крокодилу, поверила сплетням Бегемотов. И бедный Крокодил, чтобы доказать свою любовь, стал зеленым листком. Говорят,что Корова снова полюбила его и уж больше не верила пошлякам</t>
        </is>
      </c>
      <c r="L6148" s="2" t="inlineStr">
        <is>
          <t>https://gosfilmofond.ru/films/254234/</t>
        </is>
      </c>
      <c r="M6148" s="2">
        <f>HYPERLINK("https://ru.wikipedia.org/w/index.php?search=%D0%9C%D0%BE%D0%B9%20%D0%B7%D0%B5%D0%BB%D0%B5%D0%BD%D1%8B%D0%B9%20%D0%BA%D1%80%D0%BE%D0%BA%D0%BE%D0%B4%D0%B8%D0%BB%201966%20%D1%84%D0%B8%D0%BB%D1%8C%D0%BC","искать")</f>
        <v/>
      </c>
      <c r="N6148" s="3" t="n"/>
      <c r="O6148" s="2" t="n"/>
      <c r="P6148" s="2" t="n"/>
    </row>
    <row r="6149">
      <c r="A6149" s="2" t="n">
        <v>6148</v>
      </c>
      <c r="B6149" s="2" t="inlineStr"/>
      <c r="C6149" s="2" t="n">
        <v>7346</v>
      </c>
      <c r="D6149" s="3" t="inlineStr">
        <is>
          <t>Влюблённая рыбка</t>
        </is>
      </c>
      <c r="E6149" s="2" t="n">
        <v>1989</v>
      </c>
      <c r="F6149" s="2" t="inlineStr">
        <is>
          <t>телефильм</t>
        </is>
      </c>
      <c r="G6149" s="2" t="inlineStr">
        <is>
          <t>Казахфильм, Творческое объединение «Алем»</t>
        </is>
      </c>
      <c r="H6149" s="2" t="n">
        <v>485</v>
      </c>
      <c r="I6149" s="2" t="inlineStr"/>
      <c r="J6149" s="2" t="inlineStr"/>
      <c r="K6149" s="3" t="inlineStr">
        <is>
          <t>Фильм исследует современные аспекты проблемы жизни и адаптации в большом городе бывших сельских жителей. Главный герой фильма — Жакен — находится как бы на полпути между селом и городом. Живёт он в пригородном посёлке, родители его умерли, старший брат, музыкант, живёт в городе. Жакен решает ехать к брату. По приезде с ним происходят разнообразные события, показывающие насколько сложна жизнь в большом современном городе.
Фильм создан по сценарию Абая Карпыкова и Бориса Ряховского.</t>
        </is>
      </c>
      <c r="L6149" s="2" t="inlineStr">
        <is>
          <t>https://ru.wikipedia.org/w/index.php?title=%D0%92%D0%BB%D1%8E%D0%B1%D0%BB%D1%91%D0%BD%D0%BD%D0%B0%D1%8F_%D1%80%D1%8B%D0%B1%D0%BA%D0%B0&amp;oldid=154338153</t>
        </is>
      </c>
      <c r="M6149" s="2">
        <f>HYPERLINK("https://ru.wikipedia.org/w/index.php?search=%D0%92%D0%BB%D1%8E%D0%B1%D0%BB%D1%91%D0%BD%D0%BD%D0%B0%D1%8F%20%D1%80%D1%8B%D0%B1%D0%BA%D0%B0%201989%20%D1%84%D0%B8%D0%BB%D1%8C%D0%BC","искать")</f>
        <v/>
      </c>
      <c r="N6149" s="3" t="n"/>
      <c r="O6149" s="2" t="n"/>
      <c r="P6149" s="2" t="n"/>
    </row>
    <row r="6150">
      <c r="A6150" s="2" t="n">
        <v>6149</v>
      </c>
      <c r="B6150" s="2" t="inlineStr"/>
      <c r="C6150" s="2" t="n">
        <v>8669</v>
      </c>
      <c r="D6150" s="3" t="inlineStr">
        <is>
          <t>Всгорю в огне очищения</t>
        </is>
      </c>
      <c r="E6150" s="2" t="n">
        <v>1991</v>
      </c>
      <c r="F6150" s="2" t="inlineStr">
        <is>
          <t>кинофильм</t>
        </is>
      </c>
      <c r="G6150" s="2" t="n"/>
      <c r="H6150" s="2" t="n">
        <v>485</v>
      </c>
      <c r="I6150" s="2" t="inlineStr"/>
      <c r="J6150" s="2" t="inlineStr"/>
      <c r="K6150" s="3" t="inlineStr">
        <is>
          <t>Тема фильма — внутреннее, духовное очищение человека, его возвращение к себе и обществу. Главный герой фильма достигает этого, несколько раз сбивась с пути. Герой, писатель хочет написать какое-то произведение, но у него на душе неспокойно, и поэтому он не в состоянии продолжать дальше работу, но встреча с красивой девушкой Захрой притягивает новые силы и он вновь приступил к активному творчеству. Фильм создан при финансовой поддержке Пермского городского исполнительного комитета.</t>
        </is>
      </c>
      <c r="L6150" s="2" t="inlineStr">
        <is>
          <t>https://ru.wikipedia.org/w/index.php?title=%D0%92%D1%81%D0%B3%D0%BE%D1%80%D1%8E_%D0%B2_%D0%BE%D0%B3%D0%BD%D0%B5_%D0%BE%D1%87%D0%B8%D1%89%D0%B5%D0%BD%D0%B8%D1%8F&amp;oldid=145537495</t>
        </is>
      </c>
      <c r="M6150" s="2">
        <f>HYPERLINK("https://ru.wikipedia.org/w/index.php?search=%D0%92%D1%81%D0%B3%D0%BE%D1%80%D1%8E%20%D0%B2%20%D0%BE%D0%B3%D0%BD%D0%B5%20%D0%BE%D1%87%D0%B8%D1%89%D0%B5%D0%BD%D0%B8%D1%8F%201991%20%D1%84%D0%B8%D0%BB%D1%8C%D0%BC","искать")</f>
        <v/>
      </c>
      <c r="N6150" s="3" t="n"/>
      <c r="O6150" s="2" t="n"/>
      <c r="P6150" s="2" t="n"/>
    </row>
    <row r="6151">
      <c r="A6151" s="2" t="n">
        <v>6150</v>
      </c>
      <c r="B6151" s="2" t="inlineStr"/>
      <c r="C6151" s="2" t="n">
        <v>10654</v>
      </c>
      <c r="D6151" s="3" t="inlineStr">
        <is>
          <t>Мария Стюарт</t>
        </is>
      </c>
      <c r="E6151" s="2" t="n">
        <v>1976</v>
      </c>
      <c r="F6151" s="2" t="inlineStr">
        <is>
          <t>фильм-спектакль</t>
        </is>
      </c>
      <c r="G6151" s="2" t="inlineStr">
        <is>
          <t>ТО "Экран"</t>
        </is>
      </c>
      <c r="H6151" s="2" t="n">
        <v>485</v>
      </c>
      <c r="I6151" s="2" t="inlineStr"/>
      <c r="J6151" s="2" t="inlineStr"/>
      <c r="K6151" s="3" t="inlineStr">
        <is>
          <t>МХАТ им.Горького. Спектакль по одноименной пьесе Ф.Шиллера.
О противостоянии королевы английской Елизаветы I и королевы шотландской Марии. В роли Елизаветы — королева российской сцены — Ангелина Степанова. Премьера состоялась в 1957 году. На сцене тогда царили Ангелина Степанова и Алла Тарасова. Спектакль шел на сцене МХАТа практически 20 лет, когда было решено сделать его телеверсию. Увы, к тому моменту Аллы Тарасовой уже не стало, и роль Марии Стюарт сыграла Людмила Сухолинская.</t>
        </is>
      </c>
      <c r="L6151" s="2" t="inlineStr">
        <is>
          <t>https://www.kino-teatr.ru/teatr/movie/81972/annot/</t>
        </is>
      </c>
      <c r="M6151" s="2">
        <f>HYPERLINK("https://ru.wikipedia.org/w/index.php?search=%D0%9C%D0%B0%D1%80%D0%B8%D1%8F%20%D0%A1%D1%82%D1%8E%D0%B0%D1%80%D1%82%201976%20%D1%84%D0%B8%D0%BB%D1%8C%D0%BC","искать")</f>
        <v/>
      </c>
      <c r="N6151" s="3" t="n"/>
      <c r="O6151" s="2" t="n"/>
      <c r="P6151" s="2" t="n"/>
    </row>
    <row r="6152">
      <c r="A6152" s="2" t="n">
        <v>6151</v>
      </c>
      <c r="B6152" s="2" t="inlineStr"/>
      <c r="C6152" s="2" t="n">
        <v>8995</v>
      </c>
      <c r="D6152" s="3" t="inlineStr">
        <is>
          <t>Путешествие товарища Сталина в Африку</t>
        </is>
      </c>
      <c r="E6152" s="2" t="n">
        <v>1990</v>
      </c>
      <c r="F6152" s="2" t="inlineStr">
        <is>
          <t>кинофильм</t>
        </is>
      </c>
      <c r="G6152" s="2" t="n"/>
      <c r="H6152" s="2" t="n">
        <v>486</v>
      </c>
      <c r="I6152" s="2" t="inlineStr"/>
      <c r="J6152" s="2" t="inlineStr"/>
      <c r="K6152" s="3" t="inlineStr">
        <is>
          <t>Когда зимой 1953 года здоровье Сталина сильно пошатнулось, «наверху» решили найти ему двойника, чтобы тот мог присутствовать на митингах и парадах. Им стал провинциальный и богобоязненный грузинский еврей Моисей Пичхадзе, который живёт в Боржоми и работает на стекольном заводе. Его поселили в пустом доме в горах и стали с ним «работать». Но когда вождь умер, двойник стал опасен — ведь ему пришлось узнать то, чего он не должен был знать. Так ещё один гражданин СССР пропал без вести.</t>
        </is>
      </c>
      <c r="L6152" s="2" t="inlineStr">
        <is>
          <t>https://ru.wikipedia.org/w/index.php?title=%D0%9F%D1%83%D1%82%D0%B5%D1%88%D0%B5%D1%81%D1%82%D0%B2%D0%B8%D0%B5_%D1%82%D0%BE%D0%B2%D0%B0%D1%80%D0%B8%D1%89%D0%B0_%D0%A1%D1%82%D0%B0%D0%BB%D0%B8%D0%BD%D0%B0_%D0%B2_%D0%90%D1%84%D1%80%D0%B8%D0%BA%D1%83&amp;oldid=144315794</t>
        </is>
      </c>
      <c r="M6152" s="2">
        <f>HYPERLINK("https://ru.wikipedia.org/w/index.php?search=%D0%9F%D1%83%D1%82%D0%B5%D1%88%D0%B5%D1%81%D1%82%D0%B2%D0%B8%D0%B5%20%D1%82%D0%BE%D0%B2%D0%B0%D1%80%D0%B8%D1%89%D0%B0%20%D0%A1%D1%82%D0%B0%D0%BB%D0%B8%D0%BD%D0%B0%20%D0%B2%20%D0%90%D1%84%D1%80%D0%B8%D0%BA%D1%83%201990%20%D1%84%D0%B8%D0%BB%D1%8C%D0%BC","искать")</f>
        <v/>
      </c>
      <c r="N6152" s="3" t="n"/>
      <c r="O6152" s="2" t="n"/>
      <c r="P6152" s="2" t="n"/>
    </row>
    <row r="6153">
      <c r="A6153" s="2" t="n">
        <v>6152</v>
      </c>
      <c r="B6153" s="2" t="inlineStr"/>
      <c r="C6153" s="2" t="n">
        <v>9346</v>
      </c>
      <c r="D6153" s="3" t="inlineStr">
        <is>
          <t>Дорогое удовольствие</t>
        </is>
      </c>
      <c r="E6153" s="2" t="n">
        <v>1988</v>
      </c>
      <c r="F6153" s="2" t="inlineStr">
        <is>
          <t>кинофильм</t>
        </is>
      </c>
      <c r="G6153" s="2" t="n"/>
      <c r="H6153" s="2" t="n">
        <v>486</v>
      </c>
      <c r="I6153" s="2" t="inlineStr"/>
      <c r="J6153" s="2" t="inlineStr"/>
      <c r="K6153" s="3" t="inlineStr">
        <is>
          <t>У инженера Игоря есть семья. Он работает в конструкторском бюро и, как и многие другие инженеры в СССР, зарабатывает мало, еле сводя концы с концами. При этом Игорь хорошо разбирается в ремонте автомобилей — сначала он занимается этим случайно для своего удовольствия, но постепенно хобби перерастает в постоянное занятие, приносящее хороший доход. Быстро появившиеся большие деньги портят Игоря, из бескорыстного он превращается в прагматичного, не делающего ничего бесплатно человека.</t>
        </is>
      </c>
      <c r="L6153" s="2" t="inlineStr">
        <is>
          <t>https://ru.wikipedia.org/w/index.php?title=%D0%94%D0%BE%D1%80%D0%BE%D0%B3%D0%BE%D0%B5_%D1%83%D0%B4%D0%BE%D0%B2%D0%BE%D0%BB%D1%8C%D1%81%D1%82%D0%B2%D0%B8%D0%B5&amp;oldid=145409881</t>
        </is>
      </c>
      <c r="M6153" s="2">
        <f>HYPERLINK("https://ru.wikipedia.org/w/index.php?search=%D0%94%D0%BE%D1%80%D0%BE%D0%B3%D0%BE%D0%B5%20%D1%83%D0%B4%D0%BE%D0%B2%D0%BE%D0%BB%D1%8C%D1%81%D1%82%D0%B2%D0%B8%D0%B5%201988%20%D1%84%D0%B8%D0%BB%D1%8C%D0%BC","искать")</f>
        <v/>
      </c>
      <c r="N6153" s="3" t="n"/>
      <c r="O6153" s="2" t="n"/>
      <c r="P6153" s="2" t="n"/>
    </row>
    <row r="6154">
      <c r="A6154" s="2" t="n">
        <v>6153</v>
      </c>
      <c r="B6154" s="2" t="inlineStr"/>
      <c r="C6154" s="2" t="n">
        <v>9844</v>
      </c>
      <c r="D6154" s="3" t="inlineStr">
        <is>
          <t>Человек Иван Чижиков</t>
        </is>
      </c>
      <c r="E6154" s="2" t="n">
        <v>1967</v>
      </c>
      <c r="F6154" s="2" t="inlineStr">
        <is>
          <t>телефильм</t>
        </is>
      </c>
      <c r="G6154" s="2" t="inlineStr">
        <is>
          <t>Саратовское телевидение</t>
        </is>
      </c>
      <c r="H6154" s="2" t="n">
        <v>486</v>
      </c>
      <c r="I6154" s="2" t="inlineStr"/>
      <c r="J6154" s="2" t="inlineStr"/>
      <c r="K6154" s="3" t="inlineStr">
        <is>
          <t>По одноименной повести Галины Ширяевой.
Андрей и Дина — брат и сестра, близнецы. Их отец, Иван Чижиков, был партизаном и погиб ещё до их рождения. Даже фотографии его не было, только портрет, нарисованный Андреем со слов мамы. Этот портрет легко давал советы в самых сложных ситуациях.
Всё меняет кратковременный приезд двоюродной сестры матери — тёти Леры. И её же последующее письмо. Прочитав его, Дина понимает: что-то они с братом не знают об отце. И решает непременно это выяснить.</t>
        </is>
      </c>
      <c r="L6154" s="2" t="inlineStr">
        <is>
          <t>https://www.kino-teatr.ru/short/movie/sov/92787/annot/</t>
        </is>
      </c>
      <c r="M6154" s="2">
        <f>HYPERLINK("https://ru.wikipedia.org/w/index.php?search=%D0%A7%D0%B5%D0%BB%D0%BE%D0%B2%D0%B5%D0%BA%20%D0%98%D0%B2%D0%B0%D0%BD%20%D0%A7%D0%B8%D0%B6%D0%B8%D0%BA%D0%BE%D0%B2%201967%20%D1%84%D0%B8%D0%BB%D1%8C%D0%BC","искать")</f>
        <v/>
      </c>
      <c r="N6154" s="3" t="n"/>
      <c r="O6154" s="2" t="n"/>
      <c r="P6154" s="2" t="n"/>
    </row>
    <row r="6155">
      <c r="A6155" s="2" t="n">
        <v>6154</v>
      </c>
      <c r="B6155" s="2" t="inlineStr"/>
      <c r="C6155" s="2" t="n">
        <v>10974</v>
      </c>
      <c r="D6155" s="3" t="inlineStr">
        <is>
          <t>Шесть старых дев и один мужчина</t>
        </is>
      </c>
      <c r="E6155" s="2" t="n">
        <v>1982</v>
      </c>
      <c r="F6155" s="2" t="inlineStr">
        <is>
          <t>фильм-спектакль</t>
        </is>
      </c>
      <c r="G6155" s="2" t="inlineStr">
        <is>
          <t>Главная редакция литературно-драматических программ</t>
        </is>
      </c>
      <c r="H6155" s="2" t="n">
        <v>487</v>
      </c>
      <c r="I6155" s="2" t="inlineStr"/>
      <c r="J6155" s="2" t="inlineStr"/>
      <c r="K6155" s="3" t="inlineStr">
        <is>
          <t>Телеверсия спектакля Московского театра миниатюр (ныне "Эрмитаж").
По одноименной пьесе Отиа Иоселиани.
Герои Иоселиани, как и все люди, любят, страдают, тоскуют, надеются, мечтают о любви. Мечта творит ре­альность. И кому-то обязательно повезет и в этой доброй комедии. Мечта осуществится, и придет любовь. Но это случится только в финале.
А начинается эта история так: шесть одиноких женщин приезжают в горы покататься на лыжах и останавливаются в доме одинокого мужчины, вдовца Митуа.</t>
        </is>
      </c>
      <c r="L6155" s="2" t="inlineStr">
        <is>
          <t>https://www.kino-teatr.ru/teatr/movie/84725/annot/</t>
        </is>
      </c>
      <c r="M6155" s="2">
        <f>HYPERLINK("https://ru.wikipedia.org/w/index.php?search=%D0%A8%D0%B5%D1%81%D1%82%D1%8C%20%D1%81%D1%82%D0%B0%D1%80%D1%8B%D1%85%20%D0%B4%D0%B5%D0%B2%20%D0%B8%20%D0%BE%D0%B4%D0%B8%D0%BD%20%D0%BC%D1%83%D0%B6%D1%87%D0%B8%D0%BD%D0%B0%201982%20%D1%84%D0%B8%D0%BB%D1%8C%D0%BC","искать")</f>
        <v/>
      </c>
      <c r="N6155" s="3" t="n"/>
      <c r="O6155" s="2" t="n"/>
      <c r="P6155" s="2" t="n"/>
    </row>
    <row r="6156">
      <c r="A6156" s="2" t="n">
        <v>6155</v>
      </c>
      <c r="B6156" s="2" t="inlineStr"/>
      <c r="C6156" s="2" t="n">
        <v>9105</v>
      </c>
      <c r="D6156" s="3" t="inlineStr">
        <is>
          <t>Только для сумасшедших</t>
        </is>
      </c>
      <c r="E6156" s="2" t="n">
        <v>1990</v>
      </c>
      <c r="F6156" s="2" t="inlineStr">
        <is>
          <t>кинофильм</t>
        </is>
      </c>
      <c r="G6156" s="2" t="n"/>
      <c r="H6156" s="2" t="n">
        <v>488</v>
      </c>
      <c r="I6156" s="2" t="inlineStr"/>
      <c r="J6156" s="2" t="inlineStr"/>
      <c r="K6156" s="3" t="inlineStr">
        <is>
          <t>В больницу маленького эстонского городка привозят молодого человека, пытавшегося покончить с собой. Парень не смог пережить страшный удар судьбы — выражаясь фигурально, в самый ответственный для юного любовника момент наш герой оказался несостоятельным. Одна из больничных медсестер, жалея несчастного юношу, приводит его ночью в одну из процедурных комнат и простейшим способом излечивает его от стремления к самоубийству, доказав, что страхи по поводу импотенции несколько преувеличены.</t>
        </is>
      </c>
      <c r="L6156" s="2" t="inlineStr">
        <is>
          <t>Кино_СССР сводный каталог.xlsx: список фильмов (доп.)</t>
        </is>
      </c>
      <c r="M6156" s="2">
        <f>HYPERLINK("https://ru.wikipedia.org/w/index.php?search=%D0%A2%D0%BE%D0%BB%D1%8C%D0%BA%D0%BE%20%D0%B4%D0%BB%D1%8F%20%D1%81%D1%83%D0%BC%D0%B0%D1%81%D1%88%D0%B5%D0%B4%D1%88%D0%B8%D1%85%201990%20%D1%84%D0%B8%D0%BB%D1%8C%D0%BC","искать")</f>
        <v/>
      </c>
      <c r="N6156" s="3" t="n"/>
      <c r="O6156" s="2" t="n"/>
      <c r="P6156" s="2" t="n"/>
    </row>
    <row r="6157">
      <c r="A6157" s="2" t="n">
        <v>6156</v>
      </c>
      <c r="B6157" s="2" t="inlineStr"/>
      <c r="C6157" s="2" t="n">
        <v>9946</v>
      </c>
      <c r="D6157" s="3" t="inlineStr">
        <is>
          <t>Пропасть</t>
        </is>
      </c>
      <c r="E6157" s="2" t="n">
        <v>1979</v>
      </c>
      <c r="F6157" s="2" t="inlineStr">
        <is>
          <t>телефильм</t>
        </is>
      </c>
      <c r="G6157" s="2" t="n"/>
      <c r="H6157" s="2" t="n">
        <v>488</v>
      </c>
      <c r="I6157" s="2" t="inlineStr"/>
      <c r="J6157" s="2" t="inlineStr"/>
      <c r="K6157" s="3" t="inlineStr">
        <is>
          <t>Действие фильма начинается в 1922 году в Грузии. Рядом с семью товарищами происходит странное событие. Один из них, владеющий секретом джигитовки, чудом остается жив. Плененные чувством долга, товарищи решают ехать в Гори, чтобы найти этого человека, а если удастся, то остановить его преступление, которое будет стоить жизни многим невинным. С легкой руки вождя в Грузии вспыхивает гражданская война, которая унесет жизни всех, кого они нашли, но успеет открыть еще много других смертей.</t>
        </is>
      </c>
      <c r="L6157" s="2" t="inlineStr">
        <is>
          <t>https://www.kino-teatr.ru/short/movie/sov/12686/annot/</t>
        </is>
      </c>
      <c r="M6157" s="2">
        <f>HYPERLINK("https://ru.wikipedia.org/w/index.php?search=%D0%9F%D1%80%D0%BE%D0%BF%D0%B0%D1%81%D1%82%D1%8C%201979%20%D1%84%D0%B8%D0%BB%D1%8C%D0%BC","искать")</f>
        <v/>
      </c>
      <c r="N6157" s="3" t="n"/>
      <c r="O6157" s="2" t="n"/>
      <c r="P6157" s="2" t="n"/>
    </row>
    <row r="6158">
      <c r="A6158" s="2" t="n">
        <v>6157</v>
      </c>
      <c r="B6158" s="2" t="inlineStr"/>
      <c r="C6158" s="2" t="n">
        <v>10874</v>
      </c>
      <c r="D6158" s="3" t="inlineStr">
        <is>
          <t>Балерина политотдела</t>
        </is>
      </c>
      <c r="E6158" s="2" t="n">
        <v>1981</v>
      </c>
      <c r="F6158" s="2" t="inlineStr">
        <is>
          <t>фильм-спектакль</t>
        </is>
      </c>
      <c r="G6158" s="2" t="inlineStr">
        <is>
          <t>Саратовское телевидение</t>
        </is>
      </c>
      <c r="H6158" s="2" t="n">
        <v>488</v>
      </c>
      <c r="I6158" s="2" t="inlineStr"/>
      <c r="J6158" s="2" t="inlineStr"/>
      <c r="K6158" s="3" t="inlineStr">
        <is>
          <t>Спектакль Саратовского театра юного зрителя имени Ленинского комсомола по одноименной пьесе Юрия Яковлева.
О юных артистах танцевальной группы Ленинградского дворца пионеров, давших 3000 концертов в блокадном городе и для бойцов фронта.
1942 год, бывшему балетмейстеру Дома пионеров, лейтенанту минометной роты Корбуту поручено создать агитбригаду. В блокадном Ленинграде он собирает группу из своих бывших учеников. Слабые, голодные, полуживые 16-летние мальчики и девочки едут на фронт.</t>
        </is>
      </c>
      <c r="L6158" s="2" t="inlineStr">
        <is>
          <t>https://www.kino-teatr.ru/teatr/movie/137603/annot/</t>
        </is>
      </c>
      <c r="M6158" s="2">
        <f>HYPERLINK("https://ru.wikipedia.org/w/index.php?search=%D0%91%D0%B0%D0%BB%D0%B5%D1%80%D0%B8%D0%BD%D0%B0%20%D0%BF%D0%BE%D0%BB%D0%B8%D1%82%D0%BE%D1%82%D0%B4%D0%B5%D0%BB%D0%B0%201981%20%D1%84%D0%B8%D0%BB%D1%8C%D0%BC","искать")</f>
        <v/>
      </c>
      <c r="N6158" s="3" t="n"/>
      <c r="O6158" s="2" t="n"/>
      <c r="P6158" s="2" t="n"/>
    </row>
    <row r="6159">
      <c r="A6159" s="2" t="n">
        <v>6158</v>
      </c>
      <c r="B6159" s="2" t="inlineStr"/>
      <c r="C6159" s="2" t="n">
        <v>7616</v>
      </c>
      <c r="D6159" s="3" t="inlineStr">
        <is>
          <t>За час до рассвета</t>
        </is>
      </c>
      <c r="E6159" s="2" t="n">
        <v>1973</v>
      </c>
      <c r="F6159" s="2" t="inlineStr">
        <is>
          <t>телефильм</t>
        </is>
      </c>
      <c r="G6159" s="2" t="n"/>
      <c r="H6159" s="2" t="n">
        <v>489</v>
      </c>
      <c r="I6159" s="2" t="inlineStr"/>
      <c r="J6159" s="2" t="inlineStr"/>
      <c r="K6159" s="3" t="inlineStr">
        <is>
          <t>1920 год, Гражданская война в России. Небольшому отряду красноармейцев, под командованим бывшего царского офицера Державина и красного комиссара Анданикяна, поручено перегнать захваченный у деникинцев бронепоезд в Царицын на ремонт — вооружение непригодно к бою, снарядов нет. Одновременно, поручено доставить пленного генерала. Белогвардейцы, узнавшие от предателя в экипаже бронепоезда о маршруте его следования, решают устроить засаду — захватить бронепоезд и вызволить своего генерала.</t>
        </is>
      </c>
      <c r="L6159" s="2" t="inlineStr">
        <is>
          <t>https://ru.wikipedia.org/w/index.php?title=%D0%97%D0%B0_%D1%87%D0%B0%D1%81_%D0%B4%D0%BE_%D1%80%D0%B0%D1%81%D1%81%D0%B2%D0%B5%D1%82%D0%B0_%28%D1%84%D0%B8%D0%BB%D1%8C%D0%BC%29&amp;oldid=154695791</t>
        </is>
      </c>
      <c r="M6159" s="2">
        <f>HYPERLINK("https://ru.wikipedia.org/w/index.php?search=%D0%97%D0%B0%20%D1%87%D0%B0%D1%81%20%D0%B4%D0%BE%20%D1%80%D0%B0%D1%81%D1%81%D0%B2%D0%B5%D1%82%D0%B0%201973%20%D1%84%D0%B8%D0%BB%D1%8C%D0%BC","искать")</f>
        <v/>
      </c>
      <c r="N6159" s="3" t="n"/>
      <c r="O6159" s="2" t="n"/>
      <c r="P6159" s="2" t="n"/>
    </row>
    <row r="6160">
      <c r="A6160" s="2" t="n">
        <v>6159</v>
      </c>
      <c r="B6160" s="2" t="inlineStr"/>
      <c r="C6160" s="2" t="n">
        <v>13287</v>
      </c>
      <c r="D6160" s="3" t="inlineStr">
        <is>
          <t>Город</t>
        </is>
      </c>
      <c r="E6160" s="2" t="n">
        <v>1988</v>
      </c>
      <c r="F6160" s="2" t="inlineStr">
        <is>
          <t>мультфильм</t>
        </is>
      </c>
      <c r="G6160" s="2" t="inlineStr">
        <is>
          <t>ТАЛЛИННФИЛЬМ</t>
        </is>
      </c>
      <c r="H6160" s="2" t="n">
        <v>489</v>
      </c>
      <c r="I6160" s="2" t="inlineStr"/>
      <c r="J6160" s="2" t="inlineStr"/>
      <c r="K6160" s="3" t="inlineStr">
        <is>
          <t>Город жил обычной жизнью, со своими радостями и бедами, пока однажды на Город не пришла беда в виде огромного индустриально-буржуазного Монстра. Не считаясь с жителями Городка, Монстр стал перестраивать все в своих интересах. Город пытался противостоять Монстру. Тогда Монстр стал подкупать жителей Городка дешевыми благами и удовольствием. Многие жители оказались падкими на обманчивую радость, но большинство защитников Города не смотря ни на что продолжало бороться с насилием и гнетом.</t>
        </is>
      </c>
      <c r="L6160" s="2" t="inlineStr">
        <is>
          <t>2026-10_мультфильмы_список_владельца.xlsx; https://animator.ru/db/?p=show_film&amp;fid=4544</t>
        </is>
      </c>
      <c r="M6160" s="2">
        <f>HYPERLINK("https://ru.wikipedia.org/w/index.php?search=%D0%93%D0%BE%D1%80%D0%BE%D0%B4%201988%20%D1%84%D0%B8%D0%BB%D1%8C%D0%BC","искать")</f>
        <v/>
      </c>
      <c r="N6160" s="3" t="n"/>
      <c r="O6160" s="2" t="n"/>
      <c r="P6160" s="2" t="n"/>
    </row>
    <row r="6161">
      <c r="A6161" s="2" t="n">
        <v>6160</v>
      </c>
      <c r="B6161" s="2" t="inlineStr"/>
      <c r="C6161" s="2" t="n">
        <v>7272</v>
      </c>
      <c r="D6161" s="3" t="inlineStr">
        <is>
          <t>Бродяги Севера</t>
        </is>
      </c>
      <c r="E6161" s="2" t="n">
        <v>1983</v>
      </c>
      <c r="F6161" s="2" t="inlineStr">
        <is>
          <t>телефильм</t>
        </is>
      </c>
      <c r="G6161" s="2" t="n"/>
      <c r="H6161" s="2" t="n">
        <v>490</v>
      </c>
      <c r="I6161" s="2" t="inlineStr"/>
      <c r="J6161" s="2" t="inlineStr"/>
      <c r="K6161" s="3" t="inlineStr">
        <is>
          <t>По мотивам одноимённой повести канадского писателя Джеймса Оливера Кервуда.
В дебрях густой тайги Севера встречаются медвежонок и щенок. Малыши быстро находят «общий язык» и начинают помогать друг другу выживать в суровых условиях дикой суровой природы. Но не менее опаснее хищников и другой «зверь» — человек, который норовит щенка упрятать в неволю, а из шкуры медведя сделать варежки. Вместе щенку Мики и медвежонку Нееве, ставших верными друзьями, предстоит пройти все опасности Севера.</t>
        </is>
      </c>
      <c r="L6161" s="2" t="inlineStr">
        <is>
          <t>https://ru.wikipedia.org/w/index.php?title=%D0%91%D1%80%D0%BE%D0%B4%D1%8F%D0%B3%D0%B8_%D0%A1%D0%B5%D0%B2%D0%B5%D1%80%D0%B0_%28%D1%84%D0%B8%D0%BB%D1%8C%D0%BC%29&amp;oldid=154692268</t>
        </is>
      </c>
      <c r="M6161" s="2">
        <f>HYPERLINK("https://ru.wikipedia.org/w/index.php?search=%D0%91%D1%80%D0%BE%D0%B4%D1%8F%D0%B3%D0%B8%20%D0%A1%D0%B5%D0%B2%D0%B5%D1%80%D0%B0%201983%20%D1%84%D0%B8%D0%BB%D1%8C%D0%BC","искать")</f>
        <v/>
      </c>
      <c r="N6161" s="3" t="n"/>
      <c r="O6161" s="2" t="n"/>
      <c r="P6161" s="2" t="n"/>
    </row>
    <row r="6162">
      <c r="A6162" s="2" t="n">
        <v>6161</v>
      </c>
      <c r="B6162" s="2" t="inlineStr"/>
      <c r="C6162" s="2" t="n">
        <v>8632</v>
      </c>
      <c r="D6162" s="3" t="inlineStr">
        <is>
          <t>Билет до Тадж-Махала</t>
        </is>
      </c>
      <c r="E6162" s="2" t="n">
        <v>1990</v>
      </c>
      <c r="F6162" s="2" t="inlineStr">
        <is>
          <t>кинофильм</t>
        </is>
      </c>
      <c r="G6162" s="2" t="n"/>
      <c r="H6162" s="2" t="n">
        <v>490</v>
      </c>
      <c r="I6162" s="2" t="inlineStr"/>
      <c r="J6162" s="2" t="inlineStr"/>
      <c r="K6162" s="3" t="inlineStr">
        <is>
          <t>По рассказу Римантаса Шавялиса «Фабийонас». В послевоенные годы на одном из литовских хуторов живет под страхом семья Фабийонаса Матуза. НКВД, «Лесные братья» и завистливый всезнающий представитель местной власти время от времени дают о себе знать. Прочитав книгу о жизни персидского шаха, построившего в память о жене чудо-мавзолей, излучающий по утрам лунный свет, Фабийонас решает остатки своих дней посвятить его поискам, убедиться в существовании другого, полного любви и красоты мира.</t>
        </is>
      </c>
      <c r="L6162" s="2" t="inlineStr">
        <is>
          <t>Кино_СССР сводный каталог.xlsx: список фильмов (доп.)</t>
        </is>
      </c>
      <c r="M6162" s="2">
        <f>HYPERLINK("https://ru.wikipedia.org/w/index.php?search=%D0%91%D0%B8%D0%BB%D0%B5%D1%82%20%D0%B4%D0%BE%20%D0%A2%D0%B0%D0%B4%D0%B6-%D0%9C%D0%B0%D1%85%D0%B0%D0%BB%D0%B0%201990%20%D1%84%D0%B8%D0%BB%D1%8C%D0%BC","искать")</f>
        <v/>
      </c>
      <c r="N6162" s="3" t="n"/>
      <c r="O6162" s="2" t="n"/>
      <c r="P6162" s="2" t="n"/>
    </row>
    <row r="6163">
      <c r="A6163" s="2" t="n">
        <v>6162</v>
      </c>
      <c r="B6163" s="2" t="inlineStr"/>
      <c r="C6163" s="2" t="n">
        <v>11128</v>
      </c>
      <c r="D6163" s="3" t="inlineStr">
        <is>
          <t>Птичье молоко</t>
        </is>
      </c>
      <c r="E6163" s="2" t="n">
        <v>1986</v>
      </c>
      <c r="F6163" s="2" t="inlineStr">
        <is>
          <t>фильм-спектакль</t>
        </is>
      </c>
      <c r="G6163" s="2" t="inlineStr">
        <is>
          <t>Главная редакция литературно-драматических программ ЦТ</t>
        </is>
      </c>
      <c r="H6163" s="2" t="n">
        <v>490</v>
      </c>
      <c r="I6163" s="2" t="inlineStr"/>
      <c r="J6163" s="2" t="inlineStr"/>
      <c r="K6163" s="3" t="inlineStr">
        <is>
          <t>По одноименной пьесе Аркадия Ваксберга.
Людмила Петровна Глазкова - санитарный врач кондитерской фабрики, народный контролер - написала в газету письмо о различных нарушениях на фабрике, так как администрация предприятия не реагировала на ее сигналы, а виновные лица пытались скомпрометировать Глазкову. Спецкор газеты Острецов, проявив настойчивость и принципиальность, сумел разобраться в возникшей конфликтной ситуации. В результате были разоблачены служебные злоупотребления на фабрике.</t>
        </is>
      </c>
      <c r="L6163" s="2" t="inlineStr">
        <is>
          <t>https://www.kino-teatr.ru/teatr/movie/106805/annot/</t>
        </is>
      </c>
      <c r="M6163" s="2">
        <f>HYPERLINK("https://ru.wikipedia.org/w/index.php?search=%D0%9F%D1%82%D0%B8%D1%87%D1%8C%D0%B5%20%D0%BC%D0%BE%D0%BB%D0%BE%D0%BA%D0%BE%201986%20%D1%84%D0%B8%D0%BB%D1%8C%D0%BC","искать")</f>
        <v/>
      </c>
      <c r="N6163" s="3" t="n"/>
      <c r="O6163" s="2" t="n"/>
      <c r="P6163" s="2" t="n"/>
    </row>
    <row r="6164">
      <c r="A6164" s="2" t="n">
        <v>6163</v>
      </c>
      <c r="B6164" s="2" t="inlineStr"/>
      <c r="C6164" s="2" t="n">
        <v>8028</v>
      </c>
      <c r="D6164" s="3" t="inlineStr">
        <is>
          <t>Обычный месяц</t>
        </is>
      </c>
      <c r="E6164" s="2" t="n">
        <v>1976</v>
      </c>
      <c r="F6164" s="2" t="inlineStr">
        <is>
          <t>телефильм</t>
        </is>
      </c>
      <c r="G6164" s="2" t="n"/>
      <c r="H6164" s="2" t="n">
        <v>491</v>
      </c>
      <c r="I6164" s="2" t="inlineStr"/>
      <c r="J6164" s="2" t="inlineStr"/>
      <c r="K6164" s="3" t="inlineStr">
        <is>
          <t>Главный инженер приборостроительного завода Греков ищет выход из тяжёлого положения, сложившегося на заводе: подводят поставщики — приходится прибегать к штурмовщине, нарушается технология, страдает качество. Институт проблем управления производством, в который Греков обращается за помощью, предлагает внедрить на заводе новую, ещё не испытанную систему автоматизированного управления. Греков соглашается, хотя коллеги, все как один, считают, что он выбрал для этого не самое удобное время.</t>
        </is>
      </c>
      <c r="L6164" s="2" t="inlineStr">
        <is>
          <t>https://ru.wikipedia.org/w/index.php?title=%D0%9E%D0%B1%D1%8B%D1%87%D0%BD%D1%8B%D0%B9_%D0%BC%D0%B5%D1%81%D1%8F%D1%86&amp;oldid=155314783</t>
        </is>
      </c>
      <c r="M6164" s="2">
        <f>HYPERLINK("https://ru.wikipedia.org/w/index.php?search=%D0%9E%D0%B1%D1%8B%D1%87%D0%BD%D1%8B%D0%B9%20%D0%BC%D0%B5%D1%81%D1%8F%D1%86%201976%20%D1%84%D0%B8%D0%BB%D1%8C%D0%BC","искать")</f>
        <v/>
      </c>
      <c r="N6164" s="3" t="n"/>
      <c r="O6164" s="2" t="n"/>
      <c r="P6164" s="2" t="n"/>
    </row>
    <row r="6165">
      <c r="A6165" s="2" t="n">
        <v>6164</v>
      </c>
      <c r="B6165" s="2" t="inlineStr"/>
      <c r="C6165" s="2" t="n">
        <v>8170</v>
      </c>
      <c r="D6165" s="3" t="inlineStr">
        <is>
          <t>Последний репортаж</t>
        </is>
      </c>
      <c r="E6165" s="2" t="n">
        <v>1986</v>
      </c>
      <c r="F6165" s="2" t="inlineStr">
        <is>
          <t>телефильм</t>
        </is>
      </c>
      <c r="G6165" s="2" t="inlineStr">
        <is>
          <t>Рижская к/с</t>
        </is>
      </c>
      <c r="H6165" s="2" t="n">
        <v>491</v>
      </c>
      <c r="I6165" s="2" t="inlineStr"/>
      <c r="J6165" s="2" t="inlineStr"/>
      <c r="K6165" s="3" t="inlineStr">
        <is>
          <t>Руководство солидного западногерманского издания поручает своему ведущему репортёру Петеру Лобенштейну подготовить материал о недавнем загадочном убийстве сотрудника газеты, популярного журналиста Йоргенсена.
Лобенштейн, занятый другой темой, с большой неохотой берётся за порученное дело. Допущенный к материалам дела, он выясняет, что его коллега был убит в связи со своим последним журналистским расследованием, а не по бытовым причинам, как на то настойчиво указывал шеф местной полиции.</t>
        </is>
      </c>
      <c r="L6165" s="2" t="inlineStr">
        <is>
          <t>https://ru.wikipedia.org/w/index.php?title=%D0%9F%D0%BE%D1%81%D0%BB%D0%B5%D0%B4%D0%BD%D0%B8%D0%B9_%D1%80%D0%B5%D0%BF%D0%BE%D1%80%D1%82%D0%B0%D0%B6&amp;oldid=145563537</t>
        </is>
      </c>
      <c r="M6165" s="2">
        <f>HYPERLINK("https://ru.wikipedia.org/w/index.php?search=%D0%9F%D0%BE%D1%81%D0%BB%D0%B5%D0%B4%D0%BD%D0%B8%D0%B9%20%D1%80%D0%B5%D0%BF%D0%BE%D1%80%D1%82%D0%B0%D0%B6%201986%20%D1%84%D0%B8%D0%BB%D1%8C%D0%BC","искать")</f>
        <v/>
      </c>
      <c r="N6165" s="3" t="n"/>
      <c r="O6165" s="2" t="n"/>
      <c r="P6165" s="2" t="n"/>
    </row>
    <row r="6166">
      <c r="A6166" s="2" t="n">
        <v>6165</v>
      </c>
      <c r="B6166" s="2" t="inlineStr"/>
      <c r="C6166" s="2" t="n">
        <v>8610</v>
      </c>
      <c r="D6166" s="3" t="inlineStr">
        <is>
          <t>Я вожатый форпоста</t>
        </is>
      </c>
      <c r="E6166" s="2" t="n">
        <v>1986</v>
      </c>
      <c r="F6166" s="2" t="inlineStr">
        <is>
          <t>телефильм</t>
        </is>
      </c>
      <c r="G6166" s="2" t="n"/>
      <c r="H6166" s="2" t="n">
        <v>491</v>
      </c>
      <c r="I6166" s="2" t="inlineStr"/>
      <c r="J6166" s="2" t="inlineStr"/>
      <c r="K6166" s="3" t="inlineStr">
        <is>
          <t>По произведениям, письмам и воспоминаниям писателя и педагога Н. Огнёва (Михаила Розанова). Продолжение судеб героев фильма «Наше призвание».
Действие происходит осенью 1924 года. После выхода на пенсию заслуженный педагог Николай Иванович Гудков вспоминает молодость, сложный период НЭПа и свою деятельность в качестве вожатого «пионерского форпоста» — одного из первых в стране пионерских отрядов. Он ведёт речь о своих друзьях, недругах, учителе, который был для него примером, и о любви.</t>
        </is>
      </c>
      <c r="L6166" s="2" t="inlineStr">
        <is>
          <t>https://ru.wikipedia.org/w/index.php?title=%D0%AF_%E2%80%94_%D0%B2%D0%BE%D0%B6%D0%B0%D1%82%D1%8B%D0%B9_%D1%84%D0%BE%D1%80%D0%BF%D0%BE%D1%81%D1%82%D0%B0&amp;oldid=154448289</t>
        </is>
      </c>
      <c r="M6166" s="2">
        <f>HYPERLINK("https://ru.wikipedia.org/w/index.php?search=%D0%AF%20%D0%B2%D0%BE%D0%B6%D0%B0%D1%82%D1%8B%D0%B9%20%D1%84%D0%BE%D1%80%D0%BF%D0%BE%D1%81%D1%82%D0%B0%201986%20%D1%84%D0%B8%D0%BB%D1%8C%D0%BC","искать")</f>
        <v/>
      </c>
      <c r="N6166" s="3" t="n"/>
      <c r="O6166" s="2" t="n"/>
      <c r="P6166" s="2" t="n"/>
    </row>
    <row r="6167">
      <c r="A6167" s="2" t="n">
        <v>6166</v>
      </c>
      <c r="B6167" s="2" t="inlineStr"/>
      <c r="C6167" s="2" t="n">
        <v>10728</v>
      </c>
      <c r="D6167" s="3" t="inlineStr">
        <is>
          <t>Бешеные деньги</t>
        </is>
      </c>
      <c r="E6167" s="2" t="n">
        <v>1978</v>
      </c>
      <c r="F6167" s="2" t="inlineStr">
        <is>
          <t>фильм-спектакль</t>
        </is>
      </c>
      <c r="G6167" s="2" t="inlineStr">
        <is>
          <t>ТО "Экран"</t>
        </is>
      </c>
      <c r="H6167" s="2" t="n">
        <v>491</v>
      </c>
      <c r="I6167" s="2" t="inlineStr"/>
      <c r="J6167" s="2" t="inlineStr"/>
      <c r="K6167" s="3" t="inlineStr">
        <is>
          <t>Спектакль по одноименной пьесе Александра Николаевича Островского в постановке Государственного академического Малого театра Союза ССР.
Рассказ о нравах русского дворянства XIX века удивительным образом перекликается с условиями жизни и нравственными устоями современной нам действительности. Деньгами расплачиваются за чувства, они беспощадны и губительны. Актуальная история про «нищего духом» обладателя крупного капитала, он уверен в своих силах и точно знает, как достигнуть своей цели.</t>
        </is>
      </c>
      <c r="L6167" s="2" t="inlineStr">
        <is>
          <t>https://www.kino-teatr.ru/teatr/movie/15084/annot/</t>
        </is>
      </c>
      <c r="M6167" s="2">
        <f>HYPERLINK("https://ru.wikipedia.org/w/index.php?search=%D0%91%D0%B5%D1%88%D0%B5%D0%BD%D1%8B%D0%B5%20%D0%B4%D0%B5%D0%BD%D1%8C%D0%B3%D0%B8%201978%20%D1%84%D0%B8%D0%BB%D1%8C%D0%BC","искать")</f>
        <v/>
      </c>
      <c r="N6167" s="3" t="n"/>
      <c r="O6167" s="2" t="n"/>
      <c r="P6167" s="2" t="n"/>
    </row>
    <row r="6168">
      <c r="A6168" s="2" t="n">
        <v>6167</v>
      </c>
      <c r="B6168" s="2" t="inlineStr"/>
      <c r="C6168" s="2" t="n">
        <v>10861</v>
      </c>
      <c r="D6168" s="3" t="inlineStr">
        <is>
          <t>Пойдем в кино?</t>
        </is>
      </c>
      <c r="E6168" s="2" t="n">
        <v>1980</v>
      </c>
      <c r="F6168" s="2" t="inlineStr">
        <is>
          <t>фильм-спектакль</t>
        </is>
      </c>
      <c r="G6168" s="2" t="inlineStr">
        <is>
          <t>Главная редакция программ для детей и юношества ЦТ</t>
        </is>
      </c>
      <c r="H6168" s="2" t="n">
        <v>491</v>
      </c>
      <c r="I6168" s="2" t="inlineStr"/>
      <c r="J6168" s="2" t="inlineStr"/>
      <c r="K6168" s="3" t="inlineStr">
        <is>
          <t>По одноименной пьесе Анатолия Алексина в постановке Московского театра юного зрителя.
Восьмиклассник Андрей случайно находит в старых книгах письмо, которое тридцать лет назад его дядя, погибший на фронте, написал своей школьной подруге. Встретившись с женщиной, которую в школьные годы любил дядя, Андрей понимает, что она недостойна этой любви. Он передает письмо другой однокласснице, которая не только сохранила тетрадку с его стихами и портрет, но и живые воспоминания о погибшем друге.</t>
        </is>
      </c>
      <c r="L6168" s="2" t="inlineStr">
        <is>
          <t>https://www.kino-teatr.ru/teatr/movie/17073/annot/</t>
        </is>
      </c>
      <c r="M6168" s="2">
        <f>HYPERLINK("https://ru.wikipedia.org/w/index.php?search=%D0%9F%D0%BE%D0%B9%D0%B4%D0%B5%D0%BC%20%D0%B2%20%D0%BA%D0%B8%D0%BD%D0%BE%3F%201980%20%D1%84%D0%B8%D0%BB%D1%8C%D0%BC","искать")</f>
        <v/>
      </c>
      <c r="N6168" s="3" t="n"/>
      <c r="O6168" s="2" t="n"/>
      <c r="P6168" s="2" t="n"/>
    </row>
    <row r="6169">
      <c r="A6169" s="2" t="n">
        <v>6168</v>
      </c>
      <c r="B6169" s="2" t="inlineStr"/>
      <c r="C6169" s="2" t="n">
        <v>10437</v>
      </c>
      <c r="D6169" s="3" t="inlineStr">
        <is>
          <t>Гробовщик ("Повести Белкина")</t>
        </is>
      </c>
      <c r="E6169" s="2" t="n">
        <v>1972</v>
      </c>
      <c r="F6169" s="2" t="inlineStr">
        <is>
          <t>фильм-спектакль</t>
        </is>
      </c>
      <c r="G6169" s="2" t="inlineStr">
        <is>
          <t>Главная редакция литературно-драматических программ, Подборки фильмов, экранизации Пушкина</t>
        </is>
      </c>
      <c r="H6169" s="2" t="n">
        <v>492</v>
      </c>
      <c r="I6169" s="2" t="inlineStr"/>
      <c r="J6169" s="2" t="inlineStr"/>
      <c r="K6169" s="3" t="inlineStr">
        <is>
          <t>Моноспектакль по одноименной повести А. С. Пушкина.
Гробовщик Адриан Прохоров отправляется в гости к своему новому знакомому - сапожнику. Во время застолья многочисленные гости решили выпить за здоровье тех, на кого они работают. Адриан решил, что подобное предложение было намеренной насмешкой над его ремеслом, которое он считал не хуже других. Обиженный гробовщик тоже решает пригласить к себе на пир гостей, но только не своих новых знакомых, а тех, на кого работает - клиентов-мертвецов.</t>
        </is>
      </c>
      <c r="L6169" s="2" t="inlineStr">
        <is>
          <t>https://www.kino-teatr.ru/teatr/movie/86272/annot/</t>
        </is>
      </c>
      <c r="M6169" s="2">
        <f>HYPERLINK("https://ru.wikipedia.org/w/index.php?search=%D0%93%D1%80%D0%BE%D0%B1%D0%BE%D0%B2%D1%89%D0%B8%D0%BA%20%28%22%D0%9F%D0%BE%D0%B2%D0%B5%D1%81%D1%82%D0%B8%20%D0%91%D0%B5%D0%BB%D0%BA%D0%B8%D0%BD%D0%B0%22%29%201972%20%D1%84%D0%B8%D0%BB%D1%8C%D0%BC","искать")</f>
        <v/>
      </c>
      <c r="N6169" s="3" t="n"/>
      <c r="O6169" s="2" t="n"/>
      <c r="P6169" s="2" t="n"/>
    </row>
    <row r="6170">
      <c r="A6170" s="2" t="n">
        <v>6169</v>
      </c>
      <c r="B6170" s="2" t="inlineStr"/>
      <c r="C6170" s="2" t="n">
        <v>11098</v>
      </c>
      <c r="D6170" s="3" t="inlineStr">
        <is>
          <t>Верховный суд</t>
        </is>
      </c>
      <c r="E6170" s="2" t="n">
        <v>1986</v>
      </c>
      <c r="F6170" s="2" t="inlineStr">
        <is>
          <t>фильм-спектакль</t>
        </is>
      </c>
      <c r="G6170" s="2" t="inlineStr">
        <is>
          <t>Главная редакция дитературно-драматических программ ЦТ</t>
        </is>
      </c>
      <c r="H6170" s="2" t="n">
        <v>492</v>
      </c>
      <c r="I6170" s="2" t="inlineStr"/>
      <c r="J6170" s="2" t="inlineStr"/>
      <c r="K6170" s="3" t="inlineStr">
        <is>
          <t>По пьесе Аркадия Ваксберга "Верховный суд: Хроника для театра" в постановке Московского драматического театра им. Н.В. Гоголя.
В цехе номер 7 комбината "Авангард" произошел взрыв. В результате взрыва и возникшего пожара помещение мебельного цеха и склад готовой продукции сгорели полностью. 23 человека получили тяжелые ранения и ожоги, один человек погиб.
Идет заседание Президиума Верховного суда. Рассматривается протест Председателя Верховного суда по делу Кольцова, Марского, Нестеренко.</t>
        </is>
      </c>
      <c r="L6170" s="2" t="inlineStr">
        <is>
          <t>https://www.kino-teatr.ru/teatr/movie/113943/annot/</t>
        </is>
      </c>
      <c r="M6170" s="2">
        <f>HYPERLINK("https://ru.wikipedia.org/w/index.php?search=%D0%92%D0%B5%D1%80%D1%85%D0%BE%D0%B2%D0%BD%D1%8B%D0%B9%20%D1%81%D1%83%D0%B4%201986%20%D1%84%D0%B8%D0%BB%D1%8C%D0%BC","искать")</f>
        <v/>
      </c>
      <c r="N6170" s="3" t="n"/>
      <c r="O6170" s="2" t="n"/>
      <c r="P6170" s="2" t="n"/>
    </row>
    <row r="6171">
      <c r="A6171" s="2" t="n">
        <v>6170</v>
      </c>
      <c r="B6171" s="2" t="inlineStr"/>
      <c r="C6171" s="2" t="n">
        <v>8235</v>
      </c>
      <c r="D6171" s="3" t="inlineStr">
        <is>
          <t>Просто Саша</t>
        </is>
      </c>
      <c r="E6171" s="2" t="n">
        <v>1976</v>
      </c>
      <c r="F6171" s="2" t="inlineStr">
        <is>
          <t>телефильм</t>
        </is>
      </c>
      <c r="G6171" s="2" t="n"/>
      <c r="H6171" s="2" t="n">
        <v>493</v>
      </c>
      <c r="I6171" s="2" t="inlineStr"/>
      <c r="J6171" s="2" t="inlineStr"/>
      <c r="K6171" s="3" t="inlineStr">
        <is>
          <t>Медсестра Александра Неродова для всех — просто Саша, поскольку ее ценят коллеги и любят больные. Саша с каждым отзывчива и добра, старается всех поддержать и одарить теплотой и улыбкой, но на душе у нее давно кошки скребут. Саша мечтает о своей семье, но личного счастья на горизонте не предвидится. Когда из города в их районную больницу приезжает новый врач, сердце Саши переполняется долгожданными чувствами. Хотя Вячеслав Алексеевич женат, Саша не в состоянии скрывать свою любовь к нему.</t>
        </is>
      </c>
      <c r="L6171" s="2" t="inlineStr">
        <is>
          <t>https://ru.wikipedia.org/w/index.php?title=%D0%9F%D1%80%D0%BE%D1%81%D1%82%D0%BE_%D0%A1%D0%B0%D1%88%D0%B0&amp;oldid=148086456</t>
        </is>
      </c>
      <c r="M6171" s="2">
        <f>HYPERLINK("https://ru.wikipedia.org/w/index.php?search=%D0%9F%D1%80%D0%BE%D1%81%D1%82%D0%BE%20%D0%A1%D0%B0%D1%88%D0%B0%201976%20%D1%84%D0%B8%D0%BB%D1%8C%D0%BC","искать")</f>
        <v/>
      </c>
      <c r="N6171" s="3" t="n"/>
      <c r="O6171" s="2" t="n"/>
      <c r="P6171" s="2" t="n"/>
    </row>
    <row r="6172">
      <c r="A6172" s="2" t="n">
        <v>6171</v>
      </c>
      <c r="B6172" s="2" t="inlineStr"/>
      <c r="C6172" s="2" t="n">
        <v>10223</v>
      </c>
      <c r="D6172" s="3" t="inlineStr">
        <is>
          <t>Чудаки</t>
        </is>
      </c>
      <c r="E6172" s="2" t="n">
        <v>1967</v>
      </c>
      <c r="F6172" s="2" t="inlineStr">
        <is>
          <t>фильм-спектакль</t>
        </is>
      </c>
      <c r="G6172" s="2" t="inlineStr">
        <is>
          <t>Ленинградское Телевидение</t>
        </is>
      </c>
      <c r="H6172" s="2" t="n">
        <v>493</v>
      </c>
      <c r="I6172" s="2" t="inlineStr"/>
      <c r="J6172" s="2" t="inlineStr"/>
      <c r="K6172" s="3" t="inlineStr">
        <is>
          <t>По одноименной пьесе М.Горького.
Любовный треугольник: жена, муж и его любовница, забавно рассыпается оттого, что любвеобильный писатель мимолетно увлекся третьей женщиной, юной и неопытной, справедливо считая, что художнику каждый день нужна муза, а не жена и любовница. Мудрая супруга приняла блудного мужа обратно, зная его поэтическую натуру. Семья устояла, а все остальные любовники и любовницы остались с «носом», что делает спектакль нравственным, несмотря на весьма откровенные намеки.</t>
        </is>
      </c>
      <c r="L6172" s="2" t="inlineStr">
        <is>
          <t>https://www.kino-teatr.ru/teatr/movie/17358/annot/</t>
        </is>
      </c>
      <c r="M6172" s="2">
        <f>HYPERLINK("https://ru.wikipedia.org/w/index.php?search=%D0%A7%D1%83%D0%B4%D0%B0%D0%BA%D0%B8%201967%20%D1%84%D0%B8%D0%BB%D1%8C%D0%BC","искать")</f>
        <v/>
      </c>
      <c r="N6172" s="3" t="n"/>
      <c r="O6172" s="2" t="n"/>
      <c r="P6172" s="2" t="n"/>
    </row>
    <row r="6173">
      <c r="A6173" s="2" t="n">
        <v>6172</v>
      </c>
      <c r="B6173" s="2" t="inlineStr"/>
      <c r="C6173" s="2" t="n">
        <v>11247</v>
      </c>
      <c r="D6173" s="3" t="inlineStr">
        <is>
          <t>Арктур - гончий пёс</t>
        </is>
      </c>
      <c r="E6173" s="2" t="n">
        <v>1989</v>
      </c>
      <c r="F6173" s="2" t="inlineStr">
        <is>
          <t>фильм-спектакль</t>
        </is>
      </c>
      <c r="G6173" s="2" t="inlineStr">
        <is>
          <t>РТР</t>
        </is>
      </c>
      <c r="H6173" s="2" t="n">
        <v>493</v>
      </c>
      <c r="I6173" s="2" t="inlineStr"/>
      <c r="J6173" s="2" t="inlineStr"/>
      <c r="K6173" s="3" t="inlineStr">
        <is>
          <t>Телеспектакль по одноименному рассказу Юрия Казакова.
О судьбе слепой собаки, которую приютил у себя деревенский доктор. Он дал ей имя по названию голубой звезды - Арктур. Однажды хозяин, заядлый охотник, взял собаку в лес, и странное волнение охватило пса. С тех пор жизнь Арктура изменилась, его притягивал запах леса. Он стал настоящим гончим псом и загнал лису. После этого многие охотники пытались перекупить у доктора собаку, но хозяин не соглашался. Однажды собака не вернулась из леса.</t>
        </is>
      </c>
      <c r="L6173" s="2" t="inlineStr">
        <is>
          <t>https://www.kino-teatr.ru/teatr/movie/289/annot/</t>
        </is>
      </c>
      <c r="M6173" s="2">
        <f>HYPERLINK("https://ru.wikipedia.org/w/index.php?search=%D0%90%D1%80%D0%BA%D1%82%D1%83%D1%80%20-%20%D0%B3%D0%BE%D0%BD%D1%87%D0%B8%D0%B9%20%D0%BF%D1%91%D1%81%201989%20%D1%84%D0%B8%D0%BB%D1%8C%D0%BC","искать")</f>
        <v/>
      </c>
      <c r="N6173" s="3" t="n"/>
      <c r="O6173" s="2" t="n"/>
      <c r="P6173" s="2" t="n"/>
    </row>
    <row r="6174">
      <c r="A6174" s="2" t="n">
        <v>6173</v>
      </c>
      <c r="B6174" s="2" t="inlineStr"/>
      <c r="C6174" s="2" t="n">
        <v>13222</v>
      </c>
      <c r="D6174" s="3" t="inlineStr">
        <is>
          <t>Атомик</t>
        </is>
      </c>
      <c r="E6174" s="2" t="n">
        <v>1971</v>
      </c>
      <c r="F6174" s="2" t="inlineStr">
        <is>
          <t>мультфильм</t>
        </is>
      </c>
      <c r="G6174" s="2" t="inlineStr">
        <is>
          <t>ТАЛЛИННФИЛЬМ</t>
        </is>
      </c>
      <c r="H6174" s="2" t="n">
        <v>493</v>
      </c>
      <c r="I6174" s="2" t="inlineStr"/>
      <c r="J6174" s="2" t="inlineStr"/>
      <c r="K6174" s="3" t="inlineStr">
        <is>
          <t>Послушный человеческой воле атом может творить чудеса. Но атом, вырвавшийся на чвободу...С одним атомом, по имени Атомик, так и произошло. Ему удалось ускользнуть из лаборатории профессора. Резвясь на свободе и пробуя свою силу, Атомик забрасывает футбольный мяч на орбиту спутника земли, зарывает в землю экскаватор, разрушает дом, взрывает электростанцию. Кто знает, каких бед натворил бы он еще, но профессору удается возвратить беглеца и заставить работать на пользу людям, а не во вред им</t>
        </is>
      </c>
      <c r="L6174" s="2" t="inlineStr">
        <is>
          <t>https://gosfilmofond.ru/films/254783/</t>
        </is>
      </c>
      <c r="M6174" s="2">
        <f>HYPERLINK("https://ru.wikipedia.org/w/index.php?search=%D0%90%D1%82%D0%BE%D0%BC%D0%B8%D0%BA%201971%20%D1%84%D0%B8%D0%BB%D1%8C%D0%BC","искать")</f>
        <v/>
      </c>
      <c r="N6174" s="3" t="n"/>
      <c r="O6174" s="2" t="n"/>
      <c r="P6174" s="2" t="n"/>
    </row>
    <row r="6175">
      <c r="A6175" s="2" t="n">
        <v>6174</v>
      </c>
      <c r="B6175" s="2" t="inlineStr"/>
      <c r="C6175" s="2" t="n">
        <v>8102</v>
      </c>
      <c r="D6175" s="3" t="inlineStr">
        <is>
          <t>Перикола</t>
        </is>
      </c>
      <c r="E6175" s="2" t="n">
        <v>1984</v>
      </c>
      <c r="F6175" s="2" t="inlineStr">
        <is>
          <t>фильм-опера/балет</t>
        </is>
      </c>
      <c r="G6175" s="2" t="n"/>
      <c r="H6175" s="2" t="n">
        <v>494</v>
      </c>
      <c r="I6175" s="2" t="inlineStr"/>
      <c r="J6175" s="2" t="inlineStr"/>
      <c r="K6175" s="3" t="inlineStr">
        <is>
          <t>Действие происходит в XVIII веке в Лиме. Бродячие артисты Перикола и Пикильо дают представление на городской площади. Они любят друг друга, но не могут пожениться — у нищих артистов нет на это средств. Тем временем вице-король Перу дон Андреас-Рибейра, уподобившись Гаруну Аль-Рашиду, наряжается простолюдином и выходит в город, чтобы узнать, что о нём говорят его подданные. Он влюбляется в Периколу с первого взгляда. Но появиться при королевском дворе Периколе мешает то, что она не замужем.</t>
        </is>
      </c>
      <c r="L6175" s="2" t="inlineStr">
        <is>
          <t>https://ru.wikipedia.org/w/index.php?title=%D0%9F%D0%B5%D1%80%D0%B8%D0%BA%D0%BE%D0%BB%D0%B0_%28%D1%84%D0%B8%D0%BB%D1%8C%D0%BC%29&amp;oldid=152864250</t>
        </is>
      </c>
      <c r="M6175" s="2">
        <f>HYPERLINK("https://ru.wikipedia.org/w/index.php?search=%D0%9F%D0%B5%D1%80%D0%B8%D0%BA%D0%BE%D0%BB%D0%B0%201984%20%D1%84%D0%B8%D0%BB%D1%8C%D0%BC","искать")</f>
        <v/>
      </c>
      <c r="N6175" s="3" t="n"/>
      <c r="O6175" s="2" t="n"/>
      <c r="P6175" s="2" t="n"/>
    </row>
    <row r="6176">
      <c r="A6176" s="2" t="n">
        <v>6175</v>
      </c>
      <c r="B6176" s="2" t="inlineStr"/>
      <c r="C6176" s="2" t="n">
        <v>11415</v>
      </c>
      <c r="D6176" s="3" t="inlineStr">
        <is>
          <t>Автомобиль, любовь и горчица</t>
        </is>
      </c>
      <c r="E6176" s="2" t="n">
        <v>1966</v>
      </c>
      <c r="F6176" s="2" t="inlineStr">
        <is>
          <t>мультфильм</t>
        </is>
      </c>
      <c r="G6176" s="2" t="inlineStr">
        <is>
          <t>Союзмультфильм</t>
        </is>
      </c>
      <c r="H6176" s="2" t="n">
        <v>494</v>
      </c>
      <c r="I6176" s="2" t="inlineStr"/>
      <c r="J6176" s="2" t="inlineStr"/>
      <c r="K6176" s="3" t="inlineStr">
        <is>
          <t>Жених и невеста готовятся к встрече гостей. И тут выясняется, что они забыли о горчице. Герой садится в только что купленный автомобиль...и обнаруживает пропажу колеса. Поставлено новое колесо, купленное у спекулянта, но оказывается, что в баке нет бензина, а бензоколонка закрыта на обед, да и бензина в ней нет...Только поздно вечером, когда все гости разошлись, жених привозит домой банку горчицы. Но нелегкой ценой она ему досталась: его автомобиль искорежен самосвалом, да и сам он еле жив</t>
        </is>
      </c>
      <c r="L6176" s="2" t="inlineStr">
        <is>
          <t>https://gosfilmofond.ru/films/254221/</t>
        </is>
      </c>
      <c r="M6176" s="2">
        <f>HYPERLINK("https://ru.wikipedia.org/w/index.php?search=%D0%90%D0%B2%D1%82%D0%BE%D0%BC%D0%BE%D0%B1%D0%B8%D0%BB%D1%8C%2C%20%D0%BB%D1%8E%D0%B1%D0%BE%D0%B2%D1%8C%20%D0%B8%20%D0%B3%D0%BE%D1%80%D1%87%D0%B8%D1%86%D0%B0%201966%20%D1%84%D0%B8%D0%BB%D1%8C%D0%BC","искать")</f>
        <v/>
      </c>
      <c r="N6176" s="3" t="n"/>
      <c r="O6176" s="2" t="n"/>
      <c r="P6176" s="2" t="n"/>
    </row>
    <row r="6177">
      <c r="A6177" s="2" t="n">
        <v>6176</v>
      </c>
      <c r="B6177" s="2" t="inlineStr"/>
      <c r="C6177" s="2" t="n">
        <v>11467</v>
      </c>
      <c r="D6177" s="3" t="inlineStr">
        <is>
          <t>Шесть Иванов - шесть капитанов</t>
        </is>
      </c>
      <c r="E6177" s="2" t="n">
        <v>1967</v>
      </c>
      <c r="F6177" s="2" t="inlineStr">
        <is>
          <t>мультфильм</t>
        </is>
      </c>
      <c r="G6177" s="2" t="inlineStr">
        <is>
          <t>Союзмультфильм</t>
        </is>
      </c>
      <c r="H6177" s="2" t="n">
        <v>494</v>
      </c>
      <c r="I6177" s="2" t="inlineStr"/>
      <c r="J6177" s="2" t="inlineStr"/>
      <c r="K6177" s="3" t="inlineStr">
        <is>
          <t>В разных странах жили шесть капитанов - Иван, Ян, Ганс, Жан, Джон и Хуан. И жила-была девочка, которая любила цветы и бабочек. Однажды, когда она рисовала, щенок съел ее краски. Капитьаны услышали сигнал бедствия и пришли ей на помощь. Сколотили плот, подняли паруса и отправились в путь за красками. Побывали они в разных морях и везде черпали краску и выплескивали ее на парус-палитру. А в Черном море их подхватил смерч и опустил на луг, где жила девочка. И стала она опять рисовать красками</t>
        </is>
      </c>
      <c r="L6177" s="2" t="inlineStr">
        <is>
          <t>https://gosfilmofond.ru/films/246510/</t>
        </is>
      </c>
      <c r="M6177" s="2">
        <f>HYPERLINK("https://ru.wikipedia.org/w/index.php?search=%D0%A8%D0%B5%D1%81%D1%82%D1%8C%20%D0%98%D0%B2%D0%B0%D0%BD%D0%BE%D0%B2%20-%20%D1%88%D0%B5%D1%81%D1%82%D1%8C%20%D0%BA%D0%B0%D0%BF%D0%B8%D1%82%D0%B0%D0%BD%D0%BE%D0%B2%201967%20%D1%84%D0%B8%D0%BB%D1%8C%D0%BC","искать")</f>
        <v/>
      </c>
      <c r="N6177" s="3" t="n"/>
      <c r="O6177" s="2" t="n"/>
      <c r="P6177" s="2" t="n"/>
    </row>
    <row r="6178">
      <c r="A6178" s="2" t="n">
        <v>6177</v>
      </c>
      <c r="B6178" s="2" t="inlineStr"/>
      <c r="C6178" s="2" t="n">
        <v>8603</v>
      </c>
      <c r="D6178" s="3" t="inlineStr">
        <is>
          <t>Юбилей Данте</t>
        </is>
      </c>
      <c r="E6178" s="2" t="n">
        <v>1978</v>
      </c>
      <c r="F6178" s="2" t="inlineStr">
        <is>
          <t>телефильм</t>
        </is>
      </c>
      <c r="G6178" s="2" t="n"/>
      <c r="H6178" s="2" t="n">
        <v>495</v>
      </c>
      <c r="I6178" s="2" t="inlineStr"/>
      <c r="J6178" s="2" t="inlineStr"/>
      <c r="K6178" s="3" t="inlineStr">
        <is>
          <t>Фильм рассказывает о старом театральном актёре Фейзулле Кабирлинском, который играет эпизодические роли. Хотя он актёр не талантливый, но предан своему театру. Его коллеги постоянно шутят с ним, но несмотря на это Фейзулла остается спокойным, наивным и смешным человеком. Фильм создан по сценарию Анара. Данная работа — первый опыт Гюльбениза Азимзаде и Анара в полнометражном кинематографе. Фильм снят по заказу ЦТ СССР. Данный фильм является наиболее успешным в карьере актёра Гасана Турабова.</t>
        </is>
      </c>
      <c r="L6178" s="2" t="inlineStr">
        <is>
          <t>https://ru.wikipedia.org/w/index.php?title=%D0%AE%D0%B1%D0%B8%D0%BB%D0%B5%D0%B9_%D0%94%D0%B0%D0%BD%D1%82%D0%B5&amp;oldid=141046477</t>
        </is>
      </c>
      <c r="M6178" s="2">
        <f>HYPERLINK("https://ru.wikipedia.org/w/index.php?search=%D0%AE%D0%B1%D0%B8%D0%BB%D0%B5%D0%B9%20%D0%94%D0%B0%D0%BD%D1%82%D0%B5%201978%20%D1%84%D0%B8%D0%BB%D1%8C%D0%BC","искать")</f>
        <v/>
      </c>
      <c r="N6178" s="3" t="n"/>
      <c r="O6178" s="2" t="n"/>
      <c r="P6178" s="2" t="n"/>
    </row>
    <row r="6179">
      <c r="A6179" s="2" t="n">
        <v>6178</v>
      </c>
      <c r="B6179" s="2" t="inlineStr"/>
      <c r="C6179" s="2" t="n">
        <v>9995</v>
      </c>
      <c r="D6179" s="3" t="inlineStr">
        <is>
          <t>Три лимона для любимой</t>
        </is>
      </c>
      <c r="E6179" s="2" t="n">
        <v>1983</v>
      </c>
      <c r="F6179" s="2" t="inlineStr">
        <is>
          <t>кинофильм</t>
        </is>
      </c>
      <c r="G6179" s="2" t="inlineStr">
        <is>
          <t>Мосфильм при участии Рижской киностудии</t>
        </is>
      </c>
      <c r="H6179" s="2" t="n">
        <v>496</v>
      </c>
      <c r="I6179" s="2" t="inlineStr"/>
      <c r="J6179" s="2" t="inlineStr"/>
      <c r="K6179" s="3" t="inlineStr">
        <is>
          <t>По мотивам одноименного рассказа П.Березовского.
Лирическая комедия рассказывает историю молодоженов, которые ожидали важного события - рождения первого ребенка. Счастливый отец радуется рождению сына и готов удовлетворить любые желания любимой жены. И, хотя желение более чем скромное - всего лишь принести лимоны, Куклину приходится преодолевать множество препятствий, прежде чем он выполнит просьбу жены. И преодолеть все трудности ему помогли хорошие люди, которых он встречает на своем пути.</t>
        </is>
      </c>
      <c r="L6179" s="2" t="inlineStr">
        <is>
          <t>https://www.kino-teatr.ru/short/movie/sov/84758/annot/</t>
        </is>
      </c>
      <c r="M6179" s="2">
        <f>HYPERLINK("https://ru.wikipedia.org/w/index.php?search=%D0%A2%D1%80%D0%B8%20%D0%BB%D0%B8%D0%BC%D0%BE%D0%BD%D0%B0%20%D0%B4%D0%BB%D1%8F%20%D0%BB%D1%8E%D0%B1%D0%B8%D0%BC%D0%BE%D0%B9%201983%20%D1%84%D0%B8%D0%BB%D1%8C%D0%BC","искать")</f>
        <v/>
      </c>
      <c r="N6179" s="3" t="n"/>
      <c r="O6179" s="2" t="n"/>
      <c r="P6179" s="2" t="n"/>
    </row>
    <row r="6180">
      <c r="A6180" s="2" t="n">
        <v>6179</v>
      </c>
      <c r="B6180" s="2" t="inlineStr"/>
      <c r="C6180" s="2" t="n">
        <v>10369</v>
      </c>
      <c r="D6180" s="3" t="inlineStr">
        <is>
          <t>Семья как семья</t>
        </is>
      </c>
      <c r="E6180" s="2" t="n">
        <v>1970</v>
      </c>
      <c r="F6180" s="2" t="inlineStr">
        <is>
          <t>фильм-спектакль</t>
        </is>
      </c>
      <c r="G6180" s="2" t="inlineStr">
        <is>
          <t>ТО "Экран"</t>
        </is>
      </c>
      <c r="H6180" s="2" t="n">
        <v>496</v>
      </c>
      <c r="I6180" s="2" t="inlineStr"/>
      <c r="J6180" s="2" t="inlineStr"/>
      <c r="K6180" s="3" t="inlineStr">
        <is>
          <t>Обычная советская семья мастера трикотажной фабрики Коробова в канун Нового года. Идёт обычная подготовка к празднику, накрывается новогодний стол c «селёдкой под шубой», салатом из крабов и мандаринами, устанавливается ёлка. Повзрослевшие дети — два сына и дочь — решают встречать Новый год со своими друзьями и под разными предлогами покидают дом. Огорчённые их уходом, пожилые родители остаются дома одни, но ближе к бою курантов дети вместе возвращаются домой, а заодно приводят своих друзей.</t>
        </is>
      </c>
      <c r="L6180" s="2" t="inlineStr">
        <is>
          <t>https://ru.wikipedia.org/w/index.php?title=%D0%A1%D0%B5%D0%BC%D1%8C%D1%8F_%D0%BA%D0%B0%D0%BA_%D1%81%D0%B5%D0%BC%D1%8C%D1%8F&amp;oldid=154704441</t>
        </is>
      </c>
      <c r="M6180" s="2">
        <f>HYPERLINK("https://ru.wikipedia.org/w/index.php?search=%D0%A1%D0%B5%D0%BC%D1%8C%D1%8F%20%D0%BA%D0%B0%D0%BA%20%D1%81%D0%B5%D0%BC%D1%8C%D1%8F%201970%20%D1%84%D0%B8%D0%BB%D1%8C%D0%BC","искать")</f>
        <v/>
      </c>
      <c r="N6180" s="3" t="n"/>
      <c r="O6180" s="2" t="n"/>
      <c r="P6180" s="2" t="n"/>
    </row>
    <row r="6181">
      <c r="A6181" s="2" t="n">
        <v>6180</v>
      </c>
      <c r="B6181" s="2" t="inlineStr"/>
      <c r="C6181" s="2" t="n">
        <v>11478</v>
      </c>
      <c r="D6181" s="3" t="inlineStr">
        <is>
          <t>Кот, который гулял сам по себе</t>
        </is>
      </c>
      <c r="E6181" s="2" t="n">
        <v>1968</v>
      </c>
      <c r="F6181" s="2" t="inlineStr">
        <is>
          <t>мультфильм</t>
        </is>
      </c>
      <c r="G6181" s="2" t="inlineStr">
        <is>
          <t>Союзмультфильм</t>
        </is>
      </c>
      <c r="H6181" s="2" t="n">
        <v>496</v>
      </c>
      <c r="I6181" s="2" t="inlineStr"/>
      <c r="J6181" s="2" t="inlineStr"/>
      <c r="K6181" s="3" t="inlineStr">
        <is>
          <t>По одноименной сказке Редиарда Киплинга. В очень далекие времена все звери были дикими и человек тоже был диким. Но вот появляется женщина. Она приводит мужчину в пещеру, разжигает огонь. Она приручает собаку и лошадь, и те помогают мужчине охотиться. И корову приручает женщина, но кота не хочет кормить. Тогда кот предлагает уговор: если женщина трижды похвалит его, то будет во веки веков кормить его три раза в день. И совершив несколько благородных поступков кот заработал это право навсегда</t>
        </is>
      </c>
      <c r="L6181" s="2" t="inlineStr">
        <is>
          <t>https://gosfilmofond.ru/films/254314/</t>
        </is>
      </c>
      <c r="M6181" s="2">
        <f>HYPERLINK("https://ru.wikipedia.org/w/index.php?search=%D0%9A%D0%BE%D1%82%2C%20%D0%BA%D0%BE%D1%82%D0%BE%D1%80%D1%8B%D0%B9%20%D0%B3%D1%83%D0%BB%D1%8F%D0%BB%20%D1%81%D0%B0%D0%BC%20%D0%BF%D0%BE%20%D1%81%D0%B5%D0%B1%D0%B5%201968%20%D1%84%D0%B8%D0%BB%D1%8C%D0%BC","искать")</f>
        <v/>
      </c>
      <c r="N6181" s="3" t="n"/>
      <c r="O6181" s="2" t="n"/>
      <c r="P6181" s="2" t="n"/>
    </row>
    <row r="6182">
      <c r="A6182" s="2" t="n">
        <v>6181</v>
      </c>
      <c r="B6182" s="2" t="inlineStr"/>
      <c r="C6182" s="2" t="n">
        <v>12753</v>
      </c>
      <c r="D6182" s="3" t="inlineStr">
        <is>
          <t>Сказка про снежного человечка дарбульку</t>
        </is>
      </c>
      <c r="E6182" s="2" t="n">
        <v>1974</v>
      </c>
      <c r="F6182" s="2" t="inlineStr">
        <is>
          <t>мультфильм</t>
        </is>
      </c>
      <c r="G6182" s="2" t="inlineStr">
        <is>
          <t>АРМЕНФИЛЬМ</t>
        </is>
      </c>
      <c r="H6182" s="2" t="n">
        <v>496</v>
      </c>
      <c r="I6182" s="2" t="inlineStr"/>
      <c r="J6182" s="2" t="inlineStr"/>
      <c r="K6182" s="3" t="inlineStr">
        <is>
          <t>Снежный человечек Дарбулька и его друг Медвежонок живут высоко в горах. Увидев однажды в долине цветущую поляну, друзья стали мечтать о том, чтобы вокруг них все расцвело. Помогли им в этом немного зеленые очки, через которые и снежные горы кажутся зелеными. Но однажды очки разбились, и вместе с ними рухнули мечты маленьких друзей. И вдруг сухие, безжизненные палки начали покрываться яркими цветами. Ведь дело было совсем не в зеленых очках. Просто, когда чего-то хочешь, обязательно добьешься</t>
        </is>
      </c>
      <c r="L6182" s="2" t="inlineStr">
        <is>
          <t>https://gosfilmofond.ru/films/255628/</t>
        </is>
      </c>
      <c r="M6182" s="2">
        <f>HYPERLINK("https://ru.wikipedia.org/w/index.php?search=%D0%A1%D0%BA%D0%B0%D0%B7%D0%BA%D0%B0%20%D0%BF%D1%80%D0%BE%20%D1%81%D0%BD%D0%B5%D0%B6%D0%BD%D0%BE%D0%B3%D0%BE%20%D1%87%D0%B5%D0%BB%D0%BE%D0%B2%D0%B5%D1%87%D0%BA%D0%B0%20%D0%B4%D0%B0%D1%80%D0%B1%D1%83%D0%BB%D1%8C%D0%BA%D1%83%201974%20%D1%84%D0%B8%D0%BB%D1%8C%D0%BC","искать")</f>
        <v/>
      </c>
      <c r="N6182" s="3" t="n"/>
      <c r="O6182" s="2" t="n"/>
      <c r="P6182" s="2" t="n"/>
    </row>
    <row r="6183">
      <c r="A6183" s="2" t="n">
        <v>6182</v>
      </c>
      <c r="B6183" s="2" t="inlineStr"/>
      <c r="C6183" s="2" t="n">
        <v>9792</v>
      </c>
      <c r="D6183" s="3" t="inlineStr">
        <is>
          <t>Слуша-ай!..</t>
        </is>
      </c>
      <c r="E6183" s="2" t="n">
        <v>1963</v>
      </c>
      <c r="F6183" s="2" t="inlineStr">
        <is>
          <t>телефильм</t>
        </is>
      </c>
      <c r="G6183" s="2" t="inlineStr">
        <is>
          <t>Мосфильм</t>
        </is>
      </c>
      <c r="H6183" s="2" t="n">
        <v>497</v>
      </c>
      <c r="I6183" s="2" t="inlineStr"/>
      <c r="J6183" s="2" t="inlineStr"/>
      <c r="K6183" s="3" t="inlineStr">
        <is>
          <t>О начале революционной деятельности Феликса Дзержинского и восстании в пересыльном остроге Александровского каторжного централа под Иркутском, когда ссыльные под его руководством выступили против тюремной администрации.
Из воспоминаний чекистов, из построенных на документальном материале рассказов Ю. Германа мы знаем, что пламенный рыцарь революции был мягкий, деликатный человек. Попытку показать Дзержинского — человека, сделала Мэри Анджапаридзе в фильме «Слуша-ай!» по сценарию А. Леонтьева.</t>
        </is>
      </c>
      <c r="L6183" s="2" t="inlineStr">
        <is>
          <t>https://ru.wikipedia.org/w/index.php?title=%D0%A1%D0%BB%D1%83%D1%88%D0%B0-%D0%B0%D0%B9%21..&amp;oldid=143783685</t>
        </is>
      </c>
      <c r="M6183" s="2">
        <f>HYPERLINK("https://ru.wikipedia.org/w/index.php?search=%D0%A1%D0%BB%D1%83%D1%88%D0%B0-%D0%B0%D0%B9%21..%201963%20%D1%84%D0%B8%D0%BB%D1%8C%D0%BC","искать")</f>
        <v/>
      </c>
      <c r="N6183" s="3" t="n"/>
      <c r="O6183" s="2" t="n"/>
      <c r="P6183" s="2" t="n"/>
    </row>
    <row r="6184">
      <c r="A6184" s="2" t="n">
        <v>6183</v>
      </c>
      <c r="B6184" s="2" t="inlineStr"/>
      <c r="C6184" s="2" t="n">
        <v>12439</v>
      </c>
      <c r="D6184" s="3" t="inlineStr">
        <is>
          <t>Крымская легенда</t>
        </is>
      </c>
      <c r="E6184" s="2" t="n">
        <v>1969</v>
      </c>
      <c r="F6184" s="2" t="inlineStr">
        <is>
          <t>мультфильм</t>
        </is>
      </c>
      <c r="G6184" s="2" t="inlineStr">
        <is>
          <t>КИЕВНАУЧФИЛЬМ</t>
        </is>
      </c>
      <c r="H6184" s="2" t="n">
        <v>497</v>
      </c>
      <c r="I6184" s="2" t="inlineStr"/>
      <c r="J6184" s="2" t="inlineStr"/>
      <c r="K6184" s="3" t="inlineStr">
        <is>
          <t>В далекие времена у берегов Крыма потерпел крушение корабль. В живых осталась одна девочка. Когда к ней приблизился медведь - грозный хозяин побережья, девочка не испугалась его, а ласково погладила. С этого началась их дружба. Прошли годы. Девочка выросла. Однажды причалила к берегу лодка, юноша, приплывший на ней, позвал девушку с собою, и она уплыла с ним. В глубокой тоске лег медведь на берегу и долго смотрел ей вслед, пока не превратился в гору. Так она и называется: Аю-Даг, Медведь-гора</t>
        </is>
      </c>
      <c r="L6184" s="2" t="inlineStr">
        <is>
          <t>https://gosfilmofond.ru/films/254753/</t>
        </is>
      </c>
      <c r="M6184" s="2">
        <f>HYPERLINK("https://ru.wikipedia.org/w/index.php?search=%D0%9A%D1%80%D1%8B%D0%BC%D1%81%D0%BA%D0%B0%D1%8F%20%D0%BB%D0%B5%D0%B3%D0%B5%D0%BD%D0%B4%D0%B0%201969%20%D1%84%D0%B8%D0%BB%D1%8C%D0%BC","искать")</f>
        <v/>
      </c>
      <c r="N6184" s="3" t="n"/>
      <c r="O6184" s="2" t="n"/>
      <c r="P6184" s="2" t="n"/>
    </row>
    <row r="6185">
      <c r="A6185" s="2" t="n">
        <v>6184</v>
      </c>
      <c r="B6185" s="2" t="inlineStr"/>
      <c r="C6185" s="2" t="n">
        <v>10270</v>
      </c>
      <c r="D6185" s="3" t="inlineStr">
        <is>
          <t>Принц Наполеон</t>
        </is>
      </c>
      <c r="E6185" s="2" t="n">
        <v>1968</v>
      </c>
      <c r="F6185" s="2" t="inlineStr">
        <is>
          <t>фильм-спектакль</t>
        </is>
      </c>
      <c r="G6185" s="2" t="inlineStr">
        <is>
          <t>Ленинградское телевидение</t>
        </is>
      </c>
      <c r="H6185" s="2" t="n">
        <v>498</v>
      </c>
      <c r="I6185" s="2" t="inlineStr"/>
      <c r="J6185" s="2" t="inlineStr"/>
      <c r="K6185" s="3" t="inlineStr">
        <is>
          <t>По сатирической пьесе Василия Шкваркина.
"Все великие исторические события и личности появляются дважды: первый раз - как трагедия, второй раз - как фарс" (Карл Маркс, «Восемнадцатое брюмера Луи Бонапарта» (ч. I), 1852).
Пьеса Василия Шкваркина "Принц Наполеон" (1941) - история неожиданного возвышения, падения и достижения власти авантюристом Луи Наполеоном. Кукла в руках политиканов и плутократов, ловкий спекулянт Луи Наполеон, пользуясь политической ситуацией, воцаряется на престоле Франции.</t>
        </is>
      </c>
      <c r="L6185" s="2" t="inlineStr">
        <is>
          <t>https://www.kino-teatr.ru/teatr/movie/108965/annot/</t>
        </is>
      </c>
      <c r="M6185" s="2">
        <f>HYPERLINK("https://ru.wikipedia.org/w/index.php?search=%D0%9F%D1%80%D0%B8%D0%BD%D1%86%20%D0%9D%D0%B0%D0%BF%D0%BE%D0%BB%D0%B5%D0%BE%D0%BD%201968%20%D1%84%D0%B8%D0%BB%D1%8C%D0%BC","искать")</f>
        <v/>
      </c>
      <c r="N6185" s="3" t="n"/>
      <c r="O6185" s="2" t="n"/>
      <c r="P6185" s="2" t="n"/>
    </row>
    <row r="6186">
      <c r="A6186" s="2" t="n">
        <v>6185</v>
      </c>
      <c r="B6186" s="2" t="inlineStr"/>
      <c r="C6186" s="2" t="n">
        <v>11491</v>
      </c>
      <c r="D6186" s="3" t="inlineStr">
        <is>
          <t>Соперники</t>
        </is>
      </c>
      <c r="E6186" s="2" t="n">
        <v>1968</v>
      </c>
      <c r="F6186" s="2" t="inlineStr">
        <is>
          <t>мультфильм</t>
        </is>
      </c>
      <c r="G6186" s="2" t="inlineStr">
        <is>
          <t>Союзмультфильм</t>
        </is>
      </c>
      <c r="H6186" s="2" t="n">
        <v>498</v>
      </c>
      <c r="I6186" s="2" t="inlineStr"/>
      <c r="J6186" s="2" t="inlineStr"/>
      <c r="K6186" s="3" t="inlineStr">
        <is>
          <t>Однажды Юноша встретил в саду Девушку с другим юношей, в котором сразу почувствовал Соперника. Девушка отдала предпочтение Юноше, а знаки внимания Соперника оставила незамеченными. Однажды во время футбольного матча, когда Юношу увенчали венком победителя, на поле вышел тигр. Победить его смог только Соперник, но все считали победителем Юношу, и Девушка тоже. Когда же Девушку унесло Чудовище, Соперник вновь оказался победителем, а Юноша трусом. Только тогда Девушка поняла, кто достоин ее любви</t>
        </is>
      </c>
      <c r="L6186" s="2" t="inlineStr">
        <is>
          <t>https://gosfilmofond.ru/films/254717/</t>
        </is>
      </c>
      <c r="M6186" s="2">
        <f>HYPERLINK("https://ru.wikipedia.org/w/index.php?search=%D0%A1%D0%BE%D0%BF%D0%B5%D1%80%D0%BD%D0%B8%D0%BA%D0%B8%201968%20%D1%84%D0%B8%D0%BB%D1%8C%D0%BC","искать")</f>
        <v/>
      </c>
      <c r="N6186" s="3" t="n"/>
      <c r="O6186" s="2" t="n"/>
      <c r="P6186" s="2" t="n"/>
    </row>
    <row r="6187">
      <c r="A6187" s="2" t="n">
        <v>6186</v>
      </c>
      <c r="B6187" s="2" t="inlineStr"/>
      <c r="C6187" s="2" t="n">
        <v>8526</v>
      </c>
      <c r="D6187" s="3" t="inlineStr">
        <is>
          <t>Холодная земля</t>
        </is>
      </c>
      <c r="E6187" s="2" t="n">
        <v>1965</v>
      </c>
      <c r="F6187" s="2" t="inlineStr">
        <is>
          <t>телефильм</t>
        </is>
      </c>
      <c r="G6187" s="2" t="n"/>
      <c r="H6187" s="2" t="n">
        <v>499</v>
      </c>
      <c r="I6187" s="2" t="inlineStr"/>
      <c r="J6187" s="2" t="inlineStr"/>
      <c r="K6187" s="3" t="inlineStr">
        <is>
          <t>Фильм снят по мотивам романа "В холодную страну" эстонского писателя и драматурга Эдуарда Вильде (1965-1933). Рассказывает о трудной жизни эстонских крестьян в Российской империи в конце XIX века. Через призму трагической истории жизни бедного крестьянина Яанне, которого голод толкнул на совершение преступления, картина отражает процессы, связанные с имущественным неравенством и противоречиями в жизни эстонской деревни конца XIX века, и раскрывает социальные причины преступлений подобного рода.</t>
        </is>
      </c>
      <c r="L6187" s="2" t="inlineStr">
        <is>
          <t>Кино_СССР сводный каталог.xlsx: список телефильмов</t>
        </is>
      </c>
      <c r="M6187" s="2">
        <f>HYPERLINK("https://ru.wikipedia.org/w/index.php?search=%D0%A5%D0%BE%D0%BB%D0%BE%D0%B4%D0%BD%D0%B0%D1%8F%20%D0%B7%D0%B5%D0%BC%D0%BB%D1%8F%201965%20%D1%84%D0%B8%D0%BB%D1%8C%D0%BC","искать")</f>
        <v/>
      </c>
      <c r="N6187" s="3" t="n"/>
      <c r="O6187" s="2" t="n"/>
      <c r="P6187" s="2" t="n"/>
    </row>
    <row r="6188">
      <c r="A6188" s="2" t="n">
        <v>6187</v>
      </c>
      <c r="B6188" s="2" t="inlineStr"/>
      <c r="C6188" s="2" t="n">
        <v>12778</v>
      </c>
      <c r="D6188" s="3" t="inlineStr">
        <is>
          <t>Звени, мой саз, звени</t>
        </is>
      </c>
      <c r="E6188" s="2" t="n">
        <v>1977</v>
      </c>
      <c r="F6188" s="2" t="inlineStr">
        <is>
          <t>мультфильм</t>
        </is>
      </c>
      <c r="G6188" s="2" t="inlineStr">
        <is>
          <t>АЗЕРБАЙДЖАНФИЛЬМ</t>
        </is>
      </c>
      <c r="H6188" s="2" t="n">
        <v>499</v>
      </c>
      <c r="I6188" s="2" t="inlineStr"/>
      <c r="J6188" s="2" t="inlineStr"/>
      <c r="K6188" s="3" t="inlineStr">
        <is>
          <t>По мотвам азербайджанской народной сказки о хитром Воробье, занозившем лапку. Сердобольная бабушка вынула занозу и сожгла ее. Хитрый Воробей забирает у старушки за свою занозу чурек. У чабана за этот чурек он забирает барашка, у молодоженов за барашка забирает саз. Но как ни старается сыграть на сазе, у него ничего не получается. Когда же он снова попадает в беду, его вновь выручает старушка. И Воробей понимает, что обманом и хитростью на свете не проживешь, надо бескорыстно помогать друг другу</t>
        </is>
      </c>
      <c r="L6188" s="2" t="inlineStr">
        <is>
          <t>https://gosfilmofond.ru/films/250576/</t>
        </is>
      </c>
      <c r="M6188" s="2">
        <f>HYPERLINK("https://ru.wikipedia.org/w/index.php?search=%D0%97%D0%B2%D0%B5%D0%BD%D0%B8%2C%20%D0%BC%D0%BE%D0%B9%20%D1%81%D0%B0%D0%B7%2C%20%D0%B7%D0%B2%D0%B5%D0%BD%D0%B8%201977%20%D1%84%D0%B8%D0%BB%D1%8C%D0%BC","искать")</f>
        <v/>
      </c>
      <c r="N6188" s="3" t="n"/>
      <c r="O6188" s="2" t="n"/>
      <c r="P6188" s="2" t="n"/>
    </row>
    <row r="6189">
      <c r="A6189" s="2" t="n">
        <v>6188</v>
      </c>
      <c r="B6189" s="2" t="inlineStr"/>
      <c r="C6189" s="2" t="n">
        <v>13250</v>
      </c>
      <c r="D6189" s="3" t="inlineStr">
        <is>
          <t>Оператор Кыпс на необитаемом острове</t>
        </is>
      </c>
      <c r="E6189" s="2" t="n">
        <v>1966</v>
      </c>
      <c r="F6189" s="2" t="inlineStr">
        <is>
          <t>мультфильм</t>
        </is>
      </c>
      <c r="G6189" s="2" t="inlineStr">
        <is>
          <t>ТАЛЛИННФИЛЬМ</t>
        </is>
      </c>
      <c r="H6189" s="2" t="n">
        <v>499</v>
      </c>
      <c r="I6189" s="2" t="inlineStr"/>
      <c r="J6189" s="2" t="inlineStr"/>
      <c r="K6189" s="3" t="inlineStr">
        <is>
          <t>Оператор Кыпс и старый Мудрец отправляются на вертолете путешествовать. Но начинается гроза, в вертолет попадает молния, и он падает в озеро. Кыпс и Мудрец оказываются на необитаемом острове. Там Мудрец посвящает Кыпса в тайны природы. С пмощью водяного паука Пузырика оператор совершает путешествие под водой, знакомится с обитателями глубин. Во время дождя Кыпс и Мудрец помогает трудолюбивым муравьям. В благодарность за это муравьи поднимают вертолет со дна озера и Кыпс с Мудрецом улетают домой</t>
        </is>
      </c>
      <c r="L6189" s="2" t="inlineStr">
        <is>
          <t>https://gosfilmofond.ru/films/254237/</t>
        </is>
      </c>
      <c r="M6189" s="2">
        <f>HYPERLINK("https://ru.wikipedia.org/w/index.php?search=%D0%9E%D0%BF%D0%B5%D1%80%D0%B0%D1%82%D0%BE%D1%80%20%D0%9A%D1%8B%D0%BF%D1%81%20%D0%BD%D0%B0%20%D0%BD%D0%B5%D0%BE%D0%B1%D0%B8%D1%82%D0%B0%D0%B5%D0%BC%D0%BE%D0%BC%20%D0%BE%D1%81%D1%82%D1%80%D0%BE%D0%B2%D0%B5%201966%20%D1%84%D0%B8%D0%BB%D1%8C%D0%BC","искать")</f>
        <v/>
      </c>
      <c r="N6189" s="3" t="n"/>
      <c r="O6189" s="2" t="n"/>
      <c r="P6189" s="2" t="n"/>
    </row>
    <row r="6190">
      <c r="A6190" s="2" t="n">
        <v>6189</v>
      </c>
      <c r="B6190" s="2" t="inlineStr"/>
      <c r="C6190" s="2" t="n">
        <v>7810</v>
      </c>
      <c r="D6190" s="3" t="inlineStr">
        <is>
          <t>Листопад в пору лета</t>
        </is>
      </c>
      <c r="E6190" s="2" t="n">
        <v>1986</v>
      </c>
      <c r="F6190" s="2" t="inlineStr">
        <is>
          <t>телефильм</t>
        </is>
      </c>
      <c r="G6190" s="2" t="n"/>
      <c r="H6190" s="2" t="n">
        <v>500</v>
      </c>
      <c r="I6190" s="2" t="inlineStr"/>
      <c r="J6190" s="2" t="inlineStr"/>
      <c r="K6190" s="3" t="inlineStr">
        <is>
          <t>Талантливый педагог Шамси приезжает в труднодоступное горное селение Дашдатюк, где становится директором местной школы. Переживая за то, с какими знаниями учащиеся выйдут из школы, он накануне окончания школьных занятий решает провести директорскую контрольную, что вызывает протесты как родителей так и начальства. Ему удаётся оказать огромное нравственное влияние на учащихся и остаться при своём намерении, но какой ценой ему стоит это сделать, когда наперекор герою фильма идёт собственная семья.</t>
        </is>
      </c>
      <c r="L6190" s="2" t="inlineStr">
        <is>
          <t>https://ru.wikipedia.org/w/index.php?title=%D0%9B%D0%B8%D1%81%D1%82%D0%BE%D0%BF%D0%B0%D0%B4_%D0%B2_%D0%BF%D0%BE%D1%80%D1%83_%D0%BB%D0%B5%D1%82%D0%B0&amp;oldid=155278219</t>
        </is>
      </c>
      <c r="M6190" s="2">
        <f>HYPERLINK("https://ru.wikipedia.org/w/index.php?search=%D0%9B%D0%B8%D1%81%D1%82%D0%BE%D0%BF%D0%B0%D0%B4%20%D0%B2%20%D0%BF%D0%BE%D1%80%D1%83%20%D0%BB%D0%B5%D1%82%D0%B0%201986%20%D1%84%D0%B8%D0%BB%D1%8C%D0%BC","искать")</f>
        <v/>
      </c>
      <c r="N6190" s="3" t="n"/>
      <c r="O6190" s="2" t="n"/>
      <c r="P6190" s="2" t="n"/>
    </row>
    <row r="6191">
      <c r="A6191" s="2" t="n">
        <v>6190</v>
      </c>
      <c r="B6191" s="2" t="inlineStr"/>
      <c r="C6191" s="2" t="n">
        <v>8415</v>
      </c>
      <c r="D6191" s="3" t="inlineStr">
        <is>
          <t>Строговы</t>
        </is>
      </c>
      <c r="E6191" s="2" t="n">
        <v>1976</v>
      </c>
      <c r="F6191" s="2" t="inlineStr">
        <is>
          <t>телефильм</t>
        </is>
      </c>
      <c r="G6191" s="2" t="n"/>
      <c r="H6191" s="2" t="n">
        <v>500</v>
      </c>
      <c r="I6191" s="2" t="inlineStr"/>
      <c r="J6191" s="2" t="inlineStr"/>
      <c r="K6191" s="3" t="inlineStr">
        <is>
          <t>Фильм рассказывает о быте дореволюционной сибирской деревни, о становлении характера главного героя - Матвея Строгова. Эпический роман "Строговы" известного писателя-сибиряка Георгия Мокеевича Маркова в полной мере можно назвать историческим. В своем произведении автор через судьбу крестьянской семьи Строговых ярко и образно рисует картину жизни Сибирского края в период крупных исторических событий - Русско-японской войны, революции 1905 года, Октябрьской революции 1917 года и Гражданской войны.</t>
        </is>
      </c>
      <c r="L6191" s="2" t="inlineStr">
        <is>
          <t>Кино_СССР сводный каталог.xlsx: список телефильмов</t>
        </is>
      </c>
      <c r="M6191" s="2">
        <f>HYPERLINK("https://ru.wikipedia.org/w/index.php?search=%D0%A1%D1%82%D1%80%D0%BE%D0%B3%D0%BE%D0%B2%D1%8B%201976%20%D1%84%D0%B8%D0%BB%D1%8C%D0%BC","искать")</f>
        <v/>
      </c>
      <c r="N6191" s="3" t="n"/>
      <c r="O6191" s="2" t="n"/>
      <c r="P6191" s="2" t="n"/>
    </row>
    <row r="6192">
      <c r="A6192" s="2" t="n">
        <v>6191</v>
      </c>
      <c r="B6192" s="2" t="inlineStr"/>
      <c r="C6192" s="2" t="n">
        <v>8442</v>
      </c>
      <c r="D6192" s="3" t="inlineStr">
        <is>
          <t>Таня</t>
        </is>
      </c>
      <c r="E6192" s="2" t="n">
        <v>1974</v>
      </c>
      <c r="F6192" s="2" t="inlineStr">
        <is>
          <t>телефильм</t>
        </is>
      </c>
      <c r="G6192" s="2" t="n"/>
      <c r="H6192" s="2" t="n">
        <v>500</v>
      </c>
      <c r="I6192" s="2" t="inlineStr"/>
      <c r="J6192" s="2" t="inlineStr"/>
      <c r="K6192" s="3" t="inlineStr">
        <is>
          <t>Таня — жена талантливого инженера Германа Балашова. Ради помощи мужу в его изобретательных делах она бросила учёбу в медицинском институте, растеряла друзей. Случайно она узнаёт, что муж увлёкся другой женщиной, коллегой по работе. Несмотря на любовь к мужу, она оставляет его, не объяснив причины ухода. Тане приходится пережить множество бед — у неё умирает ребёнок, сын Германа, на работе складывается не всё гладко. Но она находит в себе силы и остаётся работать врачом в тяжёлых условиях Сибири.</t>
        </is>
      </c>
      <c r="L6192" s="2" t="inlineStr">
        <is>
          <t>https://ru.wikipedia.org/w/index.php?title=%D0%A2%D0%B0%D0%BD%D1%8F_%28%D1%84%D0%B8%D0%BB%D1%8C%D0%BC%29&amp;oldid=153490485</t>
        </is>
      </c>
      <c r="M6192" s="2">
        <f>HYPERLINK("https://ru.wikipedia.org/w/index.php?search=%D0%A2%D0%B0%D0%BD%D1%8F%201974%20%D1%84%D0%B8%D0%BB%D1%8C%D0%BC","искать")</f>
        <v/>
      </c>
      <c r="N6192" s="3" t="n"/>
      <c r="O6192" s="2" t="n"/>
      <c r="P6192" s="2" t="n"/>
    </row>
    <row r="6193">
      <c r="A6193" s="2" t="n">
        <v>6192</v>
      </c>
      <c r="B6193" s="2" t="inlineStr"/>
      <c r="C6193" s="2" t="n">
        <v>9574</v>
      </c>
      <c r="D6193" s="3" t="inlineStr">
        <is>
          <t>После войны - мир</t>
        </is>
      </c>
      <c r="E6193" s="2" t="n">
        <v>1988</v>
      </c>
      <c r="F6193" s="2" t="inlineStr">
        <is>
          <t>кинофильм</t>
        </is>
      </c>
      <c r="G6193" s="2" t="n"/>
      <c r="H6193" s="2" t="n">
        <v>500</v>
      </c>
      <c r="I6193" s="2" t="inlineStr"/>
      <c r="J6193" s="2" t="inlineStr"/>
      <c r="K6193" s="3" t="inlineStr">
        <is>
          <t>Фильм рассказывает о тяжёлой послевоенной жизни советских людей. В маленьком шахтёрском посёлке под Тулой преимущественно женщины и дети. Матери наравне с вернувшимися с войны мужчинами работают в шахте, а дети предоставлены самим себе и непосредственно зависят от бывшего уголовника, семнадцатилетнего бандита по прозвищу Зверь. Он всем недоволен, его все боятся и стараются с ним не связываться. Его арестуют только тогда, когда он совершит непростительную ошибку и от его руки погибнет милиционер.</t>
        </is>
      </c>
      <c r="L6193" s="2" t="inlineStr">
        <is>
          <t>https://ru.wikipedia.org/w/index.php?title=%D0%9F%D0%BE%D1%81%D0%BB%D0%B5_%D0%B2%D0%BE%D0%B9%D0%BD%D1%8B_%E2%80%94_%D0%BC%D0%B8%D1%80&amp;oldid=155183397</t>
        </is>
      </c>
      <c r="M6193" s="2">
        <f>HYPERLINK("https://ru.wikipedia.org/w/index.php?search=%D0%9F%D0%BE%D1%81%D0%BB%D0%B5%20%D0%B2%D0%BE%D0%B9%D0%BD%D1%8B%20-%20%D0%BC%D0%B8%D1%80%201988%20%D1%84%D0%B8%D0%BB%D1%8C%D0%BC","искать")</f>
        <v/>
      </c>
      <c r="N6193" s="3" t="n"/>
      <c r="O6193" s="2" t="n"/>
      <c r="P6193" s="2" t="n"/>
    </row>
    <row r="6194">
      <c r="A6194" s="2" t="n">
        <v>6193</v>
      </c>
      <c r="B6194" s="2" t="inlineStr"/>
      <c r="C6194" s="2" t="n">
        <v>11512</v>
      </c>
      <c r="D6194" s="3" t="inlineStr">
        <is>
          <t>Девочка и слон</t>
        </is>
      </c>
      <c r="E6194" s="2" t="n">
        <v>1969</v>
      </c>
      <c r="F6194" s="2" t="inlineStr">
        <is>
          <t>мультфильм</t>
        </is>
      </c>
      <c r="G6194" s="2" t="inlineStr">
        <is>
          <t>Союзмультфильм</t>
        </is>
      </c>
      <c r="H6194" s="2" t="n">
        <v>500</v>
      </c>
      <c r="I6194" s="2" t="inlineStr"/>
      <c r="J6194" s="2" t="inlineStr"/>
      <c r="K6194" s="3" t="inlineStr">
        <is>
          <t>По мотивам рассказа А.Куприна "Слон". Всюду в городе появились афиши: "Слон Томми ежедневно дает представления". Маленькая девочка с нетерпением ждет, когда ее поведут в зверинец, но болезнь мешает этому. Девочка долго болеет. Профессор советует любым способом развеселить девочку. Тогда папа уговаривает хозяина слона привести в дом к больной слона. Несколько радостных дней проводит она в обществе Томми и скоро выздоравливает. Вместе с родителями девочка провожает Томми, уезжающего в другой город</t>
        </is>
      </c>
      <c r="L6194" s="2" t="inlineStr">
        <is>
          <t>https://gosfilmofond.ru/films/254739/</t>
        </is>
      </c>
      <c r="M6194" s="2">
        <f>HYPERLINK("https://ru.wikipedia.org/w/index.php?search=%D0%94%D0%B5%D0%B2%D0%BE%D1%87%D0%BA%D0%B0%20%D0%B8%20%D1%81%D0%BB%D0%BE%D0%BD%201969%20%D1%84%D0%B8%D0%BB%D1%8C%D0%BC","искать")</f>
        <v/>
      </c>
      <c r="N6194" s="3" t="n"/>
      <c r="O6194" s="2" t="n"/>
      <c r="P6194" s="2" t="n"/>
    </row>
    <row r="6195">
      <c r="A6195" s="2" t="n">
        <v>6194</v>
      </c>
      <c r="B6195" s="2" t="inlineStr"/>
      <c r="C6195" s="2" t="n">
        <v>8244</v>
      </c>
      <c r="D6195" s="3" t="inlineStr">
        <is>
          <t>Пусть он выступит</t>
        </is>
      </c>
      <c r="E6195" s="2" t="n">
        <v>1981</v>
      </c>
      <c r="F6195" s="2" t="inlineStr">
        <is>
          <t>телефильм</t>
        </is>
      </c>
      <c r="G6195" s="2" t="n"/>
      <c r="H6195" s="2" t="n">
        <v>501</v>
      </c>
      <c r="I6195" s="2" t="inlineStr"/>
      <c r="J6195" s="2" t="inlineStr"/>
      <c r="K6195" s="3" t="inlineStr">
        <is>
          <t>События разворачиваются в США конца XIX — начала XX века. Говард Нокс собирается выступить с речью, обличающей богатого промышленника Энтони Старкуэтера. Нокс располагает тайной перепиской о его тёмных финансовых махинациях.
За день до выступления люди Хоббарда крадут компрометирующие документы из номера отеля. О краже узнает дочь Старкуотера Маргарет, у которой развивается роман с Ноксом. Она крадёт документы со стола отца и передаёт их Ноксу. Сразу после этого звучит выстрел, убивающий Говарда.</t>
        </is>
      </c>
      <c r="L6195" s="2" t="inlineStr">
        <is>
          <t>https://ru.wikipedia.org/w/index.php?title=%D0%9F%D1%83%D1%81%D1%82%D1%8C_%D0%BE%D0%BD_%D0%B2%D1%8B%D1%81%D1%82%D1%83%D0%BF%D0%B8%D1%82&amp;oldid=154703301</t>
        </is>
      </c>
      <c r="M6195" s="2">
        <f>HYPERLINK("https://ru.wikipedia.org/w/index.php?search=%D0%9F%D1%83%D1%81%D1%82%D1%8C%20%D0%BE%D0%BD%20%D0%B2%D1%8B%D1%81%D1%82%D1%83%D0%BF%D0%B8%D1%82%201981%20%D1%84%D0%B8%D0%BB%D1%8C%D0%BC","искать")</f>
        <v/>
      </c>
      <c r="N6195" s="3" t="n"/>
      <c r="O6195" s="2" t="n"/>
      <c r="P6195" s="2" t="n"/>
    </row>
    <row r="6196">
      <c r="A6196" s="2" t="n">
        <v>6195</v>
      </c>
      <c r="B6196" s="2" t="inlineStr"/>
      <c r="C6196" s="2" t="n">
        <v>10307</v>
      </c>
      <c r="D6196" s="3" t="inlineStr">
        <is>
          <t>Ждите моего звонка</t>
        </is>
      </c>
      <c r="E6196" s="2" t="n">
        <v>1969</v>
      </c>
      <c r="F6196" s="2" t="inlineStr">
        <is>
          <t>фильм-спектакль</t>
        </is>
      </c>
      <c r="G6196" s="2" t="n"/>
      <c r="H6196" s="2" t="n">
        <v>501</v>
      </c>
      <c r="I6196" s="2" t="inlineStr"/>
      <c r="J6196" s="2" t="inlineStr"/>
      <c r="K6196" s="3" t="inlineStr">
        <is>
          <t>Постановка театра "Современник".
По книге Николая Леонова "Ждите моего звонка".
Эпоха НЭПа. Лучшие кадры Московского уголовного розыска были привлечены к операции по ликвидации банды преступников-рецидивистов. Одному из сотрудников с риском для жизни удалось внедриться в банду, которая выбрала местом своего пребывания трактир на Пятницкой. Но там вдруг появляется его бывший друг детства, а ныне бандит и налетчик. Почти до самого конца телеспектакля неясно, кто из двух друзей чекист, а кто бандит.</t>
        </is>
      </c>
      <c r="L6196" s="2" t="inlineStr">
        <is>
          <t>https://www.kino-teatr.ru/teatr/movie/2158/annot/</t>
        </is>
      </c>
      <c r="M6196" s="2">
        <f>HYPERLINK("https://ru.wikipedia.org/w/index.php?search=%D0%96%D0%B4%D0%B8%D1%82%D0%B5%20%D0%BC%D0%BE%D0%B5%D0%B3%D0%BE%20%D0%B7%D0%B2%D0%BE%D0%BD%D0%BA%D0%B0%201969%20%D1%84%D0%B8%D0%BB%D1%8C%D0%BC","искать")</f>
        <v/>
      </c>
      <c r="N6196" s="3" t="n"/>
      <c r="O6196" s="2" t="n"/>
      <c r="P6196" s="2" t="n"/>
    </row>
    <row r="6197">
      <c r="A6197" s="2" t="n">
        <v>6196</v>
      </c>
      <c r="B6197" s="2" t="inlineStr"/>
      <c r="C6197" s="2" t="n">
        <v>8053</v>
      </c>
      <c r="D6197" s="3" t="inlineStr">
        <is>
          <t>Осенняя история</t>
        </is>
      </c>
      <c r="E6197" s="2" t="n">
        <v>1979</v>
      </c>
      <c r="F6197" s="2" t="inlineStr">
        <is>
          <t>телефильм</t>
        </is>
      </c>
      <c r="G6197" s="2" t="n"/>
      <c r="H6197" s="2" t="n">
        <v>503</v>
      </c>
      <c r="I6197" s="2" t="inlineStr"/>
      <c r="J6197" s="2" t="inlineStr"/>
      <c r="K6197" s="3" t="inlineStr">
        <is>
          <t>Начинающий журналист областной газеты Артём Новосельцев по поручению редакции едет в свой родной город. Причиной командировки стало письмо, поступившее в редакцию газеты, в котором сообщалось, что Ольга Денисовна — учитель литературы местной школы, будучи опытным педагогом и уважаемым в городе человеком, тем не менее, решает выйти на пенсию. Как утверждал автор письма — это решение учительницы было вынужденным. Артёму предстоит на месте выяснить все обстоятельства и разобраться в странной ситуации.</t>
        </is>
      </c>
      <c r="L6197" s="2" t="inlineStr">
        <is>
          <t>https://ru.wikipedia.org/w/index.php?title=%D0%9E%D1%81%D0%B5%D0%BD%D0%BD%D1%8F%D1%8F_%D0%B8%D1%81%D1%82%D0%BE%D1%80%D0%B8%D1%8F_%28%D1%84%D0%B8%D0%BB%D1%8C%D0%BC%2C_1979%29&amp;oldid=149105912</t>
        </is>
      </c>
      <c r="M6197" s="2">
        <f>HYPERLINK("https://ru.wikipedia.org/w/index.php?search=%D0%9E%D1%81%D0%B5%D0%BD%D0%BD%D1%8F%D1%8F%20%D0%B8%D1%81%D1%82%D0%BE%D1%80%D0%B8%D1%8F%201979%20%D1%84%D0%B8%D0%BB%D1%8C%D0%BC","искать")</f>
        <v/>
      </c>
      <c r="N6197" s="3" t="n"/>
      <c r="O6197" s="2" t="n"/>
      <c r="P6197" s="2" t="n"/>
    </row>
    <row r="6198">
      <c r="A6198" s="2" t="n">
        <v>6197</v>
      </c>
      <c r="B6198" s="2" t="inlineStr"/>
      <c r="C6198" s="2" t="n">
        <v>7191</v>
      </c>
      <c r="D6198" s="3" t="inlineStr">
        <is>
          <t>Адам женится на Еве</t>
        </is>
      </c>
      <c r="E6198" s="2" t="n">
        <v>1980</v>
      </c>
      <c r="F6198" s="2" t="inlineStr">
        <is>
          <t>телефильм</t>
        </is>
      </c>
      <c r="G6198" s="2" t="inlineStr">
        <is>
          <t>ТО «Экран»</t>
        </is>
      </c>
      <c r="H6198" s="2" t="n">
        <v>504</v>
      </c>
      <c r="I6198" s="2" t="inlineStr"/>
      <c r="J6198" s="2" t="inlineStr"/>
      <c r="K6198" s="3" t="inlineStr">
        <is>
          <t>Действие фильма протекает в помещении суда. Пришедшие сочетаться браком молодые люди, назвавшиеся Адамом и Евой, оказываются подсудимыми на вымышленном заседании, цель которого — вынести решение, могут ли они быть мужем и женой. В качестве свидетелей явились подруга и бывший приятель Евы. Попытки прояснить запутанную ситуацию заканчиваются скандалом и дракой между свидетелем и «подсудимым»… В конце суд всё же не может прийти к единому мнению и признаёт себя несостоятельным для решения этого вопроса.</t>
        </is>
      </c>
      <c r="L6198" s="2" t="inlineStr">
        <is>
          <t>https://ru.wikipedia.org/w/index.php?title=%D0%90%D0%B4%D0%B0%D0%BC_%D0%B6%D0%B5%D0%BD%D0%B8%D1%82%D1%81%D1%8F_%D0%BD%D0%B0_%D0%95%D0%B2%D0%B5&amp;oldid=154830993</t>
        </is>
      </c>
      <c r="M6198" s="2">
        <f>HYPERLINK("https://ru.wikipedia.org/w/index.php?search=%D0%90%D0%B4%D0%B0%D0%BC%20%D0%B6%D0%B5%D0%BD%D0%B8%D1%82%D1%81%D1%8F%20%D0%BD%D0%B0%20%D0%95%D0%B2%D0%B5%201980%20%D1%84%D0%B8%D0%BB%D1%8C%D0%BC","искать")</f>
        <v/>
      </c>
      <c r="N6198" s="3" t="n"/>
      <c r="O6198" s="2" t="n"/>
      <c r="P6198" s="2" t="n"/>
    </row>
    <row r="6199">
      <c r="A6199" s="2" t="n">
        <v>6198</v>
      </c>
      <c r="B6199" s="2" t="inlineStr"/>
      <c r="C6199" s="2" t="n">
        <v>11483</v>
      </c>
      <c r="D6199" s="3" t="inlineStr">
        <is>
          <t>Не в шляпе счастье</t>
        </is>
      </c>
      <c r="E6199" s="2" t="n">
        <v>1968</v>
      </c>
      <c r="F6199" s="2" t="inlineStr">
        <is>
          <t>мультфильм</t>
        </is>
      </c>
      <c r="G6199" s="2" t="inlineStr">
        <is>
          <t>Союзмультфильм</t>
        </is>
      </c>
      <c r="H6199" s="2" t="n">
        <v>504</v>
      </c>
      <c r="I6199" s="2" t="inlineStr"/>
      <c r="J6199" s="2" t="inlineStr"/>
      <c r="K6199" s="3" t="inlineStr">
        <is>
          <t>По мотивам одноименной сказки Осипа Дриза. В одном городе живут двое влюбленных. Все вокруг ждут, когда же Он откроет Ей свое сердце и мечтают о веселой свадьбе. Но Он робок и не смеет сказать о своей любви. Но вот однажды в городе появляется шарманщик. Из его шарманки вылетают бабочки счастья. Юноша, уверенный, что поймал свое счастье, идет к девушке и говорит заветные слова. Весь город веселится на их свадьбе.Здесь выясняется, что бабочек счастья ни у кого нет, - шарманщик вернул людям веру в себя</t>
        </is>
      </c>
      <c r="L6199" s="2" t="inlineStr">
        <is>
          <t>https://gosfilmofond.ru/films/254319/</t>
        </is>
      </c>
      <c r="M6199" s="2">
        <f>HYPERLINK("https://ru.wikipedia.org/w/index.php?search=%D0%9D%D0%B5%20%D0%B2%20%D1%88%D0%BB%D1%8F%D0%BF%D0%B5%20%D1%81%D1%87%D0%B0%D1%81%D1%82%D1%8C%D0%B5%201968%20%D1%84%D0%B8%D0%BB%D1%8C%D0%BC","искать")</f>
        <v/>
      </c>
      <c r="N6199" s="3" t="n"/>
      <c r="O6199" s="2" t="n"/>
      <c r="P6199" s="2" t="n"/>
    </row>
    <row r="6200">
      <c r="A6200" s="2" t="n">
        <v>6199</v>
      </c>
      <c r="B6200" s="2" t="inlineStr"/>
      <c r="C6200" s="2" t="n">
        <v>11141</v>
      </c>
      <c r="D6200" s="3" t="inlineStr">
        <is>
          <t>Берёзовая ветка</t>
        </is>
      </c>
      <c r="E6200" s="2" t="n">
        <v>1987</v>
      </c>
      <c r="F6200" s="2" t="inlineStr">
        <is>
          <t>фильм-спектакль</t>
        </is>
      </c>
      <c r="G6200" s="2" t="inlineStr">
        <is>
          <t>Харьковская студия телевидения</t>
        </is>
      </c>
      <c r="H6200" s="2" t="n">
        <v>505</v>
      </c>
      <c r="I6200" s="2" t="inlineStr"/>
      <c r="J6200" s="2" t="inlineStr"/>
      <c r="K6200" s="3" t="inlineStr">
        <is>
          <t>Телевизионная повесть по пьесе Ю.Визбора.
В больнице небольшого городка 20 лет лежит бывший партизан Короткевич. В результате жестоких пыток в гестапо больной потерял память. Врачу-психиатру Кондакову удается вылечить Короткевича. К нему возвращается память. Теперь с помощью Короткевича становится возможным разоблачение предателей, погубивших партизанский отряд в годы войны.
В постановке участвуют актеры Харьковского украинского драматического театра им.Т.Шевченко и Харьковского Театра юного зрителя.</t>
        </is>
      </c>
      <c r="L6200" s="2" t="inlineStr">
        <is>
          <t>https://www.kino-teatr.ru/teatr/movie/81281/annot/</t>
        </is>
      </c>
      <c r="M6200" s="2">
        <f>HYPERLINK("https://ru.wikipedia.org/w/index.php?search=%D0%91%D0%B5%D1%80%D1%91%D0%B7%D0%BE%D0%B2%D0%B0%D1%8F%20%D0%B2%D0%B5%D1%82%D0%BA%D0%B0%201987%20%D1%84%D0%B8%D0%BB%D1%8C%D0%BC","искать")</f>
        <v/>
      </c>
      <c r="N6200" s="3" t="n"/>
      <c r="O6200" s="2" t="n"/>
      <c r="P6200" s="2" t="n"/>
    </row>
    <row r="6201">
      <c r="A6201" s="2" t="n">
        <v>6200</v>
      </c>
      <c r="B6201" s="2" t="inlineStr"/>
      <c r="C6201" s="2" t="n">
        <v>7742</v>
      </c>
      <c r="D6201" s="3" t="inlineStr">
        <is>
          <t>Колье Шарлотты</t>
        </is>
      </c>
      <c r="E6201" s="2" t="n">
        <v>1984</v>
      </c>
      <c r="F6201" s="2" t="inlineStr">
        <is>
          <t>телефильм</t>
        </is>
      </c>
      <c r="G6201" s="2" t="inlineStr">
        <is>
          <t>Ленфильм</t>
        </is>
      </c>
      <c r="H6201" s="2" t="n">
        <v>506</v>
      </c>
      <c r="I6201" s="2" t="inlineStr"/>
      <c r="J6201" s="2" t="inlineStr"/>
      <c r="K6201" s="3" t="inlineStr">
        <is>
          <t>Сотрудники КГБ — полковник Серёгин и лейтенант Павлов — расследуют убийство мелкого фарцовщика и валютчика Виктора Кораблёва. Расследование выводит их на след преступной группы, переправляющей за границу ценные произведения ювелирного искусства.
Поединок с опытными и хитрыми преступниками оказывается для сотрудников серьёзным испытанием. Выясняется, что убийство Кораблёва связано с попыткой тайно вывезти за границу знаменитую антикварную историческую реликвию, известную под названием «Колье Шарлотты».</t>
        </is>
      </c>
      <c r="L6201" s="2" t="inlineStr">
        <is>
          <t>https://ru.wikipedia.org/w/index.php?title=%D0%9A%D0%BE%D0%BB%D1%8C%D0%B5_%D0%A8%D0%B0%D1%80%D0%BB%D0%BE%D1%82%D1%82%D1%8B&amp;oldid=154973352</t>
        </is>
      </c>
      <c r="M6201" s="2">
        <f>HYPERLINK("https://ru.wikipedia.org/w/index.php?search=%D0%9A%D0%BE%D0%BB%D1%8C%D0%B5%20%D0%A8%D0%B0%D1%80%D0%BB%D0%BE%D1%82%D1%82%D1%8B%201984%20%D1%84%D0%B8%D0%BB%D1%8C%D0%BC","искать")</f>
        <v/>
      </c>
      <c r="N6201" s="3" t="n"/>
      <c r="O6201" s="2" t="n"/>
      <c r="P6201" s="2" t="n"/>
    </row>
    <row r="6202">
      <c r="A6202" s="2" t="n">
        <v>6201</v>
      </c>
      <c r="B6202" s="2" t="inlineStr"/>
      <c r="C6202" s="2" t="n">
        <v>8589</v>
      </c>
      <c r="D6202" s="3" t="inlineStr">
        <is>
          <t>Экзамен на директора</t>
        </is>
      </c>
      <c r="E6202" s="2" t="n">
        <v>1986</v>
      </c>
      <c r="F6202" s="2" t="inlineStr">
        <is>
          <t>телефильм</t>
        </is>
      </c>
      <c r="G6202" s="2" t="n"/>
      <c r="H6202" s="2" t="n">
        <v>506</v>
      </c>
      <c r="I6202" s="2" t="inlineStr"/>
      <c r="J6202" s="2" t="inlineStr"/>
      <c r="K6202" s="3" t="inlineStr">
        <is>
          <t>Главный герой фильма - Виктор Петрович, выпускник института, приехал по распределению в небольшую сельскую школу. Волей случая его сразу назначили директором. Но из-за отсутствия педагогического опыта Виктор допускает ряд ошибок, идет на поводу завуча школы и инспектора РОНО. В картине прослеживаются взаимоотношения Виктора Петровича с завучем школы Галиной Павловной - женщиной со сложной судьбой, которая пришла в школу в послевоенные годы; с молодой учительницей Ириной Алексеевной; с учениками школы.</t>
        </is>
      </c>
      <c r="L6202" s="2" t="inlineStr">
        <is>
          <t>Кино_СССР сводный каталог.xlsx: список телефильмов</t>
        </is>
      </c>
      <c r="M6202" s="2">
        <f>HYPERLINK("https://ru.wikipedia.org/w/index.php?search=%D0%AD%D0%BA%D0%B7%D0%B0%D0%BC%D0%B5%D0%BD%20%D0%BD%D0%B0%20%D0%B4%D0%B8%D1%80%D0%B5%D0%BA%D1%82%D0%BE%D1%80%D0%B0%201986%20%D1%84%D0%B8%D0%BB%D1%8C%D0%BC","искать")</f>
        <v/>
      </c>
      <c r="N6202" s="3" t="n"/>
      <c r="O6202" s="2" t="n"/>
      <c r="P6202" s="2" t="n"/>
    </row>
    <row r="6203">
      <c r="A6203" s="2" t="n">
        <v>6202</v>
      </c>
      <c r="B6203" s="2" t="inlineStr"/>
      <c r="C6203" s="2" t="n">
        <v>10311</v>
      </c>
      <c r="D6203" s="3" t="inlineStr">
        <is>
          <t>Комендант Лаутербурга</t>
        </is>
      </c>
      <c r="E6203" s="2" t="n">
        <v>1969</v>
      </c>
      <c r="F6203" s="2" t="inlineStr">
        <is>
          <t>фильм-спектакль</t>
        </is>
      </c>
      <c r="G6203" s="2" t="n"/>
      <c r="H6203" s="2" t="n">
        <v>506</v>
      </c>
      <c r="I6203" s="2" t="inlineStr"/>
      <c r="J6203" s="2" t="inlineStr"/>
      <c r="K6203" s="3" t="inlineStr">
        <is>
          <t>События происходят в первые дни после Великой Отечественной войны — Лубенцов, ранее начальник дивизионной разведки в фильме «Весна на Одере», теперь в звании подполковника, и выпала ему сложная задача — быть комендантом немецкого городка Лаутербург…
Рассказ о буднях советской комендатуры в послевоенной провинциальной Германии, о смятении и неуверенных надеждах простых немцев на нормальную жизнь, о наведении комендатурой порядка и восстановлении мирной жизни, а также о преследовании недобитых нацистов.</t>
        </is>
      </c>
      <c r="L6203" s="2" t="inlineStr">
        <is>
          <t>https://ru.wikipedia.org/w/index.php?title=%D0%9A%D0%BE%D0%BC%D0%B5%D0%BD%D0%B4%D0%B0%D0%BD%D1%82_%D0%9B%D0%B0%D1%83%D1%82%D0%B5%D1%80%D0%B1%D1%83%D1%80%D0%B3%D0%B0&amp;oldid=154697367</t>
        </is>
      </c>
      <c r="M6203" s="2">
        <f>HYPERLINK("https://ru.wikipedia.org/w/index.php?search=%D0%9A%D0%BE%D0%BC%D0%B5%D0%BD%D0%B4%D0%B0%D0%BD%D1%82%20%D0%9B%D0%B0%D1%83%D1%82%D0%B5%D1%80%D0%B1%D1%83%D1%80%D0%B3%D0%B0%201969%20%D1%84%D0%B8%D0%BB%D1%8C%D0%BC","искать")</f>
        <v/>
      </c>
      <c r="N6203" s="3" t="n"/>
      <c r="O6203" s="2" t="n"/>
      <c r="P6203" s="2" t="n"/>
    </row>
    <row r="6204">
      <c r="A6204" s="2" t="n">
        <v>6203</v>
      </c>
      <c r="B6204" s="2" t="inlineStr"/>
      <c r="C6204" s="2" t="n">
        <v>11310</v>
      </c>
      <c r="D6204" s="3" t="inlineStr">
        <is>
          <t>Му-му</t>
        </is>
      </c>
      <c r="E6204" s="2" t="n">
        <v>1990</v>
      </c>
      <c r="F6204" s="2" t="inlineStr">
        <is>
          <t>фильм-спектакль</t>
        </is>
      </c>
      <c r="G6204" s="2" t="inlineStr">
        <is>
          <t>МДТ, ЦТ</t>
        </is>
      </c>
      <c r="H6204" s="2" t="n">
        <v>506</v>
      </c>
      <c r="I6204" s="2" t="inlineStr"/>
      <c r="J6204" s="2" t="inlineStr"/>
      <c r="K6204" s="3" t="inlineStr">
        <is>
          <t>Спектакль поставлен по мотивам повести И.С. Тургенева.
История про Герасима и Муму вставлена в рамка из «Записок охотника». Барин заходит в деревенский кабак, где ему рассказывают историю Герасима посетители заведения. Но рассказывает не просто так, а показывают, разыгрывают спектакль перед сидящим за столом охотником. Они скоморошничают, говорят смешными голосами, ходят, сжавшись в комок. Но вскоре это действие отходит на второй план, и эту же историю начинают разыгрывать по-настоящему другие актеры.</t>
        </is>
      </c>
      <c r="L6204" s="2" t="inlineStr">
        <is>
          <t>https://www.kino-teatr.ru/teatr/movie/116688/annot/</t>
        </is>
      </c>
      <c r="M6204" s="2">
        <f>HYPERLINK("https://ru.wikipedia.org/w/index.php?search=%D0%9C%D1%83-%D0%BC%D1%83%201990%20%D1%84%D0%B8%D0%BB%D1%8C%D0%BC","искать")</f>
        <v/>
      </c>
      <c r="N6204" s="3" t="n"/>
      <c r="O6204" s="2" t="n"/>
      <c r="P6204" s="2" t="n"/>
    </row>
    <row r="6205">
      <c r="A6205" s="2" t="n">
        <v>6204</v>
      </c>
      <c r="B6205" s="2" t="inlineStr"/>
      <c r="C6205" s="2" t="n">
        <v>11443</v>
      </c>
      <c r="D6205" s="3" t="inlineStr">
        <is>
          <t>Как стать большим</t>
        </is>
      </c>
      <c r="E6205" s="2" t="n">
        <v>1967</v>
      </c>
      <c r="F6205" s="2" t="inlineStr">
        <is>
          <t>мультфильм</t>
        </is>
      </c>
      <c r="G6205" s="2" t="inlineStr">
        <is>
          <t>Союзмультфильм</t>
        </is>
      </c>
      <c r="H6205" s="2" t="n">
        <v>507</v>
      </c>
      <c r="I6205" s="2" t="inlineStr"/>
      <c r="J6205" s="2" t="inlineStr"/>
      <c r="K6205" s="3" t="inlineStr">
        <is>
          <t>Котенок из кубиков складывает рисунки. У него ничего не получается и он с досады разбрасывает по комнате игрушки. Кошка-бабушка журит его, сказав, что он хоть и очень маленький, но должен вести себя хорошо. Котенок убегает на улицу и все звери называют его совсем маленьким. А ему хотелось стать большим. И Солнце подсказало, как этого добиться. Своим лучом оно показало на разбросанные игрушки. Котенок навел порядок и в это время пришла бабушка, она похвалила внука и сказала, что теперь он совсем большой</t>
        </is>
      </c>
      <c r="L6205" s="2" t="inlineStr">
        <is>
          <t>https://gosfilmofond.ru/films/254265/</t>
        </is>
      </c>
      <c r="M6205" s="2">
        <f>HYPERLINK("https://ru.wikipedia.org/w/index.php?search=%D0%9A%D0%B0%D0%BA%20%D1%81%D1%82%D0%B0%D1%82%D1%8C%20%D0%B1%D0%BE%D0%BB%D1%8C%D1%88%D0%B8%D0%BC%201967%20%D1%84%D0%B8%D0%BB%D1%8C%D0%BC","искать")</f>
        <v/>
      </c>
      <c r="N6205" s="3" t="n"/>
      <c r="O6205" s="2" t="n"/>
      <c r="P6205" s="2" t="n"/>
    </row>
    <row r="6206">
      <c r="A6206" s="2" t="n">
        <v>6205</v>
      </c>
      <c r="B6206" s="2" t="inlineStr"/>
      <c r="C6206" s="2" t="n">
        <v>7792</v>
      </c>
      <c r="D6206" s="3" t="inlineStr">
        <is>
          <t>Легко быть добрым</t>
        </is>
      </c>
      <c r="E6206" s="2" t="n">
        <v>1976</v>
      </c>
      <c r="F6206" s="2" t="inlineStr">
        <is>
          <t>телефильм</t>
        </is>
      </c>
      <c r="G6206" s="2" t="n"/>
      <c r="H6206" s="2" t="n">
        <v>508</v>
      </c>
      <c r="I6206" s="2" t="inlineStr"/>
      <c r="J6206" s="2" t="inlineStr"/>
      <c r="K6206" s="3" t="inlineStr">
        <is>
          <t>Фильм относится направлению производственная драма и показывает жизнь большого заводского коллектива. Подняты темы борьбы за технический прогресс и становления молодых рабочих.
Георгий Грудинин (Эммануил Виторган) — молодой инженер, исполняющий обязанности начальника производственного цеха. Он старается выйти в передовики производства и при этом готов применить все средства, включая недозволенные, так как считает, что в итоге они оправдают себя. Коллеги и руководство завода не одобряют действия Георгия.</t>
        </is>
      </c>
      <c r="L6206" s="2" t="inlineStr">
        <is>
          <t>https://ru.wikipedia.org/w/index.php?title=%D0%9B%D0%B5%D0%B3%D0%BA%D0%BE_%D0%B1%D1%8B%D1%82%D1%8C_%D0%B4%D0%BE%D0%B1%D1%80%D1%8B%D0%BC_%28%D1%84%D0%B8%D0%BB%D1%8C%D0%BC%29&amp;oldid=144818624</t>
        </is>
      </c>
      <c r="M6206" s="2">
        <f>HYPERLINK("https://ru.wikipedia.org/w/index.php?search=%D0%9B%D0%B5%D0%B3%D0%BA%D0%BE%20%D0%B1%D1%8B%D1%82%D1%8C%20%D0%B4%D0%BE%D0%B1%D1%80%D1%8B%D0%BC%201976%20%D1%84%D0%B8%D0%BB%D1%8C%D0%BC","искать")</f>
        <v/>
      </c>
      <c r="N6206" s="3" t="n"/>
      <c r="O6206" s="2" t="n"/>
      <c r="P6206" s="2" t="n"/>
    </row>
    <row r="6207">
      <c r="A6207" s="2" t="n">
        <v>6206</v>
      </c>
      <c r="B6207" s="2" t="inlineStr"/>
      <c r="C6207" s="2" t="n">
        <v>8224</v>
      </c>
      <c r="D6207" s="3" t="inlineStr">
        <is>
          <t>Проводы белых ночей</t>
        </is>
      </c>
      <c r="E6207" s="2" t="n">
        <v>1969</v>
      </c>
      <c r="F6207" s="2" t="inlineStr">
        <is>
          <t>телефильм</t>
        </is>
      </c>
      <c r="G6207" s="2" t="n"/>
      <c r="H6207" s="2" t="n">
        <v>508</v>
      </c>
      <c r="I6207" s="2" t="inlineStr"/>
      <c r="J6207" s="2" t="inlineStr"/>
      <c r="K6207" s="3" t="inlineStr">
        <is>
          <t>Телевизионная мелодрама по мотивам одноименной пьесы Веры Пановой. О сложных взаимоотношениях молодых людей — журналиста Валерия (Юрий Каморный) и рабочей Нины. В Ленинграде, на проводах белых ночей, юная и по детски наивная Нина знакомится с молодым журналистом Валерием. Девушка влюбляется в своего нового друга той искренней первой любовью, которая бывает только в 19 лет, даже не подозревая, что для такого амбициозного эстета, как Валерик, это всего лишь очередной эпизод в нескончаемом празднике жизни.</t>
        </is>
      </c>
      <c r="L6207" s="2" t="inlineStr">
        <is>
          <t>Кино_СССР сводный каталог.xlsx: список телефильмов</t>
        </is>
      </c>
      <c r="M6207" s="2">
        <f>HYPERLINK("https://ru.wikipedia.org/w/index.php?search=%D0%9F%D1%80%D0%BE%D0%B2%D0%BE%D0%B4%D1%8B%20%D0%B1%D0%B5%D0%BB%D1%8B%D1%85%20%D0%BD%D0%BE%D1%87%D0%B5%D0%B9%201969%20%D1%84%D0%B8%D0%BB%D1%8C%D0%BC","искать")</f>
        <v/>
      </c>
      <c r="N6207" s="3" t="n"/>
      <c r="O6207" s="2" t="n"/>
      <c r="P6207" s="2" t="n"/>
    </row>
    <row r="6208">
      <c r="A6208" s="2" t="n">
        <v>6207</v>
      </c>
      <c r="B6208" s="2" t="inlineStr"/>
      <c r="C6208" s="2" t="n">
        <v>10768</v>
      </c>
      <c r="D6208" s="3" t="inlineStr">
        <is>
          <t>Полковник Шабер</t>
        </is>
      </c>
      <c r="E6208" s="2" t="n">
        <v>1978</v>
      </c>
      <c r="F6208" s="2" t="inlineStr">
        <is>
          <t>фильм-спектакль</t>
        </is>
      </c>
      <c r="G6208" s="2" t="inlineStr">
        <is>
          <t>Ленинградское Телевидение</t>
        </is>
      </c>
      <c r="H6208" s="2" t="n">
        <v>508</v>
      </c>
      <c r="I6208" s="2" t="inlineStr"/>
      <c r="J6208" s="2" t="inlineStr"/>
      <c r="K6208" s="3" t="inlineStr">
        <is>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is>
      </c>
      <c r="L6208" s="2" t="inlineStr">
        <is>
          <t>https://www.kino-teatr.ru/teatr/movie/5365/annot/</t>
        </is>
      </c>
      <c r="M6208" s="2">
        <f>HYPERLINK("https://ru.wikipedia.org/w/index.php?search=%D0%9F%D0%BE%D0%BB%D0%BA%D0%BE%D0%B2%D0%BD%D0%B8%D0%BA%20%D0%A8%D0%B0%D0%B1%D0%B5%D1%80%201978%20%D1%84%D0%B8%D0%BB%D1%8C%D0%BC","искать")</f>
        <v/>
      </c>
      <c r="N6208" s="3" t="n"/>
      <c r="O6208" s="2" t="n"/>
      <c r="P6208" s="2" t="n"/>
    </row>
    <row r="6209">
      <c r="A6209" s="2" t="n">
        <v>6208</v>
      </c>
      <c r="B6209" s="2" t="inlineStr"/>
      <c r="C6209" s="2" t="n">
        <v>10517</v>
      </c>
      <c r="D6209" s="3" t="inlineStr">
        <is>
          <t>Самый последний день</t>
        </is>
      </c>
      <c r="E6209" s="2" t="n">
        <v>1973</v>
      </c>
      <c r="F6209" s="2" t="inlineStr">
        <is>
          <t>фильм-спектакль</t>
        </is>
      </c>
      <c r="G6209" s="2" t="inlineStr">
        <is>
          <t>Творческое объединение "Экран"</t>
        </is>
      </c>
      <c r="H6209" s="2" t="n">
        <v>509</v>
      </c>
      <c r="I6209" s="2" t="inlineStr"/>
      <c r="J6209" s="2" t="inlineStr"/>
      <c r="K6209" s="3" t="inlineStr">
        <is>
          <t>В свой последний рабочий день уходящий на пенсию участковый уполномоченный, младший лейтенант милиции Семён Митрофанович Ковалёв, как обычно, обходит участок и решает накопившиеся проблемы.
Среди обычных дел, разбора кляуз и бесед с пьяницами он находит время для соседской девушки Аллы, попавшей под влияние главаря воровской шайки.
Увидев её в компании молодого человека, похожего по описанию на некоего Валеру, подозреваемого в краже, он пытается задержать его, но гибнет от нанесённого смертельного удара.</t>
        </is>
      </c>
      <c r="L6209" s="2" t="inlineStr">
        <is>
          <t>https://ru.wikipedia.org/w/index.php?title=%D0%A1%D0%B0%D0%BC%D1%8B%D0%B9_%D0%BF%D0%BE%D1%81%D0%BB%D0%B5%D0%B4%D0%BD%D0%B8%D0%B9_%D0%B4%D0%B5%D0%BD%D1%8C_%28%D1%81%D0%BF%D0%B5%D0%BA%D1%82%D0%B0%D0%BA%D0%BB%D1%8C%29&amp;oldid=145766532</t>
        </is>
      </c>
      <c r="M6209" s="2">
        <f>HYPERLINK("https://ru.wikipedia.org/w/index.php?search=%D0%A1%D0%B0%D0%BC%D1%8B%D0%B9%20%D0%BF%D0%BE%D1%81%D0%BB%D0%B5%D0%B4%D0%BD%D0%B8%D0%B9%20%D0%B4%D0%B5%D0%BD%D1%8C%201973%20%D1%84%D0%B8%D0%BB%D1%8C%D0%BC","искать")</f>
        <v/>
      </c>
      <c r="N6209" s="3" t="n"/>
      <c r="O6209" s="2" t="n"/>
      <c r="P6209" s="2" t="n"/>
    </row>
    <row r="6210">
      <c r="A6210" s="2" t="n">
        <v>6209</v>
      </c>
      <c r="B6210" s="2" t="inlineStr"/>
      <c r="C6210" s="2" t="n">
        <v>14121</v>
      </c>
      <c r="D6210" s="3" t="inlineStr">
        <is>
          <t>Как лисы с курами подружились</t>
        </is>
      </c>
      <c r="E6210" s="2" t="n">
        <v>1980</v>
      </c>
      <c r="F6210" s="2" t="inlineStr">
        <is>
          <t>мультфильм</t>
        </is>
      </c>
      <c r="G6210" s="2" t="inlineStr">
        <is>
          <t>СВЕРДЛОВСКТЕЛЕФИЛЬМ</t>
        </is>
      </c>
      <c r="H6210" s="2" t="n">
        <v>509</v>
      </c>
      <c r="I6210" s="2" t="inlineStr"/>
      <c r="J6210" s="2" t="inlineStr"/>
      <c r="K6210" s="3" t="inlineStr">
        <is>
          <t>Неслыханный скандал в лисьей семье Ларссонов! Молодой Людвиг Четырнадцатый ведет себя совсем не по-лисьи и даже подружился с девочкой-цыпленком Туттой. Лисы решили навести свой порядок и отправляются в курятник, чтобы передушить всех кур. Но Людвиг Четырнадцатый предупредил новых друзей, и они спаслись. Вскоре и у Тутты появился шанс отплатить Людвигу и его семье добром: цыпленок предупреждает их о готовящейся облаве людей на лис. Здравый смысл побеждает. И это становится началом большой взаимной дружбы.</t>
        </is>
      </c>
      <c r="L6210" s="2" t="inlineStr">
        <is>
          <t>2026-10_мультфильмы_список_владельца.xlsx; https://animator.ru/db/?p=show_film&amp;fid=5519</t>
        </is>
      </c>
      <c r="M6210" s="2">
        <f>HYPERLINK("https://ru.wikipedia.org/w/index.php?search=%D0%9A%D0%B0%D0%BA%20%D0%BB%D0%B8%D1%81%D1%8B%20%D1%81%20%D0%BA%D1%83%D1%80%D0%B0%D0%BC%D0%B8%20%D0%BF%D0%BE%D0%B4%D1%80%D1%83%D0%B6%D0%B8%D0%BB%D0%B8%D1%81%D1%8C%201980%20%D1%84%D0%B8%D0%BB%D1%8C%D0%BC","искать")</f>
        <v/>
      </c>
      <c r="N6210" s="3" t="n"/>
      <c r="O6210" s="2" t="n"/>
      <c r="P6210" s="2" t="n"/>
    </row>
    <row r="6211">
      <c r="A6211" s="2" t="n">
        <v>6210</v>
      </c>
      <c r="B6211" s="2" t="inlineStr"/>
      <c r="C6211" s="2" t="n">
        <v>7627</v>
      </c>
      <c r="D6211" s="3" t="inlineStr">
        <is>
          <t>Заповедный холм</t>
        </is>
      </c>
      <c r="E6211" s="2" t="n">
        <v>1988</v>
      </c>
      <c r="F6211" s="2" t="inlineStr">
        <is>
          <t>телефильм</t>
        </is>
      </c>
      <c r="G6211" s="2" t="n"/>
      <c r="H6211" s="2" t="n">
        <v>511</v>
      </c>
      <c r="I6211" s="2" t="inlineStr"/>
      <c r="J6211" s="2" t="inlineStr"/>
      <c r="K6211" s="3" t="inlineStr">
        <is>
          <t>События в этом фильме происходят одновременно в 1920-х и 1980-х годах. Писатель Салиджан Нартаев, родители которого были убиты басмачами, пишет книгу о своем детстве, о школе, о первой учительнице, о своем родном кишлаке, куда только что пришла Советская власть. Кое-кому в кишлаке эта власть пришлась не по душе - Ишан и его сын Меликузы со своим другом Мулладостом, местные баи и муллы, вредят новой власти, похищают девочку Гульнару, обвинив в этом маленького Салиджана, поджигают школу, убивают учительницу.</t>
        </is>
      </c>
      <c r="L6211" s="2" t="inlineStr">
        <is>
          <t>Кино_СССР сводный каталог.xlsx: список телефильмов</t>
        </is>
      </c>
      <c r="M6211" s="2">
        <f>HYPERLINK("https://ru.wikipedia.org/w/index.php?search=%D0%97%D0%B0%D0%BF%D0%BE%D0%B2%D0%B5%D0%B4%D0%BD%D1%8B%D0%B9%20%D1%85%D0%BE%D0%BB%D0%BC%201988%20%D1%84%D0%B8%D0%BB%D1%8C%D0%BC","искать")</f>
        <v/>
      </c>
      <c r="N6211" s="3" t="n"/>
      <c r="O6211" s="2" t="n"/>
      <c r="P6211" s="2" t="n"/>
    </row>
    <row r="6212">
      <c r="A6212" s="2" t="n">
        <v>6211</v>
      </c>
      <c r="B6212" s="2" t="inlineStr"/>
      <c r="C6212" s="2" t="n">
        <v>8061</v>
      </c>
      <c r="D6212" s="3" t="inlineStr">
        <is>
          <t>Остров сокровищ</t>
        </is>
      </c>
      <c r="E6212" s="2" t="n">
        <v>1982</v>
      </c>
      <c r="F6212" s="2" t="inlineStr">
        <is>
          <t>телефильм</t>
        </is>
      </c>
      <c r="G6212" s="2" t="inlineStr">
        <is>
          <t>киностудия «Ленфильм»; Творческое объединение телевизионных фильмов</t>
        </is>
      </c>
      <c r="H6212" s="2" t="n">
        <v>512</v>
      </c>
      <c r="I6212" s="2" t="inlineStr"/>
      <c r="J6212" s="2" t="inlineStr"/>
      <c r="K6212" s="3" t="inlineStr">
        <is>
          <t>Телесериал по одноименному роману Роберта Льюиса Стивенсона. Юный Джим Хокинс и его друзья - доктор Ливси и сквайр Трелони - случайно становятся обладателями карты капитана Флинта, на которой указано место в Карибском море, где спрятаны несметные сокровища знаменитого пирата. На прекрасной шхуне "Эспаньола" они начинают опасное плавание к далекому острову и не подозревают, что вместе с ними за сокровищами, прикинувшись скромным корабельным коком, отправился Джон Сильвер - самый кровожадный и коварный пират.</t>
        </is>
      </c>
      <c r="L6212" s="2" t="inlineStr">
        <is>
          <t>Кино_СССР сводный каталог.xlsx: список телефильмов</t>
        </is>
      </c>
      <c r="M6212" s="2">
        <f>HYPERLINK("https://ru.wikipedia.org/w/index.php?search=%D0%9E%D1%81%D1%82%D1%80%D0%BE%D0%B2%20%D1%81%D0%BE%D0%BA%D1%80%D0%BE%D0%B2%D0%B8%D1%89%201982%20%D1%84%D0%B8%D0%BB%D1%8C%D0%BC","искать")</f>
        <v/>
      </c>
      <c r="N6212" s="3" t="n"/>
      <c r="O6212" s="2" t="n"/>
      <c r="P6212" s="2" t="n"/>
    </row>
    <row r="6213">
      <c r="A6213" s="2" t="n">
        <v>6212</v>
      </c>
      <c r="B6213" s="2" t="inlineStr"/>
      <c r="C6213" s="2" t="n">
        <v>11204</v>
      </c>
      <c r="D6213" s="3" t="inlineStr">
        <is>
          <t>Иван</t>
        </is>
      </c>
      <c r="E6213" s="2" t="n">
        <v>1988</v>
      </c>
      <c r="F6213" s="2" t="inlineStr">
        <is>
          <t>фильм-спектакль</t>
        </is>
      </c>
      <c r="G6213" s="2" t="inlineStr">
        <is>
          <t>Главная редакция литературно-драматических программ ЦТ</t>
        </is>
      </c>
      <c r="H6213" s="2" t="n">
        <v>512</v>
      </c>
      <c r="I6213" s="2" t="inlineStr"/>
      <c r="J6213" s="2" t="inlineStr"/>
      <c r="K6213" s="3" t="inlineStr">
        <is>
          <t>По пьесе А.Кудрявцева "Иван и Мадонна" в постановке Государственного академического Малого театра Союза ССР.
Бывший фронтовик Иван Иванович Климов, отзывчивый и безотказный человек, работает плотником в колхозе. Спустя сорок лет после окончания войны его находит заслуженная награда. Иван горд и счастлив. Но его глубоко ранит, что в деревне живет и процветает бывший полицай Гришка. Вечером в День Победы Иван встречает Гришку за околицей с ворованным сеном. Он хочет сдать вора в милицию, но тот убивает Ивана.</t>
        </is>
      </c>
      <c r="L6213" s="2" t="inlineStr">
        <is>
          <t>https://www.kino-teatr.ru/teatr/movie/81583/annot/</t>
        </is>
      </c>
      <c r="M6213" s="2">
        <f>HYPERLINK("https://ru.wikipedia.org/w/index.php?search=%D0%98%D0%B2%D0%B0%D0%BD%201988%20%D1%84%D0%B8%D0%BB%D1%8C%D0%BC","искать")</f>
        <v/>
      </c>
      <c r="N6213" s="3" t="n"/>
      <c r="O6213" s="2" t="n"/>
      <c r="P6213" s="2" t="n"/>
    </row>
    <row r="6214">
      <c r="A6214" s="2" t="n">
        <v>6213</v>
      </c>
      <c r="B6214" s="2" t="inlineStr"/>
      <c r="C6214" s="2" t="n">
        <v>11449</v>
      </c>
      <c r="D6214" s="3" t="inlineStr">
        <is>
          <t>Межа</t>
        </is>
      </c>
      <c r="E6214" s="2" t="n">
        <v>1967</v>
      </c>
      <c r="F6214" s="2" t="inlineStr">
        <is>
          <t>мультфильм</t>
        </is>
      </c>
      <c r="G6214" s="2" t="inlineStr">
        <is>
          <t>Союзмультфильм</t>
        </is>
      </c>
      <c r="H6214" s="2" t="n">
        <v>512</v>
      </c>
      <c r="I6214" s="2" t="inlineStr"/>
      <c r="J6214" s="2" t="inlineStr"/>
      <c r="K6214" s="3" t="inlineStr">
        <is>
          <t>Вернулся Солдат со службы, а деревня родная вся в дыму, в пожарищах, крестьяне с насиженных мест бежать собрались. Нет жизни от злого Змея-Горыныча и Царя-грабителя. Но Солдат был хитер. Натравил он Змея-Горыныча на Царя, а Царя на Змея. Поиздевался над ними, а потом предложил делить землю межой, потому, дескать, что оба они сильны и оба имеют право на землю. Впрягся Змей, а Царь погоняет. Дошли до моря, выпили - море по колено, стали море делить. Так оба и потонули. А крестьяне остались жить на своей земле</t>
        </is>
      </c>
      <c r="L6214" s="2" t="inlineStr">
        <is>
          <t>https://gosfilmofond.ru/films/254273/</t>
        </is>
      </c>
      <c r="M6214" s="2">
        <f>HYPERLINK("https://ru.wikipedia.org/w/index.php?search=%D0%9C%D0%B5%D0%B6%D0%B0%201967%20%D1%84%D0%B8%D0%BB%D1%8C%D0%BC","искать")</f>
        <v/>
      </c>
      <c r="N6214" s="3" t="n"/>
      <c r="O6214" s="2" t="n"/>
      <c r="P6214" s="2" t="n"/>
    </row>
    <row r="6215">
      <c r="A6215" s="2" t="n">
        <v>6214</v>
      </c>
      <c r="B6215" s="2" t="inlineStr"/>
      <c r="C6215" s="2" t="n">
        <v>7761</v>
      </c>
      <c r="D6215" s="3" t="inlineStr">
        <is>
          <t>Красавец-мужчина</t>
        </is>
      </c>
      <c r="E6215" s="2" t="n">
        <v>1978</v>
      </c>
      <c r="F6215" s="2" t="inlineStr">
        <is>
          <t>телефильм</t>
        </is>
      </c>
      <c r="G6215" s="2" t="n"/>
      <c r="H6215" s="2" t="n">
        <v>513</v>
      </c>
      <c r="I6215" s="2" t="inlineStr"/>
      <c r="J6215" s="2" t="inlineStr"/>
      <c r="K6215" s="3" t="inlineStr">
        <is>
          <t>Аполлон Евгеньевич Окоёмов — помещик, красавец-мужчина, который живёт в счастливом браке в уездном городке Бряхимове. Будучи в Москве, он проигрался в карты и залез в долги. Окоёмов решил вскружить голову московской миллионерше Оболдуевой и тем самым поправить свои финансовые дела. Для того, чтобы претендовать на приданое Оболдуевой, Аполлон решает сразу развестись с женой. Развод он получит, только если уличит супругу в неверности. Влюблённая в мужа до беспамятства Зоя Васильевна согласна на такое унижение.</t>
        </is>
      </c>
      <c r="L6215" s="2" t="inlineStr">
        <is>
          <t>https://ru.wikipedia.org/w/index.php?title=%D0%9A%D1%80%D0%B0%D1%81%D0%B0%D0%B2%D0%B5%D1%86-%D0%BC%D1%83%D0%B6%D1%87%D0%B8%D0%BD%D0%B0_%28%D1%84%D0%B8%D0%BB%D1%8C%D0%BC%29&amp;oldid=154215228</t>
        </is>
      </c>
      <c r="M6215" s="2">
        <f>HYPERLINK("https://ru.wikipedia.org/w/index.php?search=%D0%9A%D1%80%D0%B0%D1%81%D0%B0%D0%B2%D0%B5%D1%86-%D0%BC%D1%83%D0%B6%D1%87%D0%B8%D0%BD%D0%B0%201978%20%D1%84%D0%B8%D0%BB%D1%8C%D0%BC","искать")</f>
        <v/>
      </c>
      <c r="N6215" s="3" t="n"/>
      <c r="O6215" s="2" t="n"/>
      <c r="P6215" s="2" t="n"/>
    </row>
    <row r="6216">
      <c r="A6216" s="2" t="n">
        <v>6215</v>
      </c>
      <c r="B6216" s="2" t="inlineStr"/>
      <c r="C6216" s="2" t="n">
        <v>7946</v>
      </c>
      <c r="D6216" s="3" t="inlineStr">
        <is>
          <t>Накануне</t>
        </is>
      </c>
      <c r="E6216" s="2" t="n">
        <v>1985</v>
      </c>
      <c r="F6216" s="2" t="inlineStr">
        <is>
          <t>телефильм</t>
        </is>
      </c>
      <c r="G6216" s="2" t="n"/>
      <c r="H6216" s="2" t="n">
        <v>513</v>
      </c>
      <c r="I6216" s="2" t="inlineStr"/>
      <c r="J6216" s="2" t="inlineStr"/>
      <c r="K6216" s="3" t="inlineStr">
        <is>
          <t>Телефильм снят по мотивам одноимённого романа И. С. Тургенева и состоит из двух частей: «Елена», «Инсаров». Елена Николаевна Стахова, дворянка с высокими идеалами, ищет возможность реализовать свои стремления к «деятельному добру». Влюбившись в болгарского студента Инсарова, представителя демократической интеллигенции, Елена посвящает себя ему и поддерживает его в его жизненном пути. После свадьбы пара намеревается уехать в Болгарию, где идёт борьба за свободу, однако Инсаров умирает до их прибытия в страну.</t>
        </is>
      </c>
      <c r="L6216" s="2" t="inlineStr">
        <is>
          <t>https://ru.wikipedia.org/w/index.php?title=%D0%9D%D0%B0%D0%BA%D0%B0%D0%BD%D1%83%D0%BD%D0%B5_%28%D1%84%D0%B8%D0%BB%D1%8C%D0%BC%2C_1985%29&amp;oldid=155279586</t>
        </is>
      </c>
      <c r="M6216" s="2">
        <f>HYPERLINK("https://ru.wikipedia.org/w/index.php?search=%D0%9D%D0%B0%D0%BA%D0%B0%D0%BD%D1%83%D0%BD%D0%B5%201985%20%D1%84%D0%B8%D0%BB%D1%8C%D0%BC","искать")</f>
        <v/>
      </c>
      <c r="N6216" s="3" t="n"/>
      <c r="O6216" s="2" t="n"/>
      <c r="P6216" s="2" t="n"/>
    </row>
    <row r="6217">
      <c r="A6217" s="2" t="n">
        <v>6216</v>
      </c>
      <c r="B6217" s="2" t="inlineStr"/>
      <c r="C6217" s="2" t="n">
        <v>7249</v>
      </c>
      <c r="D6217" s="3" t="inlineStr">
        <is>
          <t>Берег его жизни</t>
        </is>
      </c>
      <c r="E6217" s="2" t="n">
        <v>1984</v>
      </c>
      <c r="F6217" s="2" t="inlineStr">
        <is>
          <t>телефильм</t>
        </is>
      </c>
      <c r="G6217" s="2" t="n"/>
      <c r="H6217" s="2" t="n">
        <v>514</v>
      </c>
      <c r="I6217" s="2" t="inlineStr"/>
      <c r="J6217" s="2" t="inlineStr"/>
      <c r="K6217" s="3" t="inlineStr">
        <is>
          <t>Фильм рассказывает историю жизни известного русского учёного, исследователя, путешественника и первопроходца Николая Николаевича Миклухо-Маклая. В фильме показаны самые интересные моменты из жизни учёного и его путешествий.
Миклухо-Маклай первым высаживается на Новой Гвинее, знакомится с аборигенами, их обычаями. Среди туземцев Новой Гвинеи Миклухо-Маклай живёт несколько лет. Учёный также влюбляется в дочь вице-губернатора Австралии, в фильме показана история взаимоотношений Миклухо-Маклая и его возлюбленной.</t>
        </is>
      </c>
      <c r="L6217" s="2" t="inlineStr">
        <is>
          <t>https://ru.wikipedia.org/w/index.php?title=%D0%91%D0%B5%D1%80%D0%B5%D0%B3_%D0%B5%D0%B3%D0%BE_%D0%B6%D0%B8%D0%B7%D0%BD%D0%B8&amp;oldid=152465730</t>
        </is>
      </c>
      <c r="M6217" s="2">
        <f>HYPERLINK("https://ru.wikipedia.org/w/index.php?search=%D0%91%D0%B5%D1%80%D0%B5%D0%B3%20%D0%B5%D0%B3%D0%BE%20%D0%B6%D0%B8%D0%B7%D0%BD%D0%B8%201984%20%D1%84%D0%B8%D0%BB%D1%8C%D0%BC","искать")</f>
        <v/>
      </c>
      <c r="N6217" s="3" t="n"/>
      <c r="O6217" s="2" t="n"/>
      <c r="P6217" s="2" t="n"/>
    </row>
    <row r="6218">
      <c r="A6218" s="2" t="n">
        <v>6217</v>
      </c>
      <c r="B6218" s="2" t="inlineStr"/>
      <c r="C6218" s="2" t="n">
        <v>7900</v>
      </c>
      <c r="D6218" s="3" t="inlineStr">
        <is>
          <t>Мост через жизнь</t>
        </is>
      </c>
      <c r="E6218" s="2" t="n">
        <v>1986</v>
      </c>
      <c r="F6218" s="2" t="inlineStr">
        <is>
          <t>телефильм</t>
        </is>
      </c>
      <c r="G6218" s="2" t="n"/>
      <c r="H6218" s="2" t="n">
        <v>515</v>
      </c>
      <c r="I6218" s="2" t="inlineStr"/>
      <c r="J6218" s="2" t="inlineStr"/>
      <c r="K6218" s="3" t="inlineStr">
        <is>
          <t>Телефильм по мотивам романа Игоря Малишевского "Мост через три жизни". О жизни и деятельности советского ученого, специалиста в области мостостроения и сварки Евгения Оскаровича Патона (1870-1953г.г.). Русский интеллигент, оставаясь верным себе, он проходит через различные исторические эпохи (революция, гражданская война, многочисленные смены власти на Украине), переживает множество разочарований, но находит свое счастье в научно-техническом творчестве и становится крупным специалистом в области мостостроения.</t>
        </is>
      </c>
      <c r="L6218" s="2" t="inlineStr">
        <is>
          <t>Кино_СССР сводный каталог.xlsx: список телефильмов</t>
        </is>
      </c>
      <c r="M6218" s="2">
        <f>HYPERLINK("https://ru.wikipedia.org/w/index.php?search=%D0%9C%D0%BE%D1%81%D1%82%20%D1%87%D0%B5%D1%80%D0%B5%D0%B7%20%D0%B6%D0%B8%D0%B7%D0%BD%D1%8C%201986%20%D1%84%D0%B8%D0%BB%D1%8C%D0%BC","искать")</f>
        <v/>
      </c>
      <c r="N6218" s="3" t="n"/>
      <c r="O6218" s="2" t="n"/>
      <c r="P6218" s="2" t="n"/>
    </row>
    <row r="6219">
      <c r="A6219" s="2" t="n">
        <v>6218</v>
      </c>
      <c r="B6219" s="2" t="inlineStr"/>
      <c r="C6219" s="2" t="n">
        <v>8508</v>
      </c>
      <c r="D6219" s="3" t="inlineStr">
        <is>
          <t>Факир на час</t>
        </is>
      </c>
      <c r="E6219" s="2" t="n">
        <v>1971</v>
      </c>
      <c r="F6219" s="2" t="inlineStr">
        <is>
          <t>телефильм</t>
        </is>
      </c>
      <c r="G6219" s="2" t="n"/>
      <c r="H6219" s="2" t="n">
        <v>515</v>
      </c>
      <c r="I6219" s="2" t="inlineStr"/>
      <c r="J6219" s="2" t="inlineStr"/>
      <c r="K6219" s="3" t="inlineStr">
        <is>
          <t>Действие весёлой музыкальной комедии происходит в некоем провинциальном городке. Катастрофическая нехватка мест для ночлега, связанная с тем, что в городе только одна гостиница, собирает невероятную очередь из приезжих. В гостинице ожидается приезд важного гостя — доктора-гипнотизёра, для которого забронирован отдельный номер. В результате домыслов сотрудников гостиницы происходит путаница и обычного приезжего корреспондента, ожидающего свободного места в общей очереди, принимают за предстоящего важного гостя.</t>
        </is>
      </c>
      <c r="L6219" s="2" t="inlineStr">
        <is>
          <t>https://ru.wikipedia.org/w/index.php?title=%D0%A4%D0%B0%D0%BA%D0%B8%D1%80_%D0%BD%D0%B0_%D1%87%D0%B0%D1%81&amp;oldid=155624400</t>
        </is>
      </c>
      <c r="M6219" s="2">
        <f>HYPERLINK("https://ru.wikipedia.org/w/index.php?search=%D0%A4%D0%B0%D0%BA%D0%B8%D1%80%20%D0%BD%D0%B0%20%D1%87%D0%B0%D1%81%201971%20%D1%84%D0%B8%D0%BB%D1%8C%D0%BC","искать")</f>
        <v/>
      </c>
      <c r="N6219" s="3" t="n"/>
      <c r="O6219" s="2" t="n"/>
      <c r="P6219" s="2" t="n"/>
    </row>
    <row r="6220">
      <c r="A6220" s="2" t="n">
        <v>6219</v>
      </c>
      <c r="B6220" s="2" t="inlineStr"/>
      <c r="C6220" s="2" t="n">
        <v>10992</v>
      </c>
      <c r="D6220" s="3" t="inlineStr">
        <is>
          <t>Июнь, Москва, Чертаново</t>
        </is>
      </c>
      <c r="E6220" s="2" t="n">
        <v>1983</v>
      </c>
      <c r="F6220" s="2" t="inlineStr">
        <is>
          <t>фильм-спектакль</t>
        </is>
      </c>
      <c r="G6220" s="2" t="inlineStr">
        <is>
          <t>Гл. ред. литературно-драматических программ ЦТ</t>
        </is>
      </c>
      <c r="H6220" s="2" t="n">
        <v>515</v>
      </c>
      <c r="I6220" s="2" t="inlineStr"/>
      <c r="J6220" s="2" t="inlineStr"/>
      <c r="K6220" s="3" t="inlineStr">
        <is>
          <t>По пьесе Геннадия Мамлина "Салют динозаврам!".
Пенсионерка Анна Андреевна приезжает к сестре в Москву, но застает дома только ее внука, 16-летнего Василия. Вначале поведение и привычки старой дамы кажутся ему безнадежно устаревшими, но постепенно между ними устанавливаются теплые отношения и взаимопонимание. Скоро Василий понимает, что Анна Андреевна попала к ним по недоразумению и никакого отношения к семье Василия не имеет. Но он скрывает это от Анны Андреевны, ставшей ему за короткий срок близким человеком.</t>
        </is>
      </c>
      <c r="L6220" s="2" t="inlineStr">
        <is>
          <t>https://www.kino-teatr.ru/teatr/movie/15454/annot/</t>
        </is>
      </c>
      <c r="M6220" s="2">
        <f>HYPERLINK("https://ru.wikipedia.org/w/index.php?search=%D0%98%D1%8E%D0%BD%D1%8C%2C%20%D0%9C%D0%BE%D1%81%D0%BA%D0%B2%D0%B0%2C%20%D0%A7%D0%B5%D1%80%D1%82%D0%B0%D0%BD%D0%BE%D0%B2%D0%BE%201983%20%D1%84%D0%B8%D0%BB%D1%8C%D0%BC","искать")</f>
        <v/>
      </c>
      <c r="N6220" s="3" t="n"/>
      <c r="O6220" s="2" t="n"/>
      <c r="P6220" s="2" t="n"/>
    </row>
    <row r="6221">
      <c r="A6221" s="2" t="n">
        <v>6220</v>
      </c>
      <c r="B6221" s="2" t="inlineStr"/>
      <c r="C6221" s="2" t="n">
        <v>11340</v>
      </c>
      <c r="D6221" s="3" t="inlineStr">
        <is>
          <t>Нежный образ твой</t>
        </is>
      </c>
      <c r="E6221" s="2" t="n">
        <v>1991</v>
      </c>
      <c r="F6221" s="2" t="inlineStr">
        <is>
          <t>фильм-спектакль</t>
        </is>
      </c>
      <c r="G6221" s="2" t="inlineStr">
        <is>
          <t>Творческое объединение "ТЕЛЕТЕАТР"</t>
        </is>
      </c>
      <c r="H6221" s="2" t="n">
        <v>515</v>
      </c>
      <c r="I6221" s="2" t="inlineStr"/>
      <c r="J6221" s="2" t="inlineStr"/>
      <c r="K6221" s="3" t="inlineStr">
        <is>
          <t>По пьесе Ивана Сергеевича Тургенева "Провинциалка".
Действие происходит в уездном городе, в доме Ступендьева.
Жена мелкого провинциального чиновника, желая перебраться в столицу, проявляет недюжинный ум, изощренную изобретательность и житейскую смекалку, чтобы обольстить влиятельного графа. Светский лев бессилен перед этим напором расчетливой женственности и обещает мужу Дарьи Ивановны Ступендьевой место в Петербурге. Сам же супруг в конечном итоге готов смириться со своей двусмысленной ролью в этом спектакле.</t>
        </is>
      </c>
      <c r="L6221" s="2" t="inlineStr">
        <is>
          <t>https://www.kino-teatr.ru/teatr/movie/37785/annot/</t>
        </is>
      </c>
      <c r="M6221" s="2">
        <f>HYPERLINK("https://ru.wikipedia.org/w/index.php?search=%D0%9D%D0%B5%D0%B6%D0%BD%D1%8B%D0%B9%20%D0%BE%D0%B1%D1%80%D0%B0%D0%B7%20%D1%82%D0%B2%D0%BE%D0%B9%201991%20%D1%84%D0%B8%D0%BB%D1%8C%D0%BC","искать")</f>
        <v/>
      </c>
      <c r="N6221" s="3" t="n"/>
      <c r="O6221" s="2" t="n"/>
      <c r="P6221" s="2" t="n"/>
    </row>
    <row r="6222">
      <c r="A6222" s="2" t="n">
        <v>6221</v>
      </c>
      <c r="B6222" s="2" t="inlineStr"/>
      <c r="C6222" s="2" t="n">
        <v>7611</v>
      </c>
      <c r="D6222" s="3" t="inlineStr">
        <is>
          <t>За всё заплачено</t>
        </is>
      </c>
      <c r="E6222" s="2" t="n">
        <v>1988</v>
      </c>
      <c r="F6222" s="2" t="inlineStr">
        <is>
          <t>телефильм</t>
        </is>
      </c>
      <c r="G6222" s="2" t="inlineStr">
        <is>
          <t>ТО «Экран»</t>
        </is>
      </c>
      <c r="H6222" s="2" t="n">
        <v>516</v>
      </c>
      <c r="I6222" s="2" t="inlineStr"/>
      <c r="J6222" s="2" t="inlineStr"/>
      <c r="K6222" s="3" t="inlineStr">
        <is>
          <t>Прикрывая отход войск из Афганистана, в последнем бою погибает солдат из подразделения, которым командовал прапорщик Семенов. Похоронив своего друга, бывшего детдомовца, бывшие "афганцы" остаются в Сибири, чтобы заработать на его памятник. Они устраиваются работать на строительство трассы, по которой пройдет ветка газопровода. Работа им предстоит трудная: протянуть 20 км газопровода за два месяца, но гораздо сложнее было преодолеть сопротивление начальства и местного криминального авторитета по кличке Марадона.</t>
        </is>
      </c>
      <c r="L6222" s="2" t="inlineStr">
        <is>
          <t>https://ru.wikipedia.org/w/index.php?title=%D0%97%D0%B0_%D0%B2%D1%81%D1%91_%D0%B7%D0%B0%D0%BF%D0%BB%D0%B0%D1%87%D0%B5%D0%BD%D0%BE&amp;oldid=155640634</t>
        </is>
      </c>
      <c r="M6222" s="2">
        <f>HYPERLINK("https://ru.wikipedia.org/w/index.php?search=%D0%97%D0%B0%20%D0%B2%D1%81%D1%91%20%D0%B7%D0%B0%D0%BF%D0%BB%D0%B0%D1%87%D0%B5%D0%BD%D0%BE%201988%20%D1%84%D0%B8%D0%BB%D1%8C%D0%BC","искать")</f>
        <v/>
      </c>
      <c r="N6222" s="3" t="n"/>
      <c r="O6222" s="2" t="n"/>
      <c r="P6222" s="2" t="n"/>
    </row>
    <row r="6223">
      <c r="A6223" s="2" t="n">
        <v>6222</v>
      </c>
      <c r="B6223" s="2" t="inlineStr"/>
      <c r="C6223" s="2" t="n">
        <v>11263</v>
      </c>
      <c r="D6223" s="3" t="inlineStr">
        <is>
          <t>Кошка на раскалённой крыше</t>
        </is>
      </c>
      <c r="E6223" s="2" t="n">
        <v>1989</v>
      </c>
      <c r="F6223" s="2" t="inlineStr">
        <is>
          <t>фильм-спектакль</t>
        </is>
      </c>
      <c r="G6223" s="2" t="inlineStr">
        <is>
          <t>Главная редакция литературно-драматических программ ЦТ Гостелерадио СССР</t>
        </is>
      </c>
      <c r="H6223" s="2" t="n">
        <v>516</v>
      </c>
      <c r="I6223" s="2" t="inlineStr"/>
      <c r="J6223" s="2" t="inlineStr"/>
      <c r="K6223" s="3" t="inlineStr">
        <is>
          <t>По одноименной пьесе Теннесси Уильямса (перевод Виталия Вульфа и Александра Доршевича) в постановке Театра имени Вл.Маяковского
Тяжелая болезнь богатого плантатора Большого Па со всей остротой ставит вопрос о наследстве. Любимый сын Брик опустился, бездетен и не помышляет о наследстве. У второго сына Гупера - много детей, и он мечтает о богатстве. Жена Брика - Маргарет - изменявшая мужу и виноватая в том, что он запил, отчаянно борется за наследство. Она объявляет, что ждет ребенка, убеждая мужа, что любит его.</t>
        </is>
      </c>
      <c r="L6223" s="2" t="inlineStr">
        <is>
          <t>https://www.kino-teatr.ru/teatr/movie/81588/annot/</t>
        </is>
      </c>
      <c r="M6223" s="2">
        <f>HYPERLINK("https://ru.wikipedia.org/w/index.php?search=%D0%9A%D0%BE%D1%88%D0%BA%D0%B0%20%D0%BD%D0%B0%20%D1%80%D0%B0%D1%81%D0%BA%D0%B0%D0%BB%D1%91%D0%BD%D0%BD%D0%BE%D0%B9%20%D0%BA%D1%80%D1%8B%D1%88%D0%B5%201989%20%D1%84%D0%B8%D0%BB%D1%8C%D0%BC","искать")</f>
        <v/>
      </c>
      <c r="N6223" s="3" t="n"/>
      <c r="O6223" s="2" t="n"/>
      <c r="P6223" s="2" t="n"/>
    </row>
    <row r="6224">
      <c r="A6224" s="2" t="n">
        <v>6223</v>
      </c>
      <c r="B6224" s="2" t="inlineStr"/>
      <c r="C6224" s="2" t="n">
        <v>11333</v>
      </c>
      <c r="D6224" s="3" t="inlineStr">
        <is>
          <t>Блэз</t>
        </is>
      </c>
      <c r="E6224" s="2" t="n">
        <v>1991</v>
      </c>
      <c r="F6224" s="2" t="inlineStr">
        <is>
          <t>фильм-спектакль</t>
        </is>
      </c>
      <c r="G6224" s="2" t="inlineStr">
        <is>
          <t>Т/О “Телетеатр”</t>
        </is>
      </c>
      <c r="H6224" s="2" t="n">
        <v>516</v>
      </c>
      <c r="I6224" s="2" t="inlineStr"/>
      <c r="J6224" s="2" t="inlineStr"/>
      <c r="K6224" s="3" t="inlineStr">
        <is>
          <t>Спектакль по одноименной пьесе Клода Манье в постановке театра им. А.С.Пушкина.
Остроумная комедия положений, в которой события накладываются одно на другое, закручиваясь в немыслимый клубок. Художник Блэз довольно шустро управляется с непростыми ситуациями, которые свалил на его голову остроумный драматург. Разрываясь между несколькими женщинами, он хочет все успеть и всем угодить. Из всех перипетий и назревающих недоразумений, он тем не менее выходит победителем, как и положено обаятельному и удачливому герою</t>
        </is>
      </c>
      <c r="L6224" s="2" t="inlineStr">
        <is>
          <t>https://www.kino-teatr.ru/teatr/movie/81605/annot/</t>
        </is>
      </c>
      <c r="M6224" s="2">
        <f>HYPERLINK("https://ru.wikipedia.org/w/index.php?search=%D0%91%D0%BB%D1%8D%D0%B7%201991%20%D1%84%D0%B8%D0%BB%D1%8C%D0%BC","искать")</f>
        <v/>
      </c>
      <c r="N6224" s="3" t="n"/>
      <c r="O6224" s="2" t="n"/>
      <c r="P6224" s="2" t="n"/>
    </row>
    <row r="6225">
      <c r="A6225" s="2" t="n">
        <v>6224</v>
      </c>
      <c r="B6225" s="2" t="inlineStr"/>
      <c r="C6225" s="2" t="n">
        <v>7805</v>
      </c>
      <c r="D6225" s="3" t="inlineStr">
        <is>
          <t>Лето рядового Дедова</t>
        </is>
      </c>
      <c r="E6225" s="2" t="n">
        <v>1971</v>
      </c>
      <c r="F6225" s="2" t="inlineStr">
        <is>
          <t>телефильм</t>
        </is>
      </c>
      <c r="G6225" s="2" t="n"/>
      <c r="H6225" s="2" t="n">
        <v>517</v>
      </c>
      <c r="I6225" s="2" t="inlineStr"/>
      <c r="J6225" s="2" t="inlineStr"/>
      <c r="K6225" s="3" t="inlineStr">
        <is>
          <t>Водителю-рядовому артиллерийско-ракетного дивизиона Дедову старшина поручает ответственное задание — заготовку сена для лошади. Так молодой солдат прибывает в колхоз, где попадает в сугубо женский коллектив, не ведая того, что встретит здесь девушку своей мечты.
Искромётный юмор и солдатская смекалка помогают Дедову не только выполнить поставленную задачу, но и отличиться в проводимых армейских учениях.
Музыкальное сопровождение фильма оригинально выполнено в виде юмористических частушек, исполняемых под гитару.</t>
        </is>
      </c>
      <c r="L6225" s="2" t="inlineStr">
        <is>
          <t>https://ru.wikipedia.org/w/index.php?title=%D0%9B%D0%B5%D1%82%D0%BE_%D1%80%D1%8F%D0%B4%D0%BE%D0%B2%D0%BE%D0%B3%D0%BE_%D0%94%D0%B5%D0%B4%D0%BE%D0%B2%D0%B0&amp;oldid=145834213</t>
        </is>
      </c>
      <c r="M6225" s="2">
        <f>HYPERLINK("https://ru.wikipedia.org/w/index.php?search=%D0%9B%D0%B5%D1%82%D0%BE%20%D1%80%D1%8F%D0%B4%D0%BE%D0%B2%D0%BE%D0%B3%D0%BE%20%D0%94%D0%B5%D0%B4%D0%BE%D0%B2%D0%B0%201971%20%D1%84%D0%B8%D0%BB%D1%8C%D0%BC","искать")</f>
        <v/>
      </c>
      <c r="N6225" s="3" t="n"/>
      <c r="O6225" s="2" t="n"/>
      <c r="P6225" s="2" t="n"/>
    </row>
    <row r="6226">
      <c r="A6226" s="2" t="n">
        <v>6225</v>
      </c>
      <c r="B6226" s="2" t="inlineStr"/>
      <c r="C6226" s="2" t="n">
        <v>11270</v>
      </c>
      <c r="D6226" s="3" t="inlineStr">
        <is>
          <t>Наш городок</t>
        </is>
      </c>
      <c r="E6226" s="2" t="n">
        <v>1989</v>
      </c>
      <c r="F6226" s="2" t="inlineStr">
        <is>
          <t>фильм-спектакль</t>
        </is>
      </c>
      <c r="G6226" s="2" t="n"/>
      <c r="H6226" s="2" t="n">
        <v>517</v>
      </c>
      <c r="I6226" s="2" t="inlineStr"/>
      <c r="J6226" s="2" t="inlineStr"/>
      <c r="K6226" s="3" t="inlineStr">
        <is>
          <t>Постановка Севастопольского русского драматического театра.
"Наш городок" - одна из самых значительных пьес ХХ века, за которую Торнтон Найвен Уайлдер получил вторую Пулитцеровскую премию в 1938 году.
История любви юных Эмили Уэбб и Джорджа Гиббса
Маленький городок. Главная улица. Два дома напротив друг друга. В них живут девочка и мальчик. Они учатся в школе, и вся жизнь проходит на виду друг у друга от рождения к переходу в иной мир (названия актов - "Повседневная жизнь", "Любовь и венчание", "Загробный мир").</t>
        </is>
      </c>
      <c r="L6226" s="2" t="inlineStr">
        <is>
          <t>https://www.kino-teatr.ru/teatr/movie/92945/annot/</t>
        </is>
      </c>
      <c r="M6226" s="2">
        <f>HYPERLINK("https://ru.wikipedia.org/w/index.php?search=%D0%9D%D0%B0%D1%88%20%D0%B3%D0%BE%D1%80%D0%BE%D0%B4%D0%BE%D0%BA%201989%20%D1%84%D0%B8%D0%BB%D1%8C%D0%BC","искать")</f>
        <v/>
      </c>
      <c r="N6226" s="3" t="n"/>
      <c r="O6226" s="2" t="n"/>
      <c r="P6226" s="2" t="n"/>
    </row>
    <row r="6227">
      <c r="A6227" s="2" t="n">
        <v>6226</v>
      </c>
      <c r="B6227" s="2" t="inlineStr"/>
      <c r="C6227" s="2" t="n">
        <v>11658</v>
      </c>
      <c r="D6227" s="3" t="inlineStr">
        <is>
          <t>Бабочка</t>
        </is>
      </c>
      <c r="E6227" s="2" t="n">
        <v>1972</v>
      </c>
      <c r="F6227" s="2" t="inlineStr">
        <is>
          <t>мультфильм</t>
        </is>
      </c>
      <c r="G6227" s="2" t="inlineStr">
        <is>
          <t>Союзмультфильм</t>
        </is>
      </c>
      <c r="H6227" s="2" t="n">
        <v>517</v>
      </c>
      <c r="I6227" s="2" t="inlineStr"/>
      <c r="J6227" s="2" t="inlineStr"/>
      <c r="K6227" s="3" t="inlineStr">
        <is>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 В работе над персонажами принимал участие художник Николай Кошкин
XI МФ фильмов для детей и юношества в Хихоне (Испания),1973 - Специальная премия жюри. VIII МКФ фильмов для детей и юношества в Тегеране, 1973 - Диплом Педагогического факультета Иранского университета.</t>
        </is>
      </c>
      <c r="L6227" s="2" t="inlineStr">
        <is>
          <t>https://animator.ru/db/?p=show_film&amp;fid=2572</t>
        </is>
      </c>
      <c r="M6227" s="2">
        <f>HYPERLINK("https://ru.wikipedia.org/w/index.php?search=%D0%91%D0%B0%D0%B1%D0%BE%D1%87%D0%BA%D0%B0%201972%20%D1%84%D0%B8%D0%BB%D1%8C%D0%BC","искать")</f>
        <v/>
      </c>
      <c r="N6227" s="3" t="n"/>
      <c r="O6227" s="2" t="n"/>
      <c r="P6227" s="2" t="n"/>
    </row>
    <row r="6228">
      <c r="A6228" s="2" t="n">
        <v>6227</v>
      </c>
      <c r="B6228" s="2" t="inlineStr"/>
      <c r="C6228" s="2" t="n">
        <v>12320</v>
      </c>
      <c r="D6228" s="3" t="inlineStr">
        <is>
          <t>Альтернатива</t>
        </is>
      </c>
      <c r="E6228" s="2" t="n">
        <v>1986</v>
      </c>
      <c r="F6228" s="2" t="inlineStr">
        <is>
          <t>мультфильм</t>
        </is>
      </c>
      <c r="G6228" s="2" t="inlineStr">
        <is>
          <t>КИЕВНАУЧФИЛЬМ</t>
        </is>
      </c>
      <c r="H6228" s="2" t="n">
        <v>517</v>
      </c>
      <c r="I6228" s="2" t="inlineStr"/>
      <c r="J6228" s="2" t="inlineStr"/>
      <c r="K6228" s="3" t="inlineStr">
        <is>
          <t>Фильм создан по оригинальному сценарию в жанре притчи и предназначен для взрослой аудитории. Показаны два способа жизни, два варианта отношения к ней: бескомпромиссность и приспособленчество, чувство товарищества и эгоизм. Мир был создан из единого материала, пока однажды не распался на две половины, которые скатались в Белый и Серый шары. Их постоянный контакт породил массу недоразумений, конфликтов и неприятностей. Но постепенно любовь и способность к самопожертвованию Белого пересилили глубокий эгоизм Серого.</t>
        </is>
      </c>
      <c r="L6228" s="2" t="inlineStr">
        <is>
          <t>2026-10_мультфильмы_список_владельца.xlsx; https://animator.ru/db/?p=show_film&amp;fid=3484</t>
        </is>
      </c>
      <c r="M6228" s="2">
        <f>HYPERLINK("https://ru.wikipedia.org/w/index.php?search=%D0%90%D0%BB%D1%8C%D1%82%D0%B5%D1%80%D0%BD%D0%B0%D1%82%D0%B8%D0%B2%D0%B0%201986%20%D1%84%D0%B8%D0%BB%D1%8C%D0%BC","искать")</f>
        <v/>
      </c>
      <c r="N6228" s="3" t="n"/>
      <c r="O6228" s="2" t="n"/>
      <c r="P6228" s="2" t="inlineStr">
        <is>
          <t>ГФФ: «Альтернатива» 1987 — год отличается, проверить — по сверке другой фильм, не предложено</t>
        </is>
      </c>
    </row>
    <row r="6229">
      <c r="A6229" s="2" t="n">
        <v>6228</v>
      </c>
      <c r="B6229" s="2" t="inlineStr"/>
      <c r="C6229" s="2" t="n">
        <v>12744</v>
      </c>
      <c r="D6229" s="3" t="inlineStr">
        <is>
          <t>Капля меда</t>
        </is>
      </c>
      <c r="E6229" s="2" t="n">
        <v>1968</v>
      </c>
      <c r="F6229" s="2" t="inlineStr">
        <is>
          <t>мультфильм</t>
        </is>
      </c>
      <c r="G6229" s="2" t="inlineStr">
        <is>
          <t>АРМЕНФИЛЬМ</t>
        </is>
      </c>
      <c r="H6229" s="2" t="n">
        <v>517</v>
      </c>
      <c r="I6229" s="2" t="inlineStr"/>
      <c r="J6229" s="2" t="inlineStr"/>
      <c r="K6229" s="3" t="inlineStr">
        <is>
          <t>По одноименной легенде Ованеса Туманяна. Притча о том, как из-за одной капли меда может разгореться кровопролитная война.
Чабан пошел в соседнее село купить меда. Капля меда стекла с ложки на пол, на эту каплю села муха, муху убила кошка продавца, кошку задушил пес чабана, пса убил продавец, продавца - чабан. И началась война. Убивали, резали, кололи, жгли, пока все вокруг стало неживое и голое. Встретились на развалинах два солдата воюющих армий, но никто из них не знал, с чего же началась опустошительная война</t>
        </is>
      </c>
      <c r="L6229" s="2" t="inlineStr">
        <is>
          <t>https://gosfilmofond.ru/films/254308/</t>
        </is>
      </c>
      <c r="M6229" s="2">
        <f>HYPERLINK("https://ru.wikipedia.org/w/index.php?search=%D0%9A%D0%B0%D0%BF%D0%BB%D1%8F%20%D0%BC%D0%B5%D0%B4%D0%B0%201968%20%D1%84%D0%B8%D0%BB%D1%8C%D0%BC","искать")</f>
        <v/>
      </c>
      <c r="N6229" s="3" t="n"/>
      <c r="O6229" s="2" t="n"/>
      <c r="P6229" s="2" t="n"/>
    </row>
    <row r="6230">
      <c r="A6230" s="2" t="n">
        <v>6229</v>
      </c>
      <c r="B6230" s="2" t="inlineStr"/>
      <c r="C6230" s="2" t="n">
        <v>8970</v>
      </c>
      <c r="D6230" s="3" t="inlineStr">
        <is>
          <t>Право на женщину</t>
        </is>
      </c>
      <c r="E6230" s="2" t="n">
        <v>1930</v>
      </c>
      <c r="F6230" s="2" t="inlineStr">
        <is>
          <t>кинофильм</t>
        </is>
      </c>
      <c r="G6230" s="2" t="n"/>
      <c r="H6230" s="2" t="n">
        <v>518</v>
      </c>
      <c r="I6230" s="2" t="inlineStr"/>
      <c r="J6230" s="2" t="inlineStr"/>
      <c r="K6230" s="3" t="inlineStr">
        <is>
          <t>Героиня фильма поступает в медицинский вуз, но её муж, со старыми патриархальными взглядами, запрещает ей учиться. Она забирает ребёнка и уходит из дома. Активная студенческая жизнь оказывается непростой с ребёнком на руках. В вузе её обходят со стипендией, ссылаясь на то, что она может требовать алименты от мужа, чего она делать категорически не хочет. Вопрос ставится на партсобрании, где ей назначается стипендия. Её ребёнок заболевает и умирает, и она решает посвятить свою жизнь спасению детей — стать хирургом.</t>
        </is>
      </c>
      <c r="L6230" s="2" t="inlineStr">
        <is>
          <t>https://ru.wikipedia.org/w/index.php?title=%D0%9F%D1%80%D0%B0%D0%B2%D0%BE_%D0%BD%D0%B0_%D0%B6%D0%B5%D0%BD%D1%89%D0%B8%D0%BD%D1%83&amp;oldid=151523102</t>
        </is>
      </c>
      <c r="M6230" s="2">
        <f>HYPERLINK("https://ru.wikipedia.org/w/index.php?search=%D0%9F%D1%80%D0%B0%D0%B2%D0%BE%20%D0%BD%D0%B0%20%D0%B6%D0%B5%D0%BD%D1%89%D0%B8%D0%BD%D1%83%201930%20%D1%84%D0%B8%D0%BB%D1%8C%D0%BC","искать")</f>
        <v/>
      </c>
      <c r="N6230" s="3" t="n"/>
      <c r="O6230" s="2" t="n"/>
      <c r="P6230" s="2" t="n"/>
    </row>
    <row r="6231">
      <c r="A6231" s="2" t="n">
        <v>6230</v>
      </c>
      <c r="B6231" s="2" t="inlineStr"/>
      <c r="C6231" s="2" t="n">
        <v>11591</v>
      </c>
      <c r="D6231" s="3" t="inlineStr">
        <is>
          <t>Дядя Миша</t>
        </is>
      </c>
      <c r="E6231" s="2" t="n">
        <v>1970</v>
      </c>
      <c r="F6231" s="2" t="inlineStr">
        <is>
          <t>мультфильм</t>
        </is>
      </c>
      <c r="G6231" s="2" t="inlineStr">
        <is>
          <t>Союзмультфильм</t>
        </is>
      </c>
      <c r="H6231" s="2" t="n">
        <v>518</v>
      </c>
      <c r="I6231" s="2" t="inlineStr"/>
      <c r="J6231" s="2" t="inlineStr"/>
      <c r="K6231" s="3" t="inlineStr">
        <is>
          <t>Живет в лесу увалень-медведь, готовится к зимовке. А кругом всякое зверье запасы на зиму готовит. Решает и медведь запасы сделать, но никак не может закончить начатое, каждый раз что-нибудь отвлекает его. Стал с зайцем морковь дергать - ежик позвал за грибами, пошел грибы собирать - белка предложила орехов, выдернул ореховое дерево, понес в берлогу - кот рыбу удить позвал, дремал, дремал медведь с удочкой - лисица пригласила в деревню кур воровать...Так и остался медведь без запасов и с изодранной собаками шкурой</t>
        </is>
      </c>
      <c r="L6231" s="2" t="inlineStr">
        <is>
          <t>https://gosfilmofond.ru/films/247048/</t>
        </is>
      </c>
      <c r="M6231" s="2">
        <f>HYPERLINK("https://ru.wikipedia.org/w/index.php?search=%D0%94%D1%8F%D0%B4%D1%8F%20%D0%9C%D0%B8%D1%88%D0%B0%201970%20%D1%84%D0%B8%D0%BB%D1%8C%D0%BC","искать")</f>
        <v/>
      </c>
      <c r="N6231" s="3" t="n"/>
      <c r="O6231" s="2" t="n"/>
      <c r="P6231" s="2" t="n"/>
    </row>
    <row r="6232">
      <c r="A6232" s="2" t="n">
        <v>6231</v>
      </c>
      <c r="B6232" s="2" t="inlineStr"/>
      <c r="C6232" s="2" t="n">
        <v>10746</v>
      </c>
      <c r="D6232" s="3" t="inlineStr">
        <is>
          <t>Игра</t>
        </is>
      </c>
      <c r="E6232" s="2" t="n">
        <v>1978</v>
      </c>
      <c r="F6232" s="2" t="inlineStr">
        <is>
          <t>фильм-спектакль</t>
        </is>
      </c>
      <c r="G6232" s="2" t="inlineStr">
        <is>
          <t>Главная редакция литературно-драматических программ</t>
        </is>
      </c>
      <c r="H6232" s="2" t="n">
        <v>519</v>
      </c>
      <c r="I6232" s="2" t="inlineStr"/>
      <c r="J6232" s="2" t="inlineStr"/>
      <c r="K6232" s="3" t="inlineStr">
        <is>
          <t>Интеллектуальный детектив для двух актеров по пьесе Энтони Шаффера.
Автор детективных романов Эндрю Уайк приглашает к себе в гости любовника своей жены Мило Тиндла. По прибытии в особняк Тиндл получает неожиданное предложение — ограбить сейф Уайка и тем самым обеспечить материально свой будущий брак с бывшей супругой писателя. Когда Тиндл соглашается, Уайк достаёт пистолет… Вскоре в доме Уайка появляется человек, заявляющий, что он — инспектор полиции Допплер, ведущий следствие по делу об исчезновении Мило Тиндла.</t>
        </is>
      </c>
      <c r="L6232" s="2" t="inlineStr">
        <is>
          <t>https://www.kino-teatr.ru/teatr/movie/137261/annot/</t>
        </is>
      </c>
      <c r="M6232" s="2">
        <f>HYPERLINK("https://ru.wikipedia.org/w/index.php?search=%D0%98%D0%B3%D1%80%D0%B0%201978%20%D1%84%D0%B8%D0%BB%D1%8C%D0%BC","искать")</f>
        <v/>
      </c>
      <c r="N6232" s="3" t="n"/>
      <c r="O6232" s="2" t="n"/>
      <c r="P6232" s="2" t="n"/>
    </row>
    <row r="6233">
      <c r="A6233" s="2" t="n">
        <v>6232</v>
      </c>
      <c r="B6233" s="2" t="inlineStr"/>
      <c r="C6233" s="2" t="n">
        <v>12854</v>
      </c>
      <c r="D6233" s="3" t="inlineStr">
        <is>
          <t>Человек и лев (1969)</t>
        </is>
      </c>
      <c r="E6233" s="2" t="n">
        <v>1969</v>
      </c>
      <c r="F6233" s="2" t="inlineStr">
        <is>
          <t>мультфильм</t>
        </is>
      </c>
      <c r="G6233" s="2" t="inlineStr">
        <is>
          <t>ГРУЗИЯ-ФИЛЬМ - АО</t>
        </is>
      </c>
      <c r="H6233" s="2" t="n">
        <v>519</v>
      </c>
      <c r="I6233" s="2" t="inlineStr"/>
      <c r="J6233" s="2" t="inlineStr"/>
      <c r="K6233" s="3" t="inlineStr">
        <is>
          <t>По одноименному произведению И.Гогебашвили.
Римскому рабу удается бежать с невольничьего корабля. Он скрывается в пещере, где встречает раненого Льва. Человек помогает излечиться царю зверей. Надсмотрщики вылавливают Раба, и он становится гладиатором. Однажды на арене он вступает в бой с разъяренным Львом. Публика ожидает, что Лев разорвет гладиатора, но зверь вдруг усмиряется и лижет ему руку - оказывается Раб встретил своего давнего друга. Император дарует обоим свободу, свободный человек и зверь уходят из Рима.</t>
        </is>
      </c>
      <c r="L6233" s="2" t="inlineStr">
        <is>
          <t>https://gosfilmofond.ru/films/254779/</t>
        </is>
      </c>
      <c r="M6233" s="2">
        <f>HYPERLINK("https://ru.wikipedia.org/w/index.php?search=%D0%A7%D0%B5%D0%BB%D0%BE%D0%B2%D0%B5%D0%BA%20%D0%B8%20%D0%BB%D0%B5%D0%B2%20%281969%29%201969%20%D1%84%D0%B8%D0%BB%D1%8C%D0%BC","искать")</f>
        <v/>
      </c>
      <c r="N6233" s="3" t="n"/>
      <c r="O6233" s="2" t="n"/>
      <c r="P6233" s="2" t="n"/>
    </row>
    <row r="6234">
      <c r="A6234" s="2" t="n">
        <v>6233</v>
      </c>
      <c r="B6234" s="2" t="inlineStr"/>
      <c r="C6234" s="2" t="n">
        <v>11190</v>
      </c>
      <c r="D6234" s="3" t="inlineStr">
        <is>
          <t>Буря</t>
        </is>
      </c>
      <c r="E6234" s="2" t="n">
        <v>1988</v>
      </c>
      <c r="F6234" s="2" t="inlineStr">
        <is>
          <t>фильм-спектакль</t>
        </is>
      </c>
      <c r="G6234" s="2" t="inlineStr">
        <is>
          <t>Главная редакция литературно-драматических программ ЦТ</t>
        </is>
      </c>
      <c r="H6234" s="2" t="n">
        <v>521</v>
      </c>
      <c r="I6234" s="2" t="inlineStr"/>
      <c r="J6234" s="2" t="inlineStr"/>
      <c r="K6234" s="3" t="inlineStr">
        <is>
          <t>По одноименному произведению У.Шекспира и опере Г.Перселла "Буря, или Зачарованный остров".
...Злой дух Калибан пытается противостоять миру Добра, который создает вокруг себя Просперо. Двойной образ - Просперо-Ариэль - две человеческие души, стремящиеся соединить разобщенных враждой людей...
Версия спектакля, поставленного А. Эфросом в 1983 году в рамках Декабрьских вечеров в Музее изобразительных искусств им. А. С. Пушкина и специально восстановленного для телевизионной записи в 1988 году к годовщине смерти Эфроса.</t>
        </is>
      </c>
      <c r="L6234" s="2" t="inlineStr">
        <is>
          <t>https://www.kino-teatr.ru/teatr/movie/81502/annot/</t>
        </is>
      </c>
      <c r="M6234" s="2">
        <f>HYPERLINK("https://ru.wikipedia.org/w/index.php?search=%D0%91%D1%83%D1%80%D1%8F%201988%20%D1%84%D0%B8%D0%BB%D1%8C%D0%BC","искать")</f>
        <v/>
      </c>
      <c r="N6234" s="3" t="n"/>
      <c r="O6234" s="2" t="n"/>
      <c r="P6234" s="2" t="n"/>
    </row>
    <row r="6235">
      <c r="A6235" s="2" t="n">
        <v>6234</v>
      </c>
      <c r="B6235" s="2" t="inlineStr"/>
      <c r="C6235" s="2" t="n">
        <v>7695</v>
      </c>
      <c r="D6235" s="3" t="inlineStr">
        <is>
          <t>Кавказская повесть</t>
        </is>
      </c>
      <c r="E6235" s="2" t="n">
        <v>1978</v>
      </c>
      <c r="F6235" s="2" t="inlineStr">
        <is>
          <t>телефильм</t>
        </is>
      </c>
      <c r="G6235" s="2" t="n"/>
      <c r="H6235" s="2" t="n">
        <v>522</v>
      </c>
      <c r="I6235" s="2" t="inlineStr"/>
      <c r="J6235" s="2" t="inlineStr"/>
      <c r="K6235" s="3" t="inlineStr">
        <is>
          <t>Дворянин Дмитрий Оленин к двадцати четырём годам промотавший половину состояния, нигде не кончивший курса и нигде не служивший, понимает, что дальше так жить нельзя, не зная на что же направить силу молодости — поступает юнкером в пехотный полк на Кавказе, надеясь переменить жизнь…
За поступками русского офицера, его отношениями с дедом Ерошкой, Лукашкой, любовью к Марьяне в фильме постоянно следит закадровый голос: это размышления писателя о жизни, человеческом бытии, о том, что на этой земле ты собой представляешь.</t>
        </is>
      </c>
      <c r="L6235" s="2" t="inlineStr">
        <is>
          <t>https://ru.wikipedia.org/w/index.php?title=%D0%9A%D0%B0%D0%B2%D0%BA%D0%B0%D0%B7%D1%81%D0%BA%D0%B0%D1%8F_%D0%BF%D0%BE%D0%B2%D0%B5%D1%81%D1%82%D1%8C&amp;oldid=140242042</t>
        </is>
      </c>
      <c r="M6235" s="2">
        <f>HYPERLINK("https://ru.wikipedia.org/w/index.php?search=%D0%9A%D0%B0%D0%B2%D0%BA%D0%B0%D0%B7%D1%81%D0%BA%D0%B0%D1%8F%20%D0%BF%D0%BE%D0%B2%D0%B5%D1%81%D1%82%D1%8C%201978%20%D1%84%D0%B8%D0%BB%D1%8C%D0%BC","искать")</f>
        <v/>
      </c>
      <c r="N6235" s="3" t="n"/>
      <c r="O6235" s="2" t="n"/>
      <c r="P6235" s="2" t="n"/>
    </row>
    <row r="6236">
      <c r="A6236" s="2" t="n">
        <v>6235</v>
      </c>
      <c r="B6236" s="2" t="inlineStr"/>
      <c r="C6236" s="2" t="n">
        <v>10740</v>
      </c>
      <c r="D6236" s="3" t="inlineStr">
        <is>
          <t>День приезда – день отъезда</t>
        </is>
      </c>
      <c r="E6236" s="2" t="n">
        <v>1978</v>
      </c>
      <c r="F6236" s="2" t="inlineStr">
        <is>
          <t>фильм-спектакль</t>
        </is>
      </c>
      <c r="G6236" s="2" t="inlineStr">
        <is>
          <t>ЦТ</t>
        </is>
      </c>
      <c r="H6236" s="2" t="n">
        <v>522</v>
      </c>
      <c r="I6236" s="2" t="inlineStr"/>
      <c r="J6236" s="2" t="inlineStr"/>
      <c r="K6236" s="3" t="inlineStr">
        <is>
          <t>Телеспектакль по одноименной пьесе В.Черных в постановке Государственного академического театра имени Моссовета.
Психологи Петров и Бурцева приезжают из Москвы в небольшой город по просьбе директора завода, чтобы выяснить причины сложившейся на предприятии напряженной обстановки, участившихся увольнений рабочих. Ученым удается выяснить подлинные причины создавшейся ситуации, которые стали предметом бурных обсуждений на заводе. Решено создать собственную социологическую лабораторию, а возглавить ее предложено Петрову.</t>
        </is>
      </c>
      <c r="L6236" s="2" t="inlineStr">
        <is>
          <t>https://www.kino-teatr.ru/teatr/movie/1748/annot/</t>
        </is>
      </c>
      <c r="M6236" s="2">
        <f>HYPERLINK("https://ru.wikipedia.org/w/index.php?search=%D0%94%D0%B5%D0%BD%D1%8C%20%D0%BF%D1%80%D0%B8%D0%B5%D0%B7%D0%B4%D0%B0%20%E2%80%93%20%D0%B4%D0%B5%D0%BD%D1%8C%20%D0%BE%D1%82%D1%8A%D0%B5%D0%B7%D0%B4%D0%B0%201978%20%D1%84%D0%B8%D0%BB%D1%8C%D0%BC","искать")</f>
        <v/>
      </c>
      <c r="N6236" s="3" t="n"/>
      <c r="O6236" s="2" t="n"/>
      <c r="P6236" s="2" t="n"/>
    </row>
    <row r="6237">
      <c r="A6237" s="2" t="n">
        <v>6236</v>
      </c>
      <c r="B6237" s="2" t="inlineStr"/>
      <c r="C6237" s="2" t="n">
        <v>8092</v>
      </c>
      <c r="D6237" s="3" t="inlineStr">
        <is>
          <t>Перевод с английского</t>
        </is>
      </c>
      <c r="E6237" s="2" t="n">
        <v>1972</v>
      </c>
      <c r="F6237" s="2" t="inlineStr">
        <is>
          <t>телефильм</t>
        </is>
      </c>
      <c r="G6237" s="2" t="n"/>
      <c r="H6237" s="2" t="n">
        <v>523</v>
      </c>
      <c r="I6237" s="2" t="inlineStr"/>
      <c r="J6237" s="2" t="inlineStr"/>
      <c r="K6237" s="3" t="inlineStr">
        <is>
          <t>Выпускник-практикант пединститута, учитель математики, заменяет классного руководителя шестого класса — опытную школьную учительницу английского. Но класс оказывается «трудным», и «Числитель» — такое прозвище новому классному руководителю дали ребята — решает не только профессиональные задачи, но и проблемы между ребятами в классе. И оказывается, что человеческие отношения куда сложнее математики… Он тоже учится — говорить с учениками на «их языке» и понимать ребят так, как их понимает опытная учительница английского.</t>
        </is>
      </c>
      <c r="L6237" s="2" t="inlineStr">
        <is>
          <t>https://ru.wikipedia.org/w/index.php?title=%D0%9F%D0%B5%D1%80%D0%B5%D0%B2%D0%BE%D0%B4_%D1%81_%D0%B0%D0%BD%D0%B3%D0%BB%D0%B8%D0%B9%D1%81%D0%BA%D0%BE%D0%B3%D0%BE&amp;oldid=149105748</t>
        </is>
      </c>
      <c r="M6237" s="2">
        <f>HYPERLINK("https://ru.wikipedia.org/w/index.php?search=%D0%9F%D0%B5%D1%80%D0%B5%D0%B2%D0%BE%D0%B4%20%D1%81%20%D0%B0%D0%BD%D0%B3%D0%BB%D0%B8%D0%B9%D1%81%D0%BA%D0%BE%D0%B3%D0%BE%201972%20%D1%84%D0%B8%D0%BB%D1%8C%D0%BC","искать")</f>
        <v/>
      </c>
      <c r="N6237" s="3" t="n"/>
      <c r="O6237" s="2" t="n"/>
      <c r="P6237" s="2" t="n"/>
    </row>
    <row r="6238">
      <c r="A6238" s="2" t="n">
        <v>6237</v>
      </c>
      <c r="B6238" s="2" t="inlineStr"/>
      <c r="C6238" s="2" t="n">
        <v>11251</v>
      </c>
      <c r="D6238" s="3" t="inlineStr">
        <is>
          <t>В ожидании Элизабет</t>
        </is>
      </c>
      <c r="E6238" s="2" t="n">
        <v>1989</v>
      </c>
      <c r="F6238" s="2" t="inlineStr">
        <is>
          <t>фильм-спектакль</t>
        </is>
      </c>
      <c r="G6238" s="2" t="inlineStr">
        <is>
          <t>Лентелефильм, Русское видео-фильм</t>
        </is>
      </c>
      <c r="H6238" s="2" t="n">
        <v>523</v>
      </c>
      <c r="I6238" s="2" t="inlineStr"/>
      <c r="J6238" s="2" t="inlineStr"/>
      <c r="K6238" s="3" t="inlineStr">
        <is>
          <t>По мотивам произведений Робера Тома.
Муж заявляет о пропаже жены Элизабет. Подозрения комиссара полиции о том, что муж сам убил свою жену, оправдываются, – сообщение о грядущем наследстве заставляет мужа сознаться. Ситуация заходит в тупик и превращается в фарс, когда выясняется, что ни комиссар не сможет доказать вину преступника, ни муж не сможет получить наследство, без доказательства того, что его жена действительно мертва. Все весело хохочут. А как же Элизабет? Про нее все забыли. По мотивам произведений Р. Тома.</t>
        </is>
      </c>
      <c r="L6238" s="2" t="inlineStr">
        <is>
          <t>https://www.kino-teatr.ru/teatr/movie/754/annot/</t>
        </is>
      </c>
      <c r="M6238" s="2">
        <f>HYPERLINK("https://ru.wikipedia.org/w/index.php?search=%D0%92%20%D0%BE%D0%B6%D0%B8%D0%B4%D0%B0%D0%BD%D0%B8%D0%B8%20%D0%AD%D0%BB%D0%B8%D0%B7%D0%B0%D0%B1%D0%B5%D1%82%201989%20%D1%84%D0%B8%D0%BB%D1%8C%D0%BC","искать")</f>
        <v/>
      </c>
      <c r="N6238" s="3" t="n"/>
      <c r="O6238" s="2" t="n"/>
      <c r="P6238" s="2" t="n"/>
    </row>
    <row r="6239">
      <c r="A6239" s="2" t="n">
        <v>6238</v>
      </c>
      <c r="B6239" s="2" t="inlineStr"/>
      <c r="C6239" s="2" t="n">
        <v>11455</v>
      </c>
      <c r="D6239" s="3" t="inlineStr">
        <is>
          <t>Приключения барона Мюнхаузена</t>
        </is>
      </c>
      <c r="E6239" s="2" t="n">
        <v>1967</v>
      </c>
      <c r="F6239" s="2" t="inlineStr">
        <is>
          <t>мультфильм</t>
        </is>
      </c>
      <c r="G6239" s="2" t="inlineStr">
        <is>
          <t>Союзмультфильм</t>
        </is>
      </c>
      <c r="H6239" s="2" t="n">
        <v>524</v>
      </c>
      <c r="I6239" s="2" t="inlineStr"/>
      <c r="J6239" s="2" t="inlineStr"/>
      <c r="K6239" s="3" t="inlineStr">
        <is>
          <t>По мотивам одноименной книги Э.Распе. Едет барон Мюнхаузен по России верхом на коне, спасает женщину, преследуемую бешеной собакой. Его шуба, покусанная собакой, взбесилась. Выстрелом из пистолета барон убивает шубу. Свой путь он продолжает на утках. Сорвавшись, попадает в трубу, а оттуда на сковородку, куда, кстати, падают и утки. На аудиенции с русским царем барон передает ему письмо от прусского короля. Царь награждает его медалью. И отправляется Мюхгаузен на русско-турецкий фронт, где совершает свои новые "подвиги"</t>
        </is>
      </c>
      <c r="L6239" s="2" t="inlineStr">
        <is>
          <t>https://gosfilmofond.ru/films/254281/</t>
        </is>
      </c>
      <c r="M6239" s="2">
        <f>HYPERLINK("https://ru.wikipedia.org/w/index.php?search=%D0%9F%D1%80%D0%B8%D0%BA%D0%BB%D1%8E%D1%87%D0%B5%D0%BD%D0%B8%D1%8F%20%D0%B1%D0%B0%D1%80%D0%BE%D0%BD%D0%B0%20%D0%9C%D1%8E%D0%BD%D1%85%D0%B0%D1%83%D0%B7%D0%B5%D0%BD%D0%B0%201967%20%D1%84%D0%B8%D0%BB%D1%8C%D0%BC","искать")</f>
        <v/>
      </c>
      <c r="N6239" s="3" t="n"/>
      <c r="O6239" s="2" t="n"/>
      <c r="P6239" s="2" t="n"/>
    </row>
    <row r="6240">
      <c r="A6240" s="2" t="n">
        <v>6239</v>
      </c>
      <c r="B6240" s="2" t="inlineStr"/>
      <c r="C6240" s="2" t="n">
        <v>10586</v>
      </c>
      <c r="D6240" s="3" t="inlineStr">
        <is>
          <t>Птицы нашей молодости</t>
        </is>
      </c>
      <c r="E6240" s="2" t="n">
        <v>1974</v>
      </c>
      <c r="F6240" s="2" t="inlineStr">
        <is>
          <t>фильм-спектакль</t>
        </is>
      </c>
      <c r="G6240" s="2" t="n"/>
      <c r="H6240" s="2" t="n">
        <v>525</v>
      </c>
      <c r="I6240" s="2" t="inlineStr"/>
      <c r="J6240" s="2" t="inlineStr"/>
      <c r="K6240" s="3" t="inlineStr">
        <is>
          <t>Пьеса Иона Друцэ «Птицы нашей молодости» шла во многих театрах. И следует ее признать одной из наиболее значительных среди произведений современных драматургов. Премьера в Малом театре состоялась в 1972 году.
На краю молдавского села живет старая мудрая и бесконечно одинокая тетушка Руца. Она всегда стремится помочь односельчанам, подбодрить их, дать им полезный совет. Нелегко было ей простить давнюю обиду, но она находит в себе силы забыть ее и навещает умирающего родственника, чтобы облегчить последние часы его жизни.</t>
        </is>
      </c>
      <c r="L6240" s="2" t="inlineStr">
        <is>
          <t>https://www.kino-teatr.ru/teatr/movie/82102/annot/</t>
        </is>
      </c>
      <c r="M6240" s="2">
        <f>HYPERLINK("https://ru.wikipedia.org/w/index.php?search=%D0%9F%D1%82%D0%B8%D1%86%D1%8B%20%D0%BD%D0%B0%D1%88%D0%B5%D0%B9%20%D0%BC%D0%BE%D0%BB%D0%BE%D0%B4%D0%BE%D1%81%D1%82%D0%B8%201974%20%D1%84%D0%B8%D0%BB%D1%8C%D0%BC","искать")</f>
        <v/>
      </c>
      <c r="N6240" s="3" t="n"/>
      <c r="O6240" s="2" t="n"/>
      <c r="P6240" s="2" t="n"/>
    </row>
    <row r="6241">
      <c r="A6241" s="2" t="n">
        <v>6240</v>
      </c>
      <c r="B6241" s="2" t="inlineStr"/>
      <c r="C6241" s="2" t="n">
        <v>7305</v>
      </c>
      <c r="D6241" s="3" t="inlineStr">
        <is>
          <t>Вальс</t>
        </is>
      </c>
      <c r="E6241" s="2" t="n">
        <v>1969</v>
      </c>
      <c r="F6241" s="2" t="inlineStr">
        <is>
          <t>телефильм</t>
        </is>
      </c>
      <c r="G6241" s="2" t="n"/>
      <c r="H6241" s="2" t="n">
        <v>526</v>
      </c>
      <c r="I6241" s="2" t="inlineStr"/>
      <c r="J6241" s="2" t="inlineStr"/>
      <c r="K6241" s="3" t="inlineStr">
        <is>
          <t>Фильм о городе-герое Ленинграде, о его защитниках и жителях, о драматических буднях в дни блокады города немецко-фашистскими войсками. На примере одной коммунальной квартиры рассказывается, с чем приходилось сталкиваться людям во время осады и как трагедия сплотила жителей города.
Ленинградская семья забирает мальчика Петю к себе после того, как его мать умирает. Его младший брат исчезает. Затем Петя уезжает работать на завод, где находит своего младшего брата Вову, которого он опекает и старается заменить ему родителей.</t>
        </is>
      </c>
      <c r="L6241" s="2" t="inlineStr">
        <is>
          <t>https://ru.wikipedia.org/w/index.php?title=%D0%92%D0%B0%D0%BB%D1%8C%D1%81_%28%D1%84%D0%B8%D0%BB%D1%8C%D0%BC%2C_1969%29&amp;oldid=153700742</t>
        </is>
      </c>
      <c r="M6241" s="2">
        <f>HYPERLINK("https://ru.wikipedia.org/w/index.php?search=%D0%92%D0%B0%D0%BB%D1%8C%D1%81%201969%20%D1%84%D0%B8%D0%BB%D1%8C%D0%BC","искать")</f>
        <v/>
      </c>
      <c r="N6241" s="3" t="n"/>
      <c r="O6241" s="2" t="n"/>
      <c r="P6241" s="2" t="n"/>
    </row>
    <row r="6242">
      <c r="A6242" s="2" t="n">
        <v>6241</v>
      </c>
      <c r="B6242" s="2" t="inlineStr"/>
      <c r="C6242" s="2" t="n">
        <v>7328</v>
      </c>
      <c r="D6242" s="3" t="inlineStr">
        <is>
          <t>Весна двадцать девятого</t>
        </is>
      </c>
      <c r="E6242" s="2" t="n">
        <v>1975</v>
      </c>
      <c r="F6242" s="2" t="inlineStr">
        <is>
          <t>телефильм</t>
        </is>
      </c>
      <c r="G6242" s="2" t="inlineStr">
        <is>
          <t>Одесская к/с</t>
        </is>
      </c>
      <c r="H6242" s="2" t="n">
        <v>526</v>
      </c>
      <c r="I6242" s="2" t="inlineStr"/>
      <c r="J6242" s="2" t="inlineStr"/>
      <c r="K6242" s="3" t="inlineStr">
        <is>
          <t>Действие фильма происходит в 1929 в годы первой пятилетки. Полным ходом идёт сооружение одного из первых промышленных объектов, возведённых по планам ускоренной индустриализации СССР — Сталинградского тракторного завода. Строительство тракторного завода осуществлялось с привлечением специалистов из западных стран, в первую очередь США.
Герой фильма — руководитель строительства завода Григорий Гай, человек неиссякаемой энергии, беззаветно преданный делу, сумевший сплотить коллектив для досрочного завершения строительства.</t>
        </is>
      </c>
      <c r="L6242" s="2" t="inlineStr">
        <is>
          <t>https://ru.wikipedia.org/w/index.php?title=%D0%92%D0%B5%D1%81%D0%BD%D0%B0_%D0%B4%D0%B2%D0%B0%D0%B4%D1%86%D0%B0%D1%82%D1%8C_%D0%B4%D0%B5%D0%B2%D1%8F%D1%82%D0%BE%D0%B3%D0%BE&amp;oldid=154692696</t>
        </is>
      </c>
      <c r="M6242" s="2">
        <f>HYPERLINK("https://ru.wikipedia.org/w/index.php?search=%D0%92%D0%B5%D1%81%D0%BD%D0%B0%20%D0%B4%D0%B2%D0%B0%D0%B4%D1%86%D0%B0%D1%82%D1%8C%20%D0%B4%D0%B5%D0%B2%D1%8F%D1%82%D0%BE%D0%B3%D0%BE%201975%20%D1%84%D0%B8%D0%BB%D1%8C%D0%BC","искать")</f>
        <v/>
      </c>
      <c r="N6242" s="3" t="n"/>
      <c r="O6242" s="2" t="n"/>
      <c r="P6242" s="2" t="n"/>
    </row>
    <row r="6243">
      <c r="A6243" s="2" t="n">
        <v>6242</v>
      </c>
      <c r="B6243" s="2" t="inlineStr"/>
      <c r="C6243" s="2" t="n">
        <v>7978</v>
      </c>
      <c r="D6243" s="3" t="inlineStr">
        <is>
          <t>Неизвестная...</t>
        </is>
      </c>
      <c r="E6243" s="2" t="n">
        <v>1966</v>
      </c>
      <c r="F6243" s="2" t="inlineStr">
        <is>
          <t>телефильм</t>
        </is>
      </c>
      <c r="G6243" s="2" t="n"/>
      <c r="H6243" s="2" t="n">
        <v>526</v>
      </c>
      <c r="I6243" s="2" t="inlineStr"/>
      <c r="J6243" s="2" t="inlineStr"/>
      <c r="K6243" s="3" t="inlineStr">
        <is>
          <t>Осень 1944 года. Войска Красной Армии вышли к Балтийскому побережью, обезглавив и без того едва боеспособные силы немецкого врага. Но противник не намерен сдаваться, и ищет всё новые возможности для выхода из-под удара и последующего ответа. В это время им в руки попадает Рута Янсон, советская разведчица, которую нацисты хотят использовать в своих целях. Однако со временем оказывается, что именно Янсон обводит вокруг пальца немецкое командование во главе с Дитцем и Краммлихом и смогла диктовать пленившим её свои условия.</t>
        </is>
      </c>
      <c r="L6243" s="2" t="inlineStr">
        <is>
          <t>https://ru.wikipedia.org/w/index.php?title=%D0%9D%D0%B5%D0%B8%D0%B7%D0%B2%D0%B5%D1%81%D1%82%D0%BD%D0%B0%D1%8F%E2%80%A6&amp;oldid=154700525</t>
        </is>
      </c>
      <c r="M6243" s="2">
        <f>HYPERLINK("https://ru.wikipedia.org/w/index.php?search=%D0%9D%D0%B5%D0%B8%D0%B7%D0%B2%D0%B5%D1%81%D1%82%D0%BD%D0%B0%D1%8F...%201966%20%D1%84%D0%B8%D0%BB%D1%8C%D0%BC","искать")</f>
        <v/>
      </c>
      <c r="N6243" s="3" t="n"/>
      <c r="O6243" s="2" t="n"/>
      <c r="P6243" s="2" t="n"/>
    </row>
    <row r="6244">
      <c r="A6244" s="2" t="n">
        <v>6243</v>
      </c>
      <c r="B6244" s="2" t="inlineStr"/>
      <c r="C6244" s="2" t="n">
        <v>9289</v>
      </c>
      <c r="D6244" s="3" t="inlineStr">
        <is>
          <t>Встретимся на Таити</t>
        </is>
      </c>
      <c r="E6244" s="2" t="n">
        <v>1991</v>
      </c>
      <c r="F6244" s="2" t="inlineStr">
        <is>
          <t>кинофильм</t>
        </is>
      </c>
      <c r="G6244" s="2" t="n"/>
      <c r="H6244" s="2" t="n">
        <v>527</v>
      </c>
      <c r="I6244" s="2" t="inlineStr"/>
      <c r="J6244" s="2" t="inlineStr"/>
      <c r="K6244" s="3" t="inlineStr">
        <is>
          <t>Весёлая полукриминальная комедия о массажистке Жанне, бармене Максе, безработном астрономе Сандро и красавице Лене, вышедшей замуж за француза. Они молоды, веселы, талантливы, артистичны, и им нужно исполнить свою мечту — уехать на Таити. Однако для столь дальнего путешествия нужна весьма приличная сумма денег. И молодым авантюристам предстоит во что бы то ни стало достать денег. Невероятные, остроумные авантюры по добыванию денег, мошенники и обманутые, соблазнённые мужчины и покинутые женщины, а также выстрелы и погони.</t>
        </is>
      </c>
      <c r="L6244" s="2" t="inlineStr">
        <is>
          <t>https://ru.wikipedia.org/w/index.php?title=%D0%92%D1%81%D1%82%D1%80%D0%B5%D1%82%D0%B8%D0%BC%D1%81%D1%8F_%D0%BD%D0%B0_%D0%A2%D0%B0%D0%B8%D1%82%D0%B8&amp;oldid=153233500</t>
        </is>
      </c>
      <c r="M6244" s="2">
        <f>HYPERLINK("https://ru.wikipedia.org/w/index.php?search=%D0%92%D1%81%D1%82%D1%80%D0%B5%D1%82%D0%B8%D0%BC%D1%81%D1%8F%20%D0%BD%D0%B0%20%D0%A2%D0%B0%D0%B8%D1%82%D0%B8%201991%20%D1%84%D0%B8%D0%BB%D1%8C%D0%BC","искать")</f>
        <v/>
      </c>
      <c r="N6244" s="3" t="n"/>
      <c r="O6244" s="2" t="n"/>
      <c r="P6244" s="2" t="n"/>
    </row>
    <row r="6245">
      <c r="A6245" s="2" t="n">
        <v>6244</v>
      </c>
      <c r="B6245" s="2" t="inlineStr"/>
      <c r="C6245" s="2" t="n">
        <v>10680</v>
      </c>
      <c r="D6245" s="3" t="inlineStr">
        <is>
          <t>Андрей Колобов</t>
        </is>
      </c>
      <c r="E6245" s="2" t="n">
        <v>1977</v>
      </c>
      <c r="F6245" s="2" t="inlineStr">
        <is>
          <t>фильм-спектакль</t>
        </is>
      </c>
      <c r="G6245" s="2" t="inlineStr">
        <is>
          <t>Центральное телевидение</t>
        </is>
      </c>
      <c r="H6245" s="2" t="n">
        <v>527</v>
      </c>
      <c r="I6245" s="2" t="inlineStr"/>
      <c r="J6245" s="2" t="inlineStr"/>
      <c r="K6245" s="3" t="inlineStr">
        <is>
          <t>По книге Николая Мирошниченко.
Вновь избранный секретарь горкома комсомола Андрей Колобов выдвигает лозунг духовного наставничества и сам первым стремится претворить его в жизнь. Он помогает одаренному парнишке Петьке Горохову найти верную трудовую дорогу в жизни, непосредственно участвует в атеистической пропаганде. В работе горкома комсомола Колобов утверждает творческий стиль работы с молодежью. Он завоевывает любовь и доверие комсомольцев города, и на отчетной конференции молодежь вновь избирает его первым секретарем.</t>
        </is>
      </c>
      <c r="L6245" s="2" t="inlineStr">
        <is>
          <t>https://www.kino-teatr.ru/teatr/movie/105853/annot/</t>
        </is>
      </c>
      <c r="M6245" s="2">
        <f>HYPERLINK("https://ru.wikipedia.org/w/index.php?search=%D0%90%D0%BD%D0%B4%D1%80%D0%B5%D0%B9%20%D0%9A%D0%BE%D0%BB%D0%BE%D0%B1%D0%BE%D0%B2%201977%20%D1%84%D0%B8%D0%BB%D1%8C%D0%BC","искать")</f>
        <v/>
      </c>
      <c r="N6245" s="3" t="n"/>
      <c r="O6245" s="2" t="n"/>
      <c r="P6245" s="2" t="n"/>
    </row>
    <row r="6246">
      <c r="A6246" s="2" t="n">
        <v>6245</v>
      </c>
      <c r="B6246" s="2" t="inlineStr"/>
      <c r="C6246" s="2" t="n">
        <v>8534</v>
      </c>
      <c r="D6246" s="3" t="inlineStr">
        <is>
          <t>Цена возврата</t>
        </is>
      </c>
      <c r="E6246" s="2" t="n">
        <v>1983</v>
      </c>
      <c r="F6246" s="2" t="inlineStr">
        <is>
          <t>телефильм</t>
        </is>
      </c>
      <c r="G6246" s="2" t="n"/>
      <c r="H6246" s="2" t="n">
        <v>528</v>
      </c>
      <c r="I6246" s="2" t="inlineStr"/>
      <c r="J6246" s="2" t="inlineStr"/>
      <c r="K6246" s="3" t="inlineStr">
        <is>
          <t>В основе сюжета — документальная повесть «Тысяча дней в стане врага» Левона Брутяна о крымском подпольщике Гайке Майдеросове.
Великая Отечественная война. В оккупированном нацистами Крыму подпольщик Гайк Майдеросов выполняя задание партизан устраивается на работу в комендатуру Феодосии и входит в доверие к немцам. Гайк узнаёт, что в руках немцев оказалась одна из знаменитых картин Айвазовского, которую собираются увезти в Германию, и получает из Центра необычное задание — спасти картину и переправить её на «Большую землю».</t>
        </is>
      </c>
      <c r="L6246" s="2" t="inlineStr">
        <is>
          <t>https://ru.wikipedia.org/w/index.php?title=%D0%A6%D0%B5%D0%BD%D0%B0_%D0%B2%D0%BE%D0%B7%D0%B2%D1%80%D0%B0%D1%82%D0%B0&amp;oldid=154711280</t>
        </is>
      </c>
      <c r="M6246" s="2">
        <f>HYPERLINK("https://ru.wikipedia.org/w/index.php?search=%D0%A6%D0%B5%D0%BD%D0%B0%20%D0%B2%D0%BE%D0%B7%D0%B2%D1%80%D0%B0%D1%82%D0%B0%201983%20%D1%84%D0%B8%D0%BB%D1%8C%D0%BC","искать")</f>
        <v/>
      </c>
      <c r="N6246" s="3" t="n"/>
      <c r="O6246" s="2" t="n"/>
      <c r="P6246" s="2" t="n"/>
    </row>
    <row r="6247">
      <c r="A6247" s="2" t="n">
        <v>6246</v>
      </c>
      <c r="B6247" s="2" t="inlineStr"/>
      <c r="C6247" s="2" t="n">
        <v>8549</v>
      </c>
      <c r="D6247" s="3" t="inlineStr">
        <is>
          <t>Человек на полустанке</t>
        </is>
      </c>
      <c r="E6247" s="2" t="n">
        <v>1983</v>
      </c>
      <c r="F6247" s="2" t="inlineStr">
        <is>
          <t>телефильм</t>
        </is>
      </c>
      <c r="G6247" s="2" t="n"/>
      <c r="H6247" s="2" t="n">
        <v>530</v>
      </c>
      <c r="I6247" s="2" t="inlineStr"/>
      <c r="J6247" s="2" t="inlineStr"/>
      <c r="K6247" s="3" t="inlineStr">
        <is>
          <t>Прохор Тимофеевич живёт один. Бывший фронтовик, некогда машинист, водивший составы со снарядами на фронт и по льду Ладожского озера в блокадный Ленинград, а узнав, что погибла его семья, ставший сапёром. Вернувшись с войны, он всю жизнь работает путевым обходчиком. Но старик не одинок, его, «Почётного железнодорожника», знает и уважает не только бригада ремонтников его перегона. И старик рад, когда к нему приезжает его приёмный сын, невестка и внук.
О железнодорожниках и человеческих отношениях между людьми разных поколений.</t>
        </is>
      </c>
      <c r="L6247" s="2" t="inlineStr">
        <is>
          <t>https://ru.wikipedia.org/w/index.php?title=%D0%A7%D0%B5%D0%BB%D0%BE%D0%B2%D0%B5%D0%BA_%D0%BD%D0%B0_%D0%BF%D0%BE%D0%BB%D1%83%D1%81%D1%82%D0%B0%D0%BD%D0%BA%D0%B5&amp;oldid=155643447</t>
        </is>
      </c>
      <c r="M6247" s="2">
        <f>HYPERLINK("https://ru.wikipedia.org/w/index.php?search=%D0%A7%D0%B5%D0%BB%D0%BE%D0%B2%D0%B5%D0%BA%20%D0%BD%D0%B0%20%D0%BF%D0%BE%D0%BB%D1%83%D1%81%D1%82%D0%B0%D0%BD%D0%BA%D0%B5%201983%20%D1%84%D0%B8%D0%BB%D1%8C%D0%BC","искать")</f>
        <v/>
      </c>
      <c r="N6247" s="3" t="n"/>
      <c r="O6247" s="2" t="n"/>
      <c r="P6247" s="2" t="n"/>
    </row>
    <row r="6248">
      <c r="A6248" s="2" t="n">
        <v>6247</v>
      </c>
      <c r="B6248" s="2" t="inlineStr"/>
      <c r="C6248" s="2" t="n">
        <v>8583</v>
      </c>
      <c r="D6248" s="3" t="inlineStr">
        <is>
          <t>Шофёр на один рейс</t>
        </is>
      </c>
      <c r="E6248" s="2" t="n">
        <v>1981</v>
      </c>
      <c r="F6248" s="2" t="inlineStr">
        <is>
          <t>телефильм</t>
        </is>
      </c>
      <c r="G6248" s="2" t="n"/>
      <c r="H6248" s="2" t="n">
        <v>531</v>
      </c>
      <c r="I6248" s="2" t="inlineStr"/>
      <c r="J6248" s="2" t="inlineStr"/>
      <c r="K6248" s="3" t="inlineStr">
        <is>
          <t>Крымчанка Софья Макаровна, руководитель комплексной бригады из 18 механизаторов, приезжает в Москву на запись телепередачи. Возвращаться приходится поздно ночью, когда транспорт уже не ходит. Подвозит её водитель поливальной машины Михаил Антонович Артюхин. Софья Макаровна, получившая премию, просит Михаила Антоновича посоветовать с покупкой автомобиля, который дарит своей дочери и зятю к свадьбе. Но так как никто авто не водит, Михаил Антонович становится водителем для «Волги» ГАЗ-22 (универсал) по дороге от Москвы до Крыма.</t>
        </is>
      </c>
      <c r="L6248" s="2" t="inlineStr">
        <is>
          <t>https://ru.wikipedia.org/w/index.php?title=%D0%A8%D0%BE%D1%84%D1%91%D1%80_%D0%BD%D0%B0_%D0%BE%D0%B4%D0%B8%D0%BD_%D1%80%D0%B5%D0%B9%D1%81&amp;oldid=155492882</t>
        </is>
      </c>
      <c r="M6248" s="2">
        <f>HYPERLINK("https://ru.wikipedia.org/w/index.php?search=%D0%A8%D0%BE%D1%84%D1%91%D1%80%20%D0%BD%D0%B0%20%D0%BE%D0%B4%D0%B8%D0%BD%20%D1%80%D0%B5%D0%B9%D1%81%201981%20%D1%84%D0%B8%D0%BB%D1%8C%D0%BC","искать")</f>
        <v/>
      </c>
      <c r="N6248" s="3" t="n"/>
      <c r="O6248" s="2" t="n"/>
      <c r="P6248" s="2" t="n"/>
    </row>
    <row r="6249">
      <c r="A6249" s="2" t="n">
        <v>6248</v>
      </c>
      <c r="B6249" s="2" t="inlineStr"/>
      <c r="C6249" s="2" t="n">
        <v>10381</v>
      </c>
      <c r="D6249" s="3" t="inlineStr">
        <is>
          <t>В крепостной деревне</t>
        </is>
      </c>
      <c r="E6249" s="2" t="n">
        <v>1971</v>
      </c>
      <c r="F6249" s="2" t="inlineStr">
        <is>
          <t>фильм-спектакль</t>
        </is>
      </c>
      <c r="G6249" s="2" t="n"/>
      <c r="H6249" s="2" t="n">
        <v>531</v>
      </c>
      <c r="I6249" s="2" t="inlineStr"/>
      <c r="J6249" s="2" t="inlineStr"/>
      <c r="K6249" s="3" t="inlineStr">
        <is>
          <t>По роману М.Салтыкова-Щедрина "Пошехонская старина. Житие Никанора Затрапезного, пошехонского дворянина".
Автор записок Никанор Затрапезный разворачивает целую портретную галерею образов членов семьи.
Это и старушки-приживалки, которых выгоняют из дома; тетки, отличающиеся редким самодурством; сестры-дурнушки, которых никак не могут выдать замуж...
Масса образов и фактов, возникающих в памяти Никанора, действуют на него подавляюще. Описав видения своего детства, он сомневается, что сможет продолжать свои записки в дальнейшем.</t>
        </is>
      </c>
      <c r="L6249" s="2" t="inlineStr">
        <is>
          <t>https://www.kino-teatr.ru/teatr/movie/81178/annot/</t>
        </is>
      </c>
      <c r="M6249" s="2">
        <f>HYPERLINK("https://ru.wikipedia.org/w/index.php?search=%D0%92%20%D0%BA%D1%80%D0%B5%D0%BF%D0%BE%D1%81%D1%82%D0%BD%D0%BE%D0%B9%20%D0%B4%D0%B5%D1%80%D0%B5%D0%B2%D0%BD%D0%B5%201971%20%D1%84%D0%B8%D0%BB%D1%8C%D0%BC","искать")</f>
        <v/>
      </c>
      <c r="N6249" s="3" t="n"/>
      <c r="O6249" s="2" t="n"/>
      <c r="P6249" s="2" t="n"/>
    </row>
    <row r="6250">
      <c r="A6250" s="2" t="n">
        <v>6249</v>
      </c>
      <c r="B6250" s="2" t="inlineStr"/>
      <c r="C6250" s="2" t="n">
        <v>11164</v>
      </c>
      <c r="D6250" s="3" t="inlineStr">
        <is>
          <t>Кресло</t>
        </is>
      </c>
      <c r="E6250" s="2" t="n">
        <v>1987</v>
      </c>
      <c r="F6250" s="2" t="inlineStr">
        <is>
          <t>фильм-спектакль</t>
        </is>
      </c>
      <c r="G6250" s="2" t="inlineStr">
        <is>
          <t>Главная редакция литературно-драматических программ ЦТ</t>
        </is>
      </c>
      <c r="H6250" s="2" t="n">
        <v>531</v>
      </c>
      <c r="I6250" s="2" t="inlineStr"/>
      <c r="J6250" s="2" t="inlineStr"/>
      <c r="K6250" s="3" t="inlineStr">
        <is>
          <t>Пьеса А.Марина по мотивам повести Ю.Полякова "ЧП районного масштаба" в постановке Московского театра-студии под руководством О.Табакова.
Вроде бы удачно "сложилась жизнь" первого секретаря райкома комсомола Шумилина - руководящая должность, семья, в перспективе - работа в райкоме партии. Но погром, учиненный в помещении райкома подростком Юрой Семеновым, которого два года назад Шумилин и его товарищи не приняли в комсомол, показал Шумилину, что не все так благополучно в его работе, да и личная жизнь оказалась на пороге краха.</t>
        </is>
      </c>
      <c r="L6250" s="2" t="inlineStr">
        <is>
          <t>https://www.kino-teatr.ru/teatr/movie/79826/annot/</t>
        </is>
      </c>
      <c r="M6250" s="2">
        <f>HYPERLINK("https://ru.wikipedia.org/w/index.php?search=%D0%9A%D1%80%D0%B5%D1%81%D0%BB%D0%BE%201987%20%D1%84%D0%B8%D0%BB%D1%8C%D0%BC","искать")</f>
        <v/>
      </c>
      <c r="N6250" s="3" t="n"/>
      <c r="O6250" s="2" t="n"/>
      <c r="P6250" s="2" t="n"/>
    </row>
    <row r="6251">
      <c r="A6251" s="2" t="n">
        <v>6250</v>
      </c>
      <c r="B6251" s="2" t="inlineStr"/>
      <c r="C6251" s="2" t="n">
        <v>11024</v>
      </c>
      <c r="D6251" s="3" t="inlineStr">
        <is>
          <t>Юнона и Авось</t>
        </is>
      </c>
      <c r="E6251" s="2" t="n">
        <v>1983</v>
      </c>
      <c r="F6251" s="2" t="inlineStr">
        <is>
          <t>фильм-спектакль</t>
        </is>
      </c>
      <c r="G6251" s="2" t="inlineStr">
        <is>
          <t>Главная редакция литературно-драматических программ ЦТ</t>
        </is>
      </c>
      <c r="H6251" s="2" t="n">
        <v>532</v>
      </c>
      <c r="I6251" s="2" t="inlineStr"/>
      <c r="J6251" s="2" t="inlineStr"/>
      <c r="K6251" s="3" t="inlineStr">
        <is>
          <t>Первая телевизионная версия спектакля «Юнона и Авось» Московского театра имени Ленинского комсомола.
1806 год. Ему - 45, ей - 15. Он из России, она из Америки. Он православный, она католичка. Они любят друг друга... Но судьба уготовила им тяжелое испытание...
Печальная история любви русского путешественника, графа Резанова к дочери испанского колониста, Кончитте, легла в основу сюжета "Юноны и Авось" - знаменитой культовой рок-оперы, ставшей хитом на следующий день после премьеры, и продолжающей собирать аншлаги спустя 20 лет!</t>
        </is>
      </c>
      <c r="L6251" s="2" t="inlineStr">
        <is>
          <t>https://www.kino-teatr.ru/teatr/movie/8138/annot/</t>
        </is>
      </c>
      <c r="M6251" s="2">
        <f>HYPERLINK("https://ru.wikipedia.org/w/index.php?search=%D0%AE%D0%BD%D0%BE%D0%BD%D0%B0%20%D0%B8%20%D0%90%D0%B2%D0%BE%D1%81%D1%8C%201983%20%D1%84%D0%B8%D0%BB%D1%8C%D0%BC","искать")</f>
        <v/>
      </c>
      <c r="N6251" s="3" t="n"/>
      <c r="O6251" s="2" t="n"/>
      <c r="P6251" s="2" t="n"/>
    </row>
    <row r="6252">
      <c r="A6252" s="2" t="n">
        <v>6251</v>
      </c>
      <c r="B6252" s="2" t="inlineStr"/>
      <c r="C6252" s="2" t="n">
        <v>13169</v>
      </c>
      <c r="D6252" s="3" t="inlineStr">
        <is>
          <t>Балкон</t>
        </is>
      </c>
      <c r="E6252" s="2" t="n">
        <v>1969</v>
      </c>
      <c r="F6252" s="2" t="inlineStr">
        <is>
          <t>мультфильм</t>
        </is>
      </c>
      <c r="G6252" s="2" t="inlineStr">
        <is>
          <t>УЗБЕКФИЛЬМ</t>
        </is>
      </c>
      <c r="H6252" s="2" t="n">
        <v>532</v>
      </c>
      <c r="I6252" s="2" t="inlineStr"/>
      <c r="J6252" s="2" t="inlineStr"/>
      <c r="K6252" s="3" t="inlineStr">
        <is>
          <t>Человек, живущий повседневной суетой, видит однажды на соседнем балконе девушку. С этого момента он часто выходит на балкон, ожидая ее появления. Чтобы оправдаться перед женой, он пытается сажать цветы, но в плохую землю, но ухаживать за ними ему не хочется. На балконе у девушки цветы тоже плохо растут. И тогда человек спускается к садоводу, приносит хорошей земли себе и девушке, сажает цветы. Они растут необыкновенно быстро. И во дворе человек сажает цветы; помочь ему выходит девушка, другие соседи и старый садовод с кетменем</t>
        </is>
      </c>
      <c r="L6252" s="2" t="inlineStr">
        <is>
          <t>https://gosfilmofond.ru/films/254730/</t>
        </is>
      </c>
      <c r="M6252" s="2">
        <f>HYPERLINK("https://ru.wikipedia.org/w/index.php?search=%D0%91%D0%B0%D0%BB%D0%BA%D0%BE%D0%BD%201969%20%D1%84%D0%B8%D0%BB%D1%8C%D0%BC","искать")</f>
        <v/>
      </c>
      <c r="N6252" s="3" t="n"/>
      <c r="O6252" s="2" t="n"/>
      <c r="P6252" s="2" t="n"/>
    </row>
    <row r="6253">
      <c r="A6253" s="2" t="n">
        <v>6252</v>
      </c>
      <c r="B6253" s="2" t="inlineStr"/>
      <c r="C6253" s="2" t="n">
        <v>7986</v>
      </c>
      <c r="D6253" s="3" t="inlineStr">
        <is>
          <t>Необыкновенные приключения Карика и Вали</t>
        </is>
      </c>
      <c r="E6253" s="2" t="n">
        <v>1987</v>
      </c>
      <c r="F6253" s="2" t="inlineStr">
        <is>
          <t>телефильм</t>
        </is>
      </c>
      <c r="G6253" s="2" t="n"/>
      <c r="H6253" s="2" t="n">
        <v>533</v>
      </c>
      <c r="I6253" s="2" t="inlineStr"/>
      <c r="J6253" s="2" t="inlineStr"/>
      <c r="K6253" s="3" t="inlineStr">
        <is>
          <t>Брат и сестра, Карик и Валя, попав в квартиру соседа, профессора Енотова, обнаруживают необычный эликсир, и выпив его, уменьшают себя до размеров насекомых, после чего оказываются в городском парке, который теперь для них полон опасностей.
В то время, как их ищут безутешные родители и милиция, профессор понимает, куда пропали дети, и сам, выпив эликсир, уменьшается и отправляется на их поиски. Встретившись с детьми, учёный ведёт детей к спасению, попутно рассказывая о жизни насекомых и других животных, объясняя основы экологии.</t>
        </is>
      </c>
      <c r="L6253" s="2" t="inlineStr">
        <is>
          <t>https://ru.wikipedia.org/w/index.php?title=%D0%9D%D0%B5%D0%BE%D0%B1%D1%8B%D0%BA%D0%BD%D0%BE%D0%B2%D0%B5%D0%BD%D0%BD%D1%8B%D0%B5_%D0%BF%D1%80%D0%B8%D0%BA%D0%BB%D1%8E%D1%87%D0%B5%D0%BD%D0%B8%D1%8F_%D0%9A%D0%B0%D1%80%D0%B8%D0%BA%D0%B0_%D0%B8_%D0%92%D0%B0%D0%BB%D0%B8_%28%D1%84%D0%B8%D0%BB%D1%8C%D0%BC%29&amp;oldid=146318903</t>
        </is>
      </c>
      <c r="M6253" s="2">
        <f>HYPERLINK("https://ru.wikipedia.org/w/index.php?search=%D0%9D%D0%B5%D0%BE%D0%B1%D1%8B%D0%BA%D0%BD%D0%BE%D0%B2%D0%B5%D0%BD%D0%BD%D1%8B%D0%B5%20%D0%BF%D1%80%D0%B8%D0%BA%D0%BB%D1%8E%D1%87%D0%B5%D0%BD%D0%B8%D1%8F%20%D0%9A%D0%B0%D1%80%D0%B8%D0%BA%D0%B0%20%D0%B8%20%D0%92%D0%B0%D0%BB%D0%B8%201987%20%D1%84%D0%B8%D0%BB%D1%8C%D0%BC","искать")</f>
        <v/>
      </c>
      <c r="N6253" s="3" t="n"/>
      <c r="O6253" s="2" t="n"/>
      <c r="P6253" s="2" t="n"/>
    </row>
    <row r="6254">
      <c r="A6254" s="2" t="n">
        <v>6253</v>
      </c>
      <c r="B6254" s="2" t="inlineStr"/>
      <c r="C6254" s="2" t="n">
        <v>9500</v>
      </c>
      <c r="D6254" s="3" t="inlineStr">
        <is>
          <t>Неизвестные страницы из жизни разведчика</t>
        </is>
      </c>
      <c r="E6254" s="2" t="n">
        <v>1990</v>
      </c>
      <c r="F6254" s="2" t="inlineStr">
        <is>
          <t>кинофильм</t>
        </is>
      </c>
      <c r="G6254" s="2" t="n"/>
      <c r="H6254" s="2" t="n">
        <v>534</v>
      </c>
      <c r="I6254" s="2" t="inlineStr"/>
      <c r="J6254" s="2" t="inlineStr"/>
      <c r="K6254" s="3" t="inlineStr">
        <is>
          <t>В годы предшествующие Великой Отечественной войне, советский разведчик заброшен на территорию довоенной Германии с целью проверки агентурной сети претерпевшей массовые провалы. Сеть провалена, но он высылает информацию о готовящемся нападении Германии на СССР. Однако в советских органах госбезопасности ему не верят, хотят его ликвидировать и дают ему задание лично убедиться в надёжности последней явки. Он выполняет задание и хотя с ним прекращаются контакты, он продолжает действовать дальше самостоятельно без поддержки «центра».</t>
        </is>
      </c>
      <c r="L6254" s="2" t="inlineStr">
        <is>
          <t>https://ru.wikipedia.org/w/index.php?title=%D0%9D%D0%B5%D0%B8%D0%B7%D0%B2%D0%B5%D1%81%D1%82%D0%BD%D1%8B%D0%B5_%D1%81%D1%82%D1%80%D0%B0%D0%BD%D0%B8%D1%86%D1%8B_%D0%B8%D0%B7_%D0%B6%D0%B8%D0%B7%D0%BD%D0%B8_%D1%80%D0%B0%D0%B7%D0%B2%D0%B5%D0%B4%D1%87%D0%B8%D0%BA%D0%B0&amp;oldid=154475182</t>
        </is>
      </c>
      <c r="M6254" s="2">
        <f>HYPERLINK("https://ru.wikipedia.org/w/index.php?search=%D0%9D%D0%B5%D0%B8%D0%B7%D0%B2%D0%B5%D1%81%D1%82%D0%BD%D1%8B%D0%B5%20%D1%81%D1%82%D1%80%D0%B0%D0%BD%D0%B8%D1%86%D1%8B%20%D0%B8%D0%B7%20%D0%B6%D0%B8%D0%B7%D0%BD%D0%B8%20%D1%80%D0%B0%D0%B7%D0%B2%D0%B5%D0%B4%D1%87%D0%B8%D0%BA%D0%B0%201990%20%D1%84%D0%B8%D0%BB%D1%8C%D0%BC","искать")</f>
        <v/>
      </c>
      <c r="N6254" s="3" t="n"/>
      <c r="O6254" s="2" t="n"/>
      <c r="P6254" s="2" t="n"/>
    </row>
    <row r="6255">
      <c r="A6255" s="2" t="n">
        <v>6254</v>
      </c>
      <c r="B6255" s="2" t="inlineStr"/>
      <c r="C6255" s="2" t="n">
        <v>7310</v>
      </c>
      <c r="D6255" s="3" t="inlineStr">
        <is>
          <t>Вас вызывает Таймыр</t>
        </is>
      </c>
      <c r="E6255" s="2" t="n">
        <v>1970</v>
      </c>
      <c r="F6255" s="2" t="inlineStr">
        <is>
          <t>телефильм</t>
        </is>
      </c>
      <c r="G6255" s="2" t="inlineStr">
        <is>
          <t>Мосфильм</t>
        </is>
      </c>
      <c r="H6255" s="2" t="n">
        <v>536</v>
      </c>
      <c r="I6255" s="2" t="inlineStr"/>
      <c r="J6255" s="2" t="inlineStr"/>
      <c r="K6255" s="3" t="inlineStr">
        <is>
          <t>1947 год. В номер столичной гостиницы вселяются один за другим разные люди: снабженец Дюжиков (его-то время от времени и вызывает по телефону Таймыр), директор филармонии, провинциальный дедушка-пчеловод и его внучка, мечтающая стать певицей, геолог — влюблённый (как ему кажется, безнадёжно) юноша. Они вынуждены заменять друг друга: снабженец Дюжиков изображает директора филармонии, директор филармонии решает проблемы геологической экспедиции и т. д. На этих подменах и вызываемой ими путанице строятся основные комические ситуации.</t>
        </is>
      </c>
      <c r="L6255" s="2" t="inlineStr">
        <is>
          <t>https://ru.wikipedia.org/w/index.php?title=%D0%92%D0%B0%D1%81_%D0%B2%D1%8B%D0%B7%D1%8B%D0%B2%D0%B0%D0%B5%D1%82_%D0%A2%D0%B0%D0%B9%D0%BC%D1%8B%D1%80_%28%D1%84%D0%B8%D0%BB%D1%8C%D0%BC%29&amp;oldid=152573888</t>
        </is>
      </c>
      <c r="M6255" s="2">
        <f>HYPERLINK("https://ru.wikipedia.org/w/index.php?search=%D0%92%D0%B0%D1%81%20%D0%B2%D1%8B%D0%B7%D1%8B%D0%B2%D0%B0%D0%B5%D1%82%20%D0%A2%D0%B0%D0%B9%D0%BC%D1%8B%D1%80%201970%20%D1%84%D0%B8%D0%BB%D1%8C%D0%BC","искать")</f>
        <v/>
      </c>
      <c r="N6255" s="3" t="n"/>
      <c r="O6255" s="2" t="n"/>
      <c r="P6255" s="2" t="n"/>
    </row>
    <row r="6256">
      <c r="A6256" s="2" t="n">
        <v>6255</v>
      </c>
      <c r="B6256" s="2" t="inlineStr"/>
      <c r="C6256" s="2" t="n">
        <v>8229</v>
      </c>
      <c r="D6256" s="3" t="inlineStr">
        <is>
          <t>Проделки сорванца</t>
        </is>
      </c>
      <c r="E6256" s="2" t="n">
        <v>1985</v>
      </c>
      <c r="F6256" s="2" t="inlineStr">
        <is>
          <t>телефильм</t>
        </is>
      </c>
      <c r="G6256" s="2" t="n"/>
      <c r="H6256" s="2" t="n">
        <v>536</v>
      </c>
      <c r="I6256" s="2" t="inlineStr"/>
      <c r="J6256" s="2" t="inlineStr"/>
      <c r="K6256" s="3" t="inlineStr">
        <is>
          <t>Маленький Эмиль живёт с родителями и младшей сестрой на хуторе. В глазах родителей он страшный проказник. Отец начинает побаиваться его новых выдумок и старается держать сына подальше от важных дел.
На совести Эмиля уже лежит разбитая супница, попавший в крысиный капкан палец отца, неудачно вырванный зуб работницы Лины и разбитое окно в столовой фру Петрель.
Но только такой озорник, как Эмиль, сумел справиться со злой и алчной комендантшей приюта. В день своего рождения ему удалось устроить весёлый праздник для приютских стариков.</t>
        </is>
      </c>
      <c r="L6256" s="2" t="inlineStr">
        <is>
          <t>https://ru.wikipedia.org/w/index.php?title=%D0%9F%D1%80%D0%BE%D0%B4%D0%B5%D0%BB%D0%BA%D0%B8_%D1%81%D0%BE%D1%80%D0%B2%D0%B0%D0%BD%D1%86%D0%B0&amp;oldid=154703157</t>
        </is>
      </c>
      <c r="M6256" s="2">
        <f>HYPERLINK("https://ru.wikipedia.org/w/index.php?search=%D0%9F%D1%80%D0%BE%D0%B4%D0%B5%D0%BB%D0%BA%D0%B8%20%D1%81%D0%BE%D1%80%D0%B2%D0%B0%D0%BD%D1%86%D0%B0%201985%20%D1%84%D0%B8%D0%BB%D1%8C%D0%BC","искать")</f>
        <v/>
      </c>
      <c r="N6256" s="3" t="n"/>
      <c r="O6256" s="2" t="n"/>
      <c r="P6256" s="2" t="n"/>
    </row>
    <row r="6257">
      <c r="A6257" s="2" t="n">
        <v>6256</v>
      </c>
      <c r="B6257" s="2" t="inlineStr"/>
      <c r="C6257" s="2" t="n">
        <v>8324</v>
      </c>
      <c r="D6257" s="3" t="inlineStr">
        <is>
          <t>Семейное дело</t>
        </is>
      </c>
      <c r="E6257" s="2" t="n">
        <v>1982</v>
      </c>
      <c r="F6257" s="2" t="inlineStr">
        <is>
          <t>телефильм</t>
        </is>
      </c>
      <c r="G6257" s="2" t="n"/>
      <c r="H6257" s="2" t="n">
        <v>538</v>
      </c>
      <c r="I6257" s="2" t="inlineStr"/>
      <c r="J6257" s="2" t="inlineStr"/>
      <c r="K6257" s="3" t="inlineStr">
        <is>
          <t>Директору завода газовых турбин Алексей Алексеевичу Силину необходимо вовремя сдать турбину. Он поручает своему брату (работающему начальником отдела снабжения) вступить в незаконную сделку с руководством другого промышленного предприятия и на любых условиях получить двигатель для испытаний турбины.
Дальнейшие события, в ходе которых произошёл разрыв отношений Алексея Алексеевича с близкими ему людьми, стали результатом этого решения или были с ним связаны. В конечном счёте, Силин принимает решение рассказать министру о случившемся.</t>
        </is>
      </c>
      <c r="L6257" s="2" t="inlineStr">
        <is>
          <t>https://ru.wikipedia.org/w/index.php?title=%D0%A1%D0%B5%D0%BC%D0%B5%D0%B9%D0%BD%D0%BE%D0%B5_%D0%B4%D0%B5%D0%BB%D0%BE_%28%D1%84%D0%B8%D0%BB%D1%8C%D0%BC%2C_1982%29&amp;oldid=155280925</t>
        </is>
      </c>
      <c r="M6257" s="2">
        <f>HYPERLINK("https://ru.wikipedia.org/w/index.php?search=%D0%A1%D0%B5%D0%BC%D0%B5%D0%B9%D0%BD%D0%BE%D0%B5%20%D0%B4%D0%B5%D0%BB%D0%BE%201982%20%D1%84%D0%B8%D0%BB%D1%8C%D0%BC","искать")</f>
        <v/>
      </c>
      <c r="N6257" s="3" t="n"/>
      <c r="O6257" s="2" t="n"/>
      <c r="P6257" s="2" t="n"/>
    </row>
    <row r="6258">
      <c r="A6258" s="2" t="n">
        <v>6257</v>
      </c>
      <c r="B6258" s="2" t="inlineStr"/>
      <c r="C6258" s="2" t="n">
        <v>10418</v>
      </c>
      <c r="D6258" s="3" t="inlineStr">
        <is>
          <t>Собака Баскервилей</t>
        </is>
      </c>
      <c r="E6258" s="2" t="n">
        <v>1971</v>
      </c>
      <c r="F6258" s="2" t="inlineStr">
        <is>
          <t>фильм-спектакль</t>
        </is>
      </c>
      <c r="G6258" s="2" t="inlineStr">
        <is>
          <t>Центральное телевидение</t>
        </is>
      </c>
      <c r="H6258" s="2" t="n">
        <v>538</v>
      </c>
      <c r="I6258" s="2" t="inlineStr"/>
      <c r="J6258" s="2" t="inlineStr"/>
      <c r="K6258" s="3" t="inlineStr">
        <is>
          <t>Мистическое проклятие, висящее над родом Баскервилей, стало причиной смерти владельца поместья Чарльза Баскервиля. Единственным, как кажется на первый взгляд, наследником является Генри Баскервиль, проживающий в Северной Америке.
Приезд молодого баронета окружён рядом забавных происшествий, которым не придаётся должного внимания. Однако Холмс видит в них определённую логику и решается на сложную авантюру: предлагает провести это расследование своему верному помощнику доктору Уотсону. Уотсон сопровождает сэра Генри в Баскервиль-Холл.</t>
        </is>
      </c>
      <c r="L6258" s="2" t="inlineStr">
        <is>
          <t>https://ru.wikipedia.org/w/index.php?title=%D0%A1%D0%BE%D0%B1%D0%B0%D0%BA%D0%B0_%D0%91%D0%B0%D1%81%D0%BA%D0%B5%D1%80%D0%B2%D0%B8%D0%BB%D0%B5%D0%B9_%28%D1%82%D0%B5%D0%BB%D0%B5%D1%81%D0%BF%D0%B5%D0%BA%D1%82%D0%B0%D0%BA%D0%BB%D1%8C%29&amp;oldid=152940700</t>
        </is>
      </c>
      <c r="M6258" s="2">
        <f>HYPERLINK("https://ru.wikipedia.org/w/index.php?search=%D0%A1%D0%BE%D0%B1%D0%B0%D0%BA%D0%B0%20%D0%91%D0%B0%D1%81%D0%BA%D0%B5%D1%80%D0%B2%D0%B8%D0%BB%D0%B5%D0%B9%201971%20%D1%84%D0%B8%D0%BB%D1%8C%D0%BC","искать")</f>
        <v/>
      </c>
      <c r="N6258" s="3" t="n"/>
      <c r="O6258" s="2" t="n"/>
      <c r="P6258" s="2" t="n"/>
    </row>
    <row r="6259">
      <c r="A6259" s="2" t="n">
        <v>6258</v>
      </c>
      <c r="B6259" s="2" t="inlineStr"/>
      <c r="C6259" s="2" t="n">
        <v>10986</v>
      </c>
      <c r="D6259" s="3" t="inlineStr">
        <is>
          <t>Графоман</t>
        </is>
      </c>
      <c r="E6259" s="2" t="n">
        <v>1983</v>
      </c>
      <c r="F6259" s="2" t="inlineStr">
        <is>
          <t>фильм-спектакль</t>
        </is>
      </c>
      <c r="G6259" s="2" t="inlineStr">
        <is>
          <t>Лентелефильм</t>
        </is>
      </c>
      <c r="H6259" s="2" t="n">
        <v>538</v>
      </c>
      <c r="I6259" s="2" t="inlineStr"/>
      <c r="J6259" s="2" t="inlineStr"/>
      <c r="K6259" s="3" t="inlineStr">
        <is>
          <t>По рассказу А.Володина "Не хочу быть несчастливым".
Монолог главного героя, скромного инженера по технике безопасности. Герой живет в провинциальном городке, добросовестно относится к работе и имеет тайную страсть: он пишет стихи и даже посылает их в различные журналы, правда, без особого успеха. Чтобы как-то поддержать мужа, мудрая жена, известный в городе врач, от имени поклонницы начинает с ним «почтовый роман». В обстановке гибельного одиночества эти письма помогают ему жить, любить жену и продолжать писать проникновенные стихи.</t>
        </is>
      </c>
      <c r="L6259" s="2" t="inlineStr">
        <is>
          <t>https://www.kino-teatr.ru/teatr/movie/1516/annot/</t>
        </is>
      </c>
      <c r="M6259" s="2">
        <f>HYPERLINK("https://ru.wikipedia.org/w/index.php?search=%D0%93%D1%80%D0%B0%D1%84%D0%BE%D0%BC%D0%B0%D0%BD%201983%20%D1%84%D0%B8%D0%BB%D1%8C%D0%BC","искать")</f>
        <v/>
      </c>
      <c r="N6259" s="3" t="n"/>
      <c r="O6259" s="2" t="n"/>
      <c r="P6259" s="2" t="n"/>
    </row>
    <row r="6260">
      <c r="A6260" s="2" t="n">
        <v>6259</v>
      </c>
      <c r="B6260" s="2" t="inlineStr"/>
      <c r="C6260" s="2" t="n">
        <v>9931</v>
      </c>
      <c r="D6260" s="3" t="inlineStr">
        <is>
          <t>Струны для гавайской гитары</t>
        </is>
      </c>
      <c r="E6260" s="2" t="n">
        <v>1977</v>
      </c>
      <c r="F6260" s="2" t="inlineStr">
        <is>
          <t>кинофильм</t>
        </is>
      </c>
      <c r="G6260" s="2" t="inlineStr">
        <is>
          <t>Одесская киностудия</t>
        </is>
      </c>
      <c r="H6260" s="2" t="n">
        <v>539</v>
      </c>
      <c r="I6260" s="2" t="inlineStr"/>
      <c r="J6260" s="2" t="inlineStr"/>
      <c r="K6260" s="3" t="inlineStr">
        <is>
          <t>Пока родители Володи Чичерова находились в дальнем плавании, пацан распустился - нахватал двоек и стал настоящим хулиганом. Учительница потребовала от Чичерова, чтобы кто-то из взрослых пришел в школу за табелем. Вова не хотел просить об этом бабушку, и предложил своему старшему приятелю по прозвищу Кот, который вполне мог сойти за дядю, в обмен на струны для гавайской гитары выслушать претензии строгой учительницы. Но Кот влюбляется в молоденькую учительницу и, неожиданно для Вовика, становится строгим и требовательным воспитателем.</t>
        </is>
      </c>
      <c r="L6260" s="2" t="inlineStr">
        <is>
          <t>https://www.kino-teatr.ru/short/movie/sov/6855/annot/</t>
        </is>
      </c>
      <c r="M6260" s="2">
        <f>HYPERLINK("https://ru.wikipedia.org/w/index.php?search=%D0%A1%D1%82%D1%80%D1%83%D0%BD%D1%8B%20%D0%B4%D0%BB%D1%8F%20%D0%B3%D0%B0%D0%B2%D0%B0%D0%B9%D1%81%D0%BA%D0%BE%D0%B9%20%D0%B3%D0%B8%D1%82%D0%B0%D1%80%D1%8B%201977%20%D1%84%D0%B8%D0%BB%D1%8C%D0%BC","искать")</f>
        <v/>
      </c>
      <c r="N6260" s="3" t="n"/>
      <c r="O6260" s="2" t="n"/>
      <c r="P6260" s="2" t="n"/>
    </row>
    <row r="6261">
      <c r="A6261" s="2" t="n">
        <v>6260</v>
      </c>
      <c r="B6261" s="2" t="inlineStr"/>
      <c r="C6261" s="2" t="n">
        <v>13246</v>
      </c>
      <c r="D6261" s="3" t="inlineStr">
        <is>
          <t>Обезьянка Фипс</t>
        </is>
      </c>
      <c r="E6261" s="2" t="n">
        <v>1968</v>
      </c>
      <c r="F6261" s="2" t="inlineStr">
        <is>
          <t>мультфильм</t>
        </is>
      </c>
      <c r="G6261" s="2" t="inlineStr">
        <is>
          <t>ТАЛЛИННФИЛЬМ</t>
        </is>
      </c>
      <c r="H6261" s="2" t="n">
        <v>539</v>
      </c>
      <c r="I6261" s="2" t="inlineStr"/>
      <c r="J6261" s="2" t="inlineStr"/>
      <c r="K6261" s="3" t="inlineStr">
        <is>
          <t>По мотивам одноименного стихотворения Вильгельма Буша.
В тропическом лесу моряк поймал обезьянку. И стала она под именем Фипс работать в парикмахерской, помогала мастеру стричь клиентов. Однажды она обрила клиенту все волосы, за что хозяин ее побил. Другой хозяин, к которому она попала, принес ее к себе домой. Но ее тяготит домашнее заточение. Как-то во время пожара она спасла ребенка. Теперь ее окружили комфортом. И все же свободное существо - обезьянка Фипс сбежала, и в тропическом лесу она снова стала свободно прыгать по деревьям.</t>
        </is>
      </c>
      <c r="L6261" s="2" t="inlineStr">
        <is>
          <t>https://gosfilmofond.ru/films/254321/</t>
        </is>
      </c>
      <c r="M6261" s="2">
        <f>HYPERLINK("https://ru.wikipedia.org/w/index.php?search=%D0%9E%D0%B1%D0%B5%D0%B7%D1%8C%D1%8F%D0%BD%D0%BA%D0%B0%20%D0%A4%D0%B8%D0%BF%D1%81%201968%20%D1%84%D0%B8%D0%BB%D1%8C%D0%BC","искать")</f>
        <v/>
      </c>
      <c r="N6261" s="3" t="n"/>
      <c r="O6261" s="2" t="n"/>
      <c r="P6261" s="2" t="n"/>
    </row>
    <row r="6262">
      <c r="A6262" s="2" t="n">
        <v>6261</v>
      </c>
      <c r="B6262" s="2" t="inlineStr"/>
      <c r="C6262" s="2" t="n">
        <v>12831</v>
      </c>
      <c r="D6262" s="3" t="inlineStr">
        <is>
          <t>Певец зари</t>
        </is>
      </c>
      <c r="E6262" s="2" t="n">
        <v>1967</v>
      </c>
      <c r="F6262" s="2" t="inlineStr">
        <is>
          <t>мультфильм</t>
        </is>
      </c>
      <c r="G6262" s="2" t="inlineStr">
        <is>
          <t>ГРУЗИЯ-ФИЛЬМ - АО</t>
        </is>
      </c>
      <c r="H6262" s="2" t="n">
        <v>540</v>
      </c>
      <c r="I6262" s="2" t="inlineStr"/>
      <c r="J6262" s="2" t="inlineStr"/>
      <c r="K6262" s="3" t="inlineStr">
        <is>
          <t>По мотивам пьесы Эдмона Ростана "Шантеклер".
Каждое утро петух Шантеклер радостной песней предвосхищает восход солнца Он уверен, что без его песни оно и не появится. Так же думают и другие птицы. Но вот однажды на птичьем дворе появляется фазанья курочка и ярким своим оперением увлекает Шантеклера за собой. Она хочет, чтобы ради нее петушок забыл о солнце. Перед рассветом она укрывает его своим крылом, и он не успевает в это утро пропеть перед восходом. Оскорбленный ее поступком Шантеклер покидает курочку и возвращается на птичий двор</t>
        </is>
      </c>
      <c r="L6262" s="2" t="inlineStr">
        <is>
          <t>https://gosfilmofond.ru/films/254327/</t>
        </is>
      </c>
      <c r="M6262" s="2">
        <f>HYPERLINK("https://ru.wikipedia.org/w/index.php?search=%D0%9F%D0%B5%D0%B2%D0%B5%D1%86%20%D0%B7%D0%B0%D1%80%D0%B8%201967%20%D1%84%D0%B8%D0%BB%D1%8C%D0%BC","искать")</f>
        <v/>
      </c>
      <c r="N6262" s="3" t="n"/>
      <c r="O6262" s="2" t="n"/>
      <c r="P6262" s="2" t="n"/>
    </row>
    <row r="6263">
      <c r="A6263" s="2" t="n">
        <v>6262</v>
      </c>
      <c r="B6263" s="2" t="inlineStr"/>
      <c r="C6263" s="2" t="n">
        <v>7238</v>
      </c>
      <c r="D6263" s="3" t="inlineStr">
        <is>
          <t>Бедная Маша</t>
        </is>
      </c>
      <c r="E6263" s="2" t="n">
        <v>1981</v>
      </c>
      <c r="F6263" s="2" t="inlineStr">
        <is>
          <t>телефильм</t>
        </is>
      </c>
      <c r="G6263" s="2" t="n"/>
      <c r="H6263" s="2" t="n">
        <v>541</v>
      </c>
      <c r="I6263" s="2" t="inlineStr"/>
      <c r="J6263" s="2" t="inlineStr"/>
      <c r="K6263" s="3" t="inlineStr">
        <is>
          <t>Медсестра Маша решает проверить чувства влюблённых в неё Кости, Фёдора Фёдоровича, Семёна Перчаткина, ближайших родственников и знакомых. Для этого Маша «по секрету» сообщает своей подруге, что ждёт ребенка, зная, что Зина разнесёт эту новость по всему городу. По-разному отнеслись к этой новости все, кто знал Машу. Для родителей её «беда» постепенно превращается в радость; Костя, преодолев муки ревности, предлагает Маше руку и сердце, Семён Перчаткин сравнивает её с Мадонной, а Фёдор Фёдорович наказывается за неискренность и лицемерие.</t>
        </is>
      </c>
      <c r="L6263" s="2" t="inlineStr">
        <is>
          <t>https://ru.wikipedia.org/w/index.php?title=%D0%91%D0%B5%D0%B4%D0%BD%D0%B0%D1%8F_%D0%9C%D0%B0%D1%88%D0%B0&amp;oldid=142754428</t>
        </is>
      </c>
      <c r="M6263" s="2">
        <f>HYPERLINK("https://ru.wikipedia.org/w/index.php?search=%D0%91%D0%B5%D0%B4%D0%BD%D0%B0%D1%8F%20%D0%9C%D0%B0%D1%88%D0%B0%201981%20%D1%84%D0%B8%D0%BB%D1%8C%D0%BC","искать")</f>
        <v/>
      </c>
      <c r="N6263" s="3" t="n"/>
      <c r="O6263" s="2" t="n"/>
      <c r="P6263" s="2" t="n"/>
    </row>
    <row r="6264">
      <c r="A6264" s="2" t="n">
        <v>6263</v>
      </c>
      <c r="B6264" s="2" t="inlineStr"/>
      <c r="C6264" s="2" t="n">
        <v>7867</v>
      </c>
      <c r="D6264" s="3" t="inlineStr">
        <is>
          <t>Мера пресечения</t>
        </is>
      </c>
      <c r="E6264" s="2" t="n">
        <v>1983</v>
      </c>
      <c r="F6264" s="2" t="inlineStr">
        <is>
          <t>телефильм</t>
        </is>
      </c>
      <c r="G6264" s="2" t="inlineStr">
        <is>
          <t>«Лентелефильм»</t>
        </is>
      </c>
      <c r="H6264" s="2" t="n">
        <v>541</v>
      </c>
      <c r="I6264" s="2" t="inlineStr"/>
      <c r="J6264" s="2" t="inlineStr"/>
      <c r="K6264" s="3" t="inlineStr">
        <is>
          <t>Психологическая драма. В ходе судебного процесса, рассматривающего хищения на комбинате, выясняется, что взявший всю вину на себя главный инженер Чистухин на самом деле невиновен. Преступление совершила нечистая на руку руководитель комбината Муравьёва. Это она подставила невиновного главного инженера с помощью тех, кто сидит на скамье подсудимых. Чистухин когда-то был влюблён в неё, этим и пытается сейчас воспользоваться Муравьёва.
Психологические портреты многих участников этого процесса раскрываются в ходе судебного разбирательства.</t>
        </is>
      </c>
      <c r="L6264" s="2" t="inlineStr">
        <is>
          <t>https://ru.wikipedia.org/w/index.php?title=%D0%9C%D0%B5%D1%80%D0%B0_%D0%BF%D1%80%D0%B5%D1%81%D0%B5%D1%87%D0%B5%D0%BD%D0%B8%D1%8F_%28%D1%84%D0%B8%D0%BB%D1%8C%D0%BC%29&amp;oldid=153351552</t>
        </is>
      </c>
      <c r="M6264" s="2">
        <f>HYPERLINK("https://ru.wikipedia.org/w/index.php?search=%D0%9C%D0%B5%D1%80%D0%B0%20%D0%BF%D1%80%D0%B5%D1%81%D0%B5%D1%87%D0%B5%D0%BD%D0%B8%D1%8F%201983%20%D1%84%D0%B8%D0%BB%D1%8C%D0%BC","искать")</f>
        <v/>
      </c>
      <c r="N6264" s="3" t="n"/>
      <c r="O6264" s="2" t="n"/>
      <c r="P6264" s="2" t="n"/>
    </row>
    <row r="6265">
      <c r="A6265" s="2" t="n">
        <v>6264</v>
      </c>
      <c r="B6265" s="2" t="inlineStr"/>
      <c r="C6265" s="2" t="n">
        <v>8093</v>
      </c>
      <c r="D6265" s="3" t="inlineStr">
        <is>
          <t>Перегон</t>
        </is>
      </c>
      <c r="E6265" s="2" t="n">
        <v>1984</v>
      </c>
      <c r="F6265" s="2" t="inlineStr">
        <is>
          <t>телефильм</t>
        </is>
      </c>
      <c r="G6265" s="2" t="n"/>
      <c r="H6265" s="2" t="n">
        <v>541</v>
      </c>
      <c r="I6265" s="2" t="inlineStr"/>
      <c r="J6265" s="2" t="inlineStr"/>
      <c r="K6265" s="3" t="inlineStr">
        <is>
          <t>Капитану дальнего плавания Глебу Вольнову предстоит участвовать в перегоне рыболовецких судов на Камчатку по Северному морскому пути. Глеб — холостяк, живёт один с матерью в Ленинграде. Его давний знакомый, старый механик Арсентьич, которого не берут в рейсы по здоровью, просит его взять с собой.
В фильме, продолжительностью немного больше часа, отсутствует обычный антураж фильмов о суровых буднях полярников. Его особенностью является картина внутреннего мира главных героев, связанных противоречивой дружбой и страдающих от одиночества.</t>
        </is>
      </c>
      <c r="L6265" s="2" t="inlineStr">
        <is>
          <t>https://ru.wikipedia.org/w/index.php?title=%D0%9F%D0%B5%D1%80%D0%B5%D0%B3%D0%BE%D0%BD_%28%D1%84%D0%B8%D0%BB%D1%8C%D0%BC%2C_1984%29&amp;oldid=149114170</t>
        </is>
      </c>
      <c r="M6265" s="2">
        <f>HYPERLINK("https://ru.wikipedia.org/w/index.php?search=%D0%9F%D0%B5%D1%80%D0%B5%D0%B3%D0%BE%D0%BD%201984%20%D1%84%D0%B8%D0%BB%D1%8C%D0%BC","искать")</f>
        <v/>
      </c>
      <c r="N6265" s="3" t="n"/>
      <c r="O6265" s="2" t="n"/>
      <c r="P6265" s="2" t="n"/>
    </row>
    <row r="6266">
      <c r="A6266" s="2" t="n">
        <v>6265</v>
      </c>
      <c r="B6266" s="2" t="inlineStr"/>
      <c r="C6266" s="2" t="n">
        <v>9671</v>
      </c>
      <c r="D6266" s="3" t="inlineStr">
        <is>
          <t>Стеклянный лабиринт</t>
        </is>
      </c>
      <c r="E6266" s="2" t="n">
        <v>1989</v>
      </c>
      <c r="F6266" s="2" t="inlineStr">
        <is>
          <t>кинофильм</t>
        </is>
      </c>
      <c r="G6266" s="2" t="n"/>
      <c r="H6266" s="2" t="n">
        <v>541</v>
      </c>
      <c r="I6266" s="2" t="inlineStr"/>
      <c r="J6266" s="2" t="inlineStr"/>
      <c r="K6266" s="3" t="inlineStr">
        <is>
          <t>По мотивам одноименной повести Ю. Чернякова. Ноябрь 1980 года. У «пэтэушника» Лукашова день рождения. Друзья, Бонифаций и Серый, приходят поздравить своего приятеля. Немного выпив, компания отправляется на поиски приключений, для начала зайдя в гости к Алфимову, недавно вернувшемуся
из заключения. Позже, ночью, парни в пьяном угаре забираются в зоопарк и убивают несколько ланей. Вернувший домой, друзья продолжают пьянку и вскоре ссорятся, один из ребят, грозя ножом, гонит Лукашова к окну. Лукашов прыгает из окна и разбивается насмерть.</t>
        </is>
      </c>
      <c r="L6266" s="2" t="inlineStr">
        <is>
          <t>https://gosfilmofond.ru/films/240213/</t>
        </is>
      </c>
      <c r="M6266" s="2">
        <f>HYPERLINK("https://ru.wikipedia.org/w/index.php?search=%D0%A1%D1%82%D0%B5%D0%BA%D0%BB%D1%8F%D0%BD%D0%BD%D1%8B%D0%B9%20%D0%BB%D0%B0%D0%B1%D0%B8%D1%80%D0%B8%D0%BD%D1%82%201989%20%D1%84%D0%B8%D0%BB%D1%8C%D0%BC","искать")</f>
        <v/>
      </c>
      <c r="N6266" s="3" t="n"/>
      <c r="O6266" s="2" t="n"/>
      <c r="P6266" s="2" t="n"/>
    </row>
    <row r="6267">
      <c r="A6267" s="2" t="n">
        <v>6266</v>
      </c>
      <c r="B6267" s="2" t="inlineStr"/>
      <c r="C6267" s="2" t="n">
        <v>10498</v>
      </c>
      <c r="D6267" s="3" t="inlineStr">
        <is>
          <t>Единственный свидетель</t>
        </is>
      </c>
      <c r="E6267" s="2" t="n">
        <v>1973</v>
      </c>
      <c r="F6267" s="2" t="inlineStr">
        <is>
          <t>фильм-спектакль</t>
        </is>
      </c>
      <c r="G6267" s="2" t="inlineStr">
        <is>
          <t>ТО "Экран"</t>
        </is>
      </c>
      <c r="H6267" s="2" t="n">
        <v>541</v>
      </c>
      <c r="I6267" s="2" t="inlineStr"/>
      <c r="J6267" s="2" t="inlineStr"/>
      <c r="K6267" s="3" t="inlineStr">
        <is>
          <t>По одноименной пьесе Ариадны и Петра Тур в постановке Московского Художественного академического театра.
Известный хирург - академик Сабурова решилась на очень трудную операцию ею же в свое время разработанным методом. Профессор Садовников открыл Сабуровой горькую правду - различные симпозиумы, совещания и встречи отдалили ее от практической хирургии, и было бы правильнее поручить операцию другому врачу. Властный по натуре человек, Сабурова встретила совет коллеги, как тяжкую обиду, однако вскоре нашла в себе силы признать его правоту.</t>
        </is>
      </c>
      <c r="L6267" s="2" t="inlineStr">
        <is>
          <t>https://www.kino-teatr.ru/teatr/movie/15386/annot/</t>
        </is>
      </c>
      <c r="M6267" s="2">
        <f>HYPERLINK("https://ru.wikipedia.org/w/index.php?search=%D0%95%D0%B4%D0%B8%D0%BD%D1%81%D1%82%D0%B2%D0%B5%D0%BD%D0%BD%D1%8B%D0%B9%20%D1%81%D0%B2%D0%B8%D0%B4%D0%B5%D1%82%D0%B5%D0%BB%D1%8C%201973%20%D1%84%D0%B8%D0%BB%D1%8C%D0%BC","искать")</f>
        <v/>
      </c>
      <c r="N6267" s="3" t="n"/>
      <c r="O6267" s="2" t="n"/>
      <c r="P6267" s="2" t="n"/>
    </row>
    <row r="6268">
      <c r="A6268" s="2" t="n">
        <v>6267</v>
      </c>
      <c r="B6268" s="2" t="inlineStr"/>
      <c r="C6268" s="2" t="n">
        <v>12999</v>
      </c>
      <c r="D6268" s="3" t="inlineStr">
        <is>
          <t>Ходжа-насыр - строитель</t>
        </is>
      </c>
      <c r="E6268" s="2" t="n">
        <v>1971</v>
      </c>
      <c r="F6268" s="2" t="inlineStr">
        <is>
          <t>мультфильм</t>
        </is>
      </c>
      <c r="G6268" s="2" t="inlineStr">
        <is>
          <t>КАЗАХФИЛЬМ</t>
        </is>
      </c>
      <c r="H6268" s="2" t="n">
        <v>541</v>
      </c>
      <c r="I6268" s="2" t="inlineStr"/>
      <c r="J6268" s="2" t="inlineStr"/>
      <c r="K6268" s="3" t="inlineStr">
        <is>
          <t>Сильный порыв ветра разрушает юрту Ходжи, он и его семья оказывается под открытым небом. Решает Ходжа построить каменный дом, чтоб никакой ветер не был страшен. Приступает он к работе, начинает класть стены, но не знает, какой дом ему нужен, слушает советов всех прохожих. Уж лето кончается, а Ходжа все перестраивает свой дом: то рыцарский замок возведет, то портик с колоннами, то пагоду с драконом. Наконец, рушит он все эти, по чуждому слову построенные, дома и ставит новые стены. Перед самыми холодами семья Ходжи вселяется в новый дом</t>
        </is>
      </c>
      <c r="L6268" s="2" t="inlineStr">
        <is>
          <t>https://gosfilmofond.ru/films/255183/</t>
        </is>
      </c>
      <c r="M6268" s="2">
        <f>HYPERLINK("https://ru.wikipedia.org/w/index.php?search=%D0%A5%D0%BE%D0%B4%D0%B6%D0%B0-%D0%BD%D0%B0%D1%81%D1%8B%D1%80%20-%20%D1%81%D1%82%D1%80%D0%BE%D0%B8%D1%82%D0%B5%D0%BB%D1%8C%201971%20%D1%84%D0%B8%D0%BB%D1%8C%D0%BC","искать")</f>
        <v/>
      </c>
      <c r="N6268" s="3" t="n"/>
      <c r="O6268" s="2" t="n"/>
      <c r="P6268" s="2" t="n"/>
    </row>
    <row r="6269">
      <c r="A6269" s="2" t="n">
        <v>6268</v>
      </c>
      <c r="B6269" s="2" t="inlineStr"/>
      <c r="C6269" s="2" t="n">
        <v>8895</v>
      </c>
      <c r="D6269" s="3" t="inlineStr">
        <is>
          <t>Окно</t>
        </is>
      </c>
      <c r="E6269" s="2" t="n">
        <v>1991</v>
      </c>
      <c r="F6269" s="2" t="inlineStr">
        <is>
          <t>кинофильм</t>
        </is>
      </c>
      <c r="G6269" s="2" t="n"/>
      <c r="H6269" s="2" t="n">
        <v>543</v>
      </c>
      <c r="I6269" s="2" t="inlineStr"/>
      <c r="J6269" s="2" t="inlineStr"/>
      <c r="K6269" s="3" t="inlineStr">
        <is>
          <t>В фильме раскрываются противоречия между «воспитателями»-учителями и «воспитанными»-воспитанниками в интернате, который по сути является детским домом, где царит беззаконие, насилие, лицемерие и жестокость. Маленький Ахсан (Ильхам Бабаев), вынужденный жить в таких противоречивых условиях, но не сумевший приспособиться к этим условиям, скучающий по родному дому находит единственный выход — выброситься из окна и погибает.
Фильм «Окно» звучит как предостережение, призывающее к коренному изменению системы образования, калечащей судьбы детей.</t>
        </is>
      </c>
      <c r="L6269" s="2" t="inlineStr">
        <is>
          <t>https://ru.wikipedia.org/w/index.php?title=%D0%9E%D0%BA%D0%BD%D0%BE_%28%D1%84%D0%B8%D0%BB%D1%8C%D0%BC%2C_1991%29&amp;oldid=149111975</t>
        </is>
      </c>
      <c r="M6269" s="2">
        <f>HYPERLINK("https://ru.wikipedia.org/w/index.php?search=%D0%9E%D0%BA%D0%BD%D0%BE%201991%20%D1%84%D0%B8%D0%BB%D1%8C%D0%BC","искать")</f>
        <v/>
      </c>
      <c r="N6269" s="3" t="n"/>
      <c r="O6269" s="2" t="n"/>
      <c r="P6269" s="2" t="n"/>
    </row>
    <row r="6270">
      <c r="A6270" s="2" t="n">
        <v>6269</v>
      </c>
      <c r="B6270" s="2" t="inlineStr"/>
      <c r="C6270" s="2" t="n">
        <v>10034</v>
      </c>
      <c r="D6270" s="3" t="inlineStr">
        <is>
          <t>Счастливое детство</t>
        </is>
      </c>
      <c r="E6270" s="2" t="n">
        <v>1988</v>
      </c>
      <c r="F6270" s="2" t="inlineStr">
        <is>
          <t>телефильм</t>
        </is>
      </c>
      <c r="G6270" s="2" t="inlineStr">
        <is>
          <t>"Таллинфильм" по заказу Гостелерадио СССР</t>
        </is>
      </c>
      <c r="H6270" s="2" t="n">
        <v>543</v>
      </c>
      <c r="I6270" s="2" t="inlineStr"/>
      <c r="J6270" s="2" t="inlineStr"/>
      <c r="K6270" s="3" t="inlineStr">
        <is>
          <t>По одноименному рассказу Теэта Калласа.
Действие фильма происходит в конце 1940-х годов в Эстонии. Закончилась война, началась мирная жизнь, но нет у людей покоя и уверенности в завтрашнем дне. Каждую ночь из домов исчезают люди, которые еще вчера мирно жили со своими семьями, ходили на работу, шутили и смеялись. Так исчез водитель автобуса Пюсс и родители мальчика Хейки. Но все же дети остаются детьми, взрослые окружают их любовью и заботой, а малыши, не догадываясь о трагизме происходящих вокруг них событий, живут спокойно и счастливо.</t>
        </is>
      </c>
      <c r="L6270" s="2" t="inlineStr">
        <is>
          <t>https://www.kino-teatr.ru/short/movie/sov/81710/annot/</t>
        </is>
      </c>
      <c r="M6270" s="2">
        <f>HYPERLINK("https://ru.wikipedia.org/w/index.php?search=%D0%A1%D1%87%D0%B0%D1%81%D1%82%D0%BB%D0%B8%D0%B2%D0%BE%D0%B5%20%D0%B4%D0%B5%D1%82%D1%81%D1%82%D0%B2%D0%BE%201988%20%D1%84%D0%B8%D0%BB%D1%8C%D0%BC","искать")</f>
        <v/>
      </c>
      <c r="N6270" s="3" t="n"/>
      <c r="O6270" s="2" t="n"/>
      <c r="P6270" s="2" t="n"/>
    </row>
    <row r="6271">
      <c r="A6271" s="2" t="n">
        <v>6270</v>
      </c>
      <c r="B6271" s="2" t="inlineStr"/>
      <c r="C6271" s="2" t="n">
        <v>11526</v>
      </c>
      <c r="D6271" s="3" t="inlineStr">
        <is>
          <t>Снегурка</t>
        </is>
      </c>
      <c r="E6271" s="2" t="n">
        <v>1969</v>
      </c>
      <c r="F6271" s="2" t="inlineStr">
        <is>
          <t>мультфильм</t>
        </is>
      </c>
      <c r="G6271" s="2" t="inlineStr">
        <is>
          <t>Союзмультфильм</t>
        </is>
      </c>
      <c r="H6271" s="2" t="n">
        <v>545</v>
      </c>
      <c r="I6271" s="2" t="inlineStr"/>
      <c r="J6271" s="2" t="inlineStr"/>
      <c r="K6271" s="3" t="inlineStr">
        <is>
          <t>В одной деревушке живут дед и бабка в избушке. Много повидали зим и лет, а детишек все нет. Однажды зимой сделали они себе из снега дочурку. Тут и радость их ждала - Снегурка вдруг ожила. Сразу жизнь их пошла по-другому: Снегурка хозяйничает по дому, пироги испечет, песенку деду и бабке споет. Любят они ее за это. Но вот приходит весна, а за нею лето, и зовет Снегурку ребячий хоровод попрыгать в лесу через костер. Только Снегурка через огонь прыгнула - в тот же миг растаяла. Облачком унеслась, дождиком пролилась, в поле ромашками поднялась</t>
        </is>
      </c>
      <c r="L6271" s="2" t="inlineStr">
        <is>
          <t>https://gosfilmofond.ru/films/254770/</t>
        </is>
      </c>
      <c r="M6271" s="2">
        <f>HYPERLINK("https://ru.wikipedia.org/w/index.php?search=%D0%A1%D0%BD%D0%B5%D0%B3%D1%83%D1%80%D0%BA%D0%B0%201969%20%D1%84%D0%B8%D0%BB%D1%8C%D0%BC","искать")</f>
        <v/>
      </c>
      <c r="N6271" s="3" t="n"/>
      <c r="O6271" s="2" t="n"/>
      <c r="P6271" s="2" t="n"/>
    </row>
    <row r="6272">
      <c r="A6272" s="2" t="n">
        <v>6271</v>
      </c>
      <c r="B6272" s="2" t="inlineStr"/>
      <c r="C6272" s="2" t="n">
        <v>12600</v>
      </c>
      <c r="D6272" s="3" t="inlineStr">
        <is>
          <t>Человек, который умел летать</t>
        </is>
      </c>
      <c r="E6272" s="2" t="n">
        <v>1968</v>
      </c>
      <c r="F6272" s="2" t="inlineStr">
        <is>
          <t>мультфильм</t>
        </is>
      </c>
      <c r="G6272" s="2" t="inlineStr">
        <is>
          <t>КИЕВНАУЧФИЛЬМ</t>
        </is>
      </c>
      <c r="H6272" s="2" t="n">
        <v>546</v>
      </c>
      <c r="I6272" s="2" t="inlineStr"/>
      <c r="J6272" s="2" t="inlineStr"/>
      <c r="K6272" s="3" t="inlineStr">
        <is>
          <t>По мотивам одноименного рассказа Карела Чапека.
Однажды Томшик обнаружил, что умеет летать. Обрадованный, он хочет показать кому-нибудь свое уменье. Но один из зрителей страшно пугается и убегает, а мальчишка стреляет в летящего человека из рогатки. Сосед Томшика ведет его к ученым мужам. Долго осматривают и проверяют они Томшика и, наконец, просят продемонстрировать полет. Когда же он взлетает, теоретики объясняют ему, что не по правилам он это делает. И начинают учить Томшика. Как ни пытается он после этого взлететь, ничего не получается.</t>
        </is>
      </c>
      <c r="L6272" s="2" t="inlineStr">
        <is>
          <t>https://gosfilmofond.ru/films/254724/</t>
        </is>
      </c>
      <c r="M6272" s="2">
        <f>HYPERLINK("https://ru.wikipedia.org/w/index.php?search=%D0%A7%D0%B5%D0%BB%D0%BE%D0%B2%D0%B5%D0%BA%2C%20%D0%BA%D0%BE%D1%82%D0%BE%D1%80%D1%8B%D0%B9%20%D1%83%D0%BC%D0%B5%D0%BB%20%D0%BB%D0%B5%D1%82%D0%B0%D1%82%D1%8C%201968%20%D1%84%D0%B8%D0%BB%D1%8C%D0%BC","искать")</f>
        <v/>
      </c>
      <c r="N6272" s="3" t="n"/>
      <c r="O6272" s="2" t="n"/>
      <c r="P6272" s="2" t="n"/>
    </row>
    <row r="6273">
      <c r="A6273" s="2" t="n">
        <v>6272</v>
      </c>
      <c r="B6273" s="2" t="inlineStr"/>
      <c r="C6273" s="2" t="n">
        <v>12853</v>
      </c>
      <c r="D6273" s="3" t="inlineStr">
        <is>
          <t>Укротитель</t>
        </is>
      </c>
      <c r="E6273" s="2" t="n">
        <v>1970</v>
      </c>
      <c r="F6273" s="2" t="inlineStr">
        <is>
          <t>мультфильм</t>
        </is>
      </c>
      <c r="G6273" s="2" t="inlineStr">
        <is>
          <t>ГРУЗИЯ-ФИЛЬМ - АО</t>
        </is>
      </c>
      <c r="H6273" s="2" t="n">
        <v>546</v>
      </c>
      <c r="I6273" s="2" t="inlineStr"/>
      <c r="J6273" s="2" t="inlineStr"/>
      <c r="K6273" s="3" t="inlineStr">
        <is>
          <t>Зрители восхищены бесстрашным укротителем: по щелканью его хлыста лев и тигр проделывают невероятные вещи - танцуют, прыгают на веревочные лестницы, жонглируют зажженными факелами, вдыхают и выдыхают пламя...Но вот после триумфального выступления на арене цирка укротитель приезжает домой, и здесь из грозного повелителя он превращается в самого послушного укрощенного. Им помыкает не только жена, теща, но и ребенок, и даже кошка. Не выдержав такого унижения, укротитель возвращается в цирк и засыпает в клетке своих любимых и послушных хищников</t>
        </is>
      </c>
      <c r="L6273" s="2" t="inlineStr">
        <is>
          <t>https://gosfilmofond.ru/films/255179/</t>
        </is>
      </c>
      <c r="M6273" s="2">
        <f>HYPERLINK("https://ru.wikipedia.org/w/index.php?search=%D0%A3%D0%BA%D1%80%D0%BE%D1%82%D0%B8%D1%82%D0%B5%D0%BB%D1%8C%201970%20%D1%84%D0%B8%D0%BB%D1%8C%D0%BC","искать")</f>
        <v/>
      </c>
      <c r="N6273" s="3" t="n"/>
      <c r="O6273" s="2" t="n"/>
      <c r="P6273" s="2" t="n"/>
    </row>
    <row r="6274">
      <c r="A6274" s="2" t="n">
        <v>6273</v>
      </c>
      <c r="B6274" s="2" t="inlineStr"/>
      <c r="C6274" s="2" t="n">
        <v>12986</v>
      </c>
      <c r="D6274" s="3" t="inlineStr">
        <is>
          <t>Мальчик и джин</t>
        </is>
      </c>
      <c r="E6274" s="2" t="n">
        <v>1974</v>
      </c>
      <c r="F6274" s="2" t="inlineStr">
        <is>
          <t>мультфильм</t>
        </is>
      </c>
      <c r="G6274" s="2" t="inlineStr">
        <is>
          <t>КАЗАХФИЛЬМ</t>
        </is>
      </c>
      <c r="H6274" s="2" t="n">
        <v>546</v>
      </c>
      <c r="I6274" s="2" t="inlineStr"/>
      <c r="J6274" s="2" t="inlineStr"/>
      <c r="K6274" s="3" t="inlineStr">
        <is>
          <t>Мальчик Рахим поймал в сачок царя жуков. Но Жук произнес заклинание и Рахим стал совсем маленьким. Тогда стража отвела его в темницу, где томился Хлопок. С помощью муравьев Рахиму удается бежать. Он сообщает тете Перепелке, что Хлопок в неволе у Жука. Она вручает Рахиму волшебный дутар, звуки которого усыпляют стражу и Рахим освобождает Хлопок. Начинается погоня, но Морковке удается заманить преследователей в сеть, где их уничтожают. Рахим вновь сиановится большим и благодарит своих друзей - Перепелку, Цыпленка, Морковку, Баклажана и Хлопок</t>
        </is>
      </c>
      <c r="L6274" s="2" t="inlineStr">
        <is>
          <t>https://gosfilmofond.ru/films/248442/</t>
        </is>
      </c>
      <c r="M6274" s="2">
        <f>HYPERLINK("https://ru.wikipedia.org/w/index.php?search=%D0%9C%D0%B0%D0%BB%D1%8C%D1%87%D0%B8%D0%BA%20%D0%B8%20%D0%B4%D0%B6%D0%B8%D0%BD%201974%20%D1%84%D0%B8%D0%BB%D1%8C%D0%BC","искать")</f>
        <v/>
      </c>
      <c r="N6274" s="3" t="n"/>
      <c r="O6274" s="2" t="n"/>
      <c r="P6274" s="2" t="n"/>
    </row>
    <row r="6275">
      <c r="A6275" s="2" t="n">
        <v>6274</v>
      </c>
      <c r="B6275" s="2" t="inlineStr"/>
      <c r="C6275" s="2" t="n">
        <v>8271</v>
      </c>
      <c r="D6275" s="3" t="inlineStr">
        <is>
          <t>Репетитор</t>
        </is>
      </c>
      <c r="E6275" s="2" t="n">
        <v>1987</v>
      </c>
      <c r="F6275" s="2" t="inlineStr">
        <is>
          <t>телефильм</t>
        </is>
      </c>
      <c r="G6275" s="2" t="n"/>
      <c r="H6275" s="2" t="n">
        <v>549</v>
      </c>
      <c r="I6275" s="2" t="inlineStr"/>
      <c r="J6275" s="2" t="inlineStr"/>
      <c r="K6275" s="3" t="inlineStr">
        <is>
          <t>Должность Кати Батистовой — «ночной матрос» на спасательной станции курортного городка. Там же она знакомится с Евгением Огарышевым и его бабушкой Ксенией Львовной, некогда известной актрисой, ушедшей из кино чтобы ухаживать за пострадавшим в аварии внуком. С подачи подруги Катя пытается влюбить в себя Евгения, чтобы через Ксению Львовну пробиться в столичный артистический бомонд, однако окончательно запутывается в своих увлечениях и желаниях. Для юноши же неразрешимая проблема — как совместить интерес к Кате с презрением к уровню её запросов.</t>
        </is>
      </c>
      <c r="L6275" s="2" t="inlineStr">
        <is>
          <t>https://ru.wikipedia.org/w/index.php?title=%D0%A0%D0%B5%D0%BF%D0%B5%D1%82%D0%B8%D1%82%D0%BE%D1%80_%28%D1%84%D0%B8%D0%BB%D1%8C%D0%BC%29&amp;oldid=153428256</t>
        </is>
      </c>
      <c r="M6275" s="2">
        <f>HYPERLINK("https://ru.wikipedia.org/w/index.php?search=%D0%A0%D0%B5%D0%BF%D0%B5%D1%82%D0%B8%D1%82%D0%BE%D1%80%201987%20%D1%84%D0%B8%D0%BB%D1%8C%D0%BC","искать")</f>
        <v/>
      </c>
      <c r="N6275" s="3" t="n"/>
      <c r="O6275" s="2" t="n"/>
      <c r="P6275" s="2" t="n"/>
    </row>
    <row r="6276">
      <c r="A6276" s="2" t="n">
        <v>6275</v>
      </c>
      <c r="B6276" s="2" t="inlineStr"/>
      <c r="C6276" s="2" t="n">
        <v>9344</v>
      </c>
      <c r="D6276" s="3" t="inlineStr">
        <is>
          <t>Дом без выхода</t>
        </is>
      </c>
      <c r="E6276" s="2" t="n">
        <v>1988</v>
      </c>
      <c r="F6276" s="2" t="inlineStr">
        <is>
          <t>кинофильм</t>
        </is>
      </c>
      <c r="G6276" s="2" t="n"/>
      <c r="H6276" s="2" t="n">
        <v>549</v>
      </c>
      <c r="I6276" s="2" t="inlineStr"/>
      <c r="J6276" s="2" t="inlineStr"/>
      <c r="K6276" s="3" t="inlineStr">
        <is>
          <t>Трое сбежавших из мест заключения уголовников спрятались в летнем доме художника. Они вынуждают хозяина дачи и его гостью всячески содействовать им в попытке уйти от преследования. Главарю преступников, больному и измученному человеку, доставляет удовольствие пикировка с хозяином.
Доведённый до нервного срыва художник готов любыми способами избавиться от непрошеного соседства. Ему не хватает хладнокровия для решительной схватки и только внезапное, не ожидаемое никем самоубийство философствующего бандита приносит свободу отчаявшимся заложникам.</t>
        </is>
      </c>
      <c r="L6276" s="2" t="inlineStr">
        <is>
          <t>https://ru.wikipedia.org/w/index.php?title=%D0%94%D0%BE%D0%BC_%D0%B1%D0%B5%D0%B7_%D0%B2%D1%8B%D1%85%D0%BE%D0%B4%D0%B0&amp;oldid=149106377</t>
        </is>
      </c>
      <c r="M6276" s="2">
        <f>HYPERLINK("https://ru.wikipedia.org/w/index.php?search=%D0%94%D0%BE%D0%BC%20%D0%B1%D0%B5%D0%B7%20%D0%B2%D1%8B%D1%85%D0%BE%D0%B4%D0%B0%201988%20%D1%84%D0%B8%D0%BB%D1%8C%D0%BC","искать")</f>
        <v/>
      </c>
      <c r="N6276" s="3" t="n"/>
      <c r="O6276" s="2" t="n"/>
      <c r="P6276" s="2" t="n"/>
    </row>
    <row r="6277">
      <c r="A6277" s="2" t="n">
        <v>6276</v>
      </c>
      <c r="B6277" s="2" t="inlineStr"/>
      <c r="C6277" s="2" t="n">
        <v>10745</v>
      </c>
      <c r="D6277" s="3" t="inlineStr">
        <is>
          <t>Золушка</t>
        </is>
      </c>
      <c r="E6277" s="2" t="n">
        <v>1978</v>
      </c>
      <c r="F6277" s="2" t="inlineStr">
        <is>
          <t>фильм-спектакль</t>
        </is>
      </c>
      <c r="G6277" s="2" t="inlineStr">
        <is>
          <t>Творческое объединение "Экран"</t>
        </is>
      </c>
      <c r="H6277" s="2" t="n">
        <v>549</v>
      </c>
      <c r="I6277" s="2" t="inlineStr"/>
      <c r="J6277" s="2" t="inlineStr"/>
      <c r="K6277" s="3" t="inlineStr">
        <is>
          <t>По одноименной пьесе-сказке Евгения Шварца в постановке Государственного академического театра имени Евг. Вахтангова.
О трудолюбивой Золушке, ее злой мачехе, ленивых сестрах. О доброй фее и юном паже, которые помогут Золушке превратиться из несчастной замарашки в прекрасную незнакомку, и отправиться на Королевский бал. Она поразит на балу всех, начиная от добродушного короля, принца, и заканчивая придворными. На балу они с принцем влюбляются друг в друга, и в полночь, когда волшебство заканчивается, Золушка убегая, теряет хрустальную туфельку.</t>
        </is>
      </c>
      <c r="L6277" s="2" t="inlineStr">
        <is>
          <t>https://www.kino-teatr.ru/teatr/movie/81534/annot/</t>
        </is>
      </c>
      <c r="M6277" s="2">
        <f>HYPERLINK("https://ru.wikipedia.org/w/index.php?search=%D0%97%D0%BE%D0%BB%D1%83%D1%88%D0%BA%D0%B0%201978%20%D1%84%D0%B8%D0%BB%D1%8C%D0%BC","искать")</f>
        <v/>
      </c>
      <c r="N6277" s="3" t="n"/>
      <c r="O6277" s="2" t="n"/>
      <c r="P6277" s="2" t="n"/>
    </row>
    <row r="6278">
      <c r="A6278" s="2" t="n">
        <v>6277</v>
      </c>
      <c r="B6278" s="2" t="inlineStr"/>
      <c r="C6278" s="2" t="n">
        <v>10848</v>
      </c>
      <c r="D6278" s="3" t="inlineStr">
        <is>
          <t>Когда умер святой Патрик?</t>
        </is>
      </c>
      <c r="E6278" s="2" t="n">
        <v>1980</v>
      </c>
      <c r="F6278" s="2" t="inlineStr">
        <is>
          <t>фильм-спектакль</t>
        </is>
      </c>
      <c r="G6278" s="2" t="inlineStr">
        <is>
          <t>Ленинградское ТВ</t>
        </is>
      </c>
      <c r="H6278" s="2" t="n">
        <v>550</v>
      </c>
      <c r="I6278" s="2" t="inlineStr"/>
      <c r="J6278" s="2" t="inlineStr"/>
      <c r="K6278" s="3" t="inlineStr">
        <is>
          <t>По рассказу Шарлотты Армстронг "Утром, в день святого Патрика".
Журналист Митчелл Браун в баре знакомится с подвыпившей женщиной и отводит к себе домой переночевать, поскольку она очень пьяна и не контролирует себя. Он ищет у неё документы, но находит только чековую книжку со странным номером. Наутро незнакомка исчезает. Некоторое время спустя, в том же баре, Митчелл встречает её снова в компании мужчины, который оказывается её мужем. Она делает вид, что не узнает Митчелла. Оказывается, в тот вечер, в городе произошло убийство и ей нужно алиби.</t>
        </is>
      </c>
      <c r="L6278" s="2" t="inlineStr">
        <is>
          <t>https://www.kino-teatr.ru/teatr/movie/85350/annot/</t>
        </is>
      </c>
      <c r="M6278" s="2">
        <f>HYPERLINK("https://ru.wikipedia.org/w/index.php?search=%D0%9A%D0%BE%D0%B3%D0%B4%D0%B0%20%D1%83%D0%BC%D0%B5%D1%80%20%D1%81%D0%B2%D1%8F%D1%82%D0%BE%D0%B9%20%D0%9F%D0%B0%D1%82%D1%80%D0%B8%D0%BA%3F%201980%20%D1%84%D0%B8%D0%BB%D1%8C%D0%BC","искать")</f>
        <v/>
      </c>
      <c r="N6278" s="3" t="n"/>
      <c r="O6278" s="2" t="n"/>
      <c r="P6278" s="2" t="n"/>
    </row>
    <row r="6279">
      <c r="A6279" s="2" t="n">
        <v>6278</v>
      </c>
      <c r="B6279" s="2" t="inlineStr"/>
      <c r="C6279" s="2" t="n">
        <v>11966</v>
      </c>
      <c r="D6279" s="3" t="inlineStr">
        <is>
          <t>Ивашко и Баба-Яга</t>
        </is>
      </c>
      <c r="E6279" s="2" t="n">
        <v>1938</v>
      </c>
      <c r="F6279" s="2" t="inlineStr">
        <is>
          <t>мультфильм</t>
        </is>
      </c>
      <c r="G6279" s="2" t="inlineStr">
        <is>
          <t>Союзмультфильм</t>
        </is>
      </c>
      <c r="H6279" s="2" t="n">
        <v>551</v>
      </c>
      <c r="I6279" s="2" t="inlineStr"/>
      <c r="J6279" s="2" t="inlineStr"/>
      <c r="K6279" s="3" t="inlineStr">
        <is>
          <t>В основу фильма положена русская народная сказка. Жил-был маленький Ивашко-рыбак. Увидала его однажды Баба-Яга и решила похитить. Выковала злодейка у кузнеца тоненький голосок, пошла на берег озера и позвала Ивашку так, как обычно звала его родная бабушка. Приплыл к берегу маленький рыбак. Схватила его Баба-Яга и унесла в свою избушку. Но храбрый Ивашко не растерялся. Ловко обманул он черного Ворона, верного стража Бабы-Яги, и убежал из избушки.Бросилась за ним Баба-Яга, но подхватили мальчика гуси-лебеди и принесли его домой к дедушке и бабушке</t>
        </is>
      </c>
      <c r="L6279" s="2" t="inlineStr">
        <is>
          <t>https://gosfilmofond.ru/films/250667/</t>
        </is>
      </c>
      <c r="M6279" s="2">
        <f>HYPERLINK("https://ru.wikipedia.org/w/index.php?search=%D0%98%D0%B2%D0%B0%D1%88%D0%BA%D0%BE%20%D0%B8%20%D0%91%D0%B0%D0%B1%D0%B0-%D0%AF%D0%B3%D0%B0%201938%20%D1%84%D0%B8%D0%BB%D1%8C%D0%BC","искать")</f>
        <v/>
      </c>
      <c r="N6279" s="3" t="n"/>
      <c r="O6279" s="2" t="n"/>
      <c r="P6279" s="2" t="n"/>
    </row>
    <row r="6280">
      <c r="A6280" s="2" t="n">
        <v>6279</v>
      </c>
      <c r="B6280" s="2" t="inlineStr"/>
      <c r="C6280" s="2" t="n">
        <v>8194</v>
      </c>
      <c r="D6280" s="3" t="inlineStr">
        <is>
          <t>При открытых дверях</t>
        </is>
      </c>
      <c r="E6280" s="2" t="n">
        <v>1986</v>
      </c>
      <c r="F6280" s="2" t="inlineStr">
        <is>
          <t>телефильм</t>
        </is>
      </c>
      <c r="G6280" s="2" t="n"/>
      <c r="H6280" s="2" t="n">
        <v>552</v>
      </c>
      <c r="I6280" s="2" t="inlineStr"/>
      <c r="J6280" s="2" t="inlineStr"/>
      <c r="K6280" s="3" t="inlineStr">
        <is>
          <t>Социально-психологическая драма по мотивам пьесы В. Азерникова. В институте, где работает главный герой фильма - социолог Сергей Лужин, проводят расследование в связи с его должностным проступком: он забыл на заводе, где проводил социологический опрос, не подлежащие огласке данные. Их содержание становится известным коллективу цеха, возникает конфликт, так как выясняется, что официальный начальник цеха, Екатерина Михайловна, попавшая на должность по протекции, авторитетом в цехе не пользуется и что в цехе есть неофициальный лидер - инженер Углов.</t>
        </is>
      </c>
      <c r="L6280" s="2" t="inlineStr">
        <is>
          <t>Кино_СССР сводный каталог.xlsx: список телефильмов</t>
        </is>
      </c>
      <c r="M6280" s="2">
        <f>HYPERLINK("https://ru.wikipedia.org/w/index.php?search=%D0%9F%D1%80%D0%B8%20%D0%BE%D1%82%D0%BA%D1%80%D1%8B%D1%82%D1%8B%D1%85%20%D0%B4%D0%B2%D0%B5%D1%80%D1%8F%D1%85%201986%20%D1%84%D0%B8%D0%BB%D1%8C%D0%BC","искать")</f>
        <v/>
      </c>
      <c r="N6280" s="3" t="n"/>
      <c r="O6280" s="2" t="n"/>
      <c r="P6280" s="2" t="n"/>
    </row>
    <row r="6281">
      <c r="A6281" s="2" t="n">
        <v>6280</v>
      </c>
      <c r="B6281" s="2" t="inlineStr"/>
      <c r="C6281" s="2" t="n">
        <v>10141</v>
      </c>
      <c r="D6281" s="3" t="inlineStr">
        <is>
          <t>Дитя и волшебство</t>
        </is>
      </c>
      <c r="E6281" s="2" t="n">
        <v>1965</v>
      </c>
      <c r="F6281" s="2" t="inlineStr">
        <is>
          <t>фильм-спектакль</t>
        </is>
      </c>
      <c r="G6281" s="2" t="inlineStr">
        <is>
          <t>Ленинградское ТВ</t>
        </is>
      </c>
      <c r="H6281" s="2" t="n">
        <v>552</v>
      </c>
      <c r="I6281" s="2" t="inlineStr"/>
      <c r="J6281" s="2" t="inlineStr"/>
      <c r="K6281" s="3" t="inlineStr">
        <is>
          <t>Телефильм по опере Мориса Равеля в исполнении солистов, хора и оркестра Всесоюзного радио и Центрального телевидения, артистов балета Ленинградского академического Малого Театра оперы и балета.
«Дитя и волшебство» - лирическая фантазия, как определял ее сам композитор. Равель переложил на музыку историю французской писательницы Габриель Сидони Колетт об очень непослушном и неприятном мальчике. Однажды ночью все сломанные им игрушки и обитатели сада - бабочки, лягушки и прочая мелюзга, которых он мучил, - ожили и объединились, чтобы отомстить ему.</t>
        </is>
      </c>
      <c r="L6281" s="2" t="inlineStr">
        <is>
          <t>https://www.kino-teatr.ru/teatr/movie/88032/annot/</t>
        </is>
      </c>
      <c r="M6281" s="2">
        <f>HYPERLINK("https://ru.wikipedia.org/w/index.php?search=%D0%94%D0%B8%D1%82%D1%8F%20%D0%B8%20%D0%B2%D0%BE%D0%BB%D1%88%D0%B5%D0%B1%D1%81%D1%82%D0%B2%D0%BE%201965%20%D1%84%D0%B8%D0%BB%D1%8C%D0%BC","искать")</f>
        <v/>
      </c>
      <c r="N6281" s="3" t="n"/>
      <c r="O6281" s="2" t="n"/>
      <c r="P6281" s="2" t="n"/>
    </row>
    <row r="6282">
      <c r="A6282" s="2" t="n">
        <v>6281</v>
      </c>
      <c r="B6282" s="2" t="inlineStr"/>
      <c r="C6282" s="2" t="n">
        <v>10329</v>
      </c>
      <c r="D6282" s="3" t="inlineStr">
        <is>
          <t>Сесиль умерла</t>
        </is>
      </c>
      <c r="E6282" s="2" t="n">
        <v>1969</v>
      </c>
      <c r="F6282" s="2" t="inlineStr">
        <is>
          <t>фильм-спектакль</t>
        </is>
      </c>
      <c r="G6282" s="2" t="inlineStr">
        <is>
          <t>Центральное телевидение</t>
        </is>
      </c>
      <c r="H6282" s="2" t="n">
        <v>552</v>
      </c>
      <c r="I6282" s="2" t="inlineStr"/>
      <c r="J6282" s="2" t="inlineStr"/>
      <c r="K6282" s="3" t="inlineStr">
        <is>
          <t>Сесиль Маршан неожиданно обнаруживает, что квартиру, где она живёт вместе с больной тёткой, посещает кто-то чужой. Полицейские, которым было поручено вести наблюдение за этой квартирой, ничего подозрительного не заметили. Однако вскоре Сесиль и её родственницу находят убитыми... Выясняется, что Сесиль сама убила свою тётушку-скупердяйку, так как та, не хотела давать денег на подготовку к родам брату Сесили. А Дандюран убил Сесиль, чтобы та не рассказала всем, что он был любовником тётушки и на пару с ней (с тётушкой) отравил тетушкиного муженька.</t>
        </is>
      </c>
      <c r="L6282" s="2" t="inlineStr">
        <is>
          <t>https://ru.wikipedia.org/w/index.php?title=%D0%A1%D0%B5%D1%81%D0%B8%D0%BB%D1%8C_%D1%83%D0%BC%D0%B5%D1%80%D0%BB%D0%B0_%28%D1%82%D0%B5%D0%BB%D0%B5%D1%81%D0%BF%D0%B5%D0%BA%D1%82%D0%B0%D0%BA%D0%BB%D1%8C%29&amp;oldid=149110968</t>
        </is>
      </c>
      <c r="M6282" s="2">
        <f>HYPERLINK("https://ru.wikipedia.org/w/index.php?search=%D0%A1%D0%B5%D1%81%D0%B8%D0%BB%D1%8C%20%D1%83%D0%BC%D0%B5%D1%80%D0%BB%D0%B0%201969%20%D1%84%D0%B8%D0%BB%D1%8C%D0%BC","искать")</f>
        <v/>
      </c>
      <c r="N6282" s="3" t="n"/>
      <c r="O6282" s="2" t="n"/>
      <c r="P6282" s="2" t="n"/>
    </row>
    <row r="6283">
      <c r="A6283" s="2" t="n">
        <v>6282</v>
      </c>
      <c r="B6283" s="2" t="inlineStr"/>
      <c r="C6283" s="2" t="n">
        <v>9815</v>
      </c>
      <c r="D6283" s="3" t="inlineStr">
        <is>
          <t>Драма</t>
        </is>
      </c>
      <c r="E6283" s="2" t="n">
        <v>1960</v>
      </c>
      <c r="F6283" s="2" t="inlineStr">
        <is>
          <t>телефильм</t>
        </is>
      </c>
      <c r="G6283" s="2" t="inlineStr">
        <is>
          <t>ЦТ, Подборки фильмов, экранизации Чехова</t>
        </is>
      </c>
      <c r="H6283" s="2" t="n">
        <v>553</v>
      </c>
      <c r="I6283" s="2" t="inlineStr"/>
      <c r="J6283" s="2" t="inlineStr"/>
      <c r="K6283" s="3" t="inlineStr">
        <is>
          <t>Павел Васильевич, известный литератор, был в предвкушении желанного отдыха на даче, но, к его неудовольствию, отъезд неожиданно был задержан появлением странной дамы, отрекомендовавшейся его знакомой Мурашкиной.
Мурашкина входит в комнату и слёзно умоляет Павла Васильевича уделить ей полчаса, чтобы затем высказать своё мнение о написанной ею новой драме «О чём пели соловьи?».
Нудное чтение продолжалось так долго, что обезумевший писатель с криком: «Вяжите меня», — ударил незадачливую чтицу по голове тяжёлым пресс-папье.
Суд присяжных оправдал его.</t>
        </is>
      </c>
      <c r="L6283" s="2" t="inlineStr">
        <is>
          <t>https://ru.wikipedia.org/w/index.php?title=%D0%94%D1%80%D0%B0%D0%BC%D0%B0_%28%D1%84%D0%B8%D0%BB%D1%8C%D0%BC%29&amp;oldid=154695324</t>
        </is>
      </c>
      <c r="M6283" s="2">
        <f>HYPERLINK("https://ru.wikipedia.org/w/index.php?search=%D0%94%D1%80%D0%B0%D0%BC%D0%B0%201960%20%D1%84%D0%B8%D0%BB%D1%8C%D0%BC","искать")</f>
        <v/>
      </c>
      <c r="N6283" s="3" t="n"/>
      <c r="O6283" s="2" t="n"/>
      <c r="P6283" s="2" t="n"/>
    </row>
    <row r="6284">
      <c r="A6284" s="2" t="n">
        <v>6283</v>
      </c>
      <c r="B6284" s="2" t="inlineStr"/>
      <c r="C6284" s="2" t="n">
        <v>10404</v>
      </c>
      <c r="D6284" s="3" t="inlineStr">
        <is>
          <t>Малыш и Карлсон, который живет на крыше</t>
        </is>
      </c>
      <c r="E6284" s="2" t="n">
        <v>1971</v>
      </c>
      <c r="F6284" s="2" t="inlineStr">
        <is>
          <t>фильм-спектакль</t>
        </is>
      </c>
      <c r="G6284" s="2" t="inlineStr">
        <is>
          <t>ТО “Экран”, Подборки фильмов, экранизации Астрид Линдгрен</t>
        </is>
      </c>
      <c r="H6284" s="2" t="n">
        <v>553</v>
      </c>
      <c r="I6284" s="2" t="inlineStr"/>
      <c r="J6284" s="2" t="inlineStr"/>
      <c r="K6284" s="3" t="inlineStr">
        <is>
          <t>Спектакль Театра Сатиры по мотивам сказки Астрид Линдгрен "Три повести о Малыше и Карлсоне" в постановке Валентина Плучека.
Озорной Карлсон и доверчивый Малыш - герои всем известной сказки. Карлсон очень любит пошалить, а на все последствия шалостей у него есть "фирменная" отговорка: "Пустяки, дело то житейское!". Правда, родители Малыша так не считают, но все равно, скучать со своим летающим другом ему не приходится. То, лазая по крышам, друзья предотвращают крупную кражу (в роли жулика - Андрей Миронов), то вместе укрощают злую домомучительницу.</t>
        </is>
      </c>
      <c r="L6284" s="2" t="inlineStr">
        <is>
          <t>https://www.kino-teatr.ru/teatr/movie/3684/annot/</t>
        </is>
      </c>
      <c r="M6284" s="2">
        <f>HYPERLINK("https://ru.wikipedia.org/w/index.php?search=%D0%9C%D0%B0%D0%BB%D1%8B%D1%88%20%D0%B8%20%D0%9A%D0%B0%D1%80%D0%BB%D1%81%D0%BE%D0%BD%2C%20%D0%BA%D0%BE%D1%82%D0%BE%D1%80%D1%8B%D0%B9%20%D0%B6%D0%B8%D0%B2%D0%B5%D1%82%20%D0%BD%D0%B0%20%D0%BA%D1%80%D1%8B%D1%88%D0%B5%201971%20%D1%84%D0%B8%D0%BB%D1%8C%D0%BC","искать")</f>
        <v/>
      </c>
      <c r="N6284" s="3" t="n"/>
      <c r="O6284" s="2" t="n"/>
      <c r="P6284" s="2" t="n"/>
    </row>
    <row r="6285">
      <c r="A6285" s="2" t="n">
        <v>6284</v>
      </c>
      <c r="B6285" s="2" t="inlineStr"/>
      <c r="C6285" s="2" t="n">
        <v>11118</v>
      </c>
      <c r="D6285" s="3" t="inlineStr">
        <is>
          <t>На бойком месте</t>
        </is>
      </c>
      <c r="E6285" s="2" t="n">
        <v>1986</v>
      </c>
      <c r="F6285" s="2" t="inlineStr">
        <is>
          <t>фильм-спектакль</t>
        </is>
      </c>
      <c r="G6285" s="2" t="inlineStr">
        <is>
          <t>ТО “Экран”</t>
        </is>
      </c>
      <c r="H6285" s="2" t="n">
        <v>555</v>
      </c>
      <c r="I6285" s="2" t="inlineStr"/>
      <c r="J6285" s="2" t="inlineStr"/>
      <c r="K6285" s="3" t="inlineStr">
        <is>
          <t>Фильм-спектакль по одноименной пьесе А.Н.Островского с участием артистов московских театров .
На бойком месте устроил свой постоялый двор Вукол Ермолаевич Бессудный: днем - хлебосольный хозяин, ночью - разбойник и вор. Привечает он богатых купцов, опаивает сонным зельем да грабит их на лесной дороге. А жена его Евгения Мироновна, как уедет Вукол на ночной промысел, ждет в горнице любовника-красавца помещика Миловидова. Любит молодого боярина и сестра Вукола Аннушка. Глухие леса, суровые нравы, купеческая молодецкая удаль, женская ревность… Жди беды!</t>
        </is>
      </c>
      <c r="L6285" s="2" t="inlineStr">
        <is>
          <t>https://www.kino-teatr.ru/teatr/movie/82059/annot/</t>
        </is>
      </c>
      <c r="M6285" s="2">
        <f>HYPERLINK("https://ru.wikipedia.org/w/index.php?search=%D0%9D%D0%B0%20%D0%B1%D0%BE%D0%B9%D0%BA%D0%BE%D0%BC%20%D0%BC%D0%B5%D1%81%D1%82%D0%B5%201986%20%D1%84%D0%B8%D0%BB%D1%8C%D0%BC","искать")</f>
        <v/>
      </c>
      <c r="N6285" s="3" t="n"/>
      <c r="O6285" s="2" t="n"/>
      <c r="P6285" s="2" t="n"/>
    </row>
    <row r="6286">
      <c r="A6286" s="2" t="n">
        <v>6285</v>
      </c>
      <c r="B6286" s="2" t="inlineStr"/>
      <c r="C6286" s="2" t="n">
        <v>8471</v>
      </c>
      <c r="D6286" s="3" t="inlineStr">
        <is>
          <t>Третий в пятом ряду</t>
        </is>
      </c>
      <c r="E6286" s="2" t="n">
        <v>1984</v>
      </c>
      <c r="F6286" s="2" t="inlineStr">
        <is>
          <t>телефильм</t>
        </is>
      </c>
      <c r="G6286" s="2" t="n"/>
      <c r="H6286" s="2" t="n">
        <v>556</v>
      </c>
      <c r="I6286" s="2" t="inlineStr"/>
      <c r="J6286" s="2" t="inlineStr"/>
      <c r="K6286" s="3" t="inlineStr">
        <is>
          <t>Школьник Ваня Белов был не лучшим учеником класса. Его шутки и эгоизм вызывали раздражение у бывшей учительницы русского языка и литературы Веры Матвеевны, но её внучка, Елизавета, увидела в нём героя: он погиб в 1945 году, во время Великой Отечественной войны.
Незнакомый шестилетней девочке «довоенный мальчик» Ваня Белов, который всё делал по-своему, который был не таким, как все его одноклассники, становится для неё точкой отсчёта в поступках и мыслях. Тот Ваня Белов так и не успел стать дядей Ваней — он погиб на войне и остался мальчиком навсегда.</t>
        </is>
      </c>
      <c r="L6286" s="2" t="inlineStr">
        <is>
          <t>https://ru.wikipedia.org/w/index.php?title=%D0%A2%D1%80%D0%B5%D1%82%D0%B8%D0%B9_%D0%B2_%D0%BF%D1%8F%D1%82%D0%BE%D0%BC_%D1%80%D1%8F%D0%B4%D1%83&amp;oldid=153176957</t>
        </is>
      </c>
      <c r="M6286" s="2">
        <f>HYPERLINK("https://ru.wikipedia.org/w/index.php?search=%D0%A2%D1%80%D0%B5%D1%82%D0%B8%D0%B9%20%D0%B2%20%D0%BF%D1%8F%D1%82%D0%BE%D0%BC%20%D1%80%D1%8F%D0%B4%D1%83%201984%20%D1%84%D0%B8%D0%BB%D1%8C%D0%BC","искать")</f>
        <v/>
      </c>
      <c r="N6286" s="3" t="n"/>
      <c r="O6286" s="2" t="n"/>
      <c r="P6286" s="2" t="n"/>
    </row>
    <row r="6287">
      <c r="A6287" s="2" t="n">
        <v>6286</v>
      </c>
      <c r="B6287" s="2" t="inlineStr"/>
      <c r="C6287" s="2" t="n">
        <v>9342</v>
      </c>
      <c r="D6287" s="3" t="inlineStr">
        <is>
          <t>До первой крови</t>
        </is>
      </c>
      <c r="E6287" s="2" t="n">
        <v>1989</v>
      </c>
      <c r="F6287" s="2" t="inlineStr">
        <is>
          <t>кинофильм</t>
        </is>
      </c>
      <c r="G6287" s="2" t="n"/>
      <c r="H6287" s="2" t="n">
        <v>556</v>
      </c>
      <c r="I6287" s="2" t="inlineStr"/>
      <c r="J6287" s="2" t="inlineStr"/>
      <c r="K6287" s="3" t="inlineStr">
        <is>
          <t>Лето в Крыму. Пионерский лагерь. Раннее утро. Мирный утренний сон прерывает душераздирающий крик девочки: «Вставайте, война!» Ребята вскакивают с постелей, одеваются, бегают, кричат: «Ура!» Лагерь разделяется на «синих» и «зеленых». Командир отряда «синих» придумывает хитроумный план. Один из мальчиков, Саша, должен будет попасть в плен. Будучи арестованным, он выдаст планкарту с дезинформацией. «Арестованный» Саша выдает планкарту, и его отпускают. Командир его отряда отдает приказ «расстрелять» предателя... Но начинается дождь, и игра прекращается.</t>
        </is>
      </c>
      <c r="L6287" s="2" t="inlineStr">
        <is>
          <t>https://gosfilmofond.ru/films/247761/</t>
        </is>
      </c>
      <c r="M6287" s="2">
        <f>HYPERLINK("https://ru.wikipedia.org/w/index.php?search=%D0%94%D0%BE%20%D0%BF%D0%B5%D1%80%D0%B2%D0%BE%D0%B9%20%D0%BA%D1%80%D0%BE%D0%B2%D0%B8%201989%20%D1%84%D0%B8%D0%BB%D1%8C%D0%BC","искать")</f>
        <v/>
      </c>
      <c r="N6287" s="3" t="n"/>
      <c r="O6287" s="2" t="n"/>
      <c r="P6287" s="2" t="n"/>
    </row>
    <row r="6288">
      <c r="A6288" s="2" t="n">
        <v>6287</v>
      </c>
      <c r="B6288" s="2" t="inlineStr"/>
      <c r="C6288" s="2" t="n">
        <v>10280</v>
      </c>
      <c r="D6288" s="3" t="inlineStr">
        <is>
          <t>Эта деревня Могила...</t>
        </is>
      </c>
      <c r="E6288" s="2" t="n">
        <v>1968</v>
      </c>
      <c r="F6288" s="2" t="inlineStr">
        <is>
          <t>фильм-спектакль</t>
        </is>
      </c>
      <c r="G6288" s="2" t="inlineStr">
        <is>
          <t>Главная редакция литературно-драматических программ ЦТ</t>
        </is>
      </c>
      <c r="H6288" s="2" t="n">
        <v>557</v>
      </c>
      <c r="I6288" s="2" t="inlineStr"/>
      <c r="J6288" s="2" t="inlineStr"/>
      <c r="K6288" s="3" t="inlineStr">
        <is>
          <t>По произведению Ежи Брошкевича.
Строителей металлургического комбината и нового города Нова Гута пригласили на телевидение в передачу «Вчера – Сегодня», чтобы рассказать, как все когда-то начиналось.
Итак, приехав на великую стройку социализма, в деревню под названием Могила, строителей встретила «глина, грязь и собачье жилье на мокрой земле». Это было трудное время. Но прошли годы, комбинат был построен, новый образцовый социалистический город металлургов вырос...
Позже, именно Нова Гута стала родиной движения «Солидарность», основанного в 1980 году.</t>
        </is>
      </c>
      <c r="L6288" s="2" t="inlineStr">
        <is>
          <t>https://www.kino-teatr.ru/teatr/movie/146195/annot/</t>
        </is>
      </c>
      <c r="M6288" s="2">
        <f>HYPERLINK("https://ru.wikipedia.org/w/index.php?search=%D0%AD%D1%82%D0%B0%20%D0%B4%D0%B5%D1%80%D0%B5%D0%B2%D0%BD%D1%8F%20%D0%9C%D0%BE%D0%B3%D0%B8%D0%BB%D0%B0...%201968%20%D1%84%D0%B8%D0%BB%D1%8C%D0%BC","искать")</f>
        <v/>
      </c>
      <c r="N6288" s="3" t="n"/>
      <c r="O6288" s="2" t="n"/>
      <c r="P6288" s="2" t="n"/>
    </row>
    <row r="6289">
      <c r="A6289" s="2" t="n">
        <v>6288</v>
      </c>
      <c r="B6289" s="2" t="inlineStr"/>
      <c r="C6289" s="2" t="n">
        <v>7327</v>
      </c>
      <c r="D6289" s="3" t="inlineStr">
        <is>
          <t>Весна в сердце</t>
        </is>
      </c>
      <c r="E6289" s="2" t="n">
        <v>1984</v>
      </c>
      <c r="F6289" s="2" t="inlineStr">
        <is>
          <t>телефильм</t>
        </is>
      </c>
      <c r="G6289" s="2" t="n"/>
      <c r="H6289" s="2" t="n">
        <v>558</v>
      </c>
      <c r="I6289" s="2" t="inlineStr"/>
      <c r="J6289" s="2" t="inlineStr"/>
      <c r="K6289" s="3" t="inlineStr">
        <is>
          <t>Телефильм по мотивам повести Оскара Лутса повествует о певческом летнем лагере, куда деть приезжают не только петь и танцевать, но и беззаботно отдохнуть. Главные герои - мальчик с "серебряным голосом" Тоомас, у которого поначалу дела в лагере складывались не лучшим образом, весьма миловидная девочка Элле, в которую Тоомас сразу же влюбляется, юный любитель современной музыки Тынис и сварливый воспитатель, которого невинные детские шалости доводят до белого каления (эту роль отлично сыграл Феликс Карк, брат популярнейшего эстонского актера Тыну Карка).</t>
        </is>
      </c>
      <c r="L6289" s="2" t="inlineStr">
        <is>
          <t>Кино_СССР сводный каталог.xlsx: список телефильмов</t>
        </is>
      </c>
      <c r="M6289" s="2">
        <f>HYPERLINK("https://ru.wikipedia.org/w/index.php?search=%D0%92%D0%B5%D1%81%D0%BD%D0%B0%20%D0%B2%20%D1%81%D0%B5%D1%80%D0%B4%D1%86%D0%B5%201984%20%D1%84%D0%B8%D0%BB%D1%8C%D0%BC","искать")</f>
        <v/>
      </c>
      <c r="N6289" s="3" t="n"/>
      <c r="O6289" s="2" t="n"/>
      <c r="P6289" s="2" t="n"/>
    </row>
    <row r="6290">
      <c r="A6290" s="2" t="n">
        <v>6289</v>
      </c>
      <c r="B6290" s="2" t="inlineStr"/>
      <c r="C6290" s="2" t="n">
        <v>7678</v>
      </c>
      <c r="D6290" s="3" t="inlineStr">
        <is>
          <t>Идущие за горизонт</t>
        </is>
      </c>
      <c r="E6290" s="2" t="n">
        <v>1972</v>
      </c>
      <c r="F6290" s="2" t="inlineStr">
        <is>
          <t>телефильм</t>
        </is>
      </c>
      <c r="G6290" s="2" t="n"/>
      <c r="H6290" s="2" t="n">
        <v>559</v>
      </c>
      <c r="I6290" s="2" t="inlineStr"/>
      <c r="J6290" s="2" t="inlineStr"/>
      <c r="K6290" s="3" t="inlineStr">
        <is>
          <t>Экранизация повести Олега Куваева «Птица капитана Росса» (1968), посвященной проблемам поиска человеком своего предназначения в жизни, обретения им умения и воли «жить по мечте». В ней рассказывается история поиска мест обитания легендарной розовой чайки молодым человеком, быстро теряющим зрение в результате горнолыжной травмы, приведшей к полному краху его спортивной карьеры. Одновременно с написанием сценария фильма и сама повесть подверглась глубокой переработке и в дальнейшем выходила в новом, расширенном виде под названием «Тройной полярный сюжет».</t>
        </is>
      </c>
      <c r="L6290" s="2" t="inlineStr">
        <is>
          <t>https://ru.wikipedia.org/w/index.php?title=%D0%98%D0%B4%D1%83%D1%89%D0%B8%D0%B5_%D0%B7%D0%B0_%D0%B3%D0%BE%D1%80%D0%B8%D0%B7%D0%BE%D0%BD%D1%82&amp;oldid=147181023</t>
        </is>
      </c>
      <c r="M6290" s="2">
        <f>HYPERLINK("https://ru.wikipedia.org/w/index.php?search=%D0%98%D0%B4%D1%83%D1%89%D0%B8%D0%B5%20%D0%B7%D0%B0%20%D0%B3%D0%BE%D1%80%D0%B8%D0%B7%D0%BE%D0%BD%D1%82%201972%20%D1%84%D0%B8%D0%BB%D1%8C%D0%BC","искать")</f>
        <v/>
      </c>
      <c r="N6290" s="3" t="n"/>
      <c r="O6290" s="2" t="n"/>
      <c r="P6290" s="2" t="n"/>
    </row>
    <row r="6291">
      <c r="A6291" s="2" t="n">
        <v>6290</v>
      </c>
      <c r="B6291" s="2" t="inlineStr"/>
      <c r="C6291" s="2" t="n">
        <v>10641</v>
      </c>
      <c r="D6291" s="3" t="inlineStr">
        <is>
          <t>Волшебное кресло</t>
        </is>
      </c>
      <c r="E6291" s="2" t="n">
        <v>1976</v>
      </c>
      <c r="F6291" s="2" t="inlineStr">
        <is>
          <t>фильм-спектакль</t>
        </is>
      </c>
      <c r="G6291" s="2" t="inlineStr">
        <is>
          <t>ЦТ СССР</t>
        </is>
      </c>
      <c r="H6291" s="2" t="n">
        <v>560</v>
      </c>
      <c r="I6291" s="2" t="inlineStr"/>
      <c r="J6291" s="2" t="inlineStr"/>
      <c r="K6291" s="3" t="inlineStr">
        <is>
          <t>По пьесе венгерского писателя Фридьеша Каринти.
Неожиданно в учреждение прислали кресло. Всякий, кто садится в это кресло, начинает ни с того ни с сего говорить, что думает, без утайки.
Поставленное в кабинет человека, решающего судьбу изобретателя, оно оказывается попеременно под разными начальственными лицами.
Обнаруживается, что они говорят не то, что думают, причем расхождения комически, а также трагически велики. Все начальники друг с другом смертельно ссорятся, кое-кому кое-что грозит. Так изобретатель наказал всю компанию зажимщиков новой техники.</t>
        </is>
      </c>
      <c r="L6291" s="2" t="inlineStr">
        <is>
          <t>https://www.kino-teatr.ru/teatr/movie/127629/annot/</t>
        </is>
      </c>
      <c r="M6291" s="2">
        <f>HYPERLINK("https://ru.wikipedia.org/w/index.php?search=%D0%92%D0%BE%D0%BB%D1%88%D0%B5%D0%B1%D0%BD%D0%BE%D0%B5%20%D0%BA%D1%80%D0%B5%D1%81%D0%BB%D0%BE%201976%20%D1%84%D0%B8%D0%BB%D1%8C%D0%BC","искать")</f>
        <v/>
      </c>
      <c r="N6291" s="3" t="n"/>
      <c r="O6291" s="2" t="n"/>
      <c r="P6291" s="2" t="n"/>
    </row>
    <row r="6292">
      <c r="A6292" s="2" t="n">
        <v>6291</v>
      </c>
      <c r="B6292" s="2" t="inlineStr"/>
      <c r="C6292" s="2" t="n">
        <v>8006</v>
      </c>
      <c r="D6292" s="3" t="inlineStr">
        <is>
          <t>Новые приключения Дони и Микки</t>
        </is>
      </c>
      <c r="E6292" s="2" t="n">
        <v>1973</v>
      </c>
      <c r="F6292" s="2" t="inlineStr">
        <is>
          <t>телефильм</t>
        </is>
      </c>
      <c r="G6292" s="2" t="inlineStr">
        <is>
          <t>Экран</t>
        </is>
      </c>
      <c r="H6292" s="2" t="n">
        <v>563</v>
      </c>
      <c r="I6292" s="2" t="inlineStr"/>
      <c r="J6292" s="2" t="inlineStr"/>
      <c r="K6292" s="3" t="inlineStr">
        <is>
          <t>В фильме описаны приключения двух обезьянок — Дони и Микки, которые своим пребыванием в местах, где живут люди, создают массу курьёзных и комических ситуаций. Съёмка всех сцен с участием животных проходила под руководством дрессировщика Степана Исаакяна.
Фильм состоит из двух частей: «Битва за двор» и «Операция „Бегемот“»:
«Битва за двор»: взрослый хулиган приходит во двор, где играют малыши, и начинает приставать к детям; обезьянки берутся его проучить.
«Операция „Бегемот“»: преступники похищают из цирка бегемота, и обезьянки отправляются за ними в погоню.</t>
        </is>
      </c>
      <c r="L6292" s="2" t="inlineStr">
        <is>
          <t>https://ru.wikipedia.org/w/index.php?title=%D0%9D%D0%BE%D0%B2%D1%8B%D0%B5_%D0%BF%D1%80%D0%B8%D0%BA%D0%BB%D1%8E%D1%87%D0%B5%D0%BD%D0%B8%D1%8F_%D0%94%D0%BE%D0%BD%D0%B8_%D0%B8_%D0%9C%D0%B8%D0%BA%D0%BA%D0%B8&amp;oldid=149106363</t>
        </is>
      </c>
      <c r="M6292" s="2">
        <f>HYPERLINK("https://ru.wikipedia.org/w/index.php?search=%D0%9D%D0%BE%D0%B2%D1%8B%D0%B5%20%D0%BF%D1%80%D0%B8%D0%BA%D0%BB%D1%8E%D1%87%D0%B5%D0%BD%D0%B8%D1%8F%20%D0%94%D0%BE%D0%BD%D0%B8%20%D0%B8%20%D0%9C%D0%B8%D0%BA%D0%BA%D0%B8%201973%20%D1%84%D0%B8%D0%BB%D1%8C%D0%BC","искать")</f>
        <v/>
      </c>
      <c r="N6292" s="3" t="n"/>
      <c r="O6292" s="2" t="n"/>
      <c r="P6292" s="2" t="n"/>
    </row>
    <row r="6293">
      <c r="A6293" s="2" t="n">
        <v>6292</v>
      </c>
      <c r="B6293" s="2" t="inlineStr"/>
      <c r="C6293" s="2" t="n">
        <v>10523</v>
      </c>
      <c r="D6293" s="3" t="inlineStr">
        <is>
          <t>Сослуживцы</t>
        </is>
      </c>
      <c r="E6293" s="2" t="n">
        <v>1973</v>
      </c>
      <c r="F6293" s="2" t="inlineStr">
        <is>
          <t>фильм-спектакль</t>
        </is>
      </c>
      <c r="G6293" s="2" t="inlineStr">
        <is>
          <t>Главная редакция литературно-драматических программ ЦТ</t>
        </is>
      </c>
      <c r="H6293" s="2" t="n">
        <v>564</v>
      </c>
      <c r="I6293" s="2" t="inlineStr"/>
      <c r="J6293" s="2" t="inlineStr"/>
      <c r="K6293" s="3" t="inlineStr">
        <is>
          <t>Романтичная сказка, сыгранная замечательными актерами Театра Маяковского. Первая постановка пьесы «Сослуживцы» Эмиля Брагинского и Эльдара Рязанова.
Авторы написали ее всего за 22 дня. Знаменитый фильм «Служебный роман», снятый по этой пьесе, вышел на экраны через четыре года после этого спектакля и сразу стал лучшим фильмом 1977 года.
Итак, перед вами — история начальницы-мымры и забитого жизнью статистика, которые не покидая пределов Москвы и не слишком удаляясь от родного «статистического учреждения», внезапно превратились в прекрасных принца и принцессу.</t>
        </is>
      </c>
      <c r="L6293" s="2" t="inlineStr">
        <is>
          <t>https://www.kino-teatr.ru/teatr/movie/17054/annot/</t>
        </is>
      </c>
      <c r="M6293" s="2">
        <f>HYPERLINK("https://ru.wikipedia.org/w/index.php?search=%D0%A1%D0%BE%D1%81%D0%BB%D1%83%D0%B6%D0%B8%D0%B2%D1%86%D1%8B%201973%20%D1%84%D0%B8%D0%BB%D1%8C%D0%BC","искать")</f>
        <v/>
      </c>
      <c r="N6293" s="3" t="n"/>
      <c r="O6293" s="2" t="n"/>
      <c r="P6293" s="2" t="n"/>
    </row>
    <row r="6294">
      <c r="A6294" s="2" t="n">
        <v>6293</v>
      </c>
      <c r="B6294" s="2" t="inlineStr"/>
      <c r="C6294" s="2" t="n">
        <v>11123</v>
      </c>
      <c r="D6294" s="3" t="inlineStr">
        <is>
          <t>Переход на летнее время</t>
        </is>
      </c>
      <c r="E6294" s="2" t="n">
        <v>1986</v>
      </c>
      <c r="F6294" s="2" t="inlineStr">
        <is>
          <t>фильм-спектакль</t>
        </is>
      </c>
      <c r="G6294" s="2" t="inlineStr">
        <is>
          <t>Главная редакция литературно-драматических программ ЦТ</t>
        </is>
      </c>
      <c r="H6294" s="2" t="n">
        <v>564</v>
      </c>
      <c r="I6294" s="2" t="inlineStr"/>
      <c r="J6294" s="2" t="inlineStr"/>
      <c r="K6294" s="3" t="inlineStr">
        <is>
          <t>По одноименной комедии А.Салынского.
Действие происходит в учреждении, называемом "Экспериментальной базой новой управленческой техники". Слухи о предстоящем сокращении штатов всколыхнули весь коллектив. Одни пытаются использовать сложившуюся ситуацию для продвижения по службе, другие по-прежнему выполняют свои обязанности, не задумываясь над смыслом всей своей "деятельности". Лишь один из сотрудников, Савкин, открыто бросает вызов рутине и безделью, предлагая ликвидировать базу и каждому найти для себя работу, на которой действительно можно принести пользу.</t>
        </is>
      </c>
      <c r="L6294" s="2" t="inlineStr">
        <is>
          <t>https://www.kino-teatr.ru/teatr/movie/15774/annot/</t>
        </is>
      </c>
      <c r="M6294" s="2">
        <f>HYPERLINK("https://ru.wikipedia.org/w/index.php?search=%D0%9F%D0%B5%D1%80%D0%B5%D1%85%D0%BE%D0%B4%20%D0%BD%D0%B0%20%D0%BB%D0%B5%D1%82%D0%BD%D0%B5%D0%B5%20%D0%B2%D1%80%D0%B5%D0%BC%D1%8F%201986%20%D1%84%D0%B8%D0%BB%D1%8C%D0%BC","искать")</f>
        <v/>
      </c>
      <c r="N6294" s="3" t="n"/>
      <c r="O6294" s="2" t="n"/>
      <c r="P6294" s="2" t="n"/>
    </row>
    <row r="6295">
      <c r="A6295" s="2" t="n">
        <v>6294</v>
      </c>
      <c r="B6295" s="2" t="inlineStr"/>
      <c r="C6295" s="2" t="n">
        <v>11515</v>
      </c>
      <c r="D6295" s="3" t="inlineStr">
        <is>
          <t>Золотой мальчик</t>
        </is>
      </c>
      <c r="E6295" s="2" t="n">
        <v>1969</v>
      </c>
      <c r="F6295" s="2" t="inlineStr">
        <is>
          <t>мультфильм</t>
        </is>
      </c>
      <c r="G6295" s="2" t="inlineStr">
        <is>
          <t>Союзмультфильм</t>
        </is>
      </c>
      <c r="H6295" s="2" t="n">
        <v>564</v>
      </c>
      <c r="I6295" s="2" t="inlineStr"/>
      <c r="J6295" s="2" t="inlineStr"/>
      <c r="K6295" s="3" t="inlineStr">
        <is>
          <t>Разнесся слух, что в сказочной стране живет золотой мальчик. И вот начали искать его: разбойник, которому хочется отдохнуть от разбойных дел, король, изгнанный из дворца, где устроен музей, толстая дама, мечтающая о жемчугах и кольцах, и медведь, которому золото нужно, чтоб вставить зубы. Но медведя мальчик уговаривает вставить готовую белую челюсть. Разбойника устраивает работать дворником в домоуправлении. Толстая дама похудела, играя с мальчиком. Короля он усаживает на его собственный трон, но - в музее. И мальчик этот не золотой, а рыжий, но очень добрый</t>
        </is>
      </c>
      <c r="L6295" s="2" t="inlineStr">
        <is>
          <t>https://gosfilmofond.ru/films/254745/</t>
        </is>
      </c>
      <c r="M6295" s="2">
        <f>HYPERLINK("https://ru.wikipedia.org/w/index.php?search=%D0%97%D0%BE%D0%BB%D0%BE%D1%82%D0%BE%D0%B9%20%D0%BC%D0%B0%D0%BB%D1%8C%D1%87%D0%B8%D0%BA%201969%20%D1%84%D0%B8%D0%BB%D1%8C%D0%BC","искать")</f>
        <v/>
      </c>
      <c r="N6295" s="3" t="n"/>
      <c r="O6295" s="2" t="n"/>
      <c r="P6295" s="2" t="n"/>
    </row>
    <row r="6296">
      <c r="A6296" s="2" t="n">
        <v>6295</v>
      </c>
      <c r="B6296" s="2" t="inlineStr"/>
      <c r="C6296" s="2" t="n">
        <v>7488</v>
      </c>
      <c r="D6296" s="3" t="inlineStr">
        <is>
          <t>Девушка и море</t>
        </is>
      </c>
      <c r="E6296" s="2" t="n">
        <v>1981</v>
      </c>
      <c r="F6296" s="2" t="inlineStr">
        <is>
          <t>телефильм</t>
        </is>
      </c>
      <c r="G6296" s="2" t="n"/>
      <c r="H6296" s="2" t="n">
        <v>565</v>
      </c>
      <c r="I6296" s="2" t="inlineStr"/>
      <c r="J6296" s="2" t="inlineStr"/>
      <c r="K6296" s="3" t="inlineStr">
        <is>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is>
      </c>
      <c r="L6296" s="2" t="inlineStr">
        <is>
          <t>https://ru.wikipedia.org/w/index.php?title=%D0%94%D0%B5%D0%B2%D1%83%D1%88%D0%BA%D0%B0_%D0%B8_%D0%BC%D0%BE%D1%80%D0%B5_%28%D1%84%D0%B8%D0%BB%D1%8C%D0%BC%29&amp;oldid=153914380</t>
        </is>
      </c>
      <c r="M6296" s="2">
        <f>HYPERLINK("https://ru.wikipedia.org/w/index.php?search=%D0%94%D0%B5%D0%B2%D1%83%D1%88%D0%BA%D0%B0%20%D0%B8%20%D0%BC%D0%BE%D1%80%D0%B5%201981%20%D1%84%D0%B8%D0%BB%D1%8C%D0%BC","искать")</f>
        <v/>
      </c>
      <c r="N6296" s="3" t="n"/>
      <c r="O6296" s="2" t="n"/>
      <c r="P6296" s="2" t="n"/>
    </row>
    <row r="6297">
      <c r="A6297" s="2" t="n">
        <v>6296</v>
      </c>
      <c r="B6297" s="2" t="inlineStr"/>
      <c r="C6297" s="2" t="n">
        <v>7967</v>
      </c>
      <c r="D6297" s="3" t="inlineStr">
        <is>
          <t>Не стреляйте в белых лебедей</t>
        </is>
      </c>
      <c r="E6297" s="2" t="n">
        <v>1980</v>
      </c>
      <c r="F6297" s="2" t="inlineStr">
        <is>
          <t>телефильм</t>
        </is>
      </c>
      <c r="G6297" s="2" t="n"/>
      <c r="H6297" s="2" t="n">
        <v>566</v>
      </c>
      <c r="I6297" s="2" t="inlineStr"/>
      <c r="J6297" s="2" t="inlineStr"/>
      <c r="K6297" s="3" t="inlineStr">
        <is>
          <t>Егор Полушкин (Станислав Любшин) живёт в деревне. Односельчане и жена прозвали его Бедоносцем. За что бы он ни брался, любая работа или дело кончались неудачей. Егор сильно отличается от практичных и рассудительных односельчан: он обладает талантом истинного художника, со своим собственным взглядом на жизнь. После долгих поисков Полушкин находит своё призвание — он устраивается работать лесником. Единственными друзьями Егора становятся белые лебеди, о которых он заботится с особой нежностью. Но однажды в лес приходят браконьеры, которые убивают ручных лебедей.</t>
        </is>
      </c>
      <c r="L6297" s="2" t="inlineStr">
        <is>
          <t>https://ru.wikipedia.org/w/index.php?title=%D0%9D%D0%B5_%D1%81%D1%82%D1%80%D0%B5%D0%BB%D1%8F%D0%B9%D1%82%D0%B5_%D0%B2_%D0%B1%D0%B5%D0%BB%D1%8B%D1%85_%D0%BB%D0%B5%D0%B1%D0%B5%D0%B4%D0%B5%D0%B9_%28%D1%84%D0%B8%D0%BB%D1%8C%D0%BC%29&amp;oldid=153050609</t>
        </is>
      </c>
      <c r="M6297" s="2">
        <f>HYPERLINK("https://ru.wikipedia.org/w/index.php?search=%D0%9D%D0%B5%20%D1%81%D1%82%D1%80%D0%B5%D0%BB%D1%8F%D0%B9%D1%82%D0%B5%20%D0%B2%20%D0%B1%D0%B5%D0%BB%D1%8B%D1%85%20%D0%BB%D0%B5%D0%B1%D0%B5%D0%B4%D0%B5%D0%B9%201980%20%D1%84%D0%B8%D0%BB%D1%8C%D0%BC","искать")</f>
        <v/>
      </c>
      <c r="N6297" s="3" t="n"/>
      <c r="O6297" s="2" t="n"/>
      <c r="P6297" s="2" t="n"/>
    </row>
    <row r="6298">
      <c r="A6298" s="2" t="n">
        <v>6297</v>
      </c>
      <c r="B6298" s="2" t="inlineStr"/>
      <c r="C6298" s="2" t="n">
        <v>10951</v>
      </c>
      <c r="D6298" s="3" t="inlineStr">
        <is>
          <t>Несколько капель</t>
        </is>
      </c>
      <c r="E6298" s="2" t="n">
        <v>1982</v>
      </c>
      <c r="F6298" s="2" t="inlineStr">
        <is>
          <t>фильм-спектакль</t>
        </is>
      </c>
      <c r="G6298" s="2" t="inlineStr">
        <is>
          <t>Главная редакция литературно-драматических программ ЦТ</t>
        </is>
      </c>
      <c r="H6298" s="2" t="n">
        <v>567</v>
      </c>
      <c r="I6298" s="2" t="inlineStr"/>
      <c r="J6298" s="2" t="inlineStr"/>
      <c r="K6298" s="3" t="inlineStr">
        <is>
          <t>Четыре одноактных пьесы Виктора Розова в двух частях:
Часть первая.
"Хозяин" - Швейцар, по своему трактующий слово "хозяин", не пускает в ресторан не понравившихся ему молодых людей.
"Заступница" - Тринадцатилетняя девочка, защищает своего отца от директора фабрики, унижающего чувство человеческого достоинства подчиненных.
"Квиты" - О встрече старых знакомых - доброго, искреннего ученого Денисова и завистливого заведующего телеателье Селезнева.
Часть вторая.
"Праздник" - О черствости дочери по отношению к своим родителям, которая привела к тяжелым последствиям.</t>
        </is>
      </c>
      <c r="L6298" s="2" t="inlineStr">
        <is>
          <t>https://www.kino-teatr.ru/teatr/movie/4435/annot/</t>
        </is>
      </c>
      <c r="M6298" s="2">
        <f>HYPERLINK("https://ru.wikipedia.org/w/index.php?search=%D0%9D%D0%B5%D1%81%D0%BA%D0%BE%D0%BB%D1%8C%D0%BA%D0%BE%20%D0%BA%D0%B0%D0%BF%D0%B5%D0%BB%D1%8C%201982%20%D1%84%D0%B8%D0%BB%D1%8C%D0%BC","искать")</f>
        <v/>
      </c>
      <c r="N6298" s="3" t="n"/>
      <c r="O6298" s="2" t="n"/>
      <c r="P6298" s="2" t="n"/>
    </row>
    <row r="6299">
      <c r="A6299" s="2" t="n">
        <v>6298</v>
      </c>
      <c r="B6299" s="2" t="inlineStr"/>
      <c r="C6299" s="2" t="n">
        <v>11714</v>
      </c>
      <c r="D6299" s="3" t="inlineStr">
        <is>
          <t>По следам бременских музыкантов</t>
        </is>
      </c>
      <c r="E6299" s="2" t="n">
        <v>1973</v>
      </c>
      <c r="F6299" s="2" t="inlineStr">
        <is>
          <t>мультфильм</t>
        </is>
      </c>
      <c r="G6299" s="2" t="inlineStr">
        <is>
          <t>Союзмультфильм</t>
        </is>
      </c>
      <c r="H6299" s="2" t="n">
        <v>567</v>
      </c>
      <c r="I6299" s="2" t="inlineStr"/>
      <c r="J6299" s="2" t="inlineStr"/>
      <c r="K6299" s="3" t="inlineStr">
        <is>
          <t>Анимационный мюзикл по мотивам сказки братьев Гримм.
На поиски беглой принцессы безутешный отец отправляет лучшие ум, глаза и уши королевства - Сыщика.Музыка из мультфильма:Луч солнца золотого(2.86 Мб)Куда ты тропинка меня привела(1.44 Мб)Дуэт Трубадура и Принцессы(1.79 Мб)А, как известно, мы народ горячий(1.69 Мб)Ох рано встает охрана(1.69 Мб)Песня разбойников(2.52 Мб)Главная тема мультфильма(5.83 Мб)Песня гениального сыщика(1.65 Мб)Ничего на свете лучше нету(2.29 Мб)Мы к вам заехали на час(1.90 Мб)Говорят мы буки-бяки(2.23 Мб)Дуэт Короля и Принцессы(1.70 Мб)</t>
        </is>
      </c>
      <c r="L6299" s="2" t="inlineStr">
        <is>
          <t>2026-10_мультфильмы_список_владельца.xlsx; https://animator.ru/db/?p=show_film&amp;fid=2628</t>
        </is>
      </c>
      <c r="M6299" s="2">
        <f>HYPERLINK("https://ru.wikipedia.org/w/index.php?search=%D0%9F%D0%BE%20%D1%81%D0%BB%D0%B5%D0%B4%D0%B0%D0%BC%20%D0%B1%D1%80%D0%B5%D0%BC%D0%B5%D0%BD%D1%81%D0%BA%D0%B8%D1%85%20%D0%BC%D1%83%D0%B7%D1%8B%D0%BA%D0%B0%D0%BD%D1%82%D0%BE%D0%B2%201973%20%D1%84%D0%B8%D0%BB%D1%8C%D0%BC","искать")</f>
        <v/>
      </c>
      <c r="N6299" s="3" t="n"/>
      <c r="O6299" s="2" t="n"/>
      <c r="P6299" s="2" t="n"/>
    </row>
    <row r="6300">
      <c r="A6300" s="2" t="n">
        <v>6299</v>
      </c>
      <c r="B6300" s="2" t="inlineStr"/>
      <c r="C6300" s="2" t="n">
        <v>10864</v>
      </c>
      <c r="D6300" s="3" t="inlineStr">
        <is>
          <t>Простая девушка</t>
        </is>
      </c>
      <c r="E6300" s="2" t="n">
        <v>1980</v>
      </c>
      <c r="F6300" s="2" t="inlineStr">
        <is>
          <t>фильм-спектакль</t>
        </is>
      </c>
      <c r="G6300" s="2" t="inlineStr">
        <is>
          <t>Центральное телевидение, гл. ред. лит.-драм. программ</t>
        </is>
      </c>
      <c r="H6300" s="2" t="n">
        <v>568</v>
      </c>
      <c r="I6300" s="2" t="inlineStr"/>
      <c r="J6300" s="2" t="inlineStr"/>
      <c r="K6300" s="3" t="inlineStr">
        <is>
          <t>По одноименной комедии В.Шкваркина.
1930-е годы. Оля приезжает в город поступать в институт. Не пройдя по конкурсу, она устраивается домработницей. Сын хозяев Коля влюбляется в нее, вызвав этим негодование своих родителей. Неожиданно проходит слух, что Оля журналистка - и собирает материалы для статьи о жильцах дома. Это заставляет родителей Коли и соседей резко изменить свое отношение к ней...
В спектакле звучит музыка 1930-х годов, в том числе известный вальс "Память цветов".
Для Александра Белинского этот спектакль стал пятой постановкой по пьесе В.Шкваркина.</t>
        </is>
      </c>
      <c r="L6300" s="2" t="inlineStr">
        <is>
          <t>https://www.kino-teatr.ru/teatr/movie/15399/annot/</t>
        </is>
      </c>
      <c r="M6300" s="2">
        <f>HYPERLINK("https://ru.wikipedia.org/w/index.php?search=%D0%9F%D1%80%D0%BE%D1%81%D1%82%D0%B0%D1%8F%20%D0%B4%D0%B5%D0%B2%D1%83%D1%88%D0%BA%D0%B0%201980%20%D1%84%D0%B8%D0%BB%D1%8C%D0%BC","искать")</f>
        <v/>
      </c>
      <c r="N6300" s="3" t="n"/>
      <c r="O6300" s="2" t="n"/>
      <c r="P6300" s="2" t="n"/>
    </row>
    <row r="6301">
      <c r="A6301" s="2" t="n">
        <v>6300</v>
      </c>
      <c r="B6301" s="2" t="inlineStr"/>
      <c r="C6301" s="2" t="n">
        <v>10994</v>
      </c>
      <c r="D6301" s="3" t="inlineStr">
        <is>
          <t>Ложь на длинных ногах</t>
        </is>
      </c>
      <c r="E6301" s="2" t="n">
        <v>1983</v>
      </c>
      <c r="F6301" s="2" t="inlineStr">
        <is>
          <t>фильм-спектакль</t>
        </is>
      </c>
      <c r="G6301" s="2" t="inlineStr">
        <is>
          <t>Творческое объединение "Экран"</t>
        </is>
      </c>
      <c r="H6301" s="2" t="n">
        <v>568</v>
      </c>
      <c r="I6301" s="2" t="inlineStr"/>
      <c r="J6301" s="2" t="inlineStr"/>
      <c r="K6301" s="3" t="inlineStr">
        <is>
          <t>По одноименной пьесе выдающегося итальянского драматурга Эдуардо де Филиппо.
Действие вертится вокруг нескольких семейных историй одновременно. Нелюбимые женихи и нежеланные невесты, далекие любовники или просто хорошие знакомые выясняют свои запутанные отношения, то осторожно балансируя на краю откровенности, то срываясь в скандалы. Каждый что-то скрывает не только от других, но и от себя самого, боясь признаться, кто в бедности, кто в любви. В жестоком мире, основанном на лицемерии, практически все герои вынуждены преследовать только свои собственные интересы.</t>
        </is>
      </c>
      <c r="L6301" s="2" t="inlineStr">
        <is>
          <t>https://www.kino-teatr.ru/teatr/movie/15078/annot/</t>
        </is>
      </c>
      <c r="M6301" s="2">
        <f>HYPERLINK("https://ru.wikipedia.org/w/index.php?search=%D0%9B%D0%BE%D0%B6%D1%8C%20%D0%BD%D0%B0%20%D0%B4%D0%BB%D0%B8%D0%BD%D0%BD%D1%8B%D1%85%20%D0%BD%D0%BE%D0%B3%D0%B0%D1%85%201983%20%D1%84%D0%B8%D0%BB%D1%8C%D0%BC","искать")</f>
        <v/>
      </c>
      <c r="N6301" s="3" t="n"/>
      <c r="O6301" s="2" t="n"/>
      <c r="P6301" s="2" t="n"/>
    </row>
    <row r="6302">
      <c r="A6302" s="2" t="n">
        <v>6301</v>
      </c>
      <c r="B6302" s="2" t="inlineStr"/>
      <c r="C6302" s="2" t="n">
        <v>11493</v>
      </c>
      <c r="D6302" s="3" t="inlineStr">
        <is>
          <t>Стеклянная гармоника</t>
        </is>
      </c>
      <c r="E6302" s="2" t="n">
        <v>1968</v>
      </c>
      <c r="F6302" s="2" t="inlineStr">
        <is>
          <t>мультфильм</t>
        </is>
      </c>
      <c r="G6302" s="2" t="inlineStr">
        <is>
          <t>Союзмультфильм</t>
        </is>
      </c>
      <c r="H6302" s="2" t="n">
        <v>570</v>
      </c>
      <c r="I6302" s="2" t="inlineStr"/>
      <c r="J6302" s="2" t="inlineStr"/>
      <c r="K6302" s="3" t="inlineStr">
        <is>
          <t>Однажды в город, живущий под властью желтого дьявола, пришел музыкант - изобретатель чудесной музыкальной гармоники. Но властелин приказал схватить его. Покорные власти золота, превратившиеся в алчных чудовищ обыватели помогают этому. Когда властелин уснул, люди снова услышали прекрасную музыку, обрадовались ей и сами постепенно стали прекрасными. Узнав,что гармонику мастера разбили, они вознегодовали и решили, что прекрасную мелодию должны слушать все. Горожане дружно восстановили давно умолкшие городские ччасы, и с башни зазвучала мелодия стеклянного инструмента</t>
        </is>
      </c>
      <c r="L6302" s="2" t="inlineStr">
        <is>
          <t>https://gosfilmofond.ru/films/254719/</t>
        </is>
      </c>
      <c r="M6302" s="2">
        <f>HYPERLINK("https://ru.wikipedia.org/w/index.php?search=%D0%A1%D1%82%D0%B5%D0%BA%D0%BB%D1%8F%D0%BD%D0%BD%D0%B0%D1%8F%20%D0%B3%D0%B0%D1%80%D0%BC%D0%BE%D0%BD%D0%B8%D0%BA%D0%B0%201968%20%D1%84%D0%B8%D0%BB%D1%8C%D0%BC","искать")</f>
        <v/>
      </c>
      <c r="N6302" s="3" t="n"/>
      <c r="O6302" s="2" t="n"/>
      <c r="P6302" s="2" t="n"/>
    </row>
    <row r="6303">
      <c r="A6303" s="2" t="n">
        <v>6302</v>
      </c>
      <c r="B6303" s="2" t="inlineStr"/>
      <c r="C6303" s="2" t="n">
        <v>10238</v>
      </c>
      <c r="D6303" s="3" t="inlineStr">
        <is>
          <t>Вопреки уравнениям</t>
        </is>
      </c>
      <c r="E6303" s="2" t="n">
        <v>1968</v>
      </c>
      <c r="F6303" s="2" t="inlineStr">
        <is>
          <t>фильм-спектакль</t>
        </is>
      </c>
      <c r="G6303" s="2" t="inlineStr">
        <is>
          <t>Ленинградское телевидение</t>
        </is>
      </c>
      <c r="H6303" s="2" t="n">
        <v>571</v>
      </c>
      <c r="I6303" s="2" t="inlineStr"/>
      <c r="J6303" s="2" t="inlineStr"/>
      <c r="K6303" s="3" t="inlineStr">
        <is>
          <t>По мотивам пьесы И.Сметановой.
Перевод с чешского В.Каменской и О.Малевича.
"...Сегодня, 4 апреля, в 17 часов 30 минут на нашем аэродроме, и, как мы выяснили из сообщений нескольких международных агентств, на столичных аэродромах всех государств, входящих в ООН, приземлились космические корабли с иной планеты. Происхождение кораблей до сих пор научно не установлено. По всей вероятности, это представители цивилизации настолько удалённой от нас, что о существование её при нынешнем состоянии земных оптических приборов никто не догадывался..."
/Из сообщения диктора ТВ/</t>
        </is>
      </c>
      <c r="L6303" s="2" t="inlineStr">
        <is>
          <t>https://www.kino-teatr.ru/teatr/movie/121470/annot/</t>
        </is>
      </c>
      <c r="M6303" s="2">
        <f>HYPERLINK("https://ru.wikipedia.org/w/index.php?search=%D0%92%D0%BE%D0%BF%D1%80%D0%B5%D0%BA%D0%B8%20%D1%83%D1%80%D0%B0%D0%B2%D0%BD%D0%B5%D0%BD%D0%B8%D1%8F%D0%BC%201968%20%D1%84%D0%B8%D0%BB%D1%8C%D0%BC","искать")</f>
        <v/>
      </c>
      <c r="N6303" s="3" t="n"/>
      <c r="O6303" s="2" t="n"/>
      <c r="P6303" s="2" t="n"/>
    </row>
    <row r="6304">
      <c r="A6304" s="2" t="n">
        <v>6303</v>
      </c>
      <c r="B6304" s="2" t="inlineStr"/>
      <c r="C6304" s="2" t="n">
        <v>12832</v>
      </c>
      <c r="D6304" s="3" t="inlineStr">
        <is>
          <t>Петух-хирург</t>
        </is>
      </c>
      <c r="E6304" s="2" t="n">
        <v>1970</v>
      </c>
      <c r="F6304" s="2" t="inlineStr">
        <is>
          <t>мультфильм</t>
        </is>
      </c>
      <c r="G6304" s="2" t="inlineStr">
        <is>
          <t>ГРУЗИЯ-ФИЛЬМ - АО</t>
        </is>
      </c>
      <c r="H6304" s="2" t="n">
        <v>571</v>
      </c>
      <c r="I6304" s="2" t="inlineStr"/>
      <c r="J6304" s="2" t="inlineStr"/>
      <c r="K6304" s="3" t="inlineStr">
        <is>
          <t>По пьесе Анатоля Франса "Немая жена". Петух-хирург - принципиальный холостяк. Он ни за что не хочет жениться, как ни уговаривают его друзья-петухи. Но однажды хирурга знакомят с хорошенькой голубенькой курочкой. Устоять против этого "небесного онгела" петух не смог и женился. Отчаянию хирурга не было предела, когда он узнал, что его красавица-жена обречена на немоту. И он делает операцию. Обретя дар речи, курочка начинает беспрерывно петь. От ее нескончаемого пения петух-хирург едва не сходит с ума, и, наконец, чтобы обрести покой и тишину, прокалывает сам себе уши</t>
        </is>
      </c>
      <c r="L6304" s="2" t="inlineStr">
        <is>
          <t>https://gosfilmofond.ru/films/255169/</t>
        </is>
      </c>
      <c r="M6304" s="2">
        <f>HYPERLINK("https://ru.wikipedia.org/w/index.php?search=%D0%9F%D0%B5%D1%82%D1%83%D1%85-%D1%85%D0%B8%D1%80%D1%83%D1%80%D0%B3%201970%20%D1%84%D0%B8%D0%BB%D1%8C%D0%BC","искать")</f>
        <v/>
      </c>
      <c r="N6304" s="3" t="n"/>
      <c r="O6304" s="2" t="n"/>
      <c r="P6304" s="2" t="n"/>
    </row>
    <row r="6305">
      <c r="A6305" s="2" t="n">
        <v>6304</v>
      </c>
      <c r="B6305" s="2" t="inlineStr"/>
      <c r="C6305" s="2" t="n">
        <v>8445</v>
      </c>
      <c r="D6305" s="3" t="inlineStr">
        <is>
          <t>Твёрдая порода</t>
        </is>
      </c>
      <c r="E6305" s="2" t="n">
        <v>1974</v>
      </c>
      <c r="F6305" s="2" t="inlineStr">
        <is>
          <t>телефильм</t>
        </is>
      </c>
      <c r="G6305" s="2" t="n"/>
      <c r="H6305" s="2" t="n">
        <v>573</v>
      </c>
      <c r="I6305" s="2" t="inlineStr"/>
      <c r="J6305" s="2" t="inlineStr"/>
      <c r="K6305" s="3" t="inlineStr">
        <is>
          <t>Фильм повествует о строительстве одной из крупнейших гидростанций Армении — Татевгэс и показывает во всей сложности и многогранности взаимоотношения людей, их духовный рост. Через весь фильм проходит мысль о вере в людей, в их честность и доброту, в силу созидательного труда.
Перед зрителями предстают герои фильма, принадлежащие к разным слоям общества: старый мастер-горняк Гарегин; начальник республиканского Гидроэнергостроя Вардан Севоян, умный и энергичный, не пасующий перед трудностями; опытный педагог Тигран Марутян; молодой, преданный своему делу инженер Бакур.</t>
        </is>
      </c>
      <c r="L6305" s="2" t="inlineStr">
        <is>
          <t>https://ru.wikipedia.org/w/index.php?title=%D0%A2%D0%B2%D1%91%D1%80%D0%B4%D0%B0%D1%8F_%D0%BF%D0%BE%D1%80%D0%BE%D0%B4%D0%B0_%28%D1%84%D0%B8%D0%BB%D1%8C%D0%BC%29&amp;oldid=154709165</t>
        </is>
      </c>
      <c r="M6305" s="2">
        <f>HYPERLINK("https://ru.wikipedia.org/w/index.php?search=%D0%A2%D0%B2%D1%91%D1%80%D0%B4%D0%B0%D1%8F%20%D0%BF%D0%BE%D1%80%D0%BE%D0%B4%D0%B0%201974%20%D1%84%D0%B8%D0%BB%D1%8C%D0%BC","искать")</f>
        <v/>
      </c>
      <c r="N6305" s="3" t="n"/>
      <c r="O6305" s="2" t="n"/>
      <c r="P6305" s="2" t="n"/>
    </row>
    <row r="6306">
      <c r="A6306" s="2" t="n">
        <v>6305</v>
      </c>
      <c r="B6306" s="2" t="inlineStr"/>
      <c r="C6306" s="2" t="n">
        <v>11596</v>
      </c>
      <c r="D6306" s="3" t="inlineStr">
        <is>
          <t>Катерок</t>
        </is>
      </c>
      <c r="E6306" s="2" t="n">
        <v>1970</v>
      </c>
      <c r="F6306" s="2" t="inlineStr">
        <is>
          <t>мультфильм</t>
        </is>
      </c>
      <c r="G6306" s="2" t="inlineStr">
        <is>
          <t>Союзмультфильм</t>
        </is>
      </c>
      <c r="H6306" s="2" t="n">
        <v>573</v>
      </c>
      <c r="I6306" s="2" t="inlineStr"/>
      <c r="J6306" s="2" t="inlineStr"/>
      <c r="K6306" s="3" t="inlineStr">
        <is>
          <t>Маленький катерок плавает по реке, выполняя скромную, но необходимую людям работу: развозит почту, в больницу привозит лекарство, геологам - еду, школьникам - учебники. Но ему все время хочется в море, где синие волны и бескрайний простор...Мечта его осуществляется - катерок приплывает к морю, и в первую же ночь сильнейший шторм измял маленькое суденышко и выбросил его на берег незнакомого южного острова...Спущенный на воду катерок начинает понимать: каждому свое - в море должны плавать большие корабли, а он возвращается на свою реку, чтоб, как прежде, помогать людям</t>
        </is>
      </c>
      <c r="L6306" s="2" t="inlineStr">
        <is>
          <t>https://gosfilmofond.ru/films/255155/</t>
        </is>
      </c>
      <c r="M6306" s="2">
        <f>HYPERLINK("https://ru.wikipedia.org/w/index.php?search=%D0%9A%D0%B0%D1%82%D0%B5%D1%80%D0%BE%D0%BA%201970%20%D1%84%D0%B8%D0%BB%D1%8C%D0%BC","искать")</f>
        <v/>
      </c>
      <c r="N6306" s="3" t="n"/>
      <c r="O6306" s="2" t="n"/>
      <c r="P6306" s="2" t="n"/>
    </row>
    <row r="6307">
      <c r="A6307" s="2" t="n">
        <v>6306</v>
      </c>
      <c r="B6307" s="2" t="inlineStr"/>
      <c r="C6307" s="2" t="n">
        <v>13144</v>
      </c>
      <c r="D6307" s="3" t="inlineStr">
        <is>
          <t>Сквозь серый камень</t>
        </is>
      </c>
      <c r="E6307" s="2" t="n">
        <v>1987</v>
      </c>
      <c r="F6307" s="2" t="inlineStr">
        <is>
          <t>мультфильм</t>
        </is>
      </c>
      <c r="G6307" s="2" t="inlineStr">
        <is>
          <t>БЕЛАРУСЬФИЛЬМ НАЦИОНАЛЬНАЯ КИНОСТУДИЯ - ГП</t>
        </is>
      </c>
      <c r="H6307" s="2" t="n">
        <v>574</v>
      </c>
      <c r="I6307" s="2" t="inlineStr"/>
      <c r="J6307" s="2" t="inlineStr"/>
      <c r="K6307" s="3" t="inlineStr">
        <is>
          <t>Гроза. Под дождем бежит надсмотрщик из тюрьмы, укрывается от непогоды в лавке антиквара. Свисток жандарма, взрыв — покушение на царя. Обыск у Кибальчича. Он одержим идеей создания реактивного двигателя, который видится ему даже в кончике сигары министра внутренних дел. Петропавловская крепость сводит Кибальчича и надсмотрщика. Под вальс идут воспоминания — парк, открытие памятника, монетный двор. Прогулка перед казнью, пустая камера. Надсмотрщик пытается полететь, но хлыст обрывает его мечту. А мечта Кибальчича вырывается из Петропавловки, заполняя ракетой весь экран.</t>
        </is>
      </c>
      <c r="L6307" s="2" t="inlineStr">
        <is>
          <t>2026-10_мультфильмы_список_владельца.xlsx; https://animator.ru/db/?p=show_film&amp;fid=4376</t>
        </is>
      </c>
      <c r="M6307" s="2">
        <f>HYPERLINK("https://ru.wikipedia.org/w/index.php?search=%D0%A1%D0%BA%D0%B2%D0%BE%D0%B7%D1%8C%20%D1%81%D0%B5%D1%80%D1%8B%D0%B9%20%D0%BA%D0%B0%D0%BC%D0%B5%D0%BD%D1%8C%201987%20%D1%84%D0%B8%D0%BB%D1%8C%D0%BC","искать")</f>
        <v/>
      </c>
      <c r="N6307" s="3" t="n"/>
      <c r="O6307" s="2" t="n"/>
      <c r="P6307" s="2" t="n"/>
    </row>
    <row r="6308">
      <c r="A6308" s="2" t="n">
        <v>6307</v>
      </c>
      <c r="B6308" s="2" t="inlineStr"/>
      <c r="C6308" s="2" t="n">
        <v>10805</v>
      </c>
      <c r="D6308" s="3" t="inlineStr">
        <is>
          <t>Как папа был маленьким</t>
        </is>
      </c>
      <c r="E6308" s="2" t="n">
        <v>1979</v>
      </c>
      <c r="F6308" s="2" t="inlineStr">
        <is>
          <t>фильм-спектакль</t>
        </is>
      </c>
      <c r="G6308" s="2" t="inlineStr">
        <is>
          <t>Ленинградское телевидение</t>
        </is>
      </c>
      <c r="H6308" s="2" t="n">
        <v>577</v>
      </c>
      <c r="I6308" s="2" t="inlineStr"/>
      <c r="J6308" s="2" t="inlineStr"/>
      <c r="K6308" s="3" t="inlineStr">
        <is>
          <t>По мотивам рассказов А.Раскина.
Веселые поучительные истории, в которых папа хвастается, обижается, трусит, кусает профессора, прячется под кровать от учительницы музыки, укрощает собачку, охотится на тигра, опаздывает в школу, придумывает всякие небылицы для учителей, обижается на смешные прозвища, которые ему придумывают, папу шлёпают, воспитывают, поучают, - и все эти забавные истории показывают, как важно никогда не унывать! И еще, все эти истории - чистая правда! Как здорово, что папы не рождаются сразу взрослыми и что они, пока маленькие, так похожи на своих детей!</t>
        </is>
      </c>
      <c r="L6308" s="2" t="inlineStr">
        <is>
          <t>https://www.kino-teatr.ru/teatr/movie/119034/annot/</t>
        </is>
      </c>
      <c r="M6308" s="2">
        <f>HYPERLINK("https://ru.wikipedia.org/w/index.php?search=%D0%9A%D0%B0%D0%BA%20%D0%BF%D0%B0%D0%BF%D0%B0%20%D0%B1%D1%8B%D0%BB%20%D0%BC%D0%B0%D0%BB%D0%B5%D0%BD%D1%8C%D0%BA%D0%B8%D0%BC%201979%20%D1%84%D0%B8%D0%BB%D1%8C%D0%BC","искать")</f>
        <v/>
      </c>
      <c r="N6308" s="3" t="n"/>
      <c r="O6308" s="2" t="n"/>
      <c r="P6308" s="2" t="n"/>
    </row>
    <row r="6309">
      <c r="A6309" s="2" t="n">
        <v>6308</v>
      </c>
      <c r="B6309" s="2" t="inlineStr"/>
      <c r="C6309" s="2" t="n">
        <v>11487</v>
      </c>
      <c r="D6309" s="3" t="inlineStr">
        <is>
          <t>Пингвины</t>
        </is>
      </c>
      <c r="E6309" s="2" t="n">
        <v>1968</v>
      </c>
      <c r="F6309" s="2" t="inlineStr">
        <is>
          <t>мультфильм</t>
        </is>
      </c>
      <c r="G6309" s="2" t="inlineStr">
        <is>
          <t>Союзмультфильм</t>
        </is>
      </c>
      <c r="H6309" s="2" t="n">
        <v>578</v>
      </c>
      <c r="I6309" s="2" t="inlineStr"/>
      <c r="J6309" s="2" t="inlineStr"/>
      <c r="K6309" s="3" t="inlineStr">
        <is>
          <t>С дальних островов приплывают в Антарктиду пингвины, чтобы вывести птенцов. Пин-Гвин отдает посторожить свое яйцо Пын-Гвину пока сам ловит рыбу. Но тот упустил яйцо в океан, а сказать об этом боится и возвращает Пин-Гвину камень, похожий на яйцо. Когда у всех вывелись птенчики, один Пин-Гвин продолжает высиживать свое яйцо. До осени ждал он когда вывкдется птенчик, но не дождался. Наступаетзима, пингвины собираются плвть на дальние острова. Вместе с яйцом отправляется в путь и Пин-Гвин и гибнет в волнах, так и не выпустив яйца с неродившимся, но бесконечно любимым птенцом</t>
        </is>
      </c>
      <c r="L6309" s="2" t="inlineStr">
        <is>
          <t>https://gosfilmofond.ru/films/254711/</t>
        </is>
      </c>
      <c r="M6309" s="2">
        <f>HYPERLINK("https://ru.wikipedia.org/w/index.php?search=%D0%9F%D0%B8%D0%BD%D0%B3%D0%B2%D0%B8%D0%BD%D1%8B%201968%20%D1%84%D0%B8%D0%BB%D1%8C%D0%BC","искать")</f>
        <v/>
      </c>
      <c r="N6309" s="3" t="n"/>
      <c r="O6309" s="2" t="n"/>
      <c r="P6309" s="2" t="n"/>
    </row>
    <row r="6310">
      <c r="A6310" s="2" t="n">
        <v>6309</v>
      </c>
      <c r="B6310" s="2" t="inlineStr"/>
      <c r="C6310" s="2" t="n">
        <v>12070</v>
      </c>
      <c r="D6310" s="3" t="inlineStr">
        <is>
          <t>Волчок</t>
        </is>
      </c>
      <c r="E6310" s="2" t="n">
        <v>1985</v>
      </c>
      <c r="F6310" s="2" t="inlineStr">
        <is>
          <t>мультфильм</t>
        </is>
      </c>
      <c r="G6310" s="2" t="inlineStr">
        <is>
          <t>Союзмультфильм, Высшие курсы сценаристов и режиссеров</t>
        </is>
      </c>
      <c r="H6310" s="2" t="n">
        <v>578</v>
      </c>
      <c r="I6310" s="2" t="inlineStr"/>
      <c r="J6310" s="2" t="inlineStr"/>
      <c r="K6310" s="3" t="inlineStr">
        <is>
          <t>Фильм-фантазия по мотивам стихотворения Б.Заходера. Дипломная работа режиссера.Жил-был Серенький Волчок, тот самый из колыбельной, что придёт и укусит за бочок. Он так всех вокруг и предупреждал: "Укушу... Утащу... И съем!" Надоело зверям его песни слушать, разбежались кто куда, а он один остался. И некого ему кусать стало, кроме собственного хвоста. Так целыми днями и гонялись: он за хвостом, хвост от него. Крутились они с хвостом, крутились, и стал превращаться он... Нет, ни в кого не превратился. А просто стал другим волчком - никого не обижает, а ребята в него играют.</t>
        </is>
      </c>
      <c r="L6310" s="2" t="inlineStr">
        <is>
          <t>2026-10_мультфильмы_список_владельца.xlsx; https://animator.ru/db/?p=show_film&amp;fid=3185</t>
        </is>
      </c>
      <c r="M6310" s="2">
        <f>HYPERLINK("https://ru.wikipedia.org/w/index.php?search=%D0%92%D0%BE%D0%BB%D1%87%D0%BE%D0%BA%201985%20%D1%84%D0%B8%D0%BB%D1%8C%D0%BC","искать")</f>
        <v/>
      </c>
      <c r="N6310" s="3" t="n"/>
      <c r="O6310" s="2" t="n"/>
      <c r="P6310" s="2" t="n"/>
    </row>
    <row r="6311">
      <c r="A6311" s="2" t="n">
        <v>6310</v>
      </c>
      <c r="B6311" s="2" t="inlineStr"/>
      <c r="C6311" s="2" t="n">
        <v>13164</v>
      </c>
      <c r="D6311" s="3" t="inlineStr">
        <is>
          <t>Яртыгулак и лентяи</t>
        </is>
      </c>
      <c r="E6311" s="2" t="n">
        <v>1987</v>
      </c>
      <c r="F6311" s="2" t="inlineStr">
        <is>
          <t>мультфильм</t>
        </is>
      </c>
      <c r="G6311" s="2" t="inlineStr">
        <is>
          <t>ТУРКМЕНФИЛЬМ</t>
        </is>
      </c>
      <c r="H6311" s="2" t="n">
        <v>578</v>
      </c>
      <c r="I6311" s="2" t="inlineStr"/>
      <c r="J6311" s="2" t="inlineStr"/>
      <c r="K6311" s="3" t="inlineStr">
        <is>
          <t>По мотивам туркменских народных сказок.Дружно живут отец, мать и их сынок Яртыгулак-росточком с лопуха. Отец с сыном в поле трудятся день-деньской, а мать с хозяйством управляется. Но вот появились в их доме два лентяя, ничего не делают, а только едят, да спят.Решил Яртыгулак их проучить. Пока они спали - связал им обувь, а халат на дерево повесил. Проснулись лентяи, встать не могут, а тут еще халат на дереве как живой шевелится. Спросонья подумали, что это не иначе как шайтан, да с перепугу в яму для замеса глины прыгнули. Хорошо лентяи глину перемешали, выбираясь оттуда</t>
        </is>
      </c>
      <c r="L6311" s="2" t="inlineStr">
        <is>
          <t>https://gosfilmofond.ru/films/240874/</t>
        </is>
      </c>
      <c r="M6311" s="2">
        <f>HYPERLINK("https://ru.wikipedia.org/w/index.php?search=%D0%AF%D1%80%D1%82%D1%8B%D0%B3%D1%83%D0%BB%D0%B0%D0%BA%20%D0%B8%20%D0%BB%D0%B5%D0%BD%D1%82%D1%8F%D0%B8%201987%20%D1%84%D0%B8%D0%BB%D1%8C%D0%BC","искать")</f>
        <v/>
      </c>
      <c r="N6311" s="3" t="n"/>
      <c r="O6311" s="2" t="n"/>
      <c r="P6311" s="2" t="n"/>
    </row>
    <row r="6312">
      <c r="A6312" s="2" t="n">
        <v>6311</v>
      </c>
      <c r="B6312" s="2" t="inlineStr"/>
      <c r="C6312" s="2" t="n">
        <v>13271</v>
      </c>
      <c r="D6312" s="3" t="inlineStr">
        <is>
          <t>Эх, ты! Ух, ты! Ишь, ты!</t>
        </is>
      </c>
      <c r="E6312" s="2" t="n">
        <v>1969</v>
      </c>
      <c r="F6312" s="2" t="inlineStr">
        <is>
          <t>мультфильм</t>
        </is>
      </c>
      <c r="G6312" s="2" t="inlineStr">
        <is>
          <t>ТАЛЛИННФИЛЬМ</t>
        </is>
      </c>
      <c r="H6312" s="2" t="n">
        <v>578</v>
      </c>
      <c r="I6312" s="2" t="inlineStr"/>
      <c r="J6312" s="2" t="inlineStr"/>
      <c r="K6312" s="3" t="inlineStr">
        <is>
          <t>Фильм состоит из двух сказок.
"СОРОКОНОЖКА". Достопочтенный папа-сороконожка собирается в гости, но начинается коварный дождик, и приходится вернуться с дороги, надеть галоши. Пока папа умудряется обуть свои двадцать пар ног, дождик кончается.
"ПУЗЫРЬ, ЛАПОТЬ И СОЛОМИНКА". Неразлучные друзья Пузырь, Лапоть и Соломинка отправляются путешествовать. Много неожиданностей встречается им на пути. Хвастунишка-Пузырь не выдерживает испытания на дружбу: он стал смеяться над друзьями, когда те, переправляясь через речку, упали в холодную воду. Так смеялся, что в конце концов лопнул</t>
        </is>
      </c>
      <c r="L6312" s="2" t="inlineStr">
        <is>
          <t>https://gosfilmofond.ru/films/254782/</t>
        </is>
      </c>
      <c r="M6312" s="2">
        <f>HYPERLINK("https://ru.wikipedia.org/w/index.php?search=%D0%AD%D1%85%2C%20%D1%82%D1%8B%21%20%D0%A3%D1%85%2C%20%D1%82%D1%8B%21%20%D0%98%D1%88%D1%8C%2C%20%D1%82%D1%8B%21%201969%20%D1%84%D0%B8%D0%BB%D1%8C%D0%BC","искать")</f>
        <v/>
      </c>
      <c r="N6312" s="3" t="n"/>
      <c r="O6312" s="2" t="n"/>
      <c r="P6312" s="2" t="n"/>
    </row>
    <row r="6313">
      <c r="A6313" s="2" t="n">
        <v>6312</v>
      </c>
      <c r="B6313" s="2" t="inlineStr"/>
      <c r="C6313" s="2" t="n">
        <v>7262</v>
      </c>
      <c r="D6313" s="3" t="inlineStr">
        <is>
          <t>Большая новогодняя ночь</t>
        </is>
      </c>
      <c r="E6313" s="2" t="n">
        <v>1978</v>
      </c>
      <c r="F6313" s="2" t="inlineStr">
        <is>
          <t>телефильм</t>
        </is>
      </c>
      <c r="G6313" s="2" t="n"/>
      <c r="H6313" s="2" t="n">
        <v>580</v>
      </c>
      <c r="I6313" s="2" t="inlineStr"/>
      <c r="J6313" s="2" t="inlineStr"/>
      <c r="K6313" s="3" t="inlineStr">
        <is>
          <t>Трое друзей из Риги, вместо запланированной поездки на Домбай, едут во время отпуска в Заполярье. Любители экстремального отдыха, они игнорируют предупреждение турагента и самостоятельно отправляются на лыжную прогулку в тундру.
Неожиданно и резко испортилась погода. Имант отбился от товарищей, заблудился и едва не замёрз. Его нашла и выходила молодая женщина-ветеринар из ближайшего оленьего стойбища.
Несколько лет спустя, Имант — уже отец семейства, сидя с друзьями за праздничным столом, поднял бокал вина и с большой теплотой вспомнил своё давнишнее новогоднее приключение.</t>
        </is>
      </c>
      <c r="L6313" s="2" t="inlineStr">
        <is>
          <t>https://ru.wikipedia.org/w/index.php?title=%D0%91%D0%BE%D0%BB%D1%8C%D1%88%D0%B0%D1%8F_%D0%BD%D0%BE%D0%B2%D0%BE%D0%B3%D0%BE%D0%B4%D0%BD%D1%8F%D1%8F_%D0%BD%D0%BE%D1%87%D1%8C&amp;oldid=144483822</t>
        </is>
      </c>
      <c r="M6313" s="2">
        <f>HYPERLINK("https://ru.wikipedia.org/w/index.php?search=%D0%91%D0%BE%D0%BB%D1%8C%D1%88%D0%B0%D1%8F%20%D0%BD%D0%BE%D0%B2%D0%BE%D0%B3%D0%BE%D0%B4%D0%BD%D1%8F%D1%8F%20%D0%BD%D0%BE%D1%87%D1%8C%201978%20%D1%84%D0%B8%D0%BB%D1%8C%D0%BC","искать")</f>
        <v/>
      </c>
      <c r="N6313" s="3" t="n"/>
      <c r="O6313" s="2" t="n"/>
      <c r="P6313" s="2" t="n"/>
    </row>
    <row r="6314">
      <c r="A6314" s="2" t="n">
        <v>6313</v>
      </c>
      <c r="B6314" s="2" t="inlineStr"/>
      <c r="C6314" s="2" t="n">
        <v>8086</v>
      </c>
      <c r="D6314" s="3" t="inlineStr">
        <is>
          <t>Первая любовь</t>
        </is>
      </c>
      <c r="E6314" s="2" t="n">
        <v>1968</v>
      </c>
      <c r="F6314" s="2" t="inlineStr">
        <is>
          <t>телефильм</t>
        </is>
      </c>
      <c r="G6314" s="2" t="n"/>
      <c r="H6314" s="2" t="n">
        <v>580</v>
      </c>
      <c r="I6314" s="2" t="inlineStr"/>
      <c r="J6314" s="2" t="inlineStr"/>
      <c r="K6314" s="3" t="inlineStr">
        <is>
          <t>Юноша из дворянской семьи, готовящийся к поступлению в университет, влюбляется в соседку по даче, юную княжну Зинаиду Засекину. Девушка кружит голову нескольким молодым людям, главный герой примыкает к сонму поклонников очаровательной Зинаиды, испытывая к ней первое серьёзное чувство. Через некоторое время выясняется, что, флиртуя с ровесниками, сама Зинаида отдала предпочтению отцу главного героя, человеку сильно её старше, но при этом статному, красивому, держащемуся даже в кругу близких неприступно и холодно... Для Зинаиды любовь к этому человеку также становится первой.</t>
        </is>
      </c>
      <c r="L6314" s="2" t="inlineStr">
        <is>
          <t>https://ru.wikipedia.org/w/index.php?title=%D0%9F%D0%B5%D1%80%D0%B2%D0%B0%D1%8F_%D0%BB%D1%8E%D0%B1%D0%BE%D0%B2%D1%8C_%28%D1%84%D0%B8%D0%BB%D1%8C%D0%BC%2C_1968%29&amp;oldid=150933344</t>
        </is>
      </c>
      <c r="M6314" s="2">
        <f>HYPERLINK("https://ru.wikipedia.org/w/index.php?search=%D0%9F%D0%B5%D1%80%D0%B2%D0%B0%D1%8F%20%D0%BB%D1%8E%D0%B1%D0%BE%D0%B2%D1%8C%201968%20%D1%84%D0%B8%D0%BB%D1%8C%D0%BC","искать")</f>
        <v/>
      </c>
      <c r="N6314" s="3" t="n"/>
      <c r="O6314" s="2" t="n"/>
      <c r="P6314" s="2" t="n"/>
    </row>
    <row r="6315">
      <c r="A6315" s="2" t="n">
        <v>6314</v>
      </c>
      <c r="B6315" s="2" t="inlineStr"/>
      <c r="C6315" s="2" t="n">
        <v>10100</v>
      </c>
      <c r="D6315" s="3" t="inlineStr">
        <is>
          <t>РќР°СЃР»РµРґРЅРёРєРё Р Р°Р±СѓСЂРґСЌРЅР°</t>
        </is>
      </c>
      <c r="E6315" s="2" t="n">
        <v>1962</v>
      </c>
      <c r="F6315" s="2" t="inlineStr">
        <is>
          <t>фильм-спектакль</t>
        </is>
      </c>
      <c r="G6315" s="2" t="n"/>
      <c r="H6315" s="2" t="n">
        <v>580</v>
      </c>
      <c r="I6315" s="2" t="inlineStr"/>
      <c r="J6315" s="2" t="inlineStr"/>
      <c r="K6315" s="3" t="inlineStr">
        <is>
          <t>РўРµР»РµСЃРїРµРєС‚Р°РєР»СЊ РўРµР°С‚СЂР° СЃР°С‚РёСЂС‹ РїРѕ РѕРґРЅРѕРёРјРµРЅРЅРѕР№ РєРѕРјРµРґРёРё Р­РјРёР»СЏ Р—РѕР»СЏ.
Р’СЂРµРјСЏ РґРµР№СЃС‚РІРёСЏ вЂ“ 1870-Рµ РіРѕРґС‹, Р¤СЂР°РЅС†РёСЏ.
Р‘СѓСЂР¶СѓР° Р Р°Р±СѓСЂРґРµРЅ РїСЂРѕРјРѕС‚Р°Р» СЃРІРѕРµ СЃРѕСЃС‚РѕСЏРЅРёРµ, Р° СЂРѕРґСЃС‚РІРµРЅРЅРёРєРё, РЅРµ Р·РЅР°СЏ СЌС‚РѕРіРѕ, РґРµР»СЏС‚ РЅРµСЃСѓС‰РµСЃС‚РІСѓСЋС‰РµРµ РЅР°СЃР»РµРґСЃС‚РІРѕ. РЎСЋР¶РµС‚ РїСЂРѕСЃС‚, РєРѕРјРёС‡РµРЅ, РЅРѕ РІРµС‡РЅС‹Рµ С‚РµРјС‹ вЂ“ РґРµРЅСЊРіРё Рё РІР·Р°РёРјРѕРѕС‚РЅРѕС€РµРЅРёСЏ Р»СЋРґРµР№, РёСЃС‚РёРЅРЅР°СЏ СЃС‚СЂР°СЃС‚РЅР°СЏ Р»СЋР±РѕРІСЊ Рё Р±РµСЃРєРѕСЂС‹СЃС‚РёРµ.</t>
        </is>
      </c>
      <c r="L6315" s="2" t="inlineStr">
        <is>
          <t>https://www.kino-teatr.ru/teatr/movie/4252/annot/</t>
        </is>
      </c>
      <c r="M6315" s="2">
        <f>HYPERLINK("https://ru.wikipedia.org/w/index.php?search=%D0%A0%D1%9C%D0%A0%C2%B0%D0%A1%D0%83%D0%A0%C2%BB%D0%A0%C2%B5%D0%A0%D2%91%D0%A0%D0%85%D0%A0%D1%91%D0%A0%D1%94%D0%A0%D1%91%20%D0%A0%20%D0%A0%C2%B0%D0%A0%C2%B1%D0%A1%D1%93%D0%A1%D0%82%D0%A0%D2%91%D0%A1%D0%8C%D0%A0%D0%85%D0%A0%C2%B0%201962%20%D1%84%D0%B8%D0%BB%D1%8C%D0%BC","искать")</f>
        <v/>
      </c>
      <c r="N6315" s="3" t="n"/>
      <c r="O6315" s="2" t="n"/>
      <c r="P6315" s="2" t="n"/>
    </row>
    <row r="6316">
      <c r="A6316" s="2" t="n">
        <v>6315</v>
      </c>
      <c r="B6316" s="2" t="inlineStr"/>
      <c r="C6316" s="2" t="n">
        <v>11257</v>
      </c>
      <c r="D6316" s="3" t="inlineStr">
        <is>
          <t>Записки Самсона Самосуя</t>
        </is>
      </c>
      <c r="E6316" s="2" t="n">
        <v>1989</v>
      </c>
      <c r="F6316" s="2" t="inlineStr">
        <is>
          <t>фильм-спектакль</t>
        </is>
      </c>
      <c r="G6316" s="2" t="inlineStr">
        <is>
          <t>Беларусьфильм</t>
        </is>
      </c>
      <c r="H6316" s="2" t="n">
        <v>580</v>
      </c>
      <c r="I6316" s="2" t="inlineStr"/>
      <c r="J6316" s="2" t="inlineStr"/>
      <c r="K6316" s="3" t="inlineStr">
        <is>
          <t>Экранизация сатирического романа Андрея Мрыя (Шашалевича).
Главный герой - руководитель культотдела райисполкома Самсон Самосуй, отсутствие компетентности которого компенсируется необычайной активностью в области организации культуры.
Самосуй организовывает абсурдные культурные мероприятия, стараясь в кратчайший срок «поднять уровень культуры» в районе, параллельно стремясь во что бы то ни стало наладить свою личную жизнь.
После обнаружения в районе селения «троглодитов» и скандальной театральной постановки некомпетентного Самосуя повышают и переводят в окружной культотдел.</t>
        </is>
      </c>
      <c r="L6316" s="2" t="inlineStr">
        <is>
          <t>https://www.kino-teatr.ru/teatr/movie/16469/annot/</t>
        </is>
      </c>
      <c r="M6316" s="2">
        <f>HYPERLINK("https://ru.wikipedia.org/w/index.php?search=%D0%97%D0%B0%D0%BF%D0%B8%D1%81%D0%BA%D0%B8%20%D0%A1%D0%B0%D0%BC%D1%81%D0%BE%D0%BD%D0%B0%20%D0%A1%D0%B0%D0%BC%D0%BE%D1%81%D1%83%D1%8F%201989%20%D1%84%D0%B8%D0%BB%D1%8C%D0%BC","искать")</f>
        <v/>
      </c>
      <c r="N6316" s="3" t="n"/>
      <c r="O6316" s="2" t="n"/>
      <c r="P6316" s="2" t="n"/>
    </row>
    <row r="6317">
      <c r="A6317" s="2" t="n">
        <v>6316</v>
      </c>
      <c r="B6317" s="2" t="inlineStr"/>
      <c r="C6317" s="2" t="n">
        <v>11004</v>
      </c>
      <c r="D6317" s="3" t="inlineStr">
        <is>
          <t>Пираты Пензенса</t>
        </is>
      </c>
      <c r="E6317" s="2" t="n">
        <v>1983</v>
      </c>
      <c r="F6317" s="2" t="inlineStr">
        <is>
          <t>фильм-спектакль</t>
        </is>
      </c>
      <c r="G6317" s="2" t="inlineStr">
        <is>
          <t>Universal Pictures, Pressman Film, Timothy Burrill Productions, St. Michael Finance Limited</t>
        </is>
      </c>
      <c r="H6317" s="2" t="n">
        <v>581</v>
      </c>
      <c r="I6317" s="2" t="inlineStr"/>
      <c r="J6317" s="2" t="inlineStr"/>
      <c r="K6317" s="3" t="inlineStr">
        <is>
          <t>История о Фредерике, который, достигнув возраста 21 года, освобождается от ученичества у сердобольной команды пиратов. Он встречает Мейбл, дочку генерал-майора Стэнли, и они сразу влюбляются друг в друга. Однако, поскольку Фредерик родился 29 февраля, то, технически, его день рождения бывает только раз в четыре года, то есть в високосном году. Из этого выходит, что, считая по дням рождения, он пробыл у пиратов только 5 лет с четвертью и, следовательно, должен прослужить в команде 63 года. У связанного долгом Фредерика есть единственное утешение — Мейбл обещала дождаться его.</t>
        </is>
      </c>
      <c r="L6317" s="2" t="inlineStr">
        <is>
          <t>https://www.kino-teatr.ru/teatr/movie/72496/annot/</t>
        </is>
      </c>
      <c r="M6317" s="2">
        <f>HYPERLINK("https://ru.wikipedia.org/w/index.php?search=%D0%9F%D0%B8%D1%80%D0%B0%D1%82%D1%8B%20%D0%9F%D0%B5%D0%BD%D0%B7%D0%B5%D0%BD%D1%81%D0%B0%201983%20%D1%84%D0%B8%D0%BB%D1%8C%D0%BC","искать")</f>
        <v/>
      </c>
      <c r="N6317" s="3" t="n"/>
      <c r="O6317" s="2" t="n"/>
      <c r="P6317" s="2" t="n"/>
    </row>
    <row r="6318">
      <c r="A6318" s="2" t="n">
        <v>6317</v>
      </c>
      <c r="B6318" s="2" t="inlineStr"/>
      <c r="C6318" s="2" t="n">
        <v>7580</v>
      </c>
      <c r="D6318" s="3" t="inlineStr">
        <is>
          <t>Жаворонки</t>
        </is>
      </c>
      <c r="E6318" s="2" t="n">
        <v>1980</v>
      </c>
      <c r="F6318" s="2" t="inlineStr">
        <is>
          <t>телефильм</t>
        </is>
      </c>
      <c r="G6318" s="2" t="n"/>
      <c r="H6318" s="2" t="n">
        <v>582</v>
      </c>
      <c r="I6318" s="2" t="inlineStr"/>
      <c r="J6318" s="2" t="inlineStr"/>
      <c r="K6318" s="3" t="inlineStr">
        <is>
          <t>Зелма, прожившая долгую трудовую жизнь на своём старом хуторе «Жаворонки», должна переехать в другой район к одному из своих сыновей. В родительском доме собираются все члены семьи: Элмар, журналист рижской газеты со своей женой, удачливым научным работником Гундегой; Раймонд, один из руководителей в соседнем колхозе, и дочь — доктор, живущая недалеко от матери. У всех детей накопились жизненные проблемы, и Зелма переживает за каждого из них. Ей очень не хочется уезжать из родного дома. Несмотря на все доводы детей, подумав, она отменяет решённую поездку и остаётся на хуторе.</t>
        </is>
      </c>
      <c r="L6318" s="2" t="inlineStr">
        <is>
          <t>https://ru.wikipedia.org/w/index.php?title=%D0%96%D0%B0%D0%B2%D0%BE%D1%80%D0%BE%D0%BD%D0%BA%D0%B8_%28%D1%84%D0%B8%D0%BB%D1%8C%D0%BC%29&amp;oldid=149106442</t>
        </is>
      </c>
      <c r="M6318" s="2">
        <f>HYPERLINK("https://ru.wikipedia.org/w/index.php?search=%D0%96%D0%B0%D0%B2%D0%BE%D1%80%D0%BE%D0%BD%D0%BA%D0%B8%201980%20%D1%84%D0%B8%D0%BB%D1%8C%D0%BC","искать")</f>
        <v/>
      </c>
      <c r="N6318" s="3" t="n"/>
      <c r="O6318" s="2" t="n"/>
      <c r="P6318" s="2" t="n"/>
    </row>
    <row r="6319">
      <c r="A6319" s="2" t="n">
        <v>6318</v>
      </c>
      <c r="B6319" s="2" t="inlineStr"/>
      <c r="C6319" s="2" t="n">
        <v>10351</v>
      </c>
      <c r="D6319" s="3" t="inlineStr">
        <is>
          <t>Верхом на дельфине</t>
        </is>
      </c>
      <c r="E6319" s="2" t="n">
        <v>1970</v>
      </c>
      <c r="F6319" s="2" t="inlineStr">
        <is>
          <t>фильм-спектакль</t>
        </is>
      </c>
      <c r="G6319" s="2" t="inlineStr">
        <is>
          <t>Центральное телевидение</t>
        </is>
      </c>
      <c r="H6319" s="2" t="n">
        <v>582</v>
      </c>
      <c r="I6319" s="2" t="inlineStr"/>
      <c r="J6319" s="2" t="inlineStr"/>
      <c r="K6319" s="3" t="inlineStr">
        <is>
          <t>По одноименной пьесе Леонида Жуховицкого "Остановиться, оглянуться" в постановке Московского драматического театра им. Н.В. Гоголя.
Действие происходит в редакции крупной столичной газеты.
Талантливый журналист Егор Королев, чьи острые фельетоны всегда в центре внимания, получает от жизни жестокий урок за самоуверенность. В газете выходит фельетон о самом Королеве, его безответственном, поверхностном отношении к открытию нового лекарства. Фельетон ставит под угрозу дальнейшую карьеру журналиста, но написан он по его просьбе - иначе было невозможно восстановить справедливость.</t>
        </is>
      </c>
      <c r="L6319" s="2" t="inlineStr">
        <is>
          <t>https://www.kino-teatr.ru/teatr/movie/92362/annot/</t>
        </is>
      </c>
      <c r="M6319" s="2">
        <f>HYPERLINK("https://ru.wikipedia.org/w/index.php?search=%D0%92%D0%B5%D1%80%D1%85%D0%BE%D0%BC%20%D0%BD%D0%B0%20%D0%B4%D0%B5%D0%BB%D1%8C%D1%84%D0%B8%D0%BD%D0%B5%201970%20%D1%84%D0%B8%D0%BB%D1%8C%D0%BC","искать")</f>
        <v/>
      </c>
      <c r="N6319" s="3" t="n"/>
      <c r="O6319" s="2" t="n"/>
      <c r="P6319" s="2" t="n"/>
    </row>
    <row r="6320">
      <c r="A6320" s="2" t="n">
        <v>6319</v>
      </c>
      <c r="B6320" s="2" t="inlineStr"/>
      <c r="C6320" s="2" t="n">
        <v>10540</v>
      </c>
      <c r="D6320" s="3" t="inlineStr">
        <is>
          <t>Аптека "Голубые шары"</t>
        </is>
      </c>
      <c r="E6320" s="2" t="n">
        <v>1974</v>
      </c>
      <c r="F6320" s="2" t="inlineStr">
        <is>
          <t>фильм-спектакль</t>
        </is>
      </c>
      <c r="G6320" s="2" t="inlineStr">
        <is>
          <t>Ленинградское ТВ</t>
        </is>
      </c>
      <c r="H6320" s="2" t="n">
        <v>582</v>
      </c>
      <c r="I6320" s="2" t="inlineStr"/>
      <c r="J6320" s="2" t="inlineStr"/>
      <c r="K6320" s="3" t="inlineStr">
        <is>
          <t>Телепостановка по повести-сказке Вениамина Каверина.
О дружбе, взаимной выручке ребят — мальчика Пети и других хороших людей, которые стремятся сделать все, чтобы Снегурочка не растаяла с первыми лучами весеннего солнца, хотят найти средство, чтобы превратилась она в обыкновенную девочку-школьницу. Найти такое средство — не простое дело, а тут еще злые волшебники мешают: перерождение Снегурочки грозит им смертью. Но, как всегда бывает в сказках, добро побеждает, зло наказано, ибо не могут злые люди, даже если они и волшебники, противостоять дружбе объединившихся добрых людей.</t>
        </is>
      </c>
      <c r="L6320" s="2" t="inlineStr">
        <is>
          <t>https://www.kino-teatr.ru/teatr/movie/88019/annot/</t>
        </is>
      </c>
      <c r="M6320" s="2">
        <f>HYPERLINK("https://ru.wikipedia.org/w/index.php?search=%D0%90%D0%BF%D1%82%D0%B5%D0%BA%D0%B0%20%22%D0%93%D0%BE%D0%BB%D1%83%D0%B1%D1%8B%D0%B5%20%D1%88%D0%B0%D1%80%D1%8B%22%201974%20%D1%84%D0%B8%D0%BB%D1%8C%D0%BC","искать")</f>
        <v/>
      </c>
      <c r="N6320" s="3" t="n"/>
      <c r="O6320" s="2" t="n"/>
      <c r="P6320" s="2" t="n"/>
    </row>
    <row r="6321">
      <c r="A6321" s="2" t="n">
        <v>6320</v>
      </c>
      <c r="B6321" s="2" t="inlineStr"/>
      <c r="C6321" s="2" t="n">
        <v>11585</v>
      </c>
      <c r="D6321" s="3" t="inlineStr">
        <is>
          <t>Бобры идут по следу</t>
        </is>
      </c>
      <c r="E6321" s="2" t="n">
        <v>1970</v>
      </c>
      <c r="F6321" s="2" t="inlineStr">
        <is>
          <t>мультфильм</t>
        </is>
      </c>
      <c r="G6321" s="2" t="inlineStr">
        <is>
          <t>Союзмультфильм</t>
        </is>
      </c>
      <c r="H6321" s="2" t="n">
        <v>582</v>
      </c>
      <c r="I6321" s="2" t="inlineStr"/>
      <c r="J6321" s="2" t="inlineStr"/>
      <c r="K6321" s="3" t="inlineStr">
        <is>
          <t>В бобриной школе учитель рассказывает о коварстве щучьего характера. Щука, как живой экспонат, плавает в аквариуме. Неожиданно аквариум со щукой исчезает. А вскоре на берегу водоема стали появляться обглоданные окуневые кости и рядом следы оленя и змеи. Маленькие бобрята во главе с Шустриком начинают поиски браконьеров, в результате которых выясняется, что ни олень, ни змея не едят рыбу. Смелому и находчивому Шустрику удается выследить врагов - ими оказываются Щука и Рак. Отважные бобрята и маленький Олененок неожиданно нападают на коварных браконьеров и захватывают их в плен</t>
        </is>
      </c>
      <c r="L6321" s="2" t="inlineStr">
        <is>
          <t>https://gosfilmofond.ru/films/254786/</t>
        </is>
      </c>
      <c r="M6321" s="2">
        <f>HYPERLINK("https://ru.wikipedia.org/w/index.php?search=%D0%91%D0%BE%D0%B1%D1%80%D1%8B%20%D0%B8%D0%B4%D1%83%D1%82%20%D0%BF%D0%BE%20%D1%81%D0%BB%D0%B5%D0%B4%D1%83%201970%20%D1%84%D0%B8%D0%BB%D1%8C%D0%BC","искать")</f>
        <v/>
      </c>
      <c r="N6321" s="3" t="n"/>
      <c r="O6321" s="2" t="n"/>
      <c r="P6321" s="2" t="n"/>
    </row>
    <row r="6322">
      <c r="A6322" s="2" t="n">
        <v>6321</v>
      </c>
      <c r="B6322" s="2" t="inlineStr"/>
      <c r="C6322" s="2" t="n">
        <v>8099</v>
      </c>
      <c r="D6322" s="3" t="inlineStr">
        <is>
          <t>Переступить черту</t>
        </is>
      </c>
      <c r="E6322" s="2" t="n">
        <v>1985</v>
      </c>
      <c r="F6322" s="2" t="inlineStr">
        <is>
          <t>телефильм</t>
        </is>
      </c>
      <c r="G6322" s="2" t="n"/>
      <c r="H6322" s="2" t="n">
        <v>583</v>
      </c>
      <c r="I6322" s="2" t="inlineStr"/>
      <c r="J6322" s="2" t="inlineStr"/>
      <c r="K6322" s="3" t="inlineStr">
        <is>
          <t>Три дела — одно за другим — ложатся на стол следователя Владимира Петровича Сажина: автомобильный наезд (угнанными синими «Жигулями» сбит 16-летний мальчик), кража музыкальной аппаратуры из школы и дело о частной практике гражданки Калязиной, работающей в СЭС и пользующейся славой врача-экстрасенса среди элитной части горожан. Умерла в больнице пожилая женщина из рода Воронцовых, незадолго перед тем у неё пропали часы, которые, возможно, держал в руках А. С. Пушкин. Интуитивно чувствуя связь между этими делами, следователь Сажин шаг за шагом — спокойно, но верно — идёт к цели.</t>
        </is>
      </c>
      <c r="L6322" s="2" t="inlineStr">
        <is>
          <t>https://ru.wikipedia.org/w/index.php?title=%D0%9F%D0%B5%D1%80%D0%B5%D1%81%D1%82%D1%83%D0%BF%D0%B8%D1%82%D1%8C_%D1%87%D0%B5%D1%80%D1%82%D1%83_%28%D1%84%D0%B8%D0%BB%D1%8C%D0%BC%2C_1985%29&amp;oldid=151564073</t>
        </is>
      </c>
      <c r="M6322" s="2">
        <f>HYPERLINK("https://ru.wikipedia.org/w/index.php?search=%D0%9F%D0%B5%D1%80%D0%B5%D1%81%D1%82%D1%83%D0%BF%D0%B8%D1%82%D1%8C%20%D1%87%D0%B5%D1%80%D1%82%D1%83%201985%20%D1%84%D0%B8%D0%BB%D1%8C%D0%BC","искать")</f>
        <v/>
      </c>
      <c r="N6322" s="3" t="n"/>
      <c r="O6322" s="2" t="n"/>
      <c r="P6322" s="2" t="n"/>
    </row>
    <row r="6323">
      <c r="A6323" s="2" t="n">
        <v>6322</v>
      </c>
      <c r="B6323" s="2" t="inlineStr"/>
      <c r="C6323" s="2" t="n">
        <v>8474</v>
      </c>
      <c r="D6323" s="3" t="inlineStr">
        <is>
          <t>Три года</t>
        </is>
      </c>
      <c r="E6323" s="2" t="n">
        <v>1980</v>
      </c>
      <c r="F6323" s="2" t="inlineStr">
        <is>
          <t>телефильм</t>
        </is>
      </c>
      <c r="G6323" s="2" t="inlineStr">
        <is>
          <t>Киностудия «Мосфильм»</t>
        </is>
      </c>
      <c r="H6323" s="2" t="n">
        <v>583</v>
      </c>
      <c r="I6323" s="2" t="inlineStr"/>
      <c r="J6323" s="2" t="inlineStr"/>
      <c r="K6323" s="3" t="inlineStr">
        <is>
          <t>Алексей Фёдорович Лаптев, сын богатого московского купца, приезжает навестить тяжелобольную сестру Нину в небольшой городок. Там он знакомится с милой девушкой Юлией и влюбляется в неё. Юлия хоть и не испытывает к главному герою серьёзных чувств, но тем не менее выходит за него замуж. Спустя некоторое время после свадьбы Лаптев начинает понимать, что в их семье страдают оба: жена тяготится обществом мужа, а тот понимает, что не может сделать Юлию счастливой. Отношения между ними складываются непросто, но любовь приходит к ним после одного трагического события, спустя три года.</t>
        </is>
      </c>
      <c r="L6323" s="2" t="inlineStr">
        <is>
          <t>https://ru.wikipedia.org/w/index.php?title=%D0%A2%D1%80%D0%B8_%D0%B3%D0%BE%D0%B4%D0%B0_%28%D1%84%D0%B8%D0%BB%D1%8C%D0%BC%29&amp;oldid=144879628</t>
        </is>
      </c>
      <c r="M6323" s="2">
        <f>HYPERLINK("https://ru.wikipedia.org/w/index.php?search=%D0%A2%D1%80%D0%B8%20%D0%B3%D0%BE%D0%B4%D0%B0%201980%20%D1%84%D0%B8%D0%BB%D1%8C%D0%BC","искать")</f>
        <v/>
      </c>
      <c r="N6323" s="3" t="n"/>
      <c r="O6323" s="2" t="n"/>
      <c r="P6323" s="2" t="n"/>
    </row>
    <row r="6324">
      <c r="A6324" s="2" t="n">
        <v>6323</v>
      </c>
      <c r="B6324" s="2" t="inlineStr"/>
      <c r="C6324" s="2" t="n">
        <v>8498</v>
      </c>
      <c r="D6324" s="3" t="inlineStr">
        <is>
          <t>Удивительный мальчик</t>
        </is>
      </c>
      <c r="E6324" s="2" t="n">
        <v>1970</v>
      </c>
      <c r="F6324" s="2" t="inlineStr">
        <is>
          <t>телефильм</t>
        </is>
      </c>
      <c r="G6324" s="2" t="n"/>
      <c r="H6324" s="2" t="n">
        <v>583</v>
      </c>
      <c r="I6324" s="2" t="inlineStr"/>
      <c r="J6324" s="2" t="inlineStr"/>
      <c r="K6324" s="3" t="inlineStr">
        <is>
          <t>Богач Бубнила, всеми способами выбивающий с горожан налоги, обнаруживает в лаборатории своего должника Арта, профессора всяческих наук, механическую игрушку — мальчика с прозрачными голубыми глазами. Он решает, что на этом изобретении он сможет заработать целое состояние.
Но скоро у богача появляется конкурент — коварный доктор Капа, приказывающий своим бандитам отыскать и похитить робота. Доктор возмечтал узнать принцип, по которому собран этот робот, и создать тысячу точно таких же мальчиков. Подручные теперь ему больше не нужны, так как один робот заменит десять гангстеров.</t>
        </is>
      </c>
      <c r="L6324" s="2" t="inlineStr">
        <is>
          <t>https://ru.wikipedia.org/w/index.php?title=%D0%A3%D0%B4%D0%B8%D0%B2%D0%B8%D1%82%D0%B5%D0%BB%D1%8C%D0%BD%D1%8B%D0%B9_%D0%BC%D0%B0%D0%BB%D1%8C%D1%87%D0%B8%D0%BA&amp;oldid=144406421</t>
        </is>
      </c>
      <c r="M6324" s="2">
        <f>HYPERLINK("https://ru.wikipedia.org/w/index.php?search=%D0%A3%D0%B4%D0%B8%D0%B2%D0%B8%D1%82%D0%B5%D0%BB%D1%8C%D0%BD%D1%8B%D0%B9%20%D0%BC%D0%B0%D0%BB%D1%8C%D1%87%D0%B8%D0%BA%201970%20%D1%84%D0%B8%D0%BB%D1%8C%D0%BC","искать")</f>
        <v/>
      </c>
      <c r="N6324" s="3" t="n"/>
      <c r="O6324" s="2" t="n"/>
      <c r="P6324" s="2" t="n"/>
    </row>
    <row r="6325">
      <c r="A6325" s="2" t="n">
        <v>6324</v>
      </c>
      <c r="B6325" s="2" t="inlineStr"/>
      <c r="C6325" s="2" t="n">
        <v>11332</v>
      </c>
      <c r="D6325" s="3" t="inlineStr">
        <is>
          <t>Этот фантастический мир. Выпуск 16</t>
        </is>
      </c>
      <c r="E6325" s="2" t="n">
        <v>1990</v>
      </c>
      <c r="F6325" s="2" t="inlineStr">
        <is>
          <t>фильм-спектакль</t>
        </is>
      </c>
      <c r="G6325" s="2" t="inlineStr">
        <is>
          <t>Главная редакция программ для детей и юношества ЦТ</t>
        </is>
      </c>
      <c r="H6325" s="2" t="n">
        <v>584</v>
      </c>
      <c r="I6325" s="2" t="inlineStr"/>
      <c r="J6325" s="2" t="inlineStr"/>
      <c r="K6325" s="3" t="inlineStr">
        <is>
          <t>По повести Джеймса Ганна "Где бы ты ни был".
Молодой ученый Мэт пишет диссертацию на тему "Психодинамика колдовства" и пытается доказать, что явлений, описанных в исторических судах над ведьмами, быть не может. Но однажды он встречает юную деревенскую девушку Эби, обладающую сверхъестественными способностями, и влюбляется в нее. В нем начинают бороться человеческие чувства и азарт ученого...
Телевизионный фильм "Психодинамика колдовства" - последний, 16 выпуск популярного телеальманаха "Этот фантастический мир", регулярно выходившего на Центральном Телевидении СССР с 1979 года.</t>
        </is>
      </c>
      <c r="L6325" s="2" t="inlineStr">
        <is>
          <t>https://www.kino-teatr.ru/teatr/movie/78750/annot/</t>
        </is>
      </c>
      <c r="M6325" s="2">
        <f>HYPERLINK("https://ru.wikipedia.org/w/index.php?search=%D0%AD%D1%82%D0%BE%D1%82%20%D1%84%D0%B0%D0%BD%D1%82%D0%B0%D1%81%D1%82%D0%B8%D1%87%D0%B5%D1%81%D0%BA%D0%B8%D0%B9%20%D0%BC%D0%B8%D1%80.%20%D0%92%D1%8B%D0%BF%D1%83%D1%81%D0%BA%2016%201990%20%D1%84%D0%B8%D0%BB%D1%8C%D0%BC","искать")</f>
        <v/>
      </c>
      <c r="N6325" s="3" t="n"/>
      <c r="O6325" s="2" t="n"/>
      <c r="P6325" s="2" t="n"/>
    </row>
    <row r="6326">
      <c r="A6326" s="2" t="n">
        <v>6325</v>
      </c>
      <c r="B6326" s="2" t="inlineStr"/>
      <c r="C6326" s="2" t="n">
        <v>11444</v>
      </c>
      <c r="D6326" s="3" t="inlineStr">
        <is>
          <t>Кузнец-колдун</t>
        </is>
      </c>
      <c r="E6326" s="2" t="n">
        <v>1967</v>
      </c>
      <c r="F6326" s="2" t="inlineStr">
        <is>
          <t>мультфильм</t>
        </is>
      </c>
      <c r="G6326" s="2" t="inlineStr">
        <is>
          <t>Союзмультфильм</t>
        </is>
      </c>
      <c r="H6326" s="2" t="n">
        <v>585</v>
      </c>
      <c r="I6326" s="2" t="inlineStr"/>
      <c r="J6326" s="2" t="inlineStr"/>
      <c r="K6326" s="3" t="inlineStr">
        <is>
          <t>По мотивам сказки Луди. Дружно жили в маленьком французским городке Пен-де-Пеле два кузнеца - Энрик и Гасту. Заказали им однажды выковать за три дня новую решетку к воротам ратуши. Гасту отказался. Энрик взялся за работу и через три дня к празднику решетка была готова. Но Энрик признался другу, что ходил к "дьявольской яме", где каменные угли горят и быстро нагревают металл. Разговор подслушал палач-доносчик, засадил Энрика за колдовство в тюрьму. И гореть бы Энрику на костре, если бы не смекалка Гасту и подмастерья Жано. Они заманили палача в "дьявольскую яму" и выручили Энрика</t>
        </is>
      </c>
      <c r="L6326" s="2" t="inlineStr">
        <is>
          <t>https://gosfilmofond.ru/films/254268/</t>
        </is>
      </c>
      <c r="M6326" s="2">
        <f>HYPERLINK("https://ru.wikipedia.org/w/index.php?search=%D0%9A%D1%83%D0%B7%D0%BD%D0%B5%D1%86-%D0%BA%D0%BE%D0%BB%D0%B4%D1%83%D0%BD%201967%20%D1%84%D0%B8%D0%BB%D1%8C%D0%BC","искать")</f>
        <v/>
      </c>
      <c r="N6326" s="3" t="n"/>
      <c r="O6326" s="2" t="n"/>
      <c r="P6326" s="2" t="n"/>
    </row>
    <row r="6327">
      <c r="A6327" s="2" t="n">
        <v>6326</v>
      </c>
      <c r="B6327" s="2" t="inlineStr"/>
      <c r="C6327" s="2" t="n">
        <v>7209</v>
      </c>
      <c r="D6327" s="3" t="inlineStr">
        <is>
          <t>Андрей и злой чародей</t>
        </is>
      </c>
      <c r="E6327" s="2" t="n">
        <v>1981</v>
      </c>
      <c r="F6327" s="2" t="inlineStr">
        <is>
          <t>телефильм</t>
        </is>
      </c>
      <c r="G6327" s="2" t="n"/>
      <c r="H6327" s="2" t="n">
        <v>586</v>
      </c>
      <c r="I6327" s="2" t="inlineStr"/>
      <c r="J6327" s="2" t="inlineStr"/>
      <c r="K6327" s="3" t="inlineStr">
        <is>
          <t>Давным-давно появился в одном поселении вредный колдун Цмок (Г. Милляр). Народ отделился от него большой стеной. И впервые на дозорной вышке караулит Андрей-Всех-Добрей (А. Смоляков). В это самое время Цмок приказывает Лешему (М. Кононов) и Водяному (Ю. Чернов) расположить сети в лесу и поймать красавицу Путеводную Звезду (И. Киселёва), которая является дочерью Ярилы-Солнца. Чтобы в деревне никто ничего не узнал, он отправляет Домового (Э. Бочаров), чтобы тот всех усыпил. И только Андрей-Всех-Добрей не засыпает и видит Путеводную Звезду. После этого он тут же спешит ей на помощь.</t>
        </is>
      </c>
      <c r="L6327" s="2" t="inlineStr">
        <is>
          <t>https://ru.wikipedia.org/w/index.php?title=%D0%90%D0%BD%D0%B4%D1%80%D0%B5%D0%B9_%D0%B8_%D0%B7%D0%BB%D0%BE%D0%B9_%D1%87%D0%B0%D1%80%D0%BE%D0%B4%D0%B5%D0%B9&amp;oldid=154544210</t>
        </is>
      </c>
      <c r="M6327" s="2">
        <f>HYPERLINK("https://ru.wikipedia.org/w/index.php?search=%D0%90%D0%BD%D0%B4%D1%80%D0%B5%D0%B9%20%D0%B8%20%D0%B7%D0%BB%D0%BE%D0%B9%20%D1%87%D0%B0%D1%80%D0%BE%D0%B4%D0%B5%D0%B9%201981%20%D1%84%D0%B8%D0%BB%D1%8C%D0%BC","искать")</f>
        <v/>
      </c>
      <c r="N6327" s="3" t="n"/>
      <c r="O6327" s="2" t="n"/>
      <c r="P6327" s="2" t="n"/>
    </row>
    <row r="6328">
      <c r="A6328" s="2" t="n">
        <v>6327</v>
      </c>
      <c r="B6328" s="2" t="inlineStr"/>
      <c r="C6328" s="2" t="n">
        <v>10643</v>
      </c>
      <c r="D6328" s="3" t="inlineStr">
        <is>
          <t>Дамы и гусары</t>
        </is>
      </c>
      <c r="E6328" s="2" t="n">
        <v>1976</v>
      </c>
      <c r="F6328" s="2" t="inlineStr">
        <is>
          <t>фильм-спектакль</t>
        </is>
      </c>
      <c r="G6328" s="2" t="inlineStr">
        <is>
          <t>ТО "Экран"</t>
        </is>
      </c>
      <c r="H6328" s="2" t="n">
        <v>587</v>
      </c>
      <c r="I6328" s="2" t="inlineStr"/>
      <c r="J6328" s="2" t="inlineStr"/>
      <c r="K6328" s="3" t="inlineStr">
        <is>
          <t>Экранизация одноимённого спектакля по пьесе А.Фредро.
К закоренелым холостякам, счастливо "соединяющим усилия" за чашей вина, - лихим гусарам, панам майору, ротмистру, поручику Эдмунду и капеллану приезжают сестры пана майора, решившие женить приближающегося к 60-летию братца на племяннице. Но племянница уже давно любит Эдмунда, и тогда созревает план уговорить майора жениться, в последний момент подменив его на поручика. Для этого дамами были сплетены самые коварные интриги, в результате которых все остальные вояки тоже задумали жениться и чуть было не преуспели в этом намерении!</t>
        </is>
      </c>
      <c r="L6328" s="2" t="inlineStr">
        <is>
          <t>https://www.kino-teatr.ru/teatr/movie/1591/annot/</t>
        </is>
      </c>
      <c r="M6328" s="2">
        <f>HYPERLINK("https://ru.wikipedia.org/w/index.php?search=%D0%94%D0%B0%D0%BC%D1%8B%20%D0%B8%20%D0%B3%D1%83%D1%81%D0%B0%D1%80%D1%8B%201976%20%D1%84%D0%B8%D0%BB%D1%8C%D0%BC","искать")</f>
        <v/>
      </c>
      <c r="N6328" s="3" t="n"/>
      <c r="O6328" s="2" t="n"/>
      <c r="P6328" s="2" t="n"/>
    </row>
    <row r="6329">
      <c r="A6329" s="2" t="n">
        <v>6328</v>
      </c>
      <c r="B6329" s="2" t="inlineStr"/>
      <c r="C6329" s="2" t="n">
        <v>8622</v>
      </c>
      <c r="D6329" s="3" t="inlineStr">
        <is>
          <t>Автостоп</t>
        </is>
      </c>
      <c r="E6329" s="2" t="n">
        <v>1990</v>
      </c>
      <c r="F6329" s="2" t="inlineStr">
        <is>
          <t>кинофильм</t>
        </is>
      </c>
      <c r="G6329" s="2" t="n"/>
      <c r="H6329" s="2" t="n">
        <v>588</v>
      </c>
      <c r="I6329" s="2" t="inlineStr"/>
      <c r="J6329" s="2" t="inlineStr"/>
      <c r="K6329" s="3" t="inlineStr">
        <is>
          <t>Итальянский автогонщик Сандро (Массимо Вентурьелло) по контракту должен провести зимние испытания автомобиля «Fiat Tempra» в России, где события принимают неожиданной поворот. К нему попутчицей подсаживается беременная женщина (Нина Русланова), которая спешит в больницу рожать. Их догоняет на мотоцикле её муж (Владимир Гостюхин) и едет дальше вместе с ними. В роддом они не успевают, и роды у неё принимает муж в лесу у дороги. Итальянец, увидев появление на свет человека, переживает душевное перерождение. Он начинает понимать, какую ошибку совершил, бросив когда-то свою жену и сына.</t>
        </is>
      </c>
      <c r="L6329" s="2" t="inlineStr">
        <is>
          <t>https://ru.wikipedia.org/w/index.php?title=%D0%90%D0%B2%D1%82%D0%BE%D1%81%D1%82%D0%BE%D0%BF_%28%D1%84%D0%B8%D0%BB%D1%8C%D0%BC%29&amp;oldid=154395766</t>
        </is>
      </c>
      <c r="M6329" s="2">
        <f>HYPERLINK("https://ru.wikipedia.org/w/index.php?search=%D0%90%D0%B2%D1%82%D0%BE%D1%81%D1%82%D0%BE%D0%BF%201990%20%D1%84%D0%B8%D0%BB%D1%8C%D0%BC","искать")</f>
        <v/>
      </c>
      <c r="N6329" s="3" t="n"/>
      <c r="O6329" s="2" t="n"/>
      <c r="P6329" s="2" t="n"/>
    </row>
    <row r="6330">
      <c r="A6330" s="2" t="n">
        <v>6329</v>
      </c>
      <c r="B6330" s="2" t="inlineStr"/>
      <c r="C6330" s="2" t="n">
        <v>9366</v>
      </c>
      <c r="D6330" s="3" t="inlineStr">
        <is>
          <t>Загадка Эндхауза</t>
        </is>
      </c>
      <c r="E6330" s="2" t="n">
        <v>1989</v>
      </c>
      <c r="F6330" s="2" t="inlineStr">
        <is>
          <t>кинофильм</t>
        </is>
      </c>
      <c r="G6330" s="2" t="n"/>
      <c r="H6330" s="2" t="n">
        <v>589</v>
      </c>
      <c r="I6330" s="2" t="inlineStr"/>
      <c r="J6330" s="2" t="inlineStr"/>
      <c r="K6330" s="3" t="inlineStr">
        <is>
          <t>Эркюль Пуаро решил отдохнуть от дел на морском побережье. Его сопровождает старый друг капитан Гастингс. Однако, когда друзья мирно беседовали в кафе, знаменитому сыщику неожиданно упала в стакан пуля от Маузера. Пуаро выясняет, что пуля предназначалась очаровательной девушке Ник Бакли, владелице старинного дома на окраине города, который называется «Эндхауз» («дом на краю»). Пробив шляпку девушки и срикошетив от дерева, пуля попала в стакан Пуаро, тем самым прервав его отдых. Пуаро решает помешать планам убийцы и начинает расследование, однако ему не удаётся предотвратить трагедию.</t>
        </is>
      </c>
      <c r="L6330" s="2" t="inlineStr">
        <is>
          <t>https://ru.wikipedia.org/w/index.php?title=%D0%97%D0%B0%D0%B3%D0%B0%D0%B4%D0%BA%D0%B0_%D0%AD%D0%BD%D0%B4%D1%85%D0%B0%D1%83%D0%B7%D0%B0_%28%D1%84%D0%B8%D0%BB%D1%8C%D0%BC%29&amp;oldid=154738607</t>
        </is>
      </c>
      <c r="M6330" s="2">
        <f>HYPERLINK("https://ru.wikipedia.org/w/index.php?search=%D0%97%D0%B0%D0%B3%D0%B0%D0%B4%D0%BA%D0%B0%20%D0%AD%D0%BD%D0%B4%D1%85%D0%B0%D1%83%D0%B7%D0%B0%201989%20%D1%84%D0%B8%D0%BB%D1%8C%D0%BC","искать")</f>
        <v/>
      </c>
      <c r="N6330" s="3" t="n"/>
      <c r="O6330" s="2" t="n"/>
      <c r="P6330" s="2" t="n"/>
    </row>
    <row r="6331">
      <c r="A6331" s="2" t="n">
        <v>6330</v>
      </c>
      <c r="B6331" s="2" t="inlineStr"/>
      <c r="C6331" s="2" t="n">
        <v>9438</v>
      </c>
      <c r="D6331" s="3" t="inlineStr">
        <is>
          <t>Красный остров</t>
        </is>
      </c>
      <c r="E6331" s="2" t="n">
        <v>1991</v>
      </c>
      <c r="F6331" s="2" t="inlineStr">
        <is>
          <t>кинофильм</t>
        </is>
      </c>
      <c r="G6331" s="2" t="n"/>
      <c r="H6331" s="2" t="n">
        <v>590</v>
      </c>
      <c r="I6331" s="2" t="inlineStr"/>
      <c r="J6331" s="2" t="inlineStr"/>
      <c r="K6331" s="3" t="inlineStr">
        <is>
          <t>После бурно проведённого вечера разочаровавшийся в жизни и мучимый похмельем писатель Поляков собрался покончить с собой. Явившийся в этот самый момент редактор с повадками Мефистофеля Рудольфи предложил издать роман Полякова, однако вскоре исчез.
Оставшись один перед лицом фантасмагоричной для него советской литературной бюрократии, писатель заболел. Теперь единственная его надежда — разрешение всесильного цензора Главреперткома Саввы Лукича на постановку пьесы «из туземной жизни».
Собственно пьесе (точнее, её финальному акту) и уделены последние полчаса фильма и его открытый финал.</t>
        </is>
      </c>
      <c r="L6331" s="2" t="inlineStr">
        <is>
          <t>https://ru.wikipedia.org/w/index.php?title=%D0%9A%D1%80%D0%B0%D1%81%D0%BD%D1%8B%D0%B9_%D0%BE%D1%81%D1%82%D1%80%D0%BE%D0%B2_%28%D1%84%D0%B8%D0%BB%D1%8C%D0%BC%29&amp;oldid=154697746</t>
        </is>
      </c>
      <c r="M6331" s="2">
        <f>HYPERLINK("https://ru.wikipedia.org/w/index.php?search=%D0%9A%D1%80%D0%B0%D1%81%D0%BD%D1%8B%D0%B9%20%D0%BE%D1%81%D1%82%D1%80%D0%BE%D0%B2%201991%20%D1%84%D0%B8%D0%BB%D1%8C%D0%BC","искать")</f>
        <v/>
      </c>
      <c r="N6331" s="3" t="n"/>
      <c r="O6331" s="2" t="n"/>
      <c r="P6331" s="2" t="n"/>
    </row>
    <row r="6332">
      <c r="A6332" s="2" t="n">
        <v>6331</v>
      </c>
      <c r="B6332" s="2" t="inlineStr"/>
      <c r="C6332" s="2" t="n">
        <v>11611</v>
      </c>
      <c r="D6332" s="3" t="inlineStr">
        <is>
          <t>Сказка сказывается</t>
        </is>
      </c>
      <c r="E6332" s="2" t="n">
        <v>1970</v>
      </c>
      <c r="F6332" s="2" t="inlineStr">
        <is>
          <t>мультфильм</t>
        </is>
      </c>
      <c r="G6332" s="2" t="inlineStr">
        <is>
          <t>Союзмультфильм</t>
        </is>
      </c>
      <c r="H6332" s="2" t="n">
        <v>590</v>
      </c>
      <c r="I6332" s="2" t="inlineStr"/>
      <c r="J6332" s="2" t="inlineStr"/>
      <c r="K6332" s="3" t="inlineStr">
        <is>
          <t>В старых сказках, где злой Кащей уводил от людей Красу Ненаглядную - Василису, всегда появлялся смелый и ловкий Иван-царевич и, разрушив все козни Кащея, спасая девушку. В этой сказке совершается иначе...Иван-царевич, узнав, каким опасностям должен подвергнуть себя, чтобы спасти Василису Прекрасную, готов отказаться и от женитьбы на ней, только бы не идти к Бабе Яге и к страшному Водяному. Но слуга его Ванька, желая спасти для людей Красу Ненаглядную Дракона страшного побеждает и самого Кащея погубить ему удается...За бескорыстие и отвагу полюбила его Василиса и выходит за него замуж</t>
        </is>
      </c>
      <c r="L6332" s="2" t="inlineStr">
        <is>
          <t>https://gosfilmofond.ru/films/255176/</t>
        </is>
      </c>
      <c r="M6332" s="2">
        <f>HYPERLINK("https://ru.wikipedia.org/w/index.php?search=%D0%A1%D0%BA%D0%B0%D0%B7%D0%BA%D0%B0%20%D1%81%D0%BA%D0%B0%D0%B7%D1%8B%D0%B2%D0%B0%D0%B5%D1%82%D1%81%D1%8F%201970%20%D1%84%D0%B8%D0%BB%D1%8C%D0%BC","искать")</f>
        <v/>
      </c>
      <c r="N6332" s="3" t="n"/>
      <c r="O6332" s="2" t="n"/>
      <c r="P6332" s="2" t="n"/>
    </row>
    <row r="6333">
      <c r="A6333" s="2" t="n">
        <v>6332</v>
      </c>
      <c r="B6333" s="2" t="inlineStr"/>
      <c r="C6333" s="2" t="n">
        <v>8186</v>
      </c>
      <c r="D6333" s="3" t="inlineStr">
        <is>
          <t>Председатель ревкома</t>
        </is>
      </c>
      <c r="E6333" s="2" t="n">
        <v>1977</v>
      </c>
      <c r="F6333" s="2" t="inlineStr">
        <is>
          <t>телефильм</t>
        </is>
      </c>
      <c r="G6333" s="2" t="n"/>
      <c r="H6333" s="2" t="n">
        <v>591</v>
      </c>
      <c r="I6333" s="2" t="inlineStr"/>
      <c r="J6333" s="2" t="inlineStr"/>
      <c r="K6333" s="3" t="inlineStr">
        <is>
          <t>Фильм о Гражданской войне на Кавказе и первых годах Советской власти в Армении. Действие проходит в 1921 году. Кипит ожесточённая борьба дашнаков и большевиков.
В центре повествования — убеждённый большевик, который следует зову своего сердца и делает всё во благо родины. Герою фильма — председателю революционного комитета в провинциальном городке, где пока ещё дашнаки и их сторонники не хотят мириться с новой советской властью. Действовать ему приходится на непригодной, казалось бы, для этого почве.
События киноленты освещают важные и судьбоносные месяцы становления новой республики.</t>
        </is>
      </c>
      <c r="L6333" s="2" t="inlineStr">
        <is>
          <t>https://ru.wikipedia.org/w/index.php?title=%D0%9F%D1%80%D0%B5%D0%B4%D1%81%D0%B5%D0%B4%D0%B0%D1%82%D0%B5%D0%BB%D1%8C_%D1%80%D0%B5%D0%B2%D0%BA%D0%BE%D0%BC%D0%B0_%28%D1%84%D0%B8%D0%BB%D1%8C%D0%BC%29&amp;oldid=154702976</t>
        </is>
      </c>
      <c r="M6333" s="2">
        <f>HYPERLINK("https://ru.wikipedia.org/w/index.php?search=%D0%9F%D1%80%D0%B5%D0%B4%D1%81%D0%B5%D0%B4%D0%B0%D1%82%D0%B5%D0%BB%D1%8C%20%D1%80%D0%B5%D0%B2%D0%BA%D0%BE%D0%BC%D0%B0%201977%20%D1%84%D0%B8%D0%BB%D1%8C%D0%BC","искать")</f>
        <v/>
      </c>
      <c r="N6333" s="3" t="n"/>
      <c r="O6333" s="2" t="n"/>
      <c r="P6333" s="2" t="n"/>
    </row>
    <row r="6334">
      <c r="A6334" s="2" t="n">
        <v>6333</v>
      </c>
      <c r="B6334" s="2" t="inlineStr"/>
      <c r="C6334" s="2" t="n">
        <v>12989</v>
      </c>
      <c r="D6334" s="3" t="inlineStr">
        <is>
          <t>Превращение</t>
        </is>
      </c>
      <c r="E6334" s="2" t="n">
        <v>1969</v>
      </c>
      <c r="F6334" s="2" t="inlineStr">
        <is>
          <t>мультфильм</t>
        </is>
      </c>
      <c r="G6334" s="2" t="inlineStr">
        <is>
          <t>КАЗАХФИЛЬМ</t>
        </is>
      </c>
      <c r="H6334" s="2" t="n">
        <v>591</v>
      </c>
      <c r="I6334" s="2" t="inlineStr"/>
      <c r="J6334" s="2" t="inlineStr"/>
      <c r="K6334" s="3" t="inlineStr">
        <is>
          <t>По мотивам восточных легенд и сказки Е.Хелтаи. Давным-давно одного мудреца посетила беспокойная гостья - блоха. Он ее выбросил в окно. А она под одежды красавицы спряталась. Запрыгала красавица, замахала руками. Проезжий купец подумал, что она для него вытанцовывает, и ночью забрался к ней в дом. Муж красавицы убил непрошенного гостя. Друзья купца убили мужа красавицы. Бросились родные и знакомые убитого на пришельцев. А блоха тем временем стала расти, поднялась выше домов. И уже война началась между городами и целыми народами, и где ступила нога блохи-великана - там войны и разорение</t>
        </is>
      </c>
      <c r="L6334" s="2" t="inlineStr">
        <is>
          <t>https://gosfilmofond.ru/films/254763/</t>
        </is>
      </c>
      <c r="M6334" s="2">
        <f>HYPERLINK("https://ru.wikipedia.org/w/index.php?search=%D0%9F%D1%80%D0%B5%D0%B2%D1%80%D0%B0%D1%89%D0%B5%D0%BD%D0%B8%D0%B5%201969%20%D1%84%D0%B8%D0%BB%D1%8C%D0%BC","искать")</f>
        <v/>
      </c>
      <c r="N6334" s="3" t="n"/>
      <c r="O6334" s="2" t="n"/>
      <c r="P6334" s="2" t="n"/>
    </row>
    <row r="6335">
      <c r="A6335" s="2" t="n">
        <v>6334</v>
      </c>
      <c r="B6335" s="2" t="inlineStr"/>
      <c r="C6335" s="2" t="n">
        <v>8079</v>
      </c>
      <c r="D6335" s="3" t="inlineStr">
        <is>
          <t>Парашюты на деревьях</t>
        </is>
      </c>
      <c r="E6335" s="2" t="n">
        <v>1973</v>
      </c>
      <c r="F6335" s="2" t="inlineStr">
        <is>
          <t>телефильм</t>
        </is>
      </c>
      <c r="G6335" s="2" t="n"/>
      <c r="H6335" s="2" t="n">
        <v>592</v>
      </c>
      <c r="I6335" s="2" t="inlineStr"/>
      <c r="J6335" s="2" t="inlineStr"/>
      <c r="K6335" s="3" t="inlineStr">
        <is>
          <t>Фильм рассказывает о том, как во время операции по прорыву укреплённых районов Восточной Пруссии на территорию противника забрасывается специально подготовленная группа из десяти советских разведчиков. Группа работает на вражеской территории без всякой надежды на помощь. Это уже не земли братских народов, где можно постучаться и попросить ночлега в любом доме - здесь кругом враги. Но даже в Германии разведчики находят друзей. Это антифашисты, немецкие коммунисты, которые также ненавидят фашизм. Благодаря сведениям, добытым группой, спасены тысячи жизней при наступлении советских войск.</t>
        </is>
      </c>
      <c r="L6335" s="2" t="inlineStr">
        <is>
          <t>https://ru.wikipedia.org/w/index.php?title=%D0%9F%D0%B0%D1%80%D0%B0%D1%88%D1%8E%D1%82%D1%8B_%D0%BD%D0%B0_%D0%B4%D0%B5%D1%80%D0%B5%D0%B2%D1%8C%D1%8F%D1%85&amp;oldid=155221851</t>
        </is>
      </c>
      <c r="M6335" s="2">
        <f>HYPERLINK("https://ru.wikipedia.org/w/index.php?search=%D0%9F%D0%B0%D1%80%D0%B0%D1%88%D1%8E%D1%82%D1%8B%20%D0%BD%D0%B0%20%D0%B4%D0%B5%D1%80%D0%B5%D0%B2%D1%8C%D1%8F%D1%85%201973%20%D1%84%D0%B8%D0%BB%D1%8C%D0%BC","искать")</f>
        <v/>
      </c>
      <c r="N6335" s="3" t="n"/>
      <c r="O6335" s="2" t="n"/>
      <c r="P6335" s="2" t="n"/>
    </row>
    <row r="6336">
      <c r="A6336" s="2" t="n">
        <v>6335</v>
      </c>
      <c r="B6336" s="2" t="inlineStr"/>
      <c r="C6336" s="2" t="n">
        <v>9573</v>
      </c>
      <c r="D6336" s="3" t="inlineStr">
        <is>
          <t>Посещение</t>
        </is>
      </c>
      <c r="E6336" s="2" t="n">
        <v>1989</v>
      </c>
      <c r="F6336" s="2" t="inlineStr">
        <is>
          <t>кинофильм</t>
        </is>
      </c>
      <c r="G6336" s="2" t="n"/>
      <c r="H6336" s="2" t="n">
        <v>592</v>
      </c>
      <c r="I6336" s="2" t="inlineStr"/>
      <c r="J6336" s="2" t="inlineStr"/>
      <c r="K6336" s="3" t="inlineStr">
        <is>
          <t>По мотивам произведений Ф. Достоевского, Л. Толстого, Т. Манна. Жизнь Алексея ограничена лишь воспоминаниями о детстве и юности. Его мать живет за границей, и воспитание детей возложено на плечи няни. Отец Алексея умер от неизлечимой болезни, когда тот был еще совсем ребенком. Через несколько лет умирает мать, любимая девушка уходит к другому. Постоянно размышляя о сущности жизни и смерти, Алексей приходит к мысли, что в его собственной жизни нет ничего более важного и интересного, чем воспоминания о том, как праздновались его дни рождения. В конце концов Алексей сводит счеты с жизнью.</t>
        </is>
      </c>
      <c r="L6336" s="2" t="inlineStr">
        <is>
          <t>https://gosfilmofond.ru/films/241241/</t>
        </is>
      </c>
      <c r="M6336" s="2">
        <f>HYPERLINK("https://ru.wikipedia.org/w/index.php?search=%D0%9F%D0%BE%D1%81%D0%B5%D1%89%D0%B5%D0%BD%D0%B8%D0%B5%201989%20%D1%84%D0%B8%D0%BB%D1%8C%D0%BC","искать")</f>
        <v/>
      </c>
      <c r="N6336" s="3" t="n"/>
      <c r="O6336" s="2" t="n"/>
      <c r="P6336" s="2" t="n"/>
    </row>
    <row r="6337">
      <c r="A6337" s="2" t="n">
        <v>6336</v>
      </c>
      <c r="B6337" s="2" t="inlineStr"/>
      <c r="C6337" s="2" t="n">
        <v>9693</v>
      </c>
      <c r="D6337" s="3" t="inlineStr">
        <is>
          <t>Тихий ужас</t>
        </is>
      </c>
      <c r="E6337" s="2" t="n">
        <v>1989</v>
      </c>
      <c r="F6337" s="2" t="inlineStr">
        <is>
          <t>кинофильм</t>
        </is>
      </c>
      <c r="G6337" s="2" t="n"/>
      <c r="H6337" s="2" t="n">
        <v>592</v>
      </c>
      <c r="I6337" s="2" t="inlineStr"/>
      <c r="J6337" s="2" t="inlineStr"/>
      <c r="K6337" s="3" t="inlineStr">
        <is>
          <t>На съемочной площадке идет съемка сказки с захватывающим сюжетом. После долгой мучительной работы режиссер, наконец-то, доволен результатом. Но вдруг один за другим начинают погибать члены съемочной группы. Расследование ведут инспектор и его помощник-сержант. В ходе допросов инспектор приходит к выводу, что убийцей может быть любой из актеров, оператор и даже директор картины. Собрав улики, оставшиеся на местах преступлений, инспектор догадывается, кто это. При попытке совершить очередное убийство убийца задержан. Убийцей оказывается вампир, прилетевший на Землю на космическом корабле</t>
        </is>
      </c>
      <c r="L6337" s="2" t="inlineStr">
        <is>
          <t>https://gosfilmofond.ru/films/249585/</t>
        </is>
      </c>
      <c r="M6337" s="2">
        <f>HYPERLINK("https://ru.wikipedia.org/w/index.php?search=%D0%A2%D0%B8%D1%85%D0%B8%D0%B9%20%D1%83%D0%B6%D0%B0%D1%81%201989%20%D1%84%D0%B8%D0%BB%D1%8C%D0%BC","искать")</f>
        <v/>
      </c>
      <c r="N6337" s="3" t="n"/>
      <c r="O6337" s="2" t="n"/>
      <c r="P6337" s="2" t="n"/>
    </row>
    <row r="6338">
      <c r="A6338" s="2" t="n">
        <v>6337</v>
      </c>
      <c r="B6338" s="2" t="inlineStr"/>
      <c r="C6338" s="2" t="n">
        <v>8272</v>
      </c>
      <c r="D6338" s="3" t="inlineStr">
        <is>
          <t>Решающая схватка</t>
        </is>
      </c>
      <c r="E6338" s="2" t="n">
        <v>1979</v>
      </c>
      <c r="F6338" s="2" t="inlineStr">
        <is>
          <t>телефильм</t>
        </is>
      </c>
      <c r="G6338" s="2" t="n"/>
      <c r="H6338" s="2" t="n">
        <v>593</v>
      </c>
      <c r="I6338" s="2" t="inlineStr"/>
      <c r="J6338" s="2" t="inlineStr"/>
      <c r="K6338" s="3" t="inlineStr">
        <is>
          <t>Альжан Тулегенов — студент факультета журналистики, мастер спорта по самбо. Сильный и уверенный в себе, не знающий сомнений, он сталкивается с настоящей проблемой во время прохождения практики — написав статью, в которой несправедливо обвинил честного человека, он теперь должен признать ошибку… Это трудно, но пока ещё есть время, и вместо того чтобы готовится к соревнованиям он стремится изменить ход событий, в чём ему помогают его девушка и друзья. Чемпионат он проиграет, но выдержит главную — решительную схватку — и не на борцовском ковре, а с самим собой, оставшись честным человеком.</t>
        </is>
      </c>
      <c r="L6338" s="2" t="inlineStr">
        <is>
          <t>https://ru.wikipedia.org/w/index.php?title=%D0%A0%D0%B5%D1%88%D0%B0%D1%8E%D1%89%D0%B0%D1%8F_%D1%81%D1%85%D0%B2%D0%B0%D1%82%D0%BA%D0%B0&amp;oldid=154703603</t>
        </is>
      </c>
      <c r="M6338" s="2">
        <f>HYPERLINK("https://ru.wikipedia.org/w/index.php?search=%D0%A0%D0%B5%D1%88%D0%B0%D1%8E%D1%89%D0%B0%D1%8F%20%D1%81%D1%85%D0%B2%D0%B0%D1%82%D0%BA%D0%B0%201979%20%D1%84%D0%B8%D0%BB%D1%8C%D0%BC","искать")</f>
        <v/>
      </c>
      <c r="N6338" s="3" t="n"/>
      <c r="O6338" s="2" t="n"/>
      <c r="P6338" s="2" t="n"/>
    </row>
    <row r="6339">
      <c r="A6339" s="2" t="n">
        <v>6338</v>
      </c>
      <c r="B6339" s="2" t="inlineStr"/>
      <c r="C6339" s="2" t="n">
        <v>12430</v>
      </c>
      <c r="D6339" s="3" t="inlineStr">
        <is>
          <t>Колумб причаливает к берегу</t>
        </is>
      </c>
      <c r="E6339" s="2" t="n">
        <v>1967</v>
      </c>
      <c r="F6339" s="2" t="inlineStr">
        <is>
          <t>мультфильм</t>
        </is>
      </c>
      <c r="G6339" s="2" t="inlineStr">
        <is>
          <t>КИЕВНАУЧФИЛЬМ</t>
        </is>
      </c>
      <c r="H6339" s="2" t="n">
        <v>593</v>
      </c>
      <c r="I6339" s="2" t="inlineStr"/>
      <c r="J6339" s="2" t="inlineStr"/>
      <c r="K6339" s="3" t="inlineStr">
        <is>
          <t>Колумб открывает Америку - современную. И попадает в самое пекло предвыборной кампании. Лидер партии "узкополых" Вилли решил использовать его в качестве приманки для публики. "Широкополые" под водительством своего лидера Аллена совершают нападение на ресторан, где происходит торжественный ужин "узкополых", и похищают Колумба. И вот торжественный парад в честь Аллена и его "друга" Колумба. "Узкополые" нападают на "широкополых". Из всеобщей свалки Колумб спасается бегством. Его преследуют. Мореплавателю удается спастись в психиатрической больнице. Там, наконец, он устанавливает свое знамя</t>
        </is>
      </c>
      <c r="L6339" s="2" t="inlineStr">
        <is>
          <t>https://gosfilmofond.ru/films/254266/</t>
        </is>
      </c>
      <c r="M6339" s="2">
        <f>HYPERLINK("https://ru.wikipedia.org/w/index.php?search=%D0%9A%D0%BE%D0%BB%D1%83%D0%BC%D0%B1%20%D0%BF%D1%80%D0%B8%D1%87%D0%B0%D0%BB%D0%B8%D0%B2%D0%B0%D0%B5%D1%82%20%D0%BA%20%D0%B1%D0%B5%D1%80%D0%B5%D0%B3%D1%83%201967%20%D1%84%D0%B8%D0%BB%D1%8C%D0%BC","искать")</f>
        <v/>
      </c>
      <c r="N6339" s="3" t="n"/>
      <c r="O6339" s="2" t="n"/>
      <c r="P6339" s="2" t="n"/>
    </row>
    <row r="6340">
      <c r="A6340" s="2" t="n">
        <v>6339</v>
      </c>
      <c r="B6340" s="2" t="inlineStr"/>
      <c r="C6340" s="2" t="n">
        <v>9625</v>
      </c>
      <c r="D6340" s="3" t="inlineStr">
        <is>
          <t>Романтик</t>
        </is>
      </c>
      <c r="E6340" s="2" t="n">
        <v>1989</v>
      </c>
      <c r="F6340" s="2" t="inlineStr">
        <is>
          <t>кинофильм</t>
        </is>
      </c>
      <c r="G6340" s="2" t="n"/>
      <c r="H6340" s="2" t="n">
        <v>595</v>
      </c>
      <c r="I6340" s="2" t="inlineStr"/>
      <c r="J6340" s="2" t="inlineStr"/>
      <c r="K6340" s="3" t="inlineStr">
        <is>
          <t>По одноименной повести Л. Вакуловской. Николай возвращается с Севера, заработав там для семья
приличные деньги, но вскоре он обнаруживает, что все его труды были напрасны. Хотя теперь в доме полный достаток, привезенные им деньги на самом деле разрушают семью. Спивается жена Гера, приворовывает сын, другие родственники постоянно ссорятся. Все это, да еще воспоминания о работе на Севере, где он был «собачником» — специалистом по отстрелу одичавших собак — сказывается на психике Николая. У него начинаются видения и припадки, в результате чего мужчина оказывается в психиатрической лечебнице.</t>
        </is>
      </c>
      <c r="L6340" s="2" t="inlineStr">
        <is>
          <t>https://gosfilmofond.ru/films/241418/</t>
        </is>
      </c>
      <c r="M6340" s="2">
        <f>HYPERLINK("https://ru.wikipedia.org/w/index.php?search=%D0%A0%D0%BE%D0%BC%D0%B0%D0%BD%D1%82%D0%B8%D0%BA%201989%20%D1%84%D0%B8%D0%BB%D1%8C%D0%BC","искать")</f>
        <v/>
      </c>
      <c r="N6340" s="3" t="n"/>
      <c r="O6340" s="2" t="n"/>
      <c r="P6340" s="2" t="n"/>
    </row>
    <row r="6341">
      <c r="A6341" s="2" t="n">
        <v>6340</v>
      </c>
      <c r="B6341" s="2" t="inlineStr"/>
      <c r="C6341" s="2" t="n">
        <v>11213</v>
      </c>
      <c r="D6341" s="3" t="inlineStr">
        <is>
          <t>Кьоджинские перепалки</t>
        </is>
      </c>
      <c r="E6341" s="2" t="n">
        <v>1988</v>
      </c>
      <c r="F6341" s="2" t="inlineStr">
        <is>
          <t>фильм-спектакль</t>
        </is>
      </c>
      <c r="G6341" s="2" t="inlineStr">
        <is>
          <t>Главная редакция литературно-драматических программ ЦТ</t>
        </is>
      </c>
      <c r="H6341" s="2" t="n">
        <v>595</v>
      </c>
      <c r="I6341" s="2" t="inlineStr"/>
      <c r="J6341" s="2" t="inlineStr"/>
      <c r="K6341" s="3" t="inlineStr">
        <is>
          <t>По одноименной пьесе Карло Гольдони в исполнении выпускников Государственного института театрального искусства имени А.В. Луначарского.
В маленьком приморском городке Кьодже жены, невесты и сестры рыбаков ожидают возвращения с моря мужчин, коротая время за сплетнями и поддразниванием друг друга. Чуть-чуть кокетства, чуть-чуть соперничества, и из этих искорок, мгновенно раздутых кумушками, в горячих южных характерах вспыхивает пламя ревности и обид. Рушится счастье двух влюбленных пар. Привычные перепалки соседок, их постоянное развлечение достигает упоительного накала непримиримой вражды.</t>
        </is>
      </c>
      <c r="L6341" s="2" t="inlineStr">
        <is>
          <t>https://www.kino-teatr.ru/teatr/movie/81597/annot/</t>
        </is>
      </c>
      <c r="M6341" s="2">
        <f>HYPERLINK("https://ru.wikipedia.org/w/index.php?search=%D0%9A%D1%8C%D0%BE%D0%B4%D0%B6%D0%B8%D0%BD%D1%81%D0%BA%D0%B8%D0%B5%20%D0%BF%D0%B5%D1%80%D0%B5%D0%BF%D0%B0%D0%BB%D0%BA%D0%B8%201988%20%D1%84%D0%B8%D0%BB%D1%8C%D0%BC","искать")</f>
        <v/>
      </c>
      <c r="N6341" s="3" t="n"/>
      <c r="O6341" s="2" t="n"/>
      <c r="P6341" s="2" t="n"/>
    </row>
    <row r="6342">
      <c r="A6342" s="2" t="n">
        <v>6341</v>
      </c>
      <c r="B6342" s="2" t="inlineStr"/>
      <c r="C6342" s="2" t="n">
        <v>8507</v>
      </c>
      <c r="D6342" s="3" t="inlineStr">
        <is>
          <t>Фаворит</t>
        </is>
      </c>
      <c r="E6342" s="2" t="n">
        <v>1976</v>
      </c>
      <c r="F6342" s="2" t="inlineStr">
        <is>
          <t>телефильм</t>
        </is>
      </c>
      <c r="G6342" s="2" t="n"/>
      <c r="H6342" s="2" t="n">
        <v>596</v>
      </c>
      <c r="I6342" s="2" t="inlineStr"/>
      <c r="J6342" s="2" t="inlineStr"/>
      <c r="K6342" s="3" t="inlineStr">
        <is>
          <t>После гибели Билла Дэвидсона на скачках его друг — жокей Алан Йорк (Арнис Лицитис) узнаёт, что это был не несчастный случай. Попытки установить заказчика убийства приводят его к раскрытию целой преступной группы, возглавляемой близко знакомым ему человеком…
Он постепенно проникает вглубь интриги, связанной не только со скачками, на которых погиб Билл, но и с местной бандой таксистов. Не только любовь и желание, возникающее к хозяйке новой скаковой лошади, Кэт, на которой должен скакать Алан, но и долг перед супругой Билла, заставляет его снова и снова задаваться одними и теми же вопросами.</t>
        </is>
      </c>
      <c r="L6342" s="2" t="inlineStr">
        <is>
          <t>https://ru.wikipedia.org/w/index.php?title=%D0%A4%D0%B0%D0%B2%D0%BE%D1%80%D0%B8%D1%82_%28%D1%84%D0%B8%D0%BB%D1%8C%D0%BC%2C_1976%29&amp;oldid=155285221</t>
        </is>
      </c>
      <c r="M6342" s="2">
        <f>HYPERLINK("https://ru.wikipedia.org/w/index.php?search=%D0%A4%D0%B0%D0%B2%D0%BE%D1%80%D0%B8%D1%82%201976%20%D1%84%D0%B8%D0%BB%D1%8C%D0%BC","искать")</f>
        <v/>
      </c>
      <c r="N6342" s="3" t="n"/>
      <c r="O6342" s="2" t="n"/>
      <c r="P6342" s="2" t="n"/>
    </row>
    <row r="6343">
      <c r="A6343" s="2" t="n">
        <v>6342</v>
      </c>
      <c r="B6343" s="2" t="inlineStr"/>
      <c r="C6343" s="2" t="n">
        <v>9166</v>
      </c>
      <c r="D6343" s="3" t="inlineStr">
        <is>
          <t>Чужой (киноальманах)</t>
        </is>
      </c>
      <c r="E6343" s="2" t="n">
        <v>1988</v>
      </c>
      <c r="F6343" s="2" t="inlineStr">
        <is>
          <t>кинофильм</t>
        </is>
      </c>
      <c r="G6343" s="2" t="n"/>
      <c r="H6343" s="2" t="n">
        <v>597</v>
      </c>
      <c r="I6343" s="2" t="inlineStr"/>
      <c r="J6343" s="2" t="inlineStr"/>
      <c r="K6343" s="3" t="inlineStr">
        <is>
          <t>Чужой. «Нечто», чего люди не понимают, но чувствуют его приближение к селу, воспринимается многими как предзнаменование конца света. Одним - страшно, вторые засыпают. Но находится человек, который знает, что зло можно уничтожить только тогда, когда оно еще не вошло в село. Герой берет в руки меч и идет ему навстречу...
Пасхальный ягненок. Пришедший в деревню дурачок Ахаиду добротой и весельем покоряет всех жителей. Когда герой решает покинуть деревню, дети дарят ему на прощание барашка. Однако компания разгулявшихся горожан отбирает у него подарок на шашлык, а затем убивает и самого Ахаиду.</t>
        </is>
      </c>
      <c r="L6343" s="2" t="inlineStr">
        <is>
          <t>https://gosfilmofond.ru/films/240670/</t>
        </is>
      </c>
      <c r="M6343" s="2">
        <f>HYPERLINK("https://ru.wikipedia.org/w/index.php?search=%D0%A7%D1%83%D0%B6%D0%BE%D0%B9%20%28%D0%BA%D0%B8%D0%BD%D0%BE%D0%B0%D0%BB%D1%8C%D0%BC%D0%B0%D0%BD%D0%B0%D1%85%29%201988%20%D1%84%D0%B8%D0%BB%D1%8C%D0%BC","искать")</f>
        <v/>
      </c>
      <c r="N6343" s="3" t="n"/>
      <c r="O6343" s="2" t="n"/>
      <c r="P6343" s="2" t="n"/>
    </row>
    <row r="6344">
      <c r="A6344" s="2" t="n">
        <v>6343</v>
      </c>
      <c r="B6344" s="2" t="inlineStr"/>
      <c r="C6344" s="2" t="n">
        <v>7423</v>
      </c>
      <c r="D6344" s="3" t="inlineStr">
        <is>
          <t>Выставка</t>
        </is>
      </c>
      <c r="E6344" s="2" t="n">
        <v>1987</v>
      </c>
      <c r="F6344" s="2" t="inlineStr">
        <is>
          <t>телефильм</t>
        </is>
      </c>
      <c r="G6344" s="2" t="inlineStr">
        <is>
          <t>Литовская киностудия</t>
        </is>
      </c>
      <c r="H6344" s="2" t="n">
        <v>598</v>
      </c>
      <c r="I6344" s="2" t="inlineStr"/>
      <c r="J6344" s="2" t="inlineStr"/>
      <c r="K6344" s="3" t="inlineStr">
        <is>
          <t>Фильм о борьбе с коррупцией в СССР. Директор историко-краеведческого музея, подлец и карьерист Балис Адамонис имеет, по его мнению, всё, что должно быть у работника такого ранга: с виду благополучная семья, уважающие его коллеги, есть даже и любовница. Ему покровительствует первый секретарь райкома партии. Надеясь пойти на повышение и продолжить свою карьеру в Вильнюсе, Адамонис преподносит первому секретарю ценный музейный экспонат. Однако руководителя меняют, и его преемником становится требовательный, не терпящий показухи и лести человек. Мечтам честолюбивого Адамониса не суждено сбыться.</t>
        </is>
      </c>
      <c r="L6344" s="2" t="inlineStr">
        <is>
          <t>https://ru.wikipedia.org/w/index.php?title=%D0%92%D1%8B%D1%81%D1%82%D0%B0%D0%B2%D0%BA%D0%B0_%28%D1%84%D0%B8%D0%BB%D1%8C%D0%BC%29&amp;oldid=154693278</t>
        </is>
      </c>
      <c r="M6344" s="2">
        <f>HYPERLINK("https://ru.wikipedia.org/w/index.php?search=%D0%92%D1%8B%D1%81%D1%82%D0%B0%D0%B2%D0%BA%D0%B0%201987%20%D1%84%D0%B8%D0%BB%D1%8C%D0%BC","искать")</f>
        <v/>
      </c>
      <c r="N6344" s="3" t="n"/>
      <c r="O6344" s="2" t="n"/>
      <c r="P6344" s="2" t="n"/>
    </row>
    <row r="6345">
      <c r="A6345" s="2" t="n">
        <v>6344</v>
      </c>
      <c r="B6345" s="2" t="inlineStr"/>
      <c r="C6345" s="2" t="n">
        <v>8105</v>
      </c>
      <c r="D6345" s="3" t="inlineStr">
        <is>
          <t>Песнь о любви</t>
        </is>
      </c>
      <c r="E6345" s="2" t="n">
        <v>1984</v>
      </c>
      <c r="F6345" s="2" t="inlineStr">
        <is>
          <t>телефильм</t>
        </is>
      </c>
      <c r="G6345" s="2" t="n"/>
      <c r="H6345" s="2" t="n">
        <v>598</v>
      </c>
      <c r="I6345" s="2" t="inlineStr"/>
      <c r="J6345" s="2" t="inlineStr"/>
      <c r="K6345" s="3" t="inlineStr">
        <is>
          <t>По старинному преданию о трагической любви акына-сказителя Раймалы и юной красавицы Бегимай.
У старого акына Раймалы нет ни жены, ни детей, ни дома, но славится он своей чудесной музыкой, которая завораживала всех слушающих — всю свою жизнь он посвятил исключительно пению. На народном гулянье бай-манапа акын встречает прекрасную и не менее талантливую красавицу Бегимай. Несмотря на большую разницу в возрасте — ей всего 19 лет, а ему уже 60 — они влюбляются друг в друга. Но бай положил глаз на красавицу: любовь Раймалы и Бегимай обречена, но не будет поругана, а погибнет вместе с ними в огне.</t>
        </is>
      </c>
      <c r="L6345" s="2" t="inlineStr">
        <is>
          <t>https://ru.wikipedia.org/w/index.php?title=%D0%9F%D0%B5%D1%81%D0%BD%D1%8C_%D0%BE_%D0%BB%D1%8E%D0%B1%D0%B2%D0%B8_%28%D1%84%D0%B8%D0%BB%D1%8C%D0%BC%2C_1984%29&amp;oldid=154702368</t>
        </is>
      </c>
      <c r="M6345" s="2">
        <f>HYPERLINK("https://ru.wikipedia.org/w/index.php?search=%D0%9F%D0%B5%D1%81%D0%BD%D1%8C%20%D0%BE%20%D0%BB%D1%8E%D0%B1%D0%B2%D0%B8%201984%20%D1%84%D0%B8%D0%BB%D1%8C%D0%BC","искать")</f>
        <v/>
      </c>
      <c r="N6345" s="3" t="n"/>
      <c r="O6345" s="2" t="n"/>
      <c r="P6345" s="2" t="n"/>
    </row>
    <row r="6346">
      <c r="A6346" s="2" t="n">
        <v>6345</v>
      </c>
      <c r="B6346" s="2" t="inlineStr"/>
      <c r="C6346" s="2" t="n">
        <v>11433</v>
      </c>
      <c r="D6346" s="3" t="inlineStr">
        <is>
          <t>Хвосты</t>
        </is>
      </c>
      <c r="E6346" s="2" t="n">
        <v>1966</v>
      </c>
      <c r="F6346" s="2" t="inlineStr">
        <is>
          <t>мультфильм</t>
        </is>
      </c>
      <c r="G6346" s="2" t="inlineStr">
        <is>
          <t>Союзмультфильм</t>
        </is>
      </c>
      <c r="H6346" s="2" t="n">
        <v>598</v>
      </c>
      <c r="I6346" s="2" t="inlineStr"/>
      <c r="J6346" s="2" t="inlineStr"/>
      <c r="K6346" s="3" t="inlineStr">
        <is>
          <t>Напали на Лису Собаки. Едва ноги она унесла. но хвоста лишилась. Сорока уговаривает Ежа взять лисий хвост. Но Еж не согласен: ему свой хвост нравится. Зато Заяц польстился на лисий хвост, а свой оставил на пеньке. За это Зайчиха выгнала его из дома. А заячий хвост уже прицепила Лиса, которой Сорока сказала, что короткие хвосты теперь в моде. Но вскоре Лиса отдала заячий хвост Волку. Только с помощью Ежа Зайцу удалось вернуть свой хвост. А Волк с Лисой так подрались, что оба без хвостов остались. Сорока пытаетя вновь уговорить Ежа выбрать себе хвост. Но тот считает, что от добра добра не ищут</t>
        </is>
      </c>
      <c r="L6346" s="2" t="inlineStr">
        <is>
          <t>https://gosfilmofond.ru/films/246520/</t>
        </is>
      </c>
      <c r="M6346" s="2">
        <f>HYPERLINK("https://ru.wikipedia.org/w/index.php?search=%D0%A5%D0%B2%D0%BE%D1%81%D1%82%D1%8B%201966%20%D1%84%D0%B8%D0%BB%D1%8C%D0%BC","искать")</f>
        <v/>
      </c>
      <c r="N6346" s="3" t="n"/>
      <c r="O6346" s="2" t="n"/>
      <c r="P6346" s="2" t="n"/>
    </row>
    <row r="6347">
      <c r="A6347" s="2" t="n">
        <v>6346</v>
      </c>
      <c r="B6347" s="2" t="inlineStr"/>
      <c r="C6347" s="2" t="n">
        <v>11495</v>
      </c>
      <c r="D6347" s="3" t="inlineStr">
        <is>
          <t>Фильм! Фильм! Фильм!</t>
        </is>
      </c>
      <c r="E6347" s="2" t="n">
        <v>1968</v>
      </c>
      <c r="F6347" s="2" t="inlineStr">
        <is>
          <t>мультфильм</t>
        </is>
      </c>
      <c r="G6347" s="2" t="inlineStr">
        <is>
          <t>Союзмультфильм</t>
        </is>
      </c>
      <c r="H6347" s="2" t="n">
        <v>598</v>
      </c>
      <c r="I6347" s="2" t="inlineStr"/>
      <c r="J6347" s="2" t="inlineStr"/>
      <c r="K6347" s="3" t="inlineStr">
        <is>
          <t>Все любят кино, но не все знают, как это сложно - сделать фильм. В муках творчества "рожает"сценарий сценарист, но еще труднее добиться, чтоб его приняли к постановке. Не легче и режиссеру - он должен уложиться в срок, в смету, а на съемках столько неожиданностей: то нет погоды, то пожарные не везут воду для искусственного дождя, то маленькая девочка-артистка не хочет слушать режиссера...Готовый фильм приходится вновь переделывать по требованию комиссии - режиссер совсем замотался в пленку, чтоб успеть к сроку. Наконец, премьера. Дрожащие от волнения создатели фильма ждут встречи со зрителем</t>
        </is>
      </c>
      <c r="L6347" s="2" t="inlineStr">
        <is>
          <t>https://gosfilmofond.ru/films/254721/</t>
        </is>
      </c>
      <c r="M6347" s="2">
        <f>HYPERLINK("https://ru.wikipedia.org/w/index.php?search=%D0%A4%D0%B8%D0%BB%D1%8C%D0%BC%21%20%D0%A4%D0%B8%D0%BB%D1%8C%D0%BC%21%20%D0%A4%D0%B8%D0%BB%D1%8C%D0%BC%21%201968%20%D1%84%D0%B8%D0%BB%D1%8C%D0%BC","искать")</f>
        <v/>
      </c>
      <c r="N6347" s="3" t="n"/>
      <c r="O6347" s="2" t="n"/>
      <c r="P6347" s="2" t="n"/>
    </row>
    <row r="6348">
      <c r="A6348" s="2" t="n">
        <v>6347</v>
      </c>
      <c r="B6348" s="2" t="inlineStr"/>
      <c r="C6348" s="2" t="n">
        <v>7410</v>
      </c>
      <c r="D6348" s="3" t="inlineStr">
        <is>
          <t>Встречи на Медео</t>
        </is>
      </c>
      <c r="E6348" s="2" t="n">
        <v>1976</v>
      </c>
      <c r="F6348" s="2" t="inlineStr">
        <is>
          <t>телефильм</t>
        </is>
      </c>
      <c r="G6348" s="2" t="n"/>
      <c r="H6348" s="2" t="n">
        <v>600</v>
      </c>
      <c r="I6348" s="2" t="inlineStr"/>
      <c r="J6348" s="2" t="inlineStr"/>
      <c r="K6348" s="3" t="inlineStr">
        <is>
          <t>Телефильм. На высокогорном катке Медео тренируются юные фигуристы - танцевальная пара Эрик и Джайран. При подготовке к ответственным соревнованиям тренер решает, что Эрик должен выступать с более опытной партнершей... Пара, снимавшаяся в главной роли, входила в сборную Казахстана. Участвовала в соревнованиях вместе с такими известными мастерами, как Людмила Пахомова, Александр Горшков, Ирина Моисеева, Андрей Миненков, Наталья Линичук, Геннадий Карпоносов, Елена Гаранина, Игорь Завозин, Юрий Овчинников, Елена Водорезова, тренеры: Станислав Жук, Елена Чайковская, Татьяна Тарасова, Алексей Мишин.</t>
        </is>
      </c>
      <c r="L6348" s="2" t="inlineStr">
        <is>
          <t>Кино_СССР сводный каталог.xlsx: список телефильмов</t>
        </is>
      </c>
      <c r="M6348" s="2">
        <f>HYPERLINK("https://ru.wikipedia.org/w/index.php?search=%D0%92%D1%81%D1%82%D1%80%D0%B5%D1%87%D0%B8%20%D0%BD%D0%B0%20%D0%9C%D0%B5%D0%B4%D0%B5%D0%BE%201976%20%D1%84%D0%B8%D0%BB%D1%8C%D0%BC","искать")</f>
        <v/>
      </c>
      <c r="N6348" s="3" t="n"/>
      <c r="O6348" s="2" t="n"/>
      <c r="P6348" s="2" t="n"/>
    </row>
    <row r="6349">
      <c r="A6349" s="2" t="n">
        <v>6348</v>
      </c>
      <c r="B6349" s="2" t="inlineStr"/>
      <c r="C6349" s="2" t="n">
        <v>7240</v>
      </c>
      <c r="D6349" s="3" t="inlineStr">
        <is>
          <t>Без права на пощаду</t>
        </is>
      </c>
      <c r="E6349" s="2" t="n">
        <v>1970</v>
      </c>
      <c r="F6349" s="2" t="inlineStr">
        <is>
          <t>телефильм</t>
        </is>
      </c>
      <c r="G6349" s="2" t="n"/>
      <c r="H6349" s="2" t="n">
        <v>601</v>
      </c>
      <c r="I6349" s="2" t="inlineStr"/>
      <c r="J6349" s="2" t="inlineStr"/>
      <c r="K6349" s="3" t="inlineStr">
        <is>
          <t>Следователя прокуратуры Аркадия Васильевича экстренно вызывают на место происшествия — вечером на плохо освещенной улице заводского посёлка нашли тело молодой женщины с раной головы. Опрос свидетелей дал мало результатов — они рассказали, что перед смертью женщина успела позвать на помощь, а в вечер смерти её на автобусной остановке должен был встретить гражданский муж, с которым та недавно порывала отношения — вернувшийся с фронтов Великой отечественной мужчина стал сильно пить. Он становится подозреваемым, однако Аркадию Васильевичу, который и сам вернулся с войны, не дают покоя несостыковки.</t>
        </is>
      </c>
      <c r="L6349" s="2" t="inlineStr">
        <is>
          <t>https://ru.wikipedia.org/w/index.php?title=%D0%91%D0%B5%D0%B7_%D0%BF%D1%80%D0%B0%D0%B2%D0%B0_%D0%BD%D0%B0_%D0%BF%D0%BE%D1%89%D0%B0%D0%B4%D1%83&amp;oldid=155515684</t>
        </is>
      </c>
      <c r="M6349" s="2">
        <f>HYPERLINK("https://ru.wikipedia.org/w/index.php?search=%D0%91%D0%B5%D0%B7%20%D0%BF%D1%80%D0%B0%D0%B2%D0%B0%20%D0%BD%D0%B0%20%D0%BF%D0%BE%D1%89%D0%B0%D0%B4%D1%83%201970%20%D1%84%D0%B8%D0%BB%D1%8C%D0%BC","искать")</f>
        <v/>
      </c>
      <c r="N6349" s="3" t="n"/>
      <c r="O6349" s="2" t="n"/>
      <c r="P6349" s="2" t="n"/>
    </row>
    <row r="6350">
      <c r="A6350" s="2" t="n">
        <v>6349</v>
      </c>
      <c r="B6350" s="2" t="inlineStr"/>
      <c r="C6350" s="2" t="n">
        <v>10240</v>
      </c>
      <c r="D6350" s="3" t="inlineStr">
        <is>
          <t>Гибель "Эппи Нийбур"</t>
        </is>
      </c>
      <c r="E6350" s="2" t="n">
        <v>1968</v>
      </c>
      <c r="F6350" s="2" t="inlineStr">
        <is>
          <t>фильм-спектакль</t>
        </is>
      </c>
      <c r="G6350" s="2" t="n"/>
      <c r="H6350" s="2" t="n">
        <v>601</v>
      </c>
      <c r="I6350" s="2" t="inlineStr"/>
      <c r="J6350" s="2" t="inlineStr"/>
      <c r="K6350" s="3" t="inlineStr">
        <is>
          <t>По пьесе Клааса Смелика.
Три серии спектакля представляют собой три заседания, на которых совет мореходства расследует причины гибели корабля, причем тень подозрения в умышленном уничтожении судна падает на старого капитана Нийбура.
Члены совета не способны, да и не желают, вникнуть в существо обстоятельств, понять, почему капитан вынужден был принять на борт лишний груз, почему этот слепнущий старик не уходил с капитанского мостика.
"Не будет преувеличением сказать, что успех постановки во многом определила работа Бориса Тенина, исполнявшего главную роль." ("Советская культура" от 6.03.1969г.)</t>
        </is>
      </c>
      <c r="L6350" s="2" t="inlineStr">
        <is>
          <t>https://www.kino-teatr.ru/teatr/movie/82126/annot/</t>
        </is>
      </c>
      <c r="M6350" s="2">
        <f>HYPERLINK("https://ru.wikipedia.org/w/index.php?search=%D0%93%D0%B8%D0%B1%D0%B5%D0%BB%D1%8C%20%22%D0%AD%D0%BF%D0%BF%D0%B8%20%D0%9D%D0%B8%D0%B9%D0%B1%D1%83%D1%80%22%201968%20%D1%84%D0%B8%D0%BB%D1%8C%D0%BC","искать")</f>
        <v/>
      </c>
      <c r="N6350" s="3" t="n"/>
      <c r="O6350" s="2" t="n"/>
      <c r="P6350" s="2" t="n"/>
    </row>
    <row r="6351">
      <c r="A6351" s="2" t="n">
        <v>6350</v>
      </c>
      <c r="B6351" s="2" t="inlineStr"/>
      <c r="C6351" s="2" t="n">
        <v>7618</v>
      </c>
      <c r="D6351" s="3" t="inlineStr">
        <is>
          <t>Забытые вещи</t>
        </is>
      </c>
      <c r="E6351" s="2" t="n">
        <v>1982</v>
      </c>
      <c r="F6351" s="2" t="inlineStr">
        <is>
          <t>телефильм</t>
        </is>
      </c>
      <c r="G6351" s="2" t="n"/>
      <c r="H6351" s="2" t="n">
        <v>602</v>
      </c>
      <c r="I6351" s="2" t="inlineStr"/>
      <c r="J6351" s="2" t="inlineStr"/>
      <c r="K6351" s="3" t="inlineStr">
        <is>
          <t>В задней комнате обыкновенного бюро находок, с разрешения строгого приёмщика, был устроен небольшой театральный музей или, вернее, клуб по интересам. Пользуясь гостеприимством старого чудака к нему на огонёк заходят друзья-артисты и за чашкой чая вспоминают звёздные минуты своей актёрской жизни.
Предстоящая ревизия может разрушить этот островок покоя. К счастью, среди посетителей, артисты узнают бывшего конферансье Юрия Крума, забредшего в контору в поисках пропавшего портфеля. С большим удовольствием он предлагает всей компании переезд на собственную дачу, где уже много лет живёт в одиночестве.</t>
        </is>
      </c>
      <c r="L6351" s="2" t="inlineStr">
        <is>
          <t>https://ru.wikipedia.org/w/index.php?title=%D0%97%D0%B0%D0%B1%D1%8B%D1%82%D1%8B%D0%B5_%D0%B2%D0%B5%D1%89%D0%B8&amp;oldid=152242253</t>
        </is>
      </c>
      <c r="M6351" s="2">
        <f>HYPERLINK("https://ru.wikipedia.org/w/index.php?search=%D0%97%D0%B0%D0%B1%D1%8B%D1%82%D1%8B%D0%B5%20%D0%B2%D0%B5%D1%89%D0%B8%201982%20%D1%84%D0%B8%D0%BB%D1%8C%D0%BC","искать")</f>
        <v/>
      </c>
      <c r="N6351" s="3" t="n"/>
      <c r="O6351" s="2" t="n"/>
      <c r="P6351" s="2" t="n"/>
    </row>
    <row r="6352">
      <c r="A6352" s="2" t="n">
        <v>6351</v>
      </c>
      <c r="B6352" s="2" t="inlineStr"/>
      <c r="C6352" s="2" t="n">
        <v>7642</v>
      </c>
      <c r="D6352" s="3" t="inlineStr">
        <is>
          <t>Зелёный фургон</t>
        </is>
      </c>
      <c r="E6352" s="2" t="n">
        <v>1983</v>
      </c>
      <c r="F6352" s="2" t="inlineStr">
        <is>
          <t>телефильм</t>
        </is>
      </c>
      <c r="G6352" s="2" t="inlineStr">
        <is>
          <t>Одесская к/с</t>
        </is>
      </c>
      <c r="H6352" s="2" t="n">
        <v>602</v>
      </c>
      <c r="I6352" s="2" t="inlineStr"/>
      <c r="J6352" s="2" t="inlineStr"/>
      <c r="K6352" s="3" t="inlineStr">
        <is>
          <t>Действие фильма происходит в послереволюционной Одессе и её окрестностях. Сын профессора Володя Патрикеев, вчерашний гимназист, становится начальником одесского уездного отделения милиции и по приказу начальника оперативного отдела вместе с отданным под его начало милиционером Грищенко борется на селе с местными самогонщиками, конокрадами и спекулянтами. Мечтающий о карьере Шерлока Холмса бывший форвард гимназической футбольной команды пытается использовать его методы и приёмы. И впоследствии ему приходится бросить вызов самому Червню — преступному авторитету, который держит в страхе весь город.</t>
        </is>
      </c>
      <c r="L6352" s="2" t="inlineStr">
        <is>
          <t>https://ru.wikipedia.org/w/index.php?title=%D0%97%D0%B5%D0%BB%D1%91%D0%BD%D1%8B%D0%B9_%D1%84%D1%83%D1%80%D0%B3%D0%BE%D0%BD_%28%D1%84%D0%B8%D0%BB%D1%8C%D0%BC%2C_1983%29&amp;oldid=155461957</t>
        </is>
      </c>
      <c r="M6352" s="2">
        <f>HYPERLINK("https://ru.wikipedia.org/w/index.php?search=%D0%97%D0%B5%D0%BB%D1%91%D0%BD%D1%8B%D0%B9%20%D1%84%D1%83%D1%80%D0%B3%D0%BE%D0%BD%201983%20%D1%84%D0%B8%D0%BB%D1%8C%D0%BC","искать")</f>
        <v/>
      </c>
      <c r="N6352" s="3" t="n"/>
      <c r="O6352" s="2" t="n"/>
      <c r="P6352" s="2" t="n"/>
    </row>
    <row r="6353">
      <c r="A6353" s="2" t="n">
        <v>6352</v>
      </c>
      <c r="B6353" s="2" t="inlineStr"/>
      <c r="C6353" s="2" t="n">
        <v>10686</v>
      </c>
      <c r="D6353" s="3" t="inlineStr">
        <is>
          <t>Джентльмены, которым не повезло</t>
        </is>
      </c>
      <c r="E6353" s="2" t="n">
        <v>1977</v>
      </c>
      <c r="F6353" s="2" t="inlineStr">
        <is>
          <t>фильм-спектакль</t>
        </is>
      </c>
      <c r="G6353" s="2" t="inlineStr">
        <is>
          <t>Центральное телевидение</t>
        </is>
      </c>
      <c r="H6353" s="2" t="n">
        <v>603</v>
      </c>
      <c r="I6353" s="2" t="inlineStr"/>
      <c r="J6353" s="2" t="inlineStr"/>
      <c r="K6353" s="3" t="inlineStr">
        <is>
          <t>По мотивам рассказов О.Генри "В антракте", "Без вымысла", "Негодное правило", "Предвестник весны", "Фараон и хорал", "Дебют Тильди". О судьбах "маленьких людей", неудачников, живущих в одном дешевом пансионе.
Герои О.Генри разнообразны: миллионеры, ковбои, спекулянты, клерки, прачки, бандиты, финансисты, политики, писатели, артисты, художники, рабочие, инженеры, пожарные — сменяют друг друга. Умелый конструктор сюжета, О.Генри не показывает психологическую сторону происходящего, действия его персонажей не получают глубокой психологической мотивировки, что ещё более усиливает неожиданность финала.</t>
        </is>
      </c>
      <c r="L6353" s="2" t="inlineStr">
        <is>
          <t>https://www.kino-teatr.ru/teatr/movie/16494/annot/</t>
        </is>
      </c>
      <c r="M6353" s="2">
        <f>HYPERLINK("https://ru.wikipedia.org/w/index.php?search=%D0%94%D0%B6%D0%B5%D0%BD%D1%82%D0%BB%D1%8C%D0%BC%D0%B5%D0%BD%D1%8B%2C%20%D0%BA%D0%BE%D1%82%D0%BE%D1%80%D1%8B%D0%BC%20%D0%BD%D0%B5%20%D0%BF%D0%BE%D0%B2%D0%B5%D0%B7%D0%BB%D0%BE%201977%20%D1%84%D0%B8%D0%BB%D1%8C%D0%BC","искать")</f>
        <v/>
      </c>
      <c r="N6353" s="3" t="n"/>
      <c r="O6353" s="2" t="n"/>
      <c r="P6353" s="2" t="n"/>
    </row>
    <row r="6354">
      <c r="A6354" s="2" t="n">
        <v>6353</v>
      </c>
      <c r="B6354" s="2" t="inlineStr"/>
      <c r="C6354" s="2" t="n">
        <v>11494</v>
      </c>
      <c r="D6354" s="3" t="inlineStr">
        <is>
          <t>Украденный месяц</t>
        </is>
      </c>
      <c r="E6354" s="2" t="n">
        <v>1969</v>
      </c>
      <c r="F6354" s="2" t="inlineStr">
        <is>
          <t>мультфильм</t>
        </is>
      </c>
      <c r="G6354" s="2" t="inlineStr">
        <is>
          <t>Союзмультфильм</t>
        </is>
      </c>
      <c r="H6354" s="2" t="n">
        <v>604</v>
      </c>
      <c r="I6354" s="2" t="inlineStr"/>
      <c r="J6354" s="2" t="inlineStr"/>
      <c r="K6354" s="3" t="inlineStr">
        <is>
          <t>По мотивам одноименной сказки Людвига Ашкенази. Два озорника, Карел и Филип, выловили месяц, купавшийся в пруду, и спрятали его в пещеру. Из-за этого не встретились влюбленные, забеспокоились птицы и звери. Во всем мире воцарилось смятение. Объявлен всепланетный розыск пропавшего месяца, отменены все космические полеты на Луну. Карел и Филип начинают понимать, как дурно они поступили, спрятав месяц. Они готовы выпустить пленника на волю, но никак не могут отвалить камень, закрывающий вход. Тогда ребята зовут на помощь своих друзей Анделу и Франтишека, и месяц ко всеобщей радости появляется на небе</t>
        </is>
      </c>
      <c r="L6354" s="2" t="inlineStr">
        <is>
          <t>https://gosfilmofond.ru/films/254720/</t>
        </is>
      </c>
      <c r="M6354" s="2">
        <f>HYPERLINK("https://ru.wikipedia.org/w/index.php?search=%D0%A3%D0%BA%D1%80%D0%B0%D0%B4%D0%B5%D0%BD%D0%BD%D1%8B%D0%B9%20%D0%BC%D0%B5%D1%81%D1%8F%D1%86%201969%20%D1%84%D0%B8%D0%BB%D1%8C%D0%BC","искать")</f>
        <v/>
      </c>
      <c r="N6354" s="3" t="n"/>
      <c r="O6354" s="2" t="n"/>
      <c r="P6354" s="2" t="n"/>
    </row>
    <row r="6355">
      <c r="A6355" s="2" t="n">
        <v>6354</v>
      </c>
      <c r="B6355" s="2" t="inlineStr"/>
      <c r="C6355" s="2" t="n">
        <v>8017</v>
      </c>
      <c r="D6355" s="3" t="inlineStr">
        <is>
          <t>О друзьях-товарищах</t>
        </is>
      </c>
      <c r="E6355" s="2" t="n">
        <v>1970</v>
      </c>
      <c r="F6355" s="2" t="inlineStr">
        <is>
          <t>телефильм</t>
        </is>
      </c>
      <c r="G6355" s="2" t="n"/>
      <c r="H6355" s="2" t="n">
        <v>607</v>
      </c>
      <c r="I6355" s="2" t="inlineStr"/>
      <c r="J6355" s="2" t="inlineStr"/>
      <c r="K6355" s="3" t="inlineStr">
        <is>
          <t>Действие фильма разворачивается в сентябре 1919 года в Москве во время успешного наступления Деникина на Москву, а Юденича — на Петроград, когда многие сотрудники милиции и ЧК были отправлены на фронт, и Московская ЧК развернула компанию по срочному набору новых кадров. В это же время местная подпольная анархистская организация готовит покушение на Ленина, но вместо него погибает руководитель Московского горкома РКПб Владимир Загорский (в фильме — Горский).
Трём друзьям — молодым чекистам предстоит обезвредить её. В основу фильма положен исторический эпизод: взрыв в Леонтьевском переулке 25 сентября.</t>
        </is>
      </c>
      <c r="L6355" s="2" t="inlineStr">
        <is>
          <t>https://ru.wikipedia.org/w/index.php?title=%D0%9E_%D0%B4%D1%80%D1%83%D0%B7%D1%8C%D1%8F%D1%85-%D1%82%D0%BE%D0%B2%D0%B0%D1%80%D0%B8%D1%89%D0%B0%D1%85&amp;oldid=154189645</t>
        </is>
      </c>
      <c r="M6355" s="2">
        <f>HYPERLINK("https://ru.wikipedia.org/w/index.php?search=%D0%9E%20%D0%B4%D1%80%D1%83%D0%B7%D1%8C%D1%8F%D1%85-%D1%82%D0%BE%D0%B2%D0%B0%D1%80%D0%B8%D1%89%D0%B0%D1%85%201970%20%D1%84%D0%B8%D0%BB%D1%8C%D0%BC","искать")</f>
        <v/>
      </c>
      <c r="N6355" s="3" t="n"/>
      <c r="O6355" s="2" t="n"/>
      <c r="P6355" s="2" t="n"/>
    </row>
    <row r="6356">
      <c r="A6356" s="2" t="n">
        <v>6355</v>
      </c>
      <c r="B6356" s="2" t="inlineStr"/>
      <c r="C6356" s="2" t="n">
        <v>8547</v>
      </c>
      <c r="D6356" s="3" t="inlineStr">
        <is>
          <t>Человек меняет кожу</t>
        </is>
      </c>
      <c r="E6356" s="2" t="n">
        <v>1978</v>
      </c>
      <c r="F6356" s="2" t="inlineStr">
        <is>
          <t>телефильм</t>
        </is>
      </c>
      <c r="G6356" s="2" t="n"/>
      <c r="H6356" s="2" t="n">
        <v>609</v>
      </c>
      <c r="I6356" s="2" t="inlineStr"/>
      <c r="J6356" s="2" t="inlineStr"/>
      <c r="K6356" s="3" t="inlineStr">
        <is>
          <t>Действие фильма происходит в начале 1930-х годов на строительстве Вахшского канала в Таджикской ССР. Иностранный агент Мурри, прибывший в Советский Союз по контракту как инженер-строитель, со своими сообщниками готовит взрыв перемычки плотины. Им удаётся запугать американских инженеров, принимающих активное участие в строительстве, и оклеветать главного инженера Уртабаева. Однако чекисты срывают происки врагов, и строительство канала завершается в намеченный срок. Параллельно развивается любовная линия Маши и молодого американского инженера Кларка, который в конце концов примет решение остаться в СССР.</t>
        </is>
      </c>
      <c r="L6356" s="2" t="inlineStr">
        <is>
          <t>https://ru.wikipedia.org/w/index.php?title=%D0%A7%D0%B5%D0%BB%D0%BE%D0%B2%D0%B5%D0%BA_%D0%BC%D0%B5%D0%BD%D1%8F%D0%B5%D1%82_%D0%BA%D0%BE%D0%B6%D1%83&amp;oldid=150849211</t>
        </is>
      </c>
      <c r="M6356" s="2">
        <f>HYPERLINK("https://ru.wikipedia.org/w/index.php?search=%D0%A7%D0%B5%D0%BB%D0%BE%D0%B2%D0%B5%D0%BA%20%D0%BC%D0%B5%D0%BD%D1%8F%D0%B5%D1%82%20%D0%BA%D0%BE%D0%B6%D1%83%201978%20%D1%84%D0%B8%D0%BB%D1%8C%D0%BC","искать")</f>
        <v/>
      </c>
      <c r="N6356" s="3" t="n"/>
      <c r="O6356" s="2" t="n"/>
      <c r="P6356" s="2" t="n"/>
    </row>
    <row r="6357">
      <c r="A6357" s="2" t="n">
        <v>6356</v>
      </c>
      <c r="B6357" s="2" t="inlineStr"/>
      <c r="C6357" s="2" t="n">
        <v>9665</v>
      </c>
      <c r="D6357" s="3" t="inlineStr">
        <is>
          <t>Софья Грушко</t>
        </is>
      </c>
      <c r="E6357" s="2" t="n">
        <v>1972</v>
      </c>
      <c r="F6357" s="2" t="inlineStr">
        <is>
          <t>кинофильм</t>
        </is>
      </c>
      <c r="G6357" s="2" t="n"/>
      <c r="H6357" s="2" t="n">
        <v>609</v>
      </c>
      <c r="I6357" s="2" t="inlineStr"/>
      <c r="J6357" s="2" t="inlineStr"/>
      <c r="K6357" s="3" t="inlineStr">
        <is>
          <t>1942 год. На окраине Киева — в Голосеевском лесу, немецко-фашистские оккупанты выводят на расстрел советского лейтенанта Семёна Лихолая. Выстрел в спину — и он падает в яму, но успевает обернуться и увидеть — стреляла в него Софья Грушко — медсестра, которая рискуя не только своей жизнью, но и жизнью трёх девочек-малюток спасенных ею из разбомбленного родильного дома, месяцами прятала его раненного у себя в погребе, выхаживавшая его — его спасительница, его любовь….
1960 год. Приехав по командировке в Киев, чудом тогда выживший Семён Лихолай зайдя в гости к знакомым случайно там встречает Софью Грушко.</t>
        </is>
      </c>
      <c r="L6357" s="2" t="inlineStr">
        <is>
          <t>https://ru.wikipedia.org/w/index.php?title=%D0%A1%D0%BE%D1%84%D1%8C%D1%8F_%D0%93%D1%80%D1%83%D1%88%D0%BA%D0%BE&amp;oldid=145346586</t>
        </is>
      </c>
      <c r="M6357" s="2">
        <f>HYPERLINK("https://ru.wikipedia.org/w/index.php?search=%D0%A1%D0%BE%D1%84%D1%8C%D1%8F%20%D0%93%D1%80%D1%83%D1%88%D0%BA%D0%BE%201972%20%D1%84%D0%B8%D0%BB%D1%8C%D0%BC","искать")</f>
        <v/>
      </c>
      <c r="N6357" s="3" t="n"/>
      <c r="O6357" s="2" t="n"/>
      <c r="P6357" s="2" t="n"/>
    </row>
    <row r="6358">
      <c r="A6358" s="2" t="n">
        <v>6357</v>
      </c>
      <c r="B6358" s="2" t="inlineStr"/>
      <c r="C6358" s="2" t="n">
        <v>10310</v>
      </c>
      <c r="D6358" s="3" t="inlineStr">
        <is>
          <t>К новым берегам</t>
        </is>
      </c>
      <c r="E6358" s="2" t="n">
        <v>1969</v>
      </c>
      <c r="F6358" s="2" t="inlineStr">
        <is>
          <t>фильм-спектакль</t>
        </is>
      </c>
      <c r="G6358" s="2" t="n"/>
      <c r="H6358" s="2" t="n">
        <v>610</v>
      </c>
      <c r="I6358" s="2" t="inlineStr"/>
      <c r="J6358" s="2" t="inlineStr"/>
      <c r="K6358" s="3" t="inlineStr">
        <is>
          <t>О творческом пути великого русского композитора М.П.Мусоргского.
Хмурым мартом 1881 года в Николаевском военно-сухопутном госпитале в Петербурге умирал старый, больной человек. Белая горячка сделала своё чёрное дело: надежд на выздоровление не было. А этому "старику" только-только исполнилось 42 года, и был это великий русский композитор Модест Петрович Мусоргский. Кто знает, какие видения, какие воспоминания роились в его воспалённом воображении в редкие минуты просветлений?
За год с небольшим до смерти он писал Стасову:
"Девиз мой, известный Вам: "Дерзай! вперед к новым берегам!", остался неизменным".</t>
        </is>
      </c>
      <c r="L6358" s="2" t="inlineStr">
        <is>
          <t>https://www.kino-teatr.ru/teatr/movie/82691/annot/</t>
        </is>
      </c>
      <c r="M6358" s="2">
        <f>HYPERLINK("https://ru.wikipedia.org/w/index.php?search=%D0%9A%20%D0%BD%D0%BE%D0%B2%D1%8B%D0%BC%20%D0%B1%D0%B5%D1%80%D0%B5%D0%B3%D0%B0%D0%BC%201969%20%D1%84%D0%B8%D0%BB%D1%8C%D0%BC","искать")</f>
        <v/>
      </c>
      <c r="N6358" s="3" t="n"/>
      <c r="O6358" s="2" t="n"/>
      <c r="P6358" s="2" t="n"/>
    </row>
    <row r="6359">
      <c r="A6359" s="2" t="n">
        <v>6358</v>
      </c>
      <c r="B6359" s="2" t="inlineStr"/>
      <c r="C6359" s="2" t="n">
        <v>10424</v>
      </c>
      <c r="D6359" s="3" t="inlineStr">
        <is>
          <t>Умница</t>
        </is>
      </c>
      <c r="E6359" s="2" t="n">
        <v>1971</v>
      </c>
      <c r="F6359" s="2" t="inlineStr">
        <is>
          <t>фильм-спектакль</t>
        </is>
      </c>
      <c r="G6359" s="2" t="inlineStr">
        <is>
          <t>Главная редакция музыкальных программ</t>
        </is>
      </c>
      <c r="H6359" s="2" t="n">
        <v>610</v>
      </c>
      <c r="I6359" s="2" t="inlineStr"/>
      <c r="J6359" s="2" t="inlineStr"/>
      <c r="K6359" s="3" t="inlineStr">
        <is>
          <t>Музыкальный телеспектакль по опере Карла Орфа.
Либретто композитора по сказке братьев Гримм "Умная крестьянская дочь". Оригинальное сочинение Орфа сочетает в себе разговорные и музыкальные сцены. Эту сказку, носящую характер притчи, отличает яркая театральность.
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is>
      </c>
      <c r="L6359" s="2" t="inlineStr">
        <is>
          <t>https://www.kino-teatr.ru/teatr/movie/111282/annot/</t>
        </is>
      </c>
      <c r="M6359" s="2">
        <f>HYPERLINK("https://ru.wikipedia.org/w/index.php?search=%D0%A3%D0%BC%D0%BD%D0%B8%D1%86%D0%B0%201971%20%D1%84%D0%B8%D0%BB%D1%8C%D0%BC","искать")</f>
        <v/>
      </c>
      <c r="N6359" s="3" t="n"/>
      <c r="O6359" s="2" t="n"/>
      <c r="P6359" s="2" t="n"/>
    </row>
    <row r="6360">
      <c r="A6360" s="2" t="n">
        <v>6359</v>
      </c>
      <c r="B6360" s="2" t="inlineStr"/>
      <c r="C6360" s="2" t="n">
        <v>10786</v>
      </c>
      <c r="D6360" s="3" t="inlineStr">
        <is>
          <t>Часы с кукушкой</t>
        </is>
      </c>
      <c r="E6360" s="2" t="n">
        <v>1978</v>
      </c>
      <c r="F6360" s="2" t="inlineStr">
        <is>
          <t>фильм-спектакль</t>
        </is>
      </c>
      <c r="G6360" s="2" t="inlineStr">
        <is>
          <t>Главная редакция литературно-драматических программ ЦТ</t>
        </is>
      </c>
      <c r="H6360" s="2" t="n">
        <v>610</v>
      </c>
      <c r="I6360" s="2" t="inlineStr"/>
      <c r="J6360" s="2" t="inlineStr"/>
      <c r="K6360" s="3" t="inlineStr">
        <is>
          <t>Второй телеспектакль трилогии о супругах Кузнецовых, в которую входят еще два «Кошка на радиаторе» (1977) и «Осторожно, ремонт!» (1979).
Представьте себе: вы сидите, уткнувшись в телевизор, а жена каждый вечер пилит и пилит вас: "Скучно живем, ни театра, ни кино, ни концертов, даже в гости не ходим, да и к нам - никто...". Чем это может закончиться? Понятно чем: является однажды в дом полуночный гость, и скучать сразу некогда. Так становится весело, что уже и до развода недалеко...
Смешная бытовая история оказывается на поверку глубокой философской притчей, как и все пьесы, созданные Леонидом Филатовым.</t>
        </is>
      </c>
      <c r="L6360" s="2" t="inlineStr">
        <is>
          <t>https://www.kino-teatr.ru/teatr/movie/13827/annot/</t>
        </is>
      </c>
      <c r="M6360" s="2">
        <f>HYPERLINK("https://ru.wikipedia.org/w/index.php?search=%D0%A7%D0%B0%D1%81%D1%8B%20%D1%81%20%D0%BA%D1%83%D0%BA%D1%83%D1%88%D0%BA%D0%BE%D0%B9%201978%20%D1%84%D0%B8%D0%BB%D1%8C%D0%BC","искать")</f>
        <v/>
      </c>
      <c r="N6360" s="3" t="n"/>
      <c r="O6360" s="2" t="n"/>
      <c r="P6360" s="2" t="n"/>
    </row>
    <row r="6361">
      <c r="A6361" s="2" t="n">
        <v>6360</v>
      </c>
      <c r="B6361" s="2" t="inlineStr"/>
      <c r="C6361" s="2" t="n">
        <v>7489</v>
      </c>
      <c r="D6361" s="3" t="inlineStr">
        <is>
          <t>Девушка из легенды</t>
        </is>
      </c>
      <c r="E6361" s="2" t="n">
        <v>1980</v>
      </c>
      <c r="F6361" s="2" t="inlineStr">
        <is>
          <t>телефильм</t>
        </is>
      </c>
      <c r="G6361" s="2" t="n"/>
      <c r="H6361" s="2" t="n">
        <v>611</v>
      </c>
      <c r="I6361" s="2" t="inlineStr"/>
      <c r="J6361" s="2" t="inlineStr"/>
      <c r="K6361" s="3" t="inlineStr">
        <is>
          <t>О судьбе героини Гражданской войны Майны Хасановой.
Майна родилась в Бухаре. Дочь охотника, смелая и озорная девчонка, она привольно живет в доме отца, но после его смерти беднячку по жестоким законам шариата насильно выдают замуж за богатого бая. Гордая и независимая Майна не может мириться с участью наложницы - она выбирает путь к свободе, который приведёт ее к революционерам, вместе с которыми она восстаёт против баев и басмачей - она станет первой узбечкой вступившей в Красную Армию, совершит подвиг, рассказ о котором будут предавать из уст в уста, и будет награждена орденом Боевого Красного Знамени.</t>
        </is>
      </c>
      <c r="L6361" s="2" t="inlineStr">
        <is>
          <t>https://ru.wikipedia.org/w/index.php?title=%D0%94%D0%B5%D0%B2%D1%83%D1%88%D0%BA%D0%B0_%D0%B8%D0%B7_%D0%BB%D0%B5%D0%B3%D0%B5%D0%BD%D0%B4%D1%8B&amp;oldid=149106536</t>
        </is>
      </c>
      <c r="M6361" s="2">
        <f>HYPERLINK("https://ru.wikipedia.org/w/index.php?search=%D0%94%D0%B5%D0%B2%D1%83%D1%88%D0%BA%D0%B0%20%D0%B8%D0%B7%20%D0%BB%D0%B5%D0%B3%D0%B5%D0%BD%D0%B4%D1%8B%201980%20%D1%84%D0%B8%D0%BB%D1%8C%D0%BC","искать")</f>
        <v/>
      </c>
      <c r="N6361" s="3" t="n"/>
      <c r="O6361" s="2" t="n"/>
      <c r="P6361" s="2" t="n"/>
    </row>
    <row r="6362">
      <c r="A6362" s="2" t="n">
        <v>6361</v>
      </c>
      <c r="B6362" s="2" t="inlineStr"/>
      <c r="C6362" s="2" t="n">
        <v>10605</v>
      </c>
      <c r="D6362" s="3" t="inlineStr">
        <is>
          <t>Девичий переполох</t>
        </is>
      </c>
      <c r="E6362" s="2" t="n">
        <v>1975</v>
      </c>
      <c r="F6362" s="2" t="inlineStr">
        <is>
          <t>фильм-спектакль</t>
        </is>
      </c>
      <c r="G6362" s="2" t="inlineStr">
        <is>
          <t>Главная редакция музыкальных программ Центрального телевидения</t>
        </is>
      </c>
      <c r="H6362" s="2" t="n">
        <v>611</v>
      </c>
      <c r="I6362" s="2" t="inlineStr"/>
      <c r="J6362" s="2" t="inlineStr"/>
      <c r="K6362" s="3" t="inlineStr">
        <is>
          <t>Действие происходит в России в XVII веке. Царь повелел выбрать себе невесту – самую пригожую, благовоспитанную и хозяйственную девицу из всех дворянских дочек на Руси. В отдалённое воеводство приезжают царский сват – боярин Сапун Тюфякин – и сопровождающий его молодой дьяк Юрий. Юрий влюбляется в дочь местного воеводы Марфу, которая, чтобы проверить любовь Юрия, выдаёт себя за сенную девушку. Опасаясь, что выбор падёт на неё, Марфа скрывается от царского свата – боярина, а заодно и от Юрия. После ряда приключений и недоразумений Марфа и Юрий счастливо преодолевают все препятствия, мешающие их соединению.</t>
        </is>
      </c>
      <c r="L6362" s="2" t="inlineStr">
        <is>
          <t>https://www.kino-teatr.ru/teatr/movie/85746/annot/</t>
        </is>
      </c>
      <c r="M6362" s="2">
        <f>HYPERLINK("https://ru.wikipedia.org/w/index.php?search=%D0%94%D0%B5%D0%B2%D0%B8%D1%87%D0%B8%D0%B9%20%D0%BF%D0%B5%D1%80%D0%B5%D0%BF%D0%BE%D0%BB%D0%BE%D1%85%201975%20%D1%84%D0%B8%D0%BB%D1%8C%D0%BC","искать")</f>
        <v/>
      </c>
      <c r="N6362" s="3" t="n"/>
      <c r="O6362" s="2" t="n"/>
      <c r="P6362" s="2" t="n"/>
    </row>
    <row r="6363">
      <c r="A6363" s="2" t="n">
        <v>6362</v>
      </c>
      <c r="B6363" s="2" t="inlineStr"/>
      <c r="C6363" s="2" t="n">
        <v>10967</v>
      </c>
      <c r="D6363" s="3" t="inlineStr">
        <is>
          <t>Семь крестиков в записной книжке</t>
        </is>
      </c>
      <c r="E6363" s="2" t="n">
        <v>1982</v>
      </c>
      <c r="F6363" s="2" t="inlineStr">
        <is>
          <t>фильм-спектакль</t>
        </is>
      </c>
      <c r="G6363" s="2" t="inlineStr">
        <is>
          <t>Ленинградское Телевидение</t>
        </is>
      </c>
      <c r="H6363" s="2" t="n">
        <v>611</v>
      </c>
      <c r="I6363" s="2" t="inlineStr"/>
      <c r="J6363" s="2" t="inlineStr"/>
      <c r="K6363" s="3" t="inlineStr">
        <is>
          <t>По мотивам одноименной повести Ж. Сименона.
Как и полагается всякой детективной истории, начало ее весьма интригующе. Ведущий (в этой роли А. Насибулин) вводит зрителей в курс дела: "Парижане, конечно, помнят убийцу, которого газеты называли "мсье Воскресенье" - восемь убийств и все в воскресные и праздничные дни. Мы попробуем шаг за шагом восстановить события той рождественской ночи, когда было совершено его последнее преступление...".
Детективный сюжет произведения - не самоцель для писателя. Он призван выявить теневые стороны общества, в котором живут герои. Спектакль поставлен режиссером В. Геллером.</t>
        </is>
      </c>
      <c r="L6363" s="2" t="inlineStr">
        <is>
          <t>https://www.kino-teatr.ru/teatr/movie/79328/annot/</t>
        </is>
      </c>
      <c r="M6363" s="2">
        <f>HYPERLINK("https://ru.wikipedia.org/w/index.php?search=%D0%A1%D0%B5%D0%BC%D1%8C%20%D0%BA%D1%80%D0%B5%D1%81%D1%82%D0%B8%D0%BA%D0%BE%D0%B2%20%D0%B2%20%D0%B7%D0%B0%D0%BF%D0%B8%D1%81%D0%BD%D0%BE%D0%B9%20%D0%BA%D0%BD%D0%B8%D0%B6%D0%BA%D0%B5%201982%20%D1%84%D0%B8%D0%BB%D1%8C%D0%BC","искать")</f>
        <v/>
      </c>
      <c r="N6363" s="3" t="n"/>
      <c r="O6363" s="2" t="n"/>
      <c r="P6363" s="2" t="n"/>
    </row>
    <row r="6364">
      <c r="A6364" s="2" t="n">
        <v>6363</v>
      </c>
      <c r="B6364" s="2" t="inlineStr"/>
      <c r="C6364" s="2" t="n">
        <v>10608</v>
      </c>
      <c r="D6364" s="3" t="inlineStr">
        <is>
          <t>Дома вдовца</t>
        </is>
      </c>
      <c r="E6364" s="2" t="n">
        <v>1975</v>
      </c>
      <c r="F6364" s="2" t="inlineStr">
        <is>
          <t>фильм-спектакль</t>
        </is>
      </c>
      <c r="G6364" s="2" t="inlineStr">
        <is>
          <t>ЦТ, Главная редакция литературно-драматургических программ</t>
        </is>
      </c>
      <c r="H6364" s="2" t="n">
        <v>612</v>
      </c>
      <c r="I6364" s="2" t="inlineStr"/>
      <c r="J6364" s="2" t="inlineStr"/>
      <c r="K6364" s="3" t="inlineStr">
        <is>
          <t>По одноименной пьесе Бернарда Шоу.
Двое друзей, Гарри и Уильям, в путешествии знакомятся с респектабельным мистером Сарториусом и его прелестной дочерью Бланш. Гарри Тренч влюбляется в Бланш и делает ей предложение. Но неожиданно открывается, что свое состояние Сарториус нажил нечестным путем. Этот добродушный богач зарабатывал деньги довольно грязным способом - сдавая беднякам трущобы. Тренч настолько возмущён, что отказывается от брака. Но вскоре ему предстоит узнать горькую правду: и его ценные бумаги обеспечены доходом от тех же самых трущоб.
Как поступить молодому человеку из аристократической семьи?</t>
        </is>
      </c>
      <c r="L6364" s="2" t="inlineStr">
        <is>
          <t>https://www.kino-teatr.ru/teatr/movie/79363/annot/</t>
        </is>
      </c>
      <c r="M6364" s="2">
        <f>HYPERLINK("https://ru.wikipedia.org/w/index.php?search=%D0%94%D0%BE%D0%BC%D0%B0%20%D0%B2%D0%B4%D0%BE%D0%B2%D1%86%D0%B0%201975%20%D1%84%D0%B8%D0%BB%D1%8C%D0%BC","искать")</f>
        <v/>
      </c>
      <c r="N6364" s="3" t="n"/>
      <c r="O6364" s="2" t="n"/>
      <c r="P6364" s="2" t="n"/>
    </row>
    <row r="6365">
      <c r="A6365" s="2" t="n">
        <v>6364</v>
      </c>
      <c r="B6365" s="2" t="inlineStr"/>
      <c r="C6365" s="2" t="n">
        <v>7615</v>
      </c>
      <c r="D6365" s="3" t="inlineStr">
        <is>
          <t>За синими ночами</t>
        </is>
      </c>
      <c r="E6365" s="2" t="n">
        <v>1983</v>
      </c>
      <c r="F6365" s="2" t="inlineStr">
        <is>
          <t>телефильм</t>
        </is>
      </c>
      <c r="G6365" s="2" t="n"/>
      <c r="H6365" s="2" t="n">
        <v>613</v>
      </c>
      <c r="I6365" s="2" t="inlineStr"/>
      <c r="J6365" s="2" t="inlineStr"/>
      <c r="K6365" s="3" t="inlineStr">
        <is>
          <t>Строители одного из участков газопровода предлагают перенести площадку под строительство распределительной станции на новое, более сухое место. Этот нехитрый переход позволит на целый год ускорить конечную сдачу объекта. Сложные переговоры доверено вести представителю института, руководителю проекта Олегу Ивановичу Лозневому. Честный и принципиальный инженер видит безусловную выгоду от реализации этой идеи. Лозневой идёт на ухудшение отношений с директором института и принимает непростое в этой ситуации решение. Он добивается согласия от заинтересованных сторон и начинает работу над новым проектом станции.</t>
        </is>
      </c>
      <c r="L6365" s="2" t="inlineStr">
        <is>
          <t>https://ru.wikipedia.org/w/index.php?title=%D0%97%D0%B0_%D1%81%D0%B8%D0%BD%D0%B8%D0%BC%D0%B8_%D0%BD%D0%BE%D1%87%D0%B0%D0%BC%D0%B8&amp;oldid=149104966</t>
        </is>
      </c>
      <c r="M6365" s="2">
        <f>HYPERLINK("https://ru.wikipedia.org/w/index.php?search=%D0%97%D0%B0%20%D1%81%D0%B8%D0%BD%D0%B8%D0%BC%D0%B8%20%D0%BD%D0%BE%D1%87%D0%B0%D0%BC%D0%B8%201983%20%D1%84%D0%B8%D0%BB%D1%8C%D0%BC","искать")</f>
        <v/>
      </c>
      <c r="N6365" s="3" t="n"/>
      <c r="O6365" s="2" t="n"/>
      <c r="P6365" s="2" t="n"/>
    </row>
    <row r="6366">
      <c r="A6366" s="2" t="n">
        <v>6365</v>
      </c>
      <c r="B6366" s="2" t="inlineStr"/>
      <c r="C6366" s="2" t="n">
        <v>9699</v>
      </c>
      <c r="D6366" s="3" t="inlineStr">
        <is>
          <t>Тростниковый лес</t>
        </is>
      </c>
      <c r="E6366" s="2" t="n">
        <v>1971</v>
      </c>
      <c r="F6366" s="2" t="inlineStr">
        <is>
          <t>кинофильм</t>
        </is>
      </c>
      <c r="G6366" s="2" t="n"/>
      <c r="H6366" s="2" t="n">
        <v>614</v>
      </c>
      <c r="I6366" s="2" t="inlineStr"/>
      <c r="J6366" s="2" t="inlineStr"/>
      <c r="K6366" s="3" t="inlineStr">
        <is>
          <t>Небольшое колхозное рыбацкое судно «Альбатрос» в условиях зимней непогоды получило несколько пробоин и затонуло вблизи побережья. Из четырёх человек команды спасся только рыбак Степс, отважившийся прыгнуть в ледяную воду. В результате возникшего недоразумения товарищи подозревают его в малодушии. Ситуация усугубляется тем, что он и сам считает себя виновным. После ухода жены Степс уезжает в Ригу, перебиваясь случайным заработком. Некоторое время спустя водолазы повторно осмотрели место аварии. Найденные тела погибших рыбаков позволили снять со Степса обвинение в якобы совершённом им неблаговидном проступке.</t>
        </is>
      </c>
      <c r="L6366" s="2" t="inlineStr">
        <is>
          <t>https://ru.wikipedia.org/w/index.php?title=%D0%A2%D1%80%D0%BE%D1%81%D1%82%D0%BD%D0%B8%D0%BA%D0%BE%D0%B2%D1%8B%D0%B9_%D0%BB%D0%B5%D1%81&amp;oldid=149105790</t>
        </is>
      </c>
      <c r="M6366" s="2">
        <f>HYPERLINK("https://ru.wikipedia.org/w/index.php?search=%D0%A2%D1%80%D0%BE%D1%81%D1%82%D0%BD%D0%B8%D0%BA%D0%BE%D0%B2%D1%8B%D0%B9%20%D0%BB%D0%B5%D1%81%201971%20%D1%84%D0%B8%D0%BB%D1%8C%D0%BC","искать")</f>
        <v/>
      </c>
      <c r="N6366" s="3" t="n"/>
      <c r="O6366" s="2" t="n"/>
      <c r="P6366" s="2" t="n"/>
    </row>
    <row r="6367">
      <c r="A6367" s="2" t="n">
        <v>6366</v>
      </c>
      <c r="B6367" s="2" t="inlineStr"/>
      <c r="C6367" s="2" t="n">
        <v>7324</v>
      </c>
      <c r="D6367" s="3" t="inlineStr">
        <is>
          <t>Весёлые истории</t>
        </is>
      </c>
      <c r="E6367" s="2" t="n">
        <v>1973</v>
      </c>
      <c r="F6367" s="2" t="inlineStr">
        <is>
          <t>телефильм</t>
        </is>
      </c>
      <c r="G6367" s="2" t="inlineStr">
        <is>
          <t>Литовская к/с</t>
        </is>
      </c>
      <c r="H6367" s="2" t="n">
        <v>615</v>
      </c>
      <c r="I6367" s="2" t="inlineStr"/>
      <c r="J6367" s="2" t="inlineStr"/>
      <c r="K6367" s="3" t="inlineStr">
        <is>
          <t>Фильм состоит из трёх новелл, сюжетно слабо связанных между собой темой сбора металлолома школьниками в Советской Литве. В основе новелл - рассказы Николая Носова «И я помогаю» (1956), «Про Гену» (1959) и «Телефон» (1946).
Первая новелла «Непоседа» рассказывает о внучке профессора-химика, убежавшей из дома после неудачного химического опыта, проведённого ею.
Вторая новелла «Плутишка» повествует о залгавшемся школьнике, обманывающем родителей и учительницу.
Героями третьей новеллы «Телефон» являются два друга-школьника, получивших в качестве приза за сбор металлолома два детских проводных телефонных аппарата.</t>
        </is>
      </c>
      <c r="L6367" s="2" t="inlineStr">
        <is>
          <t>https://ru.wikipedia.org/w/index.php?title=%D0%92%D0%B5%D1%81%D1%91%D0%BB%D1%8B%D0%B5_%D0%B8%D1%81%D1%82%D0%BE%D1%80%D0%B8%D0%B8_%28%D1%84%D0%B8%D0%BB%D1%8C%D0%BC%2C_1973%29&amp;oldid=154692717</t>
        </is>
      </c>
      <c r="M6367" s="2">
        <f>HYPERLINK("https://ru.wikipedia.org/w/index.php?search=%D0%92%D0%B5%D1%81%D1%91%D0%BB%D1%8B%D0%B5%20%D0%B8%D1%81%D1%82%D0%BE%D1%80%D0%B8%D0%B8%201973%20%D1%84%D0%B8%D0%BB%D1%8C%D0%BC","искать")</f>
        <v/>
      </c>
      <c r="N6367" s="3" t="n"/>
      <c r="O6367" s="2" t="n"/>
      <c r="P6367" s="2" t="n"/>
    </row>
    <row r="6368">
      <c r="A6368" s="2" t="n">
        <v>6367</v>
      </c>
      <c r="B6368" s="2" t="inlineStr"/>
      <c r="C6368" s="2" t="n">
        <v>8315</v>
      </c>
      <c r="D6368" s="3" t="inlineStr">
        <is>
          <t>Своё счастье</t>
        </is>
      </c>
      <c r="E6368" s="2" t="n">
        <v>1979</v>
      </c>
      <c r="F6368" s="2" t="inlineStr">
        <is>
          <t>телефильм</t>
        </is>
      </c>
      <c r="G6368" s="2" t="inlineStr">
        <is>
          <t>к/с им. Довженко</t>
        </is>
      </c>
      <c r="H6368" s="2" t="n">
        <v>615</v>
      </c>
      <c r="I6368" s="2" t="inlineStr"/>
      <c r="J6368" s="2" t="inlineStr"/>
      <c r="K6368" s="3" t="inlineStr">
        <is>
          <t>У Александра Павловича Резникова нет достаточно большой суммы для возмещения стоимости путёвки. Его сосед Юра предлагает герою вариант быстрого заработка за один день. Александр Павлович будет прорабом у студентов, которые будут сносить деревянный дом. Студенты получат по десять рублей, а Юра и Александр Павлович — по двести пятьдесят. Герой соглашается. Однако полученный нетрудовой доход не даёт покоя Резникову. Он находит студентов в общежитии и отдаёт им честно заработанные деньги. Обнаружив дома, что случайно оставил в кармане несколько купюр, отдаёт их Юре и просит больше не предлагать ему такие сделки.</t>
        </is>
      </c>
      <c r="L6368" s="2" t="inlineStr">
        <is>
          <t>https://ru.wikipedia.org/w/index.php?title=%D0%A1%D0%B2%D0%BE%D1%91_%D1%81%D1%87%D0%B0%D1%81%D1%82%D1%8C%D0%B5&amp;oldid=154076616</t>
        </is>
      </c>
      <c r="M6368" s="2">
        <f>HYPERLINK("https://ru.wikipedia.org/w/index.php?search=%D0%A1%D0%B2%D0%BE%D1%91%20%D1%81%D1%87%D0%B0%D1%81%D1%82%D1%8C%D0%B5%201979%20%D1%84%D0%B8%D0%BB%D1%8C%D0%BC","искать")</f>
        <v/>
      </c>
      <c r="N6368" s="3" t="n"/>
      <c r="O6368" s="2" t="n"/>
      <c r="P6368" s="2" t="n"/>
    </row>
    <row r="6369">
      <c r="A6369" s="2" t="n">
        <v>6368</v>
      </c>
      <c r="B6369" s="2" t="inlineStr"/>
      <c r="C6369" s="2" t="n">
        <v>7906</v>
      </c>
      <c r="D6369" s="3" t="inlineStr">
        <is>
          <t>Мужество</t>
        </is>
      </c>
      <c r="E6369" s="2" t="n">
        <v>1980</v>
      </c>
      <c r="F6369" s="2" t="inlineStr">
        <is>
          <t>телефильм</t>
        </is>
      </c>
      <c r="G6369" s="2" t="n"/>
      <c r="H6369" s="2" t="n">
        <v>616</v>
      </c>
      <c r="I6369" s="2" t="inlineStr"/>
      <c r="J6369" s="2" t="inlineStr"/>
      <c r="K6369" s="3" t="inlineStr">
        <is>
          <t>Фильм рассказывает о строительстве Комсомольска-на-Амуре в 1932 году, подвиге молодёжи и судьбах комсомольцев.
В фильме используется документальная кинохроника первых советских пятилеток.
Этот фильм, снятый по мотивам романа Кетлинской «Мужество», воспроизводит волнующие страницы самого начала строительства города Комсомольск-на-Амуре в 1932 году. Почти полвека прошло с той поры. Фильм этот обращён как к людям старшего поколения, которые помнят как создавался Комсомольск, так и к молодёжи, для которой, деяние строителей Комсомольска служат примером, вдохновляющим советскую молодёжь на наших стойках, нынешней.</t>
        </is>
      </c>
      <c r="L6369" s="2" t="inlineStr">
        <is>
          <t>https://ru.wikipedia.org/w/index.php?title=%D0%9C%D1%83%D0%B6%D0%B5%D1%81%D1%82%D0%B2%D0%BE_%28%D1%84%D0%B8%D0%BB%D1%8C%D0%BC%2C_1980%29&amp;oldid=150056163</t>
        </is>
      </c>
      <c r="M6369" s="2">
        <f>HYPERLINK("https://ru.wikipedia.org/w/index.php?search=%D0%9C%D1%83%D0%B6%D0%B5%D1%81%D1%82%D0%B2%D0%BE%201980%20%D1%84%D0%B8%D0%BB%D1%8C%D0%BC","искать")</f>
        <v/>
      </c>
      <c r="N6369" s="3" t="n"/>
      <c r="O6369" s="2" t="n"/>
      <c r="P6369" s="2" t="n"/>
    </row>
    <row r="6370">
      <c r="A6370" s="2" t="n">
        <v>6369</v>
      </c>
      <c r="B6370" s="2" t="inlineStr"/>
      <c r="C6370" s="2" t="n">
        <v>8341</v>
      </c>
      <c r="D6370" s="3" t="inlineStr">
        <is>
          <t>Сестра моя Люся</t>
        </is>
      </c>
      <c r="E6370" s="2" t="n">
        <v>1985</v>
      </c>
      <c r="F6370" s="2" t="inlineStr">
        <is>
          <t>телефильм</t>
        </is>
      </c>
      <c r="G6370" s="2" t="n"/>
      <c r="H6370" s="2" t="n">
        <v>618</v>
      </c>
      <c r="I6370" s="2" t="inlineStr"/>
      <c r="J6370" s="2" t="inlineStr"/>
      <c r="K6370" s="3" t="inlineStr">
        <is>
          <t>Главный герой фильма — космонавт — вспоминает свое детство, выпавшее на трудное послевоенное время. Пролетая высоко над Землей, он думает о Люсе, русской девочке из того времени, тогда ему было 7 лет, и его мама Айгюль приютила у себя в доме бывшую в эвакуации Клаву, потерявшую мужа на фронте, с 12-летней дочерью Люсей…
В картине много коротких судеб-новелл, обрамляющих историю главных героев. … Обо всей этой круговерти Шинарбаев рассказывает просто, резко, не утаивая горечи, но и не смакуя невеселые подробности в жизни его героев, которые в картинах о послевоенном времени порой ещё подменяют существо рассказа.</t>
        </is>
      </c>
      <c r="L6370" s="2" t="inlineStr">
        <is>
          <t>https://ru.wikipedia.org/w/index.php?title=%D0%A1%D0%B5%D1%81%D1%82%D1%80%D0%B0_%D0%BC%D0%BE%D1%8F_%D0%9B%D1%8E%D1%81%D1%8F&amp;oldid=154704531</t>
        </is>
      </c>
      <c r="M6370" s="2">
        <f>HYPERLINK("https://ru.wikipedia.org/w/index.php?search=%D0%A1%D0%B5%D1%81%D1%82%D1%80%D0%B0%20%D0%BC%D0%BE%D1%8F%20%D0%9B%D1%8E%D1%81%D1%8F%201985%20%D1%84%D0%B8%D0%BB%D1%8C%D0%BC","искать")</f>
        <v/>
      </c>
      <c r="N6370" s="3" t="n"/>
      <c r="O6370" s="2" t="n"/>
      <c r="P6370" s="2" t="n"/>
    </row>
    <row r="6371">
      <c r="A6371" s="2" t="n">
        <v>6370</v>
      </c>
      <c r="B6371" s="2" t="inlineStr"/>
      <c r="C6371" s="2" t="n">
        <v>8364</v>
      </c>
      <c r="D6371" s="3" t="inlineStr">
        <is>
          <t>Смок и Малыш</t>
        </is>
      </c>
      <c r="E6371" s="2" t="n">
        <v>1975</v>
      </c>
      <c r="F6371" s="2" t="inlineStr">
        <is>
          <t>телефильм</t>
        </is>
      </c>
      <c r="G6371" s="2" t="n"/>
      <c r="H6371" s="2" t="n">
        <v>618</v>
      </c>
      <c r="I6371" s="2" t="inlineStr"/>
      <c r="J6371" s="2" t="inlineStr"/>
      <c r="K6371" s="3" t="inlineStr">
        <is>
          <t>Действие происходит в конце XIX века в США. Кит (Кристофер) Белью — писатель из Сан-Франциско. Газета, для которой он писал роман с продолжением, на грани банкротства, и Белью решил отправиться на заработки на Аляску — попытать счастья в поисках золота. По дороге Белью познакомился и подружился со старателем «Малышом», и сам получил прозвище «Смок».
После тяжёлого путешествия, рискуя жизнью, Смок добрался до Доусона. Ему придётся пережить взлёты и падения. Он успеет поработать мойщиком посуды и тапёром в ресторане, заработать целое состояние в игре на рулетке и затем спустить его, попытавшись заняться бизнесом.</t>
        </is>
      </c>
      <c r="L6371" s="2" t="inlineStr">
        <is>
          <t>https://ru.wikipedia.org/w/index.php?title=%D0%A1%D0%BC%D0%BE%D0%BA_%D0%B8_%D0%9C%D0%B0%D0%BB%D1%8B%D1%88_%28%D1%84%D0%B8%D0%BB%D1%8C%D0%BC%29&amp;oldid=154957139</t>
        </is>
      </c>
      <c r="M6371" s="2">
        <f>HYPERLINK("https://ru.wikipedia.org/w/index.php?search=%D0%A1%D0%BC%D0%BE%D0%BA%20%D0%B8%20%D0%9C%D0%B0%D0%BB%D1%8B%D1%88%201975%20%D1%84%D0%B8%D0%BB%D1%8C%D0%BC","искать")</f>
        <v/>
      </c>
      <c r="N6371" s="3" t="n"/>
      <c r="O6371" s="2" t="n"/>
      <c r="P6371" s="2" t="n"/>
    </row>
    <row r="6372">
      <c r="A6372" s="2" t="n">
        <v>6371</v>
      </c>
      <c r="B6372" s="2" t="inlineStr"/>
      <c r="C6372" s="2" t="n">
        <v>7892</v>
      </c>
      <c r="D6372" s="3" t="inlineStr">
        <is>
          <t>Мой нежно любимый детектив</t>
        </is>
      </c>
      <c r="E6372" s="2" t="n">
        <v>1986</v>
      </c>
      <c r="F6372" s="2" t="inlineStr">
        <is>
          <t>телефильм</t>
        </is>
      </c>
      <c r="G6372" s="2" t="n"/>
      <c r="H6372" s="2" t="n">
        <v>620</v>
      </c>
      <c r="I6372" s="2" t="inlineStr"/>
      <c r="J6372" s="2" t="inlineStr"/>
      <c r="K6372" s="3" t="inlineStr">
        <is>
          <t>В связи с тем, что в лондонский дом 221Б по Бейкер-стрит, в которой знаменитый писатель Артур Конан Дойл «поселил» выдуманных им частного сыщика Шерлока Холмса и его напарника доктора Джона Ватсона, часто приезжают пострадавшие от реальных преступлений люди в надежде получить помощь, это место решено было превратить в офис двух сыщиц — сотрудниц частного сыскного агентства: мисс Шерли Холмс и мисс Джейн Ватсон, которые, применяя дедуктивный метод, успешно расследуют безнадёжно запутанные дела.
Скотланд-Ярд в лице инспектора Лестера и его помощника Бигса решает избавиться от конкуренток и устраивает им провокацию.</t>
        </is>
      </c>
      <c r="L6372" s="2" t="inlineStr">
        <is>
          <t>https://ru.wikipedia.org/w/index.php?title=%D0%9C%D0%BE%D0%B9_%D0%BD%D0%B5%D0%B6%D0%BD%D0%BE_%D0%BB%D1%8E%D0%B1%D0%B8%D0%BC%D1%8B%D0%B9_%D0%B4%D0%B5%D1%82%D0%B5%D0%BA%D1%82%D0%B8%D0%B2&amp;oldid=154900238</t>
        </is>
      </c>
      <c r="M6372" s="2">
        <f>HYPERLINK("https://ru.wikipedia.org/w/index.php?search=%D0%9C%D0%BE%D0%B9%20%D0%BD%D0%B5%D0%B6%D0%BD%D0%BE%20%D0%BB%D1%8E%D0%B1%D0%B8%D0%BC%D1%8B%D0%B9%20%D0%B4%D0%B5%D1%82%D0%B5%D0%BA%D1%82%D0%B8%D0%B2%201986%20%D1%84%D0%B8%D0%BB%D1%8C%D0%BC","искать")</f>
        <v/>
      </c>
      <c r="N6372" s="3" t="n"/>
      <c r="O6372" s="2" t="n"/>
      <c r="P6372" s="2" t="n"/>
    </row>
    <row r="6373">
      <c r="A6373" s="2" t="n">
        <v>6372</v>
      </c>
      <c r="B6373" s="2" t="inlineStr"/>
      <c r="C6373" s="2" t="n">
        <v>7182</v>
      </c>
      <c r="D6373" s="3" t="inlineStr">
        <is>
          <t>20 декабря</t>
        </is>
      </c>
      <c r="E6373" s="2" t="n">
        <v>1981</v>
      </c>
      <c r="F6373" s="2" t="inlineStr">
        <is>
          <t>телефильм</t>
        </is>
      </c>
      <c r="G6373" s="2" t="inlineStr">
        <is>
          <t>Ленфильм</t>
        </is>
      </c>
      <c r="H6373" s="2" t="n">
        <v>621</v>
      </c>
      <c r="I6373" s="2" t="inlineStr"/>
      <c r="J6373" s="2" t="inlineStr"/>
      <c r="K6373" s="3" t="inlineStr">
        <is>
          <t>Фильм посвящается первым чекистам.
Конец 1917 года. Большевики недавно захватили власть и принимают меры, чтобы защитить завоевания октября. Для этого 1917 года при Совете народных комиссаров РСФСР по предложению В. И. Ленина создаётся Всероссийская чрезвычайная комиссия по борьбе с контрреволюцией и саботажем, сокращённо ВЧК. Возглавил комиссию Феликс Дзержинский.
Значительное место в фильме занимают образы оппонентов Ленина — Льва Каменева и Алексея Рыкова, впервые появившиеся на советском экране.
1-я серия — «Военная диктатура?..»
2-я серия — «Саботаж»
3-я серия — «Террор»
4-я серия — «ВЧК»
5-я серия — «Тишина»</t>
        </is>
      </c>
      <c r="L6373" s="2" t="inlineStr">
        <is>
          <t>https://ru.wikipedia.org/w/index.php?title=20_%D0%B4%D0%B5%D0%BA%D0%B0%D0%B1%D1%80%D1%8F_%28%D1%82%D0%B5%D0%BB%D0%B5%D1%84%D0%B8%D0%BB%D1%8C%D0%BC%29&amp;oldid=154673309</t>
        </is>
      </c>
      <c r="M6373" s="2">
        <f>HYPERLINK("https://ru.wikipedia.org/w/index.php?search=20%20%D0%B4%D0%B5%D0%BA%D0%B0%D0%B1%D1%80%D1%8F%201981%20%D1%84%D0%B8%D0%BB%D1%8C%D0%BC","искать")</f>
        <v/>
      </c>
      <c r="N6373" s="3" t="n"/>
      <c r="O6373" s="2" t="n"/>
      <c r="P6373" s="2" t="n"/>
    </row>
    <row r="6374">
      <c r="A6374" s="2" t="n">
        <v>6373</v>
      </c>
      <c r="B6374" s="2" t="inlineStr"/>
      <c r="C6374" s="2" t="n">
        <v>10405</v>
      </c>
      <c r="D6374" s="3" t="inlineStr">
        <is>
          <t>Марат, Лика, Леонидик</t>
        </is>
      </c>
      <c r="E6374" s="2" t="n">
        <v>1971</v>
      </c>
      <c r="F6374" s="2" t="inlineStr">
        <is>
          <t>фильм-спектакль</t>
        </is>
      </c>
      <c r="G6374" s="2" t="inlineStr">
        <is>
          <t>Главная редакция лит-драм. программ ЦТ</t>
        </is>
      </c>
      <c r="H6374" s="2" t="n">
        <v>621</v>
      </c>
      <c r="I6374" s="2" t="inlineStr"/>
      <c r="J6374" s="2" t="inlineStr"/>
      <c r="K6374" s="3" t="inlineStr">
        <is>
          <t>По пьесе Алексея Арбузова «Мой бедный Марат».
В шестидесятые годы один из самых популярных спектаклей Московского театра имени Ленинского комсомола.
История о тройке блокадных юнцов, которые искали уцелевшую под бомбежкой квартиру, а нашли друг друга на всю жизнь. Марат и Лика (любила гордеца Марата, но вышла замуж за Леонидика, потерявшего на фронте руку) бежали от собственного счастья и теперь мучительно возвращаются к нему, учатся снова быть счастливыми с таким трудом, точно заново учатся ходить. А Леонидик, для которого бремя его любви стало непосильным, невыносимым, так же тяжело учится заново быть свободным.</t>
        </is>
      </c>
      <c r="L6374" s="2" t="inlineStr">
        <is>
          <t>https://www.kino-teatr.ru/teatr/movie/3720/annot/</t>
        </is>
      </c>
      <c r="M6374" s="2">
        <f>HYPERLINK("https://ru.wikipedia.org/w/index.php?search=%D0%9C%D0%B0%D1%80%D0%B0%D1%82%2C%20%D0%9B%D0%B8%D0%BA%D0%B0%2C%20%D0%9B%D0%B5%D0%BE%D0%BD%D0%B8%D0%B4%D0%B8%D0%BA%201971%20%D1%84%D0%B8%D0%BB%D1%8C%D0%BC","искать")</f>
        <v/>
      </c>
      <c r="N6374" s="3" t="n"/>
      <c r="O6374" s="2" t="n"/>
      <c r="P6374" s="2" t="n"/>
    </row>
    <row r="6375">
      <c r="A6375" s="2" t="n">
        <v>6374</v>
      </c>
      <c r="B6375" s="2" t="inlineStr"/>
      <c r="C6375" s="2" t="n">
        <v>10921</v>
      </c>
      <c r="D6375" s="3" t="inlineStr">
        <is>
          <t>Тупейный художник</t>
        </is>
      </c>
      <c r="E6375" s="2" t="n">
        <v>1981</v>
      </c>
      <c r="F6375" s="2" t="inlineStr">
        <is>
          <t>фильм-спектакль</t>
        </is>
      </c>
      <c r="G6375" s="2" t="inlineStr">
        <is>
          <t>Центральное телевидение</t>
        </is>
      </c>
      <c r="H6375" s="2" t="n">
        <v>621</v>
      </c>
      <c r="I6375" s="2" t="inlineStr"/>
      <c r="J6375" s="2" t="inlineStr"/>
      <c r="K6375" s="3" t="inlineStr">
        <is>
          <t>По рассказу Н.С.Лескова (1883).
События рассказа происходят в крепостном театре орловского графа Каменского, известного своей жестокостью. Историю тупейного художника Аркадия рассказывает бывшая актриса орловского крепостного театра, а сейчас нянька младшего брата рассказчика Любовь Онисимовна. Актриса и парикмахер были влюблены друг в друга, но «свидания с глазу на глаз были совершенно невозможны и даже немыслимы»: романы актрисам не позволялись. Аркадий решает увезти возлюбленную, узнав, что граф оказывает ей особые знаки расположения и хочет сделать своей любовницей, однако в доме священника их настигает погоня</t>
        </is>
      </c>
      <c r="L6375" s="2" t="inlineStr">
        <is>
          <t>https://www.kino-teatr.ru/teatr/movie/115492/annot/</t>
        </is>
      </c>
      <c r="M6375" s="2">
        <f>HYPERLINK("https://ru.wikipedia.org/w/index.php?search=%D0%A2%D1%83%D0%BF%D0%B5%D0%B9%D0%BD%D1%8B%D0%B9%20%D1%85%D1%83%D0%B4%D0%BE%D0%B6%D0%BD%D0%B8%D0%BA%201981%20%D1%84%D0%B8%D0%BB%D1%8C%D0%BC","искать")</f>
        <v/>
      </c>
      <c r="N6375" s="3" t="n"/>
      <c r="O6375" s="2" t="n"/>
      <c r="P6375" s="2" t="n"/>
    </row>
    <row r="6376">
      <c r="A6376" s="2" t="n">
        <v>6375</v>
      </c>
      <c r="B6376" s="2" t="inlineStr"/>
      <c r="C6376" s="2" t="n">
        <v>12338</v>
      </c>
      <c r="D6376" s="3" t="inlineStr">
        <is>
          <t>Вожак</t>
        </is>
      </c>
      <c r="E6376" s="2" t="n">
        <v>1978</v>
      </c>
      <c r="F6376" s="2" t="inlineStr">
        <is>
          <t>мультфильм</t>
        </is>
      </c>
      <c r="G6376" s="2" t="inlineStr">
        <is>
          <t>КИЕВНАУЧФИЛЬМ</t>
        </is>
      </c>
      <c r="H6376" s="2" t="n">
        <v>621</v>
      </c>
      <c r="I6376" s="2" t="inlineStr"/>
      <c r="J6376" s="2" t="inlineStr"/>
      <c r="K6376" s="3" t="inlineStr">
        <is>
          <t>Старый вожак гусиной стаи собирает всех молодых гусей, для того чтобы рассказать всю правду о них и о людях, какие они бывают и на что способны. Он очень мудрый и достаточно многое поведал за свою жизнь. Он делится с ними тем, что люди очень жестокие и злые, а так же повествует им о том, почему они убивают птиц и животных. Для него очень важно донести до них и научить их, что нужно быть осторожными и всегда находится на чеку и на стороже. Молодые гуси слушаются вожака, после его рассказа, они начинают вести себя очень осторожно и аккуратно, чтобы не попасть в какую-то неприятную ситуацию или не нарваться на людей.</t>
        </is>
      </c>
      <c r="L6376" s="2" t="inlineStr">
        <is>
          <t>2026-10_мультфильмы_список_владельца.xlsx; https://animator.ru/db/?p=show_film&amp;fid=3505</t>
        </is>
      </c>
      <c r="M6376" s="2">
        <f>HYPERLINK("https://ru.wikipedia.org/w/index.php?search=%D0%92%D0%BE%D0%B6%D0%B0%D0%BA%201978%20%D1%84%D0%B8%D0%BB%D1%8C%D0%BC","искать")</f>
        <v/>
      </c>
      <c r="N6376" s="3" t="n"/>
      <c r="O6376" s="2" t="n"/>
      <c r="P6376" s="2" t="n"/>
    </row>
    <row r="6377">
      <c r="A6377" s="2" t="n">
        <v>6376</v>
      </c>
      <c r="B6377" s="2" t="inlineStr"/>
      <c r="C6377" s="2" t="n">
        <v>12575</v>
      </c>
      <c r="D6377" s="3" t="inlineStr">
        <is>
          <t>Страшный зверь</t>
        </is>
      </c>
      <c r="E6377" s="2" t="n">
        <v>1969</v>
      </c>
      <c r="F6377" s="2" t="inlineStr">
        <is>
          <t>мультфильм</t>
        </is>
      </c>
      <c r="G6377" s="2" t="inlineStr">
        <is>
          <t>КИЕВНАУЧФИЛЬМ</t>
        </is>
      </c>
      <c r="H6377" s="2" t="n">
        <v>622</v>
      </c>
      <c r="I6377" s="2" t="inlineStr"/>
      <c r="J6377" s="2" t="inlineStr"/>
      <c r="K6377" s="3" t="inlineStr">
        <is>
          <t>По мотивам украинской сказки.
У одного человека был старый кот, который уже не мог и мышей ловить. Вот хозяин его взял да и вывез в лес, думает: «На что он мне сдался, только зря кормить буду, — пусть в лесу живёт». Оставил его, а сам уехал.
Встретив в лесу голодного кота, хитрая лиса накормила его, поселила в собственном доме и пустила слух, что у нее живет страшный, кровожадный зверь, пан Коцкий. И вот уже самые почтенные звери ждут прихода пана Коцкого к ним в гости...По глупости своей и по кошачьей привычке бегать за хвостиками "пан Коцкий" кинулся на хвост кабана и устроил переполох в лесу...А лисичке - потеха</t>
        </is>
      </c>
      <c r="L6377" s="2" t="inlineStr">
        <is>
          <t>https://gosfilmofond.ru/films/254773/</t>
        </is>
      </c>
      <c r="M6377" s="2">
        <f>HYPERLINK("https://ru.wikipedia.org/w/index.php?search=%D0%A1%D1%82%D1%80%D0%B0%D1%88%D0%BD%D1%8B%D0%B9%20%D0%B7%D0%B2%D0%B5%D1%80%D1%8C%201969%20%D1%84%D0%B8%D0%BB%D1%8C%D0%BC","искать")</f>
        <v/>
      </c>
      <c r="N6377" s="3" t="n"/>
      <c r="O6377" s="2" t="n"/>
      <c r="P6377" s="2" t="n"/>
    </row>
    <row r="6378">
      <c r="A6378" s="2" t="n">
        <v>6377</v>
      </c>
      <c r="B6378" s="2" t="inlineStr"/>
      <c r="C6378" s="2" t="n">
        <v>7749</v>
      </c>
      <c r="D6378" s="3" t="inlineStr">
        <is>
          <t>Конец света с последующим симпозиумом</t>
        </is>
      </c>
      <c r="E6378" s="2" t="n">
        <v>1986</v>
      </c>
      <c r="F6378" s="2" t="inlineStr">
        <is>
          <t>телефильм</t>
        </is>
      </c>
      <c r="G6378" s="2" t="n"/>
      <c r="H6378" s="2" t="n">
        <v>624</v>
      </c>
      <c r="I6378" s="2" t="inlineStr"/>
      <c r="J6378" s="2" t="inlineStr"/>
      <c r="K6378" s="3" t="inlineStr">
        <is>
          <t>К сидящему без денег драматургу Майклу Тренту (Вадим Андреев) обращается миллиардер Фил Стоун (Армен Джигарханян), заказывает ему пьесу на тему, с которой Трент соглашается не глядя, и даёт аванс. Литературный агент Одри Вуд (Надежда Румянцева) заинтересовывает проектом режиссёра и директора одного из бродвейских театров. Тема, за которую взялся Трент — ядерная война. Миллиардер Стоун надеется театральной постановкой, пьеса для которой заказана Тренту, предотвратить её.
В фильме показано, как рациональные мотивы и действия людей, никто из которых не желает войны, приводят к тому, что вероятность её начала повышается.</t>
        </is>
      </c>
      <c r="L6378" s="2" t="inlineStr">
        <is>
          <t>https://ru.wikipedia.org/w/index.php?title=%D0%9A%D0%BE%D0%BD%D0%B5%D1%86_%D1%81%D0%B2%D0%B5%D1%82%D0%B0_%D1%81_%D0%BF%D0%BE%D1%81%D0%BB%D0%B5%D0%B4%D1%83%D1%8E%D1%89%D0%B8%D0%BC_%D1%81%D0%B8%D0%BC%D0%BF%D0%BE%D0%B7%D0%B8%D1%83%D0%BC%D0%BE%D0%BC_%28%D1%84%D0%B8%D0%BB%D1%8C%D0%BC%29&amp;oldid=140049639</t>
        </is>
      </c>
      <c r="M6378" s="2">
        <f>HYPERLINK("https://ru.wikipedia.org/w/index.php?search=%D0%9A%D0%BE%D0%BD%D0%B5%D1%86%20%D1%81%D0%B2%D0%B5%D1%82%D0%B0%20%D1%81%20%D0%BF%D0%BE%D1%81%D0%BB%D0%B5%D0%B4%D1%83%D1%8E%D1%89%D0%B8%D0%BC%20%D1%81%D0%B8%D0%BC%D0%BF%D0%BE%D0%B7%D0%B8%D1%83%D0%BC%D0%BE%D0%BC%201986%20%D1%84%D0%B8%D0%BB%D1%8C%D0%BC","искать")</f>
        <v/>
      </c>
      <c r="N6378" s="3" t="n"/>
      <c r="O6378" s="2" t="n"/>
      <c r="P6378" s="2" t="n"/>
    </row>
    <row r="6379">
      <c r="A6379" s="2" t="n">
        <v>6378</v>
      </c>
      <c r="B6379" s="2" t="inlineStr"/>
      <c r="C6379" s="2" t="n">
        <v>9460</v>
      </c>
      <c r="D6379" s="3" t="inlineStr">
        <is>
          <t>Любовь</t>
        </is>
      </c>
      <c r="E6379" s="2" t="n">
        <v>1991</v>
      </c>
      <c r="F6379" s="2" t="inlineStr">
        <is>
          <t>кинофильм</t>
        </is>
      </c>
      <c r="G6379" s="2" t="n"/>
      <c r="H6379" s="2" t="n">
        <v>624</v>
      </c>
      <c r="I6379" s="2" t="inlineStr"/>
      <c r="J6379" s="2" t="inlineStr"/>
      <c r="K6379" s="3" t="inlineStr">
        <is>
          <t>Вадим и Саша — друзья, студенты и оба пытаются встретить свою любовь. Вадим — отчаянный ловелас, а Саша — простоватый и неопытный «ухажёр». На одной вечеринке оба встречают девушек. Марина, внучка генерала, живёт вместе с бабушкой в большой квартире в центре Москвы, где и происходят её дальнейшие встречи с Вадимом. Саша же влюбляется в девушку Машу, еврейку. Но если Вадим в итоге женится, Саша вынужден расстаться с любимой. Семья Маши постоянно сталкивается с антисемитизмом, девушка становится жертвой группового изнасилования. В результате Маша решает вместе со своими родителями и бабушкой репатриироваться в Израиль.</t>
        </is>
      </c>
      <c r="L6379" s="2" t="inlineStr">
        <is>
          <t>https://ru.wikipedia.org/w/index.php?title=%D0%9B%D1%8E%D0%B1%D0%BE%D0%B2%D1%8C_%28%D1%84%D0%B8%D0%BB%D1%8C%D0%BC%2C_1991%29&amp;oldid=153945502</t>
        </is>
      </c>
      <c r="M6379" s="2">
        <f>HYPERLINK("https://ru.wikipedia.org/w/index.php?search=%D0%9B%D1%8E%D0%B1%D0%BE%D0%B2%D1%8C%201991%20%D1%84%D0%B8%D0%BB%D1%8C%D0%BC","искать")</f>
        <v/>
      </c>
      <c r="N6379" s="3" t="n"/>
      <c r="O6379" s="2" t="n"/>
      <c r="P6379" s="2" t="n"/>
    </row>
    <row r="6380">
      <c r="A6380" s="2" t="n">
        <v>6379</v>
      </c>
      <c r="B6380" s="2" t="inlineStr"/>
      <c r="C6380" s="2" t="n">
        <v>11248</v>
      </c>
      <c r="D6380" s="3" t="inlineStr">
        <is>
          <t>Биография</t>
        </is>
      </c>
      <c r="E6380" s="2" t="n">
        <v>1989</v>
      </c>
      <c r="F6380" s="2" t="inlineStr">
        <is>
          <t>фильм-спектакль</t>
        </is>
      </c>
      <c r="G6380" s="2" t="n"/>
      <c r="H6380" s="2" t="n">
        <v>624</v>
      </c>
      <c r="I6380" s="2" t="inlineStr"/>
      <c r="J6380" s="2" t="inlineStr"/>
      <c r="K6380" s="3" t="inlineStr">
        <is>
          <t>Санкт-Петербургский театр Комедии имени Н.П.Акимова
(Ленинградский академический театр комедии)
Знаменитая пьеса Макса Фриша, впервые в России поставленная Львом Стукаловым на сцене театра Комедии.
Пьеса интеллектуальная, а значит, аналитически сконструировавшая пространство, где сквозь судьбы сорокалетних дуют ледяные ветры ХХ века. Рецензенты хвалили премьеру режиссера за смелость, дерзость и сложность заданного хода.
В спектакле разыгрывается театральная репетиция и, иногда, воспоминания главного героя. Это история, увиденная глазами человека, получившего возможность прожить жизнь заново и сочинить свою биографию.</t>
        </is>
      </c>
      <c r="L6380" s="2" t="inlineStr">
        <is>
          <t>https://www.kino-teatr.ru/teatr/movie/143593/annot/</t>
        </is>
      </c>
      <c r="M6380" s="2">
        <f>HYPERLINK("https://ru.wikipedia.org/w/index.php?search=%D0%91%D0%B8%D0%BE%D0%B3%D1%80%D0%B0%D1%84%D0%B8%D1%8F%201989%20%D1%84%D0%B8%D0%BB%D1%8C%D0%BC","искать")</f>
        <v/>
      </c>
      <c r="N6380" s="3" t="n"/>
      <c r="O6380" s="2" t="n"/>
      <c r="P6380" s="2" t="n"/>
    </row>
    <row r="6381">
      <c r="A6381" s="2" t="n">
        <v>6380</v>
      </c>
      <c r="B6381" s="2" t="inlineStr"/>
      <c r="C6381" s="2" t="n">
        <v>8847</v>
      </c>
      <c r="D6381" s="3" t="inlineStr">
        <is>
          <t>Московский цирк. Сто лет</t>
        </is>
      </c>
      <c r="E6381" s="2" t="n">
        <v>1981</v>
      </c>
      <c r="F6381" s="2" t="inlineStr">
        <is>
          <t>кинофильм</t>
        </is>
      </c>
      <c r="G6381" s="2" t="n"/>
      <c r="H6381" s="2" t="n">
        <v>625</v>
      </c>
      <c r="I6381" s="2" t="inlineStr"/>
      <c r="J6381" s="2" t="inlineStr"/>
      <c r="K6381" s="3" t="inlineStr">
        <is>
          <t>Юбилейная программа, посвященная 100-летию цирка на Цветном бульваре, в очередной раз создает атмосферу веселого праздника, приносит взрослым и детям много радости, веселья и смеха. И нет сомнения, что еще больше радости он принесет нам в будущем. Участвуют акробаты под руководством Виктора Радохова и Виктора Викторова, Любовь и Борис Воробьевы, эквилибристы под руководством Анатолия Стеценко, дрессировщик и жонглер Сарват Бегбуди, эквилибрист Григорий Попович, клоуны Юрий Никулин, Михаил Шуйдин, Татьяна Никулина, Дмитрий Альперов, гимнасты Тамара Мусина и Гунар Каткевич, силовые акробаты Виктор Сдобнин и Юрий Илюшин.</t>
        </is>
      </c>
      <c r="L6381" s="2" t="inlineStr">
        <is>
          <t>Кино_СССР сводный каталог.xlsx: список фильмов (доп.)</t>
        </is>
      </c>
      <c r="M6381" s="2">
        <f>HYPERLINK("https://ru.wikipedia.org/w/index.php?search=%D0%9C%D0%BE%D1%81%D0%BA%D0%BE%D0%B2%D1%81%D0%BA%D0%B8%D0%B9%20%D1%86%D0%B8%D1%80%D0%BA.%20%D0%A1%D1%82%D0%BE%20%D0%BB%D0%B5%D1%82%201981%20%D1%84%D0%B8%D0%BB%D1%8C%D0%BC","искать")</f>
        <v/>
      </c>
      <c r="N6381" s="3" t="n"/>
      <c r="O6381" s="2" t="n"/>
      <c r="P6381" s="2" t="n"/>
    </row>
    <row r="6382">
      <c r="A6382" s="2" t="n">
        <v>6381</v>
      </c>
      <c r="B6382" s="2" t="inlineStr"/>
      <c r="C6382" s="2" t="n">
        <v>11608</v>
      </c>
      <c r="D6382" s="3" t="inlineStr">
        <is>
          <t>Самый главный</t>
        </is>
      </c>
      <c r="E6382" s="2" t="n">
        <v>1970</v>
      </c>
      <c r="F6382" s="2" t="inlineStr">
        <is>
          <t>мультфильм</t>
        </is>
      </c>
      <c r="G6382" s="2" t="inlineStr">
        <is>
          <t>Союзмультфильм</t>
        </is>
      </c>
      <c r="H6382" s="2" t="n">
        <v>625</v>
      </c>
      <c r="I6382" s="2" t="inlineStr"/>
      <c r="J6382" s="2" t="inlineStr"/>
      <c r="K6382" s="3" t="inlineStr">
        <is>
          <t>Много лет дружат хлебороб, кузнец, портной, сапожник и рудокоп. После трудового дна собираются они за праздничным столом, поют песни, весело танцуют. Очень это не нравится злой ведьме, которая прживает неподалеку на болоте. Любит она гадости делать людям. И решает ведьма поссорить дружную компанию. Нашептывает она каждому, что он самый главный, мол все остальные без него не смогут прожить. И возгордились друзья, каждый хочет стать главным в компании. Но мудрый рудокоп доказывает друзьям, что главный меж ними - их оющий труд. Снова они собираются за праздничным столом и провозглашают тост за труд, укрепляющий их дружбу</t>
        </is>
      </c>
      <c r="L6382" s="2" t="inlineStr">
        <is>
          <t>https://gosfilmofond.ru/films/255174/</t>
        </is>
      </c>
      <c r="M6382" s="2">
        <f>HYPERLINK("https://ru.wikipedia.org/w/index.php?search=%D0%A1%D0%B0%D0%BC%D1%8B%D0%B9%20%D0%B3%D0%BB%D0%B0%D0%B2%D0%BD%D1%8B%D0%B9%201970%20%D1%84%D0%B8%D0%BB%D1%8C%D0%BC","искать")</f>
        <v/>
      </c>
      <c r="N6382" s="3" t="n"/>
      <c r="O6382" s="2" t="n"/>
      <c r="P6382" s="2" t="n"/>
    </row>
    <row r="6383">
      <c r="A6383" s="2" t="n">
        <v>6382</v>
      </c>
      <c r="B6383" s="2" t="inlineStr"/>
      <c r="C6383" s="2" t="n">
        <v>7669</v>
      </c>
      <c r="D6383" s="3" t="inlineStr">
        <is>
          <t>Иван Бабушкин</t>
        </is>
      </c>
      <c r="E6383" s="2" t="n">
        <v>1985</v>
      </c>
      <c r="F6383" s="2" t="inlineStr">
        <is>
          <t>телефильм</t>
        </is>
      </c>
      <c r="G6383" s="2" t="n"/>
      <c r="H6383" s="2" t="n">
        <v>627</v>
      </c>
      <c r="I6383" s="2" t="inlineStr"/>
      <c r="J6383" s="2" t="inlineStr"/>
      <c r="K6383" s="3" t="inlineStr">
        <is>
          <t>Фильм рассказывает о революционной деятельности Ивана Бабушкина, его работе в качестве корреспондента революционной газеты «Искра», ссылке в Верхоянск, участии в революции 1905 года, когда Бабушкин был членом Иркутского и Читинского комитетов РСДРП, работе в социал-демократической газете «Забайкальский рабочий», руководстве Читинским вооружённым восстанием и гибели…
Картина — не приключенческая лента. Хотя сюжетная канва, подсказанная биографией Бабушкина, содержит, конечно, эпизоды, раскрывающие отвагу, решительность героя в столкновениях с царской охранкой. Но прежде всего это рассказ о профессиональном революционере.</t>
        </is>
      </c>
      <c r="L6383" s="2" t="inlineStr">
        <is>
          <t>https://ru.wikipedia.org/w/index.php?title=%D0%98%D0%B2%D0%B0%D0%BD_%D0%91%D0%B0%D0%B1%D1%83%D1%88%D0%BA%D0%B8%D0%BD_%28%D1%84%D0%B8%D0%BB%D1%8C%D0%BC%29&amp;oldid=149108480</t>
        </is>
      </c>
      <c r="M6383" s="2">
        <f>HYPERLINK("https://ru.wikipedia.org/w/index.php?search=%D0%98%D0%B2%D0%B0%D0%BD%20%D0%91%D0%B0%D0%B1%D1%83%D1%88%D0%BA%D0%B8%D0%BD%201985%20%D1%84%D0%B8%D0%BB%D1%8C%D0%BC","искать")</f>
        <v/>
      </c>
      <c r="N6383" s="3" t="n"/>
      <c r="O6383" s="2" t="n"/>
      <c r="P6383" s="2" t="n"/>
    </row>
    <row r="6384">
      <c r="A6384" s="2" t="n">
        <v>6383</v>
      </c>
      <c r="B6384" s="2" t="inlineStr"/>
      <c r="C6384" s="2" t="n">
        <v>11192</v>
      </c>
      <c r="D6384" s="3" t="inlineStr">
        <is>
          <t>Грамматика любви</t>
        </is>
      </c>
      <c r="E6384" s="2" t="n">
        <v>1988</v>
      </c>
      <c r="F6384" s="2" t="inlineStr">
        <is>
          <t>фильм-спектакль</t>
        </is>
      </c>
      <c r="G6384" s="2" t="inlineStr">
        <is>
          <t>Лентелефильм</t>
        </is>
      </c>
      <c r="H6384" s="2" t="n">
        <v>628</v>
      </c>
      <c r="I6384" s="2" t="inlineStr"/>
      <c r="J6384" s="2" t="inlineStr"/>
      <c r="K6384" s="3" t="inlineStr">
        <is>
          <t>Фильм-спектакль по рассказам И. Бунина “Таня”, “В Париже”, “Грамматика любви”, "Холодная осень" из цикла “Темные аллеи”.
Герой фильма, писатель средних лет, знакомится с эмигранткой из России, которая работает в русской столовой в Париже. Тоска по родине соединяет их. Они делятся своими воспоминаниями – единственным, и самым дорогим, что им осталось. Он рассказывает ей историю своей любви. Она – о своем женихе, который погиб на фронте в 14 году. Он – о невесте, с которой его разлучил февраль 17 года. Война становится основной темой, темой расставания в поздних произведениях писателя, а утрата любви – темой потери Родины.</t>
        </is>
      </c>
      <c r="L6384" s="2" t="inlineStr">
        <is>
          <t>https://www.kino-teatr.ru/teatr/movie/9906/annot/</t>
        </is>
      </c>
      <c r="M6384" s="2">
        <f>HYPERLINK("https://ru.wikipedia.org/w/index.php?search=%D0%93%D1%80%D0%B0%D0%BC%D0%BC%D0%B0%D1%82%D0%B8%D0%BA%D0%B0%20%D0%BB%D1%8E%D0%B1%D0%B2%D0%B8%201988%20%D1%84%D0%B8%D0%BB%D1%8C%D0%BC","искать")</f>
        <v/>
      </c>
      <c r="N6384" s="3" t="n"/>
      <c r="O6384" s="2" t="n"/>
      <c r="P6384" s="2" t="n"/>
    </row>
    <row r="6385">
      <c r="A6385" s="2" t="n">
        <v>6384</v>
      </c>
      <c r="B6385" s="2" t="inlineStr"/>
      <c r="C6385" s="2" t="n">
        <v>10640</v>
      </c>
      <c r="D6385" s="3" t="inlineStr">
        <is>
          <t>Вишнёвый сад</t>
        </is>
      </c>
      <c r="E6385" s="2" t="n">
        <v>1976</v>
      </c>
      <c r="F6385" s="2" t="inlineStr">
        <is>
          <t>фильм-спектакль</t>
        </is>
      </c>
      <c r="G6385" s="2" t="inlineStr">
        <is>
          <t>Гостелерадио СССР</t>
        </is>
      </c>
      <c r="H6385" s="2" t="n">
        <v>629</v>
      </c>
      <c r="I6385" s="2" t="inlineStr"/>
      <c r="J6385" s="2" t="inlineStr"/>
      <c r="K6385" s="3" t="inlineStr">
        <is>
          <t>По одноимённой пьесе А. П. Чехова.
Действие происходит в имении Любови Андреевны Раневской, вернувшейся из Франции с дочерью Аней. На станции их встречают брат Гаев и приемная дочь Варя. Денег у Раневской нет, и имение с вишнёвым садом может быть продано за долги. Купец Лопахин предлагает разбить землю на участки и сдавать их в аренду, что отказывается делать Раневская. Гаев и Лопахин уезжают в город на торги. Имение покупает Лопахин. В финале Раневская, Гаев, Аня и прислуга покидают имение. Лопахин собирается вырубить сад и отдать землю в аренду. Все уезжают и только старый больной слуга Фирс остаётся один в пустом доме.</t>
        </is>
      </c>
      <c r="L6385" s="2" t="inlineStr">
        <is>
          <t>https://ru.wikipedia.org/w/index.php?title=%D0%92%D0%B8%D1%88%D0%BD%D1%91%D0%B2%D1%8B%D0%B9_%D1%81%D0%B0%D0%B4_%28%D1%82%D0%B5%D0%BB%D0%B5%D1%81%D0%BF%D0%B5%D0%BA%D1%82%D0%B0%D0%BA%D0%BB%D1%8C%2C_1976%29&amp;oldid=155127955</t>
        </is>
      </c>
      <c r="M6385" s="2">
        <f>HYPERLINK("https://ru.wikipedia.org/w/index.php?search=%D0%92%D0%B8%D1%88%D0%BD%D1%91%D0%B2%D1%8B%D0%B9%20%D1%81%D0%B0%D0%B4%201976%20%D1%84%D0%B8%D0%BB%D1%8C%D0%BC","искать")</f>
        <v/>
      </c>
      <c r="N6385" s="3" t="n"/>
      <c r="O6385" s="2" t="n"/>
      <c r="P6385" s="2" t="n"/>
    </row>
    <row r="6386">
      <c r="A6386" s="2" t="n">
        <v>6385</v>
      </c>
      <c r="B6386" s="2" t="inlineStr"/>
      <c r="C6386" s="2" t="n">
        <v>9900</v>
      </c>
      <c r="D6386" s="3" t="inlineStr">
        <is>
          <t>Где это видано, где это слыхано</t>
        </is>
      </c>
      <c r="E6386" s="2" t="n">
        <v>1973</v>
      </c>
      <c r="F6386" s="2" t="inlineStr">
        <is>
          <t>телефильм</t>
        </is>
      </c>
      <c r="G6386" s="2" t="inlineStr">
        <is>
          <t>Ленфильм</t>
        </is>
      </c>
      <c r="H6386" s="2" t="n">
        <v>630</v>
      </c>
      <c r="I6386" s="2" t="inlineStr"/>
      <c r="J6386" s="2" t="inlineStr"/>
      <c r="K6386" s="3" t="inlineStr">
        <is>
          <t>В конце учебного года, на большом итоговом концерте, сразу после спектакля «Собаке — собачья смерть» выступает сатирический дуэт Дениса и Миши с небольшими песенками из школьной жизни. Белый как мел Миша так переволновался, что позабыл текст и, невзирая на подсказки, под громовой хохот зрительного зала всё время повторяет первый куплет, начинающийся словами «Папа у Васи силён в математике!».
Старшеклассница, ответственная за концерт, уводит незадачливого артиста за кулисы. Но, оставшись один, Денис перед падающими от смеха зрителями неожиданно для самого себя исполняет всё тот же куплет про сильного в математике отца Васи.</t>
        </is>
      </c>
      <c r="L6386" s="2" t="inlineStr">
        <is>
          <t>https://ru.wikipedia.org/w/index.php?title=%D0%93%D0%B4%D0%B5_%D1%8D%D1%82%D0%BE_%D0%B2%D0%B8%D0%B4%D0%B0%D0%BD%D0%BE%2C_%D0%B3%D0%B4%D0%B5_%D1%8D%D1%82%D0%BE_%D1%81%D0%BB%D1%8B%D1%85%D0%B0%D0%BD%D0%BE&amp;oldid=151436994</t>
        </is>
      </c>
      <c r="M6386" s="2">
        <f>HYPERLINK("https://ru.wikipedia.org/w/index.php?search=%D0%93%D0%B4%D0%B5%20%D1%8D%D1%82%D0%BE%20%D0%B2%D0%B8%D0%B4%D0%B0%D0%BD%D0%BE%2C%20%D0%B3%D0%B4%D0%B5%20%D1%8D%D1%82%D0%BE%20%D1%81%D0%BB%D1%8B%D1%85%D0%B0%D0%BD%D0%BE%201973%20%D1%84%D0%B8%D0%BB%D1%8C%D0%BC","искать")</f>
        <v/>
      </c>
      <c r="N6386" s="3" t="n"/>
      <c r="O6386" s="2" t="n"/>
      <c r="P6386" s="2" t="n"/>
    </row>
    <row r="6387">
      <c r="A6387" s="2" t="n">
        <v>6386</v>
      </c>
      <c r="B6387" s="2" t="inlineStr"/>
      <c r="C6387" s="2" t="n">
        <v>10005</v>
      </c>
      <c r="D6387" s="3" t="inlineStr">
        <is>
          <t>В. Давыдов и Голиаф</t>
        </is>
      </c>
      <c r="E6387" s="2" t="n">
        <v>1985</v>
      </c>
      <c r="F6387" s="2" t="inlineStr">
        <is>
          <t>телефильм</t>
        </is>
      </c>
      <c r="G6387" s="2" t="inlineStr">
        <is>
          <t>ТО "Экран"</t>
        </is>
      </c>
      <c r="H6387" s="2" t="n">
        <v>631</v>
      </c>
      <c r="I6387" s="2" t="inlineStr"/>
      <c r="J6387" s="2" t="inlineStr"/>
      <c r="K6387" s="3" t="inlineStr">
        <is>
          <t>Семиклассника Витю Давыдова отправляют на практику на завод. Его наставником назначают рабочего по кличке Голиаф. Тот дает школьнику задание – покрасить мотор. Мальчик справляется с задачей и жаждет новых дел. Но Голиаф отправляет его домой, а сам… выносит из стен предприятия свежевыкрашенный механизм - для поливки собственного сада. Витя становится этому свидетелем.
Кристально честный пионер, конечно же, против хищения государственной собственности! Он возвращает мотор на завод. Голиаф вновь забирает его, Витя – возвращает. Начинается настоящая война, в которой "несун" могучего телосложения терпит сокрушительное поражение!</t>
        </is>
      </c>
      <c r="L6387" s="2" t="inlineStr">
        <is>
          <t>https://www.kino-teatr.ru/short/movie/sov/792/annot/</t>
        </is>
      </c>
      <c r="M6387" s="2">
        <f>HYPERLINK("https://ru.wikipedia.org/w/index.php?search=%D0%92.%20%D0%94%D0%B0%D0%B2%D1%8B%D0%B4%D0%BE%D0%B2%20%D0%B8%20%D0%93%D0%BE%D0%BB%D0%B8%D0%B0%D1%84%201985%20%D1%84%D0%B8%D0%BB%D1%8C%D0%BC","искать")</f>
        <v/>
      </c>
      <c r="N6387" s="3" t="n"/>
      <c r="O6387" s="2" t="n"/>
      <c r="P6387" s="2" t="n"/>
    </row>
    <row r="6388">
      <c r="A6388" s="2" t="n">
        <v>6387</v>
      </c>
      <c r="B6388" s="2" t="inlineStr"/>
      <c r="C6388" s="2" t="n">
        <v>10478</v>
      </c>
      <c r="D6388" s="3" t="inlineStr">
        <is>
          <t>Школьный спектакль</t>
        </is>
      </c>
      <c r="E6388" s="2" t="n">
        <v>1972</v>
      </c>
      <c r="F6388" s="2" t="inlineStr">
        <is>
          <t>фильм-спектакль</t>
        </is>
      </c>
      <c r="G6388" s="2" t="inlineStr">
        <is>
          <t>Студия Центрального телевидения</t>
        </is>
      </c>
      <c r="H6388" s="2" t="n">
        <v>631</v>
      </c>
      <c r="I6388" s="2" t="inlineStr"/>
      <c r="J6388" s="2" t="inlineStr"/>
      <c r="K6388" s="3" t="inlineStr">
        <is>
          <t>Экранизация повести Вениамина Каверина.
Все началось с того, что четверо юношей выбрали себе одну и туже даму сердца - одноклассницу Варю Самарину. Из-за своих переживаний ребята совсем перестали учиться. Но в этот момент им на помощь пришел учитель литературы Андрей Данилович, он предложил своим ученикам поставить спектакль. Благодаря этой постановке ребята смогли разобраться в своих взаимоотношениях.
К несомненным плюсам "Школьного спектакля" относится и редкая возможность увидеть самого Вениамина Каверина - который появляется на экране со вступительным словом, и читает далее закадровый текст на протяжении всего действия.</t>
        </is>
      </c>
      <c r="L6388" s="2" t="inlineStr">
        <is>
          <t>https://www.kino-teatr.ru/teatr/movie/8008/annot/</t>
        </is>
      </c>
      <c r="M6388" s="2">
        <f>HYPERLINK("https://ru.wikipedia.org/w/index.php?search=%D0%A8%D0%BA%D0%BE%D0%BB%D1%8C%D0%BD%D1%8B%D0%B9%20%D1%81%D0%BF%D0%B5%D0%BA%D1%82%D0%B0%D0%BA%D0%BB%D1%8C%201972%20%D1%84%D0%B8%D0%BB%D1%8C%D0%BC","искать")</f>
        <v/>
      </c>
      <c r="N6388" s="3" t="n"/>
      <c r="O6388" s="2" t="n"/>
      <c r="P6388" s="2" t="n"/>
    </row>
    <row r="6389">
      <c r="A6389" s="2" t="n">
        <v>6388</v>
      </c>
      <c r="B6389" s="2" t="inlineStr"/>
      <c r="C6389" s="2" t="n">
        <v>10933</v>
      </c>
      <c r="D6389" s="3" t="inlineStr">
        <is>
          <t>Возчик Геншель</t>
        </is>
      </c>
      <c r="E6389" s="2" t="n">
        <v>1982</v>
      </c>
      <c r="F6389" s="2" t="inlineStr">
        <is>
          <t>фильм-спектакль</t>
        </is>
      </c>
      <c r="G6389" s="2" t="inlineStr">
        <is>
          <t>ТО "Экран"</t>
        </is>
      </c>
      <c r="H6389" s="2" t="n">
        <v>632</v>
      </c>
      <c r="I6389" s="2" t="inlineStr"/>
      <c r="J6389" s="2" t="inlineStr"/>
      <c r="K6389" s="3" t="inlineStr">
        <is>
          <t>По одноименной пьесе Г.Гауптмана в постановке Московского Художественного академического театра Союза ССР имени М.Горького.
«Возчик Геншель» — трагедия простого доброго человека, доведенного женой до самоубийства. Немецкий драматург Герхарт Гауптман открыл новый сценический прием — напряженность действия при кажущейся бездейственности. Многое не выражено словами, но прочитывается в паузах, жестах. Стилистика его пьес близка стилистике А. П. Чехова. «Возчик Геншель» в 1899 году был поставлен в Москве одновременно в трех театрах — МХТ, Малом и театре Корша. В 1981 году Владимир Салюк восстановил легендарный спектакль во МХАТе.</t>
        </is>
      </c>
      <c r="L6389" s="2" t="inlineStr">
        <is>
          <t>https://www.kino-teatr.ru/teatr/movie/17169/annot/</t>
        </is>
      </c>
      <c r="M6389" s="2">
        <f>HYPERLINK("https://ru.wikipedia.org/w/index.php?search=%D0%92%D0%BE%D0%B7%D1%87%D0%B8%D0%BA%20%D0%93%D0%B5%D0%BD%D1%88%D0%B5%D0%BB%D1%8C%201982%20%D1%84%D0%B8%D0%BB%D1%8C%D0%BC","искать")</f>
        <v/>
      </c>
      <c r="N6389" s="3" t="n"/>
      <c r="O6389" s="2" t="n"/>
      <c r="P6389" s="2" t="n"/>
    </row>
    <row r="6390">
      <c r="A6390" s="2" t="n">
        <v>6389</v>
      </c>
      <c r="B6390" s="2" t="inlineStr"/>
      <c r="C6390" s="2" t="n">
        <v>7592</v>
      </c>
      <c r="D6390" s="3" t="inlineStr">
        <is>
          <t>Женщина дня</t>
        </is>
      </c>
      <c r="E6390" s="2" t="n">
        <v>1989</v>
      </c>
      <c r="F6390" s="2" t="inlineStr">
        <is>
          <t>телефильм</t>
        </is>
      </c>
      <c r="G6390" s="2" t="n"/>
      <c r="H6390" s="2" t="n">
        <v>633</v>
      </c>
      <c r="I6390" s="2" t="inlineStr"/>
      <c r="J6390" s="2" t="inlineStr"/>
      <c r="K6390" s="3" t="inlineStr">
        <is>
          <t>Александра — молодая и красивая девушка, которая, однако, никак не может определиться в жизни — ни с местом учёбы и работы, ни с дружеским окружением, ни с личной жизнью. Она встречается c фотографом, которого любит, но он женат и все его обещания подать на развод остаются обещаниями.
Однажды вечером к ней в квартиру попадает молодой парень, который скрывается от бандитов. Он ранен, и Александра позволяет ему несколько дней пожить у неё. Александра проявляет к нему любопытство, перерастающее в интерес и нечто большее. Она хочет всё знать о парне, что в итоге приводит к тому, что она становится невольной виновницей его гибели.</t>
        </is>
      </c>
      <c r="L6390" s="2" t="inlineStr">
        <is>
          <t>https://ru.wikipedia.org/w/index.php?title=%D0%96%D0%B5%D0%BD%D1%89%D0%B8%D0%BD%D0%B0_%D0%B4%D0%BD%D1%8F&amp;oldid=154695641</t>
        </is>
      </c>
      <c r="M6390" s="2">
        <f>HYPERLINK("https://ru.wikipedia.org/w/index.php?search=%D0%96%D0%B5%D0%BD%D1%89%D0%B8%D0%BD%D0%B0%20%D0%B4%D0%BD%D1%8F%201989%20%D1%84%D0%B8%D0%BB%D1%8C%D0%BC","искать")</f>
        <v/>
      </c>
      <c r="N6390" s="3" t="n"/>
      <c r="O6390" s="2" t="n"/>
      <c r="P6390" s="2" t="n"/>
    </row>
    <row r="6391">
      <c r="A6391" s="2" t="n">
        <v>6390</v>
      </c>
      <c r="B6391" s="2" t="inlineStr"/>
      <c r="C6391" s="2" t="n">
        <v>11564</v>
      </c>
      <c r="D6391" s="3" t="inlineStr">
        <is>
          <t>Хочу бодаться</t>
        </is>
      </c>
      <c r="E6391" s="2" t="n">
        <v>1968</v>
      </c>
      <c r="F6391" s="2" t="inlineStr">
        <is>
          <t>мультфильм</t>
        </is>
      </c>
      <c r="G6391" s="2" t="inlineStr">
        <is>
          <t>Союзмультфильм</t>
        </is>
      </c>
      <c r="H6391" s="2" t="n">
        <v>633</v>
      </c>
      <c r="I6391" s="2" t="inlineStr"/>
      <c r="J6391" s="2" t="inlineStr"/>
      <c r="K6391" s="3" t="inlineStr">
        <is>
          <t>По мотивам трех сатирических сказок Сергея Михалкова. УСЛУЖЛИВЫЙ. Лось просит Зайца об услуге - разбудить его через полчаса, но Заяц так надоедает ему своим желанием услужить, что бедный Лось убегает. ДРУЗЬЯ В ПОХОДЕ. Отправляются в поход Лиса, Кабан и Бобер. Лиса и Кабан надеются, что всю трудную работу будет исполнять Бобер, но тот скоро понял, с кем имеет дело и, оставив тяжелый рюкзак, уходит. ХОЧУ БОДАТЬСЯ. С такими словами пристает ко всем обитателям двора маленький Козленок, но все заняты своим делом и не обращают на него внимания. И только Щенок принимает вызов - с криком "А я хочу кусаться!" - он бросается на Козлика</t>
        </is>
      </c>
      <c r="L6391" s="2" t="inlineStr">
        <is>
          <t>https://gosfilmofond.ru/films/246689/</t>
        </is>
      </c>
      <c r="M6391" s="2">
        <f>HYPERLINK("https://ru.wikipedia.org/w/index.php?search=%D0%A5%D0%BE%D1%87%D1%83%20%D0%B1%D0%BE%D0%B4%D0%B0%D1%82%D1%8C%D1%81%D1%8F%201968%20%D1%84%D0%B8%D0%BB%D1%8C%D0%BC","искать")</f>
        <v/>
      </c>
      <c r="N6391" s="3" t="n"/>
      <c r="O6391" s="2" t="n"/>
      <c r="P6391" s="2" t="n"/>
    </row>
    <row r="6392">
      <c r="A6392" s="2" t="n">
        <v>6391</v>
      </c>
      <c r="B6392" s="2" t="inlineStr"/>
      <c r="C6392" s="2" t="n">
        <v>7380</v>
      </c>
      <c r="D6392" s="3" t="inlineStr">
        <is>
          <t>Вот моя деревня</t>
        </is>
      </c>
      <c r="E6392" s="2" t="n">
        <v>1972</v>
      </c>
      <c r="F6392" s="2" t="inlineStr">
        <is>
          <t>телефильм</t>
        </is>
      </c>
      <c r="G6392" s="2" t="n"/>
      <c r="H6392" s="2" t="n">
        <v>634</v>
      </c>
      <c r="I6392" s="2" t="inlineStr"/>
      <c r="J6392" s="2" t="inlineStr"/>
      <c r="K6392" s="3" t="inlineStr">
        <is>
          <t>Двое друзей с упоением читают «Приключения Шерлока Холмса» и используют, с разрешения директора школы, дедуктивный метод при розыске пропавшего классного журнала.
Тот же метод помогает им узнать истинную причину похищения дорогого охотничьего ружья у приехавшего в гости к их односельчанам городского родственника. На поверку ружьё оказалось не слишком дорогим и его никто не похищал, — но расследование всё равно получилось увлекательным.
По просьбе деда Антона, ребята, ставшие знаменитыми в своей деревне сыщиками, помогают доказать культурную значимость его старого дома и добиваются организации в нём музея деревянного зодчества.</t>
        </is>
      </c>
      <c r="L6392" s="2" t="inlineStr">
        <is>
          <t>https://ru.wikipedia.org/w/index.php?title=%D0%92%D0%BE%D1%82_%D0%BC%D0%BE%D1%8F_%D0%B4%D0%B5%D1%80%D0%B5%D0%B2%D0%BD%D1%8F_%28%D1%84%D0%B8%D0%BB%D1%8C%D0%BC%2C_1972%29&amp;oldid=142767976</t>
        </is>
      </c>
      <c r="M6392" s="2">
        <f>HYPERLINK("https://ru.wikipedia.org/w/index.php?search=%D0%92%D0%BE%D1%82%20%D0%BC%D0%BE%D1%8F%20%D0%B4%D0%B5%D1%80%D0%B5%D0%B2%D0%BD%D1%8F%201972%20%D1%84%D0%B8%D0%BB%D1%8C%D0%BC","искать")</f>
        <v/>
      </c>
      <c r="N6392" s="3" t="n"/>
      <c r="O6392" s="2" t="n"/>
      <c r="P6392" s="2" t="n"/>
    </row>
    <row r="6393">
      <c r="A6393" s="2" t="n">
        <v>6392</v>
      </c>
      <c r="B6393" s="2" t="inlineStr"/>
      <c r="C6393" s="2" t="n">
        <v>8266</v>
      </c>
      <c r="D6393" s="3" t="inlineStr">
        <is>
          <t>Рассмешите клоуна</t>
        </is>
      </c>
      <c r="E6393" s="2" t="n">
        <v>1984</v>
      </c>
      <c r="F6393" s="2" t="inlineStr">
        <is>
          <t>телефильм</t>
        </is>
      </c>
      <c r="G6393" s="2" t="n"/>
      <c r="H6393" s="2" t="n">
        <v>634</v>
      </c>
      <c r="I6393" s="2" t="inlineStr"/>
      <c r="J6393" s="2" t="inlineStr"/>
      <c r="K6393" s="3" t="inlineStr">
        <is>
          <t>В Киев на длительные гастроли приезжает цирковая труппа. Ковёрный клоун труппы Вовчик, откровенно говоря, звёзд с неба никогда не хватал. Начальство недовольно им, требует новых реприз, побольше фантазии. На премьере происходит неожиданный случай. Одна из зрительниц, обыкновенная работница общепита, женщина средних лет по имени Галя, поспорив со своим спутником, проявила ненужную инициативу и сама напросилась выйти на арену вместо клоунской «подсадки». Вовчик был вынужден пригласить её на арену. Вероятно, в этот момент артист не подозревал, что это судьба. С этого началось их творческое сотрудничество, а затем и нечто большее.</t>
        </is>
      </c>
      <c r="L6393" s="2" t="inlineStr">
        <is>
          <t>https://ru.wikipedia.org/w/index.php?title=%D0%A0%D0%B0%D1%81%D1%81%D0%BC%D0%B5%D1%88%D0%B8%D1%82%D0%B5_%D0%BA%D0%BB%D0%BE%D1%83%D0%BD%D0%B0&amp;oldid=145877381</t>
        </is>
      </c>
      <c r="M6393" s="2">
        <f>HYPERLINK("https://ru.wikipedia.org/w/index.php?search=%D0%A0%D0%B0%D1%81%D1%81%D0%BC%D0%B5%D1%88%D0%B8%D1%82%D0%B5%20%D0%BA%D0%BB%D0%BE%D1%83%D0%BD%D0%B0%201984%20%D1%84%D0%B8%D0%BB%D1%8C%D0%BC","искать")</f>
        <v/>
      </c>
      <c r="N6393" s="3" t="n"/>
      <c r="O6393" s="2" t="n"/>
      <c r="P6393" s="2" t="n"/>
    </row>
    <row r="6394">
      <c r="A6394" s="2" t="n">
        <v>6393</v>
      </c>
      <c r="B6394" s="2" t="inlineStr"/>
      <c r="C6394" s="2" t="n">
        <v>7487</v>
      </c>
      <c r="D6394" s="3" t="inlineStr">
        <is>
          <t>Двойники</t>
        </is>
      </c>
      <c r="E6394" s="2" t="n">
        <v>1982</v>
      </c>
      <c r="F6394" s="2" t="inlineStr">
        <is>
          <t>телефильм</t>
        </is>
      </c>
      <c r="G6394" s="2" t="n"/>
      <c r="H6394" s="2" t="n">
        <v>635</v>
      </c>
      <c r="I6394" s="2" t="inlineStr"/>
      <c r="J6394" s="2" t="inlineStr"/>
      <c r="K6394" s="3" t="inlineStr">
        <is>
          <t>Молодая журналистка Тийна Салум готовит статью о раллийных гонщиках и внезапно «узнаёт» в автогонщике Мати Уибо певца Тоомаса Аринга. Тийна рассказывает о своём «открытии» редактору, и в газете публикуется «сенсация». Салум отправляют в командировку в Крым, туда же, каждый по своим делам, отправляются и Уибо и Аринг. И в дороге и в Крыму происходят вызывающие водоворот ошибок и путаницу поочерёдные встречи журналистки с двойниками (певцом и автогонщиком), в результате которых в Тийну влюбляются и Тоомас и Мати. Когда Тийна отправляется из Крыма в Таллин, двойники срываются следом за ней. Кто же станет победителем в гонке любви?</t>
        </is>
      </c>
      <c r="L6394" s="2" t="inlineStr">
        <is>
          <t>https://ru.wikipedia.org/w/index.php?title=%D0%94%D0%B2%D0%BE%D0%B9%D0%BD%D0%B8%D0%BA%D0%B8_%28%D1%84%D0%B8%D0%BB%D1%8C%D0%BC%2C_1982%29&amp;oldid=144828216</t>
        </is>
      </c>
      <c r="M6394" s="2">
        <f>HYPERLINK("https://ru.wikipedia.org/w/index.php?search=%D0%94%D0%B2%D0%BE%D0%B9%D0%BD%D0%B8%D0%BA%D0%B8%201982%20%D1%84%D0%B8%D0%BB%D1%8C%D0%BC","искать")</f>
        <v/>
      </c>
      <c r="N6394" s="3" t="n"/>
      <c r="O6394" s="2" t="n"/>
      <c r="P6394" s="2" t="n"/>
    </row>
    <row r="6395">
      <c r="A6395" s="2" t="n">
        <v>6394</v>
      </c>
      <c r="B6395" s="2" t="inlineStr"/>
      <c r="C6395" s="2" t="n">
        <v>10908</v>
      </c>
      <c r="D6395" s="3" t="inlineStr">
        <is>
          <t>Р РѕРґСЃС‚РІРµРЅРЅРёРєРё</t>
        </is>
      </c>
      <c r="E6395" s="2" t="n">
        <v>1981</v>
      </c>
      <c r="F6395" s="2" t="inlineStr">
        <is>
          <t>фильм-спектакль</t>
        </is>
      </c>
      <c r="G6395" s="2" t="n"/>
      <c r="H6395" s="2" t="n">
        <v>636</v>
      </c>
      <c r="I6395" s="2" t="inlineStr"/>
      <c r="J6395" s="2" t="inlineStr"/>
      <c r="K6395" s="3" t="inlineStr">
        <is>
          <t>РџРѕ РѕРґРЅРѕРёРјРµРЅРЅРѕР№ РїСЊРµСЃРµ Р­РјРёР»СЏ Р‘СЂР°РіРёРЅСЃРєРѕРіРѕ Рё Р­Р»СЊРґР°СЂР° Р СЏР·Р°РЅРѕРІР° РІ РїРѕСЃС‚Р°РЅРѕРІРєРµ РњРѕСЃРєРѕРІСЃРєРѕРіРѕ Р°РєР°РґРµРјРёС‡РµСЃРєРѕРіРѕ С‚РµР°С‚СЂР° РёРј. Р’Р». РњР°СЏРєРѕРІСЃРєРѕРіРѕ.
РќР°С‡РёРЅР°СЋС‰РёР№ С„РѕС‚РѕРіСЂР°С„ Р—Р°РїР»Р°С‚РёРЅ РёР· РєР°СЂСЊРµСЂРёСЃС‚СЃРєРёС… РїРѕР±СѓР¶РґРµРЅРёР№ СѓС…Р°Р¶РёРІР°РµС‚ Р·Р° СЂРѕРґСЃС‚РІРµРЅРЅРёС†РµР№ С‡РµР»РѕРІРµРєР°, Р·Р°РЅРёРјР°СЋС‰РµРіРѕ РІС‹СЃРѕРєРёР№ РґРѕР»Р¶РЅРѕСЃС‚РЅРѕР№ РїРѕСЃС‚. Р’Рѕ РёРјСЏ СЌС‚РѕРіРѕ РѕРЅ СЂР°СЃСЃС‚Р°РµС‚СЃСЏ СЃРѕ СЃРІРѕРµР№ РЅРµРІРµСЃС‚РѕР№. РќРѕ РїР»Р°РЅР°Рј Р—Р°РїР»Р°С‚РёРЅР° РЅРµ СЃСѓР¶РґРµРЅРѕ СЃР±С‹С‚СЊСЃСЏ.</t>
        </is>
      </c>
      <c r="L6395" s="2" t="inlineStr">
        <is>
          <t>https://www.kino-teatr.ru/teatr/movie/12043/annot/</t>
        </is>
      </c>
      <c r="M6395" s="2">
        <f>HYPERLINK("https://ru.wikipedia.org/w/index.php?search=%D0%A0%20%D0%A0%D1%95%D0%A0%D2%91%D0%A1%D0%83%D0%A1%E2%80%9A%D0%A0%D0%86%D0%A0%C2%B5%D0%A0%D0%85%D0%A0%D0%85%D0%A0%D1%91%D0%A0%D1%94%D0%A0%D1%91%201981%20%D1%84%D0%B8%D0%BB%D1%8C%D0%BC","искать")</f>
        <v/>
      </c>
      <c r="N6395" s="3" t="n"/>
      <c r="O6395" s="2" t="n"/>
      <c r="P6395" s="2" t="n"/>
    </row>
    <row r="6396">
      <c r="A6396" s="2" t="n">
        <v>6395</v>
      </c>
      <c r="B6396" s="2" t="inlineStr"/>
      <c r="C6396" s="2" t="n">
        <v>8166</v>
      </c>
      <c r="D6396" s="3" t="inlineStr">
        <is>
          <t>Последнее лето детства</t>
        </is>
      </c>
      <c r="E6396" s="2" t="n">
        <v>1974</v>
      </c>
      <c r="F6396" s="2" t="inlineStr">
        <is>
          <t>телефильм</t>
        </is>
      </c>
      <c r="G6396" s="2" t="n"/>
      <c r="H6396" s="2" t="n">
        <v>638</v>
      </c>
      <c r="I6396" s="2" t="inlineStr"/>
      <c r="J6396" s="2" t="inlineStr"/>
      <c r="K6396" s="3" t="inlineStr">
        <is>
          <t>Действие фильма происходит в Москве в 1925 году, во времена НЭПа. Трое главных героев — Миша, Генка и Слава — выросли и стали комсомольцами. В их дворе происходит убийство — ночью застрелили инженера Зимина. Главным подозреваемым оказывается местный хулиган. Тем не менее Миша отказывается безоговорочно поверить в его вину и пытается самостоятельно найти доказательства. Занимаясь расследованием, ему удаётся не только выйти на след банды, причастной к убийству, но и прервать цепь хищений, которые совершались на мануфактуре, где работал Зимин. Ему также удаётся спасти нескольких беспризорников от вовлечения в преступную деятельность.</t>
        </is>
      </c>
      <c r="L6396" s="2" t="inlineStr">
        <is>
          <t>https://ru.wikipedia.org/w/index.php?title=%D0%9F%D0%BE%D1%81%D0%BB%D0%B5%D0%B4%D0%BD%D0%B5%D0%B5_%D0%BB%D0%B5%D1%82%D0%BE_%D0%B4%D0%B5%D1%82%D1%81%D1%82%D0%B2%D0%B0&amp;oldid=150957774</t>
        </is>
      </c>
      <c r="M6396" s="2">
        <f>HYPERLINK("https://ru.wikipedia.org/w/index.php?search=%D0%9F%D0%BE%D1%81%D0%BB%D0%B5%D0%B4%D0%BD%D0%B5%D0%B5%20%D0%BB%D0%B5%D1%82%D0%BE%20%D0%B4%D0%B5%D1%82%D1%81%D1%82%D0%B2%D0%B0%201974%20%D1%84%D0%B8%D0%BB%D1%8C%D0%BC","искать")</f>
        <v/>
      </c>
      <c r="N6396" s="3" t="n"/>
      <c r="O6396" s="2" t="n"/>
      <c r="P6396" s="2" t="n"/>
    </row>
    <row r="6397">
      <c r="A6397" s="2" t="n">
        <v>6396</v>
      </c>
      <c r="B6397" s="2" t="inlineStr"/>
      <c r="C6397" s="2" t="n">
        <v>10870</v>
      </c>
      <c r="D6397" s="3" t="inlineStr">
        <is>
          <t>Художник из Шервудского леса</t>
        </is>
      </c>
      <c r="E6397" s="2" t="n">
        <v>1980</v>
      </c>
      <c r="F6397" s="2" t="inlineStr">
        <is>
          <t>фильм-спектакль</t>
        </is>
      </c>
      <c r="G6397" s="2" t="n"/>
      <c r="H6397" s="2" t="n">
        <v>639</v>
      </c>
      <c r="I6397" s="2" t="inlineStr"/>
      <c r="J6397" s="2" t="inlineStr"/>
      <c r="K6397" s="3" t="inlineStr">
        <is>
          <t>Оставаясь верным духу народных баллад, автор создал оригинальное произведение «Художник из Шервудского леса».
В нем действуют известные по народному эпосу друзья и враги Робина, но появились и новые лица. Прежде всего Мария — дочка лорда-шерифа, в которую, несмотря на верную и прекрасную подругу Мэриан, влюбился Робин. Легко понять основную пружину сюжета, развитие которого невозможно без вечных столкновений добра и зла, ума и глупости, коварной хитрости и прямоты.
В этой комедии - масса веселых эпизодов, много музыки, танцев, песен, а финал — торжество справедливости.
В спектакле звучат 12 баллад Юрия Буцко на стихи Вадима Левина.</t>
        </is>
      </c>
      <c r="L6397" s="2" t="inlineStr">
        <is>
          <t>https://www.kino-teatr.ru/teatr/movie/93175/annot/</t>
        </is>
      </c>
      <c r="M6397" s="2">
        <f>HYPERLINK("https://ru.wikipedia.org/w/index.php?search=%D0%A5%D1%83%D0%B4%D0%BE%D0%B6%D0%BD%D0%B8%D0%BA%20%D0%B8%D0%B7%20%D0%A8%D0%B5%D1%80%D0%B2%D1%83%D0%B4%D1%81%D0%BA%D0%BE%D0%B3%D0%BE%20%D0%BB%D0%B5%D1%81%D0%B0%201980%20%D1%84%D0%B8%D0%BB%D1%8C%D0%BC","искать")</f>
        <v/>
      </c>
      <c r="N6397" s="3" t="n"/>
      <c r="O6397" s="2" t="n"/>
      <c r="P6397" s="2" t="n"/>
    </row>
    <row r="6398">
      <c r="A6398" s="2" t="n">
        <v>6397</v>
      </c>
      <c r="B6398" s="2" t="inlineStr"/>
      <c r="C6398" s="2" t="n">
        <v>8409</v>
      </c>
      <c r="D6398" s="3" t="inlineStr">
        <is>
          <t>Странные взрослые</t>
        </is>
      </c>
      <c r="E6398" s="2" t="n">
        <v>1974</v>
      </c>
      <c r="F6398" s="2" t="inlineStr">
        <is>
          <t>телефильм</t>
        </is>
      </c>
      <c r="G6398" s="2" t="n"/>
      <c r="H6398" s="2" t="n">
        <v>641</v>
      </c>
      <c r="I6398" s="2" t="inlineStr"/>
      <c r="J6398" s="2" t="inlineStr"/>
      <c r="K6398" s="3" t="inlineStr">
        <is>
          <t>На глазах театрального осветителя Петра Рябикова девочка-первоклассница перебегает дорогу перед близко идущей поливальной машиной. Пётр перехватывает её и, желая наказать, решает отвести её домой, к родителям. Однако когда он её туда отводит, то выясняется, что это детский дом, а девочка, которую друзья зовут Тоней (её настоящее имя — Джульетта), — сирота. Пётр уже немолод, живёт в коммунальной квартире, у него есть жена, но нет детей. Чувствуя также некоторую вину перед Тоней, он желает её удочерить. Так в большой квартире, где до этого жили только взрослые, появляется маленькая девочка, которая полностью меняет их монотонную жизнь.</t>
        </is>
      </c>
      <c r="L6398" s="2" t="inlineStr">
        <is>
          <t>https://ru.wikipedia.org/w/index.php?title=%D0%A1%D1%82%D1%80%D0%B0%D0%BD%D0%BD%D1%8B%D0%B5_%D0%B2%D0%B7%D1%80%D0%BE%D1%81%D0%BB%D1%8B%D0%B5&amp;oldid=154562548</t>
        </is>
      </c>
      <c r="M6398" s="2">
        <f>HYPERLINK("https://ru.wikipedia.org/w/index.php?search=%D0%A1%D1%82%D1%80%D0%B0%D0%BD%D0%BD%D1%8B%D0%B5%20%D0%B2%D0%B7%D1%80%D0%BE%D1%81%D0%BB%D1%8B%D0%B5%201974%20%D1%84%D0%B8%D0%BB%D1%8C%D0%BC","искать")</f>
        <v/>
      </c>
      <c r="N6398" s="3" t="n"/>
      <c r="O6398" s="2" t="n"/>
      <c r="P6398" s="2" t="n"/>
    </row>
    <row r="6399">
      <c r="A6399" s="2" t="n">
        <v>6398</v>
      </c>
      <c r="B6399" s="2" t="inlineStr"/>
      <c r="C6399" s="2" t="n">
        <v>9948</v>
      </c>
      <c r="D6399" s="3" t="inlineStr">
        <is>
          <t>Аистёнок</t>
        </is>
      </c>
      <c r="E6399" s="2" t="n">
        <v>1980</v>
      </c>
      <c r="F6399" s="2" t="inlineStr">
        <is>
          <t>телефильм</t>
        </is>
      </c>
      <c r="G6399" s="2" t="inlineStr">
        <is>
          <t>Белорусское телевидение</t>
        </is>
      </c>
      <c r="H6399" s="2" t="n">
        <v>641</v>
      </c>
      <c r="I6399" s="2" t="inlineStr"/>
      <c r="J6399" s="2" t="inlineStr"/>
      <c r="K6399" s="3" t="inlineStr">
        <is>
          <t>Фильм рассказывает о летних приключениях десятилетнего Васьки, которого в родной деревне прозвали Конструктором за то, что он все время что-то изобретал или усовершенствовал. Его любимым занятием было мастерить и запускать воздушных змеев. Но втайне мальчишка мечтал когда-нибудь научиться летать. И однажды деятельный Васька предложил своему закадычному другу Мухомору вместе строить дельтаплан.
"Плодотворно работает в этот период (1970-80) в жанре теленовеллы и Валерий Басов. Придя из теледокументалистики, он принес в игровое телекино внимание к правде детали, документальной правдивости фактуры интерьеров, костюмов, поведения героев."</t>
        </is>
      </c>
      <c r="L6399" s="2" t="inlineStr">
        <is>
          <t>https://www.kino-teatr.ru/short/movie/sov/16380/annot/</t>
        </is>
      </c>
      <c r="M6399" s="2">
        <f>HYPERLINK("https://ru.wikipedia.org/w/index.php?search=%D0%90%D0%B8%D1%81%D1%82%D1%91%D0%BD%D0%BE%D0%BA%201980%20%D1%84%D0%B8%D0%BB%D1%8C%D0%BC","искать")</f>
        <v/>
      </c>
      <c r="N6399" s="3" t="n"/>
      <c r="O6399" s="2" t="n"/>
      <c r="P6399" s="2" t="n"/>
    </row>
    <row r="6400">
      <c r="A6400" s="2" t="n">
        <v>6399</v>
      </c>
      <c r="B6400" s="2" t="inlineStr"/>
      <c r="C6400" s="2" t="n">
        <v>12461</v>
      </c>
      <c r="D6400" s="3" t="inlineStr">
        <is>
          <t>Музыкальные картинки</t>
        </is>
      </c>
      <c r="E6400" s="2" t="n">
        <v>1968</v>
      </c>
      <c r="F6400" s="2" t="inlineStr">
        <is>
          <t>мультфильм</t>
        </is>
      </c>
      <c r="G6400" s="2" t="inlineStr">
        <is>
          <t>КИЕВНАУЧФИЛЬМ</t>
        </is>
      </c>
      <c r="H6400" s="2" t="n">
        <v>641</v>
      </c>
      <c r="I6400" s="2" t="inlineStr"/>
      <c r="J6400" s="2" t="inlineStr"/>
      <c r="K6400" s="3" t="inlineStr">
        <is>
          <t>Фильм состоит из трех миниатюр, созданных по мотивам сказок из сборника Ревуцкого "Солнышко".
НЕПОСЛУШНЫЙ. Барашек, убежав от мамы, не знает, как к ней вернуться. И только по опустившейся радуге перебегает к ней через речку.
ХВАСТУНЬЯ. Позавидовав яркой, красивой бабочке, серенькая птичка украшает себя цветами и ветками. Но недолго ей удается так красоваться, цветы и ветки опадают, и птичка опять оказывается невзрачной, серенькой.
ЧУДИЩЕ. Чудище погналось за жеребенком, но тот позвал на помощь других жеребят, и все вместе они побеждают чудище.
В фильме использованы мотивы работ украинских народных мастеров изобразительного искусства.</t>
        </is>
      </c>
      <c r="L6400" s="2" t="inlineStr">
        <is>
          <t>https://gosfilmofond.ru/films/254318/</t>
        </is>
      </c>
      <c r="M6400" s="2">
        <f>HYPERLINK("https://ru.wikipedia.org/w/index.php?search=%D0%9C%D1%83%D0%B7%D1%8B%D0%BA%D0%B0%D0%BB%D1%8C%D0%BD%D1%8B%D0%B5%20%D0%BA%D0%B0%D1%80%D1%82%D0%B8%D0%BD%D0%BA%D0%B8%201968%20%D1%84%D0%B8%D0%BB%D1%8C%D0%BC","искать")</f>
        <v/>
      </c>
      <c r="N6400" s="3" t="n"/>
      <c r="O6400" s="2" t="n"/>
      <c r="P6400" s="2" t="n"/>
    </row>
    <row r="6401">
      <c r="A6401" s="2" t="n">
        <v>6400</v>
      </c>
      <c r="B6401" s="2" t="inlineStr"/>
      <c r="C6401" s="2" t="n">
        <v>10368</v>
      </c>
      <c r="D6401" s="3" t="inlineStr">
        <is>
          <t>Свои люди — сочтёмся</t>
        </is>
      </c>
      <c r="E6401" s="2" t="n">
        <v>1970</v>
      </c>
      <c r="F6401" s="2" t="inlineStr">
        <is>
          <t>фильм-спектакль</t>
        </is>
      </c>
      <c r="G6401" s="2" t="inlineStr">
        <is>
          <t>Студия ЦТ</t>
        </is>
      </c>
      <c r="H6401" s="2" t="n">
        <v>642</v>
      </c>
      <c r="I6401" s="2" t="inlineStr"/>
      <c r="J6401" s="2" t="inlineStr"/>
      <c r="K6401" s="3" t="inlineStr">
        <is>
          <t>Бессмертная комедия рассказывает нам о мире, в котором царит обман, и если мошенник бывает наказан, то только потому, что его обманывает еще больший плут.
Очень хитро поступил купец Большов, объявив себя банкротом и положившись во всем на своего преданного приказчика. Да только не перехитрил ли он самого себя? Случается, плут сталкивается с еще более искусным плутом — и эта история, рассказанная Островским, не теряет, к сожалению, своей актуальности.
О честности и ее отсутствии, о неблагодарности и предательстве и о том, как человек может перехитрить самого себя — комедия Островского "Свои люди — сочтемся!" в постановке Малого театра.</t>
        </is>
      </c>
      <c r="L6401" s="2" t="inlineStr">
        <is>
          <t>https://www.kino-teatr.ru/teatr/movie/82107/annot/</t>
        </is>
      </c>
      <c r="M6401" s="2">
        <f>HYPERLINK("https://ru.wikipedia.org/w/index.php?search=%D0%A1%D0%B2%D0%BE%D0%B8%20%D0%BB%D1%8E%D0%B4%D0%B8%20%E2%80%94%20%D1%81%D0%BE%D1%87%D1%82%D1%91%D0%BC%D1%81%D1%8F%201970%20%D1%84%D0%B8%D0%BB%D1%8C%D0%BC","искать")</f>
        <v/>
      </c>
      <c r="N6401" s="3" t="n"/>
      <c r="O6401" s="2" t="n"/>
      <c r="P6401" s="2" t="n"/>
    </row>
    <row r="6402">
      <c r="A6402" s="2" t="n">
        <v>6401</v>
      </c>
      <c r="B6402" s="2" t="inlineStr"/>
      <c r="C6402" s="2" t="n">
        <v>10749</v>
      </c>
      <c r="D6402" s="3" t="inlineStr">
        <is>
          <t>Капитанская дочка</t>
        </is>
      </c>
      <c r="E6402" s="2" t="n">
        <v>1978</v>
      </c>
      <c r="F6402" s="2" t="inlineStr">
        <is>
          <t>фильм-спектакль</t>
        </is>
      </c>
      <c r="G6402" s="2" t="n"/>
      <c r="H6402" s="2" t="n">
        <v>642</v>
      </c>
      <c r="I6402" s="2" t="inlineStr"/>
      <c r="J6402" s="2" t="inlineStr"/>
      <c r="K6402" s="3" t="inlineStr">
        <is>
          <t>Молодой дворянин Пётр Гринёв направляется на службу в Белогорскую крепость. В гарнизоне он влюбляется в дочь капитана Миронова Машу и дерётся из-за неё на дуэли с офицером Швабриным. Чувства Маши ответны, но родители Гринёва против брака своего сына.
После захвата крепости Емельян Пугачёв расправляется с капитаном Мироновым и его женой, Маше удаётся спастись. Гринёву также оставлена жизнь, так как в своё время он по-человечески отнёсся к предводителю восстания.
Испытывающий к Гринёву ненависть Швабрин доносит на юношу после разгрома бунта, и того арестовывают за государственную измену. Маша просит императрицу помиловать возлюбленного.</t>
        </is>
      </c>
      <c r="L6402" s="2" t="inlineStr">
        <is>
          <t>https://ru.wikipedia.org/w/index.php?title=%D0%9A%D0%B0%D0%BF%D0%B8%D1%82%D0%B0%D0%BD%D1%81%D0%BA%D0%B0%D1%8F_%D0%B4%D0%BE%D1%87%D0%BA%D0%B0_%28%D1%82%D0%B5%D0%BB%D0%B5%D1%81%D0%BF%D0%B5%D0%BA%D1%82%D0%B0%D0%BA%D0%BB%D1%8C%29&amp;oldid=153420146</t>
        </is>
      </c>
      <c r="M6402" s="2">
        <f>HYPERLINK("https://ru.wikipedia.org/w/index.php?search=%D0%9A%D0%B0%D0%BF%D0%B8%D1%82%D0%B0%D0%BD%D1%81%D0%BA%D0%B0%D1%8F%20%D0%B4%D0%BE%D1%87%D0%BA%D0%B0%201978%20%D1%84%D0%B8%D0%BB%D1%8C%D0%BC","искать")</f>
        <v/>
      </c>
      <c r="N6402" s="3" t="n"/>
      <c r="O6402" s="2" t="n"/>
      <c r="P6402" s="2" t="n"/>
    </row>
    <row r="6403">
      <c r="A6403" s="2" t="n">
        <v>6402</v>
      </c>
      <c r="B6403" s="2" t="inlineStr"/>
      <c r="C6403" s="2" t="n">
        <v>9223</v>
      </c>
      <c r="D6403" s="3" t="inlineStr">
        <is>
          <t>Без мундира</t>
        </is>
      </c>
      <c r="E6403" s="2" t="n">
        <v>1988</v>
      </c>
      <c r="F6403" s="2" t="inlineStr">
        <is>
          <t>кинофильм</t>
        </is>
      </c>
      <c r="G6403" s="2" t="n"/>
      <c r="H6403" s="2" t="n">
        <v>646</v>
      </c>
      <c r="I6403" s="2" t="inlineStr"/>
      <c r="J6403" s="2" t="inlineStr"/>
      <c r="K6403" s="3" t="inlineStr">
        <is>
          <t>Перестроечный фильм повествует о начальнике некоей (в реальности не существующей) железной дороги, пытающегося провести эксперимент со сверхдлинным грузовым поездом, несмотря на все преграды, выставляемые «министерской машиной», расхлябанностью сотрудников, семейными проблемами и просто случайностями (образно обрисованы накопившиеся проблемы времён Застоя).
Рекордный поезд застопорен на тупиковой ветке неудачно прошедшей обычной электричкой. Все выезды с вокзала задерживаются.
Тем временем в зале ожидания "нарастает протест" (сопровождается рок-музыкой).
В конце концов, поезд всё же будет отправлен, но от него оторвутся несколько вагонов.</t>
        </is>
      </c>
      <c r="L6403" s="2" t="inlineStr">
        <is>
          <t>https://ru.wikipedia.org/w/index.php?title=%D0%91%D0%B5%D0%B7_%D0%BC%D1%83%D0%BD%D0%B4%D0%B8%D1%80%D0%B0&amp;oldid=152577925</t>
        </is>
      </c>
      <c r="M6403" s="2">
        <f>HYPERLINK("https://ru.wikipedia.org/w/index.php?search=%D0%91%D0%B5%D0%B7%20%D0%BC%D1%83%D0%BD%D0%B4%D0%B8%D1%80%D0%B0%201988%20%D1%84%D0%B8%D0%BB%D1%8C%D0%BC","искать")</f>
        <v/>
      </c>
      <c r="N6403" s="3" t="n"/>
      <c r="O6403" s="2" t="n"/>
      <c r="P6403" s="2" t="n"/>
    </row>
    <row r="6404">
      <c r="A6404" s="2" t="n">
        <v>6403</v>
      </c>
      <c r="B6404" s="2" t="inlineStr"/>
      <c r="C6404" s="2" t="n">
        <v>9780</v>
      </c>
      <c r="D6404" s="3" t="inlineStr">
        <is>
          <t>Это было в Шугле</t>
        </is>
      </c>
      <c r="E6404" s="2" t="n">
        <v>1955</v>
      </c>
      <c r="F6404" s="2" t="inlineStr">
        <is>
          <t>кинофильм</t>
        </is>
      </c>
      <c r="G6404" s="2" t="n"/>
      <c r="H6404" s="2" t="n">
        <v>647</v>
      </c>
      <c r="I6404" s="2" t="inlineStr"/>
      <c r="J6404" s="2" t="inlineStr"/>
      <c r="K6404" s="3" t="inlineStr">
        <is>
          <t>Благодаря стараниям председателя Тельгары Темирбекова колхоз Шугылы экономически окреп, стал передовым в районе. Но успех вскружил ему голову, он зазнался, перестал прислуживаться к мнению колхозников, окружил себя подхалимами, что сказалось на показателях колхоза: падёж скота, снизижение урожайность зерновых. Направленные на работу в колхооз молодой агроном Бахитжан и ветфельдшер Ксюша идут наперекор председателю, в этом их поддерживает уважаемый колхозник Жанас и секретарь райкома партии Рустемов. Темирбеков, принимая обоснованную и принципиальную критику, искренне признаёт свои ошибки, и колхозники снова избирают его своим председателем</t>
        </is>
      </c>
      <c r="L6404" s="2" t="inlineStr">
        <is>
          <t>https://ru.wikipedia.org/w/index.php?title=%D0%AD%D1%82%D0%BE_%D0%B1%D1%8B%D0%BB%D0%BE_%D0%B2_%D0%A8%D1%83%D0%B3%D0%BB%D0%B5&amp;oldid=154712683</t>
        </is>
      </c>
      <c r="M6404" s="2">
        <f>HYPERLINK("https://ru.wikipedia.org/w/index.php?search=%D0%AD%D1%82%D0%BE%20%D0%B1%D1%8B%D0%BB%D0%BE%20%D0%B2%20%D0%A8%D1%83%D0%B3%D0%BB%D0%B5%201955%20%D1%84%D0%B8%D0%BB%D1%8C%D0%BC","искать")</f>
        <v/>
      </c>
      <c r="N6404" s="3" t="n"/>
      <c r="O6404" s="2" t="n"/>
      <c r="P6404" s="2" t="n"/>
    </row>
    <row r="6405">
      <c r="A6405" s="2" t="n">
        <v>6404</v>
      </c>
      <c r="B6405" s="2" t="inlineStr"/>
      <c r="C6405" s="2" t="n">
        <v>10627</v>
      </c>
      <c r="D6405" s="3" t="inlineStr">
        <is>
          <t>Страницы журнала Печорина</t>
        </is>
      </c>
      <c r="E6405" s="2" t="n">
        <v>1975</v>
      </c>
      <c r="F6405" s="2" t="inlineStr">
        <is>
          <t>фильм-спектакль</t>
        </is>
      </c>
      <c r="G6405" s="2" t="inlineStr">
        <is>
          <t>Гл. ред. лит-драм программ</t>
        </is>
      </c>
      <c r="H6405" s="2" t="n">
        <v>647</v>
      </c>
      <c r="I6405" s="2" t="inlineStr"/>
      <c r="J6405" s="2" t="inlineStr"/>
      <c r="K6405" s="3" t="inlineStr">
        <is>
          <t>Григорий Печорин приезжает в Пятигорск на лечебные воды. Тут у него происходит ряд встреч. За неделю до него приезжает Грушницкий, который был ранен в ногу и приехал на воды. Здесь же пребывает Вера, бывшая любовь Печорина, а ныне — замужняя дама. В Пятигорске отдыхает княгиня Лиговская с дочерью Мери.
Грушницкий волочится за Мэри, которая предпочитает Печорина. В отместку зреет заговор, по которому Грушницкий по пустяковому поводу вызывает Печорина на дуэль. Дуэль состоялась. Печорин убивает Грушницкого.
Строками стихотворения Лермонтова «И скучно и грустно, и некому руку подать», которые звучат из уст Печорина, завершается телеспектакль.</t>
        </is>
      </c>
      <c r="L6405" s="2" t="inlineStr">
        <is>
          <t>https://ru.wikipedia.org/w/index.php?title=%D0%A1%D1%82%D1%80%D0%B0%D0%BD%D0%B8%D1%86%D1%8B_%D0%B6%D1%83%D1%80%D0%BD%D0%B0%D0%BB%D0%B0_%D0%9F%D0%B5%D1%87%D0%BE%D1%80%D0%B8%D0%BD%D0%B0&amp;oldid=154708288</t>
        </is>
      </c>
      <c r="M6405" s="2">
        <f>HYPERLINK("https://ru.wikipedia.org/w/index.php?search=%D0%A1%D1%82%D1%80%D0%B0%D0%BD%D0%B8%D1%86%D1%8B%20%D0%B6%D1%83%D1%80%D0%BD%D0%B0%D0%BB%D0%B0%20%D0%9F%D0%B5%D1%87%D0%BE%D1%80%D0%B8%D0%BD%D0%B0%201975%20%D1%84%D0%B8%D0%BB%D1%8C%D0%BC","искать")</f>
        <v/>
      </c>
      <c r="N6405" s="3" t="n"/>
      <c r="O6405" s="2" t="n"/>
      <c r="P6405" s="2" t="n"/>
    </row>
    <row r="6406">
      <c r="A6406" s="2" t="n">
        <v>6405</v>
      </c>
      <c r="B6406" s="2" t="inlineStr"/>
      <c r="C6406" s="2" t="n">
        <v>11607</v>
      </c>
      <c r="D6406" s="3" t="inlineStr">
        <is>
          <t>Рассказы старого моряка</t>
        </is>
      </c>
      <c r="E6406" s="2" t="n">
        <v>1970</v>
      </c>
      <c r="F6406" s="2" t="inlineStr">
        <is>
          <t>мультфильм</t>
        </is>
      </c>
      <c r="G6406" s="2" t="inlineStr">
        <is>
          <t>Союзмультфильм</t>
        </is>
      </c>
      <c r="H6406" s="2" t="n">
        <v>647</v>
      </c>
      <c r="I6406" s="2" t="inlineStr"/>
      <c r="J6406" s="2" t="inlineStr"/>
      <c r="K6406" s="3" t="inlineStr">
        <is>
          <t>Двое ребят - Петя и Кирилл и с ними собака Бобик, спускаются в глубины океана в батискафе, которым управляет с суши старый моряк. За иллюминаторами батискафа проплывают всевозможные рыбы и морские животные. Мальчики видят огромного гренландского кита, который может питаться только планктоном; наблюдают схватку кашалота с кальмаром. Подводные путешественники оказываются возле затонувшего несколько веков назад испанского корабля, в скафандрах они покидают батискаф и подплывают к кораблю. В это время на Бобика нападает акула, но друзья спасают свою собаку. Возвратившись в батискаф, мальчики принимают приказ старого моряка и поднимаются наверх</t>
        </is>
      </c>
      <c r="L6406" s="2" t="inlineStr">
        <is>
          <t>https://gosfilmofond.ru/films/255173/</t>
        </is>
      </c>
      <c r="M6406" s="2">
        <f>HYPERLINK("https://ru.wikipedia.org/w/index.php?search=%D0%A0%D0%B0%D1%81%D1%81%D0%BA%D0%B0%D0%B7%D1%8B%20%D1%81%D1%82%D0%B0%D1%80%D0%BE%D0%B3%D0%BE%20%D0%BC%D0%BE%D1%80%D1%8F%D0%BA%D0%B0%201970%20%D1%84%D0%B8%D0%BB%D1%8C%D0%BC","искать")</f>
        <v/>
      </c>
      <c r="N6406" s="3" t="n"/>
      <c r="O6406" s="2" t="n"/>
      <c r="P6406" s="2" t="n"/>
    </row>
    <row r="6407">
      <c r="A6407" s="2" t="n">
        <v>6406</v>
      </c>
      <c r="B6407" s="2" t="inlineStr"/>
      <c r="C6407" s="2" t="n">
        <v>10815</v>
      </c>
      <c r="D6407" s="3" t="inlineStr">
        <is>
          <t>Плутни Скапена</t>
        </is>
      </c>
      <c r="E6407" s="2" t="n">
        <v>1979</v>
      </c>
      <c r="F6407" s="2" t="inlineStr">
        <is>
          <t>фильм-спектакль</t>
        </is>
      </c>
      <c r="G6407" s="2" t="inlineStr">
        <is>
          <t>Главная  редакция литературно-драматических программ Россия</t>
        </is>
      </c>
      <c r="H6407" s="2" t="n">
        <v>648</v>
      </c>
      <c r="I6407" s="2" t="inlineStr"/>
      <c r="J6407" s="2" t="inlineStr"/>
      <c r="K6407" s="3" t="inlineStr">
        <is>
          <t>По одноименной пьесе Жана-Батиста Мольера в постановке государственного академического Малого театра.
Великий комедиограф Жан-Батист Мольер, будучи артистом, сделал своего забавного и трогательного, неистощимого на выдумки и хитрости Скапена настоящим Актером. Этот темпераментный Лицедей самую банальную и рутинную жизненную ситуацию превращает в шумное, веселое театральное представление, не жалея для этого ни сил, ни времени, ни изобретательности.
Сюжет пьесы традиционен: ловкий слуга помогает воссоединиться влюбленным парам, хитроумно обведя вокруг пальца их скупердяев-отцов. Первое представление пьесы состоялось в Париже 24 мая 1671 года.</t>
        </is>
      </c>
      <c r="L6407" s="2" t="inlineStr">
        <is>
          <t>https://www.kino-teatr.ru/teatr/movie/82071/annot/</t>
        </is>
      </c>
      <c r="M6407" s="2">
        <f>HYPERLINK("https://ru.wikipedia.org/w/index.php?search=%D0%9F%D0%BB%D1%83%D1%82%D0%BD%D0%B8%20%D0%A1%D0%BA%D0%B0%D0%BF%D0%B5%D0%BD%D0%B0%201979%20%D1%84%D0%B8%D0%BB%D1%8C%D0%BC","искать")</f>
        <v/>
      </c>
      <c r="N6407" s="3" t="n"/>
      <c r="O6407" s="2" t="n"/>
      <c r="P6407" s="2" t="n"/>
    </row>
    <row r="6408">
      <c r="A6408" s="2" t="n">
        <v>6407</v>
      </c>
      <c r="B6408" s="2" t="inlineStr"/>
      <c r="C6408" s="2" t="n">
        <v>8082</v>
      </c>
      <c r="D6408" s="3" t="inlineStr">
        <is>
          <t>Паруса</t>
        </is>
      </c>
      <c r="E6408" s="2" t="n">
        <v>1977</v>
      </c>
      <c r="F6408" s="2" t="inlineStr">
        <is>
          <t>телефильм</t>
        </is>
      </c>
      <c r="G6408" s="2" t="n"/>
      <c r="H6408" s="2" t="n">
        <v>650</v>
      </c>
      <c r="I6408" s="2" t="inlineStr"/>
      <c r="J6408" s="2" t="inlineStr"/>
      <c r="K6408" s="3" t="inlineStr">
        <is>
          <t>Фильм рассказывает о жизни первокурсников мореходного училища, вчерашних школьниках, постепенно преодолевающих трудный путь к овладению морской профессией. Воспитатель курса — бывший военный морской офицер Вайварс пытается привить ребятам главное, по его мнению, качество моряка — быть всегда готовым отвечать за любой из своих поступков.
Перед трудным выбором стоит курсант Сосновский. Он никак не может решить, что для него важнее — море или музыка, занятию которой он отдал не один год упорного труда. После неудачного розыгрыша с телеграммой ему грозит отчисление из училища. На помощь растерявшемуся подростку приходят Вайварс и друзья-курсанты.</t>
        </is>
      </c>
      <c r="L6408" s="2" t="inlineStr">
        <is>
          <t>https://ru.wikipedia.org/w/index.php?title=%D0%9F%D0%B0%D1%80%D1%83%D1%81%D0%B0_%28%D1%84%D0%B8%D0%BB%D1%8C%D0%BC%29&amp;oldid=145066028</t>
        </is>
      </c>
      <c r="M6408" s="2">
        <f>HYPERLINK("https://ru.wikipedia.org/w/index.php?search=%D0%9F%D0%B0%D1%80%D1%83%D1%81%D0%B0%201977%20%D1%84%D0%B8%D0%BB%D1%8C%D0%BC","искать")</f>
        <v/>
      </c>
      <c r="N6408" s="3" t="n"/>
      <c r="O6408" s="2" t="n"/>
      <c r="P6408" s="2" t="n"/>
    </row>
    <row r="6409">
      <c r="A6409" s="2" t="n">
        <v>6408</v>
      </c>
      <c r="B6409" s="2" t="inlineStr"/>
      <c r="C6409" s="2" t="n">
        <v>8182</v>
      </c>
      <c r="D6409" s="3" t="inlineStr">
        <is>
          <t>Право на выбор</t>
        </is>
      </c>
      <c r="E6409" s="2" t="n">
        <v>1984</v>
      </c>
      <c r="F6409" s="2" t="inlineStr">
        <is>
          <t>телефильм</t>
        </is>
      </c>
      <c r="G6409" s="2" t="n"/>
      <c r="H6409" s="2" t="n">
        <v>650</v>
      </c>
      <c r="I6409" s="2" t="inlineStr"/>
      <c r="J6409" s="2" t="inlineStr"/>
      <c r="K6409" s="3" t="inlineStr">
        <is>
          <t>Несколько лет работавший на Дальнем Севере инженер Шахов назначается главным инженером автокомбината. Он перестраивает работу предприятия — находит новых инициативных бригадиров, беспощадно борется с лодырями и пьяницами, ликвидируя бесхозяйственность и разгильдяйство, при этом конфликтуя с директором. Работники автокомбината постепенно начинают верить в его способность организовать производство. Когда, разглядев его организаторские качества, ему предлагают высокую управленческую должность, он должен сделать выбор — и вместо высокого поста он просит назначить его директором автокомбината, считая, что должен сам вести коллектив поверивший ему.</t>
        </is>
      </c>
      <c r="L6409" s="2" t="inlineStr">
        <is>
          <t>https://ru.wikipedia.org/w/index.php?title=%D0%9F%D1%80%D0%B0%D0%B2%D0%BE_%D0%BD%D0%B0_%D0%B2%D1%8B%D0%B1%D0%BE%D1%80_%28%D1%82%D0%B5%D0%BB%D0%B5%D1%81%D0%BF%D0%B5%D0%BA%D1%82%D0%B0%D0%BA%D0%BB%D1%8C%29&amp;oldid=149108946</t>
        </is>
      </c>
      <c r="M6409" s="2">
        <f>HYPERLINK("https://ru.wikipedia.org/w/index.php?search=%D0%9F%D1%80%D0%B0%D0%B2%D0%BE%20%D0%BD%D0%B0%20%D0%B2%D1%8B%D0%B1%D0%BE%D1%80%201984%20%D1%84%D0%B8%D0%BB%D1%8C%D0%BC","искать")</f>
        <v/>
      </c>
      <c r="N6409" s="3" t="n"/>
      <c r="O6409" s="2" t="n"/>
      <c r="P6409" s="2" t="n"/>
    </row>
    <row r="6410">
      <c r="A6410" s="2" t="n">
        <v>6409</v>
      </c>
      <c r="B6410" s="2" t="inlineStr"/>
      <c r="C6410" s="2" t="n">
        <v>9580</v>
      </c>
      <c r="D6410" s="3" t="inlineStr">
        <is>
          <t>Прежде, чем расстаться</t>
        </is>
      </c>
      <c r="E6410" s="2" t="n">
        <v>1984</v>
      </c>
      <c r="F6410" s="2" t="inlineStr">
        <is>
          <t>кинофильм</t>
        </is>
      </c>
      <c r="G6410" s="2" t="n"/>
      <c r="H6410" s="2" t="n">
        <v>650</v>
      </c>
      <c r="I6410" s="2" t="inlineStr"/>
      <c r="J6410" s="2" t="inlineStr"/>
      <c r="K6410" s="3" t="inlineStr">
        <is>
          <t>Действие фильма происходит в начале 1980-х годов в зале ожидания маленького аэропорта на Дальнем Востоке СССР, на острове в Охотском море неподалёку от Магадана.
Несколько пассажиров пережидают нелётную погоду, в том числе американец Роберт Хэлмен, профессор биологии. Во времена Великой Отечественной войны этот бывший военный аэропорт служил перевалочным пунктом перегона американских военных самолётов с Аляски. Здесь потерпел аварию отец Хэлмена, которого спасла от смерти русская женщина Антонина, и она до сих пор работает в этом аэропорту буфетчицей. Лицо профессора из Америки ей сразу показалось очень знакомым — он так похож на своего отца.</t>
        </is>
      </c>
      <c r="L6410" s="2" t="inlineStr">
        <is>
          <t>https://ru.wikipedia.org/w/index.php?title=%D0%9F%D1%80%D0%B5%D0%B6%D0%B4%D0%B5%2C_%D1%87%D0%B5%D0%BC_%D1%80%D0%B0%D1%81%D1%81%D1%82%D0%B0%D1%82%D1%8C%D1%81%D1%8F&amp;oldid=149105539</t>
        </is>
      </c>
      <c r="M6410" s="2">
        <f>HYPERLINK("https://ru.wikipedia.org/w/index.php?search=%D0%9F%D1%80%D0%B5%D0%B6%D0%B4%D0%B5%2C%20%D1%87%D0%B5%D0%BC%20%D1%80%D0%B0%D1%81%D1%81%D1%82%D0%B0%D1%82%D1%8C%D1%81%D1%8F%201984%20%D1%84%D0%B8%D0%BB%D1%8C%D0%BC","искать")</f>
        <v/>
      </c>
      <c r="N6410" s="3" t="n"/>
      <c r="O6410" s="2" t="n"/>
      <c r="P6410" s="2" t="n"/>
    </row>
    <row r="6411">
      <c r="A6411" s="2" t="n">
        <v>6410</v>
      </c>
      <c r="B6411" s="2" t="inlineStr"/>
      <c r="C6411" s="2" t="n">
        <v>11481</v>
      </c>
      <c r="D6411" s="3" t="inlineStr">
        <is>
          <t>Матч-реванш</t>
        </is>
      </c>
      <c r="E6411" s="2" t="n">
        <v>1968</v>
      </c>
      <c r="F6411" s="2" t="inlineStr">
        <is>
          <t>мультфильм</t>
        </is>
      </c>
      <c r="G6411" s="2" t="inlineStr">
        <is>
          <t>Союзмультфильм</t>
        </is>
      </c>
      <c r="H6411" s="2" t="n">
        <v>651</v>
      </c>
      <c r="I6411" s="2" t="inlineStr"/>
      <c r="J6411" s="2" t="inlineStr"/>
      <c r="K6411" s="3" t="inlineStr">
        <is>
          <t>Юмореска о спортивном соревновании, продолжение фильма "Шайбу! Шайбу!". Капитан хоккейной команды "Метеор" вызывает на матч-реванш капитана "Вымпела". Матч начинается натиском "Метеора", и сначала он ведет в счете. Страсти на поле разгораются. В комических ситуациях оказываются в пылу борьбы игроки обеих команд, судьи и зрители. Всеми правдами и неправдами "Метеор" стремится к выигрышу. На льду появляются собака и кошка, которые еще более запутывают игру. Матч переходит в драку, клюшки используются как фехтовальное оружие. И все-таки "Вымпел", благодара выдержке и мужеству одерживает победу. Болельщики преподносят цветы участникам соревнования</t>
        </is>
      </c>
      <c r="L6411" s="2" t="inlineStr">
        <is>
          <t>https://gosfilmofond.ru/films/254317/</t>
        </is>
      </c>
      <c r="M6411" s="2">
        <f>HYPERLINK("https://ru.wikipedia.org/w/index.php?search=%D0%9C%D0%B0%D1%82%D1%87-%D1%80%D0%B5%D0%B2%D0%B0%D0%BD%D1%88%201968%20%D1%84%D0%B8%D0%BB%D1%8C%D0%BC","искать")</f>
        <v/>
      </c>
      <c r="N6411" s="3" t="n"/>
      <c r="O6411" s="2" t="n"/>
      <c r="P6411" s="2" t="n"/>
    </row>
    <row r="6412">
      <c r="A6412" s="2" t="n">
        <v>6411</v>
      </c>
      <c r="B6412" s="2" t="inlineStr"/>
      <c r="C6412" s="2" t="n">
        <v>11586</v>
      </c>
      <c r="D6412" s="3" t="inlineStr">
        <is>
          <t>Быль-небылица</t>
        </is>
      </c>
      <c r="E6412" s="2" t="n">
        <v>1970</v>
      </c>
      <c r="F6412" s="2" t="inlineStr">
        <is>
          <t>мультфильм</t>
        </is>
      </c>
      <c r="G6412" s="2" t="inlineStr">
        <is>
          <t>Союзмультфильм</t>
        </is>
      </c>
      <c r="H6412" s="2" t="n">
        <v>651</v>
      </c>
      <c r="I6412" s="2" t="inlineStr"/>
      <c r="J6412" s="2" t="inlineStr"/>
      <c r="K6412" s="3" t="inlineStr">
        <is>
          <t>По улице Москвы идет пионерский отряд. Внезапно начавшийся сильный дождь заставляет ребят спрятаться в подъезде большого дома. Сюда же заходит старичок, и он рассказывает пионерам о той жизни, которой они не видели...В доме напротив, как узнают ребята, жила дочь камергера Хмитрово; в квартирах, сдаваемых ею в наем, жили генералы и полковники, мировой судья и судовладелец. А бедные люди ютились по чердакам и подвалам, работали с утра до ночи, гнули спину на господ. Но потом они поняли, как несправедливости все устроено в жизни и свергли господ...И вот теперь пионеры со вниманием слушают рассказ старичка - участника революции и гражданской войны</t>
        </is>
      </c>
      <c r="L6412" s="2" t="inlineStr">
        <is>
          <t>https://gosfilmofond.ru/films/254787/</t>
        </is>
      </c>
      <c r="M6412" s="2">
        <f>HYPERLINK("https://ru.wikipedia.org/w/index.php?search=%D0%91%D1%8B%D0%BB%D1%8C-%D0%BD%D0%B5%D0%B1%D1%8B%D0%BB%D0%B8%D1%86%D0%B0%201970%20%D1%84%D0%B8%D0%BB%D1%8C%D0%BC","искать")</f>
        <v/>
      </c>
      <c r="N6412" s="3" t="n"/>
      <c r="O6412" s="2" t="n"/>
      <c r="P6412" s="2" t="n"/>
    </row>
    <row r="6413">
      <c r="A6413" s="2" t="n">
        <v>6412</v>
      </c>
      <c r="B6413" s="2" t="inlineStr"/>
      <c r="C6413" s="2" t="n">
        <v>9292</v>
      </c>
      <c r="D6413" s="3" t="inlineStr">
        <is>
          <t>Входящая в море</t>
        </is>
      </c>
      <c r="E6413" s="2" t="n">
        <v>1965</v>
      </c>
      <c r="F6413" s="2" t="inlineStr">
        <is>
          <t>кинофильм</t>
        </is>
      </c>
      <c r="G6413" s="2" t="n"/>
      <c r="H6413" s="2" t="n">
        <v>652</v>
      </c>
      <c r="I6413" s="2" t="inlineStr"/>
      <c r="J6413" s="2" t="inlineStr"/>
      <c r="K6413" s="3" t="inlineStr">
        <is>
          <t>Фильм начинается сценой многолюдного пляжа, куда приходит женщина с маленькой дочерью. Постепенно пляж становится безлюдным; в кадре поочерёдно появляются почти обнажённые или обнажённые женщина, девочка и мужчина.
На берегу появляется девушка, которая вымазывает лицо грязью. Женщина собирает на берегу ракушки и оказывается почти полностью ими засыпана; девочка кладёт ещё несколько ракушек ей на лицо. Затем девочка находит брошенный кранец, который начинает катиться за ней. Мужчина наблюдает за происходящим, заходит в море и исчезает.
Женщина уводит дочь, они купаются в море. Фильм завершается сценой, в которой девочка ходит по кругу на кранце.</t>
        </is>
      </c>
      <c r="L6413" s="2" t="inlineStr">
        <is>
          <t>https://ru.wikipedia.org/w/index.php?title=%D0%92%D1%85%D0%BE%D0%B4%D1%8F%D1%89%D0%B0%D1%8F_%D0%B2_%D0%BC%D0%BE%D1%80%D0%B5&amp;oldid=144509538</t>
        </is>
      </c>
      <c r="M6413" s="2">
        <f>HYPERLINK("https://ru.wikipedia.org/w/index.php?search=%D0%92%D1%85%D0%BE%D0%B4%D1%8F%D1%89%D0%B0%D1%8F%20%D0%B2%20%D0%BC%D0%BE%D1%80%D0%B5%201965%20%D1%84%D0%B8%D0%BB%D1%8C%D0%BC","искать")</f>
        <v/>
      </c>
      <c r="N6413" s="3" t="n"/>
      <c r="O6413" s="2" t="n"/>
      <c r="P6413" s="2" t="n"/>
    </row>
    <row r="6414">
      <c r="A6414" s="2" t="n">
        <v>6413</v>
      </c>
      <c r="B6414" s="2" t="inlineStr"/>
      <c r="C6414" s="2" t="n">
        <v>12830</v>
      </c>
      <c r="D6414" s="3" t="inlineStr">
        <is>
          <t>Охотник, мальчик и собака</t>
        </is>
      </c>
      <c r="E6414" s="2" t="n">
        <v>1970</v>
      </c>
      <c r="F6414" s="2" t="inlineStr">
        <is>
          <t>мультфильм</t>
        </is>
      </c>
      <c r="G6414" s="2" t="inlineStr">
        <is>
          <t>ГРУЗИЯ-ФИЛЬМ - АО</t>
        </is>
      </c>
      <c r="H6414" s="2" t="n">
        <v>652</v>
      </c>
      <c r="I6414" s="2" t="inlineStr"/>
      <c r="J6414" s="2" t="inlineStr"/>
      <c r="K6414" s="3" t="inlineStr">
        <is>
          <t>Жили-были охотник Китеса и его друзья - мальчик и собака. Мальчик и собака любили Китесу. Но им было жаль бедных зверюшек, в которых стрелял охотник, и они решили проучить Китесу. Однажды во время прогулки мальчик и собака увидели двух медвежат, которых мальчик стал развлекать разными фокусами. В это время появилась их обеспокоенная мать-медведица. Увидев медведицу, Китеса стал целиться в нее. Но неожиданно винтовка в его руках превратилась в сачки для ловли бабочек. Охотник понял, что это проделки мальчика. Пристыженный, он подарил сачки медвежатам, а затем под влиянием мальчика и собаки подружился с медведицей. Расстались они добрыми друзьями</t>
        </is>
      </c>
      <c r="L6414" s="2" t="inlineStr">
        <is>
          <t>https://gosfilmofond.ru/films/255168/</t>
        </is>
      </c>
      <c r="M6414" s="2">
        <f>HYPERLINK("https://ru.wikipedia.org/w/index.php?search=%D0%9E%D1%85%D0%BE%D1%82%D0%BD%D0%B8%D0%BA%2C%20%D0%BC%D0%B0%D0%BB%D1%8C%D1%87%D0%B8%D0%BA%20%D0%B8%20%D1%81%D0%BE%D0%B1%D0%B0%D0%BA%D0%B0%201970%20%D1%84%D0%B8%D0%BB%D1%8C%D0%BC","искать")</f>
        <v/>
      </c>
      <c r="N6414" s="3" t="n"/>
      <c r="O6414" s="2" t="n"/>
      <c r="P6414" s="2" t="n"/>
    </row>
    <row r="6415">
      <c r="A6415" s="2" t="n">
        <v>6414</v>
      </c>
      <c r="B6415" s="2" t="inlineStr"/>
      <c r="C6415" s="2" t="n">
        <v>12827</v>
      </c>
      <c r="D6415" s="3" t="inlineStr">
        <is>
          <t>О мода, мода!</t>
        </is>
      </c>
      <c r="E6415" s="2" t="n">
        <v>1968</v>
      </c>
      <c r="F6415" s="2" t="inlineStr">
        <is>
          <t>мультфильм</t>
        </is>
      </c>
      <c r="G6415" s="2" t="inlineStr">
        <is>
          <t>ГРУЗИЯ-ФИЛЬМ - АО</t>
        </is>
      </c>
      <c r="H6415" s="2" t="n">
        <v>654</v>
      </c>
      <c r="I6415" s="2" t="inlineStr"/>
      <c r="J6415" s="2" t="inlineStr"/>
      <c r="K6415" s="3" t="inlineStr">
        <is>
          <t>Первые признаки и первые жертвы моды появляются еще в первобытном обществе. Она оказывает влияние во времена египетской, греческой и средневековой культур. А позже Людовик XIV издает указы о моде, принц Уэльский подворачивает брюки от грязи, так возникают отвороты, Петр I меняет боярам русские одежды на европейские. Любовь тоже диктует моду: кринолины скрывают женские ножки от посторонних глаз, но и позволяют прятать любовников...На наших глазах меняются фасоны и размеры платьев, причудливо подражают природе головные уборы, меняют свой стиль обувь и купальные костюмя...Куда же приведет мода в будущем? - при этом вопросе люди на экране разбегаются</t>
        </is>
      </c>
      <c r="L6415" s="2" t="inlineStr">
        <is>
          <t>https://gosfilmofond.ru/films/254322/</t>
        </is>
      </c>
      <c r="M6415" s="2">
        <f>HYPERLINK("https://ru.wikipedia.org/w/index.php?search=%D0%9E%20%D0%BC%D0%BE%D0%B4%D0%B0%2C%20%D0%BC%D0%BE%D0%B4%D0%B0%21%201968%20%D1%84%D0%B8%D0%BB%D1%8C%D0%BC","искать")</f>
        <v/>
      </c>
      <c r="N6415" s="3" t="n"/>
      <c r="O6415" s="2" t="n"/>
      <c r="P6415" s="2" t="n"/>
    </row>
    <row r="6416">
      <c r="A6416" s="2" t="n">
        <v>6415</v>
      </c>
      <c r="B6416" s="2" t="inlineStr"/>
      <c r="C6416" s="2" t="n">
        <v>11595</v>
      </c>
      <c r="D6416" s="3" t="inlineStr">
        <is>
          <t>Карлсон вернулся!</t>
        </is>
      </c>
      <c r="E6416" s="2" t="n">
        <v>1970</v>
      </c>
      <c r="F6416" s="2" t="inlineStr">
        <is>
          <t>мультфильм</t>
        </is>
      </c>
      <c r="G6416" s="2" t="inlineStr">
        <is>
          <t>Союзмультфильм</t>
        </is>
      </c>
      <c r="H6416" s="2" t="n">
        <v>655</v>
      </c>
      <c r="I6416" s="2" t="inlineStr"/>
      <c r="J6416" s="2" t="inlineStr"/>
      <c r="K6416" s="3" t="inlineStr">
        <is>
          <t>Грустит Малыш без своего веселого друга Карлсона. А тут еще родители пригласили няню - грозную фрекен Бок. Уходят родители на работу, и эта домомучительница запирает Малыша в его комнате, а сама кушает плюшки и смотрит телепередачу о привидениях. Прилетевший в это время Карлсон берется проучить домомучительницу. Он притворяется привидением, и фрекен Бок страшно пугается. Но, в конце-концов, забавный Карлсон, веселый Малыш и вовске не грозная фрекен Бок мирятся и отплясывают задорный танец. В это время возвращаются родители, и Малыш спешит познакомить их с Карлсоном. Но его уже и след простыл, только растроганная фрекен Бок машет платочком у окошка</t>
        </is>
      </c>
      <c r="L6416" s="2" t="inlineStr">
        <is>
          <t>https://gosfilmofond.ru/films/255154/</t>
        </is>
      </c>
      <c r="M6416" s="2">
        <f>HYPERLINK("https://ru.wikipedia.org/w/index.php?search=%D0%9A%D0%B0%D1%80%D0%BB%D1%81%D0%BE%D0%BD%20%D0%B2%D0%B5%D1%80%D0%BD%D1%83%D0%BB%D1%81%D1%8F%21%201970%20%D1%84%D0%B8%D0%BB%D1%8C%D0%BC","искать")</f>
        <v/>
      </c>
      <c r="N6416" s="3" t="n"/>
      <c r="O6416" s="2" t="n"/>
      <c r="P6416" s="2" t="n"/>
    </row>
    <row r="6417">
      <c r="A6417" s="2" t="n">
        <v>6416</v>
      </c>
      <c r="B6417" s="2" t="inlineStr"/>
      <c r="C6417" s="2" t="n">
        <v>12813</v>
      </c>
      <c r="D6417" s="3" t="inlineStr">
        <is>
          <t>Как мыши кота хоронили</t>
        </is>
      </c>
      <c r="E6417" s="2" t="n">
        <v>1969</v>
      </c>
      <c r="F6417" s="2" t="inlineStr">
        <is>
          <t>мультфильм</t>
        </is>
      </c>
      <c r="G6417" s="2" t="inlineStr">
        <is>
          <t>ГРУЗИЯ-ФИЛЬМ - АО</t>
        </is>
      </c>
      <c r="H6417" s="2" t="n">
        <v>655</v>
      </c>
      <c r="I6417" s="2" t="inlineStr"/>
      <c r="J6417" s="2" t="inlineStr"/>
      <c r="K6417" s="3" t="inlineStr">
        <is>
          <t>По мотивам одноименной сказки Василия Жуковского.
Царем живет черный Кот: усы пышные, шерсть гладкая, все его почитают, дары несут. Но самое большое для него удовольствие - заполучить мышку в коготки. А тут как раз резвится глупый мышонок Чико. Заигрывает Кот с простачком, а Чико доволен, что у него могущественный покровитель. Предостерегают мышонка, что играет он в опасные игры, да не верит никому Чико. И вдруг сдох Кот. Закопошилось в норах мышиное племя - кто проклинает покойника, кто плачет. И устраивают мыши грандиозные похороны. Но ожил вдруг старый плут и передавил все мышиное сборище - и тех, кто его проклинал, и тех, кто по нему слезы лил</t>
        </is>
      </c>
      <c r="L6417" s="2" t="inlineStr">
        <is>
          <t>https://gosfilmofond.ru/films/254747/</t>
        </is>
      </c>
      <c r="M6417" s="2">
        <f>HYPERLINK("https://ru.wikipedia.org/w/index.php?search=%D0%9A%D0%B0%D0%BA%20%D0%BC%D1%8B%D1%88%D0%B8%20%D0%BA%D0%BE%D1%82%D0%B0%20%D1%85%D0%BE%D1%80%D0%BE%D0%BD%D0%B8%D0%BB%D0%B8%201969%20%D1%84%D0%B8%D0%BB%D1%8C%D0%BC","искать")</f>
        <v/>
      </c>
      <c r="N6417" s="3" t="n"/>
      <c r="O6417" s="2" t="n"/>
      <c r="P6417" s="2" t="n"/>
    </row>
    <row r="6418">
      <c r="A6418" s="2" t="n">
        <v>6417</v>
      </c>
      <c r="B6418" s="2" t="inlineStr"/>
      <c r="C6418" s="2" t="n">
        <v>10619</v>
      </c>
      <c r="D6418" s="3" t="inlineStr">
        <is>
          <t>Обратный адрес</t>
        </is>
      </c>
      <c r="E6418" s="2" t="n">
        <v>1975</v>
      </c>
      <c r="F6418" s="2" t="inlineStr">
        <is>
          <t>фильм-спектакль</t>
        </is>
      </c>
      <c r="G6418" s="2" t="inlineStr">
        <is>
          <t>Ленинградское телевидение</t>
        </is>
      </c>
      <c r="H6418" s="2" t="n">
        <v>656</v>
      </c>
      <c r="I6418" s="2" t="inlineStr"/>
      <c r="J6418" s="2" t="inlineStr"/>
      <c r="K6418" s="3" t="inlineStr">
        <is>
          <t>Спектакль для школьников по повести Анатолия Алексина.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приёмную мать. Это был второй удар. Но Нина Георгиевна никого не винила в своих бедах. Сергей-младший понял, что не может предать эту беззащитную одинокую женщину, он стал ей настоящим другом и защитником.</t>
        </is>
      </c>
      <c r="L6418" s="2" t="inlineStr">
        <is>
          <t>https://www.kino-teatr.ru/teatr/movie/137281/annot/</t>
        </is>
      </c>
      <c r="M6418" s="2">
        <f>HYPERLINK("https://ru.wikipedia.org/w/index.php?search=%D0%9E%D0%B1%D1%80%D0%B0%D1%82%D0%BD%D1%8B%D0%B9%20%D0%B0%D0%B4%D1%80%D0%B5%D1%81%201975%20%D1%84%D0%B8%D0%BB%D1%8C%D0%BC","искать")</f>
        <v/>
      </c>
      <c r="N6418" s="3" t="n"/>
      <c r="O6418" s="2" t="n"/>
      <c r="P6418" s="2" t="n"/>
    </row>
    <row r="6419">
      <c r="A6419" s="2" t="n">
        <v>6418</v>
      </c>
      <c r="B6419" s="2" t="inlineStr"/>
      <c r="C6419" s="2" t="n">
        <v>9230</v>
      </c>
      <c r="D6419" s="3" t="inlineStr">
        <is>
          <t>Белое и чёрное</t>
        </is>
      </c>
      <c r="E6419" s="2" t="n">
        <v>1918</v>
      </c>
      <c r="F6419" s="2" t="inlineStr">
        <is>
          <t>кинофильм</t>
        </is>
      </c>
      <c r="G6419" s="2" t="n"/>
      <c r="H6419" s="2" t="n">
        <v>657</v>
      </c>
      <c r="I6419" s="2" t="inlineStr"/>
      <c r="J6419" s="2" t="inlineStr"/>
      <c r="K6419" s="3" t="inlineStr">
        <is>
          <t>Апаш Блэк обнаруживает,что очень похож на миллионера Уайта.Он решает убить его и завладеть состоянием Уайта.Подруга и сообщница Апаша Лилла работает горничной у Уайта.Она соглашается помочь Блэку.Однажды ночью при помощи своей подруги Блэк проникает в дом Уайта.Но убить миллионера ему не удается из-за нерешительности Лиллы.Через некоторое время Блэку все же удается совершить задуманное во время поездки Уайта в поезде.Блэк проникает в купе Уайта и убив миллионера,переодевается в его костюм...На следующий день в газетах появляется сообщение,что на миллионера Уайта в поезде было совершено нападение, и что,защищаясь,он убил напавшего на него преступника</t>
        </is>
      </c>
      <c r="L6419" s="2" t="inlineStr">
        <is>
          <t>https://gosfilmofond.ru/films/253479/</t>
        </is>
      </c>
      <c r="M6419" s="2">
        <f>HYPERLINK("https://ru.wikipedia.org/w/index.php?search=%D0%91%D0%B5%D0%BB%D0%BE%D0%B5%20%D0%B8%20%D1%87%D1%91%D1%80%D0%BD%D0%BE%D0%B5%201918%20%D1%84%D0%B8%D0%BB%D1%8C%D0%BC","искать")</f>
        <v/>
      </c>
      <c r="N6419" s="3" t="n"/>
      <c r="O6419" s="2" t="n"/>
      <c r="P6419" s="2" t="n"/>
    </row>
    <row r="6420">
      <c r="A6420" s="2" t="n">
        <v>6419</v>
      </c>
      <c r="B6420" s="2" t="inlineStr"/>
      <c r="C6420" s="2" t="n">
        <v>10591</v>
      </c>
      <c r="D6420" s="3" t="inlineStr">
        <is>
          <t>Старик</t>
        </is>
      </c>
      <c r="E6420" s="2" t="n">
        <v>1974</v>
      </c>
      <c r="F6420" s="2" t="inlineStr">
        <is>
          <t>фильм-спектакль</t>
        </is>
      </c>
      <c r="G6420" s="2" t="inlineStr">
        <is>
          <t>ТО "Экран"</t>
        </is>
      </c>
      <c r="H6420" s="2" t="n">
        <v>658</v>
      </c>
      <c r="I6420" s="2" t="inlineStr"/>
      <c r="J6420" s="2" t="inlineStr"/>
      <c r="K6420" s="3" t="inlineStr">
        <is>
          <t>По одноименной пьесе Максима Горького в постановке Малого театра.
Россия, 1905 год.
Преуспевающий заводчик Мастаков счастливо влюблен в полковничью вдову. И все бы хорошо, да объявился в округе странный старик с девицей. И с ужасом узнает в нем Мастаков своего бывшего товарища по каторге. Бежали они вместе, да вот Мастакову повезло, а старика поймали, и отсидел он положенные ему 12 лет. Не деньги нужны Старику, за душой он пришел, хочет выместить свою злость и зависть, заставить мучиться.
Добавляет неприятностей компаньон Мастакова Харитонов, у которого когда-то не сложилась любовь, и теперь он злобствует, пытаясь вбить клин в счастливую семью героя.</t>
        </is>
      </c>
      <c r="L6420" s="2" t="inlineStr">
        <is>
          <t>https://www.kino-teatr.ru/teatr/movie/9407/annot/</t>
        </is>
      </c>
      <c r="M6420" s="2">
        <f>HYPERLINK("https://ru.wikipedia.org/w/index.php?search=%D0%A1%D1%82%D0%B0%D1%80%D0%B8%D0%BA%201974%20%D1%84%D0%B8%D0%BB%D1%8C%D0%BC","искать")</f>
        <v/>
      </c>
      <c r="N6420" s="3" t="n"/>
      <c r="O6420" s="2" t="n"/>
      <c r="P6420" s="2" t="n"/>
    </row>
    <row r="6421">
      <c r="A6421" s="2" t="n">
        <v>6420</v>
      </c>
      <c r="B6421" s="2" t="inlineStr"/>
      <c r="C6421" s="2" t="n">
        <v>11275</v>
      </c>
      <c r="D6421" s="3" t="inlineStr">
        <is>
          <t>Премьера года</t>
        </is>
      </c>
      <c r="E6421" s="2" t="n">
        <v>1989</v>
      </c>
      <c r="F6421" s="2" t="inlineStr">
        <is>
          <t>фильм-спектакль</t>
        </is>
      </c>
      <c r="G6421" s="2" t="inlineStr">
        <is>
          <t>Главная редакция программ для детей ЦТ</t>
        </is>
      </c>
      <c r="H6421" s="2" t="n">
        <v>659</v>
      </c>
      <c r="I6421" s="2" t="inlineStr"/>
      <c r="J6421" s="2" t="inlineStr"/>
      <c r="K6421" s="3" t="inlineStr">
        <is>
          <t>Эта новогодняя праздничная программа для детей и взрослых проходит в форме театрального спектакля.
Вы увидите отрывки из спектаклей:
"Синяя птица" - МХАТ им.Горького
"Шлягер, только шлягер" - Центральный театр кукол
"Кот в сапогах" - театр им. Вахтангова
"Баня" - Центральный детский театр
Также выступят:
Раиса Виноградова и ее кукла Кирилл
Эстонская шоу-группа "Апельсин" исполнит "Песню туриста"
Валентина Толкунова споет "Сизари"
группа "Рондо" исполнит песню "С новым годом!"
Людмила Гурченко исполнит свою песню "Первая любовь"
В концерте принимают участие театр-студия "Музыка" п/р Игоря Гранова, студенты училища циркового и эстрадного искусства и др.</t>
        </is>
      </c>
      <c r="L6421" s="2" t="inlineStr">
        <is>
          <t>https://www.kino-teatr.ru/teatr/movie/94193/annot/</t>
        </is>
      </c>
      <c r="M6421" s="2">
        <f>HYPERLINK("https://ru.wikipedia.org/w/index.php?search=%D0%9F%D1%80%D0%B5%D0%BC%D1%8C%D0%B5%D1%80%D0%B0%20%D0%B3%D0%BE%D0%B4%D0%B0%201989%20%D1%84%D0%B8%D0%BB%D1%8C%D0%BC","искать")</f>
        <v/>
      </c>
      <c r="N6421" s="3" t="n"/>
      <c r="O6421" s="2" t="n"/>
      <c r="P6421" s="2" t="n"/>
    </row>
    <row r="6422">
      <c r="A6422" s="2" t="n">
        <v>6421</v>
      </c>
      <c r="B6422" s="2" t="inlineStr"/>
      <c r="C6422" s="2" t="n">
        <v>9319</v>
      </c>
      <c r="D6422" s="3" t="inlineStr">
        <is>
          <t>Гулящие люди</t>
        </is>
      </c>
      <c r="E6422" s="2" t="n">
        <v>1988</v>
      </c>
      <c r="F6422" s="2" t="inlineStr">
        <is>
          <t>кинофильм</t>
        </is>
      </c>
      <c r="G6422" s="2" t="n"/>
      <c r="H6422" s="2" t="n">
        <v>661</v>
      </c>
      <c r="I6422" s="2" t="inlineStr"/>
      <c r="J6422" s="2" t="inlineStr"/>
      <c r="K6422" s="3" t="inlineStr">
        <is>
          <t>Действие происходит в XVII веке, в эпоху царя Алексея Михайловича и патриарха Никона. Стрелецкий сын Семён, познакомившись с монахом Таисием, становится бунтовщиком. Он участвует в Медном бунте и восстании Степана Разина.
Для экранизации была взята лишь основная линия романа, связанная с судьбой его главного героя, тесно соприкоснувшейся со многими переломными событиями сложного, неспокойного в истории России XVII столетия. Это время народных бунтов, церковного раскола, годы крестьянской войны. Герой романа Чапыгина и нашего фильма, стрелецкий сын Семен, это лицо вымышленное. Но, думается, он вобрал в себя черты целого поколения молодых людей той эпохи.</t>
        </is>
      </c>
      <c r="L6422" s="2" t="inlineStr">
        <is>
          <t>https://ru.wikipedia.org/w/index.php?title=%D0%93%D1%83%D0%BB%D1%8F%D1%89%D0%B8%D0%B5_%D0%BB%D1%8E%D0%B4%D0%B8_%28%D1%84%D0%B8%D0%BB%D1%8C%D0%BC%29&amp;oldid=152705375</t>
        </is>
      </c>
      <c r="M6422" s="2">
        <f>HYPERLINK("https://ru.wikipedia.org/w/index.php?search=%D0%93%D1%83%D0%BB%D1%8F%D1%89%D0%B8%D0%B5%20%D0%BB%D1%8E%D0%B4%D0%B8%201988%20%D1%84%D0%B8%D0%BB%D1%8C%D0%BC","искать")</f>
        <v/>
      </c>
      <c r="N6422" s="3" t="n"/>
      <c r="O6422" s="2" t="n"/>
      <c r="P6422" s="2" t="n"/>
    </row>
    <row r="6423">
      <c r="A6423" s="2" t="n">
        <v>6422</v>
      </c>
      <c r="B6423" s="2" t="inlineStr"/>
      <c r="C6423" s="2" t="n">
        <v>9626</v>
      </c>
      <c r="D6423" s="3" t="inlineStr">
        <is>
          <t>Рыцарский замок</t>
        </is>
      </c>
      <c r="E6423" s="2" t="n">
        <v>1990</v>
      </c>
      <c r="F6423" s="2" t="inlineStr">
        <is>
          <t>кинофильм</t>
        </is>
      </c>
      <c r="G6423" s="2" t="n"/>
      <c r="H6423" s="2" t="n">
        <v>661</v>
      </c>
      <c r="I6423" s="2" t="inlineStr"/>
      <c r="J6423" s="2" t="inlineStr"/>
      <c r="K6423" s="3" t="inlineStr">
        <is>
          <t>Действие происходит в XIV веке. В фильме показана эпоха противостояния Ливонского ордена и Руси. Во время приграничной стычки новгородский сотник Всеслав попадает в плен к благородному рыцарю Ромуальду фон Нордеку, и в его замке Нейгаузен ожидает обмен военнопленными. Хозяева относятся к пленному как к гостю. Вскоре замок навещает далеко не столь благородный рыцарь Эвальд фон Мей, положивший глаз на жену Ромуальда Эмму. Мечтая завладеть и замком, и его хозяйкой, Эвальд похищает Эмму. Благородный Всеслав в ответ на гостеприимство Ромуальда помогает ему спасти Эмму. Однако проходит время, и Всеслав с Ромуальдом снова встречаются друг с другом на поле боя.</t>
        </is>
      </c>
      <c r="L6423" s="2" t="inlineStr">
        <is>
          <t>https://ru.wikipedia.org/w/index.php?title=%D0%A0%D1%8B%D1%86%D0%B0%D1%80%D1%81%D0%BA%D0%B8%D0%B9_%D0%B7%D0%B0%D0%BC%D0%BE%D0%BA_%28%D1%84%D0%B8%D0%BB%D1%8C%D0%BC%29&amp;oldid=154737463</t>
        </is>
      </c>
      <c r="M6423" s="2">
        <f>HYPERLINK("https://ru.wikipedia.org/w/index.php?search=%D0%A0%D1%8B%D1%86%D0%B0%D1%80%D1%81%D0%BA%D0%B8%D0%B9%20%D0%B7%D0%B0%D0%BC%D0%BE%D0%BA%201990%20%D1%84%D0%B8%D0%BB%D1%8C%D0%BC","искать")</f>
        <v/>
      </c>
      <c r="N6423" s="3" t="n"/>
      <c r="O6423" s="2" t="n"/>
      <c r="P6423" s="2" t="n"/>
    </row>
    <row r="6424">
      <c r="A6424" s="2" t="n">
        <v>6423</v>
      </c>
      <c r="B6424" s="2" t="inlineStr"/>
      <c r="C6424" s="2" t="n">
        <v>9043</v>
      </c>
      <c r="D6424" s="3" t="inlineStr">
        <is>
          <t>Система "Ниппель"</t>
        </is>
      </c>
      <c r="E6424" s="2" t="n">
        <v>1990</v>
      </c>
      <c r="F6424" s="2" t="inlineStr">
        <is>
          <t>кинофильм</t>
        </is>
      </c>
      <c r="G6424" s="2" t="n"/>
      <c r="H6424" s="2" t="n">
        <v>662</v>
      </c>
      <c r="I6424" s="2" t="inlineStr"/>
      <c r="J6424" s="2" t="inlineStr"/>
      <c r="K6424" s="3" t="inlineStr">
        <is>
          <t>Сеня Родимцев выходит на поруки из психиатрической клиники. Жильцы коммунальной квартиры, отчаявшись благоустроить свой быт, решились на террористический акт. Исполнителем выбирают Родимцева, подобная акция для него — не первая. Объект покушения — председатель исполкома Лазарь Фомич по прозвищу Бамбук, который, в свою очередь, инсценирует спектакль: сотрудники исполкома, изображающие разъяренных просителей, обстреливают его кабинет. Став свидетелем происходящего и сочувствуя «потерпевшему», Сеня отказывается от своего намерения, но узнав, что его обманули, не меняет своего решения. Осмыслив всё, Сеня покидает «нормальную» жизнь и возвращается в больницу.</t>
        </is>
      </c>
      <c r="L6424" s="2" t="inlineStr">
        <is>
          <t>https://ru.wikipedia.org/w/index.php?title=%D0%A1%D0%B8%D1%81%D1%82%D0%B5%D0%BC%D0%B0_%C2%AB%D0%9D%D0%B8%D0%BF%D0%BF%D0%B5%D0%BB%D1%8C%C2%BB&amp;oldid=154152701</t>
        </is>
      </c>
      <c r="M6424" s="2">
        <f>HYPERLINK("https://ru.wikipedia.org/w/index.php?search=%D0%A1%D0%B8%D1%81%D1%82%D0%B5%D0%BC%D0%B0%20%22%D0%9D%D0%B8%D0%BF%D0%BF%D0%B5%D0%BB%D1%8C%22%201990%20%D1%84%D0%B8%D0%BB%D1%8C%D0%BC","искать")</f>
        <v/>
      </c>
      <c r="N6424" s="3" t="n"/>
      <c r="O6424" s="2" t="n"/>
      <c r="P6424" s="2" t="n"/>
    </row>
    <row r="6425">
      <c r="A6425" s="2" t="n">
        <v>6424</v>
      </c>
      <c r="B6425" s="2" t="inlineStr"/>
      <c r="C6425" s="2" t="n">
        <v>10744</v>
      </c>
      <c r="D6425" s="3" t="inlineStr">
        <is>
          <t>Женитьба Белугина</t>
        </is>
      </c>
      <c r="E6425" s="2" t="n">
        <v>1978</v>
      </c>
      <c r="F6425" s="2" t="inlineStr">
        <is>
          <t>фильм-спектакль</t>
        </is>
      </c>
      <c r="G6425" s="2" t="inlineStr">
        <is>
          <t>Центральное телевидение</t>
        </is>
      </c>
      <c r="H6425" s="2" t="n">
        <v>662</v>
      </c>
      <c r="I6425" s="2" t="inlineStr"/>
      <c r="J6425" s="2" t="inlineStr"/>
      <c r="K6425" s="3" t="inlineStr">
        <is>
          <t>По одноименной пьесе А.Н. Островского и Н. Соловьева в постановке Московского драматического театра имени К.С. Станиславского.
В основе сюжета - история женитьбы богатого купца Андрея Белугина на красивой, но бедной аристократке Елене Карминой. Та выходит замуж по расчету, а затем сама мучается и мучает мужа. В "Женитьбе Белугина" узнаваемы излюбленные Островским типы: молодой купец-миллионер, влюбившийся в девушку из обедневшего благородного семейства. Циничный молодой человек без средств, готовый наставлять рога другу и жить за его счет. Молодая девушка, влюбленная в обманщика, выходящая замуж по расчету, чтобы без помех развлекаться на мужнины деньги.</t>
        </is>
      </c>
      <c r="L6425" s="2" t="inlineStr">
        <is>
          <t>https://www.kino-teatr.ru/teatr/movie/82374/annot/</t>
        </is>
      </c>
      <c r="M6425" s="2">
        <f>HYPERLINK("https://ru.wikipedia.org/w/index.php?search=%D0%96%D0%B5%D0%BD%D0%B8%D1%82%D1%8C%D0%B1%D0%B0%20%D0%91%D0%B5%D0%BB%D1%83%D0%B3%D0%B8%D0%BD%D0%B0%201978%20%D1%84%D0%B8%D0%BB%D1%8C%D0%BC","искать")</f>
        <v/>
      </c>
      <c r="N6425" s="3" t="n"/>
      <c r="O6425" s="2" t="n"/>
      <c r="P6425" s="2" t="n"/>
    </row>
    <row r="6426">
      <c r="A6426" s="2" t="n">
        <v>6425</v>
      </c>
      <c r="B6426" s="2" t="inlineStr"/>
      <c r="C6426" s="2" t="n">
        <v>9148</v>
      </c>
      <c r="D6426" s="3" t="inlineStr">
        <is>
          <t>Христиане</t>
        </is>
      </c>
      <c r="E6426" s="2" t="n">
        <v>1987</v>
      </c>
      <c r="F6426" s="2" t="inlineStr">
        <is>
          <t>кинофильм</t>
        </is>
      </c>
      <c r="G6426" s="2" t="n"/>
      <c r="H6426" s="2" t="n">
        <v>664</v>
      </c>
      <c r="I6426" s="2" t="inlineStr"/>
      <c r="J6426" s="2" t="inlineStr"/>
      <c r="K6426" s="3" t="inlineStr">
        <is>
          <t>В суде слушается дело о растрате. Перед началом заседания проходит рутинная процедура опроса свидетелей на предмет готовности принятия ими присяги. Неожиданно одна из присутствующих, Пелагея Караулова, отказывается это сделать, ссылаясь на то, что она занимается проституцией.
Председатель суда, священник, прокурор, адвокат, даже присяжные заседатели, используя разнообразную аргументацию, пытаются убедить Пелагею, однако всё это успеха не имеет. Вдобавок женщина рассказывает о реалиях своего существования, в том числе о происходящих в публичном доме кощунственных развлечениях. В конце концов суд решает предоставить ей возможность дачи показаний без присяги.</t>
        </is>
      </c>
      <c r="L6426" s="2" t="inlineStr">
        <is>
          <t>https://ru.wikipedia.org/w/index.php?title=%D0%A5%D1%80%D0%B8%D1%81%D1%82%D0%B8%D0%B0%D0%BD%D0%B5_%28%D1%84%D0%B8%D0%BB%D1%8C%D0%BC%29&amp;oldid=154711159</t>
        </is>
      </c>
      <c r="M6426" s="2">
        <f>HYPERLINK("https://ru.wikipedia.org/w/index.php?search=%D0%A5%D1%80%D0%B8%D1%81%D1%82%D0%B8%D0%B0%D0%BD%D0%B5%201987%20%D1%84%D0%B8%D0%BB%D1%8C%D0%BC","искать")</f>
        <v/>
      </c>
      <c r="N6426" s="3" t="n"/>
      <c r="O6426" s="2" t="n"/>
      <c r="P6426" s="2" t="n"/>
    </row>
    <row r="6427">
      <c r="A6427" s="2" t="n">
        <v>6426</v>
      </c>
      <c r="B6427" s="2" t="inlineStr"/>
      <c r="C6427" s="2" t="n">
        <v>9222</v>
      </c>
      <c r="D6427" s="3" t="inlineStr">
        <is>
          <t>Беглецы</t>
        </is>
      </c>
      <c r="E6427" s="2" t="n">
        <v>1932</v>
      </c>
      <c r="F6427" s="2" t="inlineStr">
        <is>
          <t>кинофильм</t>
        </is>
      </c>
      <c r="G6427" s="2" t="n"/>
      <c r="H6427" s="2" t="n">
        <v>665</v>
      </c>
      <c r="I6427" s="2" t="inlineStr"/>
      <c r="J6427" s="2" t="inlineStr"/>
      <c r="K6427" s="3" t="inlineStr">
        <is>
          <t>Действие фильма разворачивается во время возможной войны на территории противника. Связист одной из частей Красной Армии, посланный с донесением в штаб, попадает под обстрел. Струсив, он бросает мотоцикл и убегает с фронта. Однако дезертира настигает дозорный-однополчанин и, арестовав, конвоирует его назад в часть. Остановившись на отдых в деревне, они проявляют беспечность и попадают в руки врага. Только благодаря бдительности и солидарности иностранных рабочих удается расстроить планы противника, основанные на данных, полученных от пленных красноармейцев. С разгромом противника они вновь оказываются в своей части. Следует заслуженное наказание — расстрел.</t>
        </is>
      </c>
      <c r="L6427" s="2" t="inlineStr">
        <is>
          <t>https://ru.wikipedia.org/w/index.php?title=%D0%91%D0%B5%D0%B3%D0%BB%D0%B5%D1%86%D1%8B_%28%D1%84%D0%B8%D0%BB%D1%8C%D0%BC%2C_1932%29&amp;oldid=149106707</t>
        </is>
      </c>
      <c r="M6427" s="2">
        <f>HYPERLINK("https://ru.wikipedia.org/w/index.php?search=%D0%91%D0%B5%D0%B3%D0%BB%D0%B5%D1%86%D1%8B%201932%20%D1%84%D0%B8%D0%BB%D1%8C%D0%BC","искать")</f>
        <v/>
      </c>
      <c r="N6427" s="3" t="n"/>
      <c r="O6427" s="2" t="n"/>
      <c r="P6427" s="2" t="n"/>
    </row>
    <row r="6428">
      <c r="A6428" s="2" t="n">
        <v>6427</v>
      </c>
      <c r="B6428" s="2" t="inlineStr"/>
      <c r="C6428" s="2" t="n">
        <v>11009</v>
      </c>
      <c r="D6428" s="3" t="inlineStr">
        <is>
          <t>Р Р°СЃСЃР»РµРґСѓРµС‚ Р±СЂРёРіР°РґР° Р‘С‹С‡РєРѕРІР°</t>
        </is>
      </c>
      <c r="E6428" s="2" t="n">
        <v>1983</v>
      </c>
      <c r="F6428" s="2" t="inlineStr">
        <is>
          <t>фильм-спектакль</t>
        </is>
      </c>
      <c r="G6428" s="2" t="n"/>
      <c r="H6428" s="2" t="n">
        <v>665</v>
      </c>
      <c r="I6428" s="2" t="inlineStr"/>
      <c r="J6428" s="2" t="inlineStr"/>
      <c r="K6428" s="3" t="inlineStr">
        <is>
          <t>РўРµР»РµРїРµРєС‚Р°РєР»СЊ РёР· С†РёРєР»Р° "Р”РµР»Р° Рё Р»СЋРґРё Р»РµРЅРёРЅРіСЂР°РґСЃРєРѕР№ РјРёР»РёС†РёРё".
РЎРѕР±С‹С‚РёСЏ СЃРїРµРєС‚Р°РєР»СЏ РЅР°С‡РёРЅР°СЋС‚СЃСЏ РІ 1936 РіРѕРґСѓ, Р° Р·Р°РєР°РЅС‡РёРІР°СЋС‚СЃСЏ РІ РґРЅРё Р±Р»РѕРєР°РґС‹, Р·РёРјРѕР№ 1942-РіРѕ.
Р’ РѕСЃРЅРѕРІРµ - С„Р°РєС‚С‹ РёР· РїСЂР°РєС‚РёРєРё СЂР°Р±РѕС‚С‹ РѕСЂРіР°РЅРѕРІ РјРёР»РёС†РёРё Р›РµРЅРёРЅРіСЂР°РґР°. Р РµР°Р»СЊРЅС‹Рµ Р»СЋРґРё СЏРІР»СЏСЋС‚СЃСЏ РїСЂРѕС‚РѕС‚РёРїР°РјРё РіРµСЂРѕРµРІ.
Р­С‚Рѕ СЂР°СЃСЃРєР°Р· Рѕ РЅР°СЃС‚РѕР№С‡РёРІРѕРј, РЅРѕ РЅРµ РІСЃРµРіРґР° Р·Р°РјРµС‚РЅРѕРј СЃСЂР°Р¶РµРЅРёРё Р·Р° РЅСЂР°РІСЃС‚РІРµРЅРЅС‹Рµ СѓСЃС‚РѕРё Р»РёС‡РЅРѕСЃС‚Рё, Р·Р° Р±СѓРґСѓС‰РµРµ РјРѕР»РѕРґС‹С… Р»СЋРґРµР№.</t>
        </is>
      </c>
      <c r="L6428" s="2" t="inlineStr">
        <is>
          <t>https://www.kino-teatr.ru/teatr/movie/79768/annot/</t>
        </is>
      </c>
      <c r="M6428" s="2">
        <f>HYPERLINK("https://ru.wikipedia.org/w/index.php?search=%D0%A0%20%D0%A0%C2%B0%D0%A1%D0%83%D0%A1%D0%83%D0%A0%C2%BB%D0%A0%C2%B5%D0%A0%D2%91%D0%A1%D1%93%D0%A0%C2%B5%D0%A1%E2%80%9A%20%D0%A0%C2%B1%D0%A1%D0%82%D0%A0%D1%91%D0%A0%D1%96%D0%A0%C2%B0%D0%A0%D2%91%D0%A0%C2%B0%20%D0%A0%E2%80%98%D0%A1%E2%80%B9%D0%A1%E2%80%A1%D0%A0%D1%94%D0%A0%D1%95%D0%A0%D0%86%D0%A0%C2%B0%201983%20%D1%84%D0%B8%D0%BB%D1%8C%D0%BC","искать")</f>
        <v/>
      </c>
      <c r="N6428" s="3" t="n"/>
      <c r="O6428" s="2" t="n"/>
      <c r="P6428" s="2" t="n"/>
    </row>
    <row r="6429">
      <c r="A6429" s="2" t="n">
        <v>6428</v>
      </c>
      <c r="B6429" s="2" t="inlineStr"/>
      <c r="C6429" s="2" t="n">
        <v>8260</v>
      </c>
      <c r="D6429" s="3" t="inlineStr">
        <is>
          <t>Расписание на завтра</t>
        </is>
      </c>
      <c r="E6429" s="2" t="n">
        <v>1976</v>
      </c>
      <c r="F6429" s="2" t="inlineStr">
        <is>
          <t>телефильм</t>
        </is>
      </c>
      <c r="G6429" s="2" t="n"/>
      <c r="H6429" s="2" t="n">
        <v>667</v>
      </c>
      <c r="I6429" s="2" t="inlineStr"/>
      <c r="J6429" s="2" t="inlineStr"/>
      <c r="K6429" s="3" t="inlineStr">
        <is>
          <t>Фильм о нравственном становлении советских школьников. Сюжет фильма состоит из трёх историй, в каждой из которых простые школьники решают непростые моральные дилеммы, делая выбор в пользу добра, совести и дружбы.
Олег Дмитриевич (Олег Жаков) руководит школой с довоенных времён. Молодые педагоги за глаза называют его «наш старик». Однажды, показывая у себя дома ребятам работы своих учеников предвоенного выпуска, он находит записку со стихами, посвящёнными некой «Н». Школьники загораются идеей отыскать её. B это же время одна девочка хочет научиться кататься на коньках, a учительница английского языка (Нина Зоткина) испытывает на себе всю любовь своих учеников.</t>
        </is>
      </c>
      <c r="L6429" s="2" t="inlineStr">
        <is>
          <t>https://ru.wikipedia.org/w/index.php?title=%D0%A0%D0%B0%D1%81%D0%BF%D0%B8%D1%81%D0%B0%D0%BD%D0%B8%D0%B5_%D0%BD%D0%B0_%D0%B7%D0%B0%D0%B2%D1%82%D1%80%D0%B0&amp;oldid=154703485</t>
        </is>
      </c>
      <c r="M6429" s="2">
        <f>HYPERLINK("https://ru.wikipedia.org/w/index.php?search=%D0%A0%D0%B0%D1%81%D0%BF%D0%B8%D1%81%D0%B0%D0%BD%D0%B8%D0%B5%20%D0%BD%D0%B0%20%D0%B7%D0%B0%D0%B2%D1%82%D1%80%D0%B0%201976%20%D1%84%D0%B8%D0%BB%D1%8C%D0%BC","искать")</f>
        <v/>
      </c>
      <c r="N6429" s="3" t="n"/>
      <c r="O6429" s="2" t="n"/>
      <c r="P6429" s="2" t="n"/>
    </row>
    <row r="6430">
      <c r="A6430" s="2" t="n">
        <v>6429</v>
      </c>
      <c r="B6430" s="2" t="inlineStr"/>
      <c r="C6430" s="2" t="n">
        <v>8420</v>
      </c>
      <c r="D6430" s="3" t="inlineStr">
        <is>
          <t>Схватка</t>
        </is>
      </c>
      <c r="E6430" s="2" t="n">
        <v>1982</v>
      </c>
      <c r="F6430" s="2" t="inlineStr">
        <is>
          <t>телефильм</t>
        </is>
      </c>
      <c r="G6430" s="2" t="n"/>
      <c r="H6430" s="2" t="n">
        <v>667</v>
      </c>
      <c r="I6430" s="2" t="inlineStr"/>
      <c r="J6430" s="2" t="inlineStr"/>
      <c r="K6430" s="3" t="inlineStr">
        <is>
          <t>Действие фильма разворачивается на Крайнем Севере. Сбежавший из тюрьмы преступник в необитаемой тундре внезапно встречает местного старика при котором к тому же крупная сумма денег. Этот старик — Комо, некогда лучший каюр-оленевод и охотник в этих местах, давно уже собравшийся по обычаю предков уйти в тундру и умереть вдали от людей, но несмотря на своё недомогание всё-таки согласившийся выполнить поручение и отвезти зарплату оленеводам в дальний поселок. Эта встреча закоренелого уголовника и мудрого старика, их совместная борьба за существование в условиях смертельной опасности, приводит Степана к духовному обращению, он пересматривает свои взгляды на жизнь.</t>
        </is>
      </c>
      <c r="L6430" s="2" t="inlineStr">
        <is>
          <t>https://ru.wikipedia.org/w/index.php?title=%D0%A1%D1%85%D0%B2%D0%B0%D1%82%D0%BA%D0%B0_%28%D1%84%D0%B8%D0%BB%D1%8C%D0%BC%2C_1982%29&amp;oldid=154708748</t>
        </is>
      </c>
      <c r="M6430" s="2">
        <f>HYPERLINK("https://ru.wikipedia.org/w/index.php?search=%D0%A1%D1%85%D0%B2%D0%B0%D1%82%D0%BA%D0%B0%201982%20%D1%84%D0%B8%D0%BB%D1%8C%D0%BC","искать")</f>
        <v/>
      </c>
      <c r="N6430" s="3" t="n"/>
      <c r="O6430" s="2" t="n"/>
      <c r="P6430" s="2" t="n"/>
    </row>
    <row r="6431">
      <c r="A6431" s="2" t="n">
        <v>6430</v>
      </c>
      <c r="B6431" s="2" t="inlineStr"/>
      <c r="C6431" s="2" t="n">
        <v>10507</v>
      </c>
      <c r="D6431" s="3" t="inlineStr">
        <is>
          <t>Обратный адрес</t>
        </is>
      </c>
      <c r="E6431" s="2" t="n">
        <v>1973</v>
      </c>
      <c r="F6431" s="2" t="inlineStr">
        <is>
          <t>фильм-спектакль</t>
        </is>
      </c>
      <c r="G6431" s="2" t="inlineStr">
        <is>
          <t>Центральное телевидение</t>
        </is>
      </c>
      <c r="H6431" s="2" t="n">
        <v>667</v>
      </c>
      <c r="I6431" s="2" t="inlineStr"/>
      <c r="J6431" s="2" t="inlineStr"/>
      <c r="K6431" s="3" t="inlineStr">
        <is>
          <t>По рассказу А.Алексина в постановке Центрального детского театра.
Серёжа Емельянов случайно познакомился с Ниной Георгиевной, женщиной, с которой когда-то расстался его отец, тоже Сергей. Нина Георгиевна провожала Сергея старшего на войну, лечила после контузии, полученной на фронте. Расставание с ним было первым ударом. После этого Нина Георгиевна взяла из детского дома мальчика Шурика, а через шестнадцать лет нашлись его родители. Шурик сразу же забыл про приемную мать. Это был второй удар. Но Нина Георгиевна никого не винила в своих бедах. Сергей младший понял, что не может предать эту беззащитную одинокую женщину, он стал ей настоящим другом и защитником.</t>
        </is>
      </c>
      <c r="L6431" s="2" t="inlineStr">
        <is>
          <t>https://www.kino-teatr.ru/teatr/movie/108955/annot/</t>
        </is>
      </c>
      <c r="M6431" s="2">
        <f>HYPERLINK("https://ru.wikipedia.org/w/index.php?search=%D0%9E%D0%B1%D1%80%D0%B0%D1%82%D0%BD%D1%8B%D0%B9%20%D0%B0%D0%B4%D1%80%D0%B5%D1%81%201973%20%D1%84%D0%B8%D0%BB%D1%8C%D0%BC","искать")</f>
        <v/>
      </c>
      <c r="N6431" s="3" t="n"/>
      <c r="O6431" s="2" t="n"/>
      <c r="P6431" s="2" t="n"/>
    </row>
    <row r="6432">
      <c r="A6432" s="2" t="n">
        <v>6431</v>
      </c>
      <c r="B6432" s="2" t="inlineStr"/>
      <c r="C6432" s="2" t="n">
        <v>10463</v>
      </c>
      <c r="D6432" s="3" t="inlineStr">
        <is>
          <t>Правда - хорошо, а счастье - лучше</t>
        </is>
      </c>
      <c r="E6432" s="2" t="n">
        <v>1972</v>
      </c>
      <c r="F6432" s="2" t="inlineStr">
        <is>
          <t>фильм-спектакль</t>
        </is>
      </c>
      <c r="G6432" s="2" t="n"/>
      <c r="H6432" s="2" t="n">
        <v>668</v>
      </c>
      <c r="I6432" s="2" t="inlineStr"/>
      <c r="J6432" s="2" t="inlineStr"/>
      <c r="K6432" s="3" t="inlineStr">
        <is>
          <t>Фильм-спектакль по одноименной пьесе А. Н. Островского.
Властная старуха Мавра Тарасовна, мать московского купца Амоса Панфиловича Барабошева, ищет для своей внучки Поликсены жениха-генерала. Но девушка любит приказчика Платона Зыбкина, честного и бедного парня, задолжавшего хозяину двести рублей. Платону грозит долговая тюрьма. Стараниями няньки Поликсены, решившей помочь влюбленным, в доме появляется новый сторож - отставной унтер-офицер Сила Ерофеевич Грознов, бывший любовник Мавры Тарасовны. Перепуганная тем, что старые грехи станут всем известны, старуха удовлетворяет требования Грознова - уничтожает вексель Платона и разрешает внучке выйти за него замуж.</t>
        </is>
      </c>
      <c r="L6432" s="2" t="inlineStr">
        <is>
          <t>https://www.kino-teatr.ru/teatr/movie/80983/annot/</t>
        </is>
      </c>
      <c r="M6432" s="2">
        <f>HYPERLINK("https://ru.wikipedia.org/w/index.php?search=%D0%9F%D1%80%D0%B0%D0%B2%D0%B4%D0%B0%20-%20%D1%85%D0%BE%D1%80%D0%BE%D1%88%D0%BE%2C%20%D0%B0%20%D1%81%D1%87%D0%B0%D1%81%D1%82%D1%8C%D0%B5%20-%20%D0%BB%D1%83%D1%87%D1%88%D0%B5%201972%20%D1%84%D0%B8%D0%BB%D1%8C%D0%BC","искать")</f>
        <v/>
      </c>
      <c r="N6432" s="3" t="n"/>
      <c r="O6432" s="2" t="n"/>
      <c r="P6432" s="2" t="n"/>
    </row>
    <row r="6433">
      <c r="A6433" s="2" t="n">
        <v>6432</v>
      </c>
      <c r="B6433" s="2" t="inlineStr"/>
      <c r="C6433" s="2" t="n">
        <v>7376</v>
      </c>
      <c r="D6433" s="3" t="inlineStr">
        <is>
          <t>Воспоминание о "Коровьем марше"</t>
        </is>
      </c>
      <c r="E6433" s="2" t="n">
        <v>1991</v>
      </c>
      <c r="F6433" s="2" t="inlineStr">
        <is>
          <t>телефильм</t>
        </is>
      </c>
      <c r="G6433" s="2" t="n"/>
      <c r="H6433" s="2" t="n">
        <v>672</v>
      </c>
      <c r="I6433" s="2" t="inlineStr"/>
      <c r="J6433" s="2" t="inlineStr"/>
      <c r="K6433" s="3" t="inlineStr">
        <is>
          <t>Из курортного видеосалона в ужасе от увиденного фильма «Извне» (на афише указано «Съеденные заживо») выходят двое: девушка и парень. Девушка (Лариса Белогурова) рассказывает вышедшему с ней зрителю (Михаил Евдокимов), что когда-то в этих местах в Гаграх снимался «замечательный, светлый фильм» «Весёлые ребята». Девушка предлагает превратить видеосалон в салон автобуса и совершить с ней путешествие-экскурсию по местам съёмок фильма. Зритель соглашается ей помочь и преображается, говорит голосами Сталина, Утёсова и других, поёт. Получается иллюстрированный цитатами из фильма «Весёлые ребята» рассказ об атмосфере тех лет и съёмках классики советского комедийного кино.</t>
        </is>
      </c>
      <c r="L6433" s="2" t="inlineStr">
        <is>
          <t>https://ru.wikipedia.org/w/index.php?title=%D0%92%D0%BE%D1%81%D0%BF%D0%BE%D0%BC%D0%B8%D0%BD%D0%B0%D0%BD%D0%B8%D0%B5_%D0%BE_%C2%AB%D0%9A%D0%BE%D1%80%D0%BE%D0%B2%D1%8C%D0%B5%D0%BC_%D0%BC%D0%B0%D1%80%D1%88%D0%B5%C2%BB&amp;oldid=155342619</t>
        </is>
      </c>
      <c r="M6433" s="2">
        <f>HYPERLINK("https://ru.wikipedia.org/w/index.php?search=%D0%92%D0%BE%D1%81%D0%BF%D0%BE%D0%BC%D0%B8%D0%BD%D0%B0%D0%BD%D0%B8%D0%B5%20%D0%BE%20%22%D0%9A%D0%BE%D1%80%D0%BE%D0%B2%D1%8C%D0%B5%D0%BC%20%D0%BC%D0%B0%D1%80%D1%88%D0%B5%22%201991%20%D1%84%D0%B8%D0%BB%D1%8C%D0%BC","искать")</f>
        <v/>
      </c>
      <c r="N6433" s="3" t="n"/>
      <c r="O6433" s="2" t="n"/>
      <c r="P6433" s="2" t="n"/>
    </row>
    <row r="6434">
      <c r="A6434" s="2" t="n">
        <v>6433</v>
      </c>
      <c r="B6434" s="2" t="inlineStr"/>
      <c r="C6434" s="2" t="n">
        <v>7465</v>
      </c>
      <c r="D6434" s="3" t="inlineStr">
        <is>
          <t>Грех</t>
        </is>
      </c>
      <c r="E6434" s="2" t="n">
        <v>1991</v>
      </c>
      <c r="F6434" s="2" t="inlineStr">
        <is>
          <t>телефильм</t>
        </is>
      </c>
      <c r="G6434" s="2" t="inlineStr">
        <is>
          <t>Укртелефильм</t>
        </is>
      </c>
      <c r="H6434" s="2" t="n">
        <v>673</v>
      </c>
      <c r="I6434" s="2" t="inlineStr"/>
      <c r="J6434" s="2" t="inlineStr"/>
      <c r="K6434" s="3" t="inlineStr">
        <is>
          <t>1916 год. Киев. Молодая женщина оказывается в круговороте событий накануне революции. Главная героиня — революционерка Мария Ляшковская считает, что в современном мире нет такого понятия, как «грех», что это пережитки «старого мира». Но в течение фильма она вынуждена изменить своё мнение. «Маленький грех» — предательство товарищей-революционеров ради благородной цели — спасения из заключения любимого мужчины приводит к неожиданным для неё последствиям: Мария попадает в зависимость к следователю, потому что, боясь разоблачения, вынуждена выполнять все его желания, выдавать по одному своих товарищей, обманывать друзей и самого любимого, которые разыскивают предателя.</t>
        </is>
      </c>
      <c r="L6434" s="2" t="inlineStr">
        <is>
          <t>https://ru.wikipedia.org/w/index.php?title=%D0%93%D1%80%D0%B5%D1%85_%28%D1%84%D0%B8%D0%BB%D1%8C%D0%BC%2C_1991%29&amp;oldid=154694077</t>
        </is>
      </c>
      <c r="M6434" s="2">
        <f>HYPERLINK("https://ru.wikipedia.org/w/index.php?search=%D0%93%D1%80%D0%B5%D1%85%201991%20%D1%84%D0%B8%D0%BB%D1%8C%D0%BC","искать")</f>
        <v/>
      </c>
      <c r="N6434" s="3" t="n"/>
      <c r="O6434" s="2" t="n"/>
      <c r="P6434" s="2" t="n"/>
    </row>
    <row r="6435">
      <c r="A6435" s="2" t="n">
        <v>6434</v>
      </c>
      <c r="B6435" s="2" t="inlineStr"/>
      <c r="C6435" s="2" t="n">
        <v>7712</v>
      </c>
      <c r="D6435" s="3" t="inlineStr">
        <is>
          <t>Капитан Соври-голова</t>
        </is>
      </c>
      <c r="E6435" s="2" t="n">
        <v>1979</v>
      </c>
      <c r="F6435" s="2" t="inlineStr">
        <is>
          <t>телефильм</t>
        </is>
      </c>
      <c r="G6435" s="2" t="n"/>
      <c r="H6435" s="2" t="n">
        <v>673</v>
      </c>
      <c r="I6435" s="2" t="inlineStr"/>
      <c r="J6435" s="2" t="inlineStr"/>
      <c r="K6435" s="3" t="inlineStr">
        <is>
          <t>Летом на дачу отправляются отдыхать братья-близнецы Саша и Лёша Завитайкины. Несмотря на внешнюю схожесть, у них совершенно разные характеры: Саша — послушный интеллектуал, а его брат — врун, болтун, шкода, настоящий «Капитан Соври-голова» или, как его называют сокращённо, Капитан Сого.
Благодаря своему открытому и общительному характеру Лёша обзаводится многочисленными друзьями, которых постоянно втягивает в свои авантюры, но также у него появляются и недруги, «подавляющие личность». Вскоре к братьям приходит и первая любовь в лице рыжей девочки Тошки-Травки, ради которой Лёша даже совершает собственное «похищение».
В конце концов Тошка остаётся с серьёзным Сашей.</t>
        </is>
      </c>
      <c r="L6435" s="2" t="inlineStr">
        <is>
          <t>https://ru.wikipedia.org/w/index.php?title=%D0%9A%D0%B0%D0%BF%D0%B8%D1%82%D0%B0%D0%BD_%D0%A1%D0%BE%D0%B2%D1%80%D0%B8-%D0%B3%D0%BE%D0%BB%D0%BE%D0%B2%D0%B0_%28%D1%84%D0%B8%D0%BB%D1%8C%D0%BC%29&amp;oldid=154696740</t>
        </is>
      </c>
      <c r="M6435" s="2">
        <f>HYPERLINK("https://ru.wikipedia.org/w/index.php?search=%D0%9A%D0%B0%D0%BF%D0%B8%D1%82%D0%B0%D0%BD%20%D0%A1%D0%BE%D0%B2%D1%80%D0%B8-%D0%B3%D0%BE%D0%BB%D0%BE%D0%B2%D0%B0%201979%20%D1%84%D0%B8%D0%BB%D1%8C%D0%BC","искать")</f>
        <v/>
      </c>
      <c r="N6435" s="3" t="n"/>
      <c r="O6435" s="2" t="n"/>
      <c r="P6435" s="2" t="n"/>
    </row>
    <row r="6436">
      <c r="A6436" s="2" t="n">
        <v>6435</v>
      </c>
      <c r="B6436" s="2" t="inlineStr"/>
      <c r="C6436" s="2" t="n">
        <v>7975</v>
      </c>
      <c r="D6436" s="3" t="inlineStr">
        <is>
          <t>Незаконченный ужин</t>
        </is>
      </c>
      <c r="E6436" s="2" t="n">
        <v>1979</v>
      </c>
      <c r="F6436" s="2" t="inlineStr">
        <is>
          <t>телефильм</t>
        </is>
      </c>
      <c r="G6436" s="2" t="inlineStr">
        <is>
          <t>Рижская к/с</t>
        </is>
      </c>
      <c r="H6436" s="2" t="n">
        <v>673</v>
      </c>
      <c r="I6436" s="2" t="inlineStr"/>
      <c r="J6436" s="2" t="inlineStr"/>
      <c r="K6436" s="3" t="inlineStr">
        <is>
          <t>Действие происходит в одном из провинциальных городов Швеции. В одном из дорогих ресторанов во время банкета убит Пальмгрен — директор крупного концерна. Расследование поручено инспектору местной уголовной полиции Перу Монссону и его помощникам. Но, как постепенно выясняется, дело касается «высших сфер» власти. В связи с этим для ускорения следствия из столицы направляется известный комиссар уголовной полиции Мартин Бек. Для контроля расследования за всеми следит инспектор полиции безопасности (СЕПО). В конце концов они находят убийцу — им оказывается безработный Бертольд Свенсон, который ранее работал в концерне Пальмгрена и совершил это убийство из чувства мести.</t>
        </is>
      </c>
      <c r="L6436" s="2" t="inlineStr">
        <is>
          <t>https://ru.wikipedia.org/w/index.php?title=%D0%9D%D0%B5%D0%B7%D0%B0%D0%BA%D0%BE%D0%BD%D1%87%D0%B5%D0%BD%D0%BD%D1%8B%D0%B9_%D1%83%D0%B6%D0%B8%D0%BD&amp;oldid=144326822</t>
        </is>
      </c>
      <c r="M6436" s="2">
        <f>HYPERLINK("https://ru.wikipedia.org/w/index.php?search=%D0%9D%D0%B5%D0%B7%D0%B0%D0%BA%D0%BE%D0%BD%D1%87%D0%B5%D0%BD%D0%BD%D1%8B%D0%B9%20%D1%83%D0%B6%D0%B8%D0%BD%201979%20%D1%84%D0%B8%D0%BB%D1%8C%D0%BC","искать")</f>
        <v/>
      </c>
      <c r="N6436" s="3" t="n"/>
      <c r="O6436" s="2" t="n"/>
      <c r="P6436" s="2" t="n"/>
    </row>
    <row r="6437">
      <c r="A6437" s="2" t="n">
        <v>6436</v>
      </c>
      <c r="B6437" s="2" t="inlineStr"/>
      <c r="C6437" s="2" t="n">
        <v>8713</v>
      </c>
      <c r="D6437" s="3" t="inlineStr">
        <is>
          <t>Дрозд - птаха зелёная</t>
        </is>
      </c>
      <c r="E6437" s="2" t="n">
        <v>1990</v>
      </c>
      <c r="F6437" s="2" t="inlineStr">
        <is>
          <t>кинофильм</t>
        </is>
      </c>
      <c r="G6437" s="2" t="n"/>
      <c r="H6437" s="2" t="n">
        <v>676</v>
      </c>
      <c r="I6437" s="2" t="inlineStr"/>
      <c r="J6437" s="2" t="inlineStr"/>
      <c r="K6437" s="3" t="inlineStr">
        <is>
          <t>Современный балет с пением народных песен и религиозных псалмов. Поэт в образе птицы-дрозда ищет истину в жизни через свое творчество, через единение с природой. Дрозд не питается церковным хлебом, а ищет пропитание в земле. Главное для Страдаса – поведать людям правду о свободе, человеке и окружающем мире. Духовники пытаются запретить его книги. А он, «безумец», гордый и независимый человек похваляется, что он крылатый и поэтому свободный. Темные силы настигают его и прячут за решетку. Теперь у поэта грустный удел. Но песнь его невозможно уничтожить. Ещё не настало время, когда написанное им услышат люди, и песни поэта ждут рассвета, а он верит, что рассвет наступит.</t>
        </is>
      </c>
      <c r="L6437" s="2" t="inlineStr">
        <is>
          <t>https://gosfilmofond.ru/films/232275/</t>
        </is>
      </c>
      <c r="M6437" s="2">
        <f>HYPERLINK("https://ru.wikipedia.org/w/index.php?search=%D0%94%D1%80%D0%BE%D0%B7%D0%B4%20-%20%D0%BF%D1%82%D0%B0%D1%85%D0%B0%20%D0%B7%D0%B5%D0%BB%D1%91%D0%BD%D0%B0%D1%8F%201990%20%D1%84%D0%B8%D0%BB%D1%8C%D0%BC","искать")</f>
        <v/>
      </c>
      <c r="N6437" s="3" t="n"/>
      <c r="O6437" s="2" t="n"/>
      <c r="P6437" s="2" t="n"/>
    </row>
    <row r="6438">
      <c r="A6438" s="2" t="n">
        <v>6437</v>
      </c>
      <c r="B6438" s="2" t="inlineStr"/>
      <c r="C6438" s="2" t="n">
        <v>10354</v>
      </c>
      <c r="D6438" s="3" t="inlineStr">
        <is>
          <t>Дело о...</t>
        </is>
      </c>
      <c r="E6438" s="2" t="n">
        <v>1970</v>
      </c>
      <c r="F6438" s="2" t="inlineStr">
        <is>
          <t>фильм-спектакль</t>
        </is>
      </c>
      <c r="G6438" s="2" t="inlineStr">
        <is>
          <t>ТО "Экран"</t>
        </is>
      </c>
      <c r="H6438" s="2" t="n">
        <v>677</v>
      </c>
      <c r="I6438" s="2" t="inlineStr"/>
      <c r="J6438" s="2" t="inlineStr"/>
      <c r="K6438" s="3" t="inlineStr">
        <is>
          <t>Миров и Новицкий, самый популярный в 50-х — 60-х годах эстрадный сатирический дуэт, — участники скандального музыкально-комедийного судебного процесса. В эстрадных номерах участвуют Лариса Мондрус, ансамбль "Радуга" Московского мюзик-холла, Ленинградский ансамбль "Диксиленд", братья Воронины и др.
Лев Миров обвиняется в преднамеренном убийстве. Суду предстоит выяснить, где находился обвиняемый в момент совершения преступления, какие записи содержит его единственная «синяя» книга и что послужило причиной многочисленных странных болезней Мирова, от которых «хронически першит в глазах». Участники процесса не знают, что настоящий убийца присутствует в зале, среди зрителей.</t>
        </is>
      </c>
      <c r="L6438" s="2" t="inlineStr">
        <is>
          <t>https://www.kino-teatr.ru/teatr/movie/13497/annot/</t>
        </is>
      </c>
      <c r="M6438" s="2">
        <f>HYPERLINK("https://ru.wikipedia.org/w/index.php?search=%D0%94%D0%B5%D0%BB%D0%BE%20%D0%BE...%201970%20%D1%84%D0%B8%D0%BB%D1%8C%D0%BC","искать")</f>
        <v/>
      </c>
      <c r="N6438" s="3" t="n"/>
      <c r="O6438" s="2" t="n"/>
      <c r="P6438" s="2" t="n"/>
    </row>
    <row r="6439">
      <c r="A6439" s="2" t="n">
        <v>6438</v>
      </c>
      <c r="B6439" s="2" t="inlineStr"/>
      <c r="C6439" s="2" t="n">
        <v>9905</v>
      </c>
      <c r="D6439" s="3" t="inlineStr">
        <is>
          <t>Капитан</t>
        </is>
      </c>
      <c r="E6439" s="2" t="n">
        <v>1973</v>
      </c>
      <c r="F6439" s="2" t="inlineStr">
        <is>
          <t>телефильм</t>
        </is>
      </c>
      <c r="G6439" s="2" t="inlineStr">
        <is>
          <t>Ленфильм</t>
        </is>
      </c>
      <c r="H6439" s="2" t="n">
        <v>678</v>
      </c>
      <c r="I6439" s="2" t="inlineStr"/>
      <c r="J6439" s="2" t="inlineStr"/>
      <c r="K6439" s="3" t="inlineStr">
        <is>
          <t>Все последние дни, оставшиеся до воскресенья, Денис Кораблёв провёл в ожидании приезда дяди Харитона — настоящего капитана дальнего плавания. Воображение рисовало мальчику могучего бородатого богатыря с трубкой и морской фуражкой. Приехавший дядя оказался невысоким пожилым человеком, одетым в смешную пижаму. Денис готов был расплакаться, глядя на этого человека. Ему было неловко даже пройти с ним мимо окон соседских ребят. Дядя понял состояние мальчика и взял Дениса с собой на тральщик, командиром которого был в годы войны. Увидев дядю в парадной морской форме, принимающим приветствие военных моряков, Дениска наконец понял, что его дядя — самый настоящий боевой капитан.</t>
        </is>
      </c>
      <c r="L6439" s="2" t="inlineStr">
        <is>
          <t>https://ru.wikipedia.org/w/index.php?title=%D0%9A%D0%B0%D0%BF%D0%B8%D1%82%D0%B0%D0%BD_%28%D1%84%D0%B8%D0%BB%D1%8C%D0%BC%2C_1973%29&amp;oldid=155262684</t>
        </is>
      </c>
      <c r="M6439" s="2">
        <f>HYPERLINK("https://ru.wikipedia.org/w/index.php?search=%D0%9A%D0%B0%D0%BF%D0%B8%D1%82%D0%B0%D0%BD%201973%20%D1%84%D0%B8%D0%BB%D1%8C%D0%BC","искать")</f>
        <v/>
      </c>
      <c r="N6439" s="3" t="n"/>
      <c r="O6439" s="2" t="n"/>
      <c r="P6439" s="2" t="n"/>
    </row>
    <row r="6440">
      <c r="A6440" s="2" t="n">
        <v>6439</v>
      </c>
      <c r="B6440" s="2" t="inlineStr"/>
      <c r="C6440" s="2" t="n">
        <v>11152</v>
      </c>
      <c r="D6440" s="3" t="inlineStr">
        <is>
          <t>Живи и помни</t>
        </is>
      </c>
      <c r="E6440" s="2" t="n">
        <v>1987</v>
      </c>
      <c r="F6440" s="2" t="inlineStr">
        <is>
          <t>фильм-спектакль</t>
        </is>
      </c>
      <c r="G6440" s="2" t="inlineStr">
        <is>
          <t>Главная редакция литературно-драматических программ ЦТ</t>
        </is>
      </c>
      <c r="H6440" s="2" t="n">
        <v>678</v>
      </c>
      <c r="I6440" s="2" t="inlineStr"/>
      <c r="J6440" s="2" t="inlineStr"/>
      <c r="K6440" s="3" t="inlineStr">
        <is>
          <t>По одноименной повести В.Распутина в постановке Московского драматического театра-студии "Сфера".
Действие происходит в годы Великой Отечественной войны.
В последний год войны в родную деревню возвращается Андрей. Но возвращается не героем, а дезертиром, не доехавшим после ранения из госпиталя в свою воинскую часть. О том, что Андрей вернулся, знает только один человек – жена Настя – единственная, кому Андрей может доверить свою жизнь. Настя вынуждена скрывать мужа даже от родных, лишь изредка навещая его в укрытии. Андрей теперь – вечный беглец, обреченный на одиночество. Чувство тяжелой вины за происшедшее, безвыходность сложившейся ситуации приводят Настёну к гибели.</t>
        </is>
      </c>
      <c r="L6440" s="2" t="inlineStr">
        <is>
          <t>https://www.kino-teatr.ru/teatr/movie/81295/annot/</t>
        </is>
      </c>
      <c r="M6440" s="2">
        <f>HYPERLINK("https://ru.wikipedia.org/w/index.php?search=%D0%96%D0%B8%D0%B2%D0%B8%20%D0%B8%20%D0%BF%D0%BE%D0%BC%D0%BD%D0%B8%201987%20%D1%84%D0%B8%D0%BB%D1%8C%D0%BC","искать")</f>
        <v/>
      </c>
      <c r="N6440" s="3" t="n"/>
      <c r="O6440" s="2" t="n"/>
      <c r="P6440" s="2" t="n"/>
    </row>
    <row r="6441">
      <c r="A6441" s="2" t="n">
        <v>6440</v>
      </c>
      <c r="B6441" s="2" t="inlineStr"/>
      <c r="C6441" s="2" t="n">
        <v>7389</v>
      </c>
      <c r="D6441" s="3" t="inlineStr">
        <is>
          <t>Время для размышлений</t>
        </is>
      </c>
      <c r="E6441" s="2" t="n">
        <v>1982</v>
      </c>
      <c r="F6441" s="2" t="inlineStr">
        <is>
          <t>телефильм</t>
        </is>
      </c>
      <c r="G6441" s="2" t="inlineStr">
        <is>
          <t>Одесская к/с</t>
        </is>
      </c>
      <c r="H6441" s="2" t="n">
        <v>679</v>
      </c>
      <c r="I6441" s="2" t="inlineStr"/>
      <c r="J6441" s="2" t="inlineStr"/>
      <c r="K6441" s="3" t="inlineStr">
        <is>
          <t>Аля и Игорь собираются пожениться. Для каждого из них это второй брак. Аля в претензии к бывшему мужу Андрею, постоянно занятому наукой и равнодушному к бытовым проблемам. Она полагает, что вместе со своими родителями Андрей хочет отобрать у неё сына Серёжу, не замечая в своём гневе, что несправедлива к близким, а ребёнок страдает от этого. Но Аля не хочет ссор с Андреем, поскольку скоро день рождения Серёжи. Игорь во всём старается поддержать свою любимую. На дне рождения Серёжа читает стишок о семье, который он сочинил сам. Сам мальчик оказывается меж двух огней, ибо Игорь ему понравился, но сам он всё время думал об отце. Аля ласково убеждает сына, что папа его любит.</t>
        </is>
      </c>
      <c r="L6441" s="2" t="inlineStr">
        <is>
          <t>https://ru.wikipedia.org/w/index.php?title=%D0%92%D1%80%D0%B5%D0%BC%D1%8F_%D0%B4%D0%BB%D1%8F_%D1%80%D0%B0%D0%B7%D0%BC%D1%8B%D1%88%D0%BB%D0%B5%D0%BD%D0%B8%D0%B9&amp;oldid=149105093</t>
        </is>
      </c>
      <c r="M6441" s="2">
        <f>HYPERLINK("https://ru.wikipedia.org/w/index.php?search=%D0%92%D1%80%D0%B5%D0%BC%D1%8F%20%D0%B4%D0%BB%D1%8F%20%D1%80%D0%B0%D0%B7%D0%BC%D1%8B%D1%88%D0%BB%D0%B5%D0%BD%D0%B8%D0%B9%201982%20%D1%84%D0%B8%D0%BB%D1%8C%D0%BC","искать")</f>
        <v/>
      </c>
      <c r="N6441" s="3" t="n"/>
      <c r="O6441" s="2" t="n"/>
      <c r="P6441" s="2" t="n"/>
    </row>
    <row r="6442">
      <c r="A6442" s="2" t="n">
        <v>6441</v>
      </c>
      <c r="B6442" s="2" t="inlineStr"/>
      <c r="C6442" s="2" t="n">
        <v>8297</v>
      </c>
      <c r="D6442" s="3" t="inlineStr">
        <is>
          <t>Самые быстрые в мире</t>
        </is>
      </c>
      <c r="E6442" s="2" t="n">
        <v>1985</v>
      </c>
      <c r="F6442" s="2" t="inlineStr">
        <is>
          <t>телефильм</t>
        </is>
      </c>
      <c r="G6442" s="2" t="n"/>
      <c r="H6442" s="2" t="n">
        <v>680</v>
      </c>
      <c r="I6442" s="2" t="inlineStr"/>
      <c r="J6442" s="2" t="inlineStr"/>
      <c r="K6442" s="3" t="inlineStr">
        <is>
          <t>Участниками событий являются рачинцы Марко́з, Романо́з и Бике́нтий. Объединяет короткие истории между собой ведущий-рассказчик, сам появляющийся на экране среди остальных героев. Общая тема фильма — для того, чтобы многое успеть в жизни, совсем не обязательно торопиться. Так, по замыслу авторов фильма, Христофор Колумб, приплыв в Америку, обнаружил там рачинцев, которые объяснили ему, что он попал отнюдь не в Индию. Через весь фильм проходит также история марафонского забега, за время которого неторопливый рачинец успел обзавестись женой и четырьмя детьми. Заканчивается фильм словами рассказчика, что рачинцы — народ незлобивый, и все эти истории они придумали о себе сами.</t>
        </is>
      </c>
      <c r="L6442" s="2" t="inlineStr">
        <is>
          <t>https://ru.wikipedia.org/w/index.php?title=%D0%A1%D0%B0%D0%BC%D1%8B%D0%B5_%D0%B1%D1%8B%D1%81%D1%82%D1%80%D1%8B%D0%B5_%D0%B2_%D0%BC%D0%B8%D1%80%D0%B5&amp;oldid=146537025</t>
        </is>
      </c>
      <c r="M6442" s="2">
        <f>HYPERLINK("https://ru.wikipedia.org/w/index.php?search=%D0%A1%D0%B0%D0%BC%D1%8B%D0%B5%20%D0%B1%D1%8B%D1%81%D1%82%D1%80%D1%8B%D0%B5%20%D0%B2%20%D0%BC%D0%B8%D1%80%D0%B5%201985%20%D1%84%D0%B8%D0%BB%D1%8C%D0%BC","искать")</f>
        <v/>
      </c>
      <c r="N6442" s="3" t="n"/>
      <c r="O6442" s="2" t="n"/>
      <c r="P6442" s="2" t="n"/>
    </row>
    <row r="6443">
      <c r="A6443" s="2" t="n">
        <v>6442</v>
      </c>
      <c r="B6443" s="2" t="inlineStr"/>
      <c r="C6443" s="2" t="n">
        <v>11445</v>
      </c>
      <c r="D6443" s="3" t="inlineStr">
        <is>
          <t>Легенда о Григе</t>
        </is>
      </c>
      <c r="E6443" s="2" t="n">
        <v>1967</v>
      </c>
      <c r="F6443" s="2" t="inlineStr">
        <is>
          <t>мультфильм</t>
        </is>
      </c>
      <c r="G6443" s="2" t="inlineStr">
        <is>
          <t>Союзмультфильм</t>
        </is>
      </c>
      <c r="H6443" s="2" t="n">
        <v>681</v>
      </c>
      <c r="I6443" s="2" t="inlineStr"/>
      <c r="J6443" s="2" t="inlineStr"/>
      <c r="K6443" s="3" t="inlineStr">
        <is>
          <t>Композитор Григ жил со своим другом доктором в маленьком домике среди черных скал и белых фьордов. Однажды Григ себя плохо почувствовал - подкралась смерть и схватила его за сердце. В это время король троллей собирался праздновать свадьбу. А без музыки великого композитора какая же это свадьба. Послал король троллей за Григом. Пришли тролли в его домик в тот момент, когда смерть, поставив песочные часы, отсчитывала оставшиеся секунды и швыряла в камин ноты. И, о чудо! Ноты взорвались волшебной музыкой, пришла весна, зацвело все вокруг и лучи солнца ворвались в комнату Грига, вставшего на ноги. Все поспешили в замок на свадьбу. А смерть уронила песочные часы и они разбились</t>
        </is>
      </c>
      <c r="L6443" s="2" t="inlineStr">
        <is>
          <t>https://gosfilmofond.ru/films/254269/</t>
        </is>
      </c>
      <c r="M6443" s="2">
        <f>HYPERLINK("https://ru.wikipedia.org/w/index.php?search=%D0%9B%D0%B5%D0%B3%D0%B5%D0%BD%D0%B4%D0%B0%20%D0%BE%20%D0%93%D1%80%D0%B8%D0%B3%D0%B5%201967%20%D1%84%D0%B8%D0%BB%D1%8C%D0%BC","искать")</f>
        <v/>
      </c>
      <c r="N6443" s="3" t="n"/>
      <c r="O6443" s="2" t="n"/>
      <c r="P6443" s="2" t="n"/>
    </row>
    <row r="6444">
      <c r="A6444" s="2" t="n">
        <v>6443</v>
      </c>
      <c r="B6444" s="2" t="inlineStr"/>
      <c r="C6444" s="2" t="n">
        <v>8322</v>
      </c>
      <c r="D6444" s="3" t="inlineStr">
        <is>
          <t>Секретарь парткома</t>
        </is>
      </c>
      <c r="E6444" s="2" t="n">
        <v>1970</v>
      </c>
      <c r="F6444" s="2" t="inlineStr">
        <is>
          <t>телефильм</t>
        </is>
      </c>
      <c r="G6444" s="2" t="n"/>
      <c r="H6444" s="2" t="n">
        <v>682</v>
      </c>
      <c r="I6444" s="2" t="inlineStr"/>
      <c r="J6444" s="2" t="inlineStr"/>
      <c r="K6444" s="3" t="inlineStr">
        <is>
          <t>Полину Гончаренко односельчане избирают секретарем парткома колхоза. Честная и принципиальная, утверждая хозяйственное, но творческое отношение к работе и жизни, не терпящая работы на авось и по старинке, она вступает в противоборство с председателем колхоза и, тем самым, еще более усложняет свою личную жизнь.
В центре двухсерийной картины — образ колхозницы Полины, которую односельчане избрали секретарем своей партийной организации. Актриса Л. Полякова сыграла эту сложную роль талантливо, вдохновенно. Её героиня — женщина большой души, государственного ума, щедрого сердца. Общественное, колхозное для неё неотделимо от личного, в работу она вкладывает всю энергию, всю душу.</t>
        </is>
      </c>
      <c r="L6444" s="2" t="inlineStr">
        <is>
          <t>https://ru.wikipedia.org/w/index.php?title=%D0%A1%D0%B5%D0%BA%D1%80%D0%B5%D1%82%D0%B0%D1%80%D1%8C_%D0%BF%D0%B0%D1%80%D1%82%D0%BA%D0%BE%D0%BC%D0%B0_%28%D1%84%D0%B8%D0%BB%D1%8C%D0%BC%29&amp;oldid=154704407</t>
        </is>
      </c>
      <c r="M6444" s="2">
        <f>HYPERLINK("https://ru.wikipedia.org/w/index.php?search=%D0%A1%D0%B5%D0%BA%D1%80%D0%B5%D1%82%D0%B0%D1%80%D1%8C%20%D0%BF%D0%B0%D1%80%D1%82%D0%BA%D0%BE%D0%BC%D0%B0%201970%20%D1%84%D0%B8%D0%BB%D1%8C%D0%BC","искать")</f>
        <v/>
      </c>
      <c r="N6444" s="3" t="n"/>
      <c r="O6444" s="2" t="n"/>
      <c r="P6444" s="2" t="n"/>
    </row>
    <row r="6445">
      <c r="A6445" s="2" t="n">
        <v>6444</v>
      </c>
      <c r="B6445" s="2" t="inlineStr"/>
      <c r="C6445" s="2" t="n">
        <v>8539</v>
      </c>
      <c r="D6445" s="3" t="inlineStr">
        <is>
          <t>Цыплят по осени считают</t>
        </is>
      </c>
      <c r="E6445" s="2" t="n">
        <v>1973</v>
      </c>
      <c r="F6445" s="2" t="inlineStr">
        <is>
          <t>телефильм</t>
        </is>
      </c>
      <c r="G6445" s="2" t="n"/>
      <c r="H6445" s="2" t="n">
        <v>683</v>
      </c>
      <c r="I6445" s="2" t="inlineStr"/>
      <c r="J6445" s="2" t="inlineStr"/>
      <c r="K6445" s="3" t="inlineStr">
        <is>
          <t>В Яунпилс, для учёбы в профтехучилище сельских механизаторов, съехались ребята со всей республики. Для воспитателя группы Звирбулиса это первый учебный год. Ему предстоит вместе со своими воспитанниками, пройти сложный путь овладения профессией.
Преподаватель Думс, с высоты своего двадцатилетнего стажа, рекомендует строить отношения с учениками на основе строгой дисциплины. Такой совет кажется молодому мастеру неверным, он предпочитает быть более гибким и терпимым. Союзником в таком подходе становится Иевиньш, самый опытный из педагогов.
На ежегодных соревнованиях будущие трактористы доказали правоту своего наставника, достойно защитив честь своего, ставшего родным, училища.</t>
        </is>
      </c>
      <c r="L6445" s="2" t="inlineStr">
        <is>
          <t>https://ru.wikipedia.org/w/index.php?title=%D0%A6%D1%8B%D0%BF%D0%BB%D1%8F%D1%82_%D0%BF%D0%BE_%D0%BE%D1%81%D0%B5%D0%BD%D0%B8_%D1%81%D1%87%D0%B8%D1%82%D0%B0%D1%8E%D1%82&amp;oldid=154123340</t>
        </is>
      </c>
      <c r="M6445" s="2">
        <f>HYPERLINK("https://ru.wikipedia.org/w/index.php?search=%D0%A6%D1%8B%D0%BF%D0%BB%D1%8F%D1%82%20%D0%BF%D0%BE%20%D0%BE%D1%81%D0%B5%D0%BD%D0%B8%20%D1%81%D1%87%D0%B8%D1%82%D0%B0%D1%8E%D1%82%201973%20%D1%84%D0%B8%D0%BB%D1%8C%D0%BC","искать")</f>
        <v/>
      </c>
      <c r="N6445" s="3" t="n"/>
      <c r="O6445" s="2" t="n"/>
      <c r="P6445" s="2" t="n"/>
    </row>
    <row r="6446">
      <c r="A6446" s="2" t="n">
        <v>6445</v>
      </c>
      <c r="B6446" s="2" t="inlineStr"/>
      <c r="C6446" s="2" t="n">
        <v>9294</v>
      </c>
      <c r="D6446" s="3" t="inlineStr">
        <is>
          <t>Высокая кровь</t>
        </is>
      </c>
      <c r="E6446" s="2" t="n">
        <v>1989</v>
      </c>
      <c r="F6446" s="2" t="inlineStr">
        <is>
          <t>кинофильм</t>
        </is>
      </c>
      <c r="G6446" s="2" t="n"/>
      <c r="H6446" s="2" t="n">
        <v>683</v>
      </c>
      <c r="I6446" s="2" t="inlineStr"/>
      <c r="J6446" s="2" t="inlineStr"/>
      <c r="K6446" s="3" t="inlineStr">
        <is>
          <t>Жокей Филипп лежит в больнице, не подозревая о том, что в это время его красавца-коня Фаворита начальство приказывает срочно отправить на конезавод. Для этого не находится специального фургона, и породистого призового скакуна, который стоит огромных денег, решают везти в открытом грузовике. С самого начала все не ладится: забыт корм для коня, у водителя Лехи Шаврова с перепоя болит голова, и он мечтает только о том, чтобы опохмелиться. Грахов же, сопровождающий коня и работающий над диссертацией о лошадях, думает только о своих делах. По дороге в машине закипает вода. Шавров выходит из кабины, машина, не поставленная на тормоз, вместе с лошадью катится в реку. Фаворит тонет.</t>
        </is>
      </c>
      <c r="L6446" s="2" t="inlineStr">
        <is>
          <t>https://gosfilmofond.ru/films/240499/</t>
        </is>
      </c>
      <c r="M6446" s="2">
        <f>HYPERLINK("https://ru.wikipedia.org/w/index.php?search=%D0%92%D1%8B%D1%81%D0%BE%D0%BA%D0%B0%D1%8F%20%D0%BA%D1%80%D0%BE%D0%B2%D1%8C%201989%20%D1%84%D0%B8%D0%BB%D1%8C%D0%BC","искать")</f>
        <v/>
      </c>
      <c r="N6446" s="3" t="n"/>
      <c r="O6446" s="2" t="n"/>
      <c r="P6446" s="2" t="n"/>
    </row>
    <row r="6447">
      <c r="A6447" s="2" t="n">
        <v>6446</v>
      </c>
      <c r="B6447" s="2" t="inlineStr"/>
      <c r="C6447" s="2" t="n">
        <v>9511</v>
      </c>
      <c r="D6447" s="3" t="inlineStr">
        <is>
          <t>Новая Москва</t>
        </is>
      </c>
      <c r="E6447" s="2" t="n">
        <v>1938</v>
      </c>
      <c r="F6447" s="2" t="inlineStr">
        <is>
          <t>кинофильм</t>
        </is>
      </c>
      <c r="G6447" s="2" t="n"/>
      <c r="H6447" s="2" t="n">
        <v>684</v>
      </c>
      <c r="I6447" s="2" t="inlineStr"/>
      <c r="J6447" s="2" t="inlineStr"/>
      <c r="K6447" s="3" t="inlineStr">
        <is>
          <t>Инженеры, работающие на новостройке в тайге, изобрели «живую модель» Москвы, позволяющую зрительно представить процесс реконструкции столицы. Наконец, «живая модель» Москвы построена и ее демонстрацию с нетерпением ждут в Москве. Алеше доверяют отвезти макет в столицу. Но в Москве он опаздывает к началу демонстрации, модель включают без него. Неожиданно она начинает работать в обратном направлении – новые здания исчезают, а на их месте, под смех аудитории, «воскресают» снесенные старые дома. Подоспевший Алеша берет дело в свои руки, и модель начинает действовать, как положено. Представление заканчивается триумфом Алеши, «живой модели» и Сталинского плана реконструкции Москвы.</t>
        </is>
      </c>
      <c r="L6447" s="2" t="inlineStr">
        <is>
          <t>https://gosfilmofond.ru/films/244470/</t>
        </is>
      </c>
      <c r="M6447" s="2">
        <f>HYPERLINK("https://ru.wikipedia.org/w/index.php?search=%D0%9D%D0%BE%D0%B2%D0%B0%D1%8F%20%D0%9C%D0%BE%D1%81%D0%BA%D0%B2%D0%B0%201938%20%D1%84%D0%B8%D0%BB%D1%8C%D0%BC","искать")</f>
        <v/>
      </c>
      <c r="N6447" s="3" t="n"/>
      <c r="O6447" s="2" t="n"/>
      <c r="P6447" s="2" t="n"/>
    </row>
    <row r="6448">
      <c r="A6448" s="2" t="n">
        <v>6447</v>
      </c>
      <c r="B6448" s="2" t="inlineStr"/>
      <c r="C6448" s="2" t="n">
        <v>10704</v>
      </c>
      <c r="D6448" s="3" t="inlineStr">
        <is>
          <t>Не от мира сего</t>
        </is>
      </c>
      <c r="E6448" s="2" t="n">
        <v>1977</v>
      </c>
      <c r="F6448" s="2" t="inlineStr">
        <is>
          <t>фильм-спектакль</t>
        </is>
      </c>
      <c r="G6448" s="2" t="inlineStr">
        <is>
          <t>ТО “Экран”</t>
        </is>
      </c>
      <c r="H6448" s="2" t="n">
        <v>684</v>
      </c>
      <c r="I6448" s="2" t="inlineStr"/>
      <c r="J6448" s="2" t="inlineStr"/>
      <c r="K6448" s="3" t="inlineStr">
        <is>
          <t>Спектакль по последней пьесе Александра Николаевича Островского в постановке театра на Малой Бронной.
Действие пьесы «Не от мира сего» тоже разворачивается в Замоскворечье. Главная героиня — действительно «не от мира сего», но не столько по своим идеальным совершенствам, сколько по судьбе, устраиваемой для нее автором. Она является на сцену, произносит несколько чувствительных монологов, впадает в необъяснимый ужас перед одним из действующих лиц — человеком безобидным и на редкость добрым, только любящим пожить, и, наконец, внезапно умирает самой ангельской и красноречивой смертью, оставаясь в живых ровно столько, чтобы сказать мужу-грешнику о своей любви к нему и о прощении.</t>
        </is>
      </c>
      <c r="L6448" s="2" t="inlineStr">
        <is>
          <t>https://www.kino-teatr.ru/teatr/movie/81468/annot/</t>
        </is>
      </c>
      <c r="M6448" s="2">
        <f>HYPERLINK("https://ru.wikipedia.org/w/index.php?search=%D0%9D%D0%B5%20%D0%BE%D1%82%20%D0%BC%D0%B8%D1%80%D0%B0%20%D1%81%D0%B5%D0%B3%D0%BE%201977%20%D1%84%D0%B8%D0%BB%D1%8C%D0%BC","искать")</f>
        <v/>
      </c>
      <c r="N6448" s="3" t="n"/>
      <c r="O6448" s="2" t="n"/>
      <c r="P6448" s="2" t="n"/>
    </row>
    <row r="6449">
      <c r="A6449" s="2" t="n">
        <v>6448</v>
      </c>
      <c r="B6449" s="2" t="inlineStr"/>
      <c r="C6449" s="2" t="n">
        <v>11105</v>
      </c>
      <c r="D6449" s="3" t="inlineStr">
        <is>
          <t>Двенадцатая ночь, или Что угодно (фильм-балет)</t>
        </is>
      </c>
      <c r="E6449" s="2" t="n">
        <v>1986</v>
      </c>
      <c r="F6449" s="2" t="inlineStr">
        <is>
          <t>фильм-спектакль</t>
        </is>
      </c>
      <c r="G6449" s="2" t="inlineStr">
        <is>
          <t>Грузия-телефильм</t>
        </is>
      </c>
      <c r="H6449" s="2" t="n">
        <v>685</v>
      </c>
      <c r="I6449" s="2" t="inlineStr"/>
      <c r="J6449" s="2" t="inlineStr"/>
      <c r="K6449" s="3" t="inlineStr">
        <is>
          <t>«Двенадцатая ночь, или Что угодно» — телефильм-балет Б. Эйфмана 1986 года по мотивам комедии Шекспира.
Брат и сестра случайно оказываются на современном уличном представлении балета. Они так очарованы сюжетом, что, позабыв о том, что находятся на представлении, поднимаются на сцену и оказываются в сказочной стране. Брат влюбляется в Оливию, а сестра — в герцога. Но так как объекты любви не допускают к себе людей противоположного пола, они переодеваются: брат в одежду сестры, а сестра — в брата, и поступают в услужение Оливии и герцогу. После веселых приключений обман раскрывается и все заканчивается свадьбой.
Звучит музыка из опер Доницетти в свободной обработке Тимура Когана.</t>
        </is>
      </c>
      <c r="L6449" s="2" t="inlineStr">
        <is>
          <t>https://www.kino-teatr.ru/teatr/movie/85267/annot/</t>
        </is>
      </c>
      <c r="M6449" s="2">
        <f>HYPERLINK("https://ru.wikipedia.org/w/index.php?search=%D0%94%D0%B2%D0%B5%D0%BD%D0%B0%D0%B4%D1%86%D0%B0%D1%82%D0%B0%D1%8F%20%D0%BD%D0%BE%D1%87%D1%8C%2C%20%D0%B8%D0%BB%D0%B8%20%D0%A7%D1%82%D0%BE%20%D1%83%D0%B3%D0%BE%D0%B4%D0%BD%D0%BE%20%28%D1%84%D0%B8%D0%BB%D1%8C%D0%BC-%D0%B1%D0%B0%D0%BB%D0%B5%D1%82%29%201986%20%D1%84%D0%B8%D0%BB%D1%8C%D0%BC","искать")</f>
        <v/>
      </c>
      <c r="N6449" s="3" t="n"/>
      <c r="O6449" s="2" t="n"/>
      <c r="P6449" s="2" t="n"/>
    </row>
    <row r="6450">
      <c r="A6450" s="2" t="n">
        <v>6449</v>
      </c>
      <c r="B6450" s="2" t="inlineStr"/>
      <c r="C6450" s="2" t="n">
        <v>7332</v>
      </c>
      <c r="D6450" s="3" t="inlineStr">
        <is>
          <t>Вечера на хуторе близ Диканьки</t>
        </is>
      </c>
      <c r="E6450" s="2" t="n">
        <v>1983</v>
      </c>
      <c r="F6450" s="2" t="inlineStr">
        <is>
          <t>телефильм</t>
        </is>
      </c>
      <c r="G6450" s="2" t="n"/>
      <c r="H6450" s="2" t="n">
        <v>686</v>
      </c>
      <c r="I6450" s="2" t="inlineStr"/>
      <c r="J6450" s="2" t="inlineStr"/>
      <c r="K6450" s="3" t="inlineStr">
        <is>
          <t>Наше время. Идёт реконструкция заповедника-музея Николая Гоголя.
По территории музея идёт повествователь (Олег Янковский), который ведёт рассказ о личности Гоголя, его рассказы плавно перетекают во фрагменты произведений Николая Васильевича, которые тесно переплетаются. В фильме явь и вымысел тесно соседствуют друг с другом.
Среди экранизированных фрагментов — история про кузнеца Вакулу, который готов вступить в сговор с Чёртом ради черевичек для возлюбленной Оксаны; взаимоотношения Ивана Фёдоровича Шпоньки и его тётушки; трагедия Майской ночи… А вот Акакию Акакиевичу, появляющемуся в Иванову ночь у костра на берегу, Повествователь говорит «Не время!», не дошла до него очередь.</t>
        </is>
      </c>
      <c r="L6450" s="2" t="inlineStr">
        <is>
          <t>https://ru.wikipedia.org/w/index.php?title=%D0%92%D0%B5%D1%87%D0%B5%D1%80%D0%B0_%D0%BD%D0%B0_%D1%85%D1%83%D1%82%D0%BE%D1%80%D0%B5_%D0%B1%D0%BB%D0%B8%D0%B7_%D0%94%D0%B8%D0%BA%D0%B0%D0%BD%D1%8C%D0%BA%D0%B8_%28%D1%84%D0%B8%D0%BB%D1%8C%D0%BC%2C_1983%29&amp;oldid=154692736</t>
        </is>
      </c>
      <c r="M6450" s="2">
        <f>HYPERLINK("https://ru.wikipedia.org/w/index.php?search=%D0%92%D0%B5%D1%87%D0%B5%D1%80%D0%B0%20%D0%BD%D0%B0%20%D1%85%D1%83%D1%82%D0%BE%D1%80%D0%B5%20%D0%B1%D0%BB%D0%B8%D0%B7%20%D0%94%D0%B8%D0%BA%D0%B0%D0%BD%D1%8C%D0%BA%D0%B8%201983%20%D1%84%D0%B8%D0%BB%D1%8C%D0%BC","искать")</f>
        <v/>
      </c>
      <c r="N6450" s="3" t="n"/>
      <c r="O6450" s="2" t="n"/>
      <c r="P6450" s="2" t="n"/>
    </row>
    <row r="6451">
      <c r="A6451" s="2" t="n">
        <v>6450</v>
      </c>
      <c r="B6451" s="2" t="inlineStr"/>
      <c r="C6451" s="2" t="n">
        <v>10408</v>
      </c>
      <c r="D6451" s="3" t="inlineStr">
        <is>
          <t>Нахлебник</t>
        </is>
      </c>
      <c r="E6451" s="2" t="n">
        <v>1971</v>
      </c>
      <c r="F6451" s="2" t="inlineStr">
        <is>
          <t>фильм-спектакль</t>
        </is>
      </c>
      <c r="G6451" s="2" t="inlineStr">
        <is>
          <t>ТО "Экран", Подборки фильмов, экранизации Тургенева</t>
        </is>
      </c>
      <c r="H6451" s="2" t="n">
        <v>687</v>
      </c>
      <c r="I6451" s="2" t="inlineStr"/>
      <c r="J6451" s="2" t="inlineStr"/>
      <c r="K6451" s="3" t="inlineStr">
        <is>
          <t>По одноименной пьесе И.Тургенева в постановке Московского Художественного академического театра им. Горького.
После многолетнего отсутствия из Петербурга в свое имение приезжает с мужем молодая помещица Елецкая. Молодых встречает бедный дворянин Кузовкин - нахлебник в доме Елецкой. Ее муж и окрестные помещики, томимые скукой провинциальной жизни, потешаются над стариком, унижая его человеческое достоинство. Не выдержав издевательств, Кузовкин во всеуслышание объявляет, что хозяйка имения - его дочь. По настоянию Елецкого старик покидает дом своей дочери. Эта простая история сыграна Яншиным с такой душераздирающей трогательностью, что равнодушным зритель остаться просто не может.</t>
        </is>
      </c>
      <c r="L6451" s="2" t="inlineStr">
        <is>
          <t>https://www.kino-teatr.ru/teatr/movie/4272/annot/</t>
        </is>
      </c>
      <c r="M6451" s="2">
        <f>HYPERLINK("https://ru.wikipedia.org/w/index.php?search=%D0%9D%D0%B0%D1%85%D0%BB%D0%B5%D0%B1%D0%BD%D0%B8%D0%BA%201971%20%D1%84%D0%B8%D0%BB%D1%8C%D0%BC","искать")</f>
        <v/>
      </c>
      <c r="N6451" s="3" t="n"/>
      <c r="O6451" s="2" t="n"/>
      <c r="P6451" s="2" t="n"/>
    </row>
    <row r="6452">
      <c r="A6452" s="2" t="n">
        <v>6451</v>
      </c>
      <c r="B6452" s="2" t="inlineStr"/>
      <c r="C6452" s="2" t="n">
        <v>11010</v>
      </c>
      <c r="D6452" s="3" t="inlineStr">
        <is>
          <t>Равняется четырём Франциям</t>
        </is>
      </c>
      <c r="E6452" s="2" t="n">
        <v>1983</v>
      </c>
      <c r="F6452" s="2" t="inlineStr">
        <is>
          <t>фильм-спектакль</t>
        </is>
      </c>
      <c r="G6452" s="2" t="inlineStr">
        <is>
          <t>Ленинградское ТВ</t>
        </is>
      </c>
      <c r="H6452" s="2" t="n">
        <v>688</v>
      </c>
      <c r="I6452" s="2" t="inlineStr"/>
      <c r="J6452" s="2" t="inlineStr"/>
      <c r="K6452" s="3" t="inlineStr">
        <is>
          <t>В море терпит бедствие сухогруз "Челюскинец", а руководители равняющегося четырем Франциям края, от которых зависит сейчас столь многое, скрупулезно и вдумчиво решают вопрос о том, давать ли "SOS", что является прерогативой капитана. В крайкоме партии идет спор о том, подменять или не подменять командира в столь экстремальной ситуации.
Впрочем, экстремальная ситуация, избранная драматургом для сюжетной завязки, могда возникнуть не только в океане. Автор не ставил перед собой задачу художественно отразить какую-то конкретную ситуацию. Здесь она - лишь фон для столкновения характеров, проявления подлинно партийного подхода к делу или противоположного ему, формального, амбициозного.</t>
        </is>
      </c>
      <c r="L6452" s="2" t="inlineStr">
        <is>
          <t>https://www.kino-teatr.ru/teatr/movie/79772/annot/</t>
        </is>
      </c>
      <c r="M6452" s="2">
        <f>HYPERLINK("https://ru.wikipedia.org/w/index.php?search=%D0%A0%D0%B0%D0%B2%D0%BD%D1%8F%D0%B5%D1%82%D1%81%D1%8F%20%D1%87%D0%B5%D1%82%D1%8B%D1%80%D1%91%D0%BC%20%D0%A4%D1%80%D0%B0%D0%BD%D1%86%D0%B8%D1%8F%D0%BC%201983%20%D1%84%D0%B8%D0%BB%D1%8C%D0%BC","искать")</f>
        <v/>
      </c>
      <c r="N6452" s="3" t="n"/>
      <c r="O6452" s="2" t="n"/>
      <c r="P6452" s="2" t="n"/>
    </row>
    <row r="6453">
      <c r="A6453" s="2" t="n">
        <v>6452</v>
      </c>
      <c r="B6453" s="2" t="inlineStr"/>
      <c r="C6453" s="2" t="n">
        <v>11615</v>
      </c>
      <c r="D6453" s="3" t="inlineStr">
        <is>
          <t>Это в наших силах</t>
        </is>
      </c>
      <c r="E6453" s="2" t="n">
        <v>1970</v>
      </c>
      <c r="F6453" s="2" t="inlineStr">
        <is>
          <t>мультфильм</t>
        </is>
      </c>
      <c r="G6453" s="2" t="inlineStr">
        <is>
          <t>Союзмультфильм</t>
        </is>
      </c>
      <c r="H6453" s="2" t="n">
        <v>689</v>
      </c>
      <c r="I6453" s="2" t="inlineStr"/>
      <c r="J6453" s="2" t="inlineStr"/>
      <c r="K6453" s="3" t="inlineStr">
        <is>
          <t>Только что вылупившегося птенца кормят Генерал и Бизнесмен, кормят...военным снаряжением и деньгами. И в то время, как в разных странах, как и всегда, встречаются влюленные, сидят на скамейках старики, играют детишки,Птенец пожирает дары милитаристов. Наконец, он вырастает в огромную птицу, которая поднимается в небо и сбрасываеь свои желещные перья на землю. Горят джунгли, города. Но вот навстречу грозной птице взлетает бесстрашный белый голубь. Затем множество голубей поднимаются над столицами многих стран мира; объединившись, они превращаются в одного большого голубя, который уничтожает страшную птицу...И опять встречаются влюбленные, греются на солнышке старики, играют детишки</t>
        </is>
      </c>
      <c r="L6453" s="2" t="inlineStr">
        <is>
          <t>https://gosfilmofond.ru/films/255185/</t>
        </is>
      </c>
      <c r="M6453" s="2">
        <f>HYPERLINK("https://ru.wikipedia.org/w/index.php?search=%D0%AD%D1%82%D0%BE%20%D0%B2%20%D0%BD%D0%B0%D1%88%D0%B8%D1%85%20%D1%81%D0%B8%D0%BB%D0%B0%D1%85%201970%20%D1%84%D0%B8%D0%BB%D1%8C%D0%BC","искать")</f>
        <v/>
      </c>
      <c r="N6453" s="3" t="n"/>
      <c r="O6453" s="2" t="n"/>
      <c r="P6453" s="2" t="n"/>
    </row>
    <row r="6454">
      <c r="A6454" s="2" t="n">
        <v>6453</v>
      </c>
      <c r="B6454" s="2" t="inlineStr"/>
      <c r="C6454" s="2" t="n">
        <v>11439</v>
      </c>
      <c r="D6454" s="3" t="inlineStr">
        <is>
          <t>Варежка</t>
        </is>
      </c>
      <c r="E6454" s="2" t="n">
        <v>1967</v>
      </c>
      <c r="F6454" s="2" t="inlineStr">
        <is>
          <t>мультфильм</t>
        </is>
      </c>
      <c r="G6454" s="2" t="inlineStr">
        <is>
          <t>Союзмультфильм</t>
        </is>
      </c>
      <c r="H6454" s="2" t="n">
        <v>690</v>
      </c>
      <c r="I6454" s="2" t="inlineStr"/>
      <c r="J6454" s="2" t="inlineStr"/>
      <c r="K6454" s="3" t="inlineStr">
        <is>
          <t>Для любой аудитории. О девочке, которой мама не позволяла иметь собаку. И тогда красная шерстяная варежка обратилась в умного веселого щенка, с которым девочка дружила и играла.
III ВКФ, Ленинград 1968, -- Первая премия по разделу мультфильмов.
VII МФ анимационных фильмов, Аннеси (Франция) 1967 -- Первая премия за лучший детский фильм.
V МКФ, Москва 1967, -- Серебряная медаль в конкурсе детских фильмов.
X МФ фильмов для детей и юношества, Хихон (Испания) 1968 -- Гран-При "Золотая пластина"; приз Хихона "За высокое качество мультипликации
X МФ фильмов для детей и юношества в Хихоне (Испания), 1968 -- Главный Приз и Приз города Хизона за высокое художественное качество мультьиплкайии</t>
        </is>
      </c>
      <c r="L6454" s="2" t="inlineStr">
        <is>
          <t>https://animator.ru/db/?p=show_film&amp;fid=2210</t>
        </is>
      </c>
      <c r="M6454" s="2">
        <f>HYPERLINK("https://ru.wikipedia.org/w/index.php?search=%D0%92%D0%B0%D1%80%D0%B5%D0%B6%D0%BA%D0%B0%201967%20%D1%84%D0%B8%D0%BB%D1%8C%D0%BC","искать")</f>
        <v/>
      </c>
      <c r="N6454" s="3" t="n"/>
      <c r="O6454" s="2" t="n"/>
      <c r="P6454" s="2" t="n"/>
    </row>
    <row r="6455">
      <c r="A6455" s="2" t="n">
        <v>6454</v>
      </c>
      <c r="B6455" s="2" t="inlineStr"/>
      <c r="C6455" s="2" t="n">
        <v>10007</v>
      </c>
      <c r="D6455" s="3" t="inlineStr">
        <is>
          <t>Один за всех!</t>
        </is>
      </c>
      <c r="E6455" s="2" t="n">
        <v>1985</v>
      </c>
      <c r="F6455" s="2" t="inlineStr">
        <is>
          <t>телефильм</t>
        </is>
      </c>
      <c r="G6455" s="2" t="inlineStr">
        <is>
          <t>Лентелефильм</t>
        </is>
      </c>
      <c r="H6455" s="2" t="n">
        <v>691</v>
      </c>
      <c r="I6455" s="2" t="inlineStr"/>
      <c r="J6455" s="2" t="inlineStr"/>
      <c r="K6455" s="3" t="inlineStr">
        <is>
          <t>Этот фильм - своеобразный бенефис актера Н.Караченцова. Действие происходит в Ленинграде. Кругом расклеены афиши - “Скоро на экранах”. По городу в такси едет Он - тот, кто изображен на этих афишах. Он подъезжает к студии Ленинградского телевидения. Его встречают и приводят в группу фильма “Один за всех”. Ему рады, его приглашают сниматься в кино. Это будет Его фильм, говорят все, трудностей не будет, все трюки будет исполнять дублер. Напротив героя сидит человек - его точная копия. Это и есть дублер. Он так хорошо выполнил все трюки, что теперь уже его приглашают сниматься. Это будет Его фильм, убеждают его, а все трюки выполнит дублер. И в группе появляется... точная копия дублера.</t>
        </is>
      </c>
      <c r="L6455" s="2" t="inlineStr">
        <is>
          <t>https://www.kino-teatr.ru/short/movie/sov/16633/annot/</t>
        </is>
      </c>
      <c r="M6455" s="2">
        <f>HYPERLINK("https://ru.wikipedia.org/w/index.php?search=%D0%9E%D0%B4%D0%B8%D0%BD%20%D0%B7%D0%B0%20%D0%B2%D1%81%D0%B5%D1%85%21%201985%20%D1%84%D0%B8%D0%BB%D1%8C%D0%BC","искать")</f>
        <v/>
      </c>
      <c r="N6455" s="3" t="n"/>
      <c r="O6455" s="2" t="n"/>
      <c r="P6455" s="2" t="n"/>
    </row>
    <row r="6456">
      <c r="A6456" s="2" t="n">
        <v>6455</v>
      </c>
      <c r="B6456" s="2" t="inlineStr"/>
      <c r="C6456" s="2" t="n">
        <v>7599</v>
      </c>
      <c r="D6456" s="3" t="inlineStr">
        <is>
          <t>Жизнь и приключения четырёх друзей</t>
        </is>
      </c>
      <c r="E6456" s="2" t="n">
        <v>1980</v>
      </c>
      <c r="F6456" s="2" t="inlineStr">
        <is>
          <t>телефильм</t>
        </is>
      </c>
      <c r="G6456" s="2" t="n"/>
      <c r="H6456" s="2" t="n">
        <v>694</v>
      </c>
      <c r="I6456" s="2" t="inlineStr"/>
      <c r="J6456" s="2" t="inlineStr"/>
      <c r="K6456" s="3" t="inlineStr">
        <is>
          <t>Улетая в командировку, полярник оставляет двух своих собак — эрдельтерьера Бубрика и овчарку Фрама — на даче у друга-егеря, где псы знакомятся с его питомцами — дворнягой Тошкой и котом Светофором. Те сначала принимают новых постояльцев в штыки, но после того как Фрам помогает местному мальчику найти пропавшего щенка, а Бубрик — поймать злостного браконьера, примиряются с ними.
Тем не менее, Бубрик скучает по хозяину, и однажды ночью сбегает из дома на его поиски. Фрам и Тошка отправляются вслед за ним, а чуть позже, когда о пропаже собак узнаёт милиция, подключается и Светофор. Вместе им предстоит пережить новые приключения, прежде чем они снова встретят своих хозяев и вернутся домой.</t>
        </is>
      </c>
      <c r="L6456" s="2" t="inlineStr">
        <is>
          <t>https://ru.wikipedia.org/w/index.php?title=%D0%96%D0%B8%D0%B7%D0%BD%D1%8C_%D0%B8_%D0%BF%D1%80%D0%B8%D0%BA%D0%BB%D1%8E%D1%87%D0%B5%D0%BD%D0%B8%D1%8F_%D1%87%D0%B5%D1%82%D1%8B%D1%80%D1%91%D1%85_%D0%B4%D1%80%D1%83%D0%B7%D0%B5%D0%B9&amp;oldid=150007048</t>
        </is>
      </c>
      <c r="M6456" s="2">
        <f>HYPERLINK("https://ru.wikipedia.org/w/index.php?search=%D0%96%D0%B8%D0%B7%D0%BD%D1%8C%20%D0%B8%20%D0%BF%D1%80%D0%B8%D0%BA%D0%BB%D1%8E%D1%87%D0%B5%D0%BD%D0%B8%D1%8F%20%D1%87%D0%B5%D1%82%D1%8B%D1%80%D1%91%D1%85%20%D0%B4%D1%80%D1%83%D0%B7%D0%B5%D0%B9%201980%20%D1%84%D0%B8%D0%BB%D1%8C%D0%BC","искать")</f>
        <v/>
      </c>
      <c r="N6456" s="3" t="n"/>
      <c r="O6456" s="2" t="n"/>
      <c r="P6456" s="2" t="n"/>
    </row>
    <row r="6457">
      <c r="A6457" s="2" t="n">
        <v>6456</v>
      </c>
      <c r="B6457" s="2" t="inlineStr"/>
      <c r="C6457" s="2" t="n">
        <v>9326</v>
      </c>
      <c r="D6457" s="3" t="inlineStr">
        <is>
          <t>Двое на голой земле</t>
        </is>
      </c>
      <c r="E6457" s="2" t="n">
        <v>1989</v>
      </c>
      <c r="F6457" s="2" t="inlineStr">
        <is>
          <t>кинофильм</t>
        </is>
      </c>
      <c r="G6457" s="2" t="n"/>
      <c r="H6457" s="2" t="n">
        <v>695</v>
      </c>
      <c r="I6457" s="2" t="inlineStr"/>
      <c r="J6457" s="2" t="inlineStr"/>
      <c r="K6457" s="3" t="inlineStr">
        <is>
          <t>По одноименной повести В. Карпова. Молодой студент Виктор, приехав в Ташкент, случайно встречает на городском рынке своего отца Ладова, который сбежал от них с матерью несколько лет назад. Вместе они отправляются посмотреть дом, в котором когда-то жили. Ладов, все такой же дамский угодник, обольщает новую хозяйку дома. Позже из разговора Виктор понимает, что отец его — человек несерьезный. Выясняется, что на похороны матери Виктора, Ариши, он не приехал, побоявшись лишних хлопот, хотя и заявил сыну, что не получил отправленной им телеграммы. Выяснение отношений происходит в заброшенном карьере, превратившемся в свалку. Разговор переходит в драку. После драки мужчины расходятся навсегда.</t>
        </is>
      </c>
      <c r="L6457" s="2" t="inlineStr">
        <is>
          <t>https://gosfilmofond.ru/films/240450/</t>
        </is>
      </c>
      <c r="M6457" s="2">
        <f>HYPERLINK("https://ru.wikipedia.org/w/index.php?search=%D0%94%D0%B2%D0%BE%D0%B5%20%D0%BD%D0%B0%20%D0%B3%D0%BE%D0%BB%D0%BE%D0%B9%20%D0%B7%D0%B5%D0%BC%D0%BB%D0%B5%201989%20%D1%84%D0%B8%D0%BB%D1%8C%D0%BC","искать")</f>
        <v/>
      </c>
      <c r="N6457" s="3" t="n"/>
      <c r="O6457" s="2" t="n"/>
      <c r="P6457" s="2" t="n"/>
    </row>
    <row r="6458">
      <c r="A6458" s="2" t="n">
        <v>6457</v>
      </c>
      <c r="B6458" s="2" t="inlineStr"/>
      <c r="C6458" s="2" t="n">
        <v>11341</v>
      </c>
      <c r="D6458" s="3" t="inlineStr">
        <is>
          <t>Ночь игуаны</t>
        </is>
      </c>
      <c r="E6458" s="2" t="n">
        <v>1991</v>
      </c>
      <c r="F6458" s="2" t="inlineStr">
        <is>
          <t>фильм-спектакль</t>
        </is>
      </c>
      <c r="G6458" s="2" t="n"/>
      <c r="H6458" s="2" t="n">
        <v>695</v>
      </c>
      <c r="I6458" s="2" t="inlineStr"/>
      <c r="J6458" s="2" t="inlineStr"/>
      <c r="K6458" s="3" t="inlineStr">
        <is>
          <t>Постановка государственного академического Малого театра.
«Ночь игуаны» — пьеса в трех действиях американского драматурга Теннесси Уильямса, основанная на его же рассказе 1948 года.
В пьесе действие происходит в Мексике, в Пуэрто-Баррио, летом 1940 года.
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
Премьера пьесы состоялась на Бродвее в 1961 году.
В 1964 году пьеса была экранизирована Джоном Хьюстоном (в главной роли — Р. Бертон).</t>
        </is>
      </c>
      <c r="L6458" s="2" t="inlineStr">
        <is>
          <t>https://www.kino-teatr.ru/teatr/movie/94600/annot/</t>
        </is>
      </c>
      <c r="M6458" s="2">
        <f>HYPERLINK("https://ru.wikipedia.org/w/index.php?search=%D0%9D%D0%BE%D1%87%D1%8C%20%D0%B8%D0%B3%D1%83%D0%B0%D0%BD%D1%8B%201991%20%D1%84%D0%B8%D0%BB%D1%8C%D0%BC","искать")</f>
        <v/>
      </c>
      <c r="N6458" s="3" t="n"/>
      <c r="O6458" s="2" t="n"/>
      <c r="P6458" s="2" t="n"/>
    </row>
    <row r="6459">
      <c r="A6459" s="2" t="n">
        <v>6458</v>
      </c>
      <c r="B6459" s="2" t="inlineStr"/>
      <c r="C6459" s="2" t="n">
        <v>10629</v>
      </c>
      <c r="D6459" s="3" t="inlineStr">
        <is>
          <t>Трактирщица</t>
        </is>
      </c>
      <c r="E6459" s="2" t="n">
        <v>1975</v>
      </c>
      <c r="F6459" s="2" t="inlineStr">
        <is>
          <t>фильм-спектакль</t>
        </is>
      </c>
      <c r="G6459" s="2" t="inlineStr">
        <is>
          <t>Гл. ред. лит-драм программ</t>
        </is>
      </c>
      <c r="H6459" s="2" t="n">
        <v>696</v>
      </c>
      <c r="I6459" s="2" t="inlineStr"/>
      <c r="J6459" s="2" t="inlineStr"/>
      <c r="K6459" s="3" t="inlineStr">
        <is>
          <t>Бессмертная комедия Карло Гольдони в постановке Московского академического театра имени Вл.Маяковского.
Прекрасная трактирщица Мирандолина привередливо выбирает себе мужа. Вокруг нее крутится множество прощелыг и фатов, но она решает покорить сердце единственного среди них женоненавистника – кавалера ди Риппафратту. Однако сердце красавицы само не знает, чего хочет. Едва влюбив в себя кавалера, Мирандолина выходит замуж за собственного слугу.
Режиссер Александр Белинский славится тем, что умеет раскрыть индивидуальность занятых в его постановках актрис. Каждый его фильм - бенефис исполнительницы главной роли. «Трактирщица» - это своего рода признание в любви к актрисе Наталье Гундаревой.</t>
        </is>
      </c>
      <c r="L6459" s="2" t="inlineStr">
        <is>
          <t>https://www.kino-teatr.ru/teatr/movie/7206/annot/</t>
        </is>
      </c>
      <c r="M6459" s="2">
        <f>HYPERLINK("https://ru.wikipedia.org/w/index.php?search=%D0%A2%D1%80%D0%B0%D0%BA%D1%82%D0%B8%D1%80%D1%89%D0%B8%D1%86%D0%B0%201975%20%D1%84%D0%B8%D0%BB%D1%8C%D0%BC","искать")</f>
        <v/>
      </c>
      <c r="N6459" s="3" t="n"/>
      <c r="O6459" s="2" t="n"/>
      <c r="P6459" s="2" t="n"/>
    </row>
    <row r="6460">
      <c r="A6460" s="2" t="n">
        <v>6459</v>
      </c>
      <c r="B6460" s="2" t="inlineStr"/>
      <c r="C6460" s="2" t="n">
        <v>7443</v>
      </c>
      <c r="D6460" s="3" t="inlineStr">
        <is>
          <t>Голубая чашка</t>
        </is>
      </c>
      <c r="E6460" s="2" t="n">
        <v>1964</v>
      </c>
      <c r="F6460" s="2" t="inlineStr">
        <is>
          <t>телефильм</t>
        </is>
      </c>
      <c r="G6460" s="2" t="n"/>
      <c r="H6460" s="2" t="n">
        <v>697</v>
      </c>
      <c r="I6460" s="2" t="inlineStr"/>
      <c r="J6460" s="2" t="inlineStr"/>
      <c r="K6460" s="3" t="inlineStr">
        <is>
          <t>Папа, мама и шестилетняя Светлана отправились провести папин отпуск на даче. Папа и Светлана мечтали, что будут отдыхать и купаться, но мама сначала заставила их навести порядок и прибраться на даче. Тут ещё на беду незадачливые отдыхающие мастерили деревянную вертушку на крыше. Потом оказалось, кто-то разбил любимую мамину голубую чашку. У мамы совсем испортилось настроение, и она уехала в город.
Расстроенные папа и Светлана взяли походную сумку и отправились прочь из дому. По дороге они знакомятся с местными мальчишками и девчонками, заводят новые знакомства и слушают разные истории. Целый день они бродили и вернулись назад. Дома их ждёт мама, которая всё им простила, и её простили все.</t>
        </is>
      </c>
      <c r="L6460" s="2" t="inlineStr">
        <is>
          <t>https://ru.wikipedia.org/w/index.php?title=%D0%93%D0%BE%D0%BB%D1%83%D0%B1%D0%B0%D1%8F_%D1%87%D0%B0%D1%88%D0%BA%D0%B0_%28%D1%84%D0%B8%D0%BB%D1%8C%D0%BC%29&amp;oldid=154240814</t>
        </is>
      </c>
      <c r="M6460" s="2">
        <f>HYPERLINK("https://ru.wikipedia.org/w/index.php?search=%D0%93%D0%BE%D0%BB%D1%83%D0%B1%D0%B0%D1%8F%20%D1%87%D0%B0%D1%88%D0%BA%D0%B0%201964%20%D1%84%D0%B8%D0%BB%D1%8C%D0%BC","искать")</f>
        <v/>
      </c>
      <c r="N6460" s="3" t="n"/>
      <c r="O6460" s="2" t="n"/>
      <c r="P6460" s="2" t="n"/>
    </row>
    <row r="6461">
      <c r="A6461" s="2" t="n">
        <v>6460</v>
      </c>
      <c r="B6461" s="2" t="inlineStr"/>
      <c r="C6461" s="2" t="n">
        <v>8538</v>
      </c>
      <c r="D6461" s="3" t="inlineStr">
        <is>
          <t>Цыганский барон</t>
        </is>
      </c>
      <c r="E6461" s="2" t="n">
        <v>1988</v>
      </c>
      <c r="F6461" s="2" t="inlineStr">
        <is>
          <t>телефильм</t>
        </is>
      </c>
      <c r="G6461" s="2" t="n"/>
      <c r="H6461" s="2" t="n">
        <v>698</v>
      </c>
      <c r="I6461" s="2" t="inlineStr"/>
      <c r="J6461" s="2" t="inlineStr"/>
      <c r="K6461" s="3" t="inlineStr">
        <is>
          <t>За основу сценария взята пьеса драматурга Василия Шкваркина по новеллам Мора Йокаи.
Из странствий на родину возвращается барон Шандор Баринкай, который в своем родовом поместье застает табор цыган. Шандор влюбляется в Саффи, совершает брак по цыганскому обычаю. Цыганский табор пытается выжить с территории местный богач свиноторговец Зупан. Шандор возглавляет сопротивление против Зупана, за что получает титул «цыганского барона» и тюремный арест со стороны комиссии нравственности.
Разрешает ситуацию губернатор Омонай, который опознает в Шандоре своего племянника, наследника помещика Баринкая, тут же выясняется, что Саффи — не цыганка, а его кузина, богатая наследница знатного графского рода</t>
        </is>
      </c>
      <c r="L6461" s="2" t="inlineStr">
        <is>
          <t>https://ru.wikipedia.org/w/index.php?title=%D0%A6%D1%8B%D0%B3%D0%B0%D0%BD%D1%81%D0%BA%D0%B8%D0%B9_%D0%B1%D0%B0%D1%80%D0%BE%D0%BD_%28%D1%84%D0%B8%D0%BB%D1%8C%D0%BC%2C_1988%29&amp;oldid=149106775</t>
        </is>
      </c>
      <c r="M6461" s="2">
        <f>HYPERLINK("https://ru.wikipedia.org/w/index.php?search=%D0%A6%D1%8B%D0%B3%D0%B0%D0%BD%D1%81%D0%BA%D0%B8%D0%B9%20%D0%B1%D0%B0%D1%80%D0%BE%D0%BD%201988%20%D1%84%D0%B8%D0%BB%D1%8C%D0%BC","искать")</f>
        <v/>
      </c>
      <c r="N6461" s="3" t="n"/>
      <c r="O6461" s="2" t="n"/>
      <c r="P6461" s="2" t="n"/>
    </row>
    <row r="6462">
      <c r="A6462" s="2" t="n">
        <v>6461</v>
      </c>
      <c r="B6462" s="2" t="inlineStr"/>
      <c r="C6462" s="2" t="n">
        <v>11599</v>
      </c>
      <c r="D6462" s="3" t="inlineStr">
        <is>
          <t>"Метеор" на ринге</t>
        </is>
      </c>
      <c r="E6462" s="2" t="n">
        <v>1970</v>
      </c>
      <c r="F6462" s="2" t="inlineStr">
        <is>
          <t>мультфильм</t>
        </is>
      </c>
      <c r="G6462" s="2" t="inlineStr">
        <is>
          <t>Союзмультфильм</t>
        </is>
      </c>
      <c r="H6462" s="2" t="n">
        <v>698</v>
      </c>
      <c r="I6462" s="2" t="inlineStr"/>
      <c r="J6462" s="2" t="inlineStr"/>
      <c r="K6462" s="3" t="inlineStr">
        <is>
          <t>В этом фильме вновь рассказывается о героях картин "Шайбу! Шайбу!" и "Матч-реванш". Команды "носатеньких" и "голубых" - давние спортивные соперники - вновь всиречаются и хотят устроить соревнования. Капитан "носатеньких предлагает сразиться в шахматы, но "голубым" больше по душе бокс...И вот начинаются тренировки, обе команды не только усердно упражняются, но и ревниво следят за успехами других. Наступает день соревнований, боксеры пара за парой выходятна ринг, но успех переменный, решить исход матча должен бой капитанов. И зрители, и боксры, и тренеры, затаив дыхание следят за боем. Победу одерживает капитан "носатеньких"...После матча друзья-соперники отправляются вместе в кафе-мороженое</t>
        </is>
      </c>
      <c r="L6462" s="2" t="inlineStr">
        <is>
          <t>https://gosfilmofond.ru/films/255161/</t>
        </is>
      </c>
      <c r="M6462" s="2">
        <f>HYPERLINK("https://ru.wikipedia.org/w/index.php?search=%22%D0%9C%D0%B5%D1%82%D0%B5%D0%BE%D1%80%22%20%D0%BD%D0%B0%20%D1%80%D0%B8%D0%BD%D0%B3%D0%B5%201970%20%D1%84%D0%B8%D0%BB%D1%8C%D0%BC","искать")</f>
        <v/>
      </c>
      <c r="N6462" s="3" t="n"/>
      <c r="O6462" s="2" t="n"/>
      <c r="P6462" s="2" t="n"/>
    </row>
    <row r="6463">
      <c r="A6463" s="2" t="n">
        <v>6462</v>
      </c>
      <c r="B6463" s="2" t="inlineStr"/>
      <c r="C6463" s="2" t="n">
        <v>10682</v>
      </c>
      <c r="D6463" s="3" t="inlineStr">
        <is>
          <t>Горе от ума</t>
        </is>
      </c>
      <c r="E6463" s="2" t="n">
        <v>1977</v>
      </c>
      <c r="F6463" s="2" t="inlineStr">
        <is>
          <t>фильм-спектакль</t>
        </is>
      </c>
      <c r="G6463" s="2" t="inlineStr">
        <is>
          <t>Государственный академический Малый театр и творческое объединение "Экран", Подборки фильмов, отечественные экранизации классики</t>
        </is>
      </c>
      <c r="H6463" s="2" t="n">
        <v>699</v>
      </c>
      <c r="I6463" s="2" t="inlineStr"/>
      <c r="J6463" s="2" t="inlineStr"/>
      <c r="K6463" s="3" t="inlineStr">
        <is>
          <t>Спектакль Государственного академического Малого театра по одноименной комедии А.С. Грибоедова. 2-е серии.
В дом сановного московского барина Фамусова приезжает Чацкий, возвратившийся из дальних странствий. Он спешит увидеть Софью, дочь Фамусова, которую любит с давних пор. Но Софья холодно встречает пылкие излияния Чацкого. Ее сентиментальную натуру, взлелеянную французскими романами, оскорбляют проникнутые горечью и негодованием речи Чацкого. Он обличает взяточничество, низкопоклонство, невежество и холуйство. Фамусов, Скалозуб, Молчалин, Загорецкий, Репетилов и другие мстят Чацкому, объявив его безумным. В довершение всего Чацкий узнает, что Софья отдала свое сердце ничтожному Молчалину.</t>
        </is>
      </c>
      <c r="L6463" s="2" t="inlineStr">
        <is>
          <t>https://www.kino-teatr.ru/teatr/movie/80985/annot/</t>
        </is>
      </c>
      <c r="M6463" s="2">
        <f>HYPERLINK("https://ru.wikipedia.org/w/index.php?search=%D0%93%D0%BE%D1%80%D0%B5%20%D0%BE%D1%82%20%D1%83%D0%BC%D0%B0%201977%20%D1%84%D0%B8%D0%BB%D1%8C%D0%BC","искать")</f>
        <v/>
      </c>
      <c r="N6463" s="3" t="n"/>
      <c r="O6463" s="2" t="n"/>
      <c r="P6463" s="2" t="n"/>
    </row>
    <row r="6464">
      <c r="A6464" s="2" t="n">
        <v>6463</v>
      </c>
      <c r="B6464" s="2" t="inlineStr"/>
      <c r="C6464" s="2" t="n">
        <v>9019</v>
      </c>
      <c r="D6464" s="3" t="inlineStr">
        <is>
          <t>Рок-н-ролл для принцесс</t>
        </is>
      </c>
      <c r="E6464" s="2" t="n">
        <v>1990</v>
      </c>
      <c r="F6464" s="2" t="inlineStr">
        <is>
          <t>кинофильм</t>
        </is>
      </c>
      <c r="G6464" s="2" t="inlineStr">
        <is>
          <t>Одесская к/с</t>
        </is>
      </c>
      <c r="H6464" s="2" t="n">
        <v>700</v>
      </c>
      <c r="I6464" s="2" t="inlineStr"/>
      <c r="J6464" s="2" t="inlineStr"/>
      <c r="K6464" s="3" t="inlineStr">
        <is>
          <t>В сказочном королевстве Фиофигас король Филогерц (Виктор Павлов) обеспокоен тем, что его единственный сын принц Филофей (Андрей Анкудинов) перестал нормально питаться и чересчур увлёкся новомодными системами ЗОЖ — сидит на троне в разных позах йоги и жуёт по схеме только овощи. Тогда король вместе с советником решает его женить. Для этого он устраивает Турнир принцесс, победительница которого и станет женой Филофея. Устраивать конкурс помогает придворная волшебница королевства Измора (Гражина Байкштите). Самое смешное, что новобрачную принц тоже приобщил к ЗОЖ, потому что она полюбила («взяла и мастерством, и волшебством, и, главное, любовью!») и сочла нужным разделить «чудачества» любимого.</t>
        </is>
      </c>
      <c r="L6464" s="2" t="inlineStr">
        <is>
          <t>https://ru.wikipedia.org/w/index.php?title=%D0%A0%D0%BE%D0%BA-%D0%BD-%D1%80%D0%BE%D0%BB%D0%BB_%D0%B4%D0%BB%D1%8F_%D0%BF%D1%80%D0%B8%D0%BD%D1%86%D0%B5%D1%81%D1%81&amp;oldid=152884540</t>
        </is>
      </c>
      <c r="M6464" s="2">
        <f>HYPERLINK("https://ru.wikipedia.org/w/index.php?search=%D0%A0%D0%BE%D0%BA-%D0%BD-%D1%80%D0%BE%D0%BB%D0%BB%20%D0%B4%D0%BB%D1%8F%20%D0%BF%D1%80%D0%B8%D0%BD%D1%86%D0%B5%D1%81%D1%81%201990%20%D1%84%D0%B8%D0%BB%D1%8C%D0%BC","искать")</f>
        <v/>
      </c>
      <c r="N6464" s="3" t="n"/>
      <c r="O6464" s="2" t="n"/>
      <c r="P6464" s="2" t="n"/>
    </row>
    <row r="6465">
      <c r="A6465" s="2" t="n">
        <v>6464</v>
      </c>
      <c r="B6465" s="2" t="inlineStr"/>
      <c r="C6465" s="2" t="n">
        <v>11129</v>
      </c>
      <c r="D6465" s="3" t="inlineStr">
        <is>
          <t>Путь</t>
        </is>
      </c>
      <c r="E6465" s="2" t="n">
        <v>1986</v>
      </c>
      <c r="F6465" s="2" t="inlineStr">
        <is>
          <t>фильм-спектакль</t>
        </is>
      </c>
      <c r="G6465" s="2" t="inlineStr">
        <is>
          <t>Главная редакция программ для детей ЦТ</t>
        </is>
      </c>
      <c r="H6465" s="2" t="n">
        <v>700</v>
      </c>
      <c r="I6465" s="2" t="inlineStr"/>
      <c r="J6465" s="2" t="inlineStr"/>
      <c r="K6465" s="3" t="inlineStr">
        <is>
          <t>По пьесе Александра Ремеза "Путь", посвященной Александру Ульянову.
Александр был первым из детей Ульяновых, кто вступил в революционную борьбу. Он участвовал в студенческих нелегальных собраниях, демонстрациях, вёл пропаганду в рабочем кружке. В конце 1886 года Саша Ульянов стал членом "террористической фракции" партии "Народная воля", одним из авторов её программы, в которой основным методом борьбы с самодержавием признавался террор.
Почему студент-биолог всего за несколько месяцев превратился в террориста и принял смерть на эшафоте? Пьеса А. Ремеза - попытка представить собственную версию короткой жизни и страшной смерти Саши, который один выступил на поединок с целой социальной системой.</t>
        </is>
      </c>
      <c r="L6465" s="2" t="inlineStr">
        <is>
          <t>https://www.kino-teatr.ru/teatr/movie/85195/annot/</t>
        </is>
      </c>
      <c r="M6465" s="2">
        <f>HYPERLINK("https://ru.wikipedia.org/w/index.php?search=%D0%9F%D1%83%D1%82%D1%8C%201986%20%D1%84%D0%B8%D0%BB%D1%8C%D0%BC","искать")</f>
        <v/>
      </c>
      <c r="N6465" s="3" t="n"/>
      <c r="O6465" s="2" t="n"/>
      <c r="P6465" s="2" t="n"/>
    </row>
    <row r="6466">
      <c r="A6466" s="2" t="n">
        <v>6465</v>
      </c>
      <c r="B6466" s="2" t="inlineStr"/>
      <c r="C6466" s="2" t="n">
        <v>11509</v>
      </c>
      <c r="D6466" s="3" t="inlineStr">
        <is>
          <t>Возвращение с Олимпа</t>
        </is>
      </c>
      <c r="E6466" s="2" t="n">
        <v>1969</v>
      </c>
      <c r="F6466" s="2" t="inlineStr">
        <is>
          <t>мультфильм</t>
        </is>
      </c>
      <c r="G6466" s="2" t="inlineStr">
        <is>
          <t>Союзмультфильм</t>
        </is>
      </c>
      <c r="H6466" s="2" t="n">
        <v>700</v>
      </c>
      <c r="I6466" s="2" t="inlineStr"/>
      <c r="J6466" s="2" t="inlineStr"/>
      <c r="K6466" s="3" t="inlineStr">
        <is>
          <t>Пируют на Олимпе боги, среди них Геракл, за свои подвиги взятый на Олимп. Он просит Зевса отпустить его на землю подышать земным воздухом. Зевс отпускает героя до восхода солнца. Спустившись вниз, Геракл оказывается в храме, где в его честь поставлена статуя, а на фресках запечатлены подвиги. Орел, спустившийся с Олимпа вместе с героем, уверен, что воля богов всегда вела Геракла. Но Геракл, вспомнив освобождение Прометея, уверяет, что тогда он действовал по собственной воле...Перед возвращением к богам в последний раз оглядывается Геракл на змлю - на ней вспыхивают огни взрывов, с самолетов падают бомбы. И герой решает ослушаться Зевса - он остается на земле, чтоб расправиться с гидрой войны</t>
        </is>
      </c>
      <c r="L6466" s="2" t="inlineStr">
        <is>
          <t>https://gosfilmofond.ru/films/254735/</t>
        </is>
      </c>
      <c r="M6466" s="2">
        <f>HYPERLINK("https://ru.wikipedia.org/w/index.php?search=%D0%92%D0%BE%D0%B7%D0%B2%D1%80%D0%B0%D1%89%D0%B5%D0%BD%D0%B8%D0%B5%20%D1%81%20%D0%9E%D0%BB%D0%B8%D0%BC%D0%BF%D0%B0%201969%20%D1%84%D0%B8%D0%BB%D1%8C%D0%BC","искать")</f>
        <v/>
      </c>
      <c r="N6466" s="3" t="n"/>
      <c r="O6466" s="2" t="n"/>
      <c r="P6466" s="2" t="n"/>
    </row>
    <row r="6467">
      <c r="A6467" s="2" t="n">
        <v>6466</v>
      </c>
      <c r="B6467" s="2" t="inlineStr"/>
      <c r="C6467" s="2" t="n">
        <v>8952</v>
      </c>
      <c r="D6467" s="3" t="inlineStr">
        <is>
          <t>Полнолуние</t>
        </is>
      </c>
      <c r="E6467" s="2" t="n">
        <v>1989</v>
      </c>
      <c r="F6467" s="2" t="inlineStr">
        <is>
          <t>кинофильм</t>
        </is>
      </c>
      <c r="G6467" s="2" t="n"/>
      <c r="H6467" s="2" t="n">
        <v>701</v>
      </c>
      <c r="I6467" s="2" t="inlineStr"/>
      <c r="J6467" s="2" t="inlineStr"/>
      <c r="K6467" s="3" t="inlineStr">
        <is>
          <t>Высоко в горах в санатории лечится юноша-инвалид. Парень озлоблен на весь мир, единственное, что доставляет ему удовольствие — наблюдение в подзорную трубу за домом старой шаманки. Однажды в доме старухи появляется загадочная и привлекательная девушка Аталия. Она влюблена в Бека, молодого доктора из санатория. Приехав сюда, чтобы быть рядом с любимым, Аталия узнает, что у доктора роман с другой женщиной. В отчаянии девушка хочет отравиться. Шаманка с помощью волшебного заговора освободив Аталию от несчастной любви, передает ей свою магическую силу. Проснувшись, девушка идет в санаторий. Ей удается излечить юношу-инвалида, а тот, в свою очередь, спасает мальчишку-лунатика от неминуемой гибели.</t>
        </is>
      </c>
      <c r="L6467" s="2" t="inlineStr">
        <is>
          <t>https://gosfilmofond.ru/films/242303/</t>
        </is>
      </c>
      <c r="M6467" s="2">
        <f>HYPERLINK("https://ru.wikipedia.org/w/index.php?search=%D0%9F%D0%BE%D0%BB%D0%BD%D0%BE%D0%BB%D1%83%D0%BD%D0%B8%D0%B5%201989%20%D1%84%D0%B8%D0%BB%D1%8C%D0%BC","искать")</f>
        <v/>
      </c>
      <c r="N6467" s="3" t="n"/>
      <c r="O6467" s="2" t="n"/>
      <c r="P6467" s="2" t="n"/>
    </row>
    <row r="6468">
      <c r="A6468" s="2" t="n">
        <v>6467</v>
      </c>
      <c r="B6468" s="2" t="inlineStr"/>
      <c r="C6468" s="2" t="n">
        <v>11066</v>
      </c>
      <c r="D6468" s="3" t="inlineStr">
        <is>
          <t>На всякого мудреца довольно простоты</t>
        </is>
      </c>
      <c r="E6468" s="2" t="n">
        <v>1985</v>
      </c>
      <c r="F6468" s="2" t="inlineStr">
        <is>
          <t>фильм-спектакль</t>
        </is>
      </c>
      <c r="G6468" s="2" t="inlineStr">
        <is>
          <t>Главная редакция литературно-драматических программ Гостелерадио СССР</t>
        </is>
      </c>
      <c r="H6468" s="2" t="n">
        <v>702</v>
      </c>
      <c r="I6468" s="2" t="inlineStr"/>
      <c r="J6468" s="2" t="inlineStr"/>
      <c r="K6468" s="3" t="inlineStr">
        <is>
          <t>Государственный академический Малый театр.
Постановка одноименной пьесы А.Островского.
Действие происходит в Москве, в 1868 году. Егор Дмитрич Глумов, молодой бедный человек, который писал эпиграммы, высмеивая глупость власть предержащих, решает сделать карьеру, добиться власти и богатства. Он подкупает слугу своего дальнего богатого родственника Мамаева, чтобы войти к нему в доверие и становится любовником его молодой жены, Клеопатры Львовны. Глумов подкупает и подсылает гадалок к богатой вдове Турусиной для того, чтобы жениться на её племяннице Машеньке. Он откровенно льстит Мамаеву и пресмыкается перед его влиятельными друзьям Крутицким и Городулиным, чтобы получить хорошее место по службе.</t>
        </is>
      </c>
      <c r="L6468" s="2" t="inlineStr">
        <is>
          <t>https://www.kino-teatr.ru/teatr/movie/117391/annot/</t>
        </is>
      </c>
      <c r="M6468" s="2">
        <f>HYPERLINK("https://ru.wikipedia.org/w/index.php?search=%D0%9D%D0%B0%20%D0%B2%D1%81%D1%8F%D0%BA%D0%BE%D0%B3%D0%BE%20%D0%BC%D1%83%D0%B4%D1%80%D0%B5%D1%86%D0%B0%20%D0%B4%D0%BE%D0%B2%D0%BE%D0%BB%D1%8C%D0%BD%D0%BE%20%D0%BF%D1%80%D0%BE%D1%81%D1%82%D0%BE%D1%82%D1%8B%201985%20%D1%84%D0%B8%D0%BB%D1%8C%D0%BC","искать")</f>
        <v/>
      </c>
      <c r="N6468" s="3" t="n"/>
      <c r="O6468" s="2" t="n"/>
      <c r="P6468" s="2" t="n"/>
    </row>
    <row r="6469">
      <c r="A6469" s="2" t="n">
        <v>6468</v>
      </c>
      <c r="B6469" s="2" t="inlineStr"/>
      <c r="C6469" s="2" t="n">
        <v>11612</v>
      </c>
      <c r="D6469" s="3" t="inlineStr">
        <is>
          <t>Сладкая сказка</t>
        </is>
      </c>
      <c r="E6469" s="2" t="n">
        <v>1970</v>
      </c>
      <c r="F6469" s="2" t="inlineStr">
        <is>
          <t>мультфильм</t>
        </is>
      </c>
      <c r="G6469" s="2" t="inlineStr">
        <is>
          <t>Союзмультфильм</t>
        </is>
      </c>
      <c r="H6469" s="2" t="n">
        <v>703</v>
      </c>
      <c r="I6469" s="2" t="inlineStr"/>
      <c r="J6469" s="2" t="inlineStr"/>
      <c r="K6469" s="3" t="inlineStr">
        <is>
          <t>Живет в лесу Дракончик, все знают его как сластену и жадину. Однажды он находит на тропе записку. Это приглашение на день рождения к Мишке. Он бежит к имениннику и, даже не поздравив его, мгновенно съедает все угощения. Другим гостям - Щенку и кукле Аленке - достаются лишь объедки. Огорченный Мишка приглашает всех смотреть телевизор. Диктор зовет зрителей отправиться на кондитерскую фабрику, и жадный Дракончик первым бежит к экрану. На фабрике он хочет наесться на год, бежит в шоколадный цех, но попадает в дробильную машину, и только помощь друзей спасает его. Еще несколько подобных приключений приходится пережить Дракончику-эгоисту, пока он начинает понимать, что жадность - это дурное качество</t>
        </is>
      </c>
      <c r="L6469" s="2" t="inlineStr">
        <is>
          <t>https://gosfilmofond.ru/films/255177/</t>
        </is>
      </c>
      <c r="M6469" s="2">
        <f>HYPERLINK("https://ru.wikipedia.org/w/index.php?search=%D0%A1%D0%BB%D0%B0%D0%B4%D0%BA%D0%B0%D1%8F%20%D1%81%D0%BA%D0%B0%D0%B7%D0%BA%D0%B0%201970%20%D1%84%D0%B8%D0%BB%D1%8C%D0%BC","искать")</f>
        <v/>
      </c>
      <c r="N6469" s="3" t="n"/>
      <c r="O6469" s="2" t="n"/>
      <c r="P6469" s="2" t="n"/>
    </row>
    <row r="6470">
      <c r="A6470" s="2" t="n">
        <v>6469</v>
      </c>
      <c r="B6470" s="2" t="inlineStr"/>
      <c r="C6470" s="2" t="n">
        <v>11077</v>
      </c>
      <c r="D6470" s="3" t="inlineStr">
        <is>
          <t>Рядовые</t>
        </is>
      </c>
      <c r="E6470" s="2" t="n">
        <v>1985</v>
      </c>
      <c r="F6470" s="2" t="inlineStr">
        <is>
          <t>фильм-спектакль</t>
        </is>
      </c>
      <c r="G6470" s="2" t="n"/>
      <c r="H6470" s="2" t="n">
        <v>704</v>
      </c>
      <c r="I6470" s="2" t="inlineStr"/>
      <c r="J6470" s="2" t="inlineStr"/>
      <c r="K6470" s="3" t="inlineStr">
        <is>
          <t>Спектакль был поставлен в БДТ по одноименной пьесе Алексея Дударева.
Действие разворачивается незадолго до Победы в развалинах Берлина. Но в центре происходящего не военные действия, а судьбы людей, их печали и надежды. Молодой первогодок Одуванчик, призванный в последние дни войны, совершенно по-детски страдает от того, что на его долю не выпадет воинской славы. Его старший друг Дервоед, на глазах у которого погибли жена и сын, мучается не в состоянии справиться с душевной болью. В противоположность им Буштец, которого забрали в военкомат прямо с собственной свадьбы, нервный и ожесточенный. Настоящий «пес войны», он только и умеет что убивать. Что делать, когда война закончится, куда себя деть?</t>
        </is>
      </c>
      <c r="L6470" s="2" t="inlineStr">
        <is>
          <t>https://www.kino-teatr.ru/teatr/movie/78871/annot/</t>
        </is>
      </c>
      <c r="M6470" s="2">
        <f>HYPERLINK("https://ru.wikipedia.org/w/index.php?search=%D0%A0%D1%8F%D0%B4%D0%BE%D0%B2%D1%8B%D0%B5%201985%20%D1%84%D0%B8%D0%BB%D1%8C%D0%BC","искать")</f>
        <v/>
      </c>
      <c r="N6470" s="3" t="n"/>
      <c r="O6470" s="2" t="n"/>
      <c r="P6470" s="2" t="n"/>
    </row>
    <row r="6471">
      <c r="A6471" s="2" t="n">
        <v>6470</v>
      </c>
      <c r="B6471" s="2" t="inlineStr"/>
      <c r="C6471" s="2" t="n">
        <v>7394</v>
      </c>
      <c r="D6471" s="3" t="inlineStr">
        <is>
          <t>Время-не-ждёт</t>
        </is>
      </c>
      <c r="E6471" s="2" t="n">
        <v>1975</v>
      </c>
      <c r="F6471" s="2" t="inlineStr">
        <is>
          <t>телефильм</t>
        </is>
      </c>
      <c r="G6471" s="2" t="inlineStr">
        <is>
          <t>Беларусьфильм</t>
        </is>
      </c>
      <c r="H6471" s="2" t="n">
        <v>705</v>
      </c>
      <c r="I6471" s="2" t="inlineStr"/>
      <c r="J6471" s="2" t="inlineStr"/>
      <c r="K6471" s="3" t="inlineStr">
        <is>
          <t>Конец XIX века. Элам Харниш по прозвищу Время-не-ждёт — успешный предприниматель, заработавший своё довольно большое состояние на золотоискательстве на Аляске. Со временем он всё больше и больше становится циничным и бессердечным по отношению к другим людям. Находясь в цивилизованных городах Окленд и Сан-Франциско, он всё равно продолжает жить и действовать по «Закону джунглей», как и в своё время на Аляске, о которой он часто вспоминает. Одновременно он ухаживает за своей секретаршей Дид Мэссон, влюбляется в неё и делает ей предложение. Она отказывает ему, разочаровавшись в нём как в личности. В погоне за ещё бо́льшим богатством, славой и властью Элам в итоге разоряется и возвращается на Аляску.</t>
        </is>
      </c>
      <c r="L6471" s="2" t="inlineStr">
        <is>
          <t>https://ru.wikipedia.org/w/index.php?title=%D0%92%D1%80%D0%B5%D0%BC%D1%8F-%D0%BD%D0%B5-%D0%B6%D0%B4%D1%91%D1%82_%28%D1%82%D0%B5%D0%BB%D0%B5%D1%84%D0%B8%D0%BB%D1%8C%D0%BC%29&amp;oldid=152869886</t>
        </is>
      </c>
      <c r="M6471" s="2">
        <f>HYPERLINK("https://ru.wikipedia.org/w/index.php?search=%D0%92%D1%80%D0%B5%D0%BC%D1%8F-%D0%BD%D0%B5-%D0%B6%D0%B4%D1%91%D1%82%201975%20%D1%84%D0%B8%D0%BB%D1%8C%D0%BC","искать")</f>
        <v/>
      </c>
      <c r="N6471" s="3" t="n"/>
      <c r="O6471" s="2" t="n"/>
      <c r="P6471" s="2" t="n"/>
    </row>
    <row r="6472">
      <c r="A6472" s="2" t="n">
        <v>6471</v>
      </c>
      <c r="B6472" s="2" t="inlineStr"/>
      <c r="C6472" s="2" t="n">
        <v>7681</v>
      </c>
      <c r="D6472" s="3" t="inlineStr">
        <is>
          <t>Илга-Иволга</t>
        </is>
      </c>
      <c r="E6472" s="2" t="n">
        <v>1972</v>
      </c>
      <c r="F6472" s="2" t="inlineStr">
        <is>
          <t>телефильм</t>
        </is>
      </c>
      <c r="G6472" s="2" t="n"/>
      <c r="H6472" s="2" t="n">
        <v>705</v>
      </c>
      <c r="I6472" s="2" t="inlineStr"/>
      <c r="J6472" s="2" t="inlineStr"/>
      <c r="K6472" s="3" t="inlineStr">
        <is>
          <t>В самом начале войны офицер Красной Армии Фёдор Полигин попал в плен. После побега, его, тяжело раненого, взял на хутор «Иволги» старый Язеп. Рана не давала возможности Фёдору немедленно уйти, и он некоторое время прятался в большом сарае.
Внучка Язепа Илга и Фёдор полюбили друг друга, но, преследуемые полицией, вынуждены были искать себе другое убежище. Партизанам удалось переправить раненого офицера через линию фронта. Беглянку Илгу приютила семья партизанского связного, но вскоре её выдал кто-то из сельчан.
Илга при аресте была убита карателями. Кристине удалось спасти её новорождённую дочь, которую Фёдор увидел только много лет спустя взрослой девушкой-невестой, необыкновенно похожей на мать.</t>
        </is>
      </c>
      <c r="L6472" s="2" t="inlineStr">
        <is>
          <t>https://ru.wikipedia.org/w/index.php?title=%D0%98%D0%BB%D0%B3%D0%B0-%D0%98%D0%B2%D0%BE%D0%BB%D0%B3%D0%B0&amp;oldid=152230350</t>
        </is>
      </c>
      <c r="M6472" s="2">
        <f>HYPERLINK("https://ru.wikipedia.org/w/index.php?search=%D0%98%D0%BB%D0%B3%D0%B0-%D0%98%D0%B2%D0%BE%D0%BB%D0%B3%D0%B0%201972%20%D1%84%D0%B8%D0%BB%D1%8C%D0%BC","искать")</f>
        <v/>
      </c>
      <c r="N6472" s="3" t="n"/>
      <c r="O6472" s="2" t="n"/>
      <c r="P6472" s="2" t="n"/>
    </row>
    <row r="6473">
      <c r="A6473" s="2" t="n">
        <v>6472</v>
      </c>
      <c r="B6473" s="2" t="inlineStr"/>
      <c r="C6473" s="2" t="n">
        <v>9945</v>
      </c>
      <c r="D6473" s="3" t="inlineStr">
        <is>
          <t>Огонь в глубине дерева</t>
        </is>
      </c>
      <c r="E6473" s="2" t="n">
        <v>1979</v>
      </c>
      <c r="F6473" s="2" t="inlineStr">
        <is>
          <t>телефильм</t>
        </is>
      </c>
      <c r="G6473" s="2" t="inlineStr">
        <is>
          <t>Эстонское телевидение</t>
        </is>
      </c>
      <c r="H6473" s="2" t="n">
        <v>707</v>
      </c>
      <c r="I6473" s="2" t="inlineStr"/>
      <c r="J6473" s="2" t="inlineStr"/>
      <c r="K6473" s="3" t="inlineStr">
        <is>
          <t>По мотивам фрагмента повести русского писателя Эдуарда Шима "Ребята с нашего двора" (1976)
У юного Жеки нет отца, но есть отчим - достаточно обеспеченный мужчина, который пытается сблизиться с пасынком, делая ему дорогие подарки. Но мальчик считает, что любят не за них. Жеке нравится всё мастерить своими руками. Однажды к ним домой случайно приходит друг их старика-соседа. Оказывается, что он - мастер на все руки. Гость рассказывает Жеке, что шкаф в их гостиной - это уникальная работа старых забытых мастеров. В подтверждение своих слов он предлагает мальчику проверить подгонку стыков...
Встреча с этим мудрым увлеченным человеком делает жизнь Жеки по-настоящему интересной и многое меняет в их семье.</t>
        </is>
      </c>
      <c r="L6473" s="2" t="inlineStr">
        <is>
          <t>https://www.kino-teatr.ru/short/movie/sov/100660/annot/</t>
        </is>
      </c>
      <c r="M6473" s="2">
        <f>HYPERLINK("https://ru.wikipedia.org/w/index.php?search=%D0%9E%D0%B3%D0%BE%D0%BD%D1%8C%20%D0%B2%20%D0%B3%D0%BB%D1%83%D0%B1%D0%B8%D0%BD%D0%B5%20%D0%B4%D0%B5%D1%80%D0%B5%D0%B2%D0%B0%201979%20%D1%84%D0%B8%D0%BB%D1%8C%D0%BC","искать")</f>
        <v/>
      </c>
      <c r="N6473" s="3" t="n"/>
      <c r="O6473" s="2" t="n"/>
      <c r="P6473" s="2" t="n"/>
    </row>
    <row r="6474">
      <c r="A6474" s="2" t="n">
        <v>6473</v>
      </c>
      <c r="B6474" s="2" t="inlineStr"/>
      <c r="C6474" s="2" t="n">
        <v>10251</v>
      </c>
      <c r="D6474" s="3" t="inlineStr">
        <is>
          <t>Калиф-Аист</t>
        </is>
      </c>
      <c r="E6474" s="2" t="n">
        <v>1968</v>
      </c>
      <c r="F6474" s="2" t="inlineStr">
        <is>
          <t>фильм-спектакль</t>
        </is>
      </c>
      <c r="G6474" s="2" t="inlineStr">
        <is>
          <t>ТО "Экран"</t>
        </is>
      </c>
      <c r="H6474" s="2" t="n">
        <v>709</v>
      </c>
      <c r="I6474" s="2" t="inlineStr"/>
      <c r="J6474" s="2" t="inlineStr"/>
      <c r="K6474" s="3" t="inlineStr">
        <is>
          <t>Телефильм снят по мотивам сказки В.Гауфа. О великом Калифе Багдадском, его верном Визире и злом колдуне Кашнуре.
Было это давным-давно, в незапамятные времена, в далеком городе Багдаде. Однажды, в прекрасное послеобеденное время, калиф багдадский Хасид предавался отдыху. К нему пришел визирь в свое урочное время, но не стал просить за виновных, не стал жаловаться на правых, а низко поклонился калифу и молча отошел в сторону. Когда же калиф спросил своего визиря: "Чем озабочен ты, великий визирь?", визирь ответил ему: " У ворот дворца стоит бродячий торговец со всякими диковинными товарами. И еще знаю что я не могу купить у него даже самую ничтожную 6езделицу, потому что мне нечем за нее заплатить..."</t>
        </is>
      </c>
      <c r="L6474" s="2" t="inlineStr">
        <is>
          <t>https://www.kino-teatr.ru/teatr/movie/2879/annot/</t>
        </is>
      </c>
      <c r="M6474" s="2">
        <f>HYPERLINK("https://ru.wikipedia.org/w/index.php?search=%D0%9A%D0%B0%D0%BB%D0%B8%D1%84-%D0%90%D0%B8%D1%81%D1%82%201968%20%D1%84%D0%B8%D0%BB%D1%8C%D0%BC","искать")</f>
        <v/>
      </c>
      <c r="N6474" s="3" t="n"/>
      <c r="O6474" s="2" t="n"/>
      <c r="P6474" s="2" t="n"/>
    </row>
    <row r="6475">
      <c r="A6475" s="2" t="n">
        <v>6474</v>
      </c>
      <c r="B6475" s="2" t="inlineStr"/>
      <c r="C6475" s="2" t="n">
        <v>12517</v>
      </c>
      <c r="D6475" s="3" t="inlineStr">
        <is>
          <t>Приключения  капитана Врунгеля</t>
        </is>
      </c>
      <c r="E6475" s="2" t="n">
        <v>1976</v>
      </c>
      <c r="F6475" s="2" t="inlineStr">
        <is>
          <t>мультфильм</t>
        </is>
      </c>
      <c r="G6475" s="2" t="inlineStr">
        <is>
          <t>КИЕВНАУЧФИЛЬМ</t>
        </is>
      </c>
      <c r="H6475" s="2" t="n">
        <v>709</v>
      </c>
      <c r="I6475" s="2" t="inlineStr"/>
      <c r="J6475" s="2" t="inlineStr"/>
      <c r="K6475" s="3" t="inlineStr">
        <is>
          <t>Готовилась кругосветная морская регата. Знаменитые капитаны всего мира получили приглашение участвовать в небывалом соревновании. Самые крупные ставки сделаны на яхту капитана Врунгеля «Беда» и иностранную «Черную Каракатицу». А в это же самое время в Королевском музее искусств совершается «Похищение века» – украдена статуя Венеры. По указанию Шефа гангстеров вор Фукс должен пронести ее на «Черную Каракатицу». Но капитан Врунгель зачислил Фукса матросом на «Беду»… Гангстеры Джулико Бандитто и де ля Воро Гангстеритто, ни о чем не подозревая, отправились встречать «товар». Расследовать дело поручено суперагенту Ноль Ноль Икс… В одном файле все 13 серий.Музыка из мультфильма:Бандито-гангстерито(3.14 Мб)</t>
        </is>
      </c>
      <c r="L6475" s="2" t="inlineStr">
        <is>
          <t>2026-10_мультфильмы_список_владельца.xlsx; https://animator.ru/db/?p=show_film&amp;fid=3692</t>
        </is>
      </c>
      <c r="M6475" s="2">
        <f>HYPERLINK("https://ru.wikipedia.org/w/index.php?search=%D0%9F%D1%80%D0%B8%D0%BA%D0%BB%D1%8E%D1%87%D0%B5%D0%BD%D0%B8%D1%8F%20%20%D0%BA%D0%B0%D0%BF%D0%B8%D1%82%D0%B0%D0%BD%D0%B0%20%D0%92%D1%80%D1%83%D0%BD%D0%B3%D0%B5%D0%BB%D1%8F%201976%20%D1%84%D0%B8%D0%BB%D1%8C%D0%BC","искать")</f>
        <v/>
      </c>
      <c r="N6475" s="3" t="n"/>
      <c r="O6475" s="2" t="n"/>
      <c r="P6475" s="2" t="n"/>
    </row>
    <row r="6476">
      <c r="A6476" s="2" t="n">
        <v>6475</v>
      </c>
      <c r="B6476" s="2" t="inlineStr"/>
      <c r="C6476" s="2" t="n">
        <v>8618</v>
      </c>
      <c r="D6476" s="3" t="inlineStr">
        <is>
          <t>7 дней с русской красавицей</t>
        </is>
      </c>
      <c r="E6476" s="2" t="n">
        <v>1991</v>
      </c>
      <c r="F6476" s="2" t="inlineStr">
        <is>
          <t>кинофильм</t>
        </is>
      </c>
      <c r="G6476" s="2" t="n"/>
      <c r="H6476" s="2" t="n">
        <v>711</v>
      </c>
      <c r="I6476" s="2" t="inlineStr"/>
      <c r="J6476" s="2" t="inlineStr"/>
      <c r="K6476" s="3" t="inlineStr">
        <is>
          <t>Москва. Июнь 1991 года. Фурич, авантюрист новой волны, владелец «липового» туристического агентства, приглашает посетить Россию пятерых иностранцев — из Америки, Израиля, Италии, Японии и Африки. Он предлагает гостям специальный тур по маршруту Москва — Санкт-Петербург — Бухара — Одесса.
Вся эта затея нужна Фуричу для одного — получить от инвестора три миллиона долларов и сбежать за границу. Эти деньги он может получить только при одном условии: иностранные туристы должны дать положительные интервью крупнейшим телекомпаниям мира.
Фурич шантажирует победительницу конкурса «Русская красавица», обманывает простых граждан и военнослужащих, использует фальшивые документы и даже пытается убить горе-туристов.</t>
        </is>
      </c>
      <c r="L6476" s="2" t="inlineStr">
        <is>
          <t>https://ru.wikipedia.org/w/index.php?title=%D0%A1%D0%B5%D0%BC%D1%8C_%D0%B4%D0%BD%D0%B5%D0%B9_%D1%81_%D1%80%D1%83%D1%81%D1%81%D0%BA%D0%BE%D0%B9_%D0%BA%D1%80%D0%B0%D1%81%D0%B0%D0%B2%D0%B8%D1%86%D0%B5%D0%B9&amp;oldid=154904865</t>
        </is>
      </c>
      <c r="M6476" s="2">
        <f>HYPERLINK("https://ru.wikipedia.org/w/index.php?search=7%20%D0%B4%D0%BD%D0%B5%D0%B9%20%D1%81%20%D1%80%D1%83%D1%81%D1%81%D0%BA%D0%BE%D0%B9%20%D0%BA%D1%80%D0%B0%D1%81%D0%B0%D0%B2%D0%B8%D1%86%D0%B5%D0%B9%201991%20%D1%84%D0%B8%D0%BB%D1%8C%D0%BC","искать")</f>
        <v/>
      </c>
      <c r="N6476" s="3" t="n"/>
      <c r="O6476" s="2" t="n"/>
      <c r="P6476" s="2" t="n"/>
    </row>
    <row r="6477">
      <c r="A6477" s="2" t="n">
        <v>6476</v>
      </c>
      <c r="B6477" s="2" t="inlineStr"/>
      <c r="C6477" s="2" t="n">
        <v>10985</v>
      </c>
      <c r="D6477" s="3" t="inlineStr">
        <is>
          <t>Героини пьес Островского</t>
        </is>
      </c>
      <c r="E6477" s="2" t="n">
        <v>1983</v>
      </c>
      <c r="F6477" s="2" t="inlineStr">
        <is>
          <t>фильм-спектакль</t>
        </is>
      </c>
      <c r="G6477" s="2" t="inlineStr">
        <is>
          <t>Главная редакция литературно-драматических программ ЦТ</t>
        </is>
      </c>
      <c r="H6477" s="2" t="n">
        <v>713</v>
      </c>
      <c r="I6477" s="2" t="inlineStr"/>
      <c r="J6477" s="2" t="inlineStr"/>
      <c r="K6477" s="3" t="inlineStr">
        <is>
          <t>Фильм посвящен героиням пьес Островского - женам, кухаркам, актрисам, свахам. По большей части, это собирательные образы, и все же у многих из них есть свой прототип. Автор был человеком наблюдательным и все интересное записывал в дневник. Так родилась галерея образов родного Замоскворечья, где Островский появился на свет. Позже, после путешествия по Волге, добавились портреты жителей приволжских городков. Александр Николаевич не упускал мелочей. Когда драматург описывал быт, детали одежды или манеру речи персонажа, то герой буквально оживал.
В фильме зритель увидит сцены из спектаклей по пьесам Островского, картины художника Бориса Кустодиева, а также услышит русские романсы.
Автор и ведущая Ия Саввина.</t>
        </is>
      </c>
      <c r="L6477" s="2" t="inlineStr">
        <is>
          <t>https://www.kino-teatr.ru/teatr/movie/84740/annot/</t>
        </is>
      </c>
      <c r="M6477" s="2">
        <f>HYPERLINK("https://ru.wikipedia.org/w/index.php?search=%D0%93%D0%B5%D1%80%D0%BE%D0%B8%D0%BD%D0%B8%20%D0%BF%D1%8C%D0%B5%D1%81%20%D0%9E%D1%81%D1%82%D1%80%D0%BE%D0%B2%D1%81%D0%BA%D0%BE%D0%B3%D0%BE%201983%20%D1%84%D0%B8%D0%BB%D1%8C%D0%BC","искать")</f>
        <v/>
      </c>
      <c r="N6477" s="3" t="n"/>
      <c r="O6477" s="2" t="n"/>
      <c r="P6477" s="2" t="n"/>
    </row>
    <row r="6478">
      <c r="A6478" s="2" t="n">
        <v>6477</v>
      </c>
      <c r="B6478" s="2" t="inlineStr"/>
      <c r="C6478" s="2" t="n">
        <v>7569</v>
      </c>
      <c r="D6478" s="3" t="inlineStr">
        <is>
          <t>Дыня</t>
        </is>
      </c>
      <c r="E6478" s="2" t="n">
        <v>1982</v>
      </c>
      <c r="F6478" s="2" t="inlineStr">
        <is>
          <t>телефильм</t>
        </is>
      </c>
      <c r="G6478" s="2" t="inlineStr">
        <is>
          <t>Казахфильм</t>
        </is>
      </c>
      <c r="H6478" s="2" t="n">
        <v>714</v>
      </c>
      <c r="I6478" s="2" t="inlineStr"/>
      <c r="J6478" s="2" t="inlineStr"/>
      <c r="K6478" s="3" t="inlineStr">
        <is>
          <t>Болат направляется в командировку в Москву. В поезде он знакомится с Зайрой, а на одной из станций решает сбегать на рынок, чтобы купить для девушки чарджуйскую дыню — и отстаёт от поезда. На станции, помогая аксакалу-фронтовику, он ругается с начальником станции, но тут его принимают за тайного контролёра и сажают на скорый поезд, начальник которого, узнав, что Болат никакой не проверяющий, ссаживает его на ближайшей станции. Здесь Болат помогает починить старенький ГАЗ-69 водителю местной заготконторы Васе, который, узнав о приключениях Болата, входит в его положение и везёт его вслед за поездом, но, догнав поезд, Болат не находит девушку: Зайра сошла на предыдущей станции, пересев в поезд на Краснодар.</t>
        </is>
      </c>
      <c r="L6478" s="2" t="inlineStr">
        <is>
          <t>https://ru.wikipedia.org/w/index.php?title=%D0%94%D1%8B%D0%BD%D1%8F_%28%D1%84%D0%B8%D0%BB%D1%8C%D0%BC%29&amp;oldid=149105613</t>
        </is>
      </c>
      <c r="M6478" s="2">
        <f>HYPERLINK("https://ru.wikipedia.org/w/index.php?search=%D0%94%D1%8B%D0%BD%D1%8F%201982%20%D1%84%D0%B8%D0%BB%D1%8C%D0%BC","искать")</f>
        <v/>
      </c>
      <c r="N6478" s="3" t="n"/>
      <c r="O6478" s="2" t="n"/>
      <c r="P6478" s="2" t="n"/>
    </row>
    <row r="6479">
      <c r="A6479" s="2" t="n">
        <v>6478</v>
      </c>
      <c r="B6479" s="2" t="inlineStr"/>
      <c r="C6479" s="2" t="n">
        <v>11436</v>
      </c>
      <c r="D6479" s="3" t="inlineStr">
        <is>
          <t>Я жду птенца</t>
        </is>
      </c>
      <c r="E6479" s="2" t="n">
        <v>1966</v>
      </c>
      <c r="F6479" s="2" t="inlineStr">
        <is>
          <t>мультфильм</t>
        </is>
      </c>
      <c r="G6479" s="2" t="inlineStr">
        <is>
          <t>Союзмультфильм</t>
        </is>
      </c>
      <c r="H6479" s="2" t="n">
        <v>714</v>
      </c>
      <c r="I6479" s="2" t="inlineStr"/>
      <c r="J6479" s="2" t="inlineStr"/>
      <c r="K6479" s="3" t="inlineStr">
        <is>
          <t>Случилось так, что легкомысленная птичка Мейзи вынуждена была высиживать птенца, а ей этого очень не хотелось. Она упросила Слона заменит ь ее. Добрый Слон согласился, а обрадованная Мейзи упорхнула на золотой пляж веселиться со своими поклонниками. Слона, вымиживающего птенца, увидели охотники и увезли в город - показать чудо XX века. Слон устал от шума и суеты и решил уйти. Но тут он услышал стук из яйца - это птенец проклевывался. И добрый Слон остался, хотя ему неприятно было находиться в центре шумихи. Вдруг появилась Мейзи и потребовала, чтобы чудом XX века признали ее. Слон ушел, но тут яйцо треснуло и из него появился Слоненок с крылышками. Мейзи упала в обморок, а Слон со Слоненком ушли в джунгли</t>
        </is>
      </c>
      <c r="L6479" s="2" t="inlineStr">
        <is>
          <t>https://gosfilmofond.ru/films/246259/</t>
        </is>
      </c>
      <c r="M6479" s="2">
        <f>HYPERLINK("https://ru.wikipedia.org/w/index.php?search=%D0%AF%20%D0%B6%D0%B4%D1%83%20%D0%BF%D1%82%D0%B5%D0%BD%D1%86%D0%B0%201966%20%D1%84%D0%B8%D0%BB%D1%8C%D0%BC","искать")</f>
        <v/>
      </c>
      <c r="N6479" s="3" t="n"/>
      <c r="O6479" s="2" t="n"/>
      <c r="P6479" s="2" t="n"/>
    </row>
    <row r="6480">
      <c r="A6480" s="2" t="n">
        <v>6479</v>
      </c>
      <c r="B6480" s="2" t="inlineStr"/>
      <c r="C6480" s="2" t="n">
        <v>10033</v>
      </c>
      <c r="D6480" s="3" t="inlineStr">
        <is>
          <t>Путь</t>
        </is>
      </c>
      <c r="E6480" s="2" t="n">
        <v>1988</v>
      </c>
      <c r="F6480" s="2" t="inlineStr">
        <is>
          <t>телефильм</t>
        </is>
      </c>
      <c r="G6480" s="2" t="n"/>
      <c r="H6480" s="2" t="n">
        <v>716</v>
      </c>
      <c r="I6480" s="2" t="inlineStr"/>
      <c r="J6480" s="2" t="inlineStr"/>
      <c r="K6480" s="3" t="inlineStr">
        <is>
          <t>Трое друзей встречаются в центре города для развлечений. Погуляв по бульварам, они оказываются на природе. Тёмная сторона леса вскрывает подсознание каждого. И никто из них не подозревает о существовании в мире тех сил, что пробуждают в человеке скрытые до времени тёмные стороны их личностей. Метафора фильма состоит в обнажении спрятанных от прямого видения законов природы, с которыми приходится считаться не подозревающему о них человеку.
Фильм передаёт неповторимый колорит первых лет перестройки, когда мечты не вступали в противоречие с явью, и вера в светлое будущее страны не являлась чем-то несбыточным, хотя весь настрой фильма пророчествует о неотвратимом и безвозвратном.
Фильм восстановлен в 2009 году.</t>
        </is>
      </c>
      <c r="L6480" s="2" t="inlineStr">
        <is>
          <t>https://www.kino-teatr.ru/short/movie/sov/83662/annot/</t>
        </is>
      </c>
      <c r="M6480" s="2">
        <f>HYPERLINK("https://ru.wikipedia.org/w/index.php?search=%D0%9F%D1%83%D1%82%D1%8C%201988%20%D1%84%D0%B8%D0%BB%D1%8C%D0%BC","искать")</f>
        <v/>
      </c>
      <c r="N6480" s="3" t="n"/>
      <c r="O6480" s="2" t="n"/>
      <c r="P6480" s="2" t="n"/>
    </row>
    <row r="6481">
      <c r="A6481" s="2" t="n">
        <v>6480</v>
      </c>
      <c r="B6481" s="2" t="inlineStr"/>
      <c r="C6481" s="2" t="n">
        <v>13502</v>
      </c>
      <c r="D6481" s="3" t="inlineStr">
        <is>
          <t>Босоножка и ее друзья</t>
        </is>
      </c>
      <c r="E6481" s="2" t="n">
        <v>1975</v>
      </c>
      <c r="F6481" s="2" t="inlineStr">
        <is>
          <t>мультфильм</t>
        </is>
      </c>
      <c r="G6481" s="2" t="inlineStr">
        <is>
          <t>ПЕРМЬТЕЛЕФИЛЬМ</t>
        </is>
      </c>
      <c r="H6481" s="2" t="n">
        <v>716</v>
      </c>
      <c r="I6481" s="2" t="inlineStr"/>
      <c r="J6481" s="2" t="inlineStr"/>
      <c r="K6481" s="3" t="inlineStr">
        <is>
          <t>В доме, где жила девочка Наташа, в чулане, лежала старая кукла. Как-то раз Наташа достала ее из чулана и назвала куклу Босоножкой, потому что она не имела туфелек. Наташа надела на Босоножку простое незатейливое платьице в горошек. Босоножка была простой, милой и доброй девочкой-куклой. Она быстро подружилась с другими игрушками Наташи — медвежонком Мишей, песиком Петей и тигренком Борей. Все они дружили и играли вместе, а по вечерам Босоножка пела друзьям прекрасную колыбельную.Однажды Наташе на день рождения подарили новую куклу Лялю. Ляля была очень красива. У ней была большая шляпа, белоснежное платье, прекрасные туфельки. Наташе настолько понравилась Ляля, что она забросила своих старых игрушек-друзей.</t>
        </is>
      </c>
      <c r="L6481" s="2" t="inlineStr">
        <is>
          <t>2026-10_мультфильмы_список_владельца.xlsx; https://animator.ru/db/?p=show_film&amp;fid=4792</t>
        </is>
      </c>
      <c r="M6481" s="2">
        <f>HYPERLINK("https://ru.wikipedia.org/w/index.php?search=%D0%91%D0%BE%D1%81%D0%BE%D0%BD%D0%BE%D0%B6%D0%BA%D0%B0%20%D0%B8%20%D0%B5%D0%B5%20%D0%B4%D1%80%D1%83%D0%B7%D1%8C%D1%8F%201975%20%D1%84%D0%B8%D0%BB%D1%8C%D0%BC","искать")</f>
        <v/>
      </c>
      <c r="N6481" s="3" t="n"/>
      <c r="O6481" s="2" t="n"/>
      <c r="P6481" s="2" t="n"/>
    </row>
    <row r="6482">
      <c r="A6482" s="2" t="n">
        <v>6481</v>
      </c>
      <c r="B6482" s="2" t="inlineStr"/>
      <c r="C6482" s="2" t="n">
        <v>8714</v>
      </c>
      <c r="D6482" s="3" t="inlineStr">
        <is>
          <t>Дрянь</t>
        </is>
      </c>
      <c r="E6482" s="2" t="n">
        <v>1990</v>
      </c>
      <c r="F6482" s="2" t="inlineStr">
        <is>
          <t>кинофильм</t>
        </is>
      </c>
      <c r="G6482" s="2" t="inlineStr">
        <is>
          <t>к/с им. Довженко</t>
        </is>
      </c>
      <c r="H6482" s="2" t="n">
        <v>717</v>
      </c>
      <c r="I6482" s="2" t="inlineStr"/>
      <c r="J6482" s="2" t="inlineStr"/>
      <c r="K6482" s="3" t="inlineStr">
        <is>
          <t>События разворачиваются на заре крушения СССР, когда наркомания захлестнула страну. Валентин Мукасей по возвращении с военной службы из Афганистана узнаёт, что его родная сестра Алиса стала наркоманкой, а квартира превращена в притон: в квартире собираются свингеры, злоупотребляющие наркотическими средствами. Он пытается оторвать её от наркотической зависимости, но ничего не получается. Вскоре Алиса умирает от передозировки, и Валентин начинает мстить наркомафии. Помогает Валентину в труднейшей борьбе с поставщиками наркотиков, его друг — сослуживец. Последние минуты фильма очень зрелищны, когда главный герой с оружием в руках убивает всех причастных к наркодилерам, в том числе и самих владельцев наркотиков.</t>
        </is>
      </c>
      <c r="L6482" s="2" t="inlineStr">
        <is>
          <t>https://ru.wikipedia.org/w/index.php?title=%D0%94%D1%80%D1%8F%D0%BD%D1%8C_%28%D1%84%D0%B8%D0%BB%D1%8C%D0%BC%29&amp;oldid=154903172</t>
        </is>
      </c>
      <c r="M6482" s="2">
        <f>HYPERLINK("https://ru.wikipedia.org/w/index.php?search=%D0%94%D1%80%D1%8F%D0%BD%D1%8C%201990%20%D1%84%D0%B8%D0%BB%D1%8C%D0%BC","искать")</f>
        <v/>
      </c>
      <c r="N6482" s="3" t="n"/>
      <c r="O6482" s="2" t="n"/>
      <c r="P6482" s="2" t="n"/>
    </row>
    <row r="6483">
      <c r="A6483" s="2" t="n">
        <v>6482</v>
      </c>
      <c r="B6483" s="2" t="inlineStr"/>
      <c r="C6483" s="2" t="n">
        <v>9256</v>
      </c>
      <c r="D6483" s="3" t="inlineStr">
        <is>
          <t>Бурса</t>
        </is>
      </c>
      <c r="E6483" s="2" t="n">
        <v>1990</v>
      </c>
      <c r="F6483" s="2" t="inlineStr">
        <is>
          <t>кинофильм</t>
        </is>
      </c>
      <c r="G6483" s="2" t="inlineStr">
        <is>
          <t>к/с им. Горького</t>
        </is>
      </c>
      <c r="H6483" s="2" t="n">
        <v>718</v>
      </c>
      <c r="I6483" s="2" t="inlineStr"/>
      <c r="J6483" s="2" t="inlineStr"/>
      <c r="K6483" s="3" t="inlineStr">
        <is>
          <t>Бурса — духовное учебное заведение и общежитие при нём, где учатся бурсаки — разновозрастные мальчики и молодые люди, главным образом из семей церковно- и священнослужителей. Начальство широко практиковало телесные наказания, поэтому почти за любую провинность бурсаков пороли — секли розгами. Но вот в бурсе появляется новый воспитатель — «чистенький дядечка», которому ученики дали прозвище «Крыса», а преподаватели — «Демократ»: он против розог, а вместо них кладёт начало самоуправлению, вводя должность цензора из числа учащихся для надзора за успеваемостью и поведением остальных учеников, отчего начинает разрушаться крепко спаянное товарищество бурсаков, противостоявшее начальству и наушничавших ему фискалам.</t>
        </is>
      </c>
      <c r="L6483" s="2" t="inlineStr">
        <is>
          <t>https://ru.wikipedia.org/w/index.php?title=%D0%91%D1%83%D1%80%D1%81%D0%B0_%28%D1%84%D0%B8%D0%BB%D1%8C%D0%BC%2C_1990%29&amp;oldid=149110727</t>
        </is>
      </c>
      <c r="M6483" s="2">
        <f>HYPERLINK("https://ru.wikipedia.org/w/index.php?search=%D0%91%D1%83%D1%80%D1%81%D0%B0%201990%20%D1%84%D0%B8%D0%BB%D1%8C%D0%BC","искать")</f>
        <v/>
      </c>
      <c r="N6483" s="3" t="n"/>
      <c r="O6483" s="2" t="n"/>
      <c r="P6483" s="2" t="n"/>
    </row>
    <row r="6484">
      <c r="A6484" s="2" t="n">
        <v>6483</v>
      </c>
      <c r="B6484" s="2" t="inlineStr"/>
      <c r="C6484" s="2" t="n">
        <v>9613</v>
      </c>
      <c r="D6484" s="3" t="inlineStr">
        <is>
          <t>Раны земли нашей</t>
        </is>
      </c>
      <c r="E6484" s="2" t="n">
        <v>1971</v>
      </c>
      <c r="F6484" s="2" t="inlineStr">
        <is>
          <t>кинофильм</t>
        </is>
      </c>
      <c r="G6484" s="2" t="n"/>
      <c r="H6484" s="2" t="n">
        <v>718</v>
      </c>
      <c r="I6484" s="2" t="inlineStr"/>
      <c r="J6484" s="2" t="inlineStr"/>
      <c r="K6484" s="3" t="inlineStr">
        <is>
          <t>Главные герои фильма имеют чётких прототипов — коммунист Владас Рекашюс и генерал литовской армии Повилас Плехавичюс.
1918 год, после окончания Первой мировой войны и ухода кайзеровской армии на территории жемайтии образуется буржуазная Литва. В город приезжает интеллигент Гедрайтис. Военный комендант Пилькявичюс замечает, что раньше там где появлялся Гедрайтис, появлялась и большевистская печать. Вскоре в городке формируется подпольная ячейка большевиков. Не имея доказательств о причастности к ней Гедрайтиса, лишь подозревая его, в надежде выявить через него большевиков Пилькявичюс похищает его маленькую дочь…
О самоотверженной борьбе литовских революционеров-коммунистов в 1919 году, их стойкости и мужестве.</t>
        </is>
      </c>
      <c r="L6484" s="2" t="inlineStr">
        <is>
          <t>https://ru.wikipedia.org/w/index.php?title=%D0%A0%D0%B0%D0%BD%D1%8B_%D0%B7%D0%B5%D0%BC%D0%BB%D0%B8_%D0%BD%D0%B0%D1%88%D0%B5%D0%B9&amp;oldid=154703470</t>
        </is>
      </c>
      <c r="M6484" s="2">
        <f>HYPERLINK("https://ru.wikipedia.org/w/index.php?search=%D0%A0%D0%B0%D0%BD%D1%8B%20%D0%B7%D0%B5%D0%BC%D0%BB%D0%B8%20%D0%BD%D0%B0%D1%88%D0%B5%D0%B9%201971%20%D1%84%D0%B8%D0%BB%D1%8C%D0%BC","искать")</f>
        <v/>
      </c>
      <c r="N6484" s="3" t="n"/>
      <c r="O6484" s="2" t="n"/>
      <c r="P6484" s="2" t="n"/>
    </row>
    <row r="6485">
      <c r="A6485" s="2" t="n">
        <v>6484</v>
      </c>
      <c r="B6485" s="2" t="inlineStr"/>
      <c r="C6485" s="2" t="n">
        <v>8307</v>
      </c>
      <c r="D6485" s="3" t="inlineStr">
        <is>
          <t>Сватовство гусара</t>
        </is>
      </c>
      <c r="E6485" s="2" t="n">
        <v>1979</v>
      </c>
      <c r="F6485" s="2" t="inlineStr">
        <is>
          <t>телефильм</t>
        </is>
      </c>
      <c r="G6485" s="2" t="n"/>
      <c r="H6485" s="2" t="n">
        <v>720</v>
      </c>
      <c r="I6485" s="2" t="inlineStr"/>
      <c r="J6485" s="2" t="inlineStr"/>
      <c r="K6485" s="3" t="inlineStr">
        <is>
          <t>Ростовщик Потап Иванович Лоскутков (Андрей Попов) всё на свете меряет деньгами. Наступает момент, когда пора подумать о замужестве дочери Елизаветы Потаповны (Елена Коренева). Молодая девушка полюбила красавца-гусара Ивана Налимова (Михаил Боярский), но отец против выбора дочери, так как ищет жениха побогаче. Чтобы Лиза не сбежала с Налимовым, Лоскутков сажает её под «домашний арест», а Ивану ставит условие уплатить ему 2000 рублей в качестве отступных. Налимов и его друзья-гусары придумывают комбинацию с якобы ценной картиной. Переменив внешность, гусар несколько раз заявляется в дом к алчному старику в виде помещика Ростомахова и горского князя, и в конце концов Потап Иванович благословляет брак своей дочери.</t>
        </is>
      </c>
      <c r="L6485" s="2" t="inlineStr">
        <is>
          <t>https://ru.wikipedia.org/w/index.php?title=%D0%A1%D0%B2%D0%B0%D1%82%D0%BE%D0%B2%D1%81%D1%82%D0%B2%D0%BE_%D0%B3%D1%83%D1%81%D0%B0%D1%80%D0%B0&amp;oldid=150666088</t>
        </is>
      </c>
      <c r="M6485" s="2">
        <f>HYPERLINK("https://ru.wikipedia.org/w/index.php?search=%D0%A1%D0%B2%D0%B0%D1%82%D0%BE%D0%B2%D1%81%D1%82%D0%B2%D0%BE%20%D0%B3%D1%83%D1%81%D0%B0%D1%80%D0%B0%201979%20%D1%84%D0%B8%D0%BB%D1%8C%D0%BC","искать")</f>
        <v/>
      </c>
      <c r="N6485" s="3" t="n"/>
      <c r="O6485" s="2" t="n"/>
      <c r="P6485" s="2" t="n"/>
    </row>
    <row r="6486">
      <c r="A6486" s="2" t="n">
        <v>6485</v>
      </c>
      <c r="B6486" s="2" t="inlineStr"/>
      <c r="C6486" s="2" t="n">
        <v>8339</v>
      </c>
      <c r="D6486" s="3" t="inlineStr">
        <is>
          <t>Сержант милиции</t>
        </is>
      </c>
      <c r="E6486" s="2" t="n">
        <v>1974</v>
      </c>
      <c r="F6486" s="2" t="inlineStr">
        <is>
          <t>телефильм</t>
        </is>
      </c>
      <c r="G6486" s="2" t="inlineStr">
        <is>
          <t>Ленфильм</t>
        </is>
      </c>
      <c r="H6486" s="2" t="n">
        <v>720</v>
      </c>
      <c r="I6486" s="2" t="inlineStr"/>
      <c r="J6486" s="2" t="inlineStr"/>
      <c r="K6486" s="3" t="inlineStr">
        <is>
          <t>Молодому сотруднику милиции, сержанту Николаю Захарову (Алексей Минин), одновременно заочно заканчивающему обучение на юридическом факультете университета, поручают расследовать нападение и ограбление, совершённые в отношении Алексея Северцева (Александр Александров), абитуриента, приехавшего из далёкого города поступать в ленинградский ВУЗ. При участии более опытного майора Григорьева (Иван Краско) сержанту удаётся раскрыть преступление и практически в одиночку обезвредить банду «Князя» (Олег Янковский). За это он получает звание младший лейтенант.
Одновременно с детективной линией сюжета раскрываются его личные отношения с девушкой и социальная составляющая: ответственность за выбор профессии и чувство долга.</t>
        </is>
      </c>
      <c r="L6486" s="2" t="inlineStr">
        <is>
          <t>https://ru.wikipedia.org/w/index.php?title=%D0%A1%D0%B5%D1%80%D0%B6%D0%B0%D0%BD%D1%82_%D0%BC%D0%B8%D0%BB%D0%B8%D1%86%D0%B8%D0%B8_%28%D1%84%D0%B8%D0%BB%D1%8C%D0%BC%29&amp;oldid=155019779</t>
        </is>
      </c>
      <c r="M6486" s="2">
        <f>HYPERLINK("https://ru.wikipedia.org/w/index.php?search=%D0%A1%D0%B5%D1%80%D0%B6%D0%B0%D0%BD%D1%82%20%D0%BC%D0%B8%D0%BB%D0%B8%D1%86%D0%B8%D0%B8%201974%20%D1%84%D0%B8%D0%BB%D1%8C%D0%BC","искать")</f>
        <v/>
      </c>
      <c r="N6486" s="3" t="n"/>
      <c r="O6486" s="2" t="n"/>
      <c r="P6486" s="2" t="n"/>
    </row>
    <row r="6487">
      <c r="A6487" s="2" t="n">
        <v>6486</v>
      </c>
      <c r="B6487" s="2" t="inlineStr"/>
      <c r="C6487" s="2" t="n">
        <v>8371</v>
      </c>
      <c r="D6487" s="3" t="inlineStr">
        <is>
          <t>Собака на сене</t>
        </is>
      </c>
      <c r="E6487" s="2" t="n">
        <v>1977</v>
      </c>
      <c r="F6487" s="2" t="inlineStr">
        <is>
          <t>телефильм</t>
        </is>
      </c>
      <c r="G6487" s="2" t="inlineStr">
        <is>
          <t>Ленфильм</t>
        </is>
      </c>
      <c r="H6487" s="2" t="n">
        <v>721</v>
      </c>
      <c r="I6487" s="2" t="inlineStr"/>
      <c r="J6487" s="2" t="inlineStr"/>
      <c r="K6487" s="3" t="inlineStr">
        <is>
          <t>Теодоро, секретарь графини Дианы де Бельфлор, ухаживает за Марселой, горничной графини. Наблюдая за развитием их романа, госпожа неожиданно чувствует, как в ней просыпается ревность. Но условности и бремя предрассудков имеют сильную власть над независимой и своевольной Дианой. Она, подтрунивающая над своими знатными женихами, не может снизойти до того, чтобы признаться в любви безродному слуге.
У Теодоро нет выбора — ему нужно уехать искать счастье в других краях и покинуть дом Дианы, хотя души влюблённых принадлежат друг другу. Тогда на помощь приходит его слуга Тристан — лукавый и остроумный пройдоха. И Теодоро вдруг оказывается знатным вельможей и дворянином, не уступающим Диане по древности рода и богатству.</t>
        </is>
      </c>
      <c r="L6487" s="2" t="inlineStr">
        <is>
          <t>https://ru.wikipedia.org/w/index.php?title=%D0%A1%D0%BE%D0%B1%D0%B0%D0%BA%D0%B0_%D0%BD%D0%B0_%D1%81%D0%B5%D0%BD%D0%B5_%28%D1%84%D0%B8%D0%BB%D1%8C%D0%BC%2C_1977%29&amp;oldid=153882330</t>
        </is>
      </c>
      <c r="M6487" s="2">
        <f>HYPERLINK("https://ru.wikipedia.org/w/index.php?search=%D0%A1%D0%BE%D0%B1%D0%B0%D0%BA%D0%B0%20%D0%BD%D0%B0%20%D1%81%D0%B5%D0%BD%D0%B5%201977%20%D1%84%D0%B8%D0%BB%D1%8C%D0%BC","искать")</f>
        <v/>
      </c>
      <c r="N6487" s="3" t="n"/>
      <c r="O6487" s="2" t="n"/>
      <c r="P6487" s="2" t="n"/>
    </row>
    <row r="6488">
      <c r="A6488" s="2" t="n">
        <v>6487</v>
      </c>
      <c r="B6488" s="2" t="inlineStr"/>
      <c r="C6488" s="2" t="n">
        <v>10603</v>
      </c>
      <c r="D6488" s="3" t="inlineStr">
        <is>
          <t>Гаспароне</t>
        </is>
      </c>
      <c r="E6488" s="2" t="n">
        <v>1975</v>
      </c>
      <c r="F6488" s="2" t="inlineStr">
        <is>
          <t>фильм-спектакль</t>
        </is>
      </c>
      <c r="G6488" s="2" t="n"/>
      <c r="H6488" s="2" t="n">
        <v>722</v>
      </c>
      <c r="I6488" s="2" t="inlineStr"/>
      <c r="J6488" s="2" t="inlineStr"/>
      <c r="K6488" s="3" t="inlineStr">
        <is>
          <t>По оперетте Карла Миллёкера.
В портовый городок приезжает Эрминио, студент из Милана. От своего старого друга Карло, хозяина кабачка, он узнаёт о казнокраде губернаторе, обложившем непомерным налогом рыбаков, о том, что губернатор собирается женить своего непутёвого сынка на богатой вдове, красавице Шарлотте, в которую тайно влюблён Эрминио, и о зловещем морском разбойнике Гаспароне, роль которого предстоит сыграть ... самому Эрминио. Хитроумный Карло распутывает эти коллизии с находчивостью, достойной Фигаро: Карло и рыбаки с помощью Эрминио обводят вокруг пальца губернатора,а Эрминио находит путь к сердцу Шарлотты.
Вокальные партии исполняют:
Ольга Аматова, Кира Шеляховская, Марина Клещева, Д. Демьянов, Белугин</t>
        </is>
      </c>
      <c r="L6488" s="2" t="inlineStr">
        <is>
          <t>https://www.kino-teatr.ru/teatr/movie/85225/annot/</t>
        </is>
      </c>
      <c r="M6488" s="2">
        <f>HYPERLINK("https://ru.wikipedia.org/w/index.php?search=%D0%93%D0%B0%D1%81%D0%BF%D0%B0%D1%80%D0%BE%D0%BD%D0%B5%201975%20%D1%84%D0%B8%D0%BB%D1%8C%D0%BC","искать")</f>
        <v/>
      </c>
      <c r="N6488" s="3" t="n"/>
      <c r="O6488" s="2" t="n"/>
      <c r="P6488" s="2" t="n"/>
    </row>
    <row r="6489">
      <c r="A6489" s="2" t="n">
        <v>6488</v>
      </c>
      <c r="B6489" s="2" t="inlineStr"/>
      <c r="C6489" s="2" t="n">
        <v>11460</v>
      </c>
      <c r="D6489" s="3" t="inlineStr">
        <is>
          <t>Сказки для больших и маленьких</t>
        </is>
      </c>
      <c r="E6489" s="2" t="n">
        <v>1967</v>
      </c>
      <c r="F6489" s="2" t="inlineStr">
        <is>
          <t>мультфильм</t>
        </is>
      </c>
      <c r="G6489" s="2" t="inlineStr">
        <is>
          <t>Союзмультфильм</t>
        </is>
      </c>
      <c r="H6489" s="2" t="n">
        <v>722</v>
      </c>
      <c r="I6489" s="2" t="inlineStr"/>
      <c r="J6489" s="2" t="inlineStr"/>
      <c r="K6489" s="3" t="inlineStr">
        <is>
          <t>Состоит из трех сказок. ВОЛШЕБНОЕ СЛОВО. Задира Заяц дает пинка Кабану, Лисе и Волку, а потом, задрав лапки, орет, что лежачего не бьют. Но с Медведем эта шутка не проходит, косолапый хорошенько сечет Зайца прутом. ЗАЯЦ-СИМУЛЯНТ. Медведь нечаянно наступил Зайцу на лапку, а потом, чувствуя свою вину, берет его к себе домой, укладывает на кровать, кормит и поит. Заяц живет себе не тужит. Но вдруг встречает Медведь Лису и та предлагает Мишке отдать Зайца к ней в госпиталь, где Волк большой специалист по ножным болезням. Заяц, услышав это, сломя голову убегает. ДВА ТОЛСТЯКА И ЗАЯЦ. Бегемот и Слон находят автомобиль, ремонтируют его, чистят, надувают шины, моют, достается машина Зайцу. Заяц лихо ведет ее...и разбивает</t>
        </is>
      </c>
      <c r="L6489" s="2" t="inlineStr">
        <is>
          <t>https://gosfilmofond.ru/films/254290/</t>
        </is>
      </c>
      <c r="M6489" s="2">
        <f>HYPERLINK("https://ru.wikipedia.org/w/index.php?search=%D0%A1%D0%BA%D0%B0%D0%B7%D0%BA%D0%B8%20%D0%B4%D0%BB%D1%8F%20%D0%B1%D0%BE%D0%BB%D1%8C%D1%88%D0%B8%D1%85%20%D0%B8%20%D0%BC%D0%B0%D0%BB%D0%B5%D0%BD%D1%8C%D0%BA%D0%B8%D1%85%201967%20%D1%84%D0%B8%D0%BB%D1%8C%D0%BC","искать")</f>
        <v/>
      </c>
      <c r="N6489" s="3" t="n"/>
      <c r="O6489" s="2" t="n"/>
      <c r="P6489" s="2" t="n"/>
    </row>
    <row r="6490">
      <c r="A6490" s="2" t="n">
        <v>6489</v>
      </c>
      <c r="B6490" s="2" t="inlineStr"/>
      <c r="C6490" s="2" t="n">
        <v>10590</v>
      </c>
      <c r="D6490" s="3" t="inlineStr">
        <is>
          <t>Соло для часов с боем</t>
        </is>
      </c>
      <c r="E6490" s="2" t="n">
        <v>1974</v>
      </c>
      <c r="F6490" s="2" t="inlineStr">
        <is>
          <t>фильм-спектакль</t>
        </is>
      </c>
      <c r="G6490" s="2" t="inlineStr">
        <is>
          <t>ТО "Экран"</t>
        </is>
      </c>
      <c r="H6490" s="2" t="n">
        <v>723</v>
      </c>
      <c r="I6490" s="2" t="inlineStr"/>
      <c r="J6490" s="2" t="inlineStr"/>
      <c r="K6490" s="3" t="inlineStr">
        <is>
          <t>По одноименной пьесе Освальда Заградника.
Молодой человек собирался жениться. Где они будут жить, если не в старом дедушкином доме? Ненужные вещи можно выбросить, а дедушку попросить пожить на кухне или вообще переселить в дом престарелых - ведь там неплохо живут его друзья. Но дедушке этот дом дорог не потому, что здесь живут его вещи, а потому, что сюда приходят эти самые друзья и предаются воспоминаниям. Однажды они должны были прийти, чтобы отметить день рождения пани Конти...
В основе фильма - спектакль МХАТ имени М.Горького, поставленный Олегом Ефремовым специально для "стариков" театра.
Начинал работу над спектаклем известный в будущем театральный режиссер Анатолий Васильев.
Последняя роль Ольги Андровской.</t>
        </is>
      </c>
      <c r="L6490" s="2" t="inlineStr">
        <is>
          <t>https://www.kino-teatr.ru/teatr/movie/6653/annot/</t>
        </is>
      </c>
      <c r="M6490" s="2">
        <f>HYPERLINK("https://ru.wikipedia.org/w/index.php?search=%D0%A1%D0%BE%D0%BB%D0%BE%20%D0%B4%D0%BB%D1%8F%20%D1%87%D0%B0%D1%81%D0%BE%D0%B2%20%D1%81%20%D0%B1%D0%BE%D0%B5%D0%BC%201974%20%D1%84%D0%B8%D0%BB%D1%8C%D0%BC","искать")</f>
        <v/>
      </c>
      <c r="N6490" s="3" t="n"/>
      <c r="O6490" s="2" t="n"/>
      <c r="P6490" s="2" t="n"/>
    </row>
    <row r="6491">
      <c r="A6491" s="2" t="n">
        <v>6490</v>
      </c>
      <c r="B6491" s="2" t="inlineStr"/>
      <c r="C6491" s="2" t="n">
        <v>11603</v>
      </c>
      <c r="D6491" s="3" t="inlineStr">
        <is>
          <t>Отважный Робин Гуд</t>
        </is>
      </c>
      <c r="E6491" s="2" t="n">
        <v>1970</v>
      </c>
      <c r="F6491" s="2" t="inlineStr">
        <is>
          <t>мультфильм</t>
        </is>
      </c>
      <c r="G6491" s="2" t="inlineStr">
        <is>
          <t>Союзмультфильм</t>
        </is>
      </c>
      <c r="H6491" s="2" t="n">
        <v>723</v>
      </c>
      <c r="I6491" s="2" t="inlineStr"/>
      <c r="J6491" s="2" t="inlineStr"/>
      <c r="K6491" s="3" t="inlineStr">
        <is>
          <t>В старой Англии всем известно имя славного разбойника Робин Гуда. На богатых он наводит ужас, зато просттой народ восхищается его подвигами. Правители графства Нотлингэм объявляют ег вне закона, назначают награду тому, кто схватит Робина. Лучшие рыцари отправляются на поиски отважного разбойника. Король Ричард Львиное Сердце посылает рыцаря Гая убить Робина Гуда. Но храбрец и его друзья решают посмеяться над знаменитым рыцарем. Они раздевают его и отдают в руки Шерифа вместо Робин Гуда. Вместе с Гаем в замок под стражу попадают разбойники Джон и Вилли, а Робин в доспехах Гая приезжает освободить их. Шериф узнает Гуда, запирает его в темницу, но с помощью Сесиль, дочери Шерифа ему удается бежать вместе с товарищами</t>
        </is>
      </c>
      <c r="L6491" s="2" t="inlineStr">
        <is>
          <t>https://gosfilmofond.ru/films/255167/</t>
        </is>
      </c>
      <c r="M6491" s="2">
        <f>HYPERLINK("https://ru.wikipedia.org/w/index.php?search=%D0%9E%D1%82%D0%B2%D0%B0%D0%B6%D0%BD%D1%8B%D0%B9%20%D0%A0%D0%BE%D0%B1%D0%B8%D0%BD%20%D0%93%D1%83%D0%B4%201970%20%D1%84%D0%B8%D0%BB%D1%8C%D0%BC","искать")</f>
        <v/>
      </c>
      <c r="N6491" s="3" t="n"/>
      <c r="O6491" s="2" t="n"/>
      <c r="P6491" s="2" t="n"/>
    </row>
    <row r="6492">
      <c r="A6492" s="2" t="n">
        <v>6491</v>
      </c>
      <c r="B6492" s="2" t="inlineStr"/>
      <c r="C6492" s="2" t="n">
        <v>9428</v>
      </c>
      <c r="D6492" s="3" t="inlineStr">
        <is>
          <t>Комментарий к прошению о помиловании</t>
        </is>
      </c>
      <c r="E6492" s="2" t="n">
        <v>1988</v>
      </c>
      <c r="F6492" s="2" t="inlineStr">
        <is>
          <t>кинофильм</t>
        </is>
      </c>
      <c r="G6492" s="2" t="n"/>
      <c r="H6492" s="2" t="n">
        <v>724</v>
      </c>
      <c r="I6492" s="2" t="inlineStr"/>
      <c r="J6492" s="2" t="inlineStr"/>
      <c r="K6492" s="3" t="inlineStr">
        <is>
          <t>Вячеслав Иванович Тепляков, руководитель главка, обвинён во взяточничестве и его ожидает тюремное заключение. Перед арестом ему дают сутки свободы. Он бродит по Москве, заглядывает в своё учреждение, вызывая замешательство у подчинённых. Тепляков вспоминает о Надежде, женщине, которую любил, и находит её в больнице. Он уговаривает её уйти на свидание в кафе, но сам исчезает, затерявшись в толпе. Затем Тепляков встречается со своим другом детства Исааком Моисеевичем, который пережил арест и войну, и сейчас работает в газетном киоске. После разговора с ним Тепляков продолжает скитаться по городу, слушает музыкантов, общается с разными людьми и конфликтует с молодыми людьми. На следующее утро он направляется в тюрьму.</t>
        </is>
      </c>
      <c r="L6492" s="2" t="inlineStr">
        <is>
          <t>https://ru.wikipedia.org/w/index.php?title=%D0%9A%D0%BE%D0%BC%D0%BC%D0%B5%D0%BD%D1%82%D0%B0%D1%80%D0%B8%D0%B9_%D0%BA_%D0%BF%D1%80%D0%BE%D1%88%D0%B5%D0%BD%D0%B8%D1%8E_%D0%BE_%D0%BF%D0%BE%D0%BC%D0%B8%D0%BB%D0%BE%D0%B2%D0%B0%D0%BD%D0%B8%D0%B8&amp;oldid=154697384</t>
        </is>
      </c>
      <c r="M6492" s="2">
        <f>HYPERLINK("https://ru.wikipedia.org/w/index.php?search=%D0%9A%D0%BE%D0%BC%D0%BC%D0%B5%D0%BD%D1%82%D0%B0%D1%80%D0%B8%D0%B9%20%D0%BA%20%D0%BF%D1%80%D0%BE%D1%88%D0%B5%D0%BD%D0%B8%D1%8E%20%D0%BE%20%D0%BF%D0%BE%D0%BC%D0%B8%D0%BB%D0%BE%D0%B2%D0%B0%D0%BD%D0%B8%D0%B8%201988%20%D1%84%D0%B8%D0%BB%D1%8C%D0%BC","искать")</f>
        <v/>
      </c>
      <c r="N6492" s="3" t="n"/>
      <c r="O6492" s="2" t="n"/>
      <c r="P6492" s="2" t="n"/>
    </row>
    <row r="6493">
      <c r="A6493" s="2" t="n">
        <v>6492</v>
      </c>
      <c r="B6493" s="2" t="inlineStr"/>
      <c r="C6493" s="2" t="n">
        <v>10932</v>
      </c>
      <c r="D6493" s="3" t="inlineStr">
        <is>
          <t>Василиса Мелентьева</t>
        </is>
      </c>
      <c r="E6493" s="2" t="n">
        <v>1982</v>
      </c>
      <c r="F6493" s="2" t="inlineStr">
        <is>
          <t>фильм-спектакль</t>
        </is>
      </c>
      <c r="G6493" s="2" t="inlineStr">
        <is>
          <t>Творческое объединение "Экран"</t>
        </is>
      </c>
      <c r="H6493" s="2" t="n">
        <v>724</v>
      </c>
      <c r="I6493" s="2" t="inlineStr"/>
      <c r="J6493" s="2" t="inlineStr"/>
      <c r="K6493" s="3" t="inlineStr">
        <is>
          <t>По произведению А.Н. Островского в постановке Московского драматического театра им. М.Н. Ермоловой.
Действие разворачивается в эпоху Ивана Грозного, при его дворе. Вокруг могущественного русского царя происходят интриги, плетутся козни, руководит всем Малюта Скуратов.
Василиса Мелентьева, молодая вдова, становится орудием в руках Малюты. Разжигаемая и направляемая Скуратовым, она задумывает извести царицу и занять ее место. Но сначала нужно обольстить Ивана Грозного, что ей и удается. Трагический финал этой исторической дворцовой истории ещё раз подтверждает истину — власть должна оставаться властью, не имея право на любовь и слабости, иначе ею можно манипулировать. Иван Грозный отдал свою жизнь на заклание власти.</t>
        </is>
      </c>
      <c r="L6493" s="2" t="inlineStr">
        <is>
          <t>https://www.kino-teatr.ru/teatr/movie/81376/annot/</t>
        </is>
      </c>
      <c r="M6493" s="2">
        <f>HYPERLINK("https://ru.wikipedia.org/w/index.php?search=%D0%92%D0%B0%D1%81%D0%B8%D0%BB%D0%B8%D1%81%D0%B0%20%D0%9C%D0%B5%D0%BB%D0%B5%D0%BD%D1%82%D1%8C%D0%B5%D0%B2%D0%B0%201982%20%D1%84%D0%B8%D0%BB%D1%8C%D0%BC","искать")</f>
        <v/>
      </c>
      <c r="N6493" s="3" t="n"/>
      <c r="O6493" s="2" t="n"/>
      <c r="P6493" s="2" t="n"/>
    </row>
    <row r="6494">
      <c r="A6494" s="2" t="n">
        <v>6493</v>
      </c>
      <c r="B6494" s="2" t="inlineStr"/>
      <c r="C6494" s="2" t="n">
        <v>7862</v>
      </c>
      <c r="D6494" s="3" t="inlineStr">
        <is>
          <t>Меланхолический вальс</t>
        </is>
      </c>
      <c r="E6494" s="2" t="n">
        <v>1990</v>
      </c>
      <c r="F6494" s="2" t="inlineStr">
        <is>
          <t>телефильм</t>
        </is>
      </c>
      <c r="G6494" s="2" t="n"/>
      <c r="H6494" s="2" t="n">
        <v>726</v>
      </c>
      <c r="I6494" s="2" t="inlineStr"/>
      <c r="J6494" s="2" t="inlineStr"/>
      <c r="K6494" s="3" t="inlineStr">
        <is>
          <t>Фильм о трёх женщинах, о непостижимом таинстве человеческих отношений, об условностях и догмах, загоняющих жизнь в тупик… на фоне старинных зданий классическом стиле, которые творческой группе удалось отыскать в современном городе Черновцы.
Драматическая история начала XX века о трёх сёстрах, двое из которых, мечтающие реализовать свой художественный талант, сталкиваются с суровой реальностью. София — тонкая натура и талантливая пианистка, не снеся ударов судьбы (смерть мамы, отказ дяди платить за её обучение) — умирает. Ганна — художница, независимая и решительная — после поездки на учёбу в Италию возвращается домой с ребёнком, и только третья — Марта, человек безграничной доброты, осуществила мечту о семейном уюте.</t>
        </is>
      </c>
      <c r="L6494" s="2" t="inlineStr">
        <is>
          <t>https://ru.wikipedia.org/w/index.php?title=%D0%9C%D0%B5%D0%BB%D0%B0%D0%BD%D1%85%D0%BE%D0%BB%D0%B8%D1%87%D0%B5%D1%81%D0%BA%D0%B8%D0%B9_%D0%B2%D0%B0%D0%BB%D1%8C%D1%81_%28%D1%84%D0%B8%D0%BB%D1%8C%D0%BC%29&amp;oldid=154699540</t>
        </is>
      </c>
      <c r="M6494" s="2">
        <f>HYPERLINK("https://ru.wikipedia.org/w/index.php?search=%D0%9C%D0%B5%D0%BB%D0%B0%D0%BD%D1%85%D0%BE%D0%BB%D0%B8%D1%87%D0%B5%D1%81%D0%BA%D0%B8%D0%B9%20%D0%B2%D0%B0%D0%BB%D1%8C%D1%81%201990%20%D1%84%D0%B8%D0%BB%D1%8C%D0%BC","искать")</f>
        <v/>
      </c>
      <c r="N6494" s="3" t="n"/>
      <c r="O6494" s="2" t="n"/>
      <c r="P6494" s="2" t="n"/>
    </row>
    <row r="6495">
      <c r="A6495" s="2" t="n">
        <v>6494</v>
      </c>
      <c r="B6495" s="2" t="inlineStr"/>
      <c r="C6495" s="2" t="n">
        <v>11099</v>
      </c>
      <c r="D6495" s="3" t="inlineStr">
        <is>
          <t>Ворон</t>
        </is>
      </c>
      <c r="E6495" s="2" t="n">
        <v>1986</v>
      </c>
      <c r="F6495" s="2" t="inlineStr">
        <is>
          <t>фильм-спектакль</t>
        </is>
      </c>
      <c r="G6495" s="2" t="inlineStr">
        <is>
          <t>Главная редакция программ для детей ЦТ</t>
        </is>
      </c>
      <c r="H6495" s="2" t="n">
        <v>726</v>
      </c>
      <c r="I6495" s="2" t="inlineStr"/>
      <c r="J6495" s="2" t="inlineStr"/>
      <c r="K6495" s="3" t="inlineStr">
        <is>
          <t>По одноименной пьесе-сказке Карло Гоцци в постановке Московского академического театра сатиры.
Как-то раз король Миллон подстрелил черного Ворона, тот упал на мраморную гробницу, обагрив её кровью. В тот же миг перед Миллоном предстал Людоед, которому Ворон был посвящен, и проклял убийцу страшным проклятием: если Миллон не найдет красавицу, которая была бы бела, как мрамор, ала, как воронова кровь, и черна, как крыло убитой птицы, его ждет страшная смерть от тоски и терзаний. С того самого дня король стал на глазах чахнуть, и его брат Дженнаро, движимый любовью и состраданием, отправился на поиски красавицы. После долгих странствий он наконец нашел её.
Но это только начало удивительной сказки, написанной Карло Гоцци.</t>
        </is>
      </c>
      <c r="L6495" s="2" t="inlineStr">
        <is>
          <t>https://www.kino-teatr.ru/teatr/movie/85651/annot/</t>
        </is>
      </c>
      <c r="M6495" s="2">
        <f>HYPERLINK("https://ru.wikipedia.org/w/index.php?search=%D0%92%D0%BE%D1%80%D0%BE%D0%BD%201986%20%D1%84%D0%B8%D0%BB%D1%8C%D0%BC","искать")</f>
        <v/>
      </c>
      <c r="N6495" s="3" t="n"/>
      <c r="O6495" s="2" t="n"/>
      <c r="P6495" s="2" t="n"/>
    </row>
    <row r="6496">
      <c r="A6496" s="2" t="n">
        <v>6495</v>
      </c>
      <c r="B6496" s="2" t="inlineStr"/>
      <c r="C6496" s="2" t="n">
        <v>8448</v>
      </c>
      <c r="D6496" s="3" t="inlineStr">
        <is>
          <t>Тени старого замка</t>
        </is>
      </c>
      <c r="E6496" s="2" t="n">
        <v>1966</v>
      </c>
      <c r="F6496" s="2" t="inlineStr">
        <is>
          <t>телефильм</t>
        </is>
      </c>
      <c r="G6496" s="2" t="n"/>
      <c r="H6496" s="2" t="n">
        <v>730</v>
      </c>
      <c r="I6496" s="2" t="inlineStr"/>
      <c r="J6496" s="2" t="inlineStr"/>
      <c r="K6496" s="3" t="inlineStr">
        <is>
          <t>Осень 1948 года. В трёхсотлетнем замке баронов фон Лорингеров, стоящем на одном из пограничных островов Советской Эстонии в Балтийском море, теперь находится Мустамяэская семилетняя школа-интернат. Местные жители уверены, что там обитает привидение Зелёного охотника. Живущим в за́мке школьникам тоже кажется, что по ночам они слышат шаги.
Во время уборки ребята находят модель пиратского парусника, в котором оказался тайник. В нём хранились документы — рапорт немецкого офицера Вальтера и старые документы директора школы, бывшего белогвардейского офицера Филимова.
В поисках приключений и мифических сокровищ замка ребята открывают зловещие тайны эстонских националистов, сотрудничавших в годы Второй мировой войны с нацистами.</t>
        </is>
      </c>
      <c r="L6496" s="2" t="inlineStr">
        <is>
          <t>https://ru.wikipedia.org/w/index.php?title=%D0%A2%D0%B5%D0%BD%D0%B8_%D1%81%D1%82%D0%B0%D1%80%D0%BE%D0%B3%D0%BE_%D0%B7%D0%B0%D0%BC%D0%BA%D0%B0&amp;oldid=145747721</t>
        </is>
      </c>
      <c r="M6496" s="2">
        <f>HYPERLINK("https://ru.wikipedia.org/w/index.php?search=%D0%A2%D0%B5%D0%BD%D0%B8%20%D1%81%D1%82%D0%B0%D1%80%D0%BE%D0%B3%D0%BE%20%D0%B7%D0%B0%D0%BC%D0%BA%D0%B0%201966%20%D1%84%D0%B8%D0%BB%D1%8C%D0%BC","искать")</f>
        <v/>
      </c>
      <c r="N6496" s="3" t="n"/>
      <c r="O6496" s="2" t="n"/>
      <c r="P6496" s="2" t="n"/>
    </row>
    <row r="6497">
      <c r="A6497" s="2" t="n">
        <v>6496</v>
      </c>
      <c r="B6497" s="2" t="inlineStr"/>
      <c r="C6497" s="2" t="n">
        <v>8822</v>
      </c>
      <c r="D6497" s="3" t="inlineStr">
        <is>
          <t>Мария, Мирабела в Транзистории</t>
        </is>
      </c>
      <c r="E6497" s="2" t="n">
        <v>1988</v>
      </c>
      <c r="F6497" s="2" t="inlineStr">
        <is>
          <t>мультфильм</t>
        </is>
      </c>
      <c r="G6497" s="2" t="inlineStr">
        <is>
          <t>Мосфильм; Romania Film; Союзмультфильм</t>
        </is>
      </c>
      <c r="H6497" s="2" t="n">
        <v>733</v>
      </c>
      <c r="I6497" s="2" t="inlineStr"/>
      <c r="J6497" s="2" t="inlineStr"/>
      <c r="K6497" s="3" t="inlineStr">
        <is>
          <t>Новые приключения сестёр Марии и Мирабелы. На этот раз они попали в волшебную страну Транзисторию, которая находится внутри обыкновенного телевизора.
Герои сказки: сестрёнки-близнецы Мария и Мирабела, а также их друзья — светлячок Скиперич, бабочка Омидэ и лягушонок Кваки. Композитор использовал широкий арсенал выразительных средств и жанров — оперную арию, старинную балладу и танец в стиле «диско».
На этот раз в ролях Марии и Мирабелы (которые по сюжету являются другими девочками — поклонницами оригинального фильма) задействованы другие актрисы. Кваки, Скиперич и Омидэ изначально являются не живыми существами, как в первом фильме, а просто мультяшками (однако впоследствии превращаются в людей, которых играют живые актёры).</t>
        </is>
      </c>
      <c r="L6497" s="2" t="inlineStr">
        <is>
          <t>https://ru.wikipedia.org/w/index.php?title=%D0%9C%D0%B0%D1%80%D0%B8%D1%8F%2C_%D0%9C%D0%B8%D1%80%D0%B0%D0%B1%D0%B5%D0%BB%D0%B0_%D0%B2_%D0%A2%D1%80%D0%B0%D0%BD%D0%B7%D0%B8%D1%81%D1%82%D0%BE%D1%80%D0%B8%D0%B8&amp;oldid=153437687</t>
        </is>
      </c>
      <c r="M6497" s="2">
        <f>HYPERLINK("https://ru.wikipedia.org/w/index.php?search=%D0%9C%D0%B0%D1%80%D0%B8%D1%8F%2C%20%D0%9C%D0%B8%D1%80%D0%B0%D0%B1%D0%B5%D0%BB%D0%B0%20%D0%B2%20%D0%A2%D1%80%D0%B0%D0%BD%D0%B7%D0%B8%D1%81%D1%82%D0%BE%D1%80%D0%B8%D0%B8%201988%20%D1%84%D0%B8%D0%BB%D1%8C%D0%BC","искать")</f>
        <v/>
      </c>
      <c r="N6497" s="3" t="n"/>
      <c r="O6497" s="2" t="n"/>
      <c r="P6497" s="2" t="n"/>
    </row>
    <row r="6498">
      <c r="A6498" s="2" t="n">
        <v>6497</v>
      </c>
      <c r="B6498" s="2" t="inlineStr"/>
      <c r="C6498" s="2" t="n">
        <v>11036</v>
      </c>
      <c r="D6498" s="3" t="inlineStr">
        <is>
          <t>Повести Белкина. Метель</t>
        </is>
      </c>
      <c r="E6498" s="2" t="n">
        <v>1984</v>
      </c>
      <c r="F6498" s="2" t="inlineStr">
        <is>
          <t>фильм-спектакль</t>
        </is>
      </c>
      <c r="G6498" s="2" t="inlineStr">
        <is>
          <t>Центральное Телевидение</t>
        </is>
      </c>
      <c r="H6498" s="2" t="n">
        <v>735</v>
      </c>
      <c r="I6498" s="2" t="inlineStr"/>
      <c r="J6498" s="2" t="inlineStr"/>
      <c r="K6498" s="3" t="inlineStr">
        <is>
          <t>Постановка по одноименной повести А. С. Пушкина "Метель".
Роковая случайность — метель, закружившая героев и "подменившая" женихов.
"...А. С. Пушкин верил в решающую роль случая в жизни людей. Он не раз задумывался о том, не является ли человек игрушкой в руках неведомых сил. Метель в повести и есть воплощение таких тайных сил, руководящих нашей жизнью. Они могут жестоко подшутить над человеком, но если довериться им, могут принести счастье и удачу. Герои повести достойно приняли случившееся с ними. И судьба снова пошутила, но по-доброму. Она свела случайных супругов, дала им возможность узнать и полюбить друг друга. Став мужем и женой по невероятному стечению обстоятельств, Марья Гавриловна и Бурмин обрели счастье и любовь".</t>
        </is>
      </c>
      <c r="L6498" s="2" t="inlineStr">
        <is>
          <t>https://www.kino-teatr.ru/teatr/movie/10782/annot/</t>
        </is>
      </c>
      <c r="M6498" s="2">
        <f>HYPERLINK("https://ru.wikipedia.org/w/index.php?search=%D0%9F%D0%BE%D0%B2%D0%B5%D1%81%D1%82%D0%B8%20%D0%91%D0%B5%D0%BB%D0%BA%D0%B8%D0%BD%D0%B0.%20%D0%9C%D0%B5%D1%82%D0%B5%D0%BB%D1%8C%201984%20%D1%84%D0%B8%D0%BB%D1%8C%D0%BC","искать")</f>
        <v/>
      </c>
      <c r="N6498" s="3" t="n"/>
      <c r="O6498" s="2" t="n"/>
      <c r="P6498" s="2" t="n"/>
    </row>
    <row r="6499">
      <c r="A6499" s="2" t="n">
        <v>6498</v>
      </c>
      <c r="B6499" s="2" t="inlineStr"/>
      <c r="C6499" s="2" t="n">
        <v>11430</v>
      </c>
      <c r="D6499" s="3" t="inlineStr">
        <is>
          <t>Самый, самый, самый, самый</t>
        </is>
      </c>
      <c r="E6499" s="2" t="n">
        <v>1966</v>
      </c>
      <c r="F6499" s="2" t="inlineStr">
        <is>
          <t>мультфильм</t>
        </is>
      </c>
      <c r="G6499" s="2" t="inlineStr">
        <is>
          <t>Союзмультфильм</t>
        </is>
      </c>
      <c r="H6499" s="2" t="n">
        <v>735</v>
      </c>
      <c r="I6499" s="2" t="inlineStr"/>
      <c r="J6499" s="2" t="inlineStr"/>
      <c r="K6499" s="3" t="inlineStr">
        <is>
          <t>В Африке, около озера Чад родился Львенок. Любознательный малыш хочет знать, кто он такой и что он может. Льстивая Гиена говорит ему, что он царь зверей и потому самый сильный, самый мудрый и самый красивый. Но древний дух Мбла, живцщий в колодце, сказал ему, что он самый глупый. Когда Львенок неосторожно потревожил муравейник и Муравей укусил его за хвост, малыш поверил, что Муравей смелее его. Но зато Львенок решил, что сильнее его нет никого на свете.Однако сильнее его оказался Слон, от его гнева спас Львенка Орел и сказал, что всегда встретишь и более смелого и более сильного. Но кто же самый красивый? Только когда малыш стал взрослым Львом и его полюбили Львица, он понял, что тот, кого любят, всегда самый, самый, самый..</t>
        </is>
      </c>
      <c r="L6499" s="2" t="inlineStr">
        <is>
          <t>https://gosfilmofond.ru/films/254247/</t>
        </is>
      </c>
      <c r="M6499" s="2">
        <f>HYPERLINK("https://ru.wikipedia.org/w/index.php?search=%D0%A1%D0%B0%D0%BC%D1%8B%D0%B9%2C%20%D1%81%D0%B0%D0%BC%D1%8B%D0%B9%2C%20%D1%81%D0%B0%D0%BC%D1%8B%D0%B9%2C%20%D1%81%D0%B0%D0%BC%D1%8B%D0%B9%201966%20%D1%84%D0%B8%D0%BB%D1%8C%D0%BC","искать")</f>
        <v/>
      </c>
      <c r="N6499" s="3" t="n"/>
      <c r="O6499" s="2" t="n"/>
      <c r="P6499" s="2" t="n"/>
    </row>
    <row r="6500">
      <c r="A6500" s="2" t="n">
        <v>6499</v>
      </c>
      <c r="B6500" s="2" t="inlineStr"/>
      <c r="C6500" s="2" t="n">
        <v>9512</v>
      </c>
      <c r="D6500" s="3" t="inlineStr">
        <is>
          <t>Новые приключения янки при дворе короля Артура</t>
        </is>
      </c>
      <c r="E6500" s="2" t="n">
        <v>1988</v>
      </c>
      <c r="F6500" s="2" t="inlineStr">
        <is>
          <t>кинофильм</t>
        </is>
      </c>
      <c r="G6500" s="2" t="n"/>
      <c r="H6500" s="2" t="n">
        <v>737</v>
      </c>
      <c r="I6500" s="2" t="inlineStr"/>
      <c r="J6500" s="2" t="inlineStr"/>
      <c r="K6500" s="3" t="inlineStr">
        <is>
          <t>В одном из вылетов с опытным американским лётчиком и его экипажем случилось неожиданное бедствие. Вместе с самолётом они провалились во временную дыру. Остальные члены команды погибают, а главного героя переносит в Средневековье, во времена короля Артура. Сначала он попадает в плен к одному из рыцарей Круглого стола, который знакомит его с тем, как жили рабы в этот период времени. Благодаря своим знаниям из нового века ему удается добыть свободу и даже занять приличное место при дворе. Вскоре он становится рыцарем. Именно в этот период он познаёт всю суть жизни при дворе. Хэнк начинает разбираться во всех интригах, что строятся разными личностями. Он понимает, что здесь является чужим, и ему необходимо срочно искать путь домой.</t>
        </is>
      </c>
      <c r="L6500" s="2" t="inlineStr">
        <is>
          <t>https://ru.wikipedia.org/w/index.php?title=%D0%9D%D0%BE%D0%B2%D1%8B%D0%B5_%D0%BF%D1%80%D0%B8%D0%BA%D0%BB%D1%8E%D1%87%D0%B5%D0%BD%D0%B8%D1%8F_%D1%8F%D0%BD%D0%BA%D0%B8_%D0%BF%D1%80%D0%B8_%D0%B4%D0%B2%D0%BE%D1%80%D0%B5_%D0%BA%D0%BE%D1%80%D0%BE%D0%BB%D1%8F_%D0%90%D1%80%D1%82%D1%83%D1%80%D0%B0&amp;oldid=149012043</t>
        </is>
      </c>
      <c r="M6500" s="2">
        <f>HYPERLINK("https://ru.wikipedia.org/w/index.php?search=%D0%9D%D0%BE%D0%B2%D1%8B%D0%B5%20%D0%BF%D1%80%D0%B8%D0%BA%D0%BB%D1%8E%D1%87%D0%B5%D0%BD%D0%B8%D1%8F%20%D1%8F%D0%BD%D0%BA%D0%B8%20%D0%BF%D1%80%D0%B8%20%D0%B4%D0%B2%D0%BE%D1%80%D0%B5%20%D0%BA%D0%BE%D1%80%D0%BE%D0%BB%D1%8F%20%D0%90%D1%80%D1%82%D1%83%D1%80%D0%B0%201988%20%D1%84%D0%B8%D0%BB%D1%8C%D0%BC","искать")</f>
        <v/>
      </c>
      <c r="N6500" s="3" t="n"/>
      <c r="O6500" s="2" t="n"/>
      <c r="P6500" s="2" t="n"/>
    </row>
    <row r="6501">
      <c r="A6501" s="2" t="n">
        <v>6500</v>
      </c>
      <c r="B6501" s="2" t="inlineStr"/>
      <c r="C6501" s="2" t="n">
        <v>7201</v>
      </c>
      <c r="D6501" s="3" t="inlineStr">
        <is>
          <t>Активная зона</t>
        </is>
      </c>
      <c r="E6501" s="2" t="n">
        <v>1979</v>
      </c>
      <c r="F6501" s="2" t="inlineStr">
        <is>
          <t>телефильм</t>
        </is>
      </c>
      <c r="G6501" s="2" t="n"/>
      <c r="H6501" s="2" t="n">
        <v>738</v>
      </c>
      <c r="I6501" s="2" t="inlineStr"/>
      <c r="J6501" s="2" t="inlineStr"/>
      <c r="K6501" s="3" t="inlineStr">
        <is>
          <t>Действие фильма происходит в 1970-х годах в одном из атомных городов СССР. События фильма разворачиваются вокруг проблем атомных станций и атомных городов СССР.
Новый партийный секретарь АЭС ведёт борьбу с руководством атомной станции, стремящимся к достижению высоких показателей в ущерб технике безопасности и нормам эксплуатации атомного реактора. Он же ставит вопрос о недопустимости небрежного отношения к человеку в угоду автоматизации производства.
В фильме показана неприглядность казённого отношения к производственным задачам и их исполнителям и высвечены преступные черты характеров отрицательных персонажей, склонных не только злоупотреблять служебным положением, но и преследовать личную выгоду на общественно значимом посту.</t>
        </is>
      </c>
      <c r="L6501" s="2" t="inlineStr">
        <is>
          <t>https://ru.wikipedia.org/w/index.php?title=%D0%90%D0%BA%D1%82%D0%B8%D0%B2%D0%BD%D0%B0%D1%8F_%D0%B7%D0%BE%D0%BD%D0%B0_%28%D1%84%D0%B8%D0%BB%D1%8C%D0%BC%29&amp;oldid=154671282</t>
        </is>
      </c>
      <c r="M6501" s="2">
        <f>HYPERLINK("https://ru.wikipedia.org/w/index.php?search=%D0%90%D0%BA%D1%82%D0%B8%D0%B2%D0%BD%D0%B0%D1%8F%20%D0%B7%D0%BE%D0%BD%D0%B0%201979%20%D1%84%D0%B8%D0%BB%D1%8C%D0%BC","искать")</f>
        <v/>
      </c>
      <c r="N6501" s="3" t="n"/>
      <c r="O6501" s="2" t="n"/>
      <c r="P6501" s="2" t="n"/>
    </row>
    <row r="6502">
      <c r="A6502" s="2" t="n">
        <v>6501</v>
      </c>
      <c r="B6502" s="2" t="inlineStr"/>
      <c r="C6502" s="2" t="n">
        <v>11485</v>
      </c>
      <c r="D6502" s="3" t="inlineStr">
        <is>
          <t>Орленок</t>
        </is>
      </c>
      <c r="E6502" s="2" t="n">
        <v>1968</v>
      </c>
      <c r="F6502" s="2" t="inlineStr">
        <is>
          <t>мультфильм</t>
        </is>
      </c>
      <c r="G6502" s="2" t="inlineStr">
        <is>
          <t>Союзмультфильм</t>
        </is>
      </c>
      <c r="H6502" s="2" t="n">
        <v>738</v>
      </c>
      <c r="I6502" s="2" t="inlineStr"/>
      <c r="J6502" s="2" t="inlineStr"/>
      <c r="K6502" s="3" t="inlineStr">
        <is>
          <t>Юный трубач Орленок смело мчится на коне впереди красноармейцев. Главный офицер белой армии приказывает схватить трубача...Прошло много лет - и тачанка, и портрет Орленка, и оружие красноармейцев теперь хранятся в музее. Юный пионер, пришедший в музей, решает спасти Орленка от гибели; он садится в тачанку и мчится в годы гражданской войны. Ему удается освободить смелого Орленка. Бросаются белые в погоню. Пионер спасает трубача, но сам попадает в плен. Его допрашивает главный белый офицер, который хочет пробраться с пионером в будущее. Храбрый пионер не поддается на хитрость. А утром красноармейцы разбивают армию белых и освобождают пионера. Но смелый трубач геройски гибнет в бою. Звучит песня об Орленке - герое гражданской войны</t>
        </is>
      </c>
      <c r="L6502" s="2" t="inlineStr">
        <is>
          <t>https://gosfilmofond.ru/films/254324/</t>
        </is>
      </c>
      <c r="M6502" s="2">
        <f>HYPERLINK("https://ru.wikipedia.org/w/index.php?search=%D0%9E%D1%80%D0%BB%D0%B5%D0%BD%D0%BE%D0%BA%201968%20%D1%84%D0%B8%D0%BB%D1%8C%D0%BC","искать")</f>
        <v/>
      </c>
      <c r="N6502" s="3" t="n"/>
      <c r="O6502" s="2" t="n"/>
      <c r="P6502" s="2" t="n"/>
    </row>
    <row r="6503">
      <c r="A6503" s="2" t="n">
        <v>6502</v>
      </c>
      <c r="B6503" s="2" t="inlineStr"/>
      <c r="C6503" s="2" t="n">
        <v>9897</v>
      </c>
      <c r="D6503" s="3" t="inlineStr">
        <is>
          <t>Старая черешня</t>
        </is>
      </c>
      <c r="E6503" s="2" t="n">
        <v>1972</v>
      </c>
      <c r="F6503" s="2" t="inlineStr">
        <is>
          <t>кинофильм</t>
        </is>
      </c>
      <c r="G6503" s="2" t="inlineStr">
        <is>
          <t>Азербайджанфильм</t>
        </is>
      </c>
      <c r="H6503" s="2" t="n">
        <v>739</v>
      </c>
      <c r="I6503" s="2" t="inlineStr"/>
      <c r="J6503" s="2" t="inlineStr"/>
      <c r="K6503" s="3" t="inlineStr">
        <is>
          <t>История фильма происходит в грозные годы ВОВ. Фильм повествует о жизни несчастных детей, родители которых ушли на фронт, о страшных днях войны и о благородной морали добрейших души людей, которые посвятили себя воспитанию оставленных родителями детей. Действие происходит в одной из отдалённых деревень Азербайджанской ССР. Один из аксакалов этой деревни — Гулам Баба рассказывает поучительные истории, и детишки всегда собираются рядом с ним, чтобы его послушать с целью отгона у детей плохих мыслей о войне. Как бы не была ужасна ВОВ, мир не может нарушить желания аксакала-мудреца, а он выживает в трудные дни, но благодаря его поучительным историям и любимым детям его села, на душе у него очень спокойно. Фильм снят по заказу ЦТ СССР.</t>
        </is>
      </c>
      <c r="L6503" s="2" t="inlineStr">
        <is>
          <t>https://ru.wikipedia.org/w/index.php?title=%D0%A1%D1%82%D0%B0%D1%80%D0%B0%D1%8F_%D1%87%D0%B5%D1%80%D0%B5%D1%88%D0%BD%D1%8F&amp;oldid=149111715</t>
        </is>
      </c>
      <c r="M6503" s="2">
        <f>HYPERLINK("https://ru.wikipedia.org/w/index.php?search=%D0%A1%D1%82%D0%B0%D1%80%D0%B0%D1%8F%20%D1%87%D0%B5%D1%80%D0%B5%D1%88%D0%BD%D1%8F%201972%20%D1%84%D0%B8%D0%BB%D1%8C%D0%BC","искать")</f>
        <v/>
      </c>
      <c r="N6503" s="3" t="n"/>
      <c r="O6503" s="2" t="n"/>
      <c r="P6503" s="2" t="n"/>
    </row>
    <row r="6504">
      <c r="A6504" s="2" t="n">
        <v>6503</v>
      </c>
      <c r="B6504" s="2" t="inlineStr"/>
      <c r="C6504" s="2" t="n">
        <v>10779</v>
      </c>
      <c r="D6504" s="3" t="inlineStr">
        <is>
          <t>Театр Аллы Пугачевой</t>
        </is>
      </c>
      <c r="E6504" s="2" t="n">
        <v>1978</v>
      </c>
      <c r="F6504" s="2" t="inlineStr">
        <is>
          <t>фильм-спектакль</t>
        </is>
      </c>
      <c r="G6504" s="2" t="inlineStr">
        <is>
          <t>Телевидение Эстонской ССР</t>
        </is>
      </c>
      <c r="H6504" s="2" t="n">
        <v>744</v>
      </c>
      <c r="I6504" s="2" t="inlineStr"/>
      <c r="J6504" s="2" t="inlineStr"/>
      <c r="K6504" s="3" t="inlineStr">
        <is>
          <t>Псевдодокументальный фильм-концерт, снятый режиссерами эстонского телевидения не имеет в общем-то определенного сюжета. Его основу составили несколько видеозаписей сольных концертов Аллы Пугачевой в июле 1978 года, сменяющиеся оригинальными студийными съемками. В фильме прозвучали песни "Все силы даже прилагая", "До свидания лето", "Ты возьми меня с собой", "Вот так случилось, мама", "Песенка первоклассника", "Приезжай", "Сонет Шекспира", "Все могут короли", "Песенка про меня", "Женщина, которая поет", которые стали суперхитами своего времени, а некоторые из них также прозвучали в фильме "Женщина, которая поет". В создании видеозаписи песни "Ты возьми меня с собой" впервые советскими дублерами были использованы методы ритм-компьютера.</t>
        </is>
      </c>
      <c r="L6504" s="2" t="inlineStr">
        <is>
          <t>https://www.kino-teatr.ru/teatr/movie/93369/annot/</t>
        </is>
      </c>
      <c r="M6504" s="2">
        <f>HYPERLINK("https://ru.wikipedia.org/w/index.php?search=%D0%A2%D0%B5%D0%B0%D1%82%D1%80%20%D0%90%D0%BB%D0%BB%D1%8B%20%D0%9F%D1%83%D0%B3%D0%B0%D1%87%D0%B5%D0%B2%D0%BE%D0%B9%201978%20%D1%84%D0%B8%D0%BB%D1%8C%D0%BC","искать")</f>
        <v/>
      </c>
      <c r="N6504" s="3" t="n"/>
      <c r="O6504" s="2" t="n"/>
      <c r="P6504" s="2" t="n"/>
    </row>
    <row r="6505">
      <c r="A6505" s="2" t="n">
        <v>6504</v>
      </c>
      <c r="B6505" s="2" t="inlineStr"/>
      <c r="C6505" s="2" t="n">
        <v>11102</v>
      </c>
      <c r="D6505" s="3" t="inlineStr">
        <is>
          <t>Герцогиня Герольштейнская</t>
        </is>
      </c>
      <c r="E6505" s="2" t="n">
        <v>1986</v>
      </c>
      <c r="F6505" s="2" t="inlineStr">
        <is>
          <t>фильм-спектакль</t>
        </is>
      </c>
      <c r="G6505" s="2" t="inlineStr">
        <is>
          <t>Главная редакция литературно-драматических программ ЦТ</t>
        </is>
      </c>
      <c r="H6505" s="2" t="n">
        <v>744</v>
      </c>
      <c r="I6505" s="2" t="inlineStr"/>
      <c r="J6505" s="2" t="inlineStr"/>
      <c r="K6505" s="3" t="inlineStr">
        <is>
          <t>Дипломный спектакль выпускников Театрального училища им. Б.В. Щукина при театре им. Евг.Вахтангова (руководитель курса - профессор Марианна Рубеновна Тер-Захарова, режиссер-педагог - Александр Ширвиндт).
"Герцогиня Герольштейнская" - это сатирическая оперетта-буфф в трех действиях композитора Жака Оффенбаха.
Премьера оперетты состоялась в парижском театре "Варьете" в 1867 году, во время Всемирной выставки.
В основе сюжета - любовные взаимоотношения между двумя молодыми и бездарными правителями враждующих государств - Великой герцогиней Герольштейнской и принцем Полем.
Несмотря на то, что действие оперетты происходит в вымышленной стране, большинство европейских монархий того времени (не исключая Россию) приняли её сатиру на свой счет.</t>
        </is>
      </c>
      <c r="L6505" s="2" t="inlineStr">
        <is>
          <t>https://www.kino-teatr.ru/teatr/movie/106656/annot/</t>
        </is>
      </c>
      <c r="M6505" s="2">
        <f>HYPERLINK("https://ru.wikipedia.org/w/index.php?search=%D0%93%D0%B5%D1%80%D1%86%D0%BE%D0%B3%D0%B8%D0%BD%D1%8F%20%D0%93%D0%B5%D1%80%D0%BE%D0%BB%D1%8C%D1%88%D1%82%D0%B5%D0%B9%D0%BD%D1%81%D0%BA%D0%B0%D1%8F%201986%20%D1%84%D0%B8%D0%BB%D1%8C%D0%BC","искать")</f>
        <v/>
      </c>
      <c r="N6505" s="3" t="n"/>
      <c r="O6505" s="2" t="n"/>
      <c r="P6505" s="2" t="n"/>
    </row>
    <row r="6506">
      <c r="A6506" s="2" t="n">
        <v>6505</v>
      </c>
      <c r="B6506" s="2" t="inlineStr"/>
      <c r="C6506" s="2" t="n">
        <v>9702</v>
      </c>
      <c r="D6506" s="3" t="inlineStr">
        <is>
          <t>Убегающий август</t>
        </is>
      </c>
      <c r="E6506" s="2" t="n">
        <v>1989</v>
      </c>
      <c r="F6506" s="2" t="inlineStr">
        <is>
          <t>кинофильм</t>
        </is>
      </c>
      <c r="G6506" s="2" t="n"/>
      <c r="H6506" s="2" t="n">
        <v>747</v>
      </c>
      <c r="I6506" s="2" t="inlineStr"/>
      <c r="J6506" s="2" t="inlineStr"/>
      <c r="K6506" s="3" t="inlineStr">
        <is>
          <t>Действие фильма разворачивается в 1980-х годах. Борис Краснов, ленинградский инженер, просыпается после вечеринки и обнаруживает у себя в постели незнакомую ему девушку. Светлана утверждает, что он признался ей в любви и продал её билет в Одессу. Борис предлагает ей путешествие на своём автомобиле, в ходе которого рассказывает ей о том, что он женат, разведён и имеет сына. Светлана решает вернуться в Ленинград после путешествия и неуверенно обещает ему позвонить. Борис, испытывающий чувства любви к Светлане, ждёт её звонка. Осознав, что она не собирается ему звонить, он собирается совершить самоубийство, включив газ. Однако его отвлекает телефонный звонок с работы. После разговора с коллегами он решает остановить попытку и выключает газ.</t>
        </is>
      </c>
      <c r="L6506" s="2" t="inlineStr">
        <is>
          <t>https://ru.wikipedia.org/w/index.php?title=%D0%A3%D0%B1%D0%B5%D0%B3%D0%B0%D1%8E%D1%89%D0%B8%D0%B9_%D0%B0%D0%B2%D0%B3%D1%83%D1%81%D1%82&amp;oldid=151552603</t>
        </is>
      </c>
      <c r="M6506" s="2">
        <f>HYPERLINK("https://ru.wikipedia.org/w/index.php?search=%D0%A3%D0%B1%D0%B5%D0%B3%D0%B0%D1%8E%D1%89%D0%B8%D0%B9%20%D0%B0%D0%B2%D0%B3%D1%83%D1%81%D1%82%201989%20%D1%84%D0%B8%D0%BB%D1%8C%D0%BC","искать")</f>
        <v/>
      </c>
      <c r="N6506" s="3" t="n"/>
      <c r="O6506" s="2" t="n"/>
      <c r="P6506" s="2" t="n"/>
    </row>
    <row r="6507">
      <c r="A6507" s="2" t="n">
        <v>6506</v>
      </c>
      <c r="B6507" s="2" t="inlineStr"/>
      <c r="C6507" s="2" t="n">
        <v>8067</v>
      </c>
      <c r="D6507" s="3" t="inlineStr">
        <is>
          <t>Открытая книга</t>
        </is>
      </c>
      <c r="E6507" s="2" t="n">
        <v>1977</v>
      </c>
      <c r="F6507" s="2" t="inlineStr">
        <is>
          <t>телефильм</t>
        </is>
      </c>
      <c r="G6507" s="2" t="n"/>
      <c r="H6507" s="2" t="n">
        <v>749</v>
      </c>
      <c r="I6507" s="2" t="inlineStr"/>
      <c r="J6507" s="2" t="inlineStr"/>
      <c r="K6507" s="3" t="inlineStr">
        <is>
          <t>Героиня фильма — учёная-микробиолог, которая получила первые в СССР образцы пенициллина (крустозина ВИЭМ) и участвовала в организации процесса его промышленного производства. Открытию нового сильнодействующего препарата предшествовали многолетние научные исследования. Начались они ещё в начале XX века в маленьком провинциальном городке Лопахине, в лаборатории старого врача Лебедева, с которым случайно знакомится соседская девочка Таня Власенкова, впервые узнавшая в доме исследователя о загадочном мире науки.
Прототипом Татьяны Власенковой послужила учёная-микробиолог Зинаида Ермольева. Также в фильм включены реальные истории из жизни репрессированного иммунолога и вирусолога Льва Зильбера (старшего брата Каверина), прототипа Андрея Львова.</t>
        </is>
      </c>
      <c r="L6507" s="2" t="inlineStr">
        <is>
          <t>https://ru.wikipedia.org/w/index.php?title=%D0%9E%D1%82%D0%BA%D1%80%D1%8B%D1%82%D0%B0%D1%8F_%D0%BA%D0%BD%D0%B8%D0%B3%D0%B0_%28%D1%84%D0%B8%D0%BB%D1%8C%D0%BC%2C_1979%29&amp;oldid=154701401</t>
        </is>
      </c>
      <c r="M6507" s="2">
        <f>HYPERLINK("https://ru.wikipedia.org/w/index.php?search=%D0%9E%D1%82%D0%BA%D1%80%D1%8B%D1%82%D0%B0%D1%8F%20%D0%BA%D0%BD%D0%B8%D0%B3%D0%B0%201977%20%D1%84%D0%B8%D0%BB%D1%8C%D0%BC","искать")</f>
        <v/>
      </c>
      <c r="N6507" s="3" t="n"/>
      <c r="O6507" s="2" t="n"/>
      <c r="P6507" s="2" t="n"/>
    </row>
    <row r="6508">
      <c r="A6508" s="2" t="n">
        <v>6507</v>
      </c>
      <c r="B6508" s="2" t="inlineStr"/>
      <c r="C6508" s="2" t="n">
        <v>9070</v>
      </c>
      <c r="D6508" s="3" t="inlineStr">
        <is>
          <t>Степа-капитан</t>
        </is>
      </c>
      <c r="E6508" s="2" t="n">
        <v>1953</v>
      </c>
      <c r="F6508" s="2" t="inlineStr">
        <is>
          <t>кинофильм</t>
        </is>
      </c>
      <c r="G6508" s="2" t="n"/>
      <c r="H6508" s="2" t="n">
        <v>751</v>
      </c>
      <c r="I6508" s="2" t="inlineStr"/>
      <c r="J6508" s="2" t="inlineStr"/>
      <c r="K6508" s="3" t="inlineStr">
        <is>
          <t>Пионер Степа и его друзья живут в колхозном селе на берегу Днепра и сами мечтают стать моряками — изучают основы навигации, помогают деду Панасу ставить бакены на реке, ходят на лодке, которую гордо именуют «крейсером». Но, увлёкшись моряцким делом, Степа получает тройку по географии — а на экскурсию в Киев из класса поедут только отличники. Стёпа уславливается с учителем исправить оценку — как он понял, вечером того же дня. Но на Днепре начинается сильная гроза, бурей в опасном месте срывает бакен. Пока друзья отправляются на лодке предупредить старого бакенщика, Степа под ливнем стоит с зажжённым фонарем: должен пройти большой катер... Помощь приходит вовремя. А наутро пионер сдаёт географию на «пять» и отправляется со всем классом в Киев.</t>
        </is>
      </c>
      <c r="L6508" s="2" t="inlineStr">
        <is>
          <t>Кино_СССР сводный каталог.xlsx: список фильмов (доп.)</t>
        </is>
      </c>
      <c r="M6508" s="2">
        <f>HYPERLINK("https://ru.wikipedia.org/w/index.php?search=%D0%A1%D1%82%D0%B5%D0%BF%D0%B0-%D0%BA%D0%B0%D0%BF%D0%B8%D1%82%D0%B0%D0%BD%201953%20%D1%84%D0%B8%D0%BB%D1%8C%D0%BC","искать")</f>
        <v/>
      </c>
      <c r="N6508" s="3" t="n"/>
      <c r="O6508" s="2" t="n"/>
      <c r="P6508" s="2" t="n"/>
    </row>
    <row r="6509">
      <c r="A6509" s="2" t="n">
        <v>6508</v>
      </c>
      <c r="B6509" s="2" t="inlineStr"/>
      <c r="C6509" s="2" t="n">
        <v>7626</v>
      </c>
      <c r="D6509" s="3" t="inlineStr">
        <is>
          <t>Записки юного врача</t>
        </is>
      </c>
      <c r="E6509" s="2" t="n">
        <v>1991</v>
      </c>
      <c r="F6509" s="2" t="inlineStr">
        <is>
          <t>телефильм</t>
        </is>
      </c>
      <c r="G6509" s="2" t="n"/>
      <c r="H6509" s="2" t="n">
        <v>757</v>
      </c>
      <c r="I6509" s="2" t="inlineStr"/>
      <c r="J6509" s="2" t="inlineStr"/>
      <c r="K6509" s="3" t="inlineStr">
        <is>
          <t>Пролог. Прифронтовой участок Первой мировой. Некий санитар пробирается через болото в поисках раненых…
Россия. 1914 год. Недавно окончившие университет Владимир Бомгард и его однокурсник Сергей Поляков добираются до мест своей службы. Больница, в которую попал Бомгард, содержится в порядке усилиями ушедшего на фронт предыдущего врача Леопольда Леопольдовича и прочего персонала. При помощи повидавшего виды за 30 лет фельдшера Демьяна Лукича, Бомгард набирается практического опыта и постепенно привыкает к жизни в захолустье. Его коллеге Полякову это удаётся меньше, и от тоски он делается морфинистом, а потом и вовсе стреляется.
Бомгард в 1917 году отправляется на войну. Вероятно, именно его мы видим в повторяющихся в финале фильма кадрах из пролога.</t>
        </is>
      </c>
      <c r="L6509" s="2" t="inlineStr">
        <is>
          <t>https://ru.wikipedia.org/w/index.php?title=%D0%97%D0%B0%D0%BF%D0%B8%D1%81%D0%BA%D0%B8_%D1%8E%D0%BD%D0%BE%D0%B3%D0%BE_%D0%B2%D1%80%D0%B0%D1%87%D0%B0_%28%D1%84%D0%B8%D0%BB%D1%8C%D0%BC%29&amp;oldid=138812863</t>
        </is>
      </c>
      <c r="M6509" s="2">
        <f>HYPERLINK("https://ru.wikipedia.org/w/index.php?search=%D0%97%D0%B0%D0%BF%D0%B8%D1%81%D0%BA%D0%B8%20%D1%8E%D0%BD%D0%BE%D0%B3%D0%BE%20%D0%B2%D1%80%D0%B0%D1%87%D0%B0%201991%20%D1%84%D0%B8%D0%BB%D1%8C%D0%BC","искать")</f>
        <v/>
      </c>
      <c r="N6509" s="3" t="n"/>
      <c r="O6509" s="2" t="n"/>
      <c r="P6509" s="2" t="n"/>
    </row>
    <row r="6510">
      <c r="A6510" s="2" t="n">
        <v>6509</v>
      </c>
      <c r="B6510" s="2" t="inlineStr"/>
      <c r="C6510" s="2" t="n">
        <v>11337</v>
      </c>
      <c r="D6510" s="3" t="inlineStr">
        <is>
          <t>Демократия!</t>
        </is>
      </c>
      <c r="E6510" s="2" t="n">
        <v>1991</v>
      </c>
      <c r="F6510" s="2" t="inlineStr">
        <is>
          <t>фильм-спектакль</t>
        </is>
      </c>
      <c r="G6510" s="2" t="inlineStr">
        <is>
          <t>Главная редакция литературно-художественных программ ЦТ</t>
        </is>
      </c>
      <c r="H6510" s="2" t="n">
        <v>757</v>
      </c>
      <c r="I6510" s="2" t="inlineStr"/>
      <c r="J6510" s="2" t="inlineStr"/>
      <c r="K6510" s="3" t="inlineStr">
        <is>
          <t>По одноименной пьесе Иосифа Бродского в постановке Латвийского Молодежного театра.
В спектакле нет организующих собственно драматическое действие биографий, нет героев с интересными судьбами, персонажи не делятся на героев первого и второго плана: все пространство здесь занимает групповой портрет первых лиц небольшого социалистического государства в шести часах езды от Чехословакии или Венгрии. Они, привыкшие ориентироваться во всем на волю центра, вышестоящие фигуры и структуры, не могут взять в толк, что означает телефонный звонок из Москвы, известивший об объявлении демократии. Они, только что спокойно, со вкусом обедавшие, уточнявшие, откуда, из каких мест социалистического содружества рябчики, икра, арбузы, оказываются в полной растерянности.</t>
        </is>
      </c>
      <c r="L6510" s="2" t="inlineStr">
        <is>
          <t>https://www.kino-teatr.ru/teatr/movie/113979/annot/</t>
        </is>
      </c>
      <c r="M6510" s="2">
        <f>HYPERLINK("https://ru.wikipedia.org/w/index.php?search=%D0%94%D0%B5%D0%BC%D0%BE%D0%BA%D1%80%D0%B0%D1%82%D0%B8%D1%8F%21%201991%20%D1%84%D0%B8%D0%BB%D1%8C%D0%BC","искать")</f>
        <v/>
      </c>
      <c r="N6510" s="3" t="n"/>
      <c r="O6510" s="2" t="n"/>
      <c r="P6510" s="2" t="n"/>
    </row>
    <row r="6511">
      <c r="A6511" s="2" t="n">
        <v>6510</v>
      </c>
      <c r="B6511" s="2" t="inlineStr"/>
      <c r="C6511" s="2" t="n">
        <v>10588</v>
      </c>
      <c r="D6511" s="3" t="inlineStr">
        <is>
          <t>Свадьба как свадьба</t>
        </is>
      </c>
      <c r="E6511" s="2" t="n">
        <v>1974</v>
      </c>
      <c r="F6511" s="2" t="inlineStr">
        <is>
          <t>фильм-спектакль</t>
        </is>
      </c>
      <c r="G6511" s="2" t="n"/>
      <c r="H6511" s="2" t="n">
        <v>760</v>
      </c>
      <c r="I6511" s="2" t="inlineStr"/>
      <c r="J6511" s="2" t="inlineStr"/>
      <c r="K6511" s="3" t="inlineStr">
        <is>
          <t>По одноименной пьесе Веры Пановой.
Все происходит во время свадьбы. Персонажи спектакля, глядя на счастливые лица молодых, вспоминают свою любовь и свои свадьбы.
Действие постепенно развертывается в трех уровнях, в трех разных временах, охватывая молодость и бытие трех поколений, вместе с которыми прошла и собственная жизнь автора.
Как это свойственно драматургии Пановой, важнейшее для ее замысла лицо появляется среди других персонажей невзначай. Так приходит на свадьбу Жениха и Невесты незнакомый им Завсегдатай ресторана. И это обстоятельство многое меняет в отношениях действующих лиц. Рассказ Завсегдатая о своей профессии (он пишет репризы для цирка) это не только знакомство с новым действующим лицом, это и завязка новой темы, темы еще одной любви.</t>
        </is>
      </c>
      <c r="L6511" s="2" t="inlineStr">
        <is>
          <t>https://www.kino-teatr.ru/teatr/movie/82752/annot/</t>
        </is>
      </c>
      <c r="M6511" s="2">
        <f>HYPERLINK("https://ru.wikipedia.org/w/index.php?search=%D0%A1%D0%B2%D0%B0%D0%B4%D1%8C%D0%B1%D0%B0%20%D0%BA%D0%B0%D0%BA%20%D1%81%D0%B2%D0%B0%D0%B4%D1%8C%D0%B1%D0%B0%201974%20%D1%84%D0%B8%D0%BB%D1%8C%D0%BC","искать")</f>
        <v/>
      </c>
      <c r="N6511" s="3" t="n"/>
      <c r="O6511" s="2" t="n"/>
      <c r="P6511" s="2" t="n"/>
    </row>
    <row r="6512">
      <c r="A6512" s="2" t="n">
        <v>6511</v>
      </c>
      <c r="B6512" s="2" t="inlineStr"/>
      <c r="C6512" s="2" t="n">
        <v>9316</v>
      </c>
      <c r="D6512" s="3" t="inlineStr">
        <is>
          <t>Государственный преступник</t>
        </is>
      </c>
      <c r="E6512" s="2" t="n">
        <v>1964</v>
      </c>
      <c r="F6512" s="2" t="inlineStr">
        <is>
          <t>кинофильм</t>
        </is>
      </c>
      <c r="G6512" s="2" t="n"/>
      <c r="H6512" s="2" t="n">
        <v>761</v>
      </c>
      <c r="I6512" s="2" t="inlineStr"/>
      <c r="J6512" s="2" t="inlineStr"/>
      <c r="K6512" s="3" t="inlineStr">
        <is>
          <t>В небольшом южном городе 1960-х годов проходит судебный процесс над военным преступником Бергом, бывшим шефом зондеркоманды, орудовавшей здесь в годы войны. Самого Берга на процессе нет, его судят заочно. Одна из главных свидетельниц, бывшая жительница этого города и военврач Нина Семёнова, потерявшая зрение, напоминает аудитории также о Юрии Золотицком, который приехал сюда в самом начале войны и добровольно предложил немцам свои полицейские услуги. Золотицкий совершал чудовищные преступления, не щадя ни стариков, ни женщин, ни детей. Семёнова рассказывает о своей случайной встрече с ним в госпитале посёлка Марьинск в 1944 году. Этот ранее неизвестный факт становится отправной точкой для нового расследования, которое приводит к неожиданным открытиям.</t>
        </is>
      </c>
      <c r="L6512" s="2" t="inlineStr">
        <is>
          <t>https://ru.wikipedia.org/w/index.php?title=%D0%93%D0%BE%D1%81%D1%83%D0%B4%D0%B0%D1%80%D1%81%D1%82%D0%B2%D0%B5%D0%BD%D0%BD%D1%8B%D0%B9_%D0%BF%D1%80%D0%B5%D1%81%D1%82%D1%83%D0%BF%D0%BD%D0%B8%D0%BA_%28%D1%84%D0%B8%D0%BB%D1%8C%D0%BC%29&amp;oldid=155429838</t>
        </is>
      </c>
      <c r="M6512" s="2">
        <f>HYPERLINK("https://ru.wikipedia.org/w/index.php?search=%D0%93%D0%BE%D1%81%D1%83%D0%B4%D0%B0%D1%80%D1%81%D1%82%D0%B2%D0%B5%D0%BD%D0%BD%D1%8B%D0%B9%20%D0%BF%D1%80%D0%B5%D1%81%D1%82%D1%83%D0%BF%D0%BD%D0%B8%D0%BA%201964%20%D1%84%D0%B8%D0%BB%D1%8C%D0%BC","искать")</f>
        <v/>
      </c>
      <c r="N6512" s="3" t="n"/>
      <c r="O6512" s="2" t="n"/>
      <c r="P6512" s="2" t="n"/>
    </row>
    <row r="6513">
      <c r="A6513" s="2" t="n">
        <v>6512</v>
      </c>
      <c r="B6513" s="2" t="inlineStr"/>
      <c r="C6513" s="2" t="n">
        <v>11328</v>
      </c>
      <c r="D6513" s="3" t="inlineStr">
        <is>
          <t>Уроки музыки</t>
        </is>
      </c>
      <c r="E6513" s="2" t="n">
        <v>1990</v>
      </c>
      <c r="F6513" s="2" t="inlineStr">
        <is>
          <t>фильм-спектакль</t>
        </is>
      </c>
      <c r="G6513" s="2" t="inlineStr">
        <is>
          <t>Главная редакция литературно-художественных программ ЦТ</t>
        </is>
      </c>
      <c r="H6513" s="2" t="n">
        <v>761</v>
      </c>
      <c r="I6513" s="2" t="inlineStr"/>
      <c r="J6513" s="2" t="inlineStr"/>
      <c r="K6513" s="3" t="inlineStr">
        <is>
          <t>По одноименной пьесе Людмилы Петрушевской в постановке Московского академического театра имени Вл. Маяковского.
Живут по соседству два семейства. Одно, Козловых, благополучное, с коврами и хрусталем, другое, Гавриловых, нищее, с неким Ивановым, вернувшимся из тюрьмы, пьяницей и буяном.
Семья зажиточных Козловых встречает из армии единственного сына Николая. Радость от его возвращения омрачается появлением его девушки Нади, которая работает маляром и живёт в общежитии. Козловы уверены, что Надя претендует на их жилплощадь. К тому же она ведет себя независимо, остается в комнате Николая на ночь. Чтобы отвадить Надю, семья предпримет огромные усилия, пойдет на обман, разрушит жизнь нескольких людей. И потянется жизнь – монотонная, скучная, немузыкальная.</t>
        </is>
      </c>
      <c r="L6513" s="2" t="inlineStr">
        <is>
          <t>https://www.kino-teatr.ru/teatr/movie/7477/annot/</t>
        </is>
      </c>
      <c r="M6513" s="2">
        <f>HYPERLINK("https://ru.wikipedia.org/w/index.php?search=%D0%A3%D1%80%D0%BE%D0%BA%D0%B8%20%D0%BC%D1%83%D0%B7%D1%8B%D0%BA%D0%B8%201990%20%D1%84%D0%B8%D0%BB%D1%8C%D0%BC","искать")</f>
        <v/>
      </c>
      <c r="N6513" s="3" t="n"/>
      <c r="O6513" s="2" t="n"/>
      <c r="P6513" s="2" t="n"/>
    </row>
    <row r="6514">
      <c r="A6514" s="2" t="n">
        <v>6513</v>
      </c>
      <c r="B6514" s="2" t="inlineStr"/>
      <c r="C6514" s="2" t="n">
        <v>11350</v>
      </c>
      <c r="D6514" s="3" t="inlineStr">
        <is>
          <t>Убийство Гонзаго</t>
        </is>
      </c>
      <c r="E6514" s="2" t="n">
        <v>1991</v>
      </c>
      <c r="F6514" s="2" t="inlineStr">
        <is>
          <t>фильм-спектакль</t>
        </is>
      </c>
      <c r="G6514" s="2" t="n"/>
      <c r="H6514" s="2" t="n">
        <v>761</v>
      </c>
      <c r="I6514" s="2" t="inlineStr"/>
      <c r="J6514" s="2" t="inlineStr"/>
      <c r="K6514" s="3" t="inlineStr">
        <is>
          <t>Спектакль Малого театра и новосибирского театра "Глобус"по пьесе Н. Йорданова.
Известно, что Шекспир не придумал сюжет "Гамлета", а заимствовал его из старинных легенд. Драматурги следующих поколений пользовались уже не легендами, а пьесой Шекспира. Вот и болгарский драматург Н.Иорданов сочинил по Шекспировским мотивам пьесу "Убийство Гонзаго". Действие в ней происходит в Эльсиноре, в числе персонажей - Полоний, Офелия, Горацио. Но главные действующие лица не они, а труппа актёров бродячего театра. Полоний приглашает их в Эльсинор, для того, чтобы они сыграли спектакль и развлекли Гамлета, который не то тяжело грустит, не то легко помешался. "Убийство Гонзаго" - та самая пьеса, которую по просьбе принца датского Гамлета разыграют они в замке Эльсинор.</t>
        </is>
      </c>
      <c r="L6514" s="2" t="inlineStr">
        <is>
          <t>https://www.kino-teatr.ru/teatr/movie/82110/annot/</t>
        </is>
      </c>
      <c r="M6514" s="2">
        <f>HYPERLINK("https://ru.wikipedia.org/w/index.php?search=%D0%A3%D0%B1%D0%B8%D0%B9%D1%81%D1%82%D0%B2%D0%BE%20%D0%93%D0%BE%D0%BD%D0%B7%D0%B0%D0%B3%D0%BE%201991%20%D1%84%D0%B8%D0%BB%D1%8C%D0%BC","искать")</f>
        <v/>
      </c>
      <c r="N6514" s="3" t="n"/>
      <c r="O6514" s="2" t="n"/>
      <c r="P6514" s="2" t="n"/>
    </row>
    <row r="6515">
      <c r="A6515" s="2" t="n">
        <v>6514</v>
      </c>
      <c r="B6515" s="2" t="inlineStr"/>
      <c r="C6515" s="2" t="n">
        <v>11909</v>
      </c>
      <c r="D6515" s="3" t="inlineStr">
        <is>
          <t>Летучий корабль</t>
        </is>
      </c>
      <c r="E6515" s="2" t="n">
        <v>1979</v>
      </c>
      <c r="F6515" s="2" t="inlineStr">
        <is>
          <t>мультфильм</t>
        </is>
      </c>
      <c r="G6515" s="2" t="inlineStr">
        <is>
          <t>Союзмультфильм</t>
        </is>
      </c>
      <c r="H6515" s="2" t="n">
        <v>763</v>
      </c>
      <c r="I6515" s="2" t="inlineStr"/>
      <c r="J6515" s="2" t="inlineStr"/>
      <c r="K6515" s="3" t="inlineStr">
        <is>
          <t>Мюзикл, в основу которого положена русская народная сказка. В ней говорится о том, что доброта, бескорыстная любовь, честность всегда побеждают коварство, злобу и чванство.Трубочист Иванушка влюбляется в царевну Забаву, которую царь-отец хочет выдать замуж за богатея Полкана. Забава соглашается стать женой того, кто построит волшебный летучий корабль. Добрый Водяной помогает Иванушке построить корабль. Секрет полетов на нем Иванушка узнает от Бабок-Ёжек, но по простоте выдает Полкану...Однако добро и справедливость торжествуют: Иванушка и Забава вместе улетают на корабле, покинув жадного царя и коварного Полкана.Музыка из мультфильма:Частушки Бабок Ежек(1.39 Мб)Песня Вани-печника(1.32 Мб)Песня царевны Забавы(1.67 Мб)Песня водяного(1.68 Мб)Мечта(4.12 Мб)</t>
        </is>
      </c>
      <c r="L6515" s="2" t="inlineStr">
        <is>
          <t>2026-10_мультфильмы_список_владельца.xlsx; https://animator.ru/db/?p=show_film&amp;fid=2824</t>
        </is>
      </c>
      <c r="M6515" s="2">
        <f>HYPERLINK("https://ru.wikipedia.org/w/index.php?search=%D0%9B%D0%B5%D1%82%D1%83%D1%87%D0%B8%D0%B9%20%D0%BA%D0%BE%D1%80%D0%B0%D0%B1%D0%BB%D1%8C%201979%20%D1%84%D0%B8%D0%BB%D1%8C%D0%BC","искать")</f>
        <v/>
      </c>
      <c r="N6515" s="3" t="n"/>
      <c r="O6515" s="2" t="n"/>
      <c r="P6515" s="2" t="n"/>
    </row>
    <row r="6516">
      <c r="A6516" s="2" t="n">
        <v>6515</v>
      </c>
      <c r="B6516" s="2" t="inlineStr"/>
      <c r="C6516" s="2" t="n">
        <v>11267</v>
      </c>
      <c r="D6516" s="3" t="inlineStr">
        <is>
          <t>Мещанская свадьба</t>
        </is>
      </c>
      <c r="E6516" s="2" t="n">
        <v>1989</v>
      </c>
      <c r="F6516" s="2" t="inlineStr">
        <is>
          <t>фильм-спектакль</t>
        </is>
      </c>
      <c r="G6516" s="2" t="n"/>
      <c r="H6516" s="2" t="n">
        <v>764</v>
      </c>
      <c r="I6516" s="2" t="inlineStr"/>
      <c r="J6516" s="2" t="inlineStr"/>
      <c r="K6516" s="3" t="inlineStr">
        <is>
          <t>Спектакль остается хитом репертуара театра "Ильхом" с 1979 года. Удачно найденная форма «семейного портрета в стиле ретро» оказалась универсальной, близкой зрителям. «Свадьба» в равной степени интересна и молодежи и старшему поколению, удовлетворяя любопытство одних и пробуждая ностальгические воспоминания других.
Обставив эту серьезную игру ловко развивающимся, смешным аттракционом со стульями, которые, по пьесе, проламываются под гостями, М. Вайль не забывает в полтора часа сценического времени проследить, как люди, которые минуту назад мирно переговаривались и пили за здоровье молодых, которые, казалось, любили друг друга, на глазах превращаются в злобных зверей, со скотскими рожами и ужимками. Начинается скандал, напоминая визг выпрямившейся пружины.</t>
        </is>
      </c>
      <c r="L6516" s="2" t="inlineStr">
        <is>
          <t>https://www.kino-teatr.ru/teatr/movie/120205/annot/</t>
        </is>
      </c>
      <c r="M6516" s="2">
        <f>HYPERLINK("https://ru.wikipedia.org/w/index.php?search=%D0%9C%D0%B5%D1%89%D0%B0%D0%BD%D1%81%D0%BA%D0%B0%D1%8F%20%D1%81%D0%B2%D0%B0%D0%B4%D1%8C%D0%B1%D0%B0%201989%20%D1%84%D0%B8%D0%BB%D1%8C%D0%BC","искать")</f>
        <v/>
      </c>
      <c r="N6516" s="3" t="n"/>
      <c r="O6516" s="2" t="n"/>
      <c r="P6516" s="2" t="n"/>
    </row>
    <row r="6517">
      <c r="A6517" s="2" t="n">
        <v>6516</v>
      </c>
      <c r="B6517" s="2" t="inlineStr"/>
      <c r="C6517" s="2" t="n">
        <v>7548</v>
      </c>
      <c r="D6517" s="3" t="inlineStr">
        <is>
          <t>Дополнительный прибывает на второй путь</t>
        </is>
      </c>
      <c r="E6517" s="2" t="n">
        <v>1986</v>
      </c>
      <c r="F6517" s="2" t="inlineStr">
        <is>
          <t>телефильм</t>
        </is>
      </c>
      <c r="G6517" s="2" t="n"/>
      <c r="H6517" s="2" t="n">
        <v>768</v>
      </c>
      <c r="I6517" s="2" t="inlineStr"/>
      <c r="J6517" s="2" t="inlineStr"/>
      <c r="K6517" s="3" t="inlineStr">
        <is>
          <t>В тамбуре поезда Москва — Душанбе обнаружен труп одного из пассажиров. Версию «преступник всё ещё в поезде» поручают отработать собиравшемуся в отпуск майору транспортной милиции Денисову. Помогать ему будет капитан таджикского УГРО Курбанов, командированный в Рязань в связи с делом об особо крупном мошенничестве с продажами автомобилей УАЗ.
При расследовании убийства сотрудники милиции выясняют, что их дела связаны между собой. Убитый Голей сам был неоднократно судим и выслеживал группу мошенников с целью дальнейшего шантажа. Мошенники знали о слежке, но убийство Голея заранее не планировали. К преступлению привела трагическая случайность: разлитое в тамбуре вино из разбитой бутылки один из мошенников принял за кровь своего сообщника и расправился с Голеем.</t>
        </is>
      </c>
      <c r="L6517" s="2" t="inlineStr">
        <is>
          <t>https://ru.wikipedia.org/w/index.php?title=%D0%94%D0%BE%D0%BF%D0%BE%D0%BB%D0%BD%D0%B8%D1%82%D0%B5%D0%BB%D1%8C%D0%BD%D1%8B%D0%B9_%D0%BF%D1%80%D0%B8%D0%B1%D1%8B%D0%B2%D0%B0%D0%B5%D1%82_%D0%BD%D0%B0_%D0%B2%D1%82%D0%BE%D1%80%D0%BE%D0%B9_%D0%BF%D1%83%D1%82%D1%8C&amp;oldid=155231843</t>
        </is>
      </c>
      <c r="M6517" s="2">
        <f>HYPERLINK("https://ru.wikipedia.org/w/index.php?search=%D0%94%D0%BE%D0%BF%D0%BE%D0%BB%D0%BD%D0%B8%D1%82%D0%B5%D0%BB%D1%8C%D0%BD%D1%8B%D0%B9%20%D0%BF%D1%80%D0%B8%D0%B1%D1%8B%D0%B2%D0%B0%D0%B5%D1%82%20%D0%BD%D0%B0%20%D0%B2%D1%82%D0%BE%D1%80%D0%BE%D0%B9%20%D0%BF%D1%83%D1%82%D1%8C%201986%20%D1%84%D0%B8%D0%BB%D1%8C%D0%BC","искать")</f>
        <v/>
      </c>
      <c r="N6517" s="3" t="n"/>
      <c r="O6517" s="2" t="n"/>
      <c r="P6517" s="2" t="n"/>
    </row>
    <row r="6518">
      <c r="A6518" s="2" t="n">
        <v>6517</v>
      </c>
      <c r="B6518" s="2" t="inlineStr"/>
      <c r="C6518" s="2" t="n">
        <v>9208</v>
      </c>
      <c r="D6518" s="3" t="inlineStr">
        <is>
          <t>Астенический синдром</t>
        </is>
      </c>
      <c r="E6518" s="2" t="n">
        <v>1989</v>
      </c>
      <c r="F6518" s="2" t="inlineStr">
        <is>
          <t>кинофильм</t>
        </is>
      </c>
      <c r="G6518" s="2" t="inlineStr">
        <is>
          <t>Одесская к/с</t>
        </is>
      </c>
      <c r="H6518" s="2" t="n">
        <v>768</v>
      </c>
      <c r="I6518" s="2" t="inlineStr"/>
      <c r="J6518" s="2" t="inlineStr"/>
      <c r="K6518" s="3" t="inlineStr">
        <is>
          <t>Фильм состоит из двух частей — чёрно-белой и цветной. Обе повествуют о двух героях — женщине-враче и мужчине-учителе.
В первой новелле женщина, недавно похоронившая своего мужа и находящаяся в состоянии постоянной депрессии (а иногда и прямой агрессии), сталкивается с такими же, как она, людьми, находящимися на грани нервного истощения, срыва.
Герой второй новеллы — школьный учитель. В результате пережитых личных и служебных неприятностей у него появляется астенический синдром — он засыпает в самых неподходящих ситуациях. Он попадает в больницу для душевнобольных и понимает, что вокруг него люди, которые ничуть не безумнее тех, кто живёт на воле. Выйдя спустя какое-то время на свободу, учитель засыпает в метро, и пустой вагон увозит спящего в тёмный тоннель.</t>
        </is>
      </c>
      <c r="L6518" s="2" t="inlineStr">
        <is>
          <t>https://ru.wikipedia.org/w/index.php?title=%D0%90%D1%81%D1%82%D0%B5%D0%BD%D0%B8%D1%87%D0%B5%D1%81%D0%BA%D0%B8%D0%B9_%D1%81%D0%B8%D0%BD%D0%B4%D1%80%D0%BE%D0%BC_%28%D1%84%D0%B8%D0%BB%D1%8C%D0%BC%29&amp;oldid=155053097</t>
        </is>
      </c>
      <c r="M6518" s="2">
        <f>HYPERLINK("https://ru.wikipedia.org/w/index.php?search=%D0%90%D1%81%D1%82%D0%B5%D0%BD%D0%B8%D1%87%D0%B5%D1%81%D0%BA%D0%B8%D0%B9%20%D1%81%D0%B8%D0%BD%D0%B4%D1%80%D0%BE%D0%BC%201989%20%D1%84%D0%B8%D0%BB%D1%8C%D0%BC","искать")</f>
        <v/>
      </c>
      <c r="N6518" s="3" t="n"/>
      <c r="O6518" s="2" t="n"/>
      <c r="P6518" s="2" t="n"/>
    </row>
    <row r="6519">
      <c r="A6519" s="2" t="n">
        <v>6518</v>
      </c>
      <c r="B6519" s="2" t="inlineStr"/>
      <c r="C6519" s="2" t="n">
        <v>9000</v>
      </c>
      <c r="D6519" s="3" t="inlineStr">
        <is>
          <t>Пьющие кровь</t>
        </is>
      </c>
      <c r="E6519" s="2" t="n">
        <v>1991</v>
      </c>
      <c r="F6519" s="2" t="inlineStr">
        <is>
          <t>кинофильм</t>
        </is>
      </c>
      <c r="G6519" s="2" t="n"/>
      <c r="H6519" s="2" t="n">
        <v>770</v>
      </c>
      <c r="I6519" s="2" t="inlineStr"/>
      <c r="J6519" s="2" t="inlineStr"/>
      <c r="K6519" s="3" t="inlineStr">
        <is>
          <t>После шумного многолюдного бала молодой князь Руневский решил побродить по комнатам усадьбы, где проходило торжество. Его внимание привлёк необычно бледный, странный человек, на вид — молодой, но совершенно седой, смотрящий в одну точку и не замечающий, что полы его одежды почти касаются огня в камине. Руневский окликнул его, и тот вдруг воскликнул: «Мне странно, что на сегодняшнем бале я вижу упырей!». Позже этот тип объяснил, что «упырь» — исконное название вампира, которое почему-то стали забывать в обществе. Обеспокоенный и встревоженный Руневский стал замечать спустя некоторое время различные странности в поведении некоторых гостей, и в особенности — родственников его возлюбленной Даши, обладающих поместьем неподалёку. Молодого князя приглашают погостить.</t>
        </is>
      </c>
      <c r="L6519" s="2" t="inlineStr">
        <is>
          <t>https://ru.wikipedia.org/w/index.php?title=%D0%9F%D1%8C%D1%8E%D1%89%D0%B8%D0%B5_%D0%BA%D1%80%D0%BE%D0%B2%D1%8C&amp;oldid=153570752</t>
        </is>
      </c>
      <c r="M6519" s="2">
        <f>HYPERLINK("https://ru.wikipedia.org/w/index.php?search=%D0%9F%D1%8C%D1%8E%D1%89%D0%B8%D0%B5%20%D0%BA%D1%80%D0%BE%D0%B2%D1%8C%201991%20%D1%84%D0%B8%D0%BB%D1%8C%D0%BC","искать")</f>
        <v/>
      </c>
      <c r="N6519" s="3" t="n"/>
      <c r="O6519" s="2" t="n"/>
      <c r="P6519" s="2" t="n"/>
    </row>
    <row r="6520">
      <c r="A6520" s="2" t="n">
        <v>6519</v>
      </c>
      <c r="B6520" s="2" t="inlineStr"/>
      <c r="C6520" s="2" t="n">
        <v>9530</v>
      </c>
      <c r="D6520" s="3" t="inlineStr">
        <is>
          <t>Осень. Чертаново</t>
        </is>
      </c>
      <c r="E6520" s="2" t="n">
        <v>1988</v>
      </c>
      <c r="F6520" s="2" t="inlineStr">
        <is>
          <t>кинофильм</t>
        </is>
      </c>
      <c r="G6520" s="2" t="n"/>
      <c r="H6520" s="2" t="n">
        <v>770</v>
      </c>
      <c r="I6520" s="2" t="inlineStr"/>
      <c r="J6520" s="2" t="inlineStr"/>
      <c r="K6520" s="3" t="inlineStr">
        <is>
          <t>По повести «Ум лисицы» и другим произведениям Г. Семенова. Писатель Федор страстно влюблен в молодую красивую женщину Марию, отвечающую ему взаимностью. Но Федор женат, а у Марии есть муж, физик Станислав. Мария любит и Станислава, и случайного знакомого шофера Сашу... Эта эмансипированная и свободолюбивая женщина не понимает терзаний Федора, ее вполне устраивает существующее положение дел. Федор постоянно выясняет отношения с Марией. Станислав же, хотя и ревнует жену, держится с ней подчеркнуто спокойно. Во время лыжной прогулки между Марией и Федором происходит ссора. Мария назло любовнику одна направляется по лыжне, на которой прежде не ездила. На
нее нападает неизвестный мужчина, насилует и убивает. После случившегося Станислав кончает жизнь самоубийством.</t>
        </is>
      </c>
      <c r="L6520" s="2" t="inlineStr">
        <is>
          <t>https://gosfilmofond.ru/films/239872/</t>
        </is>
      </c>
      <c r="M6520" s="2">
        <f>HYPERLINK("https://ru.wikipedia.org/w/index.php?search=%D0%9E%D1%81%D0%B5%D0%BD%D1%8C.%20%D0%A7%D0%B5%D1%80%D1%82%D0%B0%D0%BD%D0%BE%D0%B2%D0%BE%201988%20%D1%84%D0%B8%D0%BB%D1%8C%D0%BC","искать")</f>
        <v/>
      </c>
      <c r="N6520" s="3" t="n"/>
      <c r="O6520" s="2" t="n"/>
      <c r="P6520" s="2" t="n"/>
    </row>
    <row r="6521">
      <c r="A6521" s="2" t="n">
        <v>6520</v>
      </c>
      <c r="B6521" s="2" t="inlineStr"/>
      <c r="C6521" s="2" t="n">
        <v>10648</v>
      </c>
      <c r="D6521" s="3" t="inlineStr">
        <is>
          <t>Как важно быть серьёзным</t>
        </is>
      </c>
      <c r="E6521" s="2" t="n">
        <v>1976</v>
      </c>
      <c r="F6521" s="2" t="inlineStr">
        <is>
          <t>фильм-спектакль</t>
        </is>
      </c>
      <c r="G6521" s="2" t="inlineStr">
        <is>
          <t>Главная редакция литературно-драматических программ ЦТ</t>
        </is>
      </c>
      <c r="H6521" s="2" t="n">
        <v>773</v>
      </c>
      <c r="I6521" s="2" t="inlineStr"/>
      <c r="J6521" s="2" t="inlineStr"/>
      <c r="K6521" s="3" t="inlineStr">
        <is>
          <t>Комедия нравов, телеспектакль.
У пьесы О. Уайльда "Как важно быть серьезным", созданной в 1895 году, счастливая театральная и экранная судьба.
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is>
      </c>
      <c r="L6521" s="2" t="inlineStr">
        <is>
          <t>https://www.kino-teatr.ru/teatr/movie/2850/annot/</t>
        </is>
      </c>
      <c r="M6521" s="2">
        <f>HYPERLINK("https://ru.wikipedia.org/w/index.php?search=%D0%9A%D0%B0%D0%BA%20%D0%B2%D0%B0%D0%B6%D0%BD%D0%BE%20%D0%B1%D1%8B%D1%82%D1%8C%20%D1%81%D0%B5%D1%80%D1%8C%D1%91%D0%B7%D0%BD%D1%8B%D0%BC%201976%20%D1%84%D0%B8%D0%BB%D1%8C%D0%BC","искать")</f>
        <v/>
      </c>
      <c r="N6521" s="3" t="n"/>
      <c r="O6521" s="2" t="n"/>
      <c r="P6521" s="2" t="n"/>
    </row>
    <row r="6522">
      <c r="A6522" s="2" t="n">
        <v>6521</v>
      </c>
      <c r="B6522" s="2" t="inlineStr"/>
      <c r="C6522" s="2" t="n">
        <v>10960</v>
      </c>
      <c r="D6522" s="3" t="inlineStr">
        <is>
          <t>Продавец птиц</t>
        </is>
      </c>
      <c r="E6522" s="2" t="n">
        <v>1982</v>
      </c>
      <c r="F6522" s="2" t="inlineStr">
        <is>
          <t>фильм-спектакль</t>
        </is>
      </c>
      <c r="G6522" s="2" t="inlineStr">
        <is>
          <t>Лентелефильм</t>
        </is>
      </c>
      <c r="H6522" s="2" t="n">
        <v>773</v>
      </c>
      <c r="I6522" s="2" t="inlineStr"/>
      <c r="J6522" s="2" t="inlineStr"/>
      <c r="K6522" s="3" t="inlineStr">
        <is>
          <t>Музыкальный телеспектакль по одноименной оперетте Карла Целлера.
Исполнение песен: В. Васильева, Л. Ермакова, Л. Федотова, Константин Плужников, Игорь Соркин.
Эстрадно-Симфонический оркестр Ленинградского Комитета по телевидению и радиовещанию.
Музыкальный руководитель и дирижер: С. Горковенко.
В оперетте главное – музыка. Сюжету полагается быть легким и незамысловатым. Здесь есть и графиня, мечтающая о мыловаренном заводе и пытающаяся обманом заставить работать у нее местных птицеловов; баронесса-вдова, мечтающая выйти замуж; и промотавшийся управляющий с племянником, грезящие о богатстве. И, конечно, влюбленная парочка – веселый и ловкий птицелов со своей невестой. Ни за что бы не разобраться в хитросплетениях сюжета, если бы не остроумный комментарий ведущего.</t>
        </is>
      </c>
      <c r="L6522" s="2" t="inlineStr">
        <is>
          <t>https://www.kino-teatr.ru/teatr/movie/5738/annot/</t>
        </is>
      </c>
      <c r="M6522" s="2">
        <f>HYPERLINK("https://ru.wikipedia.org/w/index.php?search=%D0%9F%D1%80%D0%BE%D0%B4%D0%B0%D0%B2%D0%B5%D1%86%20%D0%BF%D1%82%D0%B8%D1%86%201982%20%D1%84%D0%B8%D0%BB%D1%8C%D0%BC","искать")</f>
        <v/>
      </c>
      <c r="N6522" s="3" t="n"/>
      <c r="O6522" s="2" t="n"/>
      <c r="P6522" s="2" t="n"/>
    </row>
    <row r="6523">
      <c r="A6523" s="2" t="n">
        <v>6522</v>
      </c>
      <c r="B6523" s="2" t="inlineStr"/>
      <c r="C6523" s="2" t="n">
        <v>11274</v>
      </c>
      <c r="D6523" s="3" t="inlineStr">
        <is>
          <t>Последний пылкий влюблённый</t>
        </is>
      </c>
      <c r="E6523" s="2" t="n">
        <v>1989</v>
      </c>
      <c r="F6523" s="2" t="inlineStr">
        <is>
          <t>фильм-спектакль</t>
        </is>
      </c>
      <c r="G6523" s="2" t="inlineStr">
        <is>
          <t>ВПТО "Видеофильм"</t>
        </is>
      </c>
      <c r="H6523" s="2" t="n">
        <v>773</v>
      </c>
      <c r="I6523" s="2" t="inlineStr"/>
      <c r="J6523" s="2" t="inlineStr"/>
      <c r="K6523" s="3" t="inlineStr">
        <is>
          <t>Телеверсия одного из лучших спектаклей БДТ по пьесе Нила Саймона "Последний пылкий влюбленный".
События происходят в Нью-Йорке в квартире мамаши владельца рыбного ресторана Барни Кэшмена. Мужчине уже за 40. В один прекрасный день он задумывается о том, что прожил серую, скучную жизнь: ни разу не изменял жене, не подрался и не ввязался ни в какую авантюру. Барни решает внести в свое размеренное существование немного разнообразия. Он начинает знакомиться с женщинами. Сначала это была властная, ироничная итальянка Элейн Мацони. Вторая попытка - молодая девушка Бобби Митчел, приехавшая из другого города. И, наконец, жена лучшего друга Барини Женет Фишер. Именно она помогает понять Барни, что он не самый несчастный человек. Все три женские роли играет Алиса Фрейндлих.</t>
        </is>
      </c>
      <c r="L6523" s="2" t="inlineStr">
        <is>
          <t>https://www.kino-teatr.ru/teatr/movie/82979/annot/</t>
        </is>
      </c>
      <c r="M6523" s="2">
        <f>HYPERLINK("https://ru.wikipedia.org/w/index.php?search=%D0%9F%D0%BE%D1%81%D0%BB%D0%B5%D0%B4%D0%BD%D0%B8%D0%B9%20%D0%BF%D1%8B%D0%BB%D0%BA%D0%B8%D0%B9%20%D0%B2%D0%BB%D1%8E%D0%B1%D0%BB%D1%91%D0%BD%D0%BD%D1%8B%D0%B9%201989%20%D1%84%D0%B8%D0%BB%D1%8C%D0%BC","искать")</f>
        <v/>
      </c>
      <c r="N6523" s="3" t="n"/>
      <c r="O6523" s="2" t="n"/>
      <c r="P6523" s="2" t="n"/>
    </row>
    <row r="6524">
      <c r="A6524" s="2" t="n">
        <v>6523</v>
      </c>
      <c r="B6524" s="2" t="inlineStr"/>
      <c r="C6524" s="2" t="n">
        <v>10128</v>
      </c>
      <c r="D6524" s="3" t="inlineStr">
        <is>
          <t>Соберите Венеру</t>
        </is>
      </c>
      <c r="E6524" s="2" t="n">
        <v>1964</v>
      </c>
      <c r="F6524" s="2" t="inlineStr">
        <is>
          <t>фильм-спектакль</t>
        </is>
      </c>
      <c r="G6524" s="2" t="inlineStr">
        <is>
          <t>Центральное телевидение</t>
        </is>
      </c>
      <c r="H6524" s="2" t="n">
        <v>774</v>
      </c>
      <c r="I6524" s="2" t="inlineStr"/>
      <c r="J6524" s="2" t="inlineStr"/>
      <c r="K6524" s="3" t="inlineStr">
        <is>
          <t>Концертные номера с участием Николая Ольховикова и Раисы Калачевой, танцовщицы Жульнар Мамаевой, акробатов Золотовых, Юлии Романенко и Альвиана Гайдарова, Людмилы Зыкиной, Майи Плисецкой, оркестра электромузыкальных инструментов ЦТ и ВР п/у В. Мещерина, Галины Улановой, болгарской певицы Марии Косевой и ансамбля "Радуга", артистов балета Ленинградского государственного академического театра оперы и балета им. С. М. Кирова, ансамбля танца Игоря Моисеева и ансамбля танца им. Павла Вирского Украинской ССР и певицы Э. Багировой объединены сюжетом знаменитой клоунады Михаила Румянцева «Случай в парке». На арене с этим номером он выступал более 25 лет. В фильме «случай» имеет место в фойе кинотеатра, где Карандаш-киномеханик пытается собрать развалившуюся статую Венеры.</t>
        </is>
      </c>
      <c r="L6524" s="2" t="inlineStr">
        <is>
          <t>https://www.kino-teatr.ru/teatr/movie/83163/annot/</t>
        </is>
      </c>
      <c r="M6524" s="2">
        <f>HYPERLINK("https://ru.wikipedia.org/w/index.php?search=%D0%A1%D0%BE%D0%B1%D0%B5%D1%80%D0%B8%D1%82%D0%B5%20%D0%92%D0%B5%D0%BD%D0%B5%D1%80%D1%83%201964%20%D1%84%D0%B8%D0%BB%D1%8C%D0%BC","искать")</f>
        <v/>
      </c>
      <c r="N6524" s="3" t="n"/>
      <c r="O6524" s="2" t="n"/>
      <c r="P6524" s="2" t="n"/>
    </row>
    <row r="6525">
      <c r="A6525" s="2" t="n">
        <v>6524</v>
      </c>
      <c r="B6525" s="2" t="inlineStr"/>
      <c r="C6525" s="2" t="n">
        <v>8091</v>
      </c>
      <c r="D6525" s="3" t="inlineStr">
        <is>
          <t>Первый рейс</t>
        </is>
      </c>
      <c r="E6525" s="2" t="n">
        <v>1976</v>
      </c>
      <c r="F6525" s="2" t="inlineStr">
        <is>
          <t>телефильм</t>
        </is>
      </c>
      <c r="G6525" s="2" t="n"/>
      <c r="H6525" s="2" t="n">
        <v>777</v>
      </c>
      <c r="I6525" s="2" t="inlineStr"/>
      <c r="J6525" s="2" t="inlineStr"/>
      <c r="K6525" s="3" t="inlineStr">
        <is>
          <t>Юный учащийся из Рыбинского речного училища Колька (Михаил Васьков) прибывает на месячную летнюю практику матросом на буксир-толкач «Богатырь».
Отправившись в свой «Первый рейс», неопытный практикант выстраивает поначалу непростые отношения с пожилым бывалым Капитаном когда-то боевого катера (Борис Андреев).
Романтические и наивные представления паренька о навигации на реке наталкиваются на рутинные и поначалу кажущиеся обидными поручения строгого капитана. Выдраивание палубы шваброй, покраска бутафорской дымовой трубы чёрным «Кузбасслаком», чистка кирпичной пылью до блеска медных рукояток… Как всё это далеко от прокладки курса по картам с помощью лоции, а старый буксир с баржей так не похож на катера и яхты из журнала и, тем более, на пассажирский круизный теплоход!</t>
        </is>
      </c>
      <c r="L6525" s="2" t="inlineStr">
        <is>
          <t>https://ru.wikipedia.org/w/index.php?title=%D0%9F%D0%B5%D1%80%D0%B2%D1%8B%D0%B9_%D1%80%D0%B5%D0%B9%D1%81&amp;oldid=155515285</t>
        </is>
      </c>
      <c r="M6525" s="2">
        <f>HYPERLINK("https://ru.wikipedia.org/w/index.php?search=%D0%9F%D0%B5%D1%80%D0%B2%D1%8B%D0%B9%20%D1%80%D0%B5%D0%B9%D1%81%201976%20%D1%84%D0%B8%D0%BB%D1%8C%D0%BC","искать")</f>
        <v/>
      </c>
      <c r="N6525" s="3" t="n"/>
      <c r="O6525" s="2" t="n"/>
      <c r="P6525" s="2" t="n"/>
    </row>
    <row r="6526">
      <c r="A6526" s="2" t="n">
        <v>6525</v>
      </c>
      <c r="B6526" s="2" t="inlineStr"/>
      <c r="C6526" s="2" t="n">
        <v>8467</v>
      </c>
      <c r="D6526" s="3" t="inlineStr">
        <is>
          <t>Транзит</t>
        </is>
      </c>
      <c r="E6526" s="2" t="n">
        <v>1982</v>
      </c>
      <c r="F6526" s="2" t="inlineStr">
        <is>
          <t>телефильм</t>
        </is>
      </c>
      <c r="G6526" s="2" t="inlineStr">
        <is>
          <t>Свердловская киностудия</t>
        </is>
      </c>
      <c r="H6526" s="2" t="n">
        <v>777</v>
      </c>
      <c r="I6526" s="2" t="inlineStr"/>
      <c r="J6526" s="2" t="inlineStr"/>
      <c r="K6526" s="3" t="inlineStr">
        <is>
          <t>Пронзительная драма «Транзит», снятая по мотивам пьесы Леонида Зорина, рассказывает историю двух одиноких людей, которые всего за несколько часов смогли понять, принять и полюбить друг друга. Известный 54-летний московский архитектор Владимир Багров возвращается из командировки в Москву и оказывается на далёкой уральской станции Кунгур. Он опаздывает на поезд и знакомится с Татьяной Шульгой, мастером местного машиностроительного завода. В ожидании поезда он оказывается у неё в квартире. Татьяна приглашает Владимира Сергеевича к себе в гости, чтобы тот не сидел всю ночь на холодном вокзале. Удивительно быстро эти двое находят общий язык и обнаруживают такое поразительное душевное родство, какое до этого они никогда не ощущали. Расстаться им будет очень и очень трудно.</t>
        </is>
      </c>
      <c r="L6526" s="2" t="inlineStr">
        <is>
          <t>https://ru.wikipedia.org/w/index.php?title=%D0%A2%D1%80%D0%B0%D0%BD%D0%B7%D0%B8%D1%82_%28%D1%84%D0%B8%D0%BB%D1%8C%D0%BC%2C_1982%29&amp;oldid=149108149</t>
        </is>
      </c>
      <c r="M6526" s="2">
        <f>HYPERLINK("https://ru.wikipedia.org/w/index.php?search=%D0%A2%D1%80%D0%B0%D0%BD%D0%B7%D0%B8%D1%82%201982%20%D1%84%D0%B8%D0%BB%D1%8C%D0%BC","искать")</f>
        <v/>
      </c>
      <c r="N6526" s="3" t="n"/>
      <c r="O6526" s="2" t="n"/>
      <c r="P6526" s="2" t="n"/>
    </row>
    <row r="6527">
      <c r="A6527" s="2" t="n">
        <v>6526</v>
      </c>
      <c r="B6527" s="2" t="inlineStr"/>
      <c r="C6527" s="2" t="n">
        <v>11967</v>
      </c>
      <c r="D6527" s="3" t="inlineStr">
        <is>
          <t>Почему у носорога шкура в складках</t>
        </is>
      </c>
      <c r="E6527" s="2" t="n">
        <v>1938</v>
      </c>
      <c r="F6527" s="2" t="inlineStr">
        <is>
          <t>мультфильм</t>
        </is>
      </c>
      <c r="G6527" s="2" t="inlineStr">
        <is>
          <t>Союзмультфильм</t>
        </is>
      </c>
      <c r="H6527" s="2" t="n">
        <v>777</v>
      </c>
      <c r="I6527" s="2" t="inlineStr"/>
      <c r="J6527" s="2" t="inlineStr"/>
      <c r="K6527" s="3" t="inlineStr">
        <is>
          <t>По мотивам произведений Редиярда Киплинга. Посреди океана на необитамом острове живет отважный моряк, потерпевший кораблекрушение. Но он не одинок. У него много друзей:Обезьяна, Попугай, Черепаха, Дикобраз. Однажды моряк собирает своих друзей, чтобы угостить их вкусным пирогом. В разгар пиршества появляется грубый и заносчивый Носорог. Он разгоняет всех собравшихся и один съедает пирог. Моряк и звери решают проучить нахала. Носорог, изнывающий от жары, идет купаться, оставив на берегу свою шкуру. Друзья подсыпают внутрь шкуры крошки от пирога и заливают все клеем. Ничего не заметив, Носорог после морской ванны надевает свою шкуру. С этой минуты он начинает страшно чесаться. Вся его шкура покрывается глубокими складками. И до сих пор Носорог не может от них избавиться</t>
        </is>
      </c>
      <c r="L6527" s="2" t="inlineStr">
        <is>
          <t>https://gosfilmofond.ru/films/250678/</t>
        </is>
      </c>
      <c r="M6527" s="2">
        <f>HYPERLINK("https://ru.wikipedia.org/w/index.php?search=%D0%9F%D0%BE%D1%87%D0%B5%D0%BC%D1%83%20%D1%83%20%D0%BD%D0%BE%D1%81%D0%BE%D1%80%D0%BE%D0%B3%D0%B0%20%D1%88%D0%BA%D1%83%D1%80%D0%B0%20%D0%B2%20%D1%81%D0%BA%D0%BB%D0%B0%D0%B4%D0%BA%D0%B0%D1%85%201938%20%D1%84%D0%B8%D0%BB%D1%8C%D0%BC","искать")</f>
        <v/>
      </c>
      <c r="N6527" s="3" t="n"/>
      <c r="O6527" s="2" t="n"/>
      <c r="P6527" s="2" t="n"/>
    </row>
    <row r="6528">
      <c r="A6528" s="2" t="n">
        <v>6527</v>
      </c>
      <c r="B6528" s="2" t="inlineStr"/>
      <c r="C6528" s="2" t="n">
        <v>9659</v>
      </c>
      <c r="D6528" s="3" t="inlineStr">
        <is>
          <t>Совесть мира</t>
        </is>
      </c>
      <c r="E6528" s="2" t="n">
        <v>1951</v>
      </c>
      <c r="F6528" s="2" t="inlineStr">
        <is>
          <t>кинофильм</t>
        </is>
      </c>
      <c r="G6528" s="2" t="n"/>
      <c r="H6528" s="2" t="n">
        <v>779</v>
      </c>
      <c r="I6528" s="2" t="inlineStr"/>
      <c r="J6528" s="2" t="inlineStr"/>
      <c r="K6528" s="3" t="inlineStr">
        <is>
          <t>1939 год. На юбилее знаменитого норвежского физика Рикарда Берга происходит спор о вовлеченности ученых в политику между советским физиком Ириной Прохоровой и ее немецкими и американскими коллегами. Берг склонен согласиться с идеей о "чистой" науке. Вскоре начинается Вторая мировая война, во время которой американцы помогают Бергу эвакуироваться из оккупированной Норвегии. С помощью его ассистента и зятя Глана разработки ученого в области ядерной физики становятся известны военным кругам США. Применение атомной бомбы в войне против Японии ужасает Берга, но его антивоенная позиция вызывает преследование со стороны ФБР. Ученому удается покинуть США. В 1950 году на Конгрессе сторонников борьбы за мир Берг встречается с Прохоровой и признает ее правоту в предвоенном споре.</t>
        </is>
      </c>
      <c r="L6528" s="2" t="inlineStr">
        <is>
          <t>https://gosfilmofond.ru/films/279426/</t>
        </is>
      </c>
      <c r="M6528" s="2">
        <f>HYPERLINK("https://ru.wikipedia.org/w/index.php?search=%D0%A1%D0%BE%D0%B2%D0%B5%D1%81%D1%82%D1%8C%20%D0%BC%D0%B8%D1%80%D0%B0%201951%20%D1%84%D0%B8%D0%BB%D1%8C%D0%BC","искать")</f>
        <v/>
      </c>
      <c r="N6528" s="3" t="n"/>
      <c r="O6528" s="2" t="n"/>
      <c r="P6528" s="2" t="n"/>
    </row>
    <row r="6529">
      <c r="A6529" s="2" t="n">
        <v>6528</v>
      </c>
      <c r="B6529" s="2" t="inlineStr"/>
      <c r="C6529" s="2" t="n">
        <v>8422</v>
      </c>
      <c r="D6529" s="3" t="inlineStr">
        <is>
          <t>Сын полка</t>
        </is>
      </c>
      <c r="E6529" s="2" t="n">
        <v>1981</v>
      </c>
      <c r="F6529" s="2" t="inlineStr">
        <is>
          <t>телефильм</t>
        </is>
      </c>
      <c r="G6529" s="2" t="n"/>
      <c r="H6529" s="2" t="n">
        <v>781</v>
      </c>
      <c r="I6529" s="2" t="inlineStr"/>
      <c r="J6529" s="2" t="inlineStr"/>
      <c r="K6529" s="3" t="inlineStr">
        <is>
          <t>Лето 1943 года. Группа разведчиков артиллерийского дивизиона во время рейда по вражескому тылу натыкается на 12-летнего мальчишку. На вид — настоящий волчонок — совершенно дикий, грязный, оборванный, голодный и злой. Парень скитается по лесам около двух лет, питается, чем придётся. Разведчики забирают его с собой, однако командование принимает решение отправить мальчика в тыл. По пути в город он сбегает и возвращается к разведчикам. Капитан Енакиев, тронутый историей мальчика, все же разрешает ему остаться у разведчиков в качестве сына полка. И привязавшись к мальчику, усыновляет его, но в одном из боёв капитан Енакиев погибает, вызвав огонь на себя. Ваня вновь становится сиротой. Но командование принимает решение отправить мальчика в тыл для учёбы в Суворовском училище.</t>
        </is>
      </c>
      <c r="L6529" s="2" t="inlineStr">
        <is>
          <t>https://ru.wikipedia.org/w/index.php?title=%D0%A1%D1%8B%D0%BD_%D0%BF%D0%BE%D0%BB%D0%BA%D0%B0_%28%D1%84%D0%B8%D0%BB%D1%8C%D0%BC%2C_1981%29&amp;oldid=154684470</t>
        </is>
      </c>
      <c r="M6529" s="2">
        <f>HYPERLINK("https://ru.wikipedia.org/w/index.php?search=%D0%A1%D1%8B%D0%BD%20%D0%BF%D0%BE%D0%BB%D0%BA%D0%B0%201981%20%D1%84%D0%B8%D0%BB%D1%8C%D0%BC","искать")</f>
        <v/>
      </c>
      <c r="N6529" s="3" t="n"/>
      <c r="O6529" s="2" t="n"/>
      <c r="P6529" s="2" t="n"/>
    </row>
    <row r="6530">
      <c r="A6530" s="2" t="n">
        <v>6529</v>
      </c>
      <c r="B6530" s="2" t="inlineStr"/>
      <c r="C6530" s="2" t="n">
        <v>9954</v>
      </c>
      <c r="D6530" s="3" t="inlineStr">
        <is>
          <t>История одного подзатыльника</t>
        </is>
      </c>
      <c r="E6530" s="2" t="n">
        <v>1980</v>
      </c>
      <c r="F6530" s="2" t="inlineStr">
        <is>
          <t>телефильм</t>
        </is>
      </c>
      <c r="G6530" s="2" t="inlineStr">
        <is>
          <t>Т/о "Экран"(Останкино)</t>
        </is>
      </c>
      <c r="H6530" s="2" t="n">
        <v>781</v>
      </c>
      <c r="I6530" s="2" t="inlineStr"/>
      <c r="J6530" s="2" t="inlineStr"/>
      <c r="K6530" s="3" t="inlineStr">
        <is>
          <t>Фильм снят в жанре социально-педагогического кинофельетона.
Николаю Ивановичу, папе Славика Козлова, не нравится, что сын прохладно относится к точным наукам, отдавая предпочтение музыке; для закрепления учебного материала отец изредка отпускает сыну родительские подзатыльники.
Старый друг семьи Козловых дядя Митя посылает на телевидение письмо, где от имени Николая Ивановича уверяет редакцию в полезности родительского наказания. На следующий день о педагогических методах Козлова-старшего узнаёт весь город.
Против отцовских подзатыльников встают все знакомые Николая Ивановича. Проведя несколько дней в тяжёлых раздумьях и поговорив откровенно с дядей Митей, Николай Иванович изменяет своё отношение к воспитанию сына.
Новую жизнь он начинает с того, что дарит Славику трубу.</t>
        </is>
      </c>
      <c r="L6530" s="2" t="inlineStr">
        <is>
          <t>https://ru.wikipedia.org/w/index.php?title=%D0%98%D1%81%D1%82%D0%BE%D1%80%D0%B8%D1%8F_%D0%BE%D0%B4%D0%BD%D0%BE%D0%B3%D0%BE_%D0%BF%D0%BE%D0%B4%D0%B7%D0%B0%D1%82%D1%8B%D0%BB%D1%8C%D0%BD%D0%B8%D0%BA%D0%B0&amp;oldid=155434176</t>
        </is>
      </c>
      <c r="M6530" s="2">
        <f>HYPERLINK("https://ru.wikipedia.org/w/index.php?search=%D0%98%D1%81%D1%82%D0%BE%D1%80%D0%B8%D1%8F%20%D0%BE%D0%B4%D0%BD%D0%BE%D0%B3%D0%BE%20%D0%BF%D0%BE%D0%B4%D0%B7%D0%B0%D1%82%D1%8B%D0%BB%D1%8C%D0%BD%D0%B8%D0%BA%D0%B0%201980%20%D1%84%D0%B8%D0%BB%D1%8C%D0%BC","искать")</f>
        <v/>
      </c>
      <c r="N6530" s="3" t="n"/>
      <c r="O6530" s="2" t="n"/>
      <c r="P6530" s="2" t="n"/>
    </row>
    <row r="6531">
      <c r="A6531" s="2" t="n">
        <v>6530</v>
      </c>
      <c r="B6531" s="2" t="inlineStr"/>
      <c r="C6531" s="2" t="n">
        <v>8113</v>
      </c>
      <c r="D6531" s="3" t="inlineStr">
        <is>
          <t>Питер Пэн</t>
        </is>
      </c>
      <c r="E6531" s="2" t="n">
        <v>1987</v>
      </c>
      <c r="F6531" s="2" t="inlineStr">
        <is>
          <t>телефильм</t>
        </is>
      </c>
      <c r="G6531" s="2" t="inlineStr">
        <is>
          <t>Беларусьфильм</t>
        </is>
      </c>
      <c r="H6531" s="2" t="n">
        <v>783</v>
      </c>
      <c r="I6531" s="2" t="inlineStr"/>
      <c r="J6531" s="2" t="inlineStr"/>
      <c r="K6531" s="3" t="inlineStr">
        <is>
          <t>В семье Дарлингов Новый год проходит весело, а потом родители отправляются в гости. В дом, где спят дети — Венди, Джон и Майкл, — пробирается необычный мальчик Питер Пэн со своей феей Динь-Динь. Он учит детей летать, а потом увлекает их за собой на свой волшебный остров, где живут русалки, индейцы, пираты и потерянные мальчишки.
Капитан пиратов Джеймс Крюк планирует захватить весь волшебный остров, чтобы назвать его своим именем. После долгого противостояния компаньоны Питера побеждают пиратов, после чего Динь-Динь отправляет Венди с братьями домой. Там они счастливо воссоединяются с родителями.
Когда Питер через какое-то время прилетает за Венди (соскучившись по ней), он обнаруживает, что она давно выросла, и у неё есть дочь Джейн — теперь на волшебный остров улетает она.</t>
        </is>
      </c>
      <c r="L6531" s="2" t="inlineStr">
        <is>
          <t>https://ru.wikipedia.org/w/index.php?title=%D0%9F%D0%B8%D1%82%D0%B5%D1%80_%D0%9F%D1%8D%D0%BD_%28%D1%84%D0%B8%D0%BB%D1%8C%D0%BC%2C_1987%29&amp;oldid=154552037</t>
        </is>
      </c>
      <c r="M6531" s="2">
        <f>HYPERLINK("https://ru.wikipedia.org/w/index.php?search=%D0%9F%D0%B8%D1%82%D0%B5%D1%80%20%D0%9F%D1%8D%D0%BD%201987%20%D1%84%D0%B8%D0%BB%D1%8C%D0%BC","искать")</f>
        <v/>
      </c>
      <c r="N6531" s="3" t="n"/>
      <c r="O6531" s="2" t="n"/>
      <c r="P6531" s="2" t="n"/>
    </row>
    <row r="6532">
      <c r="A6532" s="2" t="n">
        <v>6531</v>
      </c>
      <c r="B6532" s="2" t="inlineStr"/>
      <c r="C6532" s="2" t="n">
        <v>9456</v>
      </c>
      <c r="D6532" s="3" t="inlineStr">
        <is>
          <t>Лох - победитель воды</t>
        </is>
      </c>
      <c r="E6532" s="2" t="n">
        <v>1991</v>
      </c>
      <c r="F6532" s="2" t="inlineStr">
        <is>
          <t>кинофильм</t>
        </is>
      </c>
      <c r="G6532" s="2" t="n"/>
      <c r="H6532" s="2" t="n">
        <v>785</v>
      </c>
      <c r="I6532" s="2" t="inlineStr"/>
      <c r="J6532" s="2" t="inlineStr"/>
      <c r="K6532" s="3" t="inlineStr">
        <is>
          <t>Начало 1990-х. Павел Гореликов (Сергей Курёхин), простоватый интеллигентный малый, вместе с приятелем, инвалидом-афганцем Костей (Андрей Пономарёв), содержит компьютерный салон «Энергия» в Ленинграде. После того, как Павел отказывает в выплате очередной мзды рэкетирам (он попросту не может платить большую сумму), салон и сам Павел подвергаются нападению. Случайно вернувшийся Костя пытается дать отпор нападающим.
В тот же вечер неизвестные вламываются в квартиру Гореликова и избивают его. А наутро в разгромленном салоне находят мёртвым Костю. Понимая, что от милиции помощи не будет, Павел решает отомстить за смерть друга своими методами.
На этом фоне разгорается любовь Павла к встреченной им девушке (Лариса Бородина). Она работает в баре, который также терроризируют рэкетиры.</t>
        </is>
      </c>
      <c r="L6532" s="2" t="inlineStr">
        <is>
          <t>https://ru.wikipedia.org/w/index.php?title=%D0%9B%D0%BE%D1%85_%E2%80%94_%D0%BF%D0%BE%D0%B1%D0%B5%D0%B4%D0%B8%D1%82%D0%B5%D0%BB%D1%8C_%D0%B2%D0%BE%D0%B4%D1%8B&amp;oldid=154698782</t>
        </is>
      </c>
      <c r="M6532" s="2">
        <f>HYPERLINK("https://ru.wikipedia.org/w/index.php?search=%D0%9B%D0%BE%D1%85%20-%20%D0%BF%D0%BE%D0%B1%D0%B5%D0%B4%D0%B8%D1%82%D0%B5%D0%BB%D1%8C%20%D0%B2%D0%BE%D0%B4%D1%8B%201991%20%D1%84%D0%B8%D0%BB%D1%8C%D0%BC","искать")</f>
        <v/>
      </c>
      <c r="N6532" s="3" t="n"/>
      <c r="O6532" s="2" t="n"/>
      <c r="P6532" s="2" t="n"/>
    </row>
    <row r="6533">
      <c r="A6533" s="2" t="n">
        <v>6532</v>
      </c>
      <c r="B6533" s="2" t="inlineStr"/>
      <c r="C6533" s="2" t="n">
        <v>9449</v>
      </c>
      <c r="D6533" s="3" t="inlineStr">
        <is>
          <t>Лебедев против Лебедева</t>
        </is>
      </c>
      <c r="E6533" s="2" t="n">
        <v>1965</v>
      </c>
      <c r="F6533" s="2" t="inlineStr">
        <is>
          <t>кинофильм</t>
        </is>
      </c>
      <c r="G6533" s="2" t="n"/>
      <c r="H6533" s="2" t="n">
        <v>787</v>
      </c>
      <c r="I6533" s="2" t="inlineStr"/>
      <c r="J6533" s="2" t="inlineStr"/>
      <c r="K6533" s="3" t="inlineStr">
        <is>
          <t>Знаковый фильм середины 1960-х годов — рассказ о рефлексирующем молодом человеке, учёном-физике Олеге Лебедеве, обдумывающем своё житьё-бытьё на фоне реалий Москвы того времени, взаимоотношений в научно-исследовательском институте.
Сюжет фильма разворачивается неторопливо, в его центре — внутренние монологи, внутренние споры главного героя со своим вторым «я», которые перемешиваются с реальной жизнью — да так, что порой зрителю невозможно сразу понять, где реальность, а где — иллюзорные представления героя о себе.
Скромный, наивный и нерешительный герой в мечтах видится самому себе сильным, смелым и справедливым. Двум Лебедевым трудно ужиться в одном человеке, они даже становятся антагонистами, — но, в итоге, победу одерживает тот из персонажей, что наделён лучшими качествами.</t>
        </is>
      </c>
      <c r="L6533" s="2" t="inlineStr">
        <is>
          <t>https://ru.wikipedia.org/w/index.php?title=%D0%9B%D0%B5%D0%B1%D0%B5%D0%B4%D0%B5%D0%B2_%D0%BF%D1%80%D0%BE%D1%82%D0%B8%D0%B2_%D0%9B%D0%B5%D0%B1%D0%B5%D0%B4%D0%B5%D0%B2%D0%B0&amp;oldid=151954765</t>
        </is>
      </c>
      <c r="M6533" s="2">
        <f>HYPERLINK("https://ru.wikipedia.org/w/index.php?search=%D0%9B%D0%B5%D0%B1%D0%B5%D0%B4%D0%B5%D0%B2%20%D0%BF%D1%80%D0%BE%D1%82%D0%B8%D0%B2%20%D0%9B%D0%B5%D0%B1%D0%B5%D0%B4%D0%B5%D0%B2%D0%B0%201965%20%D1%84%D0%B8%D0%BB%D1%8C%D0%BC","искать")</f>
        <v/>
      </c>
      <c r="N6533" s="3" t="n"/>
      <c r="O6533" s="2" t="n"/>
      <c r="P6533" s="2" t="n"/>
    </row>
    <row r="6534">
      <c r="A6534" s="2" t="n">
        <v>6533</v>
      </c>
      <c r="B6534" s="2" t="inlineStr"/>
      <c r="C6534" s="2" t="n">
        <v>8215</v>
      </c>
      <c r="D6534" s="3" t="inlineStr">
        <is>
          <t>Принц и нищий</t>
        </is>
      </c>
      <c r="E6534" s="2" t="n">
        <v>1972</v>
      </c>
      <c r="F6534" s="2" t="inlineStr">
        <is>
          <t>телефильм</t>
        </is>
      </c>
      <c r="G6534" s="2" t="n"/>
      <c r="H6534" s="2" t="n">
        <v>790</v>
      </c>
      <c r="I6534" s="2" t="inlineStr"/>
      <c r="J6534" s="2" t="inlineStr"/>
      <c r="K6534" s="3" t="inlineStr">
        <is>
          <t>Гемфри — слуга принца Эдуарда — за один фартинг спас от отцовской трёпки нищего мальчишку Тома Кенти. Благодарный мальчик в тот же день пошёл к королевскому дворцу, чтобы найти спасителя и вернуть долг.
Через дымоход он попал в покои принца Эдуарда. Наследник престола был поражён своим сходством с чумазым оборванцем. Поменявшись с ним платьем, принц отправился в лондонские трущобы — посмотреть своими глазами, как живут его подданные.
Обоим пришлось пережить удивительные приключения. В тот же день скончался правящий король и принцу, одетому в чужие лохмотья, лишь с огромным трудом удалось вернуться в охваченный распрями дворец. Только спрятанная перед уходом Большая королевская печать смогла убедить недоверчивых царедворцев в том, что он действительно принц, а не жалкий оборванец.</t>
        </is>
      </c>
      <c r="L6534" s="2" t="inlineStr">
        <is>
          <t>https://ru.wikipedia.org/w/index.php?title=%D0%9F%D1%80%D0%B8%D0%BD%D1%86_%D0%B8_%D0%BD%D0%B8%D1%89%D0%B8%D0%B9_%28%D1%84%D0%B8%D0%BB%D1%8C%D0%BC%2C_1972%29&amp;oldid=151422271</t>
        </is>
      </c>
      <c r="M6534" s="2">
        <f>HYPERLINK("https://ru.wikipedia.org/w/index.php?search=%D0%9F%D1%80%D0%B8%D0%BD%D1%86%20%D0%B8%20%D0%BD%D0%B8%D1%89%D0%B8%D0%B9%201972%20%D1%84%D0%B8%D0%BB%D1%8C%D0%BC","искать")</f>
        <v/>
      </c>
      <c r="N6534" s="3" t="n"/>
      <c r="O6534" s="2" t="n"/>
      <c r="P6534" s="2" t="n"/>
    </row>
    <row r="6535">
      <c r="A6535" s="2" t="n">
        <v>6534</v>
      </c>
      <c r="B6535" s="2" t="inlineStr"/>
      <c r="C6535" s="2" t="n">
        <v>9234</v>
      </c>
      <c r="D6535" s="3" t="inlineStr">
        <is>
          <t>Берег спасения</t>
        </is>
      </c>
      <c r="E6535" s="2" t="n">
        <v>1990</v>
      </c>
      <c r="F6535" s="2" t="inlineStr">
        <is>
          <t>кинофильм</t>
        </is>
      </c>
      <c r="G6535" s="2" t="n"/>
      <c r="H6535" s="2" t="n">
        <v>792</v>
      </c>
      <c r="I6535" s="2" t="inlineStr"/>
      <c r="J6535" s="2" t="inlineStr"/>
      <c r="K6535" s="3" t="inlineStr">
        <is>
          <t>Середина мая 1905 года. Пятеро моряков из экипажа русского крейсера «Светлана», погибшего в Цусимском сражении, оказываются выброшенными на корейское побережье. Тем временем, японские охотники за сокровищами разыскивают древнюю гробницу правителя Кореи эпохи Когурё. Увидев, как японские грабители обижают старую женщину, русские бросаются в драку. Им на помощь приходит храбрая рыбачка Бараме, хранительница древних курганов. Японцы поджигают лесную лачугу, где останавливались путники, чтобы обвинить русских в преступлении против корейского государства. Однако местные крестьяне сами атакуют незваных гостей, видя, что те стремятся отыскать священный храм в ущелье Тигра. Японский отряд разбит, но погибает и юный матрос Добрыш. Получив коней, русские моряки продолжают свой путь на север.</t>
        </is>
      </c>
      <c r="L6535" s="2" t="inlineStr">
        <is>
          <t>https://ru.wikipedia.org/w/index.php?title=%D0%91%D0%B5%D1%80%D0%B5%D0%B3_%D1%81%D0%BF%D0%B0%D1%81%D0%B5%D0%BD%D0%B8%D1%8F&amp;oldid=154674339</t>
        </is>
      </c>
      <c r="M6535" s="2">
        <f>HYPERLINK("https://ru.wikipedia.org/w/index.php?search=%D0%91%D0%B5%D1%80%D0%B5%D0%B3%20%D1%81%D0%BF%D0%B0%D1%81%D0%B5%D0%BD%D0%B8%D1%8F%201990%20%D1%84%D0%B8%D0%BB%D1%8C%D0%BC","искать")</f>
        <v/>
      </c>
      <c r="N6535" s="3" t="n"/>
      <c r="O6535" s="2" t="n"/>
      <c r="P6535" s="2" t="n"/>
    </row>
    <row r="6536">
      <c r="A6536" s="2" t="n">
        <v>6535</v>
      </c>
      <c r="B6536" s="2" t="inlineStr"/>
      <c r="C6536" s="2" t="n">
        <v>7566</v>
      </c>
      <c r="D6536" s="3" t="inlineStr">
        <is>
          <t>Душечка</t>
        </is>
      </c>
      <c r="E6536" s="2" t="n">
        <v>1966</v>
      </c>
      <c r="F6536" s="2" t="inlineStr">
        <is>
          <t>телефильм</t>
        </is>
      </c>
      <c r="G6536" s="2" t="n"/>
      <c r="H6536" s="2" t="n">
        <v>793</v>
      </c>
      <c r="I6536" s="2" t="inlineStr"/>
      <c r="J6536" s="2" t="inlineStr"/>
      <c r="K6536" s="3" t="inlineStr">
        <is>
          <t>«Душечка» Ольга Семёновна Племянникова всю себя посвящает семье и мужу. Сначала она становится женой антрепренёра Ивана Петровича и всё её внимание обращено на театр и труппу. Но счастье было недолгим, похоронив супруга, Ольга Семёновна выходит замуж за заведующего складом Василия Андреевича. Вскоре она уже рассуждает только о порядке на складе и лесном хозяйстве, повторяя любимые фразы мужа. Однако и второй её супруг скоро скончался. Спустя некоторое время Ольга Семёновна сближается с Владимиром Платоновичем Смирниным, ветеринаром. Теперь её любимая тема — ветеринарное дело.
Всех мужей Ольга Семёновна любит одинаково глубоко и преданно. Своих детей Ольге Семёновне иметь было не суждено; последний супруг оставил ей ребёнка от первого брака, которого она воспитывает как родного сына.</t>
        </is>
      </c>
      <c r="L6536" s="2" t="inlineStr">
        <is>
          <t>https://ru.wikipedia.org/w/index.php?title=%D0%94%D1%83%D1%88%D0%B5%D1%87%D0%BA%D0%B0_%28%D1%84%D0%B8%D0%BB%D1%8C%D0%BC%29&amp;oldid=153500722</t>
        </is>
      </c>
      <c r="M6536" s="2">
        <f>HYPERLINK("https://ru.wikipedia.org/w/index.php?search=%D0%94%D1%83%D1%88%D0%B5%D1%87%D0%BA%D0%B0%201966%20%D1%84%D0%B8%D0%BB%D1%8C%D0%BC","искать")</f>
        <v/>
      </c>
      <c r="N6536" s="3" t="n"/>
      <c r="O6536" s="2" t="n"/>
      <c r="P6536" s="2" t="n"/>
    </row>
    <row r="6537">
      <c r="A6537" s="2" t="n">
        <v>6536</v>
      </c>
      <c r="B6537" s="2" t="inlineStr"/>
      <c r="C6537" s="2" t="n">
        <v>7797</v>
      </c>
      <c r="D6537" s="3" t="inlineStr">
        <is>
          <t>Летние впечатления о планете Z</t>
        </is>
      </c>
      <c r="E6537" s="2" t="n">
        <v>1986</v>
      </c>
      <c r="F6537" s="2" t="inlineStr">
        <is>
          <t>телефильм</t>
        </is>
      </c>
      <c r="G6537" s="2" t="n"/>
      <c r="H6537" s="2" t="n">
        <v>794</v>
      </c>
      <c r="I6537" s="2" t="inlineStr"/>
      <c r="J6537" s="2" t="inlineStr"/>
      <c r="K6537" s="3" t="inlineStr">
        <is>
          <t>В один небольшой город, в школьную лабораторию учителя физики Алексея Павловича Мухина («Палыча») попадает (вернее, в буквальном смысле «рождается» в ней) наблюдатель с планеты X — инопланетянин, внешне похожий на обычного земного мальчика, но без пупка и к тому же быстро растущий. Жителям планеты X неведомы такие понятия, как жестокость, злоба, страх, но нет также и понятий добра, дружбы, любви. Задача наблюдателя — узнать, что это, и помочь своим понять эти человеческие принципы. Есть важное условие: наблюдатель должен работать в секрете и в случае провала будет уничтожен.
Помогает Феликсу (так назвал наблюдателя Палыч, в честь арифмометра «Феликс») помощник учителя Борька Куликов. А мешает — местный детектив Эдуард Михайлович, работающий парикмахером и мнящий себя великим сыщиком.</t>
        </is>
      </c>
      <c r="L6537" s="2" t="inlineStr">
        <is>
          <t>https://ru.wikipedia.org/w/index.php?title=%D0%9B%D0%B5%D1%82%D0%BD%D0%B8%D0%B5_%D0%B2%D0%BF%D0%B5%D1%87%D0%B0%D1%82%D0%BB%D0%B5%D0%BD%D0%B8%D1%8F_%D0%BE_%D0%BF%D0%BB%D0%B0%D0%BD%D0%B5%D1%82%D0%B5_Z&amp;oldid=153481670</t>
        </is>
      </c>
      <c r="M6537" s="2">
        <f>HYPERLINK("https://ru.wikipedia.org/w/index.php?search=%D0%9B%D0%B5%D1%82%D0%BD%D0%B8%D0%B5%20%D0%B2%D0%BF%D0%B5%D1%87%D0%B0%D1%82%D0%BB%D0%B5%D0%BD%D0%B8%D1%8F%20%D0%BE%20%D0%BF%D0%BB%D0%B0%D0%BD%D0%B5%D1%82%D0%B5%20Z%201986%20%D1%84%D0%B8%D0%BB%D1%8C%D0%BC","искать")</f>
        <v/>
      </c>
      <c r="N6537" s="3" t="n"/>
      <c r="O6537" s="2" t="n"/>
      <c r="P6537" s="2" t="n"/>
    </row>
    <row r="6538">
      <c r="A6538" s="2" t="n">
        <v>6537</v>
      </c>
      <c r="B6538" s="2" t="inlineStr"/>
      <c r="C6538" s="2" t="n">
        <v>10535</v>
      </c>
      <c r="D6538" s="3" t="inlineStr">
        <is>
          <t>Человек и джентльмен</t>
        </is>
      </c>
      <c r="E6538" s="2" t="n">
        <v>1973</v>
      </c>
      <c r="F6538" s="2" t="inlineStr">
        <is>
          <t>фильм-спектакль</t>
        </is>
      </c>
      <c r="G6538" s="2" t="n"/>
      <c r="H6538" s="2" t="n">
        <v>796</v>
      </c>
      <c r="I6538" s="2" t="inlineStr"/>
      <c r="J6538" s="2" t="inlineStr"/>
      <c r="K6538" s="3" t="inlineStr">
        <is>
          <t>По пьесе Эдуардо Де Филиппо в постановке театра им. Ленсовета.
В итальянский городок приезжает труппа бродячих артистов. Они жарят кильку в гостиничных номерах, носят сало в карманах и постоянно попадают в нелепые ситуации. Богатая публика придирчива и актеров ждет провал. А у их благодетеля – свои беды. У его возлюбленной обнаруживается ревнивый муж, и приходится ему притворяться сумасшедшим. Во всех розыгрышах и обманах ему помогают друзья-актеры. Вокруг бурлит жизнь и не менее комичные персонажи сходят с ума в прямом и переносном смысле. Сюжет завязывается в гостинице, интрига развивается во владениях графа, а кульминация приходится уже… на полицейский участок.
Нелепые ситуации, наполеоновские планы, коварные жены и самоотверженные любовники. Объективная реальность на грани абсурда.</t>
        </is>
      </c>
      <c r="L6538" s="2" t="inlineStr">
        <is>
          <t>https://www.kino-teatr.ru/teatr/movie/78847/annot/</t>
        </is>
      </c>
      <c r="M6538" s="2">
        <f>HYPERLINK("https://ru.wikipedia.org/w/index.php?search=%D0%A7%D0%B5%D0%BB%D0%BE%D0%B2%D0%B5%D0%BA%20%D0%B8%20%D0%B4%D0%B6%D0%B5%D0%BD%D1%82%D0%BB%D1%8C%D0%BC%D0%B5%D0%BD%201973%20%D1%84%D0%B8%D0%BB%D1%8C%D0%BC","искать")</f>
        <v/>
      </c>
      <c r="N6538" s="3" t="n"/>
      <c r="O6538" s="2" t="n"/>
      <c r="P6538" s="2" t="n"/>
    </row>
    <row r="6539">
      <c r="A6539" s="2" t="n">
        <v>6538</v>
      </c>
      <c r="B6539" s="2" t="inlineStr"/>
      <c r="C6539" s="2" t="n">
        <v>9779</v>
      </c>
      <c r="D6539" s="3" t="inlineStr">
        <is>
          <t>Эти... три верные карты...</t>
        </is>
      </c>
      <c r="E6539" s="2" t="n">
        <v>1988</v>
      </c>
      <c r="F6539" s="2" t="inlineStr">
        <is>
          <t>кинофильм</t>
        </is>
      </c>
      <c r="G6539" s="2" t="n"/>
      <c r="H6539" s="2" t="n">
        <v>799</v>
      </c>
      <c r="I6539" s="2" t="inlineStr"/>
      <c r="J6539" s="2" t="inlineStr"/>
      <c r="K6539" s="3" t="inlineStr">
        <is>
          <t>Обрусевший инженер германского происхождения Германн копит деньги, потому не играет на званных вечерах, но загадку игры он разгадать желает. Особенно его жажда становится невыносимой, когда его приятель Томский говорит о том, что его бабушка, старая графиня, знает секрет выигрышной комбинации карт. После этого мысли Германна лишь о том, как попасть в дом старой графини и узнать секрет трёх карт. Он обманным путём, притворившись влюблённым, проникает в особняк, где дожидается старую графиню. Упросить её раскрыть так мучивший его секрет у главного героя не получается, тогда он угрожает старой женщине. Её сердце не выдерживает, и она умирает, но это ещё не конец истории: графиня приходит к главному герою во сне и рассказывает о трёх картах. Главный герой пробует комбинацию, но терпит фиаско.</t>
        </is>
      </c>
      <c r="L6539" s="2" t="inlineStr">
        <is>
          <t>https://ru.wikipedia.org/w/index.php?title=%D0%AD%D1%82%D0%B8%E2%80%A6_%D1%82%D1%80%D0%B8_%D0%B2%D0%B5%D1%80%D0%BD%D1%8B%D0%B5_%D0%BA%D0%B0%D1%80%D1%82%D1%8B%E2%80%A6&amp;oldid=153349467</t>
        </is>
      </c>
      <c r="M6539" s="2">
        <f>HYPERLINK("https://ru.wikipedia.org/w/index.php?search=%D0%AD%D1%82%D0%B8...%20%D1%82%D1%80%D0%B8%20%D0%B2%D0%B5%D1%80%D0%BD%D1%8B%D0%B5%20%D0%BA%D0%B0%D1%80%D1%82%D1%8B...%201988%20%D1%84%D0%B8%D0%BB%D1%8C%D0%BC","искать")</f>
        <v/>
      </c>
      <c r="N6539" s="3" t="n"/>
      <c r="O6539" s="2" t="n"/>
      <c r="P6539" s="2" t="n"/>
    </row>
    <row r="6540">
      <c r="A6540" s="2" t="n">
        <v>6539</v>
      </c>
      <c r="B6540" s="2" t="inlineStr"/>
      <c r="C6540" s="2" t="n">
        <v>11598</v>
      </c>
      <c r="D6540" s="3" t="inlineStr">
        <is>
          <t>Кентервильское привидение</t>
        </is>
      </c>
      <c r="E6540" s="2" t="n">
        <v>1970</v>
      </c>
      <c r="F6540" s="2" t="inlineStr">
        <is>
          <t>мультфильм</t>
        </is>
      </c>
      <c r="G6540" s="2" t="inlineStr">
        <is>
          <t>Союзмультфильм</t>
        </is>
      </c>
      <c r="H6540" s="2" t="n">
        <v>799</v>
      </c>
      <c r="I6540" s="2" t="inlineStr"/>
      <c r="J6540" s="2" t="inlineStr"/>
      <c r="K6540" s="3" t="inlineStr">
        <is>
          <t>По мотивам одноименного произведения Оскара Уайльда. В замке лордов Кентервиль триста лет назад сэр Сеймон Кентервиль убил свою жену Элеонору. С тех пор на полу гостиной осталось несмываемое кровавое пятно, а привидение лорда Сеймона бродит по замку...Нынешние владельцы замка решают продать его богатому американцу. После того, как семейство американца поселяется в замке, для привидения начинается невыносимая жизнь: кровавое пятно выводят пятновыводителем, никто не боится привидения, хозяин предлагает машинное масло для смазывания цепей, хозяйка - лекарство от простуды, а дети-близнецы преследуют его своими проказами. Дочери американца Виргинии привидение рассказывает о себе и своей жизни, девушка жалеет его и помогает обрести покой и покинуть замок навсегда, что очень расстраивает хозяина</t>
        </is>
      </c>
      <c r="L6540" s="2" t="inlineStr">
        <is>
          <t>https://gosfilmofond.ru/films/255157/</t>
        </is>
      </c>
      <c r="M6540" s="2">
        <f>HYPERLINK("https://ru.wikipedia.org/w/index.php?search=%D0%9A%D0%B5%D0%BD%D1%82%D0%B5%D1%80%D0%B2%D0%B8%D0%BB%D1%8C%D1%81%D0%BA%D0%BE%D0%B5%20%D0%BF%D1%80%D0%B8%D0%B2%D0%B8%D0%B4%D0%B5%D0%BD%D0%B8%D0%B5%201970%20%D1%84%D0%B8%D0%BB%D1%8C%D0%BC","искать")</f>
        <v/>
      </c>
      <c r="N6540" s="3" t="n"/>
      <c r="O6540" s="2" t="n"/>
      <c r="P6540" s="2" t="n"/>
    </row>
    <row r="6541">
      <c r="A6541" s="2" t="n">
        <v>6540</v>
      </c>
      <c r="B6541" s="2" t="inlineStr"/>
      <c r="C6541" s="2" t="n">
        <v>7913</v>
      </c>
      <c r="D6541" s="3" t="inlineStr">
        <is>
          <t>Музыкальные игры</t>
        </is>
      </c>
      <c r="E6541" s="2" t="n">
        <v>1989</v>
      </c>
      <c r="F6541" s="2" t="inlineStr">
        <is>
          <t>телефильм</t>
        </is>
      </c>
      <c r="G6541" s="2" t="n"/>
      <c r="H6541" s="2" t="n">
        <v>800</v>
      </c>
      <c r="I6541" s="2" t="inlineStr"/>
      <c r="J6541" s="2" t="inlineStr"/>
      <c r="K6541" s="3" t="inlineStr">
        <is>
          <t>На одной далекой планете пропало «Священное бревно». На поиски святыни отправляется межгалактический корабль. Он следует на планету Земля. Приземлившись, инопланетяне попадают в
Ламаистский дацан в Бурятии, где проходит праздник «Цам». Затем они оказываются в Ленинграде, где наблюдают удивительную картину: по каналам Ленинграда проплывают катера с саксофонистами, на улицах танцуют люди. Игорь Корнелюк поет лирическую балладу «Лунная дорога». Борис Штоколов выходит из гостиницы «Прибалтийская», мурлыча романс. Ольга Домущу поет в ресторане рок-н-ролл. Каскадеры пытаются подняться по стенам «Дома книги», но восхождение заканчивается падением в канал. Эдита Пьеха
исполняет песню «Белый вечер». Андрей Вознесенский читает стихи про кооперацию. Инопланетяне находят свою святыню и покидают Землю.</t>
        </is>
      </c>
      <c r="L6541" s="2" t="inlineStr">
        <is>
          <t>https://gosfilmofond.ru/films/240777/</t>
        </is>
      </c>
      <c r="M6541" s="2">
        <f>HYPERLINK("https://ru.wikipedia.org/w/index.php?search=%D0%9C%D1%83%D0%B7%D1%8B%D0%BA%D0%B0%D0%BB%D1%8C%D0%BD%D1%8B%D0%B5%20%D0%B8%D0%B3%D1%80%D1%8B%201989%20%D1%84%D0%B8%D0%BB%D1%8C%D0%BC","искать")</f>
        <v/>
      </c>
      <c r="N6541" s="3" t="n"/>
      <c r="O6541" s="2" t="n"/>
      <c r="P6541" s="2" t="n"/>
    </row>
    <row r="6542">
      <c r="A6542" s="2" t="n">
        <v>6541</v>
      </c>
      <c r="B6542" s="2" t="inlineStr"/>
      <c r="C6542" s="2" t="n">
        <v>8033</v>
      </c>
      <c r="D6542" s="3" t="inlineStr">
        <is>
          <t>Огненный мост</t>
        </is>
      </c>
      <c r="E6542" s="2" t="n">
        <v>1976</v>
      </c>
      <c r="F6542" s="2" t="inlineStr">
        <is>
          <t>телефильм</t>
        </is>
      </c>
      <c r="G6542" s="2" t="inlineStr">
        <is>
          <t>ТО «Экран»</t>
        </is>
      </c>
      <c r="H6542" s="2" t="n">
        <v>800</v>
      </c>
      <c r="I6542" s="2" t="inlineStr"/>
      <c r="J6542" s="2" t="inlineStr"/>
      <c r="K6542" s="3" t="inlineStr">
        <is>
          <t>Во время Октябрьской социалистической революции дети адвоката Дубравина — Ирина и Геннадий — оказались в противоборствующих лагерях. Ирина предпочла остаться с большевиками, тогда как Геннадий вместе с остатками Белой армии ушёл за границу. Позже герой, связанный с иностранной разведкой, вернулся на родину как диверсант.
Ирина Дубравина — интеллигентка, отстаивающая дело революции как личный подвиг и оказывающаяся в моральном тупике в дни мирного строительства. Её героиня — профессиональный большевик, ставшая «красным» директором крупного предприятия. В числе задач, стоящих перед Дубравиной, — переключение энергии революционной борьбы на дело мирного строительства и подъёма экономики.
Фильм демонстрирует процесс участия интеллигенции в революции и послереволюционных преобразованиях страны.</t>
        </is>
      </c>
      <c r="L6542" s="2" t="inlineStr">
        <is>
          <t>https://ru.wikipedia.org/w/index.php?title=%D0%9E%D0%B3%D0%BD%D0%B5%D0%BD%D0%BD%D1%8B%D0%B9_%D0%BC%D0%BE%D1%81%D1%82_%28%D1%84%D0%B8%D0%BB%D1%8C%D0%BC%29&amp;oldid=154700972</t>
        </is>
      </c>
      <c r="M6542" s="2">
        <f>HYPERLINK("https://ru.wikipedia.org/w/index.php?search=%D0%9E%D0%B3%D0%BD%D0%B5%D0%BD%D0%BD%D1%8B%D0%B9%20%D0%BC%D0%BE%D1%81%D1%82%201976%20%D1%84%D0%B8%D0%BB%D1%8C%D0%BC","искать")</f>
        <v/>
      </c>
      <c r="N6542" s="3" t="n"/>
      <c r="O6542" s="2" t="n"/>
      <c r="P6542" s="2" t="n"/>
    </row>
    <row r="6543">
      <c r="A6543" s="2" t="n">
        <v>6542</v>
      </c>
      <c r="B6543" s="2" t="inlineStr"/>
      <c r="C6543" s="2" t="n">
        <v>10978</v>
      </c>
      <c r="D6543" s="3" t="inlineStr">
        <is>
          <t>Басни Крылова и шуточные песни</t>
        </is>
      </c>
      <c r="E6543" s="2" t="n">
        <v>1983</v>
      </c>
      <c r="F6543" s="2" t="inlineStr">
        <is>
          <t>фильм-спектакль</t>
        </is>
      </c>
      <c r="G6543" s="2" t="n"/>
      <c r="H6543" s="2" t="n">
        <v>802</v>
      </c>
      <c r="I6543" s="2" t="inlineStr"/>
      <c r="J6543" s="2" t="inlineStr"/>
      <c r="K6543" s="3" t="inlineStr">
        <is>
          <t>Алексей Покровский исполняет басни Ивана Крылова и шуточные русские народные песни.
Музыкальные интермедии в исполнении инструментального ансамбля п/р А.Цадиковского.
В фильме использованы иллюстрации к басням художника В.Овечкина.
В программе:
1. Пруд и река
2. Откупщик и Сапожник
3. Песня Бобыля (русская народная песня)
4. Скупой
5. Филин и Осёл
6. Как приехали два брата (русская народная песня)
7. Пустынник и медведь
8. Стрекоза и Муравей
9. Ах вы, сени, мои сени (русская народная песня)
10. Разборчивая невеста
11. Во кузнице (русская народная песня)
12. Троеженец
13. Вдоль по речке (русская народная песня)
14. Кот и повар
15. Свинья под дубом
16. Муравей
17. Было у тещи (русская народная песня)
18. Демьянова уха
19. Крестьянин и собака
20. У меня квашня (русская народная песня)
21. Цветы</t>
        </is>
      </c>
      <c r="L6543" s="2" t="inlineStr">
        <is>
          <t>https://www.kino-teatr.ru/teatr/movie/101989/annot/</t>
        </is>
      </c>
      <c r="M6543" s="2">
        <f>HYPERLINK("https://ru.wikipedia.org/w/index.php?search=%D0%91%D0%B0%D1%81%D0%BD%D0%B8%20%D0%9A%D1%80%D1%8B%D0%BB%D0%BE%D0%B2%D0%B0%20%D0%B8%20%D1%88%D1%83%D1%82%D0%BE%D1%87%D0%BD%D1%8B%D0%B5%20%D0%BF%D0%B5%D1%81%D0%BD%D0%B8%201983%20%D1%84%D0%B8%D0%BB%D1%8C%D0%BC","искать")</f>
        <v/>
      </c>
      <c r="N6543" s="3" t="n"/>
      <c r="O6543" s="2" t="n"/>
      <c r="P6543" s="2" t="n"/>
    </row>
    <row r="6544">
      <c r="A6544" s="2" t="n">
        <v>6543</v>
      </c>
      <c r="B6544" s="2" t="inlineStr"/>
      <c r="C6544" s="2" t="n">
        <v>10520</v>
      </c>
      <c r="D6544" s="3" t="inlineStr">
        <is>
          <t>Сказка о четырёх близнецах</t>
        </is>
      </c>
      <c r="E6544" s="2" t="n">
        <v>1973</v>
      </c>
      <c r="F6544" s="2" t="inlineStr">
        <is>
          <t>фильм-спектакль</t>
        </is>
      </c>
      <c r="G6544" s="2" t="inlineStr">
        <is>
          <t>Главная редакция программ для детей и юношества ЦТ</t>
        </is>
      </c>
      <c r="H6544" s="2" t="n">
        <v>803</v>
      </c>
      <c r="I6544" s="2" t="inlineStr"/>
      <c r="J6544" s="2" t="inlineStr"/>
      <c r="K6544" s="3" t="inlineStr">
        <is>
          <t>Телеверсия спектакля Московского Центрального Детского театра по мотивам пьесы болгарского писателя Панчо Панчева.
Четыре близнеца влюблены в одну девушку. Кого она выберет? Но когда героиня спектакля, юная Бонка, в которую с детских лет влюблены четыре брата-близнеца, оказывается перед подобным выбором, она понимает, что на этот вопрос жизнь дает иной ответ. «Не может сын дяди Петра разбойником стать!»— восклицает отец четырех близнецов. И ошибается. Взрослеют близнецы и разбегаются их пути-дороги. Им кажется, что они стали настоящими людьми, хозяевами жизни. Каждый выбирает свое, кто-то предпочитает красивую, сытую жизнь на Востоке, кто-то добывает себе злато-серебро хитростью и обманом, а кто-то—грабежом. А в итоге оказывается, что счастлив только один из них—оставшийся верным своей любви.</t>
        </is>
      </c>
      <c r="L6544" s="2" t="inlineStr">
        <is>
          <t>https://www.kino-teatr.ru/teatr/movie/79279/annot/</t>
        </is>
      </c>
      <c r="M6544" s="2">
        <f>HYPERLINK("https://ru.wikipedia.org/w/index.php?search=%D0%A1%D0%BA%D0%B0%D0%B7%D0%BA%D0%B0%20%D0%BE%20%D1%87%D0%B5%D1%82%D1%8B%D1%80%D1%91%D1%85%20%D0%B1%D0%BB%D0%B8%D0%B7%D0%BD%D0%B5%D1%86%D0%B0%D1%85%201973%20%D1%84%D0%B8%D0%BB%D1%8C%D0%BC","искать")</f>
        <v/>
      </c>
      <c r="N6544" s="3" t="n"/>
      <c r="O6544" s="2" t="n"/>
      <c r="P6544" s="2" t="n"/>
    </row>
    <row r="6545">
      <c r="A6545" s="2" t="n">
        <v>6544</v>
      </c>
      <c r="B6545" s="2" t="inlineStr"/>
      <c r="C6545" s="2" t="n">
        <v>10887</v>
      </c>
      <c r="D6545" s="3" t="inlineStr">
        <is>
          <t>Кошкин дом</t>
        </is>
      </c>
      <c r="E6545" s="2" t="n">
        <v>1981</v>
      </c>
      <c r="F6545" s="2" t="inlineStr">
        <is>
          <t>фильм-спектакль</t>
        </is>
      </c>
      <c r="G6545" s="2" t="inlineStr">
        <is>
          <t>Творческое объединение "Экран"</t>
        </is>
      </c>
      <c r="H6545" s="2" t="n">
        <v>803</v>
      </c>
      <c r="I6545" s="2" t="inlineStr"/>
      <c r="J6545" s="2" t="inlineStr"/>
      <c r="K6545" s="3" t="inlineStr">
        <is>
          <t>По одноименной пьесе-сказке Самуила Маршака в постановке Государственного центрального детского театра (Российского академического молодёжного театра).
Жила-была Кошка. Она очень гордилась своим домом, хвасталась им, особенно когда к ней приходили гости: Коза, Козёл, Курица, Петух, Свинья. А рядом жили бездомные котята - родные племянники Кошки. Когда голодные они приходили к своей тёте, она гнала их прочь. Однажды ночью случился пожар и красивый Кошкин дом сгорел. Кошка и Кот Василий стали просить убежища у своих друзей, но везде получили отказ и лишь бедные Котята пожалели их. И тогда Кошка поняла, кто истинный друг. Кошка, Кот Василий и Котята стали строить новый общий дом. Он стал лучше старого. Все вместе они радовались, справляя новоселье. Как хорошо, когда у тебя есть настоящие друзья!</t>
        </is>
      </c>
      <c r="L6545" s="2" t="inlineStr">
        <is>
          <t>https://www.kino-teatr.ru/teatr/movie/79907/annot/</t>
        </is>
      </c>
      <c r="M6545" s="2">
        <f>HYPERLINK("https://ru.wikipedia.org/w/index.php?search=%D0%9A%D0%BE%D1%88%D0%BA%D0%B8%D0%BD%20%D0%B4%D0%BE%D0%BC%201981%20%D1%84%D0%B8%D0%BB%D1%8C%D0%BC","искать")</f>
        <v/>
      </c>
      <c r="N6545" s="3" t="n"/>
      <c r="O6545" s="2" t="n"/>
      <c r="P6545" s="2" t="n"/>
    </row>
    <row r="6546">
      <c r="A6546" s="2" t="n">
        <v>6545</v>
      </c>
      <c r="B6546" s="2" t="inlineStr"/>
      <c r="C6546" s="2" t="n">
        <v>7690</v>
      </c>
      <c r="D6546" s="3" t="inlineStr">
        <is>
          <t>История одной любви</t>
        </is>
      </c>
      <c r="E6546" s="2" t="n">
        <v>1981</v>
      </c>
      <c r="F6546" s="2" t="inlineStr">
        <is>
          <t>телефильм</t>
        </is>
      </c>
      <c r="G6546" s="2" t="n"/>
      <c r="H6546" s="2" t="n">
        <v>805</v>
      </c>
      <c r="I6546" s="2" t="inlineStr"/>
      <c r="J6546" s="2" t="inlineStr"/>
      <c r="K6546" s="3" t="inlineStr">
        <is>
          <t>Анна Алексеевна, когда-то вышедшая замуж не по любви и уже смирившаясь с несчастливой жизнью со своим скучным мужем, влюбляется в друга мужа помещика Павла Константиновича Алехина…
… Показывая героев рассказа «O любви», А. Войтецкий скуп на выразительные средства. Главный упор делается им на крупные планы и использование детали, наполнение ее особым содержанием. Именно по крупным планам мы проникаемся чувствами, царящими в душах героев: нельзя не заметить глубоко спрятанную печать глазах Анны Алексеевны, нежность, освещающую лицо Алехина при взгляде на любимую, самодовольство Лугановича. «Пропала жизнь!» восклицает Анна Алексеевна, расставаясь с Алехиным на вокзале. И действительно, весь строй фильма доказывает, что жить без любви в мире эгоизма, пошлости, духовного убожества просто невозможно.</t>
        </is>
      </c>
      <c r="L6546" s="2" t="inlineStr">
        <is>
          <t>https://ru.wikipedia.org/w/index.php?title=%D0%98%D1%81%D1%82%D0%BE%D1%80%D0%B8%D1%8F_%D0%BE%D0%B4%D0%BD%D0%BE%D0%B9_%D0%BB%D1%8E%D0%B1%D0%B2%D0%B8_%28%D1%84%D0%B8%D0%BB%D1%8C%D0%BC%2C_1981%29&amp;oldid=154696480</t>
        </is>
      </c>
      <c r="M6546" s="2">
        <f>HYPERLINK("https://ru.wikipedia.org/w/index.php?search=%D0%98%D1%81%D1%82%D0%BE%D1%80%D0%B8%D1%8F%20%D0%BE%D0%B4%D0%BD%D0%BE%D0%B9%20%D0%BB%D1%8E%D0%B1%D0%B2%D0%B8%201981%20%D1%84%D0%B8%D0%BB%D1%8C%D0%BC","искать")</f>
        <v/>
      </c>
      <c r="N6546" s="3" t="n"/>
      <c r="O6546" s="2" t="n"/>
      <c r="P6546" s="2" t="n"/>
    </row>
    <row r="6547">
      <c r="A6547" s="2" t="n">
        <v>6546</v>
      </c>
      <c r="B6547" s="2" t="inlineStr"/>
      <c r="C6547" s="2" t="n">
        <v>10628</v>
      </c>
      <c r="D6547" s="3" t="inlineStr">
        <is>
          <t>Странная миссис Сэвидж</t>
        </is>
      </c>
      <c r="E6547" s="2" t="n">
        <v>1975</v>
      </c>
      <c r="F6547" s="2" t="inlineStr">
        <is>
          <t>фильм-спектакль</t>
        </is>
      </c>
      <c r="G6547" s="2" t="n"/>
      <c r="H6547" s="2" t="n">
        <v>806</v>
      </c>
      <c r="I6547" s="2" t="inlineStr"/>
      <c r="J6547" s="2" t="inlineStr"/>
      <c r="K6547" s="3" t="inlineStr">
        <is>
          <t>Фильм-спектакль по одноименной пьесе Дж.Патрика в постановке Государственного академического театра имени Моссовета.
Обладательница десятимиллионного состояния, пожилая дама миссис Сэвидж попадает в лечебницу для душевнобольных, которая находится в маленьком городе, в штате Массачусетс. В «Тихую обитель», так называется это учреждение, ее поместили приемные дети. Эти высокопоставленные обеспеченные люди не могут пережить того, что их мачеха безрассудно тратит деньги на благотворительные нужды, да еще собирается учредить «Фонд Счастья», чтобы помогать людям осуществлять их заветные желания. Надеясь на помощь врачей и персонала лечебницы они хотят отнять у мачехи ценные бумаги, которые она спрятала неизвестно где, но проявляют при этом гораздо меньше здравого смысла, чем пациенты «Тихой обители»..</t>
        </is>
      </c>
      <c r="L6547" s="2" t="inlineStr">
        <is>
          <t>https://www.kino-teatr.ru/teatr/movie/15397/annot/</t>
        </is>
      </c>
      <c r="M6547" s="2">
        <f>HYPERLINK("https://ru.wikipedia.org/w/index.php?search=%D0%A1%D1%82%D1%80%D0%B0%D0%BD%D0%BD%D0%B0%D1%8F%20%D0%BC%D0%B8%D1%81%D1%81%D0%B8%D1%81%20%D0%A1%D1%8D%D0%B2%D0%B8%D0%B4%D0%B6%201975%20%D1%84%D0%B8%D0%BB%D1%8C%D0%BC","искать")</f>
        <v/>
      </c>
      <c r="N6547" s="3" t="n"/>
      <c r="O6547" s="2" t="n"/>
      <c r="P6547" s="2" t="n"/>
    </row>
    <row r="6548">
      <c r="A6548" s="2" t="n">
        <v>6547</v>
      </c>
      <c r="B6548" s="2" t="inlineStr"/>
      <c r="C6548" s="2" t="n">
        <v>11300</v>
      </c>
      <c r="D6548" s="3" t="inlineStr">
        <is>
          <t>Завтра была война</t>
        </is>
      </c>
      <c r="E6548" s="2" t="n">
        <v>1990</v>
      </c>
      <c r="F6548" s="2" t="inlineStr">
        <is>
          <t>фильм-спектакль</t>
        </is>
      </c>
      <c r="G6548" s="2" t="n"/>
      <c r="H6548" s="2" t="n">
        <v>808</v>
      </c>
      <c r="I6548" s="2" t="inlineStr"/>
      <c r="J6548" s="2" t="inlineStr"/>
      <c r="K6548" s="3" t="inlineStr">
        <is>
          <t>По одноименной повести Бориса Васильева в постановке театра им. Вл. Маяковского.
"Из всех мальчиков моего класса живых осталось четверо"- с этого начинается повесть, этим начинается и спектакль. Герои спектакля не знают, что завтра будет война, что очень многим осталось жить считанные дни. Они упоенно воюют с учительницей, влюбляются, плачут и смеются, веселятся, дерутся, озорничают и дерзят, но кажутся совсем еще детьми, хотя - парадокс того времени! - души их мужают и развиваются куда быстрее, чем тело. И когда по навету или ошибке арестовывают отца их подруги, они оказываются готовыми к первым испытаниям, к начальным урокам несправедливости и горя, взаимопомощи и взаимопонимания. Трагедия, случившаяся в классе, явилась своего рода проверкой готовности к завтрашним жертвам и завтрашним подвигам.</t>
        </is>
      </c>
      <c r="L6548" s="2" t="inlineStr">
        <is>
          <t>https://www.kino-teatr.ru/teatr/movie/81595/annot/</t>
        </is>
      </c>
      <c r="M6548" s="2">
        <f>HYPERLINK("https://ru.wikipedia.org/w/index.php?search=%D0%97%D0%B0%D0%B2%D1%82%D1%80%D0%B0%20%D0%B1%D1%8B%D0%BB%D0%B0%20%D0%B2%D0%BE%D0%B9%D0%BD%D0%B0%201990%20%D1%84%D0%B8%D0%BB%D1%8C%D0%BC","искать")</f>
        <v/>
      </c>
      <c r="N6548" s="3" t="n"/>
      <c r="O6548" s="2" t="n"/>
      <c r="P6548" s="2" t="n"/>
    </row>
    <row r="6549">
      <c r="A6549" s="2" t="n">
        <v>6548</v>
      </c>
      <c r="B6549" s="2" t="inlineStr"/>
      <c r="C6549" s="2" t="n">
        <v>10892</v>
      </c>
      <c r="D6549" s="3" t="inlineStr">
        <is>
          <t>Миллион за улыбку</t>
        </is>
      </c>
      <c r="E6549" s="2" t="n">
        <v>1981</v>
      </c>
      <c r="F6549" s="2" t="inlineStr">
        <is>
          <t>фильм-спектакль</t>
        </is>
      </c>
      <c r="G6549" s="2" t="inlineStr">
        <is>
          <t>Главная редакция литературно-драматических программ ЦТ</t>
        </is>
      </c>
      <c r="H6549" s="2" t="n">
        <v>809</v>
      </c>
      <c r="I6549" s="2" t="inlineStr"/>
      <c r="J6549" s="2" t="inlineStr"/>
      <c r="K6549" s="3" t="inlineStr">
        <is>
          <t>По одноименной пьесе А. Софронова.
Спектакль Московского Академического Театра имени Моссовета (впервые поставлен в театре в 1960 году).
Архитектор Виталий Николаевич Карташев влюбляется в женщину намного моложе себя. О его увлечении узнает жена Ольга и решает воздействовать на любвеобильного мужа весьма оригинальным способом – уговаривает друга семьи, Евгения Михайловича Бабкина, изобразить с ней романтические отношения. Ситуация осложняется еще и тем, что в ту же девушку влюблен младший брат Карташева.
Все любовные коллизии проходят на фоне борьбы за минимализм в архитектуре. Так как за якобы ненужные украшательства фасада в проекте дома, разработанного Карташевым, необходимо заплатить миллион рублей, а эти излишества нефункциональны и вызывают только улыбку, пьеса называется «Миллион за улыбку».</t>
        </is>
      </c>
      <c r="L6549" s="2" t="inlineStr">
        <is>
          <t>https://www.kino-teatr.ru/teatr/movie/10679/annot/</t>
        </is>
      </c>
      <c r="M6549" s="2">
        <f>HYPERLINK("https://ru.wikipedia.org/w/index.php?search=%D0%9C%D0%B8%D0%BB%D0%BB%D0%B8%D0%BE%D0%BD%20%D0%B7%D0%B0%20%D1%83%D0%BB%D1%8B%D0%B1%D0%BA%D1%83%201981%20%D1%84%D0%B8%D0%BB%D1%8C%D0%BC","искать")</f>
        <v/>
      </c>
      <c r="N6549" s="3" t="n"/>
      <c r="O6549" s="2" t="n"/>
      <c r="P6549" s="2" t="n"/>
    </row>
    <row r="6550">
      <c r="A6550" s="2" t="n">
        <v>6549</v>
      </c>
      <c r="B6550" s="2" t="inlineStr"/>
      <c r="C6550" s="2" t="n">
        <v>7405</v>
      </c>
      <c r="D6550" s="3" t="inlineStr">
        <is>
          <t>Встреча на далёком меридиане</t>
        </is>
      </c>
      <c r="E6550" s="2" t="n">
        <v>1977</v>
      </c>
      <c r="F6550" s="2" t="inlineStr">
        <is>
          <t>телефильм</t>
        </is>
      </c>
      <c r="G6550" s="2" t="inlineStr">
        <is>
          <t>Беларусьфильм</t>
        </is>
      </c>
      <c r="H6550" s="2" t="n">
        <v>810</v>
      </c>
      <c r="I6550" s="2" t="inlineStr"/>
      <c r="J6550" s="2" t="inlineStr"/>
      <c r="K6550" s="3" t="inlineStr">
        <is>
          <t>Фильм посвящён сотрудничеству советских и американских учёных-физиков в атмосфере «разрядки». Главный герой — американский физик с мировым именем Николас Реннет — едет в СССР. Здесь ему предстоит решить много важных научных и нравственных проблем и встретить большую любовь.
В центре сюжета — взаимоотношения физиков Николаса Реннета и Дмитрия Гончарова, проводящих совместные научные эксперименты в Советском Союзе. Между ними устанавливаются тёплые отношения. Николас, как и Дмитрий (Митя), влюбляется в Валентину Корнилову, которая также участвует в их научной работе. В конце фильма выясняется, что Валентина выходит замуж за Дмитрия. Фильм заканчивается дружеской беседой между главными героями по телефону, когда по телевизору показывают кадры стыковки космических кораблей по программе «Союз — Аполлон».</t>
        </is>
      </c>
      <c r="L6550" s="2" t="inlineStr">
        <is>
          <t>https://ru.wikipedia.org/w/index.php?title=%D0%92%D1%81%D1%82%D1%80%D0%B5%D1%87%D0%B0_%D0%BD%D0%B0_%D0%B4%D0%B0%D0%BB%D1%91%D0%BA%D0%BE%D0%BC_%D0%BC%D0%B5%D1%80%D0%B8%D0%B4%D0%B8%D0%B0%D0%BD%D0%B5_%28%D1%84%D0%B8%D0%BB%D1%8C%D0%BC%29&amp;oldid=150418360</t>
        </is>
      </c>
      <c r="M6550" s="2">
        <f>HYPERLINK("https://ru.wikipedia.org/w/index.php?search=%D0%92%D1%81%D1%82%D1%80%D0%B5%D1%87%D0%B0%20%D0%BD%D0%B0%20%D0%B4%D0%B0%D0%BB%D1%91%D0%BA%D0%BE%D0%BC%20%D0%BC%D0%B5%D1%80%D0%B8%D0%B4%D0%B8%D0%B0%D0%BD%D0%B5%201977%20%D1%84%D0%B8%D0%BB%D1%8C%D0%BC","искать")</f>
        <v/>
      </c>
      <c r="N6550" s="3" t="n"/>
      <c r="O6550" s="2" t="n"/>
      <c r="P6550" s="2" t="n"/>
    </row>
    <row r="6551">
      <c r="A6551" s="2" t="n">
        <v>6550</v>
      </c>
      <c r="B6551" s="2" t="inlineStr"/>
      <c r="C6551" s="2" t="n">
        <v>8305</v>
      </c>
      <c r="D6551" s="3" t="inlineStr">
        <is>
          <t>Свадьба соек</t>
        </is>
      </c>
      <c r="E6551" s="2" t="n">
        <v>1984</v>
      </c>
      <c r="F6551" s="2" t="inlineStr">
        <is>
          <t>телефильм</t>
        </is>
      </c>
      <c r="G6551" s="2" t="n"/>
      <c r="H6551" s="2" t="n">
        <v>810</v>
      </c>
      <c r="I6551" s="2" t="inlineStr"/>
      <c r="J6551" s="2" t="inlineStr"/>
      <c r="K6551" s="3" t="inlineStr">
        <is>
          <t>Парень-сойка Захария и девушка-сойка Кетеван любят друг друга, но отец Кетеван противится их браку. Друзья и подруги влюблённых обращаются к Орлу, царю птиц, который даёт разрешение на свадьбу. Все счастливы и озабочены подготовкой и поисками свата. Филин отказывается, ссылаясь на то, что днём он ничего не видит. Свои услуги свата предлагает пройдоха-ворон, однако он же в итоге и расстраивает свадьбу, намекая жениху на неверность невесты.
Только благодаря вмешательству Орла всё в итоге встаёт на свои места: он понимает, что «Ворон сделал чёрное дело» и всех обманул. Отца Кетеван уговаривают не препятствовать счастью дочери, и все веселятся на свадьбе, устраивая конкурс песен про птиц. Ворон пытается украсть невесту со свадьбы, но его быстро проучают, и в заключение он поёт песню о своём одиночестве.</t>
        </is>
      </c>
      <c r="L6551" s="2" t="inlineStr">
        <is>
          <t>https://ru.wikipedia.org/w/index.php?title=%D0%A1%D0%B2%D0%B0%D0%B4%D1%8C%D0%B1%D0%B0_%D1%81%D0%BE%D0%B5%D0%BA_%28%D1%84%D0%B8%D0%BB%D1%8C%D0%BC%29&amp;oldid=153148804</t>
        </is>
      </c>
      <c r="M6551" s="2">
        <f>HYPERLINK("https://ru.wikipedia.org/w/index.php?search=%D0%A1%D0%B2%D0%B0%D0%B4%D1%8C%D0%B1%D0%B0%20%D1%81%D0%BE%D0%B5%D0%BA%201984%20%D1%84%D0%B8%D0%BB%D1%8C%D0%BC","искать")</f>
        <v/>
      </c>
      <c r="N6551" s="3" t="n"/>
      <c r="O6551" s="2" t="n"/>
      <c r="P6551" s="2" t="n"/>
    </row>
    <row r="6552">
      <c r="A6552" s="2" t="n">
        <v>6551</v>
      </c>
      <c r="B6552" s="2" t="inlineStr"/>
      <c r="C6552" s="2" t="n">
        <v>9018</v>
      </c>
      <c r="D6552" s="3" t="inlineStr">
        <is>
          <t>Родные берега</t>
        </is>
      </c>
      <c r="E6552" s="2" t="n">
        <v>1988</v>
      </c>
      <c r="F6552" s="2" t="inlineStr">
        <is>
          <t>кинофильм</t>
        </is>
      </c>
      <c r="G6552" s="2" t="n"/>
      <c r="H6552" s="2" t="n">
        <v>811</v>
      </c>
      <c r="I6552" s="2" t="inlineStr"/>
      <c r="J6552" s="2" t="inlineStr"/>
      <c r="K6552" s="3" t="inlineStr">
        <is>
          <t>Азербайджан, вторая половина 1980-х годов. В приграничной речке Советский Союз вместе с Ираном строит гидроузел. Воспользовавшись начавшейся в СССР Перестройкой, западные разведки при поддержке иранских военных решают организовать в этом районе шпионскую сеть. Сначала через горный перевал на советскую территорию проникает с помощью проводника Нуру молодой разведчик. Оказывается, этот переход был инсценировкой, чтобы скрыть главного резидента, Кериба. Советские пограничники разгадывают планы противника. Сначала арестовывают Кериба. Нуру вместе с Верзилой удается ускользнуть. Они захватывают в заложницы жену полковника Насибова Зивер. У Зивер есть пистолет, из
которого она ранит Верзилу. Нуру пытается скрыться. Верзила следует за ним, но срывается в пропасть. Подоспевшие пограничники арестовывают Нуру.</t>
        </is>
      </c>
      <c r="L6552" s="2" t="inlineStr">
        <is>
          <t>https://gosfilmofond.ru/films/240902/</t>
        </is>
      </c>
      <c r="M6552" s="2">
        <f>HYPERLINK("https://ru.wikipedia.org/w/index.php?search=%D0%A0%D0%BE%D0%B4%D0%BD%D1%8B%D0%B5%20%D0%B1%D0%B5%D1%80%D0%B5%D0%B3%D0%B0%201988%20%D1%84%D0%B8%D0%BB%D1%8C%D0%BC","искать")</f>
        <v/>
      </c>
      <c r="N6552" s="3" t="n"/>
      <c r="O6552" s="2" t="n"/>
      <c r="P6552" s="2" t="n"/>
    </row>
    <row r="6553">
      <c r="A6553" s="2" t="n">
        <v>6552</v>
      </c>
      <c r="B6553" s="2" t="inlineStr"/>
      <c r="C6553" s="2" t="n">
        <v>9842</v>
      </c>
      <c r="D6553" s="3" t="inlineStr">
        <is>
          <t>Стюардесса</t>
        </is>
      </c>
      <c r="E6553" s="2" t="n">
        <v>1967</v>
      </c>
      <c r="F6553" s="2" t="inlineStr">
        <is>
          <t>телефильм</t>
        </is>
      </c>
      <c r="G6553" s="2" t="inlineStr">
        <is>
          <t>ТО "Телефильм"</t>
        </is>
      </c>
      <c r="H6553" s="2" t="n">
        <v>811</v>
      </c>
      <c r="I6553" s="2" t="inlineStr"/>
      <c r="J6553" s="2" t="inlineStr"/>
      <c r="K6553" s="3" t="inlineStr">
        <is>
          <t>Фильм рассказывает о стюардессе, которая обслуживает пассажиров на самолёте, летящем на Крайний Север. Пассажиры самые разные: одни излишне требовательные и навязчивые, другие же более спокойные. Среди последних есть и сценарист, с которым у стюардессы складываются наиболее доверительные отношения. Она рассказывает ему, что была младшей научной сотрудницей, выпускницей библиотечного института, но перешла в авиацию ради того, чтобы видеться со своим возлюбленным, который работает на Севере в геологической экспедиции. Ей тяжело даётся эта работа, её укачивает, донимают пассажиры, но ради своей цели она готова стерпеть эти невзгоды. Она видится с ним несколько минут, после чего возвращается к работе, надеясь на то, что она вместе с ним через два года, когда экспедиция закончится, будут вместе постоянно.</t>
        </is>
      </c>
      <c r="L6553" s="2" t="inlineStr">
        <is>
          <t>https://ru.wikipedia.org/w/index.php?title=%D0%A1%D1%82%D1%8E%D0%B0%D1%80%D0%B4%D0%B5%D1%81%D1%81%D0%B0_%28%D1%84%D0%B8%D0%BB%D1%8C%D0%BC%29&amp;oldid=150189667</t>
        </is>
      </c>
      <c r="M6553" s="2">
        <f>HYPERLINK("https://ru.wikipedia.org/w/index.php?search=%D0%A1%D1%82%D1%8E%D0%B0%D1%80%D0%B4%D0%B5%D1%81%D1%81%D0%B0%201967%20%D1%84%D0%B8%D0%BB%D1%8C%D0%BC","искать")</f>
        <v/>
      </c>
      <c r="N6553" s="3" t="n"/>
      <c r="O6553" s="2" t="n"/>
      <c r="P6553" s="2" t="n"/>
    </row>
    <row r="6554">
      <c r="A6554" s="2" t="n">
        <v>6553</v>
      </c>
      <c r="B6554" s="2" t="inlineStr"/>
      <c r="C6554" s="2" t="n">
        <v>9743</v>
      </c>
      <c r="D6554" s="3" t="inlineStr">
        <is>
          <t>Час полнолуния</t>
        </is>
      </c>
      <c r="E6554" s="2" t="n">
        <v>1988</v>
      </c>
      <c r="F6554" s="2" t="inlineStr">
        <is>
          <t>кинофильм</t>
        </is>
      </c>
      <c r="G6554" s="2" t="n"/>
      <c r="H6554" s="2" t="n">
        <v>812</v>
      </c>
      <c r="I6554" s="2" t="inlineStr"/>
      <c r="J6554" s="2" t="inlineStr"/>
      <c r="K6554" s="3" t="inlineStr">
        <is>
          <t>Начало XVII века. Для искоренения язычества в Литву прибывает монах-иезуит, фанатично приступающий к насаждению христианства, но дочь местного ксендза Пима — молодая девушка, привержена старым обрядам и сама как само воплощение языческой стихии. Борьба монаха за установление новой веры становится борьбой с собой — некогда давший обет безбрачия он становится одержим страстью и ненавистью к инакомыслящей красавице…
Свободолюбивая язычница в «Часе полнолуния» противостоит иезуиту, который прибыл в Литву по поручению Ватикана, чтобы превратить непокорную страну в плацдарм для распространения христианства дальше, на Восток. Драматургический узел завязывается в пограничном замке, где из-за чумы застревают миссионер и сопровождающая его княжеская чета. В столкновении двух идеологий фанатизм терпит поражение.</t>
        </is>
      </c>
      <c r="L6554" s="2" t="inlineStr">
        <is>
          <t>https://ru.wikipedia.org/w/index.php?title=%D0%A7%D0%B0%D1%81_%D0%BF%D0%BE%D0%BB%D0%BD%D0%BE%D0%BB%D1%83%D0%BD%D0%B8%D1%8F&amp;oldid=154711420</t>
        </is>
      </c>
      <c r="M6554" s="2">
        <f>HYPERLINK("https://ru.wikipedia.org/w/index.php?search=%D0%A7%D0%B0%D1%81%20%D0%BF%D0%BE%D0%BB%D0%BD%D0%BE%D0%BB%D1%83%D0%BD%D0%B8%D1%8F%201988%20%D1%84%D0%B8%D0%BB%D1%8C%D0%BC","искать")</f>
        <v/>
      </c>
      <c r="N6554" s="3" t="n"/>
      <c r="O6554" s="2" t="n"/>
      <c r="P6554" s="2" t="n"/>
    </row>
    <row r="6555">
      <c r="A6555" s="2" t="n">
        <v>6554</v>
      </c>
      <c r="B6555" s="2" t="inlineStr"/>
      <c r="C6555" s="2" t="n">
        <v>9470</v>
      </c>
      <c r="D6555" s="3" t="inlineStr">
        <is>
          <t>Мерзавец</t>
        </is>
      </c>
      <c r="E6555" s="2" t="n">
        <v>1988</v>
      </c>
      <c r="F6555" s="2" t="inlineStr">
        <is>
          <t>кинофильм</t>
        </is>
      </c>
      <c r="G6555" s="2" t="n"/>
      <c r="H6555" s="2" t="n">
        <v>813</v>
      </c>
      <c r="I6555" s="2" t="inlineStr"/>
      <c r="J6555" s="2" t="inlineStr"/>
      <c r="K6555" s="3" t="inlineStr">
        <is>
          <t>Главный герой картины — Хаттам работает на сувенирной фабрике. Наивный, добродушный, доверчивый, за это над ним насмехаются окружающие. Хаттам видит что происходит вокруг, видит что подрядчик распродаёт ворованные стройматериалы, что шофёр министра пользуется именем своего шефа для того, чтобы проворачивать свои тёмные делишки. Желая избавиться от насмешек и амплуа неудачника, Хаттам в короткий срок делает головокружительную карьеру — от рабочего до директора сувенирной фабрики.
Вскоре выясняется, как может деформироваться человеческая личность под влиянием окружающих. Герой картины становится жестоким и заходит очень далеко — чем дальше он заходит, тем труднее становится его остановить. Общество превратило доброго, наивного и добродушного человека в эдакого монстра, продукта деградировавшего общества.</t>
        </is>
      </c>
      <c r="L6555" s="2" t="inlineStr">
        <is>
          <t>https://ru.wikipedia.org/w/index.php?title=%D0%9C%D0%B5%D1%80%D0%B7%D0%B0%D0%B2%D0%B5%D1%86_%28%D1%84%D0%B8%D0%BB%D1%8C%D0%BC%2C_1988%29&amp;oldid=154699583</t>
        </is>
      </c>
      <c r="M6555" s="2">
        <f>HYPERLINK("https://ru.wikipedia.org/w/index.php?search=%D0%9C%D0%B5%D1%80%D0%B7%D0%B0%D0%B2%D0%B5%D1%86%201988%20%D1%84%D0%B8%D0%BB%D1%8C%D0%BC","искать")</f>
        <v/>
      </c>
      <c r="N6555" s="3" t="n"/>
      <c r="O6555" s="2" t="n"/>
      <c r="P6555" s="2" t="n"/>
    </row>
    <row r="6556">
      <c r="A6556" s="2" t="n">
        <v>6555</v>
      </c>
      <c r="B6556" s="2" t="inlineStr"/>
      <c r="C6556" s="2" t="n">
        <v>10157</v>
      </c>
      <c r="D6556" s="3" t="inlineStr">
        <is>
          <t>Тяпа, Ляпа и Жаконя</t>
        </is>
      </c>
      <c r="E6556" s="2" t="n">
        <v>1965</v>
      </c>
      <c r="F6556" s="2" t="inlineStr">
        <is>
          <t>фильм-спектакль</t>
        </is>
      </c>
      <c r="G6556" s="2" t="inlineStr">
        <is>
          <t>Ленинградское телевидение</t>
        </is>
      </c>
      <c r="H6556" s="2" t="n">
        <v>813</v>
      </c>
      <c r="I6556" s="2" t="inlineStr"/>
      <c r="J6556" s="2" t="inlineStr"/>
      <c r="K6556" s="3" t="inlineStr">
        <is>
          <t>Телепередача для малышей, выходившая на телеэкраны в конце 60-х - начале 70-х годов. Главный персонаж - обезьянка Жаконя, неутомимый выдумщик и проказник. Именно он все время вдохновляет двух наивных и немножко неловких братьев-медвежат - Тяпу и Ляпу, которые ему полностью доверяют и всегда помогают, потому что уверены, что "Жаконя знает все", ведь он сам так говорит. Но обычно эти проделки Жакони заканчиваются тем, что "всезнайка" и медвежата попадают впросак. К счастью, у них есть еще один друг - мальчик Телевичок, очень начитанный и талантливый. Он всегда приходит на помощь и выручает их из неловкой ситуации, объясняя, как сделать все правильно. Спектакли с этими кукольными персонажами появились в эфире раньше передачи "Спокойной ночи, малыши!" и многие годы радовали миллионы маленьких телезрителей.</t>
        </is>
      </c>
      <c r="L6556" s="2" t="inlineStr">
        <is>
          <t>https://www.kino-teatr.ru/teatr/movie/104399/annot/</t>
        </is>
      </c>
      <c r="M6556" s="2">
        <f>HYPERLINK("https://ru.wikipedia.org/w/index.php?search=%D0%A2%D1%8F%D0%BF%D0%B0%2C%20%D0%9B%D1%8F%D0%BF%D0%B0%20%D0%B8%20%D0%96%D0%B0%D0%BA%D0%BE%D0%BD%D1%8F%201965%20%D1%84%D0%B8%D0%BB%D1%8C%D0%BC","искать")</f>
        <v/>
      </c>
      <c r="N6556" s="3" t="n"/>
      <c r="O6556" s="2" t="n"/>
      <c r="P6556" s="2" t="n"/>
    </row>
    <row r="6557">
      <c r="A6557" s="2" t="n">
        <v>6556</v>
      </c>
      <c r="B6557" s="2" t="inlineStr"/>
      <c r="C6557" s="2" t="n">
        <v>7854</v>
      </c>
      <c r="D6557" s="3" t="inlineStr">
        <is>
          <t>Мастер</t>
        </is>
      </c>
      <c r="E6557" s="2" t="n">
        <v>1976</v>
      </c>
      <c r="F6557" s="2" t="inlineStr">
        <is>
          <t>телефильм</t>
        </is>
      </c>
      <c r="G6557" s="2" t="n"/>
      <c r="H6557" s="2" t="n">
        <v>814</v>
      </c>
      <c r="I6557" s="2" t="inlineStr"/>
      <c r="J6557" s="2" t="inlineStr"/>
      <c r="K6557" s="3" t="inlineStr">
        <is>
          <t>Артур Скруве после службы в армии вернулся на завод, где работал раньше. Дисциплинированного и трудолюбивого юношу тепло встретили на старом месте работы и назначили мастером на сборочном участке.
Вскоре Артур понимает, что начальник цеха закрывает глаза на мелкие нарушения, но требует беспрекословной сверхурочной работы для выпуска сверхплановой продукции. Такое положение выгодно небольшой группе рабочих, называющих себя «активом», но мешает нормальной жизни бригады.
Артур с помощью товарищей идёт на серьёзный конфликт с начальством. Он добивается усиления трудовой дисциплины и отказывается от двойной морали. По его мнению, не должно быть размытого планового задания. Молодой мастер требует качественной работы в отведённое для этого время и ведёт борьбу с порочной практикой авральной работы вне графика.</t>
        </is>
      </c>
      <c r="L6557" s="2" t="inlineStr">
        <is>
          <t>https://ru.wikipedia.org/w/index.php?title=%D0%9C%D0%B0%D1%81%D1%82%D0%B5%D1%80_%28%D1%84%D0%B8%D0%BB%D1%8C%D0%BC%2C_1976%29&amp;oldid=152944180</t>
        </is>
      </c>
      <c r="M6557" s="2">
        <f>HYPERLINK("https://ru.wikipedia.org/w/index.php?search=%D0%9C%D0%B0%D1%81%D1%82%D0%B5%D1%80%201976%20%D1%84%D0%B8%D0%BB%D1%8C%D0%BC","искать")</f>
        <v/>
      </c>
      <c r="N6557" s="3" t="n"/>
      <c r="O6557" s="2" t="n"/>
      <c r="P6557" s="2" t="n"/>
    </row>
    <row r="6558">
      <c r="A6558" s="2" t="n">
        <v>6557</v>
      </c>
      <c r="B6558" s="2" t="inlineStr"/>
      <c r="C6558" s="2" t="n">
        <v>11114</v>
      </c>
      <c r="D6558" s="3" t="inlineStr">
        <is>
          <t>Лунин, или смерть Жака</t>
        </is>
      </c>
      <c r="E6558" s="2" t="n">
        <v>1986</v>
      </c>
      <c r="F6558" s="2" t="inlineStr">
        <is>
          <t>фильм-спектакль</t>
        </is>
      </c>
      <c r="G6558" s="2" t="inlineStr">
        <is>
          <t>Творческое объединение "Экран"</t>
        </is>
      </c>
      <c r="H6558" s="2" t="n">
        <v>814</v>
      </c>
      <c r="I6558" s="2" t="inlineStr"/>
      <c r="J6558" s="2" t="inlineStr"/>
      <c r="K6558" s="3" t="inlineStr">
        <is>
          <t>По одноименной пьесе Эдварда Радзинского в постановке Московского драматического театра на Малой Бронной.
Исповедь главного героя - декабриста Михаила Сергеевича Лунина.
Стены Акатуйской тюрьмы, где Лунин провел свои последние дни. Но тут же присутствует и другой мир - прежний мир Лунина. Он - в воспоминаниях, в фантазиях...
Спектакль начинается с последнего дня жизни Лунина. Именно в этот день ему предстоит подвести последнюю черту прожитому, сделать вывод. Множество проблем, множество мучительных вопросов декабристского движения. Но для Лунина это не холодная теория. Это его жизнь. И ему нужно понять главное, ответить на главный вопрос: прав ли он, правы ли те, с кем он был? И Лунин отвечает на этот вопрос - он остается Жаком русской революции, Жаком, который не сложил оружие до последнего своего дня.</t>
        </is>
      </c>
      <c r="L6558" s="2" t="inlineStr">
        <is>
          <t>https://www.kino-teatr.ru/teatr/movie/82987/annot/</t>
        </is>
      </c>
      <c r="M6558" s="2">
        <f>HYPERLINK("https://ru.wikipedia.org/w/index.php?search=%D0%9B%D1%83%D0%BD%D0%B8%D0%BD%2C%20%D0%B8%D0%BB%D0%B8%20%D1%81%D0%BC%D0%B5%D1%80%D1%82%D1%8C%20%D0%96%D0%B0%D0%BA%D0%B0%201986%20%D1%84%D0%B8%D0%BB%D1%8C%D0%BC","искать")</f>
        <v/>
      </c>
      <c r="N6558" s="3" t="n"/>
      <c r="O6558" s="2" t="n"/>
      <c r="P6558" s="2" t="n"/>
    </row>
    <row r="6559">
      <c r="A6559" s="2" t="n">
        <v>6558</v>
      </c>
      <c r="B6559" s="2" t="inlineStr"/>
      <c r="C6559" s="2" t="n">
        <v>7693</v>
      </c>
      <c r="D6559" s="3" t="inlineStr">
        <is>
          <t>К кому залетел певчий кенар</t>
        </is>
      </c>
      <c r="E6559" s="2" t="n">
        <v>1980</v>
      </c>
      <c r="F6559" s="2" t="inlineStr">
        <is>
          <t>телефильм</t>
        </is>
      </c>
      <c r="G6559" s="2" t="n"/>
      <c r="H6559" s="2" t="n">
        <v>815</v>
      </c>
      <c r="I6559" s="2" t="inlineStr"/>
      <c r="J6559" s="2" t="inlineStr"/>
      <c r="K6559" s="3" t="inlineStr">
        <is>
          <t>Володя, не сумевший поступить в политехнический институт, работает над монтажом модели искусственной почки на заводе медицинского оборудования. Не всё ему пока удаётся как в работе, так и в личной жизни — он ухаживает за коллегой, которая не стесняется пользоваться его услугами в бытовых вопросах, оказывая при этом предпочтение его более удачливому сопернику. В свою очередь, в Володю бескорыстно влюблена соседка-старшекласница Маринка, внимание которой он не принимает всерьёз. Приехавшая погостить мама Володи расстроена его неудачами. Волей обстоятельств Володя знакомится с мальчиком Серёжей, от которого улетел певчий кенар Максим Максимыч, и даёт ему обещание принести птицу, которая якобы залетела в его окно. В день, когда он неожиданно встречает Серёжу ещё раз, многое в его жизни начинает налаживаться.</t>
        </is>
      </c>
      <c r="L6559" s="2" t="inlineStr">
        <is>
          <t>https://ru.wikipedia.org/w/index.php?title=%D0%9A_%D0%BA%D0%BE%D0%BC%D1%83_%D0%B7%D0%B0%D0%BB%D0%B5%D1%82%D0%B5%D0%BB_%D0%BF%D0%B5%D0%B2%D1%87%D0%B8%D0%B9_%D0%BA%D0%B5%D0%BD%D0%B0%D1%80&amp;oldid=154560958</t>
        </is>
      </c>
      <c r="M6559" s="2">
        <f>HYPERLINK("https://ru.wikipedia.org/w/index.php?search=%D0%9A%20%D0%BA%D0%BE%D0%BC%D1%83%20%D0%B7%D0%B0%D0%BB%D0%B5%D1%82%D0%B5%D0%BB%20%D0%BF%D0%B5%D0%B2%D1%87%D0%B8%D0%B9%20%D0%BA%D0%B5%D0%BD%D0%B0%D1%80%201980%20%D1%84%D0%B8%D0%BB%D1%8C%D0%BC","искать")</f>
        <v/>
      </c>
      <c r="N6559" s="3" t="n"/>
      <c r="O6559" s="2" t="n"/>
      <c r="P6559" s="2" t="n"/>
    </row>
    <row r="6560">
      <c r="A6560" s="2" t="n">
        <v>6559</v>
      </c>
      <c r="B6560" s="2" t="inlineStr"/>
      <c r="C6560" s="2" t="n">
        <v>7760</v>
      </c>
      <c r="D6560" s="3" t="inlineStr">
        <is>
          <t>Кража</t>
        </is>
      </c>
      <c r="E6560" s="2" t="n">
        <v>1982</v>
      </c>
      <c r="F6560" s="2" t="inlineStr">
        <is>
          <t>телефильм</t>
        </is>
      </c>
      <c r="G6560" s="2" t="n"/>
      <c r="H6560" s="2" t="n">
        <v>815</v>
      </c>
      <c r="I6560" s="2" t="inlineStr"/>
      <c r="J6560" s="2" t="inlineStr"/>
      <c r="K6560" s="3" t="inlineStr">
        <is>
          <t>Действие происходит в США в 1910 году. Говард Нокс, известный социалистическими взглядами, собирается выступить с речью, обличающей финансового магната Старкуэтера. Конкурентам Старкуэтера удалось выкрасть и передать Ноксу тайную переписку, раскрывающую финансовые махинации Старкуэтера.
Однако за день до выступления Нокса помощник Старкуэтера Хоббард крадёт компрометирующие бумаги из номера отеля, где остановился Нокс. О краже узнает дочь Старкуэтера Маргарет Чалмерс. Ей уже давно надоел муж, марионетка в руках её могущественного отца, да и сама жизнь за фасадом добропорядочной буржуазной семьи.
Маргарет привлекает незаурядная личность Говарда Нокса, которого она сравнивает с Авраамом Линкольном. Чтобы помочь Ноксу, она крадёт документы из кабинета отца и готова пройти через унижения ради любви и истины.</t>
        </is>
      </c>
      <c r="L6560" s="2" t="inlineStr">
        <is>
          <t>https://ru.wikipedia.org/w/index.php?title=%D0%9A%D1%80%D0%B0%D0%B6%D0%B0_%28%D1%84%D0%B8%D0%BB%D1%8C%D0%BC%2C_1982%29&amp;oldid=152285084</t>
        </is>
      </c>
      <c r="M6560" s="2">
        <f>HYPERLINK("https://ru.wikipedia.org/w/index.php?search=%D0%9A%D1%80%D0%B0%D0%B6%D0%B0%201982%20%D1%84%D0%B8%D0%BB%D1%8C%D0%BC","искать")</f>
        <v/>
      </c>
      <c r="N6560" s="3" t="n"/>
      <c r="O6560" s="2" t="n"/>
      <c r="P6560" s="2" t="n"/>
    </row>
    <row r="6561">
      <c r="A6561" s="2" t="n">
        <v>6560</v>
      </c>
      <c r="B6561" s="2" t="inlineStr"/>
      <c r="C6561" s="2" t="n">
        <v>8596</v>
      </c>
      <c r="D6561" s="3" t="inlineStr">
        <is>
          <t>Это было в Коканде</t>
        </is>
      </c>
      <c r="E6561" s="2" t="n">
        <v>1977</v>
      </c>
      <c r="F6561" s="2" t="inlineStr">
        <is>
          <t>телефильм</t>
        </is>
      </c>
      <c r="G6561" s="2" t="n"/>
      <c r="H6561" s="2" t="n">
        <v>815</v>
      </c>
      <c r="I6561" s="2" t="inlineStr"/>
      <c r="J6561" s="2" t="inlineStr"/>
      <c r="K6561" s="3" t="inlineStr">
        <is>
          <t>Фильм повествует о становлении Советской власти в Ферганской долине, действие его происходит в 1918—1921 годах. Кокандский мятеж 1918 года, его подавление, ликвидация Кокандской автономии и последующая борьба с басмачеством — на фоне этих исторических событий и развиваются судьбы главных героев.
Юсуп проходит путь от мальчика-раба до красного командира. Таким же красным командиром становится и Лихолетов, начинавший службу в Красной армии рядовым бойцом. Джаббар, бывший главарём басмаческой банды, переходит на сторону большевиков, а бывший офицер Зайченко, совершив предательство во время Кокандского мятежа, окончательно деградирует и идёт в услужение к басмачам и британской разведке.
Весьма колоритен другой главарь басмаческих банд, Иргаш, которого в финале фильма берёт в плен его бывший соратник Джаббар.</t>
        </is>
      </c>
      <c r="L6561" s="2" t="inlineStr">
        <is>
          <t>https://ru.wikipedia.org/w/index.php?title=%D0%AD%D1%82%D0%BE_%D0%B1%D1%8B%D0%BB%D0%BE_%D0%B2_%D0%9A%D0%BE%D0%BA%D0%B0%D0%BD%D0%B4%D0%B5_%28%D1%84%D0%B8%D0%BB%D1%8C%D0%BC%29&amp;oldid=154712682</t>
        </is>
      </c>
      <c r="M6561" s="2">
        <f>HYPERLINK("https://ru.wikipedia.org/w/index.php?search=%D0%AD%D1%82%D0%BE%20%D0%B1%D1%8B%D0%BB%D0%BE%20%D0%B2%20%D0%9A%D0%BE%D0%BA%D0%B0%D0%BD%D0%B4%D0%B5%201977%20%D1%84%D0%B8%D0%BB%D1%8C%D0%BC","искать")</f>
        <v/>
      </c>
      <c r="N6561" s="3" t="n"/>
      <c r="O6561" s="2" t="n"/>
      <c r="P6561" s="2" t="n"/>
    </row>
    <row r="6562">
      <c r="A6562" s="2" t="n">
        <v>6561</v>
      </c>
      <c r="B6562" s="2" t="inlineStr"/>
      <c r="C6562" s="2" t="n">
        <v>9320</v>
      </c>
      <c r="D6562" s="3" t="inlineStr">
        <is>
          <t>Дайте жалобную книгу</t>
        </is>
      </c>
      <c r="E6562" s="2" t="n">
        <v>1965</v>
      </c>
      <c r="F6562" s="2" t="inlineStr">
        <is>
          <t>кинофильм</t>
        </is>
      </c>
      <c r="G6562" s="2" t="n"/>
      <c r="H6562" s="2" t="n">
        <v>818</v>
      </c>
      <c r="I6562" s="2" t="inlineStr"/>
      <c r="J6562" s="2" t="inlineStr"/>
      <c r="K6562" s="3" t="inlineStr">
        <is>
          <t>В Москве работает ресторан «Одуванчик», который пользуется у посетителей дурной славой. Персонал хамит и нерадиво обслуживает клиентов, кругом пыль и грязь, кухня отвратительна, жалобная книга всегда «занята».
И всё бы так и осталось, если бы в это злополучное место не пришёл журналист газеты «Юность» Никитин (Олег Борисов) и его коллеги. Столкнувшись с ужасным обслуживанием и к тому же по недоразумению попав в милицию, Никитин решил написать фельетон об этом ресторане. Статья получает серьёзный общественный резонанс.
Впоследствии сам Никитин влюбляется в директора этого ресторана — миловидную молодую женщину, Татьяну Александровну Шумову (Лариса Голубкина), и помогает ей переоборудовать старомодный ресторан в современное молодёжное кафе. В итоге, пройдя все перипетии бюрократизма, они достигают своей цели.</t>
        </is>
      </c>
      <c r="L6562" s="2" t="inlineStr">
        <is>
          <t>https://ru.wikipedia.org/w/index.php?title=%D0%94%D0%B0%D0%B9%D1%82%D0%B5_%D0%B6%D0%B0%D0%BB%D0%BE%D0%B1%D0%BD%D1%83%D1%8E_%D0%BA%D0%BD%D0%B8%D0%B3%D1%83&amp;oldid=151464679</t>
        </is>
      </c>
      <c r="M6562" s="2">
        <f>HYPERLINK("https://ru.wikipedia.org/w/index.php?search=%D0%94%D0%B0%D0%B9%D1%82%D0%B5%20%D0%B6%D0%B0%D0%BB%D0%BE%D0%B1%D0%BD%D1%83%D1%8E%20%D0%BA%D0%BD%D0%B8%D0%B3%D1%83%201965%20%D1%84%D0%B8%D0%BB%D1%8C%D0%BC","искать")</f>
        <v/>
      </c>
      <c r="N6562" s="3" t="n"/>
      <c r="O6562" s="2" t="n"/>
      <c r="P6562" s="2" t="n"/>
    </row>
    <row r="6563">
      <c r="A6563" s="2" t="n">
        <v>6562</v>
      </c>
      <c r="B6563" s="2" t="inlineStr"/>
      <c r="C6563" s="2" t="n">
        <v>10292</v>
      </c>
      <c r="D6563" s="3" t="inlineStr">
        <is>
          <t>Бедность не порок</t>
        </is>
      </c>
      <c r="E6563" s="2" t="n">
        <v>1969</v>
      </c>
      <c r="F6563" s="2" t="inlineStr">
        <is>
          <t>фильм-спектакль</t>
        </is>
      </c>
      <c r="G6563" s="2" t="inlineStr">
        <is>
          <t>Центральное телевидение</t>
        </is>
      </c>
      <c r="H6563" s="2" t="n">
        <v>821</v>
      </c>
      <c r="I6563" s="2" t="inlineStr"/>
      <c r="J6563" s="2" t="inlineStr"/>
      <c r="K6563" s="3" t="inlineStr">
        <is>
          <t>По одноименной пьесе А.Н. Островского с участием актеров Государственного академического Малого театра.
Действие происходит в уездном городе, во время Святок, в доме купца Гордея Торцова, который на отцовом наследстве нажил капитал. Он сильно горд, русский обычай отринул, всему иностранному поклоняется. Есть у него дочь-красавица, в нее влюблен приказчик Митя - хороший, да бедный, а отец хочет выдать за богатого - пусть старого и недоброго, зато столичного. И свадьбу уже почти сладили.
Но тут появляется брат Гордея - Любим Торцов, который хоть и прокутил свою долю наследства, да теперь пьянствует и побирается, но зато живет по правде сердца. Младший брат приходит и чудом разоблачает своего брата. Гордей Торцов опозорен и сгоряча обещает дочь за первого встречного отдать - да вот хоть за Митю. Счастливый финал!</t>
        </is>
      </c>
      <c r="L6563" s="2" t="inlineStr">
        <is>
          <t>https://www.kino-teatr.ru/teatr/movie/92981/annot/</t>
        </is>
      </c>
      <c r="M6563" s="2">
        <f>HYPERLINK("https://ru.wikipedia.org/w/index.php?search=%D0%91%D0%B5%D0%B4%D0%BD%D0%BE%D1%81%D1%82%D1%8C%20%D0%BD%D0%B5%20%D0%BF%D0%BE%D1%80%D0%BE%D0%BA%201969%20%D1%84%D0%B8%D0%BB%D1%8C%D0%BC","искать")</f>
        <v/>
      </c>
      <c r="N6563" s="3" t="n"/>
      <c r="O6563" s="2" t="n"/>
      <c r="P6563" s="2" t="n"/>
    </row>
    <row r="6564">
      <c r="A6564" s="2" t="n">
        <v>6563</v>
      </c>
      <c r="B6564" s="2" t="inlineStr"/>
      <c r="C6564" s="2" t="n">
        <v>8202</v>
      </c>
      <c r="D6564" s="3" t="inlineStr">
        <is>
          <t>Приключения в городе, которого нет</t>
        </is>
      </c>
      <c r="E6564" s="2" t="n">
        <v>1974</v>
      </c>
      <c r="F6564" s="2" t="inlineStr">
        <is>
          <t>телефильм</t>
        </is>
      </c>
      <c r="G6564" s="2" t="inlineStr">
        <is>
          <t>Беларусьфильм</t>
        </is>
      </c>
      <c r="H6564" s="2" t="n">
        <v>822</v>
      </c>
      <c r="I6564" s="2" t="inlineStr"/>
      <c r="J6564" s="2" t="inlineStr"/>
      <c r="K6564" s="3" t="inlineStr">
        <is>
          <t>Пионер Слава Курочкин мечтает о космосе. Он активно изучает физику и астрономию, но при этом совсем не читает художественную литературу. По стечению обстоятельств он попадает в сказочный город, где живут герои самых известных книг: «Снежная королева», «Тимур и его команда», «Белеет парус одинокий», «Отверженные», «Остров сокровищ» и так далее.
Но в городе живут не только положительные персонажи — Коммерции Советник из пьесы «Снежная королева» решает воспользоваться Славиным незнанием книг, чтобы «выдавать чёрное — за белое, белое — за чёрное…» и с помощью других отрицательных персонажей подчинить себе читателей по всему миру. На помощь мальчику приходят положительные герои, и вместе с друзьями Славе удаётся справиться с Советником и его приспешниками. Возвращаясь в реальный мир, Слава отправляется в библиотеку.</t>
        </is>
      </c>
      <c r="L6564" s="2" t="inlineStr">
        <is>
          <t>https://ru.wikipedia.org/w/index.php?title=%D0%9F%D1%80%D0%B8%D0%BA%D0%BB%D1%8E%D1%87%D0%B5%D0%BD%D0%B8%D1%8F_%D0%B2_%D0%B3%D0%BE%D1%80%D0%BE%D0%B4%D0%B5%2C_%D0%BA%D0%BE%D1%82%D0%BE%D1%80%D0%BE%D0%B3%D0%BE_%D0%BD%D0%B5%D1%82&amp;oldid=153700781</t>
        </is>
      </c>
      <c r="M6564" s="2">
        <f>HYPERLINK("https://ru.wikipedia.org/w/index.php?search=%D0%9F%D1%80%D0%B8%D0%BA%D0%BB%D1%8E%D1%87%D0%B5%D0%BD%D0%B8%D1%8F%20%D0%B2%20%D0%B3%D0%BE%D1%80%D0%BE%D0%B4%D0%B5%2C%20%D0%BA%D0%BE%D1%82%D0%BE%D1%80%D0%BE%D0%B3%D0%BE%20%D0%BD%D0%B5%D1%82%201974%20%D1%84%D0%B8%D0%BB%D1%8C%D0%BC","искать")</f>
        <v/>
      </c>
      <c r="N6564" s="3" t="n"/>
      <c r="O6564" s="2" t="n"/>
      <c r="P6564" s="2" t="n"/>
    </row>
    <row r="6565">
      <c r="A6565" s="2" t="n">
        <v>6564</v>
      </c>
      <c r="B6565" s="2" t="inlineStr"/>
      <c r="C6565" s="2" t="n">
        <v>10486</v>
      </c>
      <c r="D6565" s="3" t="inlineStr">
        <is>
          <t>Божественная комедия</t>
        </is>
      </c>
      <c r="E6565" s="2" t="n">
        <v>1973</v>
      </c>
      <c r="F6565" s="2" t="inlineStr">
        <is>
          <t>фильм-спектакль</t>
        </is>
      </c>
      <c r="G6565" s="2" t="inlineStr">
        <is>
          <t>ГАЦТК под руководством С. Образцова</t>
        </is>
      </c>
      <c r="H6565" s="2" t="n">
        <v>825</v>
      </c>
      <c r="I6565" s="2" t="inlineStr"/>
      <c r="J6565" s="2" t="inlineStr"/>
      <c r="K6565" s="3" t="inlineStr">
        <is>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 И уж конечно, не появился бы и это спектакль.
"Божественная комедия" не имеет никакого отношения к бессмертному произведению Данте. Ее написал советский драматург Исидор Шток. Тема была подсказана серией веселых рисунков французского художника Жана Эффеля под названием "Сотворение мира". Эффель по-своему, остроумно и озорно, пересказал библейскую версию сотворения мира.</t>
        </is>
      </c>
      <c r="L6565" s="2" t="inlineStr">
        <is>
          <t>https://www.kino-teatr.ru/teatr/movie/14598/annot/</t>
        </is>
      </c>
      <c r="M6565" s="2">
        <f>HYPERLINK("https://ru.wikipedia.org/w/index.php?search=%D0%91%D0%BE%D0%B6%D0%B5%D1%81%D1%82%D0%B2%D0%B5%D0%BD%D0%BD%D0%B0%D1%8F%20%D0%BA%D0%BE%D0%BC%D0%B5%D0%B4%D0%B8%D1%8F%201973%20%D1%84%D0%B8%D0%BB%D1%8C%D0%BC","искать")</f>
        <v/>
      </c>
      <c r="N6565" s="3" t="n"/>
      <c r="O6565" s="2" t="n"/>
      <c r="P6565" s="2" t="n"/>
    </row>
    <row r="6566">
      <c r="A6566" s="2" t="n">
        <v>6565</v>
      </c>
      <c r="B6566" s="2" t="inlineStr"/>
      <c r="C6566" s="2" t="n">
        <v>7851</v>
      </c>
      <c r="D6566" s="3" t="inlineStr">
        <is>
          <t>Марк Твен против...</t>
        </is>
      </c>
      <c r="E6566" s="2" t="n">
        <v>1976</v>
      </c>
      <c r="F6566" s="2" t="inlineStr">
        <is>
          <t>телефильм</t>
        </is>
      </c>
      <c r="G6566" s="2" t="n"/>
      <c r="H6566" s="2" t="n">
        <v>826</v>
      </c>
      <c r="I6566" s="2" t="inlineStr"/>
      <c r="J6566" s="2" t="inlineStr"/>
      <c r="K6566" s="3" t="inlineStr">
        <is>
          <t>Нью-Йорк, 1860-е годы. Когда лоцманские сбережения Сэма истощились, он устроился корреспондентом в бульварную газету нравов. Вскоре в городе золотоискателей Вирджиния-Сити стали печататься искромётные статьи, подписанные псевдонимом Марк Твен, которые пользовались огромной популярностью, но были весьма опасны для их автора, так как в них высмеивались пороки всесильных отцов города.
Действие фильма проходит в двух временных пластах, решённых в разных стилях: от биографических и квазибиографических (основанных на рассказах Твена) эпизодов-флэшбэков о работе Твена-журналиста, снятых в эксцентрическом ключе, повествование возвращается в рабочий день пожилого писателя, рассыпающего свои знаменитые иронические афоризмы, но погружённого в печальные раздумья о несовершенстве общества и преступной безответственности прессы.</t>
        </is>
      </c>
      <c r="L6566" s="2" t="inlineStr">
        <is>
          <t>https://ru.wikipedia.org/w/index.php?title=%D0%9C%D0%B0%D1%80%D0%BA_%D0%A2%D0%B2%D0%B5%D0%BD_%D0%BF%D1%80%D0%BE%D1%82%D0%B8%D0%B2%E2%80%A6&amp;oldid=154587243</t>
        </is>
      </c>
      <c r="M6566" s="2">
        <f>HYPERLINK("https://ru.wikipedia.org/w/index.php?search=%D0%9C%D0%B0%D1%80%D0%BA%20%D0%A2%D0%B2%D0%B5%D0%BD%20%D0%BF%D1%80%D0%BE%D1%82%D0%B8%D0%B2...%201976%20%D1%84%D0%B8%D0%BB%D1%8C%D0%BC","искать")</f>
        <v/>
      </c>
      <c r="N6566" s="3" t="n"/>
      <c r="O6566" s="2" t="n"/>
      <c r="P6566" s="2" t="n"/>
    </row>
    <row r="6567">
      <c r="A6567" s="2" t="n">
        <v>6566</v>
      </c>
      <c r="B6567" s="2" t="inlineStr"/>
      <c r="C6567" s="2" t="n">
        <v>9079</v>
      </c>
      <c r="D6567" s="3" t="inlineStr">
        <is>
          <t>Сфинкс</t>
        </is>
      </c>
      <c r="E6567" s="2" t="n">
        <v>1990</v>
      </c>
      <c r="F6567" s="2" t="inlineStr">
        <is>
          <t>кинофильм</t>
        </is>
      </c>
      <c r="G6567" s="2" t="n"/>
      <c r="H6567" s="2" t="n">
        <v>827</v>
      </c>
      <c r="I6567" s="2" t="inlineStr"/>
      <c r="J6567" s="2" t="inlineStr"/>
      <c r="K6567" s="3" t="inlineStr">
        <is>
          <t>Действие фильма происходит в небольшом заброшенном монастыре, стоящем на высоком, крутом берегу Волги.
Герой фильма, архитектор, узнав, что пустующему монастырю грозит основательная реконструкция, решает в одиночку захватить его и подготовить проектную документацию для реставрации этого памятника истории и культуры.
Но монастырь оказывается далеко не пустующим. Кроме него в доме живёт ещё и странная старуха. Ночами в церкви монастыря собираются и ведут дискуссии об исторических и духовных путях России члены общества «Неформальное слово».
При составлении подробного плана монастыря герою удаётся обнаружить скрытые пустоты, подобные пустотам пирамиды Хеопса, и келью ещё одного таинственного обитателя монастыря — Николая Васильевича Гоголя. Архитектор становится свидетелем повторного сжигания второго тома «Мёртвых душ».</t>
        </is>
      </c>
      <c r="L6567" s="2" t="inlineStr">
        <is>
          <t>https://ru.wikipedia.org/w/index.php?title=%D0%A1%D1%84%D0%B8%D0%BD%D0%BA%D1%81_%28%D1%84%D0%B8%D0%BB%D1%8C%D0%BC%29&amp;oldid=149108201</t>
        </is>
      </c>
      <c r="M6567" s="2">
        <f>HYPERLINK("https://ru.wikipedia.org/w/index.php?search=%D0%A1%D1%84%D0%B8%D0%BD%D0%BA%D1%81%201990%20%D1%84%D0%B8%D0%BB%D1%8C%D0%BC","искать")</f>
        <v/>
      </c>
      <c r="N6567" s="3" t="n"/>
      <c r="O6567" s="2" t="n"/>
      <c r="P6567" s="2" t="n"/>
    </row>
    <row r="6568">
      <c r="A6568" s="2" t="n">
        <v>6567</v>
      </c>
      <c r="B6568" s="2" t="inlineStr"/>
      <c r="C6568" s="2" t="n">
        <v>8097</v>
      </c>
      <c r="D6568" s="3" t="inlineStr">
        <is>
          <t>Перед экзаменом</t>
        </is>
      </c>
      <c r="E6568" s="2" t="n">
        <v>1977</v>
      </c>
      <c r="F6568" s="2" t="inlineStr">
        <is>
          <t>телефильм</t>
        </is>
      </c>
      <c r="G6568" s="2" t="n"/>
      <c r="H6568" s="2" t="n">
        <v>828</v>
      </c>
      <c r="I6568" s="2" t="inlineStr"/>
      <c r="J6568" s="2" t="inlineStr"/>
      <c r="K6568" s="3" t="inlineStr">
        <is>
          <t>Героиня фильма — 18-летняя Таня Гусакова. Так и не решив, какую профессию ей следует избрать, по настоянию матери готовится сдавать экзамены в педагогический институт. Поругавшись с мамой и подругой, Таня бредёт по улице, и незнакомка дарит ей билет в театр. На спектакле рядом с героиней сидит тот, с кем не пошла на спектакль незнакомка. Так Таня знакомится с Иваном, инструктором по плаванию, который давно смирился с однообразной и неинтересной ему самому жизнью. Это странное знакомство убеждает Таню в необходимости более серьёзно отнестись к своему будущему.
героиня десятиклассница Таня (О. Жулина) находится на пороге своего жизненного пути. Прямая, честная, бескомпромиссная, она получает первый серьёзный урок и делает из него вывод жить надо по совести, честно выполняя свой долг, чтобы слово не расходилось с делом.</t>
        </is>
      </c>
      <c r="L6568" s="2" t="inlineStr">
        <is>
          <t>https://ru.wikipedia.org/w/index.php?title=%D0%9F%D0%B5%D1%80%D0%B5%D0%B4_%D1%8D%D0%BA%D0%B7%D0%B0%D0%BC%D0%B5%D0%BD%D0%BE%D0%BC&amp;oldid=150501697</t>
        </is>
      </c>
      <c r="M6568" s="2">
        <f>HYPERLINK("https://ru.wikipedia.org/w/index.php?search=%D0%9F%D0%B5%D1%80%D0%B5%D0%B4%20%D1%8D%D0%BA%D0%B7%D0%B0%D0%BC%D0%B5%D0%BD%D0%BE%D0%BC%201977%20%D1%84%D0%B8%D0%BB%D1%8C%D0%BC","искать")</f>
        <v/>
      </c>
      <c r="N6568" s="3" t="n"/>
      <c r="O6568" s="2" t="n"/>
      <c r="P6568" s="2" t="n"/>
    </row>
    <row r="6569">
      <c r="A6569" s="2" t="n">
        <v>6568</v>
      </c>
      <c r="B6569" s="2" t="inlineStr"/>
      <c r="C6569" s="2" t="n">
        <v>8660</v>
      </c>
      <c r="D6569" s="3" t="inlineStr">
        <is>
          <t>Возвращение Ходжи Насреддина</t>
        </is>
      </c>
      <c r="E6569" s="2" t="n">
        <v>1989</v>
      </c>
      <c r="F6569" s="2" t="inlineStr">
        <is>
          <t>кинофильм</t>
        </is>
      </c>
      <c r="G6569" s="2" t="n"/>
      <c r="H6569" s="2" t="n">
        <v>828</v>
      </c>
      <c r="I6569" s="2" t="inlineStr"/>
      <c r="J6569" s="2" t="inlineStr"/>
      <c r="K6569" s="3" t="inlineStr">
        <is>
          <t>У молодой дехканки Мамлакат-Кубаро умирает новорожденный ребенок, и она выкармливает и воспитывает двух чужих мальчишек — сына бедного дервиша Ходжу Насреддина и сына знатного нойона Тимура. Повивальная бабка предсказывает молочным братьям, что у них будут разные судьбы - Ходже быть знаменитым, но не иметь человеческого счастья, семьи, любви. Тимуру же суждено стать храбрым и жестоким воином. Действительно, насмешливый и добродушный Ходжа становится бродячим дервишем, а
Тимур — великим воином-завоевателем, султаном огромного государства. Проходят годы. Тимур и Ходжа возвращаются в родной кишлак к молочной матери. Старая Мамлакат-Кубаро принимает обоих в свой дом. За Насреддином приходит его отец-дервиш и показывает ему путь в рай через огненную реку. Насреддин сажает на спину Тимура и несет его с собой в мир небытия.</t>
        </is>
      </c>
      <c r="L6569" s="2" t="inlineStr">
        <is>
          <t>https://gosfilmofond.ru/films/240245/</t>
        </is>
      </c>
      <c r="M6569" s="2">
        <f>HYPERLINK("https://ru.wikipedia.org/w/index.php?search=%D0%92%D0%BE%D0%B7%D0%B2%D1%80%D0%B0%D1%89%D0%B5%D0%BD%D0%B8%D0%B5%20%D0%A5%D0%BE%D0%B4%D0%B6%D0%B8%20%D0%9D%D0%B0%D1%81%D1%80%D0%B5%D0%B4%D0%B4%D0%B8%D0%BD%D0%B0%201989%20%D1%84%D0%B8%D0%BB%D1%8C%D0%BC","искать")</f>
        <v/>
      </c>
      <c r="N6569" s="3" t="n"/>
      <c r="O6569" s="2" t="n"/>
      <c r="P6569" s="2" t="n"/>
    </row>
    <row r="6570">
      <c r="A6570" s="2" t="n">
        <v>6569</v>
      </c>
      <c r="B6570" s="2" t="inlineStr"/>
      <c r="C6570" s="2" t="n">
        <v>9686</v>
      </c>
      <c r="D6570" s="3" t="inlineStr">
        <is>
          <t>Танец мотылька</t>
        </is>
      </c>
      <c r="E6570" s="2" t="n">
        <v>1971</v>
      </c>
      <c r="F6570" s="2" t="inlineStr">
        <is>
          <t>кинофильм</t>
        </is>
      </c>
      <c r="G6570" s="2" t="n"/>
      <c r="H6570" s="2" t="n">
        <v>828</v>
      </c>
      <c r="I6570" s="2" t="inlineStr"/>
      <c r="J6570" s="2" t="inlineStr"/>
      <c r="K6570" s="3" t="inlineStr">
        <is>
          <t>Талантливый человек, Харий Маурс, в погоне за успехом готов идти на любую сделку со своей совестью. Занятия спортом и выступления в музыкальном ансамбле не сулят близкой выгоды, и он легко порывает с ними.
Случай сводит его с Нино — женой приехавшего в Ригу на съёмки известного режиссёра. Не стесняясь, он использует своё знакомство для утверждения в новом для себя амплуа актёра.
Через некоторое время имя Хария Маурса появляется на афишах самых кассовых фильмов. Бывшие коллеги не скрывают удивления при виде столь удачной карьеры. Элегантный костюм и новый иностранный автомобиль приводят в восхищение поклонниц.
Однако вскоре становится понятным, что под маской любимца фортуны прячется обыкновенный самовлюблённый лжец. Желание брать от жизни много и не давать взамен ничего приводит героя к неизбежному трагичному финалу.</t>
        </is>
      </c>
      <c r="L6570" s="2" t="inlineStr">
        <is>
          <t>https://ru.wikipedia.org/w/index.php?title=%D0%A2%D0%B0%D0%BD%D0%B5%D1%86_%D0%BC%D0%BE%D1%82%D1%8B%D0%BB%D1%8C%D0%BA%D0%B0&amp;oldid=154123504</t>
        </is>
      </c>
      <c r="M6570" s="2">
        <f>HYPERLINK("https://ru.wikipedia.org/w/index.php?search=%D0%A2%D0%B0%D0%BD%D0%B5%D1%86%20%D0%BC%D0%BE%D1%82%D1%8B%D0%BB%D1%8C%D0%BA%D0%B0%201971%20%D1%84%D0%B8%D0%BB%D1%8C%D0%BC","искать")</f>
        <v/>
      </c>
      <c r="N6570" s="3" t="n"/>
      <c r="O6570" s="2" t="n"/>
      <c r="P6570" s="2" t="n"/>
    </row>
    <row r="6571">
      <c r="A6571" s="2" t="n">
        <v>6570</v>
      </c>
      <c r="B6571" s="2" t="inlineStr"/>
      <c r="C6571" s="2" t="n">
        <v>10665</v>
      </c>
      <c r="D6571" s="3" t="inlineStr">
        <is>
          <t>Пока арба не перевернулась</t>
        </is>
      </c>
      <c r="E6571" s="2" t="n">
        <v>1976</v>
      </c>
      <c r="F6571" s="2" t="inlineStr">
        <is>
          <t>фильм-спектакль</t>
        </is>
      </c>
      <c r="G6571" s="2" t="n"/>
      <c r="H6571" s="2" t="n">
        <v>829</v>
      </c>
      <c r="I6571" s="2" t="inlineStr"/>
      <c r="J6571" s="2" t="inlineStr"/>
      <c r="K6571" s="3" t="inlineStr">
        <is>
          <t>Действие происходит в грузинской деревне. Старый крестьянин Агабо расстроен, что его сыновья покинули деревню и ушли в город. Он посылает телеграмму о своей смерти, и дети слетаются в родной дом.
Навестив отца, сыновья вскоре уезжают, но "пока арба не перевернулась", пока жив Агабо, он будет бороться за то, чтобы молодежь оставалась в колхозе и возделывала землю с такой же любовью, как и их отцы.
В главной роли Борис Чирков, его Агабо воплотил типический и неповторимо индивидуальный характер крестьянина, любящего землю, свой труд на ней, своих детей, на ней рожденных, и ценящего людей по их отношению к земле, родному очагу, друг к другу. Чирков не злоупотребляет возможностями характерности образа, даваемой грузинским колоритом пьесы. Агабо для него - это прежде всего сын и хозяин земли.
Московский театр им. Н.В.Гоголя</t>
        </is>
      </c>
      <c r="L6571" s="2" t="inlineStr">
        <is>
          <t>https://www.kino-teatr.ru/teatr/movie/82037/annot/</t>
        </is>
      </c>
      <c r="M6571" s="2">
        <f>HYPERLINK("https://ru.wikipedia.org/w/index.php?search=%D0%9F%D0%BE%D0%BA%D0%B0%20%D0%B0%D1%80%D0%B1%D0%B0%20%D0%BD%D0%B5%20%D0%BF%D0%B5%D1%80%D0%B5%D0%B2%D0%B5%D1%80%D0%BD%D1%83%D0%BB%D0%B0%D1%81%D1%8C%201976%20%D1%84%D0%B8%D0%BB%D1%8C%D0%BC","искать")</f>
        <v/>
      </c>
      <c r="N6571" s="3" t="n"/>
      <c r="O6571" s="2" t="n"/>
      <c r="P6571" s="2" t="n"/>
    </row>
    <row r="6572">
      <c r="A6572" s="2" t="n">
        <v>6571</v>
      </c>
      <c r="B6572" s="2" t="inlineStr"/>
      <c r="C6572" s="2" t="n">
        <v>7266</v>
      </c>
      <c r="D6572" s="3" t="inlineStr">
        <is>
          <t>Большой янтарь</t>
        </is>
      </c>
      <c r="E6572" s="2" t="n">
        <v>1971</v>
      </c>
      <c r="F6572" s="2" t="inlineStr">
        <is>
          <t>телефильм</t>
        </is>
      </c>
      <c r="G6572" s="2" t="n"/>
      <c r="H6572" s="2" t="n">
        <v>832</v>
      </c>
      <c r="I6572" s="2" t="inlineStr"/>
      <c r="J6572" s="2" t="inlineStr"/>
      <c r="K6572" s="3" t="inlineStr">
        <is>
          <t>Молодёжный эстрадный ансамбль не смог из-за нелётной погоды вовремя попасть на конкурс песни, проходивший в Риге. Первое место не было присуждено никому и уверенные в победе музыканты делают всё возможное, чтобы собрать для повторного прослушивания успевших разъехаться членов жюри.
Поиски усложняются тем обстоятельством, что солистка ансамбля Майга ревнует своего жениха Арвида к секретарю конкурсного жюри Жермене Павловне, помогающей музыкантам найти своих коллег.
Разделившись на две группы, они успели побывать в Сигулде, на конкурсе бального танца и на празднике рыбаков в юрмальском колхозе.
После череды приключений, автомобильных погонь и пропажи коробки с главным призом всё заканчивается благополучно. Жюри собралось в полном составе, ансамблю присудили победу и помирившиеся Майга с Арвидом задумались о скорой свадьбе.</t>
        </is>
      </c>
      <c r="L6572" s="2" t="inlineStr">
        <is>
          <t>https://ru.wikipedia.org/w/index.php?title=%D0%91%D0%BE%D0%BB%D1%8C%D1%88%D0%BE%D0%B9_%D1%8F%D0%BD%D1%82%D0%B0%D1%80%D1%8C&amp;oldid=155064330</t>
        </is>
      </c>
      <c r="M6572" s="2">
        <f>HYPERLINK("https://ru.wikipedia.org/w/index.php?search=%D0%91%D0%BE%D0%BB%D1%8C%D1%88%D0%BE%D0%B9%20%D1%8F%D0%BD%D1%82%D0%B0%D1%80%D1%8C%201971%20%D1%84%D0%B8%D0%BB%D1%8C%D0%BC","искать")</f>
        <v/>
      </c>
      <c r="N6572" s="3" t="n"/>
      <c r="O6572" s="2" t="n"/>
      <c r="P6572" s="2" t="n"/>
    </row>
    <row r="6573">
      <c r="A6573" s="2" t="n">
        <v>6572</v>
      </c>
      <c r="B6573" s="2" t="inlineStr"/>
      <c r="C6573" s="2" t="n">
        <v>11400</v>
      </c>
      <c r="D6573" s="3" t="inlineStr">
        <is>
          <t>Лиса, бобер и другие</t>
        </is>
      </c>
      <c r="E6573" s="2" t="n">
        <v>1960</v>
      </c>
      <c r="F6573" s="2" t="inlineStr">
        <is>
          <t>мультфильм</t>
        </is>
      </c>
      <c r="G6573" s="2" t="inlineStr">
        <is>
          <t>Союзмультфильм</t>
        </is>
      </c>
      <c r="H6573" s="2" t="n">
        <v>832</v>
      </c>
      <c r="I6573" s="2" t="inlineStr"/>
      <c r="J6573" s="2" t="inlineStr"/>
      <c r="K6573" s="3" t="inlineStr">
        <is>
          <t>По басням Сергея Михалкова "Лев и ярлык" и "Лиса и Бобер". Однажды Лев, проснувшись, увидал на своем хвосте ярлык с надписью "Осел". Лев удивился, рассердился, но сорвать ярлык не решился - ведь там подпись и печать. Созвал он всех зверей, но никто не решился пойти против ярлыка, и все решили - Лев уже не Лев, а Осел. Опечалился царь зверей, исхудал, стал всем дорогу уступать, и как-то на заре из логова Льва раздался ослиный крик... Лиса приметила богатого Бобра. Правда, у него семья, дети, но ведь известно, что лисы хитры. И вот молодая Лисанька вскружила старому Бобру голову, забыл он и детей и добрую Бобрих. Вскоре старик надоел Лисе. Ей лишь бы понарядней одеваться, да повкуснее поесть. Бобру одно расстройство. Плюнул он и пошел к своей Бобрихе. А та не пускает - иди к своей Лисе. Побежал к Лисе, а там - другой Бобер</t>
        </is>
      </c>
      <c r="L6573" s="2" t="inlineStr">
        <is>
          <t>https://gosfilmofond.ru/films/253424/</t>
        </is>
      </c>
      <c r="M6573" s="2">
        <f>HYPERLINK("https://ru.wikipedia.org/w/index.php?search=%D0%9B%D0%B8%D1%81%D0%B0%2C%20%D0%B1%D0%BE%D0%B1%D0%B5%D1%80%20%D0%B8%20%D0%B4%D1%80%D1%83%D0%B3%D0%B8%D0%B5%201960%20%D1%84%D0%B8%D0%BB%D1%8C%D0%BC","искать")</f>
        <v/>
      </c>
      <c r="N6573" s="3" t="n"/>
      <c r="O6573" s="2" t="n"/>
      <c r="P6573" s="2" t="n"/>
    </row>
    <row r="6574">
      <c r="A6574" s="2" t="n">
        <v>6573</v>
      </c>
      <c r="B6574" s="2" t="inlineStr"/>
      <c r="C6574" s="2" t="n">
        <v>8154</v>
      </c>
      <c r="D6574" s="3" t="inlineStr">
        <is>
          <t>Покушение на ГОЭЛРО</t>
        </is>
      </c>
      <c r="E6574" s="2" t="n">
        <v>1986</v>
      </c>
      <c r="F6574" s="2" t="inlineStr">
        <is>
          <t>телефильм</t>
        </is>
      </c>
      <c r="G6574" s="2" t="n"/>
      <c r="H6574" s="2" t="n">
        <v>834</v>
      </c>
      <c r="I6574" s="2" t="inlineStr"/>
      <c r="J6574" s="2" t="inlineStr"/>
      <c r="K6574" s="3" t="inlineStr">
        <is>
          <t>Основные события в фильме происходят в городе Краснотальске, на Урале (съёмки происходили в Кунгуре и Свердловске). Время действия — 1932 год. На одной из электростанций совершен диверсионный акт, работа станции остановлена. ОГПУ разыскивает немецкую агентуру, пытающуюся сорвать выполнение плана ГОЭЛРО. Враги нацелены на выведение из строя стратегически важных объектов Урала и ДнепроГЭСа.
С целью усилить розыск и выйти на агентуру врага в Краснотальск командируется опытный сотрудник ОГПУ Виктор Сергеевич Ларцев. На месте он сталкивается с кустарными методами расследования. Непродуманные действия органов вредят делу. Ларцев не спеша, шаг за шагом начинает своё расследование, на ходу обучая сотрудников его правильному ведению. И вот шпион схвачен и получает по заслугам, но жизнь многих хороших людей заканчивается трагически.</t>
        </is>
      </c>
      <c r="L6574" s="2" t="inlineStr">
        <is>
          <t>https://ru.wikipedia.org/w/index.php?title=%D0%9F%D0%BE%D0%BA%D1%83%D1%88%D0%B5%D0%BD%D0%B8%D0%B5_%D0%BD%D0%B0_%D0%93%D0%9E%D0%AD%D0%9B%D0%A0%D0%9E&amp;oldid=155507569</t>
        </is>
      </c>
      <c r="M6574" s="2">
        <f>HYPERLINK("https://ru.wikipedia.org/w/index.php?search=%D0%9F%D0%BE%D0%BA%D1%83%D1%88%D0%B5%D0%BD%D0%B8%D0%B5%20%D0%BD%D0%B0%20%D0%93%D0%9E%D0%AD%D0%9B%D0%A0%D0%9E%201986%20%D1%84%D0%B8%D0%BB%D1%8C%D0%BC","искать")</f>
        <v/>
      </c>
      <c r="N6574" s="3" t="n"/>
      <c r="O6574" s="2" t="n"/>
      <c r="P6574" s="2" t="n"/>
    </row>
    <row r="6575">
      <c r="A6575" s="2" t="n">
        <v>6574</v>
      </c>
      <c r="B6575" s="2" t="inlineStr"/>
      <c r="C6575" s="2" t="n">
        <v>8428</v>
      </c>
      <c r="D6575" s="3" t="inlineStr">
        <is>
          <t>Тайна Зеленого острова</t>
        </is>
      </c>
      <c r="E6575" s="2" t="n">
        <v>1984</v>
      </c>
      <c r="F6575" s="2" t="inlineStr">
        <is>
          <t>телефильм</t>
        </is>
      </c>
      <c r="G6575" s="2" t="n"/>
      <c r="H6575" s="2" t="n">
        <v>835</v>
      </c>
      <c r="I6575" s="2" t="inlineStr"/>
      <c r="J6575" s="2" t="inlineStr"/>
      <c r="K6575" s="3" t="inlineStr">
        <is>
          <t>Два друга Мура́д и Сели́м мечтают о морских путешествиях, но живут они не у моря, а рядом с большой пустыней. Построив парусник пустыни — буер, они отправляются «на всех парусах» в «плавание» по песчаному морю, которое когда-то в древние времена было дном моря настоящего. Налетевшая пыльная буря, подняв маленький буер на воздух, переносит ребят в красивый оазис — зелёный остров среди песков. Очнувшись, мальчики находят свой буер разбитым. Размышляя над своим бедственным положением, они замечают, что какой-то таинственный незнакомец помогает им, оставаясь незамеченным.
Этим «незнакомцем» оказывается местная девочка Гозе́ль. Знакомя городских жителей Селима и Мурада с разнообразным животным и растительным миром оазиса, она пытается научить их главному закону этого Зелёного острова: «Никого не трогай — и никто тебя не тронет».</t>
        </is>
      </c>
      <c r="L6575" s="2" t="inlineStr">
        <is>
          <t>https://ru.wikipedia.org/w/index.php?title=%D0%A2%D0%B0%D0%B9%D0%BD%D0%B0_%D0%97%D0%B5%D0%BB%D1%91%D0%BD%D0%BE%D0%B3%D0%BE_%D0%BE%D1%81%D1%82%D1%80%D0%BE%D0%B2%D0%B0&amp;oldid=146423371</t>
        </is>
      </c>
      <c r="M6575" s="2">
        <f>HYPERLINK("https://ru.wikipedia.org/w/index.php?search=%D0%A2%D0%B0%D0%B9%D0%BD%D0%B0%20%D0%97%D0%B5%D0%BB%D0%B5%D0%BD%D0%BE%D0%B3%D0%BE%20%D0%BE%D1%81%D1%82%D1%80%D0%BE%D0%B2%D0%B0%201984%20%D1%84%D0%B8%D0%BB%D1%8C%D0%BC","искать")</f>
        <v/>
      </c>
      <c r="N6575" s="3" t="n"/>
      <c r="O6575" s="2" t="n"/>
      <c r="P6575" s="2" t="n"/>
    </row>
    <row r="6576">
      <c r="A6576" s="2" t="n">
        <v>6575</v>
      </c>
      <c r="B6576" s="2" t="inlineStr"/>
      <c r="C6576" s="2" t="n">
        <v>9868</v>
      </c>
      <c r="D6576" s="3" t="inlineStr">
        <is>
          <t>Экзамен на чин</t>
        </is>
      </c>
      <c r="E6576" s="2" t="n">
        <v>1969</v>
      </c>
      <c r="F6576" s="2" t="inlineStr">
        <is>
          <t>телефильм</t>
        </is>
      </c>
      <c r="G6576" s="2" t="inlineStr">
        <is>
          <t>Лентелефильм</t>
        </is>
      </c>
      <c r="H6576" s="2" t="n">
        <v>838</v>
      </c>
      <c r="I6576" s="2" t="inlineStr"/>
      <c r="J6576" s="2" t="inlineStr"/>
      <c r="K6576" s="3" t="inlineStr">
        <is>
          <t>По мотивам рассказов А. П. Чехова.
Готовился чиновник к экзамену, чтобы чин повыше получить. Сидел, зубрил всю ночь, но не выдержал и заснул. А утром пришлось ему все-таки встать и отправиться на экзамен. Встретился ему по дороге сын. Выгнали его с урока, учитель дал нелестную характеристику сыну, а заодно и его папаше. Видно, что не в первый раз папаша идет на экзамен, неприятность вышла у него с учителем географии. Пришел как-то учитель в почтовый департамент, а папаша, который там работал, возьми да и сделай ему замечание - чтобы в очередь встал вместе со всеми. А тот взял да и обиделся, и не хочет у него экзамен принимать. Но, на счастье старика, приехал на экзамен инспектор, и оказал снисхождение чиновнику. После экзамена отправился он с комиссией в трактир, отпраздновать получение нового чина, да от радости-то и напился.</t>
        </is>
      </c>
      <c r="L6576" s="2" t="inlineStr">
        <is>
          <t>https://www.kino-teatr.ru/short/movie/sov/10066/annot/</t>
        </is>
      </c>
      <c r="M6576" s="2">
        <f>HYPERLINK("https://ru.wikipedia.org/w/index.php?search=%D0%AD%D0%BA%D0%B7%D0%B0%D0%BC%D0%B5%D0%BD%20%D0%BD%D0%B0%20%D1%87%D0%B8%D0%BD%201969%20%D1%84%D0%B8%D0%BB%D1%8C%D0%BC","искать")</f>
        <v/>
      </c>
      <c r="N6576" s="3" t="n"/>
      <c r="O6576" s="2" t="n"/>
      <c r="P6576" s="2" t="n"/>
    </row>
    <row r="6577">
      <c r="A6577" s="2" t="n">
        <v>6576</v>
      </c>
      <c r="B6577" s="2" t="inlineStr"/>
      <c r="C6577" s="2" t="n">
        <v>12433</v>
      </c>
      <c r="D6577" s="3" t="inlineStr">
        <is>
          <t>Короткие истории</t>
        </is>
      </c>
      <c r="E6577" s="2" t="n">
        <v>1970</v>
      </c>
      <c r="F6577" s="2" t="inlineStr">
        <is>
          <t>мультфильм</t>
        </is>
      </c>
      <c r="G6577" s="2" t="inlineStr">
        <is>
          <t>КИЕВНАУЧФИЛЬМ</t>
        </is>
      </c>
      <c r="H6577" s="2" t="n">
        <v>840</v>
      </c>
      <c r="I6577" s="2" t="inlineStr"/>
      <c r="J6577" s="2" t="inlineStr"/>
      <c r="K6577" s="3" t="inlineStr">
        <is>
          <t>Состоит из двух сюжетов. ДИОГЕН ИЗ СИОНА. Пока Диоген сидел в бочке и был лишен всякого комфорта, внимание его было всецело сосредоточено на писании трудов. Но вот Диоген получил квартиру и лихорадочно занялся приобретением мебели. Времени для работы у него теперь не оставалось. Отчаявшись, Диоген выбросил мебель и опять обосновался в бочке, чтобы продолжить работу над своими трудами. ПАНУРГ. Весельчак Панург решил подшутит над жадным купцом. Он купил у него вожака стада баранов и, смеясь, столкнул его с палубы парусника в воду. Вслед за вожаком попрыгали в воду все глупые бараны и даже сам отчаявшийся купец. Рассказывая об этом друзьям, Панург одно утаил: что и сам он, несмотря на свой разум, едва удержался от стадного чувства и не бросился за баранами. С тех пор, завидев какое-нибудь стадо, Панург старается обойти его стороной</t>
        </is>
      </c>
      <c r="L6577" s="2" t="inlineStr">
        <is>
          <t>https://gosfilmofond.ru/films/255158/</t>
        </is>
      </c>
      <c r="M6577" s="2">
        <f>HYPERLINK("https://ru.wikipedia.org/w/index.php?search=%D0%9A%D0%BE%D1%80%D0%BE%D1%82%D0%BA%D0%B8%D0%B5%20%D0%B8%D1%81%D1%82%D0%BE%D1%80%D0%B8%D0%B8%201970%20%D1%84%D0%B8%D0%BB%D1%8C%D0%BC","искать")</f>
        <v/>
      </c>
      <c r="N6577" s="3" t="n"/>
      <c r="O6577" s="2" t="n"/>
      <c r="P6577" s="2" t="n"/>
    </row>
    <row r="6578">
      <c r="A6578" s="2" t="n">
        <v>6577</v>
      </c>
      <c r="B6578" s="2" t="inlineStr"/>
      <c r="C6578" s="2" t="n">
        <v>7284</v>
      </c>
      <c r="D6578" s="3" t="inlineStr">
        <is>
          <t>Был настоящим трубачом</t>
        </is>
      </c>
      <c r="E6578" s="2" t="n">
        <v>1973</v>
      </c>
      <c r="F6578" s="2" t="inlineStr">
        <is>
          <t>телефильм</t>
        </is>
      </c>
      <c r="G6578" s="2" t="inlineStr">
        <is>
          <t>ТО «Экран»</t>
        </is>
      </c>
      <c r="H6578" s="2" t="n">
        <v>842</v>
      </c>
      <c r="I6578" s="2" t="inlineStr"/>
      <c r="J6578" s="2" t="inlineStr"/>
      <c r="K6578" s="3" t="inlineStr">
        <is>
          <t>Фильм, основанный на реальных исторических биографических событиях рассказывает о маленьком коммунаре, питерском Гавроше, 9-летнем актёре-агитаторе Коте Мгеброве-Чекане (1913—1922), погибшем от руки контрреволюционера и торжественно похороненном в Петрограде на Марсовом поле рядом с героями революции.
Котя, сын актёра, участвовал в любительских спектаклях, читал революционные стихи перед пролетарской аудиторией в самой гуще событий: то у линии фронта при наступлении Юденича, то в Кронштадте при подавлении мятежа.
Когда он погиб, «Петроградская правда» писала: «Подробности смерти таковы: 22 апреля в 4 ч. он взял у матери хлеба отнести знакомому, более его голодающему мальчику. На Моховой улице вскочил в трамвай. Стоявший на площадке неизвестный старик столкнул его и трамвай перерезал мальчику обе ноги…». От рваных ран мальчик умер.</t>
        </is>
      </c>
      <c r="L6578" s="2" t="inlineStr">
        <is>
          <t>https://ru.wikipedia.org/w/index.php?title=%D0%91%D1%8B%D0%BB_%D0%BD%D0%B0%D1%81%D1%82%D0%BE%D1%8F%D1%89%D0%B8%D0%BC_%D1%82%D1%80%D1%83%D0%B1%D0%B0%D1%87%D0%BE%D0%BC&amp;oldid=147948633</t>
        </is>
      </c>
      <c r="M6578" s="2">
        <f>HYPERLINK("https://ru.wikipedia.org/w/index.php?search=%D0%91%D1%8B%D0%BB%20%D0%BD%D0%B0%D1%81%D1%82%D0%BE%D1%8F%D1%89%D0%B8%D0%BC%20%D1%82%D1%80%D1%83%D0%B1%D0%B0%D1%87%D0%BE%D0%BC%201973%20%D1%84%D0%B8%D0%BB%D1%8C%D0%BC","искать")</f>
        <v/>
      </c>
      <c r="N6578" s="3" t="n"/>
      <c r="O6578" s="2" t="n"/>
      <c r="P6578" s="2" t="n"/>
    </row>
    <row r="6579">
      <c r="A6579" s="2" t="n">
        <v>6578</v>
      </c>
      <c r="B6579" s="2" t="inlineStr"/>
      <c r="C6579" s="2" t="n">
        <v>8204</v>
      </c>
      <c r="D6579" s="3" t="inlineStr">
        <is>
          <t>Приключения Калле-сыщика</t>
        </is>
      </c>
      <c r="E6579" s="2" t="n">
        <v>1976</v>
      </c>
      <c r="F6579" s="2" t="inlineStr">
        <is>
          <t>телефильм</t>
        </is>
      </c>
      <c r="G6579" s="2" t="n"/>
      <c r="H6579" s="2" t="n">
        <v>843</v>
      </c>
      <c r="I6579" s="2" t="inlineStr"/>
      <c r="J6579" s="2" t="inlineStr"/>
      <c r="K6579" s="3" t="inlineStr">
        <is>
          <t>В вымышленном маленьком шведском городке Лилльчёпинге идёт «война Алой и Белой Розы» — соперничество двух компаний ребят. «Белая Роза» — это главный герой Калле (Карл) Блюмквист, Ева-Лотта Лисандер и Андерс (Андреас) Бенгтссон. «Алая Роза» — их противники: Сикстен, Бенка и Йонте. Они похищают друг у друга «сокровища», например, Великого Мумрика (подлинную рукоятку от рыцарского меча, которой они приписывали магические свойства), берут друг друга в плен.
Однако ребята неожиданно становятся свидетелями загадочных событий. В город приезжает двоюродный брат мамы Евы-Лотты — дядя Эйнар. Он ведёт себя подозрительно. К тому же, за ним охотятся ещё два незнакомца. Выясняется, что всё это как-то связано с преступлением, о котором пишут в газетах — из квартиры банкира похищен сейф с драгоценностями. Калле и его друзья начинают расследование.</t>
        </is>
      </c>
      <c r="L6579" s="2" t="inlineStr">
        <is>
          <t>https://ru.wikipedia.org/w/index.php?title=%D0%9F%D1%80%D0%B8%D0%BA%D0%BB%D1%8E%D1%87%D0%B5%D0%BD%D0%B8%D1%8F_%D0%9A%D0%B0%D0%BB%D0%BB%D0%B5-%D1%81%D1%8B%D1%89%D0%B8%D0%BA%D0%B0&amp;oldid=154781160</t>
        </is>
      </c>
      <c r="M6579" s="2">
        <f>HYPERLINK("https://ru.wikipedia.org/w/index.php?search=%D0%9F%D1%80%D0%B8%D0%BA%D0%BB%D1%8E%D1%87%D0%B5%D0%BD%D0%B8%D1%8F%20%D0%9A%D0%B0%D0%BB%D0%BB%D0%B5-%D1%81%D1%8B%D1%89%D0%B8%D0%BA%D0%B0%201976%20%D1%84%D0%B8%D0%BB%D1%8C%D0%BC","искать")</f>
        <v/>
      </c>
      <c r="N6579" s="3" t="n"/>
      <c r="O6579" s="2" t="n"/>
      <c r="P6579" s="2" t="n"/>
    </row>
    <row r="6580">
      <c r="A6580" s="2" t="n">
        <v>6579</v>
      </c>
      <c r="B6580" s="2" t="inlineStr"/>
      <c r="C6580" s="2" t="n">
        <v>11398</v>
      </c>
      <c r="D6580" s="3" t="inlineStr">
        <is>
          <t>Али-баба и сорок разбойников (Япония)</t>
        </is>
      </c>
      <c r="E6580" s="2" t="n">
        <v>1959</v>
      </c>
      <c r="F6580" s="2" t="inlineStr">
        <is>
          <t>мультфильм</t>
        </is>
      </c>
      <c r="G6580" s="2" t="inlineStr">
        <is>
          <t>Союзмультфильм</t>
        </is>
      </c>
      <c r="H6580" s="2" t="n">
        <v>845</v>
      </c>
      <c r="I6580" s="2" t="inlineStr"/>
      <c r="J6580" s="2" t="inlineStr"/>
      <c r="K6580" s="3" t="inlineStr">
        <is>
          <t>По мотивам арабской народной сказки. Жили на свете два брата - богатый и жадный Касим и бедный и добрый Али-баба. Однажды увидел Али в лесу, как разбойники с помощью волшебных слов заставили раскрыться гору и затащили в пещеру награбленные богатства. Когда разбойники ушли признес Али-баба волшебные слова и очутился в пещере среди несметного богатства. Взял он мешок золота, чтобы купить себе новый топор и угостить всех бедняков пловом. Проведал Касим о золоте и бросился к пещере. А Али пошел на базар за снедью, чтобы накормить всех бедняков, но увидел как продают невольников и выкупил их. А богатый брат Касим попал в пещеру, однако выйти никак не мог, так как забыл волшебное слово. Там и застали его разбойники и хотели убить, но трус расскал им о брате. Разбойники решили изловить и убить Али-бабу. Но Али сумел перехитрить своих врагов</t>
        </is>
      </c>
      <c r="L6580" s="2" t="inlineStr">
        <is>
          <t>https://gosfilmofond.ru/films/253404/</t>
        </is>
      </c>
      <c r="M6580" s="2">
        <f>HYPERLINK("https://ru.wikipedia.org/w/index.php?search=%D0%90%D0%BB%D0%B8-%D0%B1%D0%B0%D0%B1%D0%B0%20%D0%B8%20%D1%81%D0%BE%D1%80%D0%BE%D0%BA%20%D1%80%D0%B0%D0%B7%D0%B1%D0%BE%D0%B9%D0%BD%D0%B8%D0%BA%D0%BE%D0%B2%20%28%D0%AF%D0%BF%D0%BE%D0%BD%D0%B8%D1%8F%29%201959%20%D1%84%D0%B8%D0%BB%D1%8C%D0%BC","искать")</f>
        <v/>
      </c>
      <c r="N6580" s="3" t="n"/>
      <c r="O6580" s="2" t="n"/>
      <c r="P6580" s="2" t="n"/>
    </row>
    <row r="6581">
      <c r="A6581" s="2" t="n">
        <v>6580</v>
      </c>
      <c r="B6581" s="2" t="inlineStr"/>
      <c r="C6581" s="2" t="n">
        <v>10328</v>
      </c>
      <c r="D6581" s="3" t="inlineStr">
        <is>
          <t>Севастопольский вальс</t>
        </is>
      </c>
      <c r="E6581" s="2" t="n">
        <v>1969</v>
      </c>
      <c r="F6581" s="2" t="inlineStr">
        <is>
          <t>фильм-спектакль</t>
        </is>
      </c>
      <c r="G6581" s="2" t="n"/>
      <c r="H6581" s="2" t="n">
        <v>846</v>
      </c>
      <c r="I6581" s="2" t="inlineStr"/>
      <c r="J6581" s="2" t="inlineStr"/>
      <c r="K6581" s="3" t="inlineStr">
        <is>
          <t>Спектакль Московского театра оперетты.
Действие этой романтической истории о любви происходит в июне 1942 года, в последние дни обороны Севастополя, а затем в мирное время, когда фронтовые друзья встречаются вновь. …На подступах к Севастополю идут тяжёлые бои. Падают от ран герои - защитники города, девушки из медсанбата выносят их c поля боя, перевязывают, утешают. Среди сестёр выделяется маленькая Любаша. Она тайно любит своего командира, Дмитрия Аверина. Друзья решают после войны непременно встретиться в чудесном городе. И вот приходит день встречи. Многое за это время переменилось. Аверин расстался с легкомысленной женой; его боевые друзья теперь живут мирно и весело; Генка Бессмертный, забияка, мальчишка, стал солидным военным. Увидев Любу и её сияющие глаза, Аверин впервые понял и оценил её чувства, прошедшие испытание временем.</t>
        </is>
      </c>
      <c r="L6581" s="2" t="inlineStr">
        <is>
          <t>https://www.kino-teatr.ru/teatr/movie/83459/annot/</t>
        </is>
      </c>
      <c r="M6581" s="2">
        <f>HYPERLINK("https://ru.wikipedia.org/w/index.php?search=%D0%A1%D0%B5%D0%B2%D0%B0%D1%81%D1%82%D0%BE%D0%BF%D0%BE%D0%BB%D1%8C%D1%81%D0%BA%D0%B8%D0%B9%20%D0%B2%D0%B0%D0%BB%D1%8C%D1%81%201969%20%D1%84%D0%B8%D0%BB%D1%8C%D0%BC","искать")</f>
        <v/>
      </c>
      <c r="N6581" s="3" t="n"/>
      <c r="O6581" s="2" t="n"/>
      <c r="P6581" s="2" t="n"/>
    </row>
    <row r="6582">
      <c r="A6582" s="2" t="n">
        <v>6581</v>
      </c>
      <c r="B6582" s="2" t="inlineStr"/>
      <c r="C6582" s="2" t="n">
        <v>9731</v>
      </c>
      <c r="D6582" s="3" t="inlineStr">
        <is>
          <t>Хатабала</t>
        </is>
      </c>
      <c r="E6582" s="2" t="n">
        <v>1971</v>
      </c>
      <c r="F6582" s="2" t="inlineStr">
        <is>
          <t>кинофильм</t>
        </is>
      </c>
      <c r="G6582" s="2" t="n"/>
      <c r="H6582" s="2" t="n">
        <v>847</v>
      </c>
      <c r="I6582" s="2" t="inlineStr"/>
      <c r="J6582" s="2" t="inlineStr"/>
      <c r="K6582" s="3" t="inlineStr">
        <is>
          <t>Фильм начинается с картин жизни старого Тифлиса, его шумных улиц, майданов, лавченок и духанов. Молодой человек, вернувшийся после учебы в Петербурге, Геворк Масисян попадает в этот пестрый мир и неожи­данно замечает красавицу Наталью, входящую в дом купца Замбахова. Очарованный ее красотой, он хочет на ней жениться. Увидев купца Исаи, он просит помочь ему в сватовсве. Но прекрасная незнакомка оказалась женой Исаи. Так возникает недо­разумение, кутерьма, переполох, или, по-армянски, «хатабала». Хитроумный Исаи решает воспользоваться ситуацией, чтобы помочь своему старшему партнеру Замбахову сплавить свою некрасивую дочь Маргарит за наивного Масисяна. Дело в том, что по обычаю жених не мог видеть своей невес­ты до самого дня обручения. И мошенники надеялись, что в последний мо­мент он не станет поднимать скандал и лишать себя приданого.</t>
        </is>
      </c>
      <c r="L6582" s="2" t="inlineStr">
        <is>
          <t>https://ru.wikipedia.org/w/index.php?title=%D0%A5%D0%B0%D1%82%D0%B0%D0%B1%D0%B0%D0%BB%D0%B0_%28%D1%84%D0%B8%D0%BB%D1%8C%D0%BC%29&amp;oldid=150533112</t>
        </is>
      </c>
      <c r="M6582" s="2">
        <f>HYPERLINK("https://ru.wikipedia.org/w/index.php?search=%D0%A5%D0%B0%D1%82%D0%B0%D0%B1%D0%B0%D0%BB%D0%B0%201971%20%D1%84%D0%B8%D0%BB%D1%8C%D0%BC","искать")</f>
        <v/>
      </c>
      <c r="N6582" s="3" t="n"/>
      <c r="O6582" s="2" t="n"/>
      <c r="P6582" s="2" t="n"/>
    </row>
    <row r="6583">
      <c r="A6583" s="2" t="n">
        <v>6582</v>
      </c>
      <c r="B6583" s="2" t="inlineStr"/>
      <c r="C6583" s="2" t="n">
        <v>9198</v>
      </c>
      <c r="D6583" s="3" t="inlineStr">
        <is>
          <t>Авария - дочь мента</t>
        </is>
      </c>
      <c r="E6583" s="2" t="n">
        <v>1989</v>
      </c>
      <c r="F6583" s="2" t="inlineStr">
        <is>
          <t>кинофильм</t>
        </is>
      </c>
      <c r="G6583" s="2" t="n"/>
      <c r="H6583" s="2" t="n">
        <v>849</v>
      </c>
      <c r="I6583" s="2" t="inlineStr"/>
      <c r="J6583" s="2" t="inlineStr"/>
      <c r="K6583" s="3" t="inlineStr">
        <is>
          <t>Конец 1980-х. У сорокалетнего старшего лейтенанта ГАИ Николаева домашняя жизнь складывается неважно. Его дочь Валерия, заканчивающая школу, целые дни пропадает на тусовках, что является причиной постоянных скандалов в семье. И кого только нет на тех тусовках — и хиппи, и металлисты, и валютные проститутки, и сутенеры, и юные наркоманы. Но самой опасной для Валерии оказывается группа обеспеченных молодых подонков, хобби которых заключается в том, чтобы «снимать» девочек на улицах, а потом развлекаться с ними на природе. Однажды они насилуют Валерию. Узнав об этом, Николаев решает сам наказать обидчиков. Переодевшись в гражданское и выследив мерзавцев, надругавшихся над его дочерью, он садится в чужую машину и таранит автомобиль насильников, сталкивая его под откос, где этот автомобиль взрывается. Подоспевшая милиция задерживает Николаева.</t>
        </is>
      </c>
      <c r="L6583" s="2" t="inlineStr">
        <is>
          <t>https://gosfilmofond.ru/films/289700/</t>
        </is>
      </c>
      <c r="M6583" s="2">
        <f>HYPERLINK("https://ru.wikipedia.org/w/index.php?search=%D0%90%D0%B2%D0%B0%D1%80%D0%B8%D1%8F%20-%20%D0%B4%D0%BE%D1%87%D1%8C%20%D0%BC%D0%B5%D0%BD%D1%82%D0%B0%201989%20%D1%84%D0%B8%D0%BB%D1%8C%D0%BC","искать")</f>
        <v/>
      </c>
      <c r="N6583" s="3" t="n"/>
      <c r="O6583" s="2" t="n"/>
      <c r="P6583" s="2" t="n"/>
    </row>
    <row r="6584">
      <c r="A6584" s="2" t="n">
        <v>6583</v>
      </c>
      <c r="B6584" s="2" t="inlineStr"/>
      <c r="C6584" s="2" t="n">
        <v>7197</v>
      </c>
      <c r="D6584" s="3" t="inlineStr">
        <is>
          <t>Айя</t>
        </is>
      </c>
      <c r="E6584" s="2" t="n">
        <v>1987</v>
      </c>
      <c r="F6584" s="2" t="inlineStr">
        <is>
          <t>телефильм</t>
        </is>
      </c>
      <c r="G6584" s="2" t="inlineStr">
        <is>
          <t>Рижская к/с</t>
        </is>
      </c>
      <c r="H6584" s="2" t="n">
        <v>851</v>
      </c>
      <c r="I6584" s="2" t="inlineStr"/>
      <c r="J6584" s="2" t="inlineStr"/>
      <c r="K6584" s="3" t="inlineStr">
        <is>
          <t>События происходят в начале XX века в Латвии. Янис после долгого отсутствия возвращается в родное село, убеждая себя, что едет к родителям, а не для того, чтобы увидеть свою юношескую любовь — Айю. Когда-то он не мог смириться с замужеством Айи, которую любил с детства, и уехал в Ригу. Оказывается, что муж Айи, некогда богатый селянин, спился и погиб, а она осталась одна с тремя детьми. Охваченный прежним чувством, Янис, без прежних обид и вопреки просьбам родителей, женится на ней. Но вскоре понимает: Айя вышла за него не по любви, а в надежде вырваться из бедности. Янис верит, что трудолюбие и порядочность принесут в семью достаток и счастье, но Айя уже привыкла к другой жизни… Вскоре Янис узнаёт, что Айя встречается со своим давним приятелем Айзупсом, который время от времени дает ей деньги. Не в силах вынести это, Янис уходит из жизни.</t>
        </is>
      </c>
      <c r="L6584" s="2" t="inlineStr">
        <is>
          <t>https://ru.wikipedia.org/w/index.php?title=%D0%90%D0%B9%D1%8F_%28%D1%84%D0%B8%D0%BB%D1%8C%D0%BC%29&amp;oldid=154548181</t>
        </is>
      </c>
      <c r="M6584" s="2">
        <f>HYPERLINK("https://ru.wikipedia.org/w/index.php?search=%D0%90%D0%B9%D1%8F%201987%20%D1%84%D0%B8%D0%BB%D1%8C%D0%BC","искать")</f>
        <v/>
      </c>
      <c r="N6584" s="3" t="n"/>
      <c r="O6584" s="2" t="n"/>
      <c r="P6584" s="2" t="n"/>
    </row>
    <row r="6585">
      <c r="A6585" s="2" t="n">
        <v>6584</v>
      </c>
      <c r="B6585" s="2" t="inlineStr"/>
      <c r="C6585" s="2" t="n">
        <v>7773</v>
      </c>
      <c r="D6585" s="3" t="inlineStr">
        <is>
          <t>Крепкий мужик</t>
        </is>
      </c>
      <c r="E6585" s="2" t="n">
        <v>1991</v>
      </c>
      <c r="F6585" s="2" t="inlineStr">
        <is>
          <t>телефильм</t>
        </is>
      </c>
      <c r="G6585" s="2" t="n"/>
      <c r="H6585" s="2" t="n">
        <v>852</v>
      </c>
      <c r="I6585" s="2" t="inlineStr"/>
      <c r="J6585" s="2" t="inlineStr"/>
      <c r="K6585" s="3" t="inlineStr">
        <is>
          <t>Главный герой фильма — Спиридон (или просто Спирька), деревенский мужик. Он работает шофёром и его жизнь идёт своим чередом. Спиридон работящий и любая из девок мечтала бы видеть его своим мужем. Но жизнь распоряжается по-другому. Однажды Спиридон подвозит с железнодорожной станции приехавших в деревню в отпуск учительницу и её мужа, тоже учителя. Спиридон влюбляется в учительницу и пытается начать с ней любовные отношения. Ревнивый муж хочет отомстить Спиридону и избивает его.
Спиридон же не может снести обиды и решает убить мужа своей любимой. Но она просит Спиридона не делать этого. Теперь Спиридон в раздумье — что же ему делать. С одной стороны у него есть желание убить мужа учительницы, а с другой — он чувствует стыд за свой поступок и думает о том, чтобы закончить свою жизнь. В итоге всё завершается трагически — Спиридон убивает себя.</t>
        </is>
      </c>
      <c r="L6585" s="2" t="inlineStr">
        <is>
          <t>https://ru.wikipedia.org/w/index.php?title=%D0%9A%D1%80%D0%B5%D0%BF%D0%BA%D0%B8%D0%B9_%D0%BC%D1%83%D0%B6%D0%B8%D0%BA&amp;oldid=153351514</t>
        </is>
      </c>
      <c r="M6585" s="2">
        <f>HYPERLINK("https://ru.wikipedia.org/w/index.php?search=%D0%9A%D1%80%D0%B5%D0%BF%D0%BA%D0%B8%D0%B9%20%D0%BC%D1%83%D0%B6%D0%B8%D0%BA%201991%20%D1%84%D0%B8%D0%BB%D1%8C%D0%BC","искать")</f>
        <v/>
      </c>
      <c r="N6585" s="3" t="n"/>
      <c r="O6585" s="2" t="n"/>
      <c r="P6585" s="2" t="n"/>
    </row>
    <row r="6586">
      <c r="A6586" s="2" t="n">
        <v>6585</v>
      </c>
      <c r="B6586" s="2" t="inlineStr"/>
      <c r="C6586" s="2" t="n">
        <v>7622</v>
      </c>
      <c r="D6586" s="3" t="inlineStr">
        <is>
          <t>Завтрак на траве</t>
        </is>
      </c>
      <c r="E6586" s="2" t="n">
        <v>1979</v>
      </c>
      <c r="F6586" s="2" t="inlineStr">
        <is>
          <t>телефильм</t>
        </is>
      </c>
      <c r="G6586" s="2" t="n"/>
      <c r="H6586" s="2" t="n">
        <v>854</v>
      </c>
      <c r="I6586" s="2" t="inlineStr"/>
      <c r="J6586" s="2" t="inlineStr"/>
      <c r="K6586" s="3" t="inlineStr">
        <is>
          <t>Молодой рабочий Иван Николаевич Ковалёв готовится к поступлению в институт. Его друг Сергей Павлович агитирует Ивана заниматься этой подготовкой в пионерском лагере в роли пионервожатого, где для этого якобы есть все необходимые условия. Иван соглашается, но уже через несколько дней сильно жалеет о своём решении: пионеры не хотят вовремя ложиться спать и игнорируют распорядок дня, а о покое и возможности позаниматься приходится только мечтать. Справиться с ними может только опытная учительница — педагог отряда Анна Петровна. Вдобавок ко всему группа ребят сбегает из лагеря в лес, где они пекут картошку в золе и поют песни. За это им грозит исключение из пионерлагеря. Иван решает отложить свою учёбу, взять на поруки ребят и включиться в пионерскую жизнь. Он на равных принимает участие в повседневной жизни своего отряда и завоёвывает авторитет.</t>
        </is>
      </c>
      <c r="L6586" s="2" t="inlineStr">
        <is>
          <t>https://ru.wikipedia.org/w/index.php?title=%D0%97%D0%B0%D0%B2%D1%82%D1%80%D0%B0%D0%BA_%D0%BD%D0%B0_%D1%82%D1%80%D0%B0%D0%B2%D0%B5_%28%D1%84%D0%B8%D0%BB%D1%8C%D0%BC%2C_1979%29&amp;oldid=151300858</t>
        </is>
      </c>
      <c r="M6586" s="2">
        <f>HYPERLINK("https://ru.wikipedia.org/w/index.php?search=%D0%97%D0%B0%D0%B2%D1%82%D1%80%D0%B0%D0%BA%20%D0%BD%D0%B0%20%D1%82%D1%80%D0%B0%D0%B2%D0%B5%201979%20%D1%84%D0%B8%D0%BB%D1%8C%D0%BC","искать")</f>
        <v/>
      </c>
      <c r="N6586" s="3" t="n"/>
      <c r="O6586" s="2" t="n"/>
      <c r="P6586" s="2" t="n"/>
    </row>
    <row r="6587">
      <c r="A6587" s="2" t="n">
        <v>6586</v>
      </c>
      <c r="B6587" s="2" t="inlineStr"/>
      <c r="C6587" s="2" t="n">
        <v>11513</v>
      </c>
      <c r="D6587" s="3" t="inlineStr">
        <is>
          <t>Дед Мороз и лето</t>
        </is>
      </c>
      <c r="E6587" s="2" t="n">
        <v>1969</v>
      </c>
      <c r="F6587" s="2" t="inlineStr">
        <is>
          <t>мультфильм</t>
        </is>
      </c>
      <c r="G6587" s="2" t="inlineStr">
        <is>
          <t>Союзмультфильм</t>
        </is>
      </c>
      <c r="H6587" s="2" t="n">
        <v>855</v>
      </c>
      <c r="I6587" s="2" t="inlineStr"/>
      <c r="J6587" s="2" t="inlineStr"/>
      <c r="K6587" s="3" t="inlineStr">
        <is>
          <t>Однажды Дед Мороз на Новый год узнает, что бывает лето. Узнав на новогодней елке у детей, что такое лето, Дед Мороз не может найти себе места — что же такое на самом деле лето? Он решает прийти к детям летом, в самую жару, чтобы увидеть лето своими глазами.Мультфильм содержит некоторое количество недетской иронии в отношении бытовых сцен. Морж-таксист лениво кивает на соседа как бы говоря: «Не работаю!» Люмпен-водитель самосвала ведет себя как и полагается настоящему пролетарию. Милиционер заявляет: «Дед Мороз летом?! Кто разрешил?!» Показан типаж любопытной дамы с собачкой, которая интересуется происходящим стоя снаружи толпы. В сцене, где Дед Мороз едет в ларе с мороженым, прицепленном к троллейбусу, на заднем плане на грузовике едут гости с юга, один из которых сидит на груде арбузов и ест арбуз.Музыка из мультфильма:Песенка о лете(1.59 Мб)</t>
        </is>
      </c>
      <c r="L6587" s="2" t="inlineStr">
        <is>
          <t>2026-10_мультфильмы_список_владельца.xlsx; https://animator.ru/db/?p=show_film&amp;fid=2284</t>
        </is>
      </c>
      <c r="M6587" s="2">
        <f>HYPERLINK("https://ru.wikipedia.org/w/index.php?search=%D0%94%D0%B5%D0%B4%20%D0%9C%D0%BE%D1%80%D0%BE%D0%B7%20%D0%B8%20%D0%BB%D0%B5%D1%82%D0%BE%201969%20%D1%84%D0%B8%D0%BB%D1%8C%D0%BC","искать")</f>
        <v/>
      </c>
      <c r="N6587" s="3" t="n"/>
      <c r="O6587" s="2" t="n"/>
      <c r="P6587" s="2" t="n"/>
    </row>
    <row r="6588">
      <c r="A6588" s="2" t="n">
        <v>6587</v>
      </c>
      <c r="B6588" s="2" t="inlineStr"/>
      <c r="C6588" s="2" t="n">
        <v>10637</v>
      </c>
      <c r="D6588" s="3" t="inlineStr">
        <is>
          <t>В одном микрорайоне</t>
        </is>
      </c>
      <c r="E6588" s="2" t="n">
        <v>1976</v>
      </c>
      <c r="F6588" s="2" t="inlineStr">
        <is>
          <t>фильм-спектакль</t>
        </is>
      </c>
      <c r="G6588" s="2" t="inlineStr">
        <is>
          <t>Центральное телевидение</t>
        </is>
      </c>
      <c r="H6588" s="2" t="n">
        <v>866</v>
      </c>
      <c r="I6588" s="2" t="inlineStr"/>
      <c r="J6588" s="2" t="inlineStr"/>
      <c r="K6588" s="3" t="inlineStr">
        <is>
          <t>Телесериал.
В новом московском микрорайоне зарождается новая советская жизнь. Новые люди, новые семьи, новые соседи. Лифт пока еще не работает, или уже не работает от постоянных перегрузок из-за транспортировки мебели. Соседи друг друга только узнают, знакомятся, постепенно жизни разных семей незаметно начинают пересекаться.
Обычная жизнь советских людей. Редкий и интересный спектакль, в котором, в отличие от социальных кинофильмов того времени, лучше и точнее показан простой быт граждан. Хотя вот, к примеру, честный слесарь не взявший трешку это несомненная фантастика, но в телепостановках всегда было меньше киношной бытовой ретуши. Малобюджетность, с одной стороны, но и меньший идеологический контроль выпускающих комиссий, с другой. Отличный телеспектакль для тех, кому интересна жизнь московской новостройки второй половины 70-х годов прошлого столетия.</t>
        </is>
      </c>
      <c r="L6588" s="2" t="inlineStr">
        <is>
          <t>https://www.kino-teatr.ru/teatr/movie/752/annot/</t>
        </is>
      </c>
      <c r="M6588" s="2">
        <f>HYPERLINK("https://ru.wikipedia.org/w/index.php?search=%D0%92%20%D0%BE%D0%B4%D0%BD%D0%BE%D0%BC%20%D0%BC%D0%B8%D0%BA%D1%80%D0%BE%D1%80%D0%B0%D0%B9%D0%BE%D0%BD%D0%B5%201976%20%D1%84%D0%B8%D0%BB%D1%8C%D0%BC","искать")</f>
        <v/>
      </c>
      <c r="N6588" s="3" t="n"/>
      <c r="O6588" s="2" t="n"/>
      <c r="P6588" s="2" t="n"/>
    </row>
    <row r="6589">
      <c r="A6589" s="2" t="n">
        <v>6588</v>
      </c>
      <c r="B6589" s="2" t="inlineStr"/>
      <c r="C6589" s="2" t="n">
        <v>11476</v>
      </c>
      <c r="D6589" s="3" t="inlineStr">
        <is>
          <t>Комедиант</t>
        </is>
      </c>
      <c r="E6589" s="2" t="n">
        <v>1968</v>
      </c>
      <c r="F6589" s="2" t="inlineStr">
        <is>
          <t>мультфильм</t>
        </is>
      </c>
      <c r="G6589" s="2" t="inlineStr">
        <is>
          <t>Союзмультфильм</t>
        </is>
      </c>
      <c r="H6589" s="2" t="n">
        <v>866</v>
      </c>
      <c r="I6589" s="2" t="inlineStr"/>
      <c r="J6589" s="2" t="inlineStr"/>
      <c r="K6589" s="3" t="inlineStr">
        <is>
          <t>Веселый комедиант приходит в страну Бомбижу и застает жителей в унынии и в слезах. Он пытается развеселить их, но попадает в тюрьму. Стражники рассказывают ему, что однажды, когда сватался король соседнего государства, у королевы застряла на голове корона, и все вокруг засмеялись. Она прогнала жениха и издала указ, запрещающий смеяться. Комедианту удается обмануть стражников и убежать в соседнее государство Жумбибо. Узнав о смерти своего друга, он горько плачет, и опять попадает в тюрьму. Оказывается, здешний король после неудачного сватовства запретил плакать. Комедианту удается сбежать и отсюда. Он поселяется на ветвях дуба, растущего между государствами и, чтобы помирить молодых монархов, посылает им с голубями приглашение на свидание. Ночью, крадучись приходят кокроль и королева и, впервые увидев друг друга, тут же влюбляются. Они отменяют свои указы</t>
        </is>
      </c>
      <c r="L6589" s="2" t="inlineStr">
        <is>
          <t>https://gosfilmofond.ru/films/254312/</t>
        </is>
      </c>
      <c r="M6589" s="2">
        <f>HYPERLINK("https://ru.wikipedia.org/w/index.php?search=%D0%9A%D0%BE%D0%BC%D0%B5%D0%B4%D0%B8%D0%B0%D0%BD%D1%82%201968%20%D1%84%D0%B8%D0%BB%D1%8C%D0%BC","искать")</f>
        <v/>
      </c>
      <c r="N6589" s="3" t="n"/>
      <c r="O6589" s="2" t="n"/>
      <c r="P6589" s="2" t="n"/>
    </row>
    <row r="6590">
      <c r="A6590" s="2" t="n">
        <v>6589</v>
      </c>
      <c r="B6590" s="2" t="inlineStr"/>
      <c r="C6590" s="2" t="n">
        <v>9630</v>
      </c>
      <c r="D6590" s="3" t="inlineStr">
        <is>
          <t>Свет над Россией</t>
        </is>
      </c>
      <c r="E6590" s="2" t="n">
        <v>1947</v>
      </c>
      <c r="F6590" s="2" t="inlineStr">
        <is>
          <t>кинофильм</t>
        </is>
      </c>
      <c r="G6590" s="2" t="n"/>
      <c r="H6590" s="2" t="n">
        <v>872</v>
      </c>
      <c r="I6590" s="2" t="inlineStr"/>
      <c r="J6590" s="2" t="inlineStr"/>
      <c r="K6590" s="3" t="inlineStr">
        <is>
          <t>Фильм снят по мотивам пьесы Николая Погодина «Кремлёвские куранты».
Кинолента построена на воспоминаниях участника Октябрьской социалистической революции матроса Александра Рыбакова, охранявшего В. И. Ленина и воевавшего с фашистами в годы Великой Отечественной войны.
Ключевая тема фильма «Свет над Россией» — воплощение в жизнь плана электрификации всей страны (ГОЭЛРО), свершённого в России под руководством большевистской партии В. И. Ленина и И. В. Сталина в 1920—1930-е годы.
В фильме также отражена история посещения Москвы Гербертом Уэллсом и его встречи с «кремлёвским мечтателем» В. И. Лениным, пригласившим писателя приехать в Россию через 10 лет, чтобы увидеть своими глазами выполнение плана ГОЭЛРО. Уэллс, написавший очерк «Россия во мгле», приехал в СССР в 1934 году и был поражён тем, что план был не просто выполнен, но и перевыполнен по ряду показателей.</t>
        </is>
      </c>
      <c r="L6590" s="2" t="inlineStr">
        <is>
          <t>https://ru.wikipedia.org/w/index.php?title=%D0%A1%D0%B2%D0%B5%D1%82_%D0%BD%D0%B0%D0%B4_%D0%A0%D0%BE%D1%81%D1%81%D0%B8%D0%B5%D0%B9&amp;oldid=154704257</t>
        </is>
      </c>
      <c r="M6590" s="2">
        <f>HYPERLINK("https://ru.wikipedia.org/w/index.php?search=%D0%A1%D0%B2%D0%B5%D1%82%20%D0%BD%D0%B0%D0%B4%20%D0%A0%D0%BE%D1%81%D1%81%D0%B8%D0%B5%D0%B9%201947%20%D1%84%D0%B8%D0%BB%D1%8C%D0%BC","искать")</f>
        <v/>
      </c>
      <c r="N6590" s="3" t="n"/>
      <c r="O6590" s="2" t="n"/>
      <c r="P6590" s="2" t="n"/>
    </row>
    <row r="6591">
      <c r="A6591" s="2" t="n">
        <v>6590</v>
      </c>
      <c r="B6591" s="2" t="inlineStr"/>
      <c r="C6591" s="2" t="n">
        <v>11230</v>
      </c>
      <c r="D6591" s="3" t="inlineStr">
        <is>
          <t>Три девушки в голубом</t>
        </is>
      </c>
      <c r="E6591" s="2" t="n">
        <v>1988</v>
      </c>
      <c r="F6591" s="2" t="inlineStr">
        <is>
          <t>фильм-спектакль</t>
        </is>
      </c>
      <c r="G6591" s="2" t="inlineStr">
        <is>
          <t>СОЮЗТЕАТР / СИНТЕЗ / Московский театр им. Ленинского комсомола</t>
        </is>
      </c>
      <c r="H6591" s="2" t="n">
        <v>874</v>
      </c>
      <c r="I6591" s="2" t="inlineStr"/>
      <c r="J6591" s="2" t="inlineStr"/>
      <c r="K6591" s="3" t="inlineStr">
        <is>
          <t>По одноименной пьесе Людмилы Петрушевской в постановке Московского театра им. Ленинского комсомола.
Три женщины «за тридцать» живут летом с маленькими сыновьями на даче. Светлана, Татьяна и Ира — троюродные сестры, детей они воспитывают в одиночку. Женщины ссорятся, выясняя, кому принадлежит половина дачи, чей сын обидчик, а чей — обиженный… Светлана и Татьяна живут на даче бесплатно, зато на их половине течет потолок. Ира снимает комнату у Федоровны, хозяйки второй половины дачи.Зато ей запрещено пользоваться принадлежащим сестрам туалетом.
Ира знакомится с соседом Николаем Ивановичем. Тот ухаживает за ней, восхищается ею, называя королевой красоты. В знак серьезности своих чувств он организует строительство туалета для Иры.
Сценическая жизнь героев Петрушевской, как всегда, полна нелепостей и абсурда, но зритель не будет сомневаться в реальности происходящего.</t>
        </is>
      </c>
      <c r="L6591" s="2" t="inlineStr">
        <is>
          <t>https://www.kino-teatr.ru/teatr/movie/7254/annot/</t>
        </is>
      </c>
      <c r="M6591" s="2">
        <f>HYPERLINK("https://ru.wikipedia.org/w/index.php?search=%D0%A2%D1%80%D0%B8%20%D0%B4%D0%B5%D0%B2%D1%83%D1%88%D0%BA%D0%B8%20%D0%B2%20%D0%B3%D0%BE%D0%BB%D1%83%D0%B1%D0%BE%D0%BC%201988%20%D1%84%D0%B8%D0%BB%D1%8C%D0%BC","искать")</f>
        <v/>
      </c>
      <c r="N6591" s="3" t="n"/>
      <c r="O6591" s="2" t="n"/>
      <c r="P6591" s="2" t="n"/>
    </row>
    <row r="6592">
      <c r="A6592" s="2" t="n">
        <v>6591</v>
      </c>
      <c r="B6592" s="2" t="inlineStr"/>
      <c r="C6592" s="2" t="n">
        <v>12007</v>
      </c>
      <c r="D6592" s="3" t="inlineStr">
        <is>
          <t>Жил-был пес</t>
        </is>
      </c>
      <c r="E6592" s="2" t="n">
        <v>1982</v>
      </c>
      <c r="F6592" s="2" t="inlineStr">
        <is>
          <t>мультфильм</t>
        </is>
      </c>
      <c r="G6592" s="2" t="inlineStr">
        <is>
          <t>Союзмультфильм</t>
        </is>
      </c>
      <c r="H6592" s="2" t="n">
        <v>876</v>
      </c>
      <c r="I6592" s="2" t="inlineStr"/>
      <c r="J6592" s="2" t="inlineStr"/>
      <c r="K6592" s="3" t="inlineStr">
        <is>
          <t>Цветной рисованный фильм. Дело происходит в украинском селе. Все персонажи выписаны с гоголевской образностью и сочностью, неподражаемым юмором и вниманием к деталям. А как подобраны песни! Как все нарисовано - об этом можно писать и писать. Жил-был пес (Бурков), верно служил, но выгнали его по старости без выходного пособия, и решил он повеситься,да повстречал в лесу такого же старого волка (Джигарханян), когда уже веревку на дерево закидывал. Волк зла не попомнил, и сговорились они так, чтобы волк украл на сенокосе дитя (одна эта сцена - просто шедевр!), а пес отнял его и героически спас. С тех пор спокойная старость была псу обеспечена, но о волке он не забыл. Сцену свадьбы, на котору пес пригласил подкрепиться своего серого друга, можно смотреть несколько раз подряд. Короче, рассчитан этот гениальнай мультфильм на людей любого возраста и политических взглядов.</t>
        </is>
      </c>
      <c r="L6592" s="2" t="inlineStr">
        <is>
          <t>2026-10_мультфильмы_список_владельца.xlsx; https://animator.ru/db/?p=show_film&amp;fid=3121</t>
        </is>
      </c>
      <c r="M6592" s="2">
        <f>HYPERLINK("https://ru.wikipedia.org/w/index.php?search=%D0%96%D0%B8%D0%BB-%D0%B1%D1%8B%D0%BB%20%D0%BF%D0%B5%D1%81%201982%20%D1%84%D0%B8%D0%BB%D1%8C%D0%BC","искать")</f>
        <v/>
      </c>
      <c r="N6592" s="3" t="n"/>
      <c r="O6592" s="2" t="n"/>
      <c r="P6592" s="2" t="n"/>
    </row>
    <row r="6593">
      <c r="A6593" s="2" t="n">
        <v>6592</v>
      </c>
      <c r="B6593" s="2" t="inlineStr"/>
      <c r="C6593" s="2" t="n">
        <v>10846</v>
      </c>
      <c r="D6593" s="3" t="inlineStr">
        <is>
          <t>История кавалера де Грие и Манон Леско</t>
        </is>
      </c>
      <c r="E6593" s="2" t="n">
        <v>1980</v>
      </c>
      <c r="F6593" s="2" t="inlineStr">
        <is>
          <t>фильм-спектакль</t>
        </is>
      </c>
      <c r="G6593" s="2" t="inlineStr">
        <is>
          <t>Главная редакция литературно-драматический программ ЦТ</t>
        </is>
      </c>
      <c r="H6593" s="2" t="n">
        <v>878</v>
      </c>
      <c r="I6593" s="2" t="inlineStr"/>
      <c r="J6593" s="2" t="inlineStr"/>
      <c r="K6593" s="3" t="inlineStr">
        <is>
          <t>По мотивам одноименного романа А.Ф.Прево.
Прево д'Экзиль Антуан Франсуа (1697-1763) - французский писатель, которого обычно называют Аббат Прево, всю жизнь разрывался между крайностями: то он хотел посвятить жизнь Богу, то опрометью кидался в житейское море. Постригся в монахи, ушел в монастырь, отрекся от мира и ... махнул через монастырскую стену и был таков. История кавалера де Грие и Манон Леско - знаменитый любовно-приключенческий роман 18 века. Дворянин де Грие влюбляется в загадочную и притягательную девушку незнатного происхождения Манон Леско. Девушка как будто и любит молодого человека, но при этом совершает недостойные поступки, соблазняя богатых дворян и вовлекая в беспутную жизнь самого де Грие. В Манон Леско "порок, оправданный любовью, ослепляет как добродетель". У писателя Прево богатое воображение, красивый слог, есть вкус и умение избегать пошлого.</t>
        </is>
      </c>
      <c r="L6593" s="2" t="inlineStr">
        <is>
          <t>https://www.kino-teatr.ru/teatr/movie/2771/annot/</t>
        </is>
      </c>
      <c r="M6593" s="2">
        <f>HYPERLINK("https://ru.wikipedia.org/w/index.php?search=%D0%98%D1%81%D1%82%D0%BE%D1%80%D0%B8%D1%8F%20%D0%BA%D0%B0%D0%B2%D0%B0%D0%BB%D0%B5%D1%80%D0%B0%20%D0%B4%D0%B5%20%D0%93%D1%80%D0%B8%D0%B5%20%D0%B8%20%D0%9C%D0%B0%D0%BD%D0%BE%D0%BD%20%D0%9B%D0%B5%D1%81%D0%BA%D0%BE%201980%20%D1%84%D0%B8%D0%BB%D1%8C%D0%BC","искать")</f>
        <v/>
      </c>
      <c r="N6593" s="3" t="n"/>
      <c r="O6593" s="2" t="n"/>
      <c r="P6593" s="2" t="n"/>
    </row>
    <row r="6594">
      <c r="A6594" s="2" t="n">
        <v>6593</v>
      </c>
      <c r="B6594" s="2" t="inlineStr"/>
      <c r="C6594" s="2" t="n">
        <v>8043</v>
      </c>
      <c r="D6594" s="3" t="inlineStr">
        <is>
          <t>Он, она и дети</t>
        </is>
      </c>
      <c r="E6594" s="2" t="n">
        <v>1986</v>
      </c>
      <c r="F6594" s="2" t="inlineStr">
        <is>
          <t>телефильм</t>
        </is>
      </c>
      <c r="G6594" s="2" t="n"/>
      <c r="H6594" s="2" t="n">
        <v>879</v>
      </c>
      <c r="I6594" s="2" t="inlineStr"/>
      <c r="J6594" s="2" t="inlineStr"/>
      <c r="K6594" s="3" t="inlineStr">
        <is>
          <t>Лирический рассказ о тихой любви двух обычных людей. Он метеоролог, по возможности подрабатывает техническими переводами в одном из издательств, живёт вдвоём с сыном-десятиклассником. Она — творческий работник, массовик в парке культуры и отдыха, воспитывает дочь. Ему 45, ей под 40, живут в одном микрорайоне, их дети-ровесники учатся в одной школе. Они оба одиноки — его жена погибла, её бывший муж иногда шлёт алименты.
Друзья и коллеги по-разному отнеслись к их роману. Одни поддержали влюблённых, другие — нет. Дети героев также ревниво следят за желанием своих родителей создать новую семью. Их недоверие усиливается и взаимным непониманием. Саша и Аня — оба очень увлечённые, но разные люди. Сашина жёсткость по отношению к людям отпугивает Аню. Через трудное общение, шаг за шагом, стараясь соблюдать интересы друг друга, все четверо делают попытку научиться жить вместе.</t>
        </is>
      </c>
      <c r="L6594" s="2" t="inlineStr">
        <is>
          <t>https://ru.wikipedia.org/w/index.php?title=%D0%9E%D0%BD%2C_%D0%BE%D0%BD%D0%B0_%D0%B8_%D0%B4%D0%B5%D1%82%D0%B8&amp;oldid=154123079</t>
        </is>
      </c>
      <c r="M6594" s="2">
        <f>HYPERLINK("https://ru.wikipedia.org/w/index.php?search=%D0%9E%D0%BD%2C%20%D0%BE%D0%BD%D0%B0%20%D0%B8%20%D0%B4%D0%B5%D1%82%D0%B8%201986%20%D1%84%D0%B8%D0%BB%D1%8C%D0%BC","искать")</f>
        <v/>
      </c>
      <c r="N6594" s="3" t="n"/>
      <c r="O6594" s="2" t="n"/>
      <c r="P6594" s="2" t="n"/>
    </row>
    <row r="6595">
      <c r="A6595" s="2" t="n">
        <v>6594</v>
      </c>
      <c r="B6595" s="2" t="inlineStr"/>
      <c r="C6595" s="2" t="n">
        <v>11502</v>
      </c>
      <c r="D6595" s="3" t="inlineStr">
        <is>
          <t>Бременские музыканты</t>
        </is>
      </c>
      <c r="E6595" s="2" t="n">
        <v>1969</v>
      </c>
      <c r="F6595" s="2" t="inlineStr">
        <is>
          <t>мультфильм</t>
        </is>
      </c>
      <c r="G6595" s="2" t="inlineStr">
        <is>
          <t>Союзмультфильм</t>
        </is>
      </c>
      <c r="H6595" s="2" t="n">
        <v>879</v>
      </c>
      <c r="I6595" s="2" t="inlineStr"/>
      <c r="J6595" s="2" t="inlineStr"/>
      <c r="K6595" s="3" t="inlineStr">
        <is>
          <t>Музыкальная фантазия на тему одноименной сказки братьев Гримм. Юноша-трубадур и его друзья - Кот, Пес, Осел и Петух - бродячие артисты. Однажды в королевском замке они устраивают представление. Прекрасная Принцесса и веселый Юноша сразу влюбляются друг в друга и, расставшись, грустят...Ночью в лесу друзья набредают на избушку, где пируют разбойники со своей Атаманшей. Они замышляют ограбить короля. Музыкантам удается ловко их напугать, и шайка в панике разбегается. Утром в лесу на Короля и его свиту нападают разбойники. Король не подозревает, что перед ним переодетые артисты. И потому, когда Юноша-трубадур "спасает" ео величество от опасности, Король торжественно клянется отдать в жены трубадуру свою дочь. Во дворце играют пышную свадьбу. Но Юноша и Принцесса не хотят жить в королевских покоях. Они сбегают из замка и присоединяются к своим бродячим друзьям-музыкантам</t>
        </is>
      </c>
      <c r="L6595" s="2" t="inlineStr">
        <is>
          <t>https://gosfilmofond.ru/films/254731/</t>
        </is>
      </c>
      <c r="M6595" s="2">
        <f>HYPERLINK("https://ru.wikipedia.org/w/index.php?search=%D0%91%D1%80%D0%B5%D0%BC%D0%B5%D0%BD%D1%81%D0%BA%D0%B8%D0%B5%20%D0%BC%D1%83%D0%B7%D1%8B%D0%BA%D0%B0%D0%BD%D1%82%D1%8B%201969%20%D1%84%D0%B8%D0%BB%D1%8C%D0%BC","искать")</f>
        <v/>
      </c>
      <c r="N6595" s="3" t="n"/>
      <c r="O6595" s="2" t="n"/>
      <c r="P6595" s="2" t="n"/>
    </row>
    <row r="6596">
      <c r="A6596" s="2" t="n">
        <v>6595</v>
      </c>
      <c r="B6596" s="2" t="inlineStr"/>
      <c r="C6596" s="2" t="n">
        <v>8140</v>
      </c>
      <c r="D6596" s="3" t="inlineStr">
        <is>
          <t>Подросток</t>
        </is>
      </c>
      <c r="E6596" s="2" t="n">
        <v>1983</v>
      </c>
      <c r="F6596" s="2" t="inlineStr">
        <is>
          <t>телефильм</t>
        </is>
      </c>
      <c r="G6596" s="2" t="inlineStr">
        <is>
          <t>Мосфильм</t>
        </is>
      </c>
      <c r="H6596" s="2" t="n">
        <v>881</v>
      </c>
      <c r="I6596" s="2" t="inlineStr"/>
      <c r="J6596" s="2" t="inlineStr"/>
      <c r="K6596" s="3" t="inlineStr">
        <is>
          <t>Девятнадцатилетний юноша Аркадий Долгорукий, незаконнорождённый сын дворянина Андрея Петровича Версилова, после окончания гимназии приехав в столичный город — Санкт-Петербург, останавливается в доме родной матери. Юноше кажется, что жизнь и судьба его обидели: причину своих душевных мучений он видит в поступках своих близких — главным образом, матери и отца. Он сразу же оказывается вовлечён в череду интриг и сложные взаимоотношения с отцом.
Однако позже выясняется, что Аркадий ещё слишком молод и мало знает, чтобы судить других людей. Его жизненное становление, закалка характера и мировоззренческое прозрение происходит на фоне страстей, обмана, ханжества и корысти мира взрослых. Как писал Достоевский: «Разложение — главная видимая мысль романа. Аркадий — „дитя случайного семейства“».
Сцены из фильма снимали в бывших домах Ю. Д. Москатиньева в переулке Чернышевского, 6.</t>
        </is>
      </c>
      <c r="L6596" s="2" t="inlineStr">
        <is>
          <t>https://ru.wikipedia.org/w/index.php?title=%D0%9F%D0%BE%D0%B4%D1%80%D0%BE%D1%81%D1%82%D0%BE%D0%BA_%28%D1%84%D0%B8%D0%BB%D1%8C%D0%BC%2C_1983%29&amp;oldid=154702679</t>
        </is>
      </c>
      <c r="M6596" s="2">
        <f>HYPERLINK("https://ru.wikipedia.org/w/index.php?search=%D0%9F%D0%BE%D0%B4%D1%80%D0%BE%D1%81%D1%82%D0%BE%D0%BA%201983%20%D1%84%D0%B8%D0%BB%D1%8C%D0%BC","искать")</f>
        <v/>
      </c>
      <c r="N6596" s="3" t="n"/>
      <c r="O6596" s="2" t="n"/>
      <c r="P6596" s="2" t="n"/>
    </row>
    <row r="6597">
      <c r="A6597" s="2" t="n">
        <v>6596</v>
      </c>
      <c r="B6597" s="2" t="inlineStr"/>
      <c r="C6597" s="2" t="n">
        <v>9620</v>
      </c>
      <c r="D6597" s="3" t="inlineStr">
        <is>
          <t>Родня</t>
        </is>
      </c>
      <c r="E6597" s="2" t="n">
        <v>1981</v>
      </c>
      <c r="F6597" s="2" t="inlineStr">
        <is>
          <t>кинофильм</t>
        </is>
      </c>
      <c r="G6597" s="2" t="n"/>
      <c r="H6597" s="2" t="n">
        <v>881</v>
      </c>
      <c r="I6597" s="2" t="inlineStr"/>
      <c r="J6597" s="2" t="inlineStr"/>
      <c r="K6597" s="3" t="inlineStr">
        <is>
          <t>Мария Васильевна Коновалова (Нонна Мордюкова), простая, но чрезвычайно душевная женщина из деревни, едет в город навестить дочь Нину (Светлана Крючкова) и любимую внучку Иришку (Федя Стуков). В поезде она знакомится с главным инженером рыбзавода Ляпиным (Андрей Петров), тоже немолодым, но очень добрым и милым человеком. В городе добрая и простодушная женщина никак не предполагала, в каком мире живут её самые дорогие и, пожалуй, единственно близкие ей люди. Она узнаёт, что дочь начала курить, не любит мужа, с которым не живёт, хотя и не развелась, не любит свою работу, на которую выучилась, чтоб только уехать из села, да и жизнь свою, похоже, не очень любит. Всё это отрицательно сказывается на внучке. Пытаясь разобраться с помощью своих деревенских представлений о жизни в сложных отношениях дочери с бывшим мужем (Юрий Богатырёв), она приносит им и себе немало огорчений.</t>
        </is>
      </c>
      <c r="L6597" s="2" t="inlineStr">
        <is>
          <t>https://ru.wikipedia.org/w/index.php?title=%D0%A0%D0%BE%D0%B4%D0%BD%D1%8F&amp;oldid=155311970</t>
        </is>
      </c>
      <c r="M6597" s="2">
        <f>HYPERLINK("https://ru.wikipedia.org/w/index.php?search=%D0%A0%D0%BE%D0%B4%D0%BD%D1%8F%201981%20%D1%84%D0%B8%D0%BB%D1%8C%D0%BC","искать")</f>
        <v/>
      </c>
      <c r="N6597" s="3" t="n"/>
      <c r="O6597" s="2" t="n"/>
      <c r="P6597" s="2" t="n"/>
    </row>
    <row r="6598">
      <c r="A6598" s="2" t="n">
        <v>6597</v>
      </c>
      <c r="B6598" s="2" t="inlineStr"/>
      <c r="C6598" s="2" t="n">
        <v>7302</v>
      </c>
      <c r="D6598" s="3" t="inlineStr">
        <is>
          <t>В тринадцатом часу ночи</t>
        </is>
      </c>
      <c r="E6598" s="2" t="n">
        <v>1968</v>
      </c>
      <c r="F6598" s="2" t="inlineStr">
        <is>
          <t>телефильм</t>
        </is>
      </c>
      <c r="G6598" s="2" t="inlineStr">
        <is>
          <t>Центральное телевидение; Творческое объединение «Экран»</t>
        </is>
      </c>
      <c r="H6598" s="2" t="n">
        <v>882</v>
      </c>
      <c r="I6598" s="2" t="inlineStr"/>
      <c r="J6598" s="2" t="inlineStr"/>
      <c r="K6598" s="3" t="inlineStr">
        <is>
          <t>В новогоднюю ночь в лесной избушке на курьих ножках собралась нечисть под предводительством Бабы-Яги — Водяной, Леший, Домовой, Овинный, Русалка и Анчутка ждут для встречи Нового 1969 года «высокого заграничного гостя». Гость прибывает, им оказывается маленький гномик в красном костюме, говорящий на иностранном языке (в роли переводчицы выступает Русалка). Герои садятся за праздничный стол, поют и пляшут, но больше всего их привлекает просмотр развлекательной передачи по Центральному телевидению. Наконец вся компания волшебным образом перемещается в телестудию, где быстро наводит свои порядки.
Игровые эпизоды в фильме чередуются с выступлениями известных артистов той эпохи — польского ансамбля «Красные гитары», пародиста Виктора Чистякова, исполнителя цыганских романсов Валентина Баглаенко, певицы Ирмы Сохадзе, фокусника Арутюна Акопяна, танцевальных ансамблей и других.</t>
        </is>
      </c>
      <c r="L6598" s="2" t="inlineStr">
        <is>
          <t>https://ru.wikipedia.org/w/index.php?title=%D0%92_%D1%82%D1%80%D0%B8%D0%BD%D0%B0%D0%B4%D1%86%D0%B0%D1%82%D0%BE%D0%BC_%D1%87%D0%B0%D1%81%D1%83_%D0%BD%D0%BE%D1%87%D0%B8&amp;oldid=149756038</t>
        </is>
      </c>
      <c r="M6598" s="2">
        <f>HYPERLINK("https://ru.wikipedia.org/w/index.php?search=%D0%92%20%D1%82%D1%80%D0%B8%D0%BD%D0%B0%D0%B4%D1%86%D0%B0%D1%82%D0%BE%D0%BC%20%D1%87%D0%B0%D1%81%D1%83%20%D0%BD%D0%BE%D1%87%D0%B8%201968%20%D1%84%D0%B8%D0%BB%D1%8C%D0%BC","искать")</f>
        <v/>
      </c>
      <c r="N6598" s="3" t="n"/>
      <c r="O6598" s="2" t="n"/>
      <c r="P6598" s="2" t="n"/>
    </row>
    <row r="6599">
      <c r="A6599" s="2" t="n">
        <v>6598</v>
      </c>
      <c r="B6599" s="2" t="inlineStr"/>
      <c r="C6599" s="2" t="n">
        <v>10345</v>
      </c>
      <c r="D6599" s="3" t="inlineStr">
        <is>
          <t>Эгмонт</t>
        </is>
      </c>
      <c r="E6599" s="2" t="n">
        <v>1969</v>
      </c>
      <c r="F6599" s="2" t="inlineStr">
        <is>
          <t>фильм-спектакль</t>
        </is>
      </c>
      <c r="G6599" s="2" t="inlineStr">
        <is>
          <t>Главная редакция литературно-драматических программ ЦТ</t>
        </is>
      </c>
      <c r="H6599" s="2" t="n">
        <v>882</v>
      </c>
      <c r="I6599" s="2" t="inlineStr"/>
      <c r="J6599" s="2" t="inlineStr"/>
      <c r="K6599" s="3" t="inlineStr">
        <is>
          <t>В 1809 году Бетховен получает от дирекции Венского придворного театра заказ на написание музыки к трагедии Гете "Эгмонт" и работает над ней с конца 1809 до весны 1810 года, по его собственным словам, "исключительно из любви к поэту". Бетховен высоко ценил творчество Гете, с которым неоднократно встречался. Музыка к "Эгмонту" состоит из увертюры, созданной последней, и девяти номеров. Впервые она прозвучала 15 июня 1810 года, когда трагедия Гете была исполнена в четвертый раз в Венском придворном театре. У Гете Эгмонт молод, холост и влюблен. Его возлюбленная, простая девушка Клерхен, мечтает сражаться вместе с ним. Она же зовет к восстанию, чтобы освободить героя, и, не в силах пережить смерть любимого, кончает с собой. Призывом к борьбе за свободу, верой в победу народа, несмотря на все страдания и жертвы, наполнен заключительный монолог Эгмонта в темнице перед казнью.</t>
        </is>
      </c>
      <c r="L6599" s="2" t="inlineStr">
        <is>
          <t>https://www.kino-teatr.ru/teatr/movie/108468/annot/</t>
        </is>
      </c>
      <c r="M6599" s="2">
        <f>HYPERLINK("https://ru.wikipedia.org/w/index.php?search=%D0%AD%D0%B3%D0%BC%D0%BE%D0%BD%D1%82%201969%20%D1%84%D0%B8%D0%BB%D1%8C%D0%BC","искать")</f>
        <v/>
      </c>
      <c r="N6599" s="3" t="n"/>
      <c r="O6599" s="2" t="n"/>
      <c r="P6599" s="2" t="n"/>
    </row>
    <row r="6600">
      <c r="A6600" s="2" t="n">
        <v>6599</v>
      </c>
      <c r="B6600" s="2" t="inlineStr"/>
      <c r="C6600" s="2" t="n">
        <v>11172</v>
      </c>
      <c r="D6600" s="3" t="inlineStr">
        <is>
          <t>Мужчина в зеленых очках</t>
        </is>
      </c>
      <c r="E6600" s="2" t="n">
        <v>1987</v>
      </c>
      <c r="F6600" s="2" t="inlineStr">
        <is>
          <t>фильм-спектакль</t>
        </is>
      </c>
      <c r="G6600" s="2" t="n"/>
      <c r="H6600" s="2" t="n">
        <v>888</v>
      </c>
      <c r="I6600" s="2" t="inlineStr"/>
      <c r="J6600" s="2" t="inlineStr"/>
      <c r="K6600" s="3" t="inlineStr">
        <is>
          <t>В спектакле - почтальон (Гаджи Исмайлов), Казим (Яшар Нуриев), смотрящий фильмы Альфреда Хичкока, Захра (Афаг Баширгызы), смотрящая на судьбу с помощью компьютера, Гариб (Мабуд Магеррамов), производитель игрушек, режиссер Джахангир (Джахангир Новрузов), начальник полиции Сейфулла (Саявуш Аслан), дракон в пьесе, доставляет сверток с головой дракона и призывает каждого из них прийти по адресу, указанному в письме с головой дракона. Пришедшие по адресу, названному головой дракона, понимают, что «почтальон», который на самом деле является их родственником, собрал гостей, которые давно не виделись, и поскольку год был доставлен на драконе, На свертки клали голову дракона. «Почтальон» Гафар, прикрепляя головы драконов к иллюстрации на стене, говорит: «Тело без головы бесполезно» и приглашает гостей к праздничному столу. Основная идея пьесы – повысить внимание к семейным отношениям.</t>
        </is>
      </c>
      <c r="L6600" s="2" t="inlineStr">
        <is>
          <t>https://www.kino-teatr.ru/teatr/movie/144496/annot/</t>
        </is>
      </c>
      <c r="M6600" s="2">
        <f>HYPERLINK("https://ru.wikipedia.org/w/index.php?search=%D0%9C%D1%83%D0%B6%D1%87%D0%B8%D0%BD%D0%B0%20%D0%B2%20%D0%B7%D0%B5%D0%BB%D0%B5%D0%BD%D1%8B%D1%85%20%D0%BE%D1%87%D0%BA%D0%B0%D1%85%201987%20%D1%84%D0%B8%D0%BB%D1%8C%D0%BC","искать")</f>
        <v/>
      </c>
      <c r="N6600" s="3" t="n"/>
      <c r="O6600" s="2" t="n"/>
      <c r="P6600" s="2" t="n"/>
    </row>
    <row r="6601">
      <c r="A6601" s="2" t="n">
        <v>6600</v>
      </c>
      <c r="B6601" s="2" t="inlineStr"/>
      <c r="C6601" s="2" t="n">
        <v>11055</v>
      </c>
      <c r="D6601" s="3" t="inlineStr">
        <is>
          <t>День на двоих</t>
        </is>
      </c>
      <c r="E6601" s="2" t="n">
        <v>1985</v>
      </c>
      <c r="F6601" s="2" t="inlineStr">
        <is>
          <t>фильм-спектакль</t>
        </is>
      </c>
      <c r="G6601" s="2" t="inlineStr">
        <is>
          <t>Ленинградское телевидение</t>
        </is>
      </c>
      <c r="H6601" s="2" t="n">
        <v>890</v>
      </c>
      <c r="I6601" s="2" t="inlineStr"/>
      <c r="J6601" s="2" t="inlineStr"/>
      <c r="K6601" s="3" t="inlineStr">
        <is>
          <t>Из цикла "Следы остаются" (Дела и люди ленинградской милиции).
Спектакль, созданный много лет назад на Ленинградском телевидении, привлечет внимание любителей детективного жанра. Основанный на документальном материале уголовного дела, рассмотренного городским судом, он, несомненно, понравится тем, кто интересуется историей раскрытия очередного преступления работниками угрозыска и нравственными проблемами.
Итак, совершено преступление. Исчезает молодая кассир одного из предприятий с крупной суммой денег. Группа сотрудников Управления уголовного розыска включается в работу.
А через несколько дней полковнику Дробышеву докладывают об убийстве молодого человека на пустыре, у стоянки катеров. Расследование поручается группе капитана Самарина.
Кто преступник? Каковы мотивы его действий? Имеют ли два эти преступления связь? Эти и многие сопутствующие вопросы встали перед следователями.</t>
        </is>
      </c>
      <c r="L6601" s="2" t="inlineStr">
        <is>
          <t>https://www.kino-teatr.ru/teatr/movie/17428/annot/</t>
        </is>
      </c>
      <c r="M6601" s="2">
        <f>HYPERLINK("https://ru.wikipedia.org/w/index.php?search=%D0%94%D0%B5%D0%BD%D1%8C%20%D0%BD%D0%B0%20%D0%B4%D0%B2%D0%BE%D0%B8%D1%85%201985%20%D1%84%D0%B8%D0%BB%D1%8C%D0%BC","искать")</f>
        <v/>
      </c>
      <c r="N6601" s="3" t="n"/>
      <c r="O6601" s="2" t="n"/>
      <c r="P6601" s="2" t="n"/>
    </row>
    <row r="6602">
      <c r="A6602" s="2" t="n">
        <v>6601</v>
      </c>
      <c r="B6602" s="2" t="inlineStr"/>
      <c r="C6602" s="2" t="n">
        <v>7283</v>
      </c>
      <c r="D6602" s="3" t="inlineStr">
        <is>
          <t>Был месяц май</t>
        </is>
      </c>
      <c r="E6602" s="2" t="n">
        <v>1970</v>
      </c>
      <c r="F6602" s="2" t="inlineStr">
        <is>
          <t>телефильм</t>
        </is>
      </c>
      <c r="G6602" s="2" t="n"/>
      <c r="H6602" s="2" t="n">
        <v>892</v>
      </c>
      <c r="I6602" s="2" t="inlineStr"/>
      <c r="J6602" s="2" t="inlineStr"/>
      <c r="K6602" s="3" t="inlineStr">
        <is>
          <t>Первые послевоенные дни. Четверо разведчиков во главе с молодым лейтенантом Николаевым расположились на хуторе зажиточного немецкого крестьянина Рашке, вернувшегося инвалидом с Восточного фронта. Хозяин и его семейство вежливы и предупредительны. Герои наслаждаются долгожданным мирным покоем. Но это ощущение покоя оказывается обманчивым. В одну из ночей разведчики бродят по опустевшему концлагерю и попадают в помещение с высокой трубой, назначение которого им непонятно. Поэтому оно вызывает у них безотчетный страх. Сумерки рассветные переходят в сумерки вечерние, и из них один за другим начинают являться юному лейтенанту похожие на призраков недавние узники концлагеря. Откроет жуткую тайну процветания хозяйства Рашке один из них - работающий на ферме полубезумный поляк. И тогда за вопросом бывалого вояки Яковенко слышится растерянное: как с этим открывшимся страшным знанием жить?</t>
        </is>
      </c>
      <c r="L6602" s="2" t="inlineStr">
        <is>
          <t>https://gosfilmofond.ru/films/279297/</t>
        </is>
      </c>
      <c r="M6602" s="2">
        <f>HYPERLINK("https://ru.wikipedia.org/w/index.php?search=%D0%91%D1%8B%D0%BB%20%D0%BC%D0%B5%D1%81%D1%8F%D1%86%20%D0%BC%D0%B0%D0%B9%201970%20%D1%84%D0%B8%D0%BB%D1%8C%D0%BC","искать")</f>
        <v/>
      </c>
      <c r="N6602" s="3" t="n"/>
      <c r="O6602" s="2" t="n"/>
      <c r="P6602" s="2" t="n"/>
    </row>
    <row r="6603">
      <c r="A6603" s="2" t="n">
        <v>6602</v>
      </c>
      <c r="B6603" s="2" t="inlineStr"/>
      <c r="C6603" s="2" t="n">
        <v>8771</v>
      </c>
      <c r="D6603" s="3" t="inlineStr">
        <is>
          <t>Конечная остановка</t>
        </is>
      </c>
      <c r="E6603" s="2" t="n">
        <v>1989</v>
      </c>
      <c r="F6603" s="2" t="inlineStr">
        <is>
          <t>кинофильм</t>
        </is>
      </c>
      <c r="G6603" s="2" t="n"/>
      <c r="H6603" s="2" t="n">
        <v>892</v>
      </c>
      <c r="I6603" s="2" t="inlineStr"/>
      <c r="J6603" s="2" t="inlineStr"/>
      <c r="K6603" s="3" t="inlineStr">
        <is>
          <t>Конец 1980-х годов. Еркен, демобилизовавшись из армии, возвращается в родной аул Аксуат, по которому так соскучился, и узнает, что его любимая девушка вышла замуж за другого. Расстроенный парень идет на встречу с друзьями, с ними празднует свое возвращение, вместе с ними же попадает на чью-то свадьбу, где дело не обходится без драки. Потом Еркен пытается раздобыть у родственников машину, чтобы покататься по аулу, добирается до своей давней знакомой и у нее проводит ночь. На следующий день он становится свидетелем того, как в перестрелке гибнет его друг — по глупости, из-за мелкого хулиганства. Наконец, Еркен встречает свою бывшую невесту, которая, как выясняется, выдана замуж насильно. Постепенно Еркеном овладевает тоска и разочарование: вчерашний солдат увидел родину другими глазами, дела и заботы знакомых кажутся ему бессмысленными. Юноша уезжает в город, по-видимому, навсегда.</t>
        </is>
      </c>
      <c r="L6603" s="2" t="inlineStr">
        <is>
          <t>https://gosfilmofond.ru/films/240897/</t>
        </is>
      </c>
      <c r="M6603" s="2">
        <f>HYPERLINK("https://ru.wikipedia.org/w/index.php?search=%D0%9A%D0%BE%D0%BD%D0%B5%D1%87%D0%BD%D0%B0%D1%8F%20%D0%BE%D1%81%D1%82%D0%B0%D0%BD%D0%BE%D0%B2%D0%BA%D0%B0%201989%20%D1%84%D0%B8%D0%BB%D1%8C%D0%BC","искать")</f>
        <v/>
      </c>
      <c r="N6603" s="3" t="n"/>
      <c r="O6603" s="2" t="n"/>
      <c r="P6603" s="2" t="n"/>
    </row>
    <row r="6604">
      <c r="A6604" s="2" t="n">
        <v>6603</v>
      </c>
      <c r="B6604" s="2" t="inlineStr"/>
      <c r="C6604" s="2" t="n">
        <v>8544</v>
      </c>
      <c r="D6604" s="3" t="inlineStr">
        <is>
          <t>Частное лицо</t>
        </is>
      </c>
      <c r="E6604" s="2" t="n">
        <v>1980</v>
      </c>
      <c r="F6604" s="2" t="inlineStr">
        <is>
          <t>телефильм</t>
        </is>
      </c>
      <c r="G6604" s="2" t="n"/>
      <c r="H6604" s="2" t="n">
        <v>896</v>
      </c>
      <c r="I6604" s="2" t="inlineStr"/>
      <c r="J6604" s="2" t="inlineStr"/>
      <c r="K6604" s="3" t="inlineStr">
        <is>
          <t>Осенью 1979 года полковник начальник уголовного розыска Лукьянов из Москвы приезжает с женой в отпуск в Крым, по приглашению своего старого товарища, майора местной милиции Алексеева. На первой короткой встрече Алексеев упоминает, что ведёт важное расследование по делу, которое друзья договариваются обсудить на следующий день. Однако ночью Алексеева при задержании им преступника насмерть сбивает машина. Лукьянов обращается к своему однокурснику, начальнику местной милиции Тарасенко с предложением принять участие в расследовании гибели друга. Совместно со следователем Рудаковым и сотрудником уголовного розыска Ващенко Лукьянов начинает расследование этого дела.
Сюжет основан на реальной истории организованной преступной группировки «Тяп-Ляп», возникшей в Казани в 1974 году. Создатели открыли спортивный зал (в простонародье «качалку») для трудных подростков, вербуя из них членов банды.</t>
        </is>
      </c>
      <c r="L6604" s="2" t="inlineStr">
        <is>
          <t>https://ru.wikipedia.org/w/index.php?title=%D0%A7%D0%B0%D1%81%D1%82%D0%BD%D0%BE%D0%B5_%D0%BB%D0%B8%D1%86%D0%BE_%28%D1%84%D0%B8%D0%BB%D1%8C%D0%BC%29&amp;oldid=154687660</t>
        </is>
      </c>
      <c r="M6604" s="2">
        <f>HYPERLINK("https://ru.wikipedia.org/w/index.php?search=%D0%A7%D0%B0%D1%81%D1%82%D0%BD%D0%BE%D0%B5%20%D0%BB%D0%B8%D1%86%D0%BE%201980%20%D1%84%D0%B8%D0%BB%D1%8C%D0%BC","искать")</f>
        <v/>
      </c>
      <c r="N6604" s="3" t="n"/>
      <c r="O6604" s="2" t="n"/>
      <c r="P6604" s="2" t="n"/>
    </row>
    <row r="6605">
      <c r="A6605" s="2" t="n">
        <v>6604</v>
      </c>
      <c r="B6605" s="2" t="inlineStr"/>
      <c r="C6605" s="2" t="n">
        <v>7486</v>
      </c>
      <c r="D6605" s="3" t="inlineStr">
        <is>
          <t>Двое в пути</t>
        </is>
      </c>
      <c r="E6605" s="2" t="n">
        <v>1973</v>
      </c>
      <c r="F6605" s="2" t="inlineStr">
        <is>
          <t>телефильм</t>
        </is>
      </c>
      <c r="G6605" s="2" t="n"/>
      <c r="H6605" s="2" t="n">
        <v>898</v>
      </c>
      <c r="I6605" s="2" t="inlineStr"/>
      <c r="J6605" s="2" t="inlineStr"/>
      <c r="K6605" s="3" t="inlineStr">
        <is>
          <t>Под осенним небом хмурится размытая дорога. Приехавшая в деревню простенькая некрасивая девчонка-штукатур Оля Чумакова трясётся в кабине неприхотливого грузовичка. Не оправдался её сердечный интерес, по которому она приехала: морячок с фотокарточки оказался неумным и самодовольным. Оля взялась доказать морячку, что не занимать ей характера, сможет она найти другого парня, если пожелает. Отпуск был испорчен, потому что пришлось возить картошку, зато встретился Оле Асхат, в котором и нашла девушка своё трудное и нескладное счастье.
Молчаливого красивого шофёра Асхата бросила жена, и он остался вдвоём с маленькой дочкой. Асхату встретилась молодая девушка Оля, которая влюбилась в него. Асхат попросил Ольгу выйти за него замуж. Но она узнала, что к Асхату решила вернуться жена, поэтому Оля отказалась от свадьбы с Асхатом. Такое решение она приняла, не желая ребёнку жизни без родной матери.</t>
        </is>
      </c>
      <c r="L6605" s="2" t="inlineStr">
        <is>
          <t>https://ru.wikipedia.org/w/index.php?title=%D0%94%D0%B2%D0%BE%D0%B5_%D0%B2_%D0%BF%D1%83%D1%82%D0%B8&amp;oldid=150976588</t>
        </is>
      </c>
      <c r="M6605" s="2">
        <f>HYPERLINK("https://ru.wikipedia.org/w/index.php?search=%D0%94%D0%B2%D0%BE%D0%B5%20%D0%B2%20%D0%BF%D1%83%D1%82%D0%B8%201973%20%D1%84%D0%B8%D0%BB%D1%8C%D0%BC","искать")</f>
        <v/>
      </c>
      <c r="N6605" s="3" t="n"/>
      <c r="O6605" s="2" t="n"/>
      <c r="P6605" s="2" t="n"/>
    </row>
    <row r="6606">
      <c r="A6606" s="2" t="n">
        <v>6605</v>
      </c>
      <c r="B6606" s="2" t="inlineStr"/>
      <c r="C6606" s="2" t="n">
        <v>9566</v>
      </c>
      <c r="D6606" s="3" t="inlineStr">
        <is>
          <t>Поездка в Висбаден</t>
        </is>
      </c>
      <c r="E6606" s="2" t="n">
        <v>1989</v>
      </c>
      <c r="F6606" s="2" t="inlineStr">
        <is>
          <t>кинофильм</t>
        </is>
      </c>
      <c r="G6606" s="2" t="n"/>
      <c r="H6606" s="2" t="n">
        <v>898</v>
      </c>
      <c r="I6606" s="2" t="inlineStr"/>
      <c r="J6606" s="2" t="inlineStr"/>
      <c r="K6606" s="3" t="inlineStr">
        <is>
          <t>По мотивам повести И. Тургенева «Вешние воды». Германия, 1840 г. Двадцатидвухлетний Дмитрий Санин оказывается проездом во Франкфурте. В кондитерской он знакомится с прелестной итальянкой Джеммой. Джемма нравится Санину, молодой человек начинает за ней ухаживать и вскоре просит ее руки. Матушка Джеммы и старый друг дома Панталеоне благословляют молодых людей. Близится свадьба. Санину необходимо ненадолго разлучиться с невестой — ему надо съездить в Висбаден, чтобы продать свое небольшое имение богатой помещице Полозовой и получить таким образом деньги для будущей семейной жизни. Для Марии Полозовой юноша становится очередным развлечением. Санин же никак не может выбрать: в нем уживается и романтическое чувство к Джемме, и влечение к Полозовой. Он предает свою первую любовь незаметно для себя и, осознав это, понимает, что возврат к былому не возможен. Дмитрий уезжает с Полозовой в Париж.</t>
        </is>
      </c>
      <c r="L6606" s="2" t="inlineStr">
        <is>
          <t>https://gosfilmofond.ru/films/240756/</t>
        </is>
      </c>
      <c r="M6606" s="2">
        <f>HYPERLINK("https://ru.wikipedia.org/w/index.php?search=%D0%9F%D0%BE%D0%B5%D0%B7%D0%B4%D0%BA%D0%B0%20%D0%B2%20%D0%92%D0%B8%D1%81%D0%B1%D0%B0%D0%B4%D0%B5%D0%BD%201989%20%D1%84%D0%B8%D0%BB%D1%8C%D0%BC","искать")</f>
        <v/>
      </c>
      <c r="N6606" s="3" t="n"/>
      <c r="O6606" s="2" t="n"/>
      <c r="P6606" s="2" t="n"/>
    </row>
    <row r="6607">
      <c r="A6607" s="2" t="n">
        <v>6606</v>
      </c>
      <c r="B6607" s="2" t="inlineStr"/>
      <c r="C6607" s="2" t="n">
        <v>9690</v>
      </c>
      <c r="D6607" s="3" t="inlineStr">
        <is>
          <t>Тени забытых предков</t>
        </is>
      </c>
      <c r="E6607" s="2" t="n">
        <v>1964</v>
      </c>
      <c r="F6607" s="2" t="inlineStr">
        <is>
          <t>кинофильм</t>
        </is>
      </c>
      <c r="G6607" s="2" t="n"/>
      <c r="H6607" s="2" t="n">
        <v>898</v>
      </c>
      <c r="I6607" s="2" t="inlineStr"/>
      <c r="J6607" s="2" t="inlineStr"/>
      <c r="K6607" s="3" t="inlineStr">
        <is>
          <t>Два гуцульских рода враждуют многие годы. Среди озлобленности и мести зарождается чистая, светлая любовь Ивана и Марички из враждующих родов. Иван вынужден уйти на заработки, а Маричка гибнет в речной пучине. Ивану не удаётся забыть любимую. Обезумев, он скитается по лесу (эта часть фильма снята в чёрно-белом изображении). Не помогает принудительная женитьба на красивой Палагне. Супруги — чужие друг другу. Палагна мечтает о детях, и обращается к деревенскому колдуну (мольфару) Юре. Они становятся любовниками. Увидев их вместе в деревенском трактире, Иван замахивается на колдуна топором, но тот пугает соперника, и Иван убегает. Колдун уверен, что сжил Ивана со свету. Только в предсмертном бреду Иван вновь обретает своё счастье, видя призрачные отражения Марички в лесу и в воде. Соседи хоронят Ивана; поминки сопровождаются весельем и плясками. Дети наблюдают за погребением Ивана из окон.</t>
        </is>
      </c>
      <c r="L6607" s="2" t="inlineStr">
        <is>
          <t>https://ru.wikipedia.org/w/index.php?title=%D0%A2%D0%B5%D0%BD%D0%B8_%D0%B7%D0%B0%D0%B1%D1%8B%D1%82%D1%8B%D1%85_%D0%BF%D1%80%D0%B5%D0%B4%D0%BA%D0%BE%D0%B2&amp;oldid=154709218</t>
        </is>
      </c>
      <c r="M6607" s="2">
        <f>HYPERLINK("https://ru.wikipedia.org/w/index.php?search=%D0%A2%D0%B5%D0%BD%D0%B8%20%D0%B7%D0%B0%D0%B1%D1%8B%D1%82%D1%8B%D1%85%20%D0%BF%D1%80%D0%B5%D0%B4%D0%BA%D0%BE%D0%B2%201964%20%D1%84%D0%B8%D0%BB%D1%8C%D0%BC","искать")</f>
        <v/>
      </c>
      <c r="N6607" s="3" t="n"/>
      <c r="O6607" s="2" t="n"/>
      <c r="P6607" s="2" t="n"/>
    </row>
    <row r="6608">
      <c r="A6608" s="2" t="n">
        <v>6607</v>
      </c>
      <c r="B6608" s="2" t="inlineStr"/>
      <c r="C6608" s="2" t="n">
        <v>7701</v>
      </c>
      <c r="D6608" s="3" t="inlineStr">
        <is>
          <t>Как Хашим был большим</t>
        </is>
      </c>
      <c r="E6608" s="2" t="n">
        <v>1975</v>
      </c>
      <c r="F6608" s="2" t="inlineStr">
        <is>
          <t>телефильм</t>
        </is>
      </c>
      <c r="G6608" s="2" t="n"/>
      <c r="H6608" s="2" t="n">
        <v>900</v>
      </c>
      <c r="I6608" s="2" t="inlineStr"/>
      <c r="J6608" s="2" t="inlineStr"/>
      <c r="K6608" s="3" t="inlineStr">
        <is>
          <t>Ученик четвёртого класса Хашим не отличался ни успехами по дому, ни хозяйственностью, однако любил бездельничать и хвастать. Волшебница матушка Лень и её сыновья Незнай и Зазнай уговаривают его вообще не ходить в школу и убежать с ними из дома. Хашим просит их сделать его взрослым, что они и исполняют.
Став взрослым, Хашим попробовал свои силы в качестве агронома, артиста, повара, парикмахера, портного, но ни в одной профессии он не добился успеха. Отчаявшись, Хашим просит снова сделать его маленьким, но волшебники отказываются его расколдовывать. Тогда Хашим возвращается домой таким, какой есть, но там его никто, кроме сестры и матери, не узнаёт.
Хашиму ничего не остаётся, как, оставаясь взрослым, идти в школу и прилежно учиться, а дома — помогать по хозяйству. Тогда чары пропадают, Хашим снова становится мальчиком, а матушка Лень с сыновьями исчезают, в поисках новых лодырей и лентяев.</t>
        </is>
      </c>
      <c r="L6608" s="2" t="inlineStr">
        <is>
          <t>https://ru.wikipedia.org/w/index.php?title=%D0%9A%D0%B0%D0%BA_%D0%A5%D0%B0%D1%88%D0%B8%D0%BC_%D0%B1%D1%8B%D0%BB_%D0%B1%D0%BE%D0%BB%D1%8C%D1%88%D0%B8%D0%BC&amp;oldid=149109578</t>
        </is>
      </c>
      <c r="M6608" s="2">
        <f>HYPERLINK("https://ru.wikipedia.org/w/index.php?search=%D0%9A%D0%B0%D0%BA%20%D0%A5%D0%B0%D1%88%D0%B8%D0%BC%20%D0%B1%D1%8B%D0%BB%20%D0%B1%D0%BE%D0%BB%D1%8C%D1%88%D0%B8%D0%BC%201975%20%D1%84%D0%B8%D0%BB%D1%8C%D0%BC","искать")</f>
        <v/>
      </c>
      <c r="N6608" s="3" t="n"/>
      <c r="O6608" s="2" t="n"/>
      <c r="P6608" s="2" t="n"/>
    </row>
    <row r="6609">
      <c r="A6609" s="2" t="n">
        <v>6608</v>
      </c>
      <c r="B6609" s="2" t="inlineStr"/>
      <c r="C6609" s="2" t="n">
        <v>8967</v>
      </c>
      <c r="D6609" s="3" t="inlineStr">
        <is>
          <t>Похищение чародея</t>
        </is>
      </c>
      <c r="E6609" s="2" t="n">
        <v>1989</v>
      </c>
      <c r="F6609" s="2" t="inlineStr">
        <is>
          <t>кинофильм</t>
        </is>
      </c>
      <c r="G6609" s="2" t="n"/>
      <c r="H6609" s="2" t="n">
        <v>900</v>
      </c>
      <c r="I6609" s="2" t="inlineStr"/>
      <c r="J6609" s="2" t="inlineStr"/>
      <c r="K6609" s="3" t="inlineStr">
        <is>
          <t>1980-е годы. Белоруссия. Молодая аспирантка Анна приезжает в деревню, чтобы дописать свою диссертацию. С удивлением она обнаруживает в заброшенном доме своей тети двух незнакомцев.
Оказывается, это пришельцы из XXVIII века — ученые Жюль и Кин. Они путешествуют во времени, их цель — XIII век. Двадцатое столетие — только остановка в пути. Гости из будущего посвящают Анну в свои планы: они хотят спасти талантливого ученого-изобретателя, князя Романа, живущего в приграничном городе Замошье. Дом Анны превращается в импровизированную лабораторию, из которой идет наблюдение за событиями тринадцатого века. Город осажден рыцарями ордена Святой Марии, которые грозят сжечь его дотла. Чтобы спасти Свою жизнь и в дальнейшем заниматься наукой, князь Роман собирается предать всех. Этому яростно противостоит его верный слуга — горбун Акиплеша. И именно Акиплешу в результате спасает Жюль, а сам погибает.</t>
        </is>
      </c>
      <c r="L6609" s="2" t="inlineStr">
        <is>
          <t>https://gosfilmofond.ru/films/240464/</t>
        </is>
      </c>
      <c r="M6609" s="2">
        <f>HYPERLINK("https://ru.wikipedia.org/w/index.php?search=%D0%9F%D0%BE%D1%85%D0%B8%D1%89%D0%B5%D0%BD%D0%B8%D0%B5%20%D1%87%D0%B0%D1%80%D0%BE%D0%B4%D0%B5%D1%8F%201989%20%D1%84%D0%B8%D0%BB%D1%8C%D0%BC","искать")</f>
        <v/>
      </c>
      <c r="N6609" s="3" t="n"/>
      <c r="O6609" s="2" t="n"/>
      <c r="P6609" s="2" t="n"/>
    </row>
    <row r="6610">
      <c r="A6610" s="2" t="n">
        <v>6609</v>
      </c>
      <c r="B6610" s="2" t="inlineStr"/>
      <c r="C6610" s="2" t="n">
        <v>9510</v>
      </c>
      <c r="D6610" s="3" t="inlineStr">
        <is>
          <t>Ничего не случилось</t>
        </is>
      </c>
      <c r="E6610" s="2" t="n">
        <v>1989</v>
      </c>
      <c r="F6610" s="2" t="inlineStr">
        <is>
          <t>кинофильм</t>
        </is>
      </c>
      <c r="G6610" s="2" t="n"/>
      <c r="H6610" s="2" t="n">
        <v>904</v>
      </c>
      <c r="I6610" s="2" t="inlineStr"/>
      <c r="J6610" s="2" t="inlineStr"/>
      <c r="K6610" s="3" t="inlineStr">
        <is>
          <t>По мотивам повести Б. Абдуллаева «Звездный дождь». Сотрудник КГБ, специалист по экономическим преступлениям Тахир Галканов обнаруживает, что в некоторых банках западноевропейских стран стали появляться кодированные частные счета, которые обеспечиваются фальшивыми николаевскими золотыми рублями. Эти рубли практически невозможно отличить от настоящих. Счета регулярно пополняются. Узнав об этом, руководство срочно отзывает Галканова на родину. Высылка из Европы настораживает его, и не случайно. Дома ему становится известно, что у высокопоставленных чиновников в Москве также обнаружены золотые рубли. Тахир продолжает расследование и выясняет, что фальшивые рубли печатаются в сопредельной с Туркменией стране и контрабандой попадают в республику. Здесь местные дельцы вживляют золотые монеты в растущие арбузы. Галканов едет в Москву. Посыльных из Туркмении удается выследить и арестовать с поличным.</t>
        </is>
      </c>
      <c r="L6610" s="2" t="inlineStr">
        <is>
          <t>https://gosfilmofond.ru/films/240976/</t>
        </is>
      </c>
      <c r="M6610" s="2">
        <f>HYPERLINK("https://ru.wikipedia.org/w/index.php?search=%D0%9D%D0%B8%D1%87%D0%B5%D0%B3%D0%BE%20%D0%BD%D0%B5%20%D1%81%D0%BB%D1%83%D1%87%D0%B8%D0%BB%D0%BE%D1%81%D1%8C%201989%20%D1%84%D0%B8%D0%BB%D1%8C%D0%BC","искать")</f>
        <v/>
      </c>
      <c r="N6610" s="3" t="n"/>
      <c r="O6610" s="2" t="n"/>
      <c r="P6610" s="2" t="n"/>
    </row>
    <row r="6611">
      <c r="A6611" s="2" t="n">
        <v>6610</v>
      </c>
      <c r="B6611" s="2" t="inlineStr"/>
      <c r="C6611" s="2" t="n">
        <v>8285</v>
      </c>
      <c r="D6611" s="3" t="inlineStr">
        <is>
          <t>Руанская дева по прозвищу Пышка</t>
        </is>
      </c>
      <c r="E6611" s="2" t="n">
        <v>1989</v>
      </c>
      <c r="F6611" s="2" t="inlineStr">
        <is>
          <t>телефильм</t>
        </is>
      </c>
      <c r="G6611" s="2" t="n"/>
      <c r="H6611" s="2" t="n">
        <v>905</v>
      </c>
      <c r="I6611" s="2" t="inlineStr"/>
      <c r="J6611" s="2" t="inlineStr"/>
      <c r="K6611" s="3" t="inlineStr">
        <is>
          <t>Действие начинается в 1871 году, когда в ходе франко-прусской войны немецкие войска оккупировали Руан. Элизабет Руссе по прозвищу «Пышка» (Наталья Лапина), проститутка из руанского публичного дома, отправляется повидать свою дочь. Путешествие на дилижансе в большой компании граждан города сильно затягивается из-за войны. В одном из городов путешественников задерживает прусский офицер (Александр Абдулов). Он домогается Пышки и склоняет её к интимной близости; только тогда он разрешит всей компании продолжить путь.
Пышка, профессия которой это вроде вполне позволяет, не хочет делить ложе с врагом Франции. Уставшие путешественники начинают взывать к долгу и моральному облику Пышки. Бедная девушка не выдерживает и жертвует собой ради общего блага. После этого те, кто недавно ещё сравнивали Пышку с Юдифью и Клеопатрой, немедленно обвинили её в разврате и измене. Униженная Пышка возвращается домой.</t>
        </is>
      </c>
      <c r="L6611" s="2" t="inlineStr">
        <is>
          <t>https://ru.wikipedia.org/w/index.php?title=%D0%A0%D1%83%D0%B0%D0%BD%D1%81%D0%BA%D0%B0%D1%8F_%D0%B4%D0%B5%D0%B2%D0%B0_%D0%BF%D0%BE_%D0%BF%D1%80%D0%BE%D0%B7%D0%B2%D0%B8%D1%89%D1%83_%D0%9F%D1%8B%D1%88%D0%BA%D0%B0&amp;oldid=154703837</t>
        </is>
      </c>
      <c r="M6611" s="2">
        <f>HYPERLINK("https://ru.wikipedia.org/w/index.php?search=%D0%A0%D1%83%D0%B0%D0%BD%D1%81%D0%BA%D0%B0%D1%8F%20%D0%B4%D0%B5%D0%B2%D0%B0%20%D0%BF%D0%BE%20%D0%BF%D1%80%D0%BE%D0%B7%D0%B2%D0%B8%D1%89%D1%83%20%D0%9F%D1%8B%D1%88%D0%BA%D0%B0%201989%20%D1%84%D0%B8%D0%BB%D1%8C%D0%BC","искать")</f>
        <v/>
      </c>
      <c r="N6611" s="3" t="n"/>
      <c r="O6611" s="2" t="n"/>
      <c r="P6611" s="2" t="n"/>
    </row>
    <row r="6612">
      <c r="A6612" s="2" t="n">
        <v>6611</v>
      </c>
      <c r="B6612" s="2" t="inlineStr"/>
      <c r="C6612" s="2" t="n">
        <v>7565</v>
      </c>
      <c r="D6612" s="3" t="inlineStr">
        <is>
          <t>Дульсинея Тобосская</t>
        </is>
      </c>
      <c r="E6612" s="2" t="n">
        <v>1980</v>
      </c>
      <c r="F6612" s="2" t="inlineStr">
        <is>
          <t>телефильм</t>
        </is>
      </c>
      <c r="G6612" s="2" t="n"/>
      <c r="H6612" s="2" t="n">
        <v>906</v>
      </c>
      <c r="I6612" s="2" t="inlineStr"/>
      <c r="J6612" s="2" t="inlineStr"/>
      <c r="K6612" s="3" t="inlineStr">
        <is>
          <t>Действие происходит в Испании, в начале XVII века. Через 7 лет после смерти Дон Кихота и выхода романа Сервантеса имя рыцаря печального образа становится легендой. Верный оруженосец Дона Кихота — Санчо Панса отправляется в Тобосо и находит там крестьянку Альдонсу, которая и не подозревает, что была дамой сердца знаменитого рыцаря и сама стала знаменитостью. Санчо рассказывает историю странствий и страданий Дона Кихота по своей возлюбленной.
Альдонса-Дульсинея переезжает в Толедо. В столице она знакомится со странным молодым человеком — доном Луисом, который так похож на складывающийся в её душе идеальный образ рыцаря и мужчины. Сходство его с Дон Кихотом подчёркивает даже удивлённая реплика Санчо: «Неужели Господь за Ваше благочестие воскресил Вас и вернул Вам молодость?» Из-за него Дульсинея бросает Толедо и высший свет и отправляется в странствия, повторяя путь того, кто безнадёжно любил её.</t>
        </is>
      </c>
      <c r="L6612" s="2" t="inlineStr">
        <is>
          <t>https://ru.wikipedia.org/w/index.php?title=%D0%94%D1%83%D0%BB%D1%8C%D1%81%D0%B8%D0%BD%D0%B5%D1%8F_%D0%A2%D0%BE%D0%B1%D0%BE%D1%81%D1%81%D0%BA%D0%B0%D1%8F_%28%D1%84%D0%B8%D0%BB%D1%8C%D0%BC%29&amp;oldid=154372641</t>
        </is>
      </c>
      <c r="M6612" s="2">
        <f>HYPERLINK("https://ru.wikipedia.org/w/index.php?search=%D0%94%D1%83%D0%BB%D1%8C%D1%81%D0%B8%D0%BD%D0%B5%D1%8F%20%D0%A2%D0%BE%D0%B1%D0%BE%D1%81%D1%81%D0%BA%D0%B0%D1%8F%201980%20%D1%84%D0%B8%D0%BB%D1%8C%D0%BC","искать")</f>
        <v/>
      </c>
      <c r="N6612" s="3" t="n"/>
      <c r="O6612" s="2" t="n"/>
      <c r="P6612" s="2" t="n"/>
    </row>
    <row r="6613">
      <c r="A6613" s="2" t="n">
        <v>6612</v>
      </c>
      <c r="B6613" s="2" t="inlineStr"/>
      <c r="C6613" s="2" t="n">
        <v>13248</v>
      </c>
      <c r="D6613" s="3" t="inlineStr">
        <is>
          <t>Осел, селедка и метла</t>
        </is>
      </c>
      <c r="E6613" s="2" t="n">
        <v>1969</v>
      </c>
      <c r="F6613" s="2" t="inlineStr">
        <is>
          <t>мультфильм</t>
        </is>
      </c>
      <c r="G6613" s="2" t="inlineStr">
        <is>
          <t>ТАЛЛИННФИЛЬМ</t>
        </is>
      </c>
      <c r="H6613" s="2" t="n">
        <v>906</v>
      </c>
      <c r="I6613" s="2" t="inlineStr"/>
      <c r="J6613" s="2" t="inlineStr"/>
      <c r="K6613" s="3" t="inlineStr">
        <is>
          <t>Фильм состоит из трех сюжетов по мотивам сказок разных народов. ОСЕЛ. Индийская народная сказка. Осел видит, как хозяин ласкает собаку, как позволяет ей разные шалости, и ему тоже хочется ласки. Но сколько ни пытается он привлечь внимание хозяина, ничего у него не выходит - хозяин прогоняет Осла...СЕЛЕДКА. Эстонская шуточная песенка. Когда-то Селедка жила на суше. Взяли ее на корабль ловить в трюме мышей, но она прогрызла дно и корабль утонул. И тогда Нептун навсегда оставил Селедку под водой. А морская вода с тех пор горька и солона, потому что потонувший корабль был гружен солью. МЕТЛА. Чешская сказка. Однажды в городе появилась ведьма. Она вздумала помешать уличному движению, за это ее увезли в милицию. Метла же осталась на улице. Двое мальчуганов с удовольствием полетали на ней над городом, а дворник нечаянно обменял метлу и ведьме, убежавшей из милиции, пришлось покинуть город на автобусе</t>
        </is>
      </c>
      <c r="L6613" s="2" t="inlineStr">
        <is>
          <t>https://gosfilmofond.ru/films/254760/</t>
        </is>
      </c>
      <c r="M6613" s="2">
        <f>HYPERLINK("https://ru.wikipedia.org/w/index.php?search=%D0%9E%D1%81%D0%B5%D0%BB%2C%20%D1%81%D0%B5%D0%BB%D0%B5%D0%B4%D0%BA%D0%B0%20%D0%B8%20%D0%BC%D0%B5%D1%82%D0%BB%D0%B0%201969%20%D1%84%D0%B8%D0%BB%D1%8C%D0%BC","искать")</f>
        <v/>
      </c>
      <c r="N6613" s="3" t="n"/>
      <c r="O6613" s="2" t="n"/>
      <c r="P6613" s="2" t="n"/>
    </row>
    <row r="6614">
      <c r="A6614" s="2" t="n">
        <v>6613</v>
      </c>
      <c r="B6614" s="2" t="inlineStr"/>
      <c r="C6614" s="2" t="n">
        <v>7991</v>
      </c>
      <c r="D6614" s="3" t="inlineStr">
        <is>
          <t>Нервы, нервы</t>
        </is>
      </c>
      <c r="E6614" s="2" t="n">
        <v>1972</v>
      </c>
      <c r="F6614" s="2" t="inlineStr">
        <is>
          <t>телефильм</t>
        </is>
      </c>
      <c r="G6614" s="2" t="inlineStr">
        <is>
          <t>Экран; Центральное телевидение СССР</t>
        </is>
      </c>
      <c r="H6614" s="2" t="n">
        <v>911</v>
      </c>
      <c r="I6614" s="2" t="inlineStr"/>
      <c r="J6614" s="2" t="inlineStr"/>
      <c r="K6614" s="3" t="inlineStr">
        <is>
          <t>Комедия в сатирическом стиле. Главный герой фильма — весёлый никогда не унывающий ремонтник Владик, всюду разъезжающий на самодельном мопеде с коляской. В результате аварии у него появляется нервный тик, выражающийся в подмигивании. Это подмигивание встречаемые героем люди воспринимают по-своему, по причине чего он попадает в различные забавные обстоятельства.
Невольным виновником случившегося с Вадиком ДТП стал местный чиновник коммунального хозяйства Фитюев, которого ранее и сам Вадик сбил на своём транспортном средстве, по причине чего Фитюев совсем не может говорить без заикания — только петь, причём под гитару. После повторной аварии чиновник от потрясения перестал заикаться, его карьера наконец-то пошла в гору. Вадик же спустя некоторое время попадает на мопеде в новое происшествие. Его жертвой становится местный стукач Преферансов. Очередное ДТП избавляет молодого человека от странного тика.</t>
        </is>
      </c>
      <c r="L6614" s="2" t="inlineStr">
        <is>
          <t>https://ru.wikipedia.org/w/index.php?title=%D0%9D%D0%B5%D1%80%D0%B2%D1%8B%E2%80%A6_%D0%9D%D0%B5%D1%80%D0%B2%D1%8B%E2%80%A6&amp;oldid=153147258</t>
        </is>
      </c>
      <c r="M6614" s="2">
        <f>HYPERLINK("https://ru.wikipedia.org/w/index.php?search=%D0%9D%D0%B5%D1%80%D0%B2%D1%8B%2C%20%D0%BD%D0%B5%D1%80%D0%B2%D1%8B%201972%20%D1%84%D0%B8%D0%BB%D1%8C%D0%BC","искать")</f>
        <v/>
      </c>
      <c r="N6614" s="3" t="n"/>
      <c r="O6614" s="2" t="n"/>
      <c r="P6614" s="2" t="n"/>
    </row>
    <row r="6615">
      <c r="A6615" s="2" t="n">
        <v>6614</v>
      </c>
      <c r="B6615" s="2" t="inlineStr"/>
      <c r="C6615" s="2" t="n">
        <v>8737</v>
      </c>
      <c r="D6615" s="3" t="inlineStr">
        <is>
          <t>Зелёный огонь козы</t>
        </is>
      </c>
      <c r="E6615" s="2" t="n">
        <v>1989</v>
      </c>
      <c r="F6615" s="2" t="inlineStr">
        <is>
          <t>кинофильм</t>
        </is>
      </c>
      <c r="G6615" s="2" t="inlineStr">
        <is>
          <t>Киностудия им. А.Довженко</t>
        </is>
      </c>
      <c r="H6615" s="2" t="n">
        <v>914</v>
      </c>
      <c r="I6615" s="2" t="inlineStr"/>
      <c r="J6615" s="2" t="inlineStr"/>
      <c r="K6615" s="3" t="inlineStr">
        <is>
          <t>Никита просыпается ранним утром в мрачной комнате какого-то общежития, похоже, что после бурной вечеринки. Так начинается утро его двадцатипятилетия. Ненадолго он заглядывает домой, вместе с мамой выпивает утренний кофе и отправляется на поиски своего приятеля. Целый день Никита мотается по Москве. Сначала посещает психиатрическую больницу, где узнает, что его друг приходил, но уже ушел. На лекциях в институте приятель, как говорят Никите, тоже не появлялся. Никита заходит в морг, затем в детский сад, где встречает свою бывшую жену и маленькую дочь. Во время скитаний по городу ему представляется случай повстречать свою первую любовь, Элю, ставшую шикарной валютной проституткой. Наконец, парень оказывается в храме. Его принимают за звонаря, и послушница доверяет ему позвонить в церковный колокол. Завершается суетный день дома за праздничным столом, где собираются все, с кем он встречался в течение дня.</t>
        </is>
      </c>
      <c r="L6615" s="2" t="inlineStr">
        <is>
          <t>https://gosfilmofond.ru/films/240609/</t>
        </is>
      </c>
      <c r="M6615" s="2">
        <f>HYPERLINK("https://ru.wikipedia.org/w/index.php?search=%D0%97%D0%B5%D0%BB%D1%91%D0%BD%D1%8B%D0%B9%20%D0%BE%D0%B3%D0%BE%D0%BD%D1%8C%20%D0%BA%D0%BE%D0%B7%D1%8B%201989%20%D1%84%D0%B8%D0%BB%D1%8C%D0%BC","искать")</f>
        <v/>
      </c>
      <c r="N6615" s="3" t="n"/>
      <c r="O6615" s="2" t="n"/>
      <c r="P6615" s="2" t="n"/>
    </row>
    <row r="6616">
      <c r="A6616" s="2" t="n">
        <v>6615</v>
      </c>
      <c r="B6616" s="2" t="inlineStr"/>
      <c r="C6616" s="2" t="n">
        <v>9241</v>
      </c>
      <c r="D6616" s="3" t="inlineStr">
        <is>
          <t>Биндюжник и король</t>
        </is>
      </c>
      <c r="E6616" s="2" t="n">
        <v>1989</v>
      </c>
      <c r="F6616" s="2" t="inlineStr">
        <is>
          <t>кинофильм</t>
        </is>
      </c>
      <c r="G6616" s="2" t="n"/>
      <c r="H6616" s="2" t="n">
        <v>918</v>
      </c>
      <c r="I6616" s="2" t="inlineStr"/>
      <c r="J6616" s="2" t="inlineStr"/>
      <c r="K6616" s="3" t="inlineStr">
        <is>
          <t>По мотивам произведений И. Бабеля «Закат», «Одесские рассказы».
1-я серия. 1913 год. Богатый, но скупой Мендель Крик владеет извозопромышленным заведением в Одессе. Его жена Нехама день и ночь плачет из-за того, что Мендель обижает своих детей. Тридцатилетняя Двойра не может выйти замуж, так как отец не дает ей приданого. Сын Левка вынужден пойти служить в кавалерию, а Беня становится налетчиком. Не жалеет денег старый Мендель только на свою возлюбленную Маруську.
2-я серия. Дети возмущены поведением отца. Левка и Беня узнают, что Мендель собирается продать свое дело и уехать с Маруськой в Бессарабию. В семье вспыхивает ссора, в ходе которой Беня ударяет отца
пистолетом по голове. Из кряжистого, крепкого старика Мендель превращается в инвалида. Сыновья, завладев его капиталом и делом, расторгают все заключенные договора и начинают управлять семейным бизнесом по-своему, а Двойра выходит замуж за Боярского.</t>
        </is>
      </c>
      <c r="L6616" s="2" t="inlineStr">
        <is>
          <t>https://gosfilmofond.ru/films/240907/</t>
        </is>
      </c>
      <c r="M6616" s="2">
        <f>HYPERLINK("https://ru.wikipedia.org/w/index.php?search=%D0%91%D0%B8%D0%BD%D0%B4%D1%8E%D0%B6%D0%BD%D0%B8%D0%BA%20%D0%B8%20%D0%BA%D0%BE%D1%80%D0%BE%D0%BB%D1%8C%201989%20%D1%84%D0%B8%D0%BB%D1%8C%D0%BC","искать")</f>
        <v/>
      </c>
      <c r="N6616" s="3" t="n"/>
      <c r="O6616" s="2" t="n"/>
      <c r="P6616" s="2" t="n"/>
    </row>
    <row r="6617">
      <c r="A6617" s="2" t="n">
        <v>6616</v>
      </c>
      <c r="B6617" s="2" t="inlineStr"/>
      <c r="C6617" s="2" t="n">
        <v>9276</v>
      </c>
      <c r="D6617" s="3" t="inlineStr">
        <is>
          <t>Вознесение</t>
        </is>
      </c>
      <c r="E6617" s="2" t="n">
        <v>1988</v>
      </c>
      <c r="F6617" s="2" t="inlineStr">
        <is>
          <t>кинофильм</t>
        </is>
      </c>
      <c r="G6617" s="2" t="n"/>
      <c r="H6617" s="2" t="n">
        <v>918</v>
      </c>
      <c r="I6617" s="2" t="inlineStr"/>
      <c r="J6617" s="2" t="inlineStr"/>
      <c r="K6617" s="3" t="inlineStr">
        <is>
          <t>На восьмидесятилетие Такуи Григорян со всех концов страны съезжаются родственники и друзья. Спешит из Москвы и младший сын Вазген. В доме хозяйки идут приготовления, руководит которыми ее родной брат Галуст. А старая больная Такуи — вся в воспоминаниях... После того, как ее мужа оклеветали, он был репрессирован. Ее вместе с сыновьями сослали в сибирское село Вознесенское, где их приютила местная почтальонша Нюра Худякова... Такуи вспоминает, как Нюра шила ее детям рубашки из ситца, выданного сельсоветом на ее собственные нужды; как влюбленный в нее Атанас подарил ей зимой розу; как всем селом провожали на фронт старшего сына Арташеса... Через несколько дней после своего юбилея старая Такуи умирает, так и не дождавшись в гости Нюру. На похоронах матери Вазген от своего двоюродного брата Геворка узнает, что донос на его отца написал дядя Галуст. Тетя Нюра все-таки приезжает. Вазген встречает ее в аэропорту.</t>
        </is>
      </c>
      <c r="L6617" s="2" t="inlineStr">
        <is>
          <t>https://gosfilmofond.ru/films/240133/</t>
        </is>
      </c>
      <c r="M6617" s="2">
        <f>HYPERLINK("https://ru.wikipedia.org/w/index.php?search=%D0%92%D0%BE%D0%B7%D0%BD%D0%B5%D1%81%D0%B5%D0%BD%D0%B8%D0%B5%201988%20%D1%84%D0%B8%D0%BB%D1%8C%D0%BC","искать")</f>
        <v/>
      </c>
      <c r="N6617" s="3" t="n"/>
      <c r="O6617" s="2" t="n"/>
      <c r="P6617" s="2" t="n"/>
    </row>
    <row r="6618">
      <c r="A6618" s="2" t="n">
        <v>6617</v>
      </c>
      <c r="B6618" s="2" t="inlineStr"/>
      <c r="C6618" s="2" t="n">
        <v>9986</v>
      </c>
      <c r="D6618" s="3" t="inlineStr">
        <is>
          <t>Место под солнцем</t>
        </is>
      </c>
      <c r="E6618" s="2" t="n">
        <v>1982</v>
      </c>
      <c r="F6618" s="2" t="inlineStr">
        <is>
          <t>телефильм</t>
        </is>
      </c>
      <c r="G6618" s="2" t="inlineStr">
        <is>
          <t>ТО "Экран"</t>
        </is>
      </c>
      <c r="H6618" s="2" t="n">
        <v>918</v>
      </c>
      <c r="I6618" s="2" t="inlineStr"/>
      <c r="J6618" s="2" t="inlineStr"/>
      <c r="K6618" s="3" t="inlineStr">
        <is>
          <t>В основе сюжета — острая конфликтная ситуация, возникшая между молодым человеком, владельцем «Жигулей» и стариком-инвалидом, ветераном войны, который своим стареньким «Запорожцем» случайно поцарапал «Жигули», извинился и хотел уладить конфликт полюбовно, компенсировав ущерб на месте. Однако водитель «Жигулей», желая покрасоваться перед молоденькой служащей бензоколонки, повёл себя неадекватно, ударил старика по лицу и сильно толкнул, уронив на землю. Сев в свой «Запорожец», разозлившийся ветеран уже намеренно несколько раз протаранил «Жигули» — и от мести их хозяина его спас лишь подъехавший наряд ГАИ, вызванный оператором бензоколонки, на территории которой и происходили все эти действия. Молодой владелец «Жигулей» стал обвинять во всём старика, а когда вскрылась правда, безуспешно попытался предложить взятку сотруднику ГАИ. В итоге старика отпустили, а владелец «Жигулей» остался у своей разбитой машины.</t>
        </is>
      </c>
      <c r="L6618" s="2" t="inlineStr">
        <is>
          <t>https://ru.wikipedia.org/w/index.php?title=%D0%9C%D0%B5%D1%81%D1%82%D0%BE_%D0%BF%D0%BE%D0%B4_%D1%81%D0%BE%D0%BB%D0%BD%D1%86%D0%B5%D0%BC_%28%D1%84%D0%B8%D0%BB%D1%8C%D0%BC%2C_1982%29&amp;oldid=153017566</t>
        </is>
      </c>
      <c r="M6618" s="2">
        <f>HYPERLINK("https://ru.wikipedia.org/w/index.php?search=%D0%9C%D0%B5%D1%81%D1%82%D0%BE%20%D0%BF%D0%BE%D0%B4%20%D1%81%D0%BE%D0%BB%D0%BD%D1%86%D0%B5%D0%BC%201982%20%D1%84%D0%B8%D0%BB%D1%8C%D0%BC","искать")</f>
        <v/>
      </c>
      <c r="N6618" s="3" t="n"/>
      <c r="O6618" s="2" t="n"/>
      <c r="P6618" s="2" t="n"/>
    </row>
    <row r="6619">
      <c r="A6619" s="2" t="n">
        <v>6618</v>
      </c>
      <c r="B6619" s="2" t="inlineStr"/>
      <c r="C6619" s="2" t="n">
        <v>9419</v>
      </c>
      <c r="D6619" s="3" t="inlineStr">
        <is>
          <t>Когда наступит день</t>
        </is>
      </c>
      <c r="E6619" s="2" t="n">
        <v>1988</v>
      </c>
      <c r="F6619" s="2" t="inlineStr">
        <is>
          <t>кинофильм</t>
        </is>
      </c>
      <c r="G6619" s="2" t="n"/>
      <c r="H6619" s="2" t="n">
        <v>919</v>
      </c>
      <c r="I6619" s="2" t="inlineStr"/>
      <c r="J6619" s="2" t="inlineStr"/>
      <c r="K6619" s="3" t="inlineStr">
        <is>
          <t>Для сорокапятилетнего Андрея Архипова смерть близкого друга — знаменитого художника Виктора Панкова — становится трагедией. Он отказывается понимать, как и во имя чего жить. Его успокаивает старый, умудренный жизнью приятель Тимофеич, говоря, что жизнь на этом не кончается. Но Андрей его не слышит. Он прекращает писать картины. С утра до вечера бродит по городу, знакомится со случайными людьми, общается с друзьями, но все равно ни в чем не видит смысла. Измученный, он начинает пить. Во время очередного запоя ему помогает его давний друг, врач «скорой помощи». Придя в себя, Андрей напрашивается вместе с ним поехать по вызовам. Столкнувшись с бедой пациентов «скорой помощи», он
по иному начинает воспринимать происходящее. Когда художник узнает о смерти Тимофеича, в его памяти всплывают слова старика о «бесконечности» жизни. Архипов словно прозревает — к нему возвращается вера в жизнь, в людей, в самого себя.</t>
        </is>
      </c>
      <c r="L6619" s="2" t="inlineStr">
        <is>
          <t>https://gosfilmofond.ru/films/240683/</t>
        </is>
      </c>
      <c r="M6619" s="2">
        <f>HYPERLINK("https://ru.wikipedia.org/w/index.php?search=%D0%9A%D0%BE%D0%B3%D0%B4%D0%B0%20%D0%BD%D0%B0%D1%81%D1%82%D1%83%D0%BF%D0%B8%D1%82%20%D0%B4%D0%B5%D0%BD%D1%8C%201988%20%D1%84%D0%B8%D0%BB%D1%8C%D0%BC","искать")</f>
        <v/>
      </c>
      <c r="N6619" s="3" t="n"/>
      <c r="O6619" s="2" t="n"/>
      <c r="P6619" s="2" t="n"/>
    </row>
    <row r="6620">
      <c r="A6620" s="2" t="n">
        <v>6619</v>
      </c>
      <c r="B6620" s="2" t="inlineStr"/>
      <c r="C6620" s="2" t="n">
        <v>9254</v>
      </c>
      <c r="D6620" s="3" t="inlineStr">
        <is>
          <t>Брызги шампанского</t>
        </is>
      </c>
      <c r="E6620" s="2" t="n">
        <v>1989</v>
      </c>
      <c r="F6620" s="2" t="inlineStr">
        <is>
          <t>кинофильм</t>
        </is>
      </c>
      <c r="G6620" s="2" t="inlineStr">
        <is>
          <t>Мосфильм, ТО «Круг»</t>
        </is>
      </c>
      <c r="H6620" s="2" t="n">
        <v>921</v>
      </c>
      <c r="I6620" s="2" t="inlineStr"/>
      <c r="J6620" s="2" t="inlineStr"/>
      <c r="K6620" s="3" t="inlineStr">
        <is>
          <t>По повести В. Кондратьева «Отпуск по ранению». 1942 год. Лейтенант Владимир ранен в бою. Его отправляют на лечение в Москву. Зайдя с приятелем в ресторан, Владимир с раздражением наблюдает, как веселятся люди. В боях под Ржевом погибла треть его роты, а тут пьют шампанское, произносят тосты... Угрожая пистолетом, Владимир заставляет всех замолчать и почтить память погибших минутой молчания. Появление патруля вынуждает лейтенанта и его друга покинуть ресторан, чтобы не оказаться в военной
комендатуре. На одной из улиц Москвы Владимир встречает девушку, с которой познакомился в ресторане. Тоня приглашает его к себе домой в гости. Молодые люди начинают встречаться. Влюбленная девушка знакомит Владимира с отцом, видным военным начальником. Тот предлагает молодому лейтенанту службу в более безопасном месте. Но Володя отказывается, так как не может предать память погибших сослуживцев. Он возвращается в свою часть.</t>
        </is>
      </c>
      <c r="L6620" s="2" t="inlineStr">
        <is>
          <t>https://gosfilmofond.ru/films/240136/</t>
        </is>
      </c>
      <c r="M6620" s="2">
        <f>HYPERLINK("https://ru.wikipedia.org/w/index.php?search=%D0%91%D1%80%D1%8B%D0%B7%D0%B3%D0%B8%20%D1%88%D0%B0%D0%BC%D0%BF%D0%B0%D0%BD%D1%81%D0%BA%D0%BE%D0%B3%D0%BE%201989%20%D1%84%D0%B8%D0%BB%D1%8C%D0%BC","искать")</f>
        <v/>
      </c>
      <c r="N6620" s="3" t="n"/>
      <c r="O6620" s="2" t="n"/>
      <c r="P6620" s="2" t="n"/>
    </row>
    <row r="6621">
      <c r="A6621" s="2" t="n">
        <v>6620</v>
      </c>
      <c r="B6621" s="2" t="inlineStr"/>
      <c r="C6621" s="2" t="n">
        <v>8069</v>
      </c>
      <c r="D6621" s="3" t="inlineStr">
        <is>
          <t>Отпуск за свой счёт</t>
        </is>
      </c>
      <c r="E6621" s="2" t="n">
        <v>1981</v>
      </c>
      <c r="F6621" s="2" t="inlineStr">
        <is>
          <t>телефильм</t>
        </is>
      </c>
      <c r="G6621" s="2" t="n"/>
      <c r="H6621" s="2" t="n">
        <v>923</v>
      </c>
      <c r="I6621" s="2" t="inlineStr"/>
      <c r="J6621" s="2" t="inlineStr"/>
      <c r="K6621" s="3" t="inlineStr">
        <is>
          <t>Катя, воспитательница детского сада из Верхнеярска, приезжает в Москву, чтобы встретиться с молодым человеком по имени Юра, с которым она познакомилась во время его командировки. Она делает, кажется, невозможное, чтобы быть с ним: разыскивает его в огромном городе, получает у заместителя министра отпуск за свой счёт, добивается переноса сроков своей туристической поездки в Венгрию, куда Юра едет в командировку, получает в подарок от французской фирмы необходимый для него прибор (получить который было практически невозможно).
Впрочем, её любовь Юре не нужна, а её настойчивость ему только досаждает. Когда в Венгрии Катя становится победительницей конкурса красоты (с помощью сопровождающей тургруппы Ады Петровны, давшей ей пару советов), Юра, видя, что теряет её, спохватывается. Но уже поздно: в Катю ещё до того влюбился друг и коллега Юры — венгр Ласло. Вскоре Ласло приезжает в Верхнеярск. Финал фильма открытый.</t>
        </is>
      </c>
      <c r="L6621" s="2" t="inlineStr">
        <is>
          <t>https://ru.wikipedia.org/w/index.php?title=%D0%9E%D1%82%D0%BF%D1%83%D1%81%D0%BA_%D0%B7%D0%B0_%D1%81%D0%B2%D0%BE%D0%B9_%D1%81%D1%87%D1%91%D1%82_%28%D1%84%D0%B8%D0%BB%D1%8C%D0%BC%29&amp;oldid=154537862</t>
        </is>
      </c>
      <c r="M6621" s="2">
        <f>HYPERLINK("https://ru.wikipedia.org/w/index.php?search=%D0%9E%D1%82%D0%BF%D1%83%D1%81%D0%BA%20%D0%B7%D0%B0%20%D1%81%D0%B2%D0%BE%D0%B9%20%D1%81%D1%87%D1%91%D1%82%201981%20%D1%84%D0%B8%D0%BB%D1%8C%D0%BC","искать")</f>
        <v/>
      </c>
      <c r="N6621" s="3" t="n"/>
      <c r="O6621" s="2" t="n"/>
      <c r="P6621" s="2" t="n"/>
    </row>
    <row r="6622">
      <c r="A6622" s="2" t="n">
        <v>6621</v>
      </c>
      <c r="B6622" s="2" t="inlineStr"/>
      <c r="C6622" s="2" t="n">
        <v>9245</v>
      </c>
      <c r="D6622" s="3" t="inlineStr">
        <is>
          <t>Блуждающие звёзды</t>
        </is>
      </c>
      <c r="E6622" s="2" t="n">
        <v>1991</v>
      </c>
      <c r="F6622" s="2" t="inlineStr">
        <is>
          <t>кинофильм</t>
        </is>
      </c>
      <c r="G6622" s="2" t="n"/>
      <c r="H6622" s="2" t="n">
        <v>924</v>
      </c>
      <c r="I6622" s="2" t="inlineStr"/>
      <c r="J6622" s="2" t="inlineStr"/>
      <c r="K6622" s="3" t="inlineStr">
        <is>
          <t>Жители маленького еврейского местечка черты оседлости Лейбка Рафалович, сын местного богача, и дочь Рейзл любят друг друга.
В местечко приезжает бродячий еврейский театр. У Лейбки обнаруживается актерский талант, у Рейзл — вокальный. Оба они бегут вместе с театром, но судьба разводит их по разным странам.
Большой город дарит первый успех молодым актёрам. Приставания директора театра вынуждают Рейзл принять приглашение примадонны Венской Императорской оперы. У Лейбки — успех в Румынии.
Рейзл — оперная звезда, Лейбка — известный драматический актёр. Двух популярных и востребованных артистов судьба сводит в Америке. Она обручилась, хотя тут же расторгла помолвку (увидев Лейбку в спектакле), у него — ребёнок и обязательство обвенчаться. Письмо Рейзл заставляет Лейбку мчаться к отправляющемуся пароходу, где и встречаются две «блуждающих звезды». Встречаются лишь на мгновение, чтобы расстаться. Теперь уже — навсегда.</t>
        </is>
      </c>
      <c r="L6622" s="2" t="inlineStr">
        <is>
          <t>https://ru.wikipedia.org/w/index.php?title=%D0%91%D0%BB%D1%83%D0%B6%D0%B4%D0%B0%D1%8E%D1%89%D0%B8%D0%B5_%D0%B7%D0%B2%D1%91%D0%B7%D0%B4%D1%8B_%28%D1%84%D0%B8%D0%BB%D1%8C%D0%BC%2C_1991%29&amp;oldid=147321643</t>
        </is>
      </c>
      <c r="M6622" s="2">
        <f>HYPERLINK("https://ru.wikipedia.org/w/index.php?search=%D0%91%D0%BB%D1%83%D0%B6%D0%B4%D0%B0%D1%8E%D1%89%D0%B8%D0%B5%20%D0%B7%D0%B2%D1%91%D0%B7%D0%B4%D1%8B%201991%20%D1%84%D0%B8%D0%BB%D1%8C%D0%BC","искать")</f>
        <v/>
      </c>
      <c r="N6622" s="3" t="n"/>
      <c r="O6622" s="2" t="n"/>
      <c r="P6622" s="2" t="n"/>
    </row>
    <row r="6623">
      <c r="A6623" s="2" t="n">
        <v>6622</v>
      </c>
      <c r="B6623" s="2" t="inlineStr"/>
      <c r="C6623" s="2" t="n">
        <v>11101</v>
      </c>
      <c r="D6623" s="3" t="inlineStr">
        <is>
          <t>Гарольд и Мод</t>
        </is>
      </c>
      <c r="E6623" s="2" t="n">
        <v>1986</v>
      </c>
      <c r="F6623" s="2" t="inlineStr">
        <is>
          <t>фильм-спектакль</t>
        </is>
      </c>
      <c r="G6623" s="2" t="n"/>
      <c r="H6623" s="2" t="n">
        <v>924</v>
      </c>
      <c r="I6623" s="2" t="inlineStr"/>
      <c r="J6623" s="2" t="inlineStr"/>
      <c r="K6623" s="3" t="inlineStr">
        <is>
          <t>Гарольд — сын миссис Чайзен,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is>
      </c>
      <c r="L6623" s="2" t="inlineStr">
        <is>
          <t>https://www.kino-teatr.ru/teatr/movie/98791/annot/</t>
        </is>
      </c>
      <c r="M6623" s="2">
        <f>HYPERLINK("https://ru.wikipedia.org/w/index.php?search=%D0%93%D0%B0%D1%80%D0%BE%D0%BB%D1%8C%D0%B4%20%D0%B8%20%D0%9C%D0%BE%D0%B4%201986%20%D1%84%D0%B8%D0%BB%D1%8C%D0%BC","искать")</f>
        <v/>
      </c>
      <c r="N6623" s="3" t="n"/>
      <c r="O6623" s="2" t="n"/>
      <c r="P6623" s="2" t="n"/>
    </row>
    <row r="6624">
      <c r="A6624" s="2" t="n">
        <v>6623</v>
      </c>
      <c r="B6624" s="2" t="inlineStr"/>
      <c r="C6624" s="2" t="n">
        <v>8370</v>
      </c>
      <c r="D6624" s="3" t="inlineStr">
        <is>
          <t>Снегурочку вызывали?</t>
        </is>
      </c>
      <c r="E6624" s="2" t="n">
        <v>1985</v>
      </c>
      <c r="F6624" s="2" t="inlineStr">
        <is>
          <t>телефильм</t>
        </is>
      </c>
      <c r="G6624" s="2" t="n"/>
      <c r="H6624" s="2" t="n">
        <v>925</v>
      </c>
      <c r="I6624" s="2" t="inlineStr"/>
      <c r="J6624" s="2" t="inlineStr"/>
      <c r="K6624" s="3" t="inlineStr">
        <is>
          <t>Действие происходит в Ленинграде в канун Нового — 1986-го — года. Театральная актриса Светлана Александровна подрабатывает в фирме добрых услуг, исполняя роль Снегурочки. Актёр, исполняющий роль Деда Мороза, заболел, и заменить его уговорили водителя микроавтобуса Александра Серёгина. Он хорошо вживается в непривычную роль. Среди многочисленных клиентов Деда Мороза и Снегурочки — талантливый мальчик-композитор, ребёнок из детского дома и даже одинокая женщина, которая вызвала сказочных персонажей для себя. Также они заходят и к сыну самого Серёгина, с которым ему не разрешает видеться бывшая жена.
По окончании рабочего дня Серёгин идёт выпить кофе, и тут ряженые передают ему записку с адресом Светланы Александровны, которая, отказавшись от планов встретить Новый год у друзей, решила остаться дома. Она не хочет подходить к телефону, но когда раздаётся звонок в дверь, открывает и видит стоящего на пороге Серёгина.</t>
        </is>
      </c>
      <c r="L6624" s="2" t="inlineStr">
        <is>
          <t>https://ru.wikipedia.org/w/index.php?title=%D0%A1%D0%BD%D0%B5%D0%B3%D1%83%D1%80%D0%BE%D1%87%D0%BA%D1%83_%D0%B2%D1%8B%D0%B7%D1%8B%D0%B2%D0%B0%D0%BB%D0%B8%3F&amp;oldid=152174859</t>
        </is>
      </c>
      <c r="M6624" s="2">
        <f>HYPERLINK("https://ru.wikipedia.org/w/index.php?search=%D0%A1%D0%BD%D0%B5%D0%B3%D1%83%D1%80%D0%BE%D1%87%D0%BA%D1%83%20%D0%B2%D1%8B%D0%B7%D1%8B%D0%B2%D0%B0%D0%BB%D0%B8%3F%201985%20%D1%84%D0%B8%D0%BB%D1%8C%D0%BC","искать")</f>
        <v/>
      </c>
      <c r="N6624" s="3" t="n"/>
      <c r="O6624" s="2" t="n"/>
      <c r="P6624" s="2" t="n"/>
    </row>
    <row r="6625">
      <c r="A6625" s="2" t="n">
        <v>6624</v>
      </c>
      <c r="B6625" s="2" t="inlineStr"/>
      <c r="C6625" s="2" t="n">
        <v>10267</v>
      </c>
      <c r="D6625" s="3" t="inlineStr">
        <is>
          <t>Портрет Дориана Грея</t>
        </is>
      </c>
      <c r="E6625" s="2" t="n">
        <v>1968</v>
      </c>
      <c r="F6625" s="2" t="inlineStr">
        <is>
          <t>фильм-спектакль</t>
        </is>
      </c>
      <c r="G6625" s="2" t="inlineStr">
        <is>
          <t>Центральное телевидение</t>
        </is>
      </c>
      <c r="H6625" s="2" t="n">
        <v>926</v>
      </c>
      <c r="I6625" s="2" t="inlineStr"/>
      <c r="J6625" s="2" t="inlineStr"/>
      <c r="K6625" s="3" t="inlineStr">
        <is>
          <t>Юный у написанного своего портрета произносит желание никогда не стариться, а оставаться таким, как на портрете. Необъяснимым образом вместо юноши взрослеть и стариться начинает портрет, а он остаётся молодым и красивым, как в день написания портрета.
Дориан влюбляется в актрису, с которой планирует обручиться, однако после неудачно сыгранного ею спектакля разрывает отношения, после чего девушка убивает себя. С этого момента начинают происходить изменения в портрете. Далее Дориан позволяет себе всё больше. О нём по Лондону расходятся самые невероятные слухи, а автор портрета Бэзил, попытавшийся вразумить Дориана, также оказывается мёртвым от руки некогда любимой модели.
Однажды Дориан смотрит на свой обезображенный портрет и решает распрощаться с ним навсегда. Однако, когда нож вонзается в полотно, замертво падает сам Дориан. Изображение на портрете снова молодо, а лежащий возле него труп — обезображенный старик.</t>
        </is>
      </c>
      <c r="L6625" s="2" t="inlineStr">
        <is>
          <t>https://ru.wikipedia.org/w/index.php?title=%D0%9F%D0%BE%D1%80%D1%82%D1%80%D0%B5%D1%82_%D0%94%D0%BE%D1%80%D0%B8%D0%B0%D0%BD%D0%B0_%D0%93%D1%80%D0%B5%D1%8F_%28%D1%84%D0%B8%D0%BB%D1%8C%D0%BC%2C_1968%29&amp;oldid=154702855</t>
        </is>
      </c>
      <c r="M6625" s="2">
        <f>HYPERLINK("https://ru.wikipedia.org/w/index.php?search=%D0%9F%D0%BE%D1%80%D1%82%D1%80%D0%B5%D1%82%20%D0%94%D0%BE%D1%80%D0%B8%D0%B0%D0%BD%D0%B0%20%D0%93%D1%80%D0%B5%D1%8F%201968%20%D1%84%D0%B8%D0%BB%D1%8C%D0%BC","искать")</f>
        <v/>
      </c>
      <c r="N6625" s="3" t="n"/>
      <c r="O6625" s="2" t="n"/>
      <c r="P6625" s="2" t="n"/>
    </row>
    <row r="6626">
      <c r="A6626" s="2" t="n">
        <v>6625</v>
      </c>
      <c r="B6626" s="2" t="inlineStr"/>
      <c r="C6626" s="2" t="n">
        <v>10622</v>
      </c>
      <c r="D6626" s="3" t="inlineStr">
        <is>
          <t>Прошлым летом в Чулимске</t>
        </is>
      </c>
      <c r="E6626" s="2" t="n">
        <v>1975</v>
      </c>
      <c r="F6626" s="2" t="inlineStr">
        <is>
          <t>фильм-спектакль</t>
        </is>
      </c>
      <c r="G6626" s="2" t="inlineStr">
        <is>
          <t>Главная редакция литературно-драматических программ ЦТ</t>
        </is>
      </c>
      <c r="H6626" s="2" t="n">
        <v>926</v>
      </c>
      <c r="I6626" s="2" t="inlineStr"/>
      <c r="J6626" s="2" t="inlineStr"/>
      <c r="K6626" s="3" t="inlineStr">
        <is>
          <t>Действие разворачивается в глухом провинциальном посёлке. В отличие от сверстниц, Валентина не уезжает в город, желая быть поблизости от Шаманова, которого тайно любит, да и отец её не пустил бы. Пашка, приехавший в Чулимск в отпуск, влюбляется в Валентину, но все его попытки добиться её внимания остаются тщетными. Шаманов, случайно узнав о чувствах Валентины, впервые по-настоящему обращает на неё внимание, проявляет интерес. Однако Кашкина, любовница Шаманова, намеренно мешает их встрече и даже старается сосватать Валентине немолодого и неинтересного Мечёткина. Одновременно происходит жёсткий разговор Пашки с его матерью, которая требует, чтобы Пашка уехал. Валентина, невольно став свидетелем этого разговора, из жалости соглашается пойти с Пашкой на танцы. Когда они возвращаются поздно ночью, Валентине предстоит ответить отцу, с кем она была: Пашка и Шаманов, каждый уверяет, что с ним. Но она выбирает Мечёткина.</t>
        </is>
      </c>
      <c r="L6626" s="2" t="inlineStr">
        <is>
          <t>https://ru.wikipedia.org/w/index.php?title=%D0%9F%D1%80%D0%BE%D1%88%D0%BB%D1%8B%D0%BC_%D0%BB%D0%B5%D1%82%D0%BE%D0%BC_%D0%B2_%D0%A7%D1%83%D0%BB%D0%B8%D0%BC%D1%81%D0%BA%D0%B5_%28%D1%81%D0%BF%D0%B5%D0%BA%D1%82%D0%B0%D0%BA%D0%BB%D1%8C%29&amp;oldid=145766580</t>
        </is>
      </c>
      <c r="M6626" s="2">
        <f>HYPERLINK("https://ru.wikipedia.org/w/index.php?search=%D0%9F%D1%80%D0%BE%D1%88%D0%BB%D1%8B%D0%BC%20%D0%BB%D0%B5%D1%82%D0%BE%D0%BC%20%D0%B2%20%D0%A7%D1%83%D0%BB%D0%B8%D0%BC%D1%81%D0%BA%D0%B5%201975%20%D1%84%D0%B8%D0%BB%D1%8C%D0%BC","искать")</f>
        <v/>
      </c>
      <c r="N6626" s="3" t="n"/>
      <c r="O6626" s="2" t="n"/>
      <c r="P6626" s="2" t="n"/>
    </row>
    <row r="6627">
      <c r="A6627" s="2" t="n">
        <v>6626</v>
      </c>
      <c r="B6627" s="2" t="inlineStr"/>
      <c r="C6627" s="2" t="n">
        <v>9356</v>
      </c>
      <c r="D6627" s="3" t="inlineStr">
        <is>
          <t>Жена керосинщика</t>
        </is>
      </c>
      <c r="E6627" s="2" t="n">
        <v>1988</v>
      </c>
      <c r="F6627" s="2" t="inlineStr">
        <is>
          <t>кинофильм</t>
        </is>
      </c>
      <c r="G6627" s="2" t="n"/>
      <c r="H6627" s="2" t="n">
        <v>927</v>
      </c>
      <c r="I6627" s="2" t="inlineStr"/>
      <c r="J6627" s="2" t="inlineStr"/>
      <c r="K6627" s="3" t="inlineStr">
        <is>
          <t>Действие происходит в старинном городке на территории, которая в прошлом принадлежала Восточной Пруссии. Мрачную атмосферу довершают полуразрушенные стены прекрасных готических храмов, извилистые средневековые улочки, по которым метёт мартовская позёмка 1953 года.
В городок приезжает старший следователь прокуратуры из центра распутывать дело местного председателя горисполкома Сергея Удальцова (в прошлом — врача-хирурга), на которого поступил донос.
С первых же дней следователю приходится сталкиваться со странными обстоятельствами: никто из жителей не помнит своего детства и своей молодости; по городу расхаживают поющие и ругающиеся на немецком ангелы; странный керосинщик Павел Удальцов (брат-близнец Сергея Удальцова), в прошлом — врач-хирург, разъезжает по городу на мотоцикле, предлагая жителям купить керосин из возимой им за собой ржавой бочки, пока его красавица-жена в открытую крутит роман с молодым флейтистом.</t>
        </is>
      </c>
      <c r="L6627" s="2" t="inlineStr">
        <is>
          <t>https://ru.wikipedia.org/w/index.php?title=%D0%96%D0%B5%D0%BD%D0%B0_%D0%BA%D0%B5%D1%80%D0%BE%D1%81%D0%B8%D0%BD%D1%89%D0%B8%D0%BA%D0%B0&amp;oldid=150339911</t>
        </is>
      </c>
      <c r="M6627" s="2">
        <f>HYPERLINK("https://ru.wikipedia.org/w/index.php?search=%D0%96%D0%B5%D0%BD%D0%B0%20%D0%BA%D0%B5%D1%80%D0%BE%D1%81%D0%B8%D0%BD%D1%89%D0%B8%D0%BA%D0%B0%201988%20%D1%84%D0%B8%D0%BB%D1%8C%D0%BC","искать")</f>
        <v/>
      </c>
      <c r="N6627" s="3" t="n"/>
      <c r="O6627" s="2" t="n"/>
      <c r="P6627" s="2" t="n"/>
    </row>
    <row r="6628">
      <c r="A6628" s="2" t="n">
        <v>6627</v>
      </c>
      <c r="B6628" s="2" t="inlineStr"/>
      <c r="C6628" s="2" t="n">
        <v>8100</v>
      </c>
      <c r="D6628" s="3" t="inlineStr">
        <is>
          <t>Переходим к любви</t>
        </is>
      </c>
      <c r="E6628" s="2" t="n">
        <v>1975</v>
      </c>
      <c r="F6628" s="2" t="inlineStr">
        <is>
          <t>телефильм</t>
        </is>
      </c>
      <c r="G6628" s="2" t="inlineStr">
        <is>
          <t>к/с им. Довженко</t>
        </is>
      </c>
      <c r="H6628" s="2" t="n">
        <v>928</v>
      </c>
      <c r="I6628" s="2" t="inlineStr"/>
      <c r="J6628" s="2" t="inlineStr"/>
      <c r="K6628" s="3" t="inlineStr">
        <is>
          <t>Рабочий Дмитрий Череда стал известным человеком на трубопрокатном заводе, о нём пишут в газетах. Он влюбляется в начинающую певицу Валерию Кальченко. Под влиянием своей тёти и думая о своей артистической карьере, Валерия расстаётся с рабочим парнем.
Дмитрий включён в состав коллектива на получение премии за внедрение передовой технологии. Дмитрий выступает против начальника цеха Горевого, считая что тот незаслуженно включён в список на получение премии. Вместе с наставником Леонидом Шляхтичем он уговаривает Горевого отказаться от премии. Горевой пытается отказаться от внесения в список, но получает отказ от руководства комсомольской организации.
Дмитрий давно знаком с Клементиной Кныш, работающей на том же заводе. Дмитрий узнаёт, что она пишет ему письма и влюблена в него. Поначалу он подшучивает над Клементиной, однако потом влюбляется в неё. Молодые люди начинают встречаться. Они вместе отдыхают и идут на работу.</t>
        </is>
      </c>
      <c r="L6628" s="2" t="inlineStr">
        <is>
          <t>https://ru.wikipedia.org/w/index.php?title=%D0%9F%D0%B5%D1%80%D0%B5%D1%85%D0%BE%D0%B4%D0%B8%D0%BC_%D0%BA_%D0%BB%D1%8E%D0%B1%D0%B2%D0%B8&amp;oldid=154702341</t>
        </is>
      </c>
      <c r="M6628" s="2">
        <f>HYPERLINK("https://ru.wikipedia.org/w/index.php?search=%D0%9F%D0%B5%D1%80%D0%B5%D1%85%D0%BE%D0%B4%D0%B8%D0%BC%20%D0%BA%20%D0%BB%D1%8E%D0%B1%D0%B2%D0%B8%201975%20%D1%84%D0%B8%D0%BB%D1%8C%D0%BC","искать")</f>
        <v/>
      </c>
      <c r="N6628" s="3" t="n"/>
      <c r="O6628" s="2" t="n"/>
      <c r="P6628" s="2" t="n"/>
    </row>
    <row r="6629">
      <c r="A6629" s="2" t="n">
        <v>6628</v>
      </c>
      <c r="B6629" s="2" t="inlineStr"/>
      <c r="C6629" s="2" t="n">
        <v>10945</v>
      </c>
      <c r="D6629" s="3" t="inlineStr">
        <is>
          <t>Кремлевские куранты</t>
        </is>
      </c>
      <c r="E6629" s="2" t="n">
        <v>1982</v>
      </c>
      <c r="F6629" s="2" t="inlineStr">
        <is>
          <t>фильм-спектакль</t>
        </is>
      </c>
      <c r="G6629" s="2" t="n"/>
      <c r="H6629" s="2" t="n">
        <v>930</v>
      </c>
      <c r="I6629" s="2" t="inlineStr"/>
      <c r="J6629" s="2" t="inlineStr"/>
      <c r="K6629" s="3" t="inlineStr">
        <is>
          <t>Спектакль эстонского театра "Ванемуйне" (Тарту).
По одноименной пьесе Николая Погодина.
Действие происходит в Советской России в 1920 году. Крупный в прошлом инженер-электротехник Забелин демонстративно торгует спичками в центре Москвы, у Иверских ворот. Более того, он не считает нужным скрывать свою неприязнь к новой власти. Все родственники и знакомые, да и сам Забелин, уверены, что его неминуемо «вот-вот заберут в ЧК».
За дочерью Забелина ухаживает комиссар Рыбаков. Во время визита Рыбакова в дом Забелина они ссорятся, после чего за Забелиным присылают машину, и он уверен, что его приехали арестовать. Но, оказывается, Забелина приглашают в Кремль, где с ним — правда, в присутствии председателя ВЧК Дзержинского — беседует Владимир Ильич Ленин и рассказывает о масштабном плане правительства по электрификации страны. Ленин предлагает Забелину включиться в работу над стратегически важным для Советской России проектом.</t>
        </is>
      </c>
      <c r="L6629" s="2" t="inlineStr">
        <is>
          <t>https://www.kino-teatr.ru/teatr/movie/169763/annot/</t>
        </is>
      </c>
      <c r="M6629" s="2">
        <f>HYPERLINK("https://ru.wikipedia.org/w/index.php?search=%D0%9A%D1%80%D0%B5%D0%BC%D0%BB%D0%B5%D0%B2%D1%81%D0%BA%D0%B8%D0%B5%20%D0%BA%D1%83%D1%80%D0%B0%D0%BD%D1%82%D1%8B%201982%20%D1%84%D0%B8%D0%BB%D1%8C%D0%BC","искать")</f>
        <v/>
      </c>
      <c r="N6629" s="3" t="n"/>
      <c r="O6629" s="2" t="n"/>
      <c r="P6629" s="2" t="n"/>
    </row>
    <row r="6630">
      <c r="A6630" s="2" t="n">
        <v>6629</v>
      </c>
      <c r="B6630" s="2" t="inlineStr"/>
      <c r="C6630" s="2" t="n">
        <v>8453</v>
      </c>
      <c r="D6630" s="3" t="inlineStr">
        <is>
          <t>Тимур и его команда</t>
        </is>
      </c>
      <c r="E6630" s="2" t="n">
        <v>1976</v>
      </c>
      <c r="F6630" s="2" t="inlineStr">
        <is>
          <t>телефильм</t>
        </is>
      </c>
      <c r="G6630" s="2" t="inlineStr">
        <is>
          <t>Одесская киностудия (по заказу «Гостелерадио СССР»)</t>
        </is>
      </c>
      <c r="H6630" s="2" t="n">
        <v>931</v>
      </c>
      <c r="I6630" s="2" t="inlineStr"/>
      <c r="J6630" s="2" t="inlineStr"/>
      <c r="K6630" s="3" t="inlineStr">
        <is>
          <t>СССР, лето 1940 года.
Женя, дочь командира Красной Армии полковника Александрова, на даче под Москвой знакомится со своим ровесником — Тимуром.
Её сестра Ольга принимает Тимура за хулигана и запрещает младшей сестре дружить с ним. На самом же деле Тимур — командир группы пионеров, живущих в дачном посёлке и тайно оказывающих помощь старикам и семьям красноармейцев.
В этом же посёлке орудует шайка хулиганов, возглавляемая Мишкой Квакиным. Пионеры вступают в противоборство с хулиганами.
Ночью отец Жени приезжает на несколько часов в Москву. Ольга, уехавшая в Москву, присылает Жене телеграмму. Но Женя опаздывает на последний поезд. Её выручает Тимур, привозя на мотоцикле в Москву. Девочка встречает отца. На следующий день Женя и Ольга, которая поняла, что Тимур желает её сестре добра, приезжают обратно на дачу. Ребята провожают на фронт дядю Тимура и собираются вместе, чтобы попрощаться, ведь некоторые уже уезжают домой.</t>
        </is>
      </c>
      <c r="L6630" s="2" t="inlineStr">
        <is>
          <t>https://ru.wikipedia.org/w/index.php?title=%D0%A2%D0%B8%D0%BC%D1%83%D1%80_%D0%B8_%D0%B5%D0%B3%D0%BE_%D0%BA%D0%BE%D0%BC%D0%B0%D0%BD%D0%B4%D0%B0_%28%D1%84%D0%B8%D0%BB%D1%8C%D0%BC%2C_1976%29&amp;oldid=140650326</t>
        </is>
      </c>
      <c r="M6630" s="2">
        <f>HYPERLINK("https://ru.wikipedia.org/w/index.php?search=%D0%A2%D0%B8%D0%BC%D1%83%D1%80%20%D0%B8%20%D0%B5%D0%B3%D0%BE%20%D0%BA%D0%BE%D0%BC%D0%B0%D0%BD%D0%B4%D0%B0%201976%20%D1%84%D0%B8%D0%BB%D1%8C%D0%BC","искать")</f>
        <v/>
      </c>
      <c r="N6630" s="3" t="n"/>
      <c r="O6630" s="2" t="n"/>
      <c r="P6630" s="2" t="n"/>
    </row>
    <row r="6631">
      <c r="A6631" s="2" t="n">
        <v>6630</v>
      </c>
      <c r="B6631" s="2" t="inlineStr"/>
      <c r="C6631" s="2" t="n">
        <v>7745</v>
      </c>
      <c r="D6631" s="3" t="inlineStr">
        <is>
          <t>Комедия ошибок</t>
        </is>
      </c>
      <c r="E6631" s="2" t="n">
        <v>1978</v>
      </c>
      <c r="F6631" s="2" t="inlineStr">
        <is>
          <t>телефильм</t>
        </is>
      </c>
      <c r="G6631" s="2" t="n"/>
      <c r="H6631" s="2" t="n">
        <v>932</v>
      </c>
      <c r="I6631" s="2" t="inlineStr"/>
      <c r="J6631" s="2" t="inlineStr"/>
      <c r="K6631" s="3" t="inlineStr">
        <is>
          <t>Много лет назад две пары близнецов оказались разлучены и даже не знали о существовании друг друга.
В Эфесе волею судеб оказываются близнецы Антифол Сиракузский и Антифол Эфесский и их слуги, которые так же, как и хозяева, — братья-близнецы… Весь фильм они никак не могут встретиться, чем изрядно путают друг друга и окружающих, которые не различают близнецов, ведь они удивительным образом носят одинаковые причёски, усы, бороды и даже одежду. Из-за этой путаницы возникает множество ошибок и нелепых ситуаций… Антифол Сиракузский попадает в дом Эфесского и его принимают за хозяина и жена, и её сестра, в которую он влюбляется. А Антифол Эфесский неожиданно для себя оказывается в роли отверженного.
Слуги Дромио Эфесский и Дромио Сиракузский также попадают в странные ситуации. Они путают хозяев, их путают знакомые и так далее.
В конце концов, после больших переживаний и серьёзных неприятностей, происходит долгожданная встреча.</t>
        </is>
      </c>
      <c r="L6631" s="2" t="inlineStr">
        <is>
          <t>https://ru.wikipedia.org/w/index.php?title=%D0%9A%D0%BE%D0%BC%D0%B5%D0%B4%D0%B8%D1%8F_%D0%BE%D1%88%D0%B8%D0%B1%D0%BE%D0%BA_%28%D1%84%D0%B8%D0%BB%D1%8C%D0%BC%29&amp;oldid=155104027</t>
        </is>
      </c>
      <c r="M6631" s="2">
        <f>HYPERLINK("https://ru.wikipedia.org/w/index.php?search=%D0%9A%D0%BE%D0%BC%D0%B5%D0%B4%D0%B8%D1%8F%20%D0%BE%D1%88%D0%B8%D0%B1%D0%BE%D0%BA%201978%20%D1%84%D0%B8%D0%BB%D1%8C%D0%BC","искать")</f>
        <v/>
      </c>
      <c r="N6631" s="3" t="n"/>
      <c r="O6631" s="2" t="n"/>
      <c r="P6631" s="2" t="n"/>
    </row>
    <row r="6632">
      <c r="A6632" s="2" t="n">
        <v>6631</v>
      </c>
      <c r="B6632" s="2" t="inlineStr"/>
      <c r="C6632" s="2" t="n">
        <v>9590</v>
      </c>
      <c r="D6632" s="3" t="inlineStr">
        <is>
          <t>Приходи свободным</t>
        </is>
      </c>
      <c r="E6632" s="2" t="n">
        <v>1984</v>
      </c>
      <c r="F6632" s="2" t="inlineStr">
        <is>
          <t>кинофильм</t>
        </is>
      </c>
      <c r="G6632" s="2" t="n"/>
      <c r="H6632" s="2" t="n">
        <v>932</v>
      </c>
      <c r="I6632" s="2" t="inlineStr"/>
      <c r="J6632" s="2" t="inlineStr"/>
      <c r="K6632" s="3" t="inlineStr">
        <is>
          <t>События фильма происходят в 1918—1919 годах в Грозненском округе Терской области бывшей Российской империи. Занявшие территорию части Добровольческой армии под командованием генерала Ляхова пытаются не допустить установления Советской власти и ликвидировать перешедших на нелегальное положение большевиков.
Прибывший в город по поручению Серго Орджоникидзе для связи с революционерами и организации партизанского движения чеченский коммунист Асланбек Шерипов попадает в поле зрение деникинской контрразведки, которой удаётся выследить и арестовать подпольщиков.
Ингуши, которые считались наиболее яростными и опасными противниками Добровольческой армии на Северном Кавказе, и истребить которых было решено на контрреволюционном съезде в Моздоке, прорываются сквозь заслоны белых и прибывают в Пятигорск. К ним примыкает Асланбек Шерипов и благополучно попадает вместе с ними на съезд, когда уже, казалась, пропала последняя надежда.</t>
        </is>
      </c>
      <c r="L6632" s="2" t="inlineStr">
        <is>
          <t>https://ru.wikipedia.org/w/index.php?title=%D0%9F%D1%80%D0%B8%D1%85%D0%BE%D0%B4%D0%B8_%D1%81%D0%B2%D0%BE%D0%B1%D0%BE%D0%B4%D0%BD%D1%8B%D0%BC&amp;oldid=154010810</t>
        </is>
      </c>
      <c r="M6632" s="2">
        <f>HYPERLINK("https://ru.wikipedia.org/w/index.php?search=%D0%9F%D1%80%D0%B8%D1%85%D0%BE%D0%B4%D0%B8%20%D1%81%D0%B2%D0%BE%D0%B1%D0%BE%D0%B4%D0%BD%D1%8B%D0%BC%201984%20%D1%84%D0%B8%D0%BB%D1%8C%D0%BC","искать")</f>
        <v/>
      </c>
      <c r="N6632" s="3" t="n"/>
      <c r="O6632" s="2" t="n"/>
      <c r="P6632" s="2" t="n"/>
    </row>
    <row r="6633">
      <c r="A6633" s="2" t="n">
        <v>6632</v>
      </c>
      <c r="B6633" s="2" t="inlineStr"/>
      <c r="C6633" s="2" t="n">
        <v>9309</v>
      </c>
      <c r="D6633" s="3" t="inlineStr">
        <is>
          <t>Гол в Спасские ворота</t>
        </is>
      </c>
      <c r="E6633" s="2" t="n">
        <v>1990</v>
      </c>
      <c r="F6633" s="2" t="inlineStr">
        <is>
          <t>кинофильм</t>
        </is>
      </c>
      <c r="G6633" s="2" t="n"/>
      <c r="H6633" s="2" t="n">
        <v>934</v>
      </c>
      <c r="I6633" s="2" t="inlineStr"/>
      <c r="J6633" s="2" t="inlineStr"/>
      <c r="K6633" s="3" t="inlineStr">
        <is>
          <t>Олимпийские игры 1952 года. Футбольные матчи между сборной СССР и Югославией привлекают пристальное внимание поссорившихся к тому времени политических вождей этих стран… Как только сборная СССР по футболу проигрывает решающий матч, у команды ЦДСА, из которой состоит сборная, — назначаются неприятности — вину за поражение пытаются возложить на игроков команды, по указке сверху команду расформировывают.
Фильм хотя и основыван на реальном матче и содержит кадры кинохроники, однако, сюжет является художественным вымыслом, дополнен историей любви вымышленных персонажей — форварда сборной и начинающей актрисы. Персонажи фильма не основываются с реальных прототипах. Финальные титры:
Участие сборной СССР в Олимпиаде-1952 и проигрыш 1:3 Югославии — единственный подлинный факт в этой придуманной авторами истории. Тем более не следует искать сходства между героями этого фильма и действительными участниками того исторического матча.</t>
        </is>
      </c>
      <c r="L6633" s="2" t="inlineStr">
        <is>
          <t>https://ru.wikipedia.org/w/index.php?title=%D0%93%D0%BE%D0%BB_%D0%B2_%D0%A1%D0%BF%D0%B0%D1%81%D1%81%D0%BA%D0%B8%D0%B5_%D0%B2%D0%BE%D1%80%D0%BE%D1%82%D0%B0&amp;oldid=154693785</t>
        </is>
      </c>
      <c r="M6633" s="2">
        <f>HYPERLINK("https://ru.wikipedia.org/w/index.php?search=%D0%93%D0%BE%D0%BB%20%D0%B2%20%D0%A1%D0%BF%D0%B0%D1%81%D1%81%D0%BA%D0%B8%D0%B5%20%D0%B2%D0%BE%D1%80%D0%BE%D1%82%D0%B0%201990%20%D1%84%D0%B8%D0%BB%D1%8C%D0%BC","искать")</f>
        <v/>
      </c>
      <c r="N6633" s="3" t="n"/>
      <c r="O6633" s="2" t="n"/>
      <c r="P6633" s="2" t="n"/>
    </row>
    <row r="6634">
      <c r="A6634" s="2" t="n">
        <v>6633</v>
      </c>
      <c r="B6634" s="2" t="inlineStr"/>
      <c r="C6634" s="2" t="n">
        <v>11382</v>
      </c>
      <c r="D6634" s="3" t="inlineStr">
        <is>
          <t>Старое танго</t>
        </is>
      </c>
      <c r="E6634" s="2" t="n">
        <v>1979</v>
      </c>
      <c r="F6634" s="2" t="inlineStr">
        <is>
          <t>фильм-опера/балет</t>
        </is>
      </c>
      <c r="G6634" s="2" t="inlineStr">
        <is>
          <t>Лентелефильм</t>
        </is>
      </c>
      <c r="H6634" s="2" t="n">
        <v>936</v>
      </c>
      <c r="I6634" s="2" t="inlineStr"/>
      <c r="J6634" s="2" t="inlineStr"/>
      <c r="K6634" s="3" t="inlineStr">
        <is>
          <t>Уличный воришка-карманник, спасаясь от погони, меняется одеждой с девушкой, только что потерявшей работу. С этого момента в городе появляется новый житель — «мальчишка» по имени Петер.
Судьба распоряжается таким образом, что он попадает в дом богатого господина в качестве прислуги.
«Петер», она же Франческа, влюблена в господина, который даже не догадывается, что перед ним переодетая девушка. У него своя жизнь, возлюбленная… Пытаясь привлечь к себе внимание, «Петер» выливает кофе на возлюбленную господина. А на балу во фраке воришки танцует танго с дамой господина, за что оказывается изгнанной с бала.
Интриги против «Петера» поджидают и дома. Камердинер мстит ему, подбрасывая во фрак ожерелье господина, предназначенное его возлюбленной.
«Петер» снимает маску. Господин видит перед собой образ своей мечты, при этом даёт ей расчет и увольняет.
Воришка, посочувствовав, возвращает ей её платье и зонтик. Франческа остаётся одна.</t>
        </is>
      </c>
      <c r="L6634" s="2" t="inlineStr">
        <is>
          <t>https://ru.wikipedia.org/w/index.php?title=%D0%A1%D1%82%D0%B0%D1%80%D0%BE%D0%B5_%D1%82%D0%B0%D0%BD%D0%B3%D0%BE&amp;oldid=154707989</t>
        </is>
      </c>
      <c r="M6634" s="2">
        <f>HYPERLINK("https://ru.wikipedia.org/w/index.php?search=%D0%A1%D1%82%D0%B0%D1%80%D0%BE%D0%B5%20%D1%82%D0%B0%D0%BD%D0%B3%D0%BE%201979%20%D1%84%D0%B8%D0%BB%D1%8C%D0%BC","искать")</f>
        <v/>
      </c>
      <c r="N6634" s="3" t="n"/>
      <c r="O6634" s="2" t="n"/>
      <c r="P6634" s="2" t="n"/>
    </row>
    <row r="6635">
      <c r="A6635" s="2" t="n">
        <v>6634</v>
      </c>
      <c r="B6635" s="2" t="inlineStr"/>
      <c r="C6635" s="2" t="n">
        <v>9727</v>
      </c>
      <c r="D6635" s="3" t="inlineStr">
        <is>
          <t>Футболист</t>
        </is>
      </c>
      <c r="E6635" s="2" t="n">
        <v>1990</v>
      </c>
      <c r="F6635" s="2" t="inlineStr">
        <is>
          <t>кинофильм</t>
        </is>
      </c>
      <c r="G6635" s="2" t="n"/>
      <c r="H6635" s="2" t="n">
        <v>937</v>
      </c>
      <c r="I6635" s="2" t="inlineStr"/>
      <c r="J6635" s="2" t="inlineStr"/>
      <c r="K6635" s="3" t="inlineStr">
        <is>
          <t>Фильм снят по повести Анатолия Степанова о бывшем футболисте Олеге Норове, который пытался противостоять дельцам теневого тотализатора. Норов, став тренером, замечает на одном из матчей позиционный просчет защитника, приведший к голу. Норов уверен — выпестованный им юниор не мог так грубо ошибиться.
Несколько встреч с нужными людьми и сопоставление фактов приводят Норова к выводу: матчи чемпионата страны продаются и покупаются, их сценарий и итоговый счет прописаны заранее. С помощью нескольких старых друзей Норов начинает расследование. Распутав клубок, он решает сорвать договорной матч. Игра действительно проходит честно и завершается не с тем результатом, которого ждали серые букмекеры, но за всё нужно платить, и ценой становятся человеческие жизни. Вскоре власти (по указке Норова и его друзей) разгромили спортивную мафию во главе с махинатором по кличке «Человек-гора», потому что справедливость всегда на стороне закона.</t>
        </is>
      </c>
      <c r="L6635" s="2" t="inlineStr">
        <is>
          <t>https://ru.wikipedia.org/w/index.php?title=%D0%A4%D1%83%D1%82%D0%B1%D0%BE%D0%BB%D0%B8%D1%81%D1%82_%28%D1%84%D0%B8%D0%BB%D1%8C%D0%BC%29&amp;oldid=155013705</t>
        </is>
      </c>
      <c r="M6635" s="2">
        <f>HYPERLINK("https://ru.wikipedia.org/w/index.php?search=%D0%A4%D1%83%D1%82%D0%B1%D0%BE%D0%BB%D0%B8%D1%81%D1%82%201990%20%D1%84%D0%B8%D0%BB%D1%8C%D0%BC","искать")</f>
        <v/>
      </c>
      <c r="N6635" s="3" t="n"/>
      <c r="O6635" s="2" t="n"/>
      <c r="P6635" s="2" t="n"/>
    </row>
    <row r="6636">
      <c r="A6636" s="2" t="n">
        <v>6635</v>
      </c>
      <c r="B6636" s="2" t="inlineStr"/>
      <c r="C6636" s="2" t="n">
        <v>9571</v>
      </c>
      <c r="D6636" s="3" t="inlineStr">
        <is>
          <t>Поражение после победы</t>
        </is>
      </c>
      <c r="E6636" s="2" t="n">
        <v>1988</v>
      </c>
      <c r="F6636" s="2" t="inlineStr">
        <is>
          <t>кинофильм</t>
        </is>
      </c>
      <c r="G6636" s="2" t="n"/>
      <c r="H6636" s="2" t="n">
        <v>941</v>
      </c>
      <c r="I6636" s="2" t="inlineStr"/>
      <c r="J6636" s="2" t="inlineStr"/>
      <c r="K6636" s="3" t="inlineStr">
        <is>
          <t>Боксер Геннадий Кедров подавал когда-то большие надежды и готовился продолжить свою спортивную карьеру. Ради этого спортсмен забрасывает учебу в институте и работу на заводе. Но спортивный век короток. Кедров, не справившись с новыми нагрузками, ссорится со своим тренером. Однажды, порядком выпив, отправляется к тому домой и устраивает драку, после которой он вынужден уйти из спортивного клуба. Не имея образования и профессии, Кедров работает сначала грузчиком, затем приемщиком макулатуры, а позже устраивается на кладбище копать могилы. Жена и тесть постоянно укоряют его за несостоявшуюся спортивную карьеру и отсутствие постоянной работы. Пытаясь хоть как-то исправить положение, Геннадий соглашается на предложение старого приятеля перегонять автомобили, но это занятие оказывается обыкновенным мошенничеством. Поняв это, Кедров порывает с аферистами, уходит от жены и планирует уехать на север, чтобы полностью изменить свою жизнь.</t>
        </is>
      </c>
      <c r="L6636" s="2" t="inlineStr">
        <is>
          <t>https://gosfilmofond.ru/films/240100/</t>
        </is>
      </c>
      <c r="M6636" s="2">
        <f>HYPERLINK("https://ru.wikipedia.org/w/index.php?search=%D0%9F%D0%BE%D1%80%D0%B0%D0%B6%D0%B5%D0%BD%D0%B8%D0%B5%20%D0%BF%D0%BE%D1%81%D0%BB%D0%B5%20%D0%BF%D0%BE%D0%B1%D0%B5%D0%B4%D1%8B%201988%20%D1%84%D0%B8%D0%BB%D1%8C%D0%BC","искать")</f>
        <v/>
      </c>
      <c r="N6636" s="3" t="n"/>
      <c r="O6636" s="2" t="n"/>
      <c r="P6636" s="2" t="n"/>
    </row>
    <row r="6637">
      <c r="A6637" s="2" t="n">
        <v>6636</v>
      </c>
      <c r="B6637" s="2" t="inlineStr"/>
      <c r="C6637" s="2" t="n">
        <v>9088</v>
      </c>
      <c r="D6637" s="3" t="inlineStr">
        <is>
          <t>Тайный советник</t>
        </is>
      </c>
      <c r="E6637" s="2" t="n">
        <v>1988</v>
      </c>
      <c r="F6637" s="2" t="inlineStr">
        <is>
          <t>кинофильм</t>
        </is>
      </c>
      <c r="G6637" s="2" t="n"/>
      <c r="H6637" s="2" t="n">
        <v>946</v>
      </c>
      <c r="I6637" s="2" t="inlineStr"/>
      <c r="J6637" s="2" t="inlineStr"/>
      <c r="K6637" s="3" t="inlineStr">
        <is>
          <t>Ереван, 1980-е годы. Двое друзей, Иван и Милитон, при рытье котлована под фундамент дома неожиданно обнаруживают гроб с останками тайного советника Мелик-Милова. Директор тюремного комитета, жестокий царский чиновник в чине генерала, он скончался в 1888 году. И на кладбище, и в «Обществе по охране памятников», и в милиции Иван и Милитон получают категорический отказ принять останки покойного. После всех этих мытарств, друзья вынуждены привезти гроб в дом Милитона. И тут случается невероятное — тайный советник... оживает. Он берет себе имя Саша и быстро осваивается в новой обстановке, соблазняет жену хозяина дома Зару, устраивается на предприятие, где работают друзья, и вскоре становится там одним из начальников. Возмущенные поведением «гостя», приятели решают избавиться от него, задавив самосвалом, за руль которого садится Иван. Однако, когда машина настигает Сашу, тот внезапно исчезает, оставив после себя лишь тлеющие части одежды.</t>
        </is>
      </c>
      <c r="L6637" s="2" t="inlineStr">
        <is>
          <t>https://gosfilmofond.ru/films/240215/</t>
        </is>
      </c>
      <c r="M6637" s="2">
        <f>HYPERLINK("https://ru.wikipedia.org/w/index.php?search=%D0%A2%D0%B0%D0%B9%D0%BD%D1%8B%D0%B9%20%D1%81%D0%BE%D0%B2%D0%B5%D1%82%D0%BD%D0%B8%D0%BA%201988%20%D1%84%D0%B8%D0%BB%D1%8C%D0%BC","искать")</f>
        <v/>
      </c>
      <c r="N6637" s="3" t="n"/>
      <c r="O6637" s="2" t="n"/>
      <c r="P6637" s="2" t="n"/>
    </row>
    <row r="6638">
      <c r="A6638" s="2" t="n">
        <v>6637</v>
      </c>
      <c r="B6638" s="2" t="inlineStr"/>
      <c r="C6638" s="2" t="n">
        <v>8994</v>
      </c>
      <c r="D6638" s="3" t="inlineStr">
        <is>
          <t>Птицам крылья не в тягость</t>
        </is>
      </c>
      <c r="E6638" s="2" t="n">
        <v>1989</v>
      </c>
      <c r="F6638" s="2" t="inlineStr">
        <is>
          <t>кинофильм</t>
        </is>
      </c>
      <c r="G6638" s="2" t="n"/>
      <c r="H6638" s="2" t="n">
        <v>948</v>
      </c>
      <c r="I6638" s="2" t="inlineStr"/>
      <c r="J6638" s="2" t="inlineStr"/>
      <c r="K6638" s="3" t="inlineStr">
        <is>
          <t>Великая Отечественная война. 1941 год. Уцелевшие после ожесточенного боя капитан Константин Зарубин и рядовой Петр Полушкин попадают в окружение. Им удается сесть на небольшой катер, которым управляет Екатерина Семеновна, воспитательница детдома для детей «врагов народа», спасающая воспитанников от
немцев. Молодая женщина, до фанатизма преданная Сталину, бесконечно муштрует детей, наказывая их за любую провинность. Зарубин и Полушкин пытаются противостоять ожесточенности надзирательницы, смягчить для ребят полутюремный режим, установленный Екатериной Семеновной. Постепенно женщина оттаивает, становится человечнее. Вскоре выясняется, что дальнейшее продвижение на катере крайне затруднительно, так как вся территория захвачена фашистами. Взрослые принимают решение идти дальше по суше. Но это тоже оказывается небезопасно, немцы настигают маленький отряд. Почти все погибают, только нескольким детям удается спастись. Они уплывают на катере.</t>
        </is>
      </c>
      <c r="L6638" s="2" t="inlineStr">
        <is>
          <t>https://gosfilmofond.ru/films/241028/</t>
        </is>
      </c>
      <c r="M6638" s="2">
        <f>HYPERLINK("https://ru.wikipedia.org/w/index.php?search=%D0%9F%D1%82%D0%B8%D1%86%D0%B0%D0%BC%20%D0%BA%D1%80%D1%8B%D0%BB%D1%8C%D1%8F%20%D0%BD%D0%B5%20%D0%B2%20%D1%82%D1%8F%D0%B3%D0%BE%D1%81%D1%82%D1%8C%201989%20%D1%84%D0%B8%D0%BB%D1%8C%D0%BC","искать")</f>
        <v/>
      </c>
      <c r="N6638" s="3" t="n"/>
      <c r="O6638" s="2" t="n"/>
      <c r="P6638" s="2" t="n"/>
    </row>
    <row r="6639">
      <c r="A6639" s="2" t="n">
        <v>6638</v>
      </c>
      <c r="B6639" s="2" t="inlineStr"/>
      <c r="C6639" s="2" t="n">
        <v>9527</v>
      </c>
      <c r="D6639" s="3" t="inlineStr">
        <is>
          <t>Опалённые Кандагаром</t>
        </is>
      </c>
      <c r="E6639" s="2" t="n">
        <v>1989</v>
      </c>
      <c r="F6639" s="2" t="inlineStr">
        <is>
          <t>кинофильм</t>
        </is>
      </c>
      <c r="G6639" s="2" t="n"/>
      <c r="H6639" s="2" t="n">
        <v>954</v>
      </c>
      <c r="I6639" s="2" t="inlineStr"/>
      <c r="J6639" s="2" t="inlineStr"/>
      <c r="K6639" s="3" t="inlineStr">
        <is>
          <t>Афганистан. 1980-е годы. Советский десантник Алишер Хайдаров ранен в бою под Кандагаром, а его друг погиб. Подлечившись в госпитале и навестив родителей погибшего друга, Алишер возвращается в родной город, где узнает, что его отец сидит в тюрьме за взятки. Выяснив, что дело было сфабриковано, Хайдаров решает помочь отцу. Убедившись, что официальным путем сделать это невозможно, Алишер проводит самостоятельное расследование. Посетив нефтебазу, он обнаруживает манипуляции с бензином на бензоколонках. Алишер понимает, что здесь орудует мафиозная группировка, которая и засадила отца в тюрьму. Хайдаров в одиночку вступает с ней в борьбу. Он избивает и сдает в прокуратуру главного «боевика» мафии, также бывшего афганца-десантника Шестакова. Но силы не равны, и один из бандитов убивает Хайдарова, а на следующее утро случается неожиданное — нефтебазу окружают товарищи Алишера — демобилизованные солдаты-афганцы. Они пришли отомстить за своего друга.</t>
        </is>
      </c>
      <c r="L6639" s="2" t="inlineStr">
        <is>
          <t>https://gosfilmofond.ru/films/240389/</t>
        </is>
      </c>
      <c r="M6639" s="2">
        <f>HYPERLINK("https://ru.wikipedia.org/w/index.php?search=%D0%9E%D0%BF%D0%B0%D0%BB%D1%91%D0%BD%D0%BD%D1%8B%D0%B5%20%D0%9A%D0%B0%D0%BD%D0%B4%D0%B0%D0%B3%D0%B0%D1%80%D0%BE%D0%BC%201989%20%D1%84%D0%B8%D0%BB%D1%8C%D0%BC","искать")</f>
        <v/>
      </c>
      <c r="N6639" s="3" t="n"/>
      <c r="O6639" s="2" t="n"/>
      <c r="P6639" s="2" t="n"/>
    </row>
    <row r="6640">
      <c r="A6640" s="2" t="n">
        <v>6639</v>
      </c>
      <c r="B6640" s="2" t="inlineStr"/>
      <c r="C6640" s="2" t="n">
        <v>7984</v>
      </c>
      <c r="D6640" s="3" t="inlineStr">
        <is>
          <t>Ненаглядный мой</t>
        </is>
      </c>
      <c r="E6640" s="2" t="n">
        <v>1983</v>
      </c>
      <c r="F6640" s="2" t="inlineStr">
        <is>
          <t>телефильм</t>
        </is>
      </c>
      <c r="G6640" s="2" t="n"/>
      <c r="H6640" s="2" t="n">
        <v>955</v>
      </c>
      <c r="I6640" s="2" t="inlineStr"/>
      <c r="J6640" s="2" t="inlineStr"/>
      <c r="K6640" s="3" t="inlineStr">
        <is>
          <t>По мотивам рассказа Виктора Астафьева «Тревожный сон» о судьбе Фаины, вышедшая замуж незадолго до Великой Отечественной войны, она всю жизнь, одна воспитывает дочь, сохраняя верность мужу, погибшему на фронте.
В фильме «Ненаглядный мой» мало внешней событийности, в нём действует скорее повествовательный принцип «последовательности восприятий». Всё действие строится как цепь мгновений жизни Фаины, складывающихся в долгие годы ожидания любимого.
А.Войтецкий, очень чутко уловив потребность прозы В.Астафьева дойти до истоков духовной силы народного характера, придал частной судьбе Фаины эпическое дыхание, включил её в контекст исторического времени. Сохраняя этот драматический нерв, режиссёр ищет эпические связи героев с народной жизнью, войной, показывает их в полнейшем слиянии с природой, окружением, всей средой действия (одна из таких укрупняющих деталей — радиоточка, голос диктора, связывающий далекий поселок на Енисее с жизнью всей страны).</t>
        </is>
      </c>
      <c r="L6640" s="2" t="inlineStr">
        <is>
          <t>https://ru.wikipedia.org/w/index.php?title=%D0%9D%D0%B5%D0%BD%D0%B0%D0%B3%D0%BB%D1%8F%D0%B4%D0%BD%D1%8B%D0%B9_%D0%BC%D0%BE%D0%B9&amp;oldid=154700564</t>
        </is>
      </c>
      <c r="M6640" s="2">
        <f>HYPERLINK("https://ru.wikipedia.org/w/index.php?search=%D0%9D%D0%B5%D0%BD%D0%B0%D0%B3%D0%BB%D1%8F%D0%B4%D0%BD%D1%8B%D0%B9%20%D0%BC%D0%BE%D0%B9%201983%20%D1%84%D0%B8%D0%BB%D1%8C%D0%BC","искать")</f>
        <v/>
      </c>
      <c r="N6640" s="3" t="n"/>
      <c r="O6640" s="2" t="n"/>
      <c r="P6640" s="2" t="n"/>
    </row>
    <row r="6641">
      <c r="A6641" s="2" t="n">
        <v>6640</v>
      </c>
      <c r="B6641" s="2" t="inlineStr"/>
      <c r="C6641" s="2" t="n">
        <v>7374</v>
      </c>
      <c r="D6641" s="3" t="inlineStr">
        <is>
          <t>Воскресенье, половина седьмого</t>
        </is>
      </c>
      <c r="E6641" s="2" t="n">
        <v>1988</v>
      </c>
      <c r="F6641" s="2" t="inlineStr">
        <is>
          <t>телефильм</t>
        </is>
      </c>
      <c r="G6641" s="2" t="inlineStr">
        <is>
          <t>Творческое объединение «Экран»</t>
        </is>
      </c>
      <c r="H6641" s="2" t="n">
        <v>956</v>
      </c>
      <c r="I6641" s="2" t="inlineStr"/>
      <c r="J6641" s="2" t="inlineStr"/>
      <c r="K6641" s="3" t="inlineStr">
        <is>
          <t>Молодому юристу Сергею Крашенинникову, проходящему стажировку в прокуратуре, поручают дело o смерти девушки, тело которой было найдено в лесу недалеко от шоссе (17 км Боровского шоссе в районе Солнцево). Дело, на первый взгляд, было простым: девушка, как показало вскрытие, умерла от разрыва селезёнки, и нужно было только установить её личность.
Сергей пытается выяснить, почему Соня (так звали погибшую девушку) оказалась в отдалённом районе Москвы и почему никто не оказал ей помощи, хотя место было достаточно оживлённым. Расспрашивая видевших её людей, Сергей понимает, что свидетели ему либо что-то недоговаривают, либо откровенно лгут.
Постепенно Сергей устанавливает подлинную причину происшедшего — равнодушие окружающих. Достаточно сказать, что помощи умирающей девушке не оказал даже оказавшийся в том месте врач, человек с виду интеллигентный и порядочный, который потом откровенно врал Сергею, будто в тот день он ехал совсем по другой дороге.</t>
        </is>
      </c>
      <c r="L6641" s="2" t="inlineStr">
        <is>
          <t>https://ru.wikipedia.org/w/index.php?title=%D0%92%D0%BE%D1%81%D0%BA%D1%80%D0%B5%D1%81%D0%B5%D0%BD%D1%8C%D0%B5%2C_%D0%BF%D0%BE%D0%BB%D0%BE%D0%B2%D0%B8%D0%BD%D0%B0_%D1%81%D0%B5%D0%B4%D1%8C%D0%BC%D0%BE%D0%B3%D0%BE&amp;oldid=153189685</t>
        </is>
      </c>
      <c r="M6641" s="2">
        <f>HYPERLINK("https://ru.wikipedia.org/w/index.php?search=%D0%92%D0%BE%D1%81%D0%BA%D1%80%D0%B5%D1%81%D0%B5%D0%BD%D1%8C%D0%B5%2C%20%D0%BF%D0%BE%D0%BB%D0%BE%D0%B2%D0%B8%D0%BD%D0%B0%20%D1%81%D0%B5%D0%B4%D1%8C%D0%BC%D0%BE%D0%B3%D0%BE%201988%20%D1%84%D0%B8%D0%BB%D1%8C%D0%BC","искать")</f>
        <v/>
      </c>
      <c r="N6641" s="3" t="n"/>
      <c r="O6641" s="2" t="n"/>
      <c r="P6641" s="2" t="n"/>
    </row>
    <row r="6642">
      <c r="A6642" s="2" t="n">
        <v>6641</v>
      </c>
      <c r="B6642" s="2" t="inlineStr"/>
      <c r="C6642" s="2" t="n">
        <v>9032</v>
      </c>
      <c r="D6642" s="3" t="inlineStr">
        <is>
          <t>Светлая личность</t>
        </is>
      </c>
      <c r="E6642" s="2" t="n">
        <v>1989</v>
      </c>
      <c r="F6642" s="2" t="inlineStr">
        <is>
          <t>кинофильм</t>
        </is>
      </c>
      <c r="G6642" s="2" t="n"/>
      <c r="H6642" s="2" t="n">
        <v>956</v>
      </c>
      <c r="I6642" s="2" t="inlineStr"/>
      <c r="J6642" s="2" t="inlineStr"/>
      <c r="K6642" s="3" t="inlineStr">
        <is>
          <t>Фантазия на темы И. Ильфа и Е. Петрова. 1920-е годы. Житель города Кукуева Бабский изобретает «чудо
века» — мыло веснулин, которое должно спасти человечество от веснушек. Волею случая коробочка с изобретением попадает к Егору Карловичу Филюрину. Думая, что это обыкновенное мыло, он намыливается и... становится невидимым. Произошедшее взбудораживает город. Озабоченные руководители учреждения, в котором работал Филюрин, решают «выдвинуть» в «невидимки» своего представителя - Каина Доброгласова. Но невидимки из него не получается, потому что Бабский забыл рецепт веснулина. Тогда Доброгласов хочет воспользовался новым изобретением ученого-самоучки — машиной времени. Но у нее ломается мотор, и Доброгласов в буквальном смысле слова сваливается на головы митингующих кукуевцев, которые собрались на открытие памятника невидимке Филюрину — светлой личности. Неожиданно Егор Карлович становится видимым. Все успокаиваются, жизнь в городе идет по-прежнему.</t>
        </is>
      </c>
      <c r="L6642" s="2" t="inlineStr">
        <is>
          <t>https://gosfilmofond.ru/films/240286/</t>
        </is>
      </c>
      <c r="M6642" s="2">
        <f>HYPERLINK("https://ru.wikipedia.org/w/index.php?search=%D0%A1%D0%B2%D0%B5%D1%82%D0%BB%D0%B0%D1%8F%20%D0%BB%D0%B8%D1%87%D0%BD%D0%BE%D1%81%D1%82%D1%8C%201989%20%D1%84%D0%B8%D0%BB%D1%8C%D0%BC","искать")</f>
        <v/>
      </c>
      <c r="N6642" s="3" t="n"/>
      <c r="O6642" s="2" t="n"/>
      <c r="P6642" s="2" t="n"/>
    </row>
    <row r="6643">
      <c r="A6643" s="2" t="n">
        <v>6642</v>
      </c>
      <c r="B6643" s="2" t="inlineStr"/>
      <c r="C6643" s="2" t="n">
        <v>9237</v>
      </c>
      <c r="D6643" s="3" t="inlineStr">
        <is>
          <t>Бесаме</t>
        </is>
      </c>
      <c r="E6643" s="2" t="n">
        <v>1989</v>
      </c>
      <c r="F6643" s="2" t="inlineStr">
        <is>
          <t>кинофильм</t>
        </is>
      </c>
      <c r="G6643" s="2" t="n"/>
      <c r="H6643" s="2" t="n">
        <v>956</v>
      </c>
      <c r="I6643" s="2" t="inlineStr"/>
      <c r="J6643" s="2" t="inlineStr"/>
      <c r="K6643" s="3" t="inlineStr">
        <is>
          <t>Испания. Ректор Академии музыки во время своего путешествия замечает юного паренька Бесаме, который пасёт скот, а во время отдыха играет на свирели. Академик чувствует в парне хорошие задатки и решает взять его в академию, где Бесаме сможет учиться музыке.
Но события разворачиваются совсем по другому. Бесаме разозлил учителей естественных дисциплин, особенно жестокого учителя истории Картузо, который постоянно издевается над учениками. Через некоторое время стараниями учителей паренёк покидает академию и оказывается в специальном пансионате, где обучаются трудновоспитуемые дети.
Теперь наставник Бесаме — воспитатель Рексач, у которого свои приёмы воспитания — он запросто может побить ученика, и кроме того воспитывает из учащихся «шестёрок», готовых мгновенно донести на своего товарища. Бесаме видит, что на зло лучше отвечать злом, а на насилие — насилием. Он становится сильным мускулистым парнем и всё меньше думает о музыке и о своей свирели.</t>
        </is>
      </c>
      <c r="L6643" s="2" t="inlineStr">
        <is>
          <t>https://ru.wikipedia.org/w/index.php?title=%D0%91%D0%B5%D1%81%D0%B0%D0%BC%D0%B5&amp;oldid=149110416</t>
        </is>
      </c>
      <c r="M6643" s="2">
        <f>HYPERLINK("https://ru.wikipedia.org/w/index.php?search=%D0%91%D0%B5%D1%81%D0%B0%D0%BC%D0%B5%201989%20%D1%84%D0%B8%D0%BB%D1%8C%D0%BC","искать")</f>
        <v/>
      </c>
      <c r="N6643" s="3" t="n"/>
      <c r="O6643" s="2" t="n"/>
      <c r="P6643" s="2" t="n"/>
    </row>
    <row r="6644">
      <c r="A6644" s="2" t="n">
        <v>6643</v>
      </c>
      <c r="B6644" s="2" t="inlineStr"/>
      <c r="C6644" s="2" t="n">
        <v>8407</v>
      </c>
      <c r="D6644" s="3" t="inlineStr">
        <is>
          <t>Стоянка поезда - две минуты</t>
        </is>
      </c>
      <c r="E6644" s="2" t="n">
        <v>1972</v>
      </c>
      <c r="F6644" s="2" t="inlineStr">
        <is>
          <t>телефильм</t>
        </is>
      </c>
      <c r="G6644" s="2" t="n"/>
      <c r="H6644" s="2" t="n">
        <v>960</v>
      </c>
      <c r="I6644" s="2" t="inlineStr"/>
      <c r="J6644" s="2" t="inlineStr"/>
      <c r="K6644" s="3" t="inlineStr">
        <is>
          <t>Из Москвы в провинциальный городок Нижние Волчки приезжает на работу молодой и красивый врач-невролог Игорь Павлович Максимов (Олег Видов). Он вызывает симпатию у своих коллег, в том числе и у молодой медсестры Алёны (Валентина Теличкина).
Однако работа и жизнь в маленьком городке быстро наскучивают Игорю, так как в Нижних Волчках нет никакой привычной для москвича урбанизации, а население редко чем болеет и местная поликлиника часто пустует, из-за чего Максимову попросту не на ком практиковаться. Он начинает тосковать по столичной жизни, друзьям и любимой женщине — известной эстрадной певице.
Алёна, понимая, что Игорь почти готов уехать обратно в Москву, решает удержать его и обращается за помощью к чудаковатому местному мужичку-волшебнику Василию (Юрий Белов), который обладает способностью творить добрые дела. Благодаря Василию в сонном городке начинают происходить разные интересные события, и заскучавший было доктор принимает решение остаться.</t>
        </is>
      </c>
      <c r="L6644" s="2" t="inlineStr">
        <is>
          <t>https://ru.wikipedia.org/w/index.php?title=%D0%A1%D1%82%D0%BE%D1%8F%D0%BD%D0%BA%D0%B0_%D0%BF%D0%BE%D0%B5%D0%B7%D0%B4%D0%B0_%E2%80%94_%D0%B4%D0%B2%D0%B5_%D0%BC%D0%B8%D0%BD%D1%83%D1%82%D1%8B&amp;oldid=155574752</t>
        </is>
      </c>
      <c r="M6644" s="2">
        <f>HYPERLINK("https://ru.wikipedia.org/w/index.php?search=%D0%A1%D1%82%D0%BE%D1%8F%D0%BD%D0%BA%D0%B0%20%D0%BF%D0%BE%D0%B5%D0%B7%D0%B4%D0%B0%20-%20%D0%B4%D0%B2%D0%B5%20%D0%BC%D0%B8%D0%BD%D1%83%D1%82%D1%8B%201972%20%D1%84%D0%B8%D0%BB%D1%8C%D0%BC","искать")</f>
        <v/>
      </c>
      <c r="N6644" s="3" t="n"/>
      <c r="O6644" s="2" t="n"/>
      <c r="P6644" s="2" t="n"/>
    </row>
    <row r="6645">
      <c r="A6645" s="2" t="n">
        <v>6644</v>
      </c>
      <c r="B6645" s="2" t="inlineStr"/>
      <c r="C6645" s="2" t="n">
        <v>9345</v>
      </c>
      <c r="D6645" s="3" t="inlineStr">
        <is>
          <t>Дорогая Елена Сергеевна</t>
        </is>
      </c>
      <c r="E6645" s="2" t="n">
        <v>1988</v>
      </c>
      <c r="F6645" s="2" t="inlineStr">
        <is>
          <t>кинофильм</t>
        </is>
      </c>
      <c r="G6645" s="2" t="n"/>
      <c r="H6645" s="2" t="n">
        <v>960</v>
      </c>
      <c r="I6645" s="2" t="inlineStr"/>
      <c r="J6645" s="2" t="inlineStr"/>
      <c r="K6645" s="3" t="inlineStr">
        <is>
          <t>По одноименной пьесе Л. Разумовской. Однажды летним вечером ученики выпускного класса Володя, Паша, Леля и Витек приходят к Елене Сергеевне, учительнице математики, чтобы поздравить ее с днем рождения. После первых тостов ребята открывают истинную причину прихода. Они просят Елену Сергеевну дать им ключ от сейфа, где хранятся экзаменационные работы, чтобы подменить их. Из-за серьезных ошибок, допущенных на экзаменах, подросткам грозят плохие отметки. Предложение учеников оскорбляет учительницу, и она указывает им на дверь. Но ребята не уходят. Они издеваются над педагогом: закрывают дверь, обрезают телефонный шнур, лезут в шкафы, переворачивают все вверх дном. Видя, что Елена Сергеевна не сдается, Володя, лидер группы, решается на шантаж. Он грозит изнасиловать Лелю и
начинает рвать на ней одежду. Тогда Елена Сергеевна отдает ключ, а сама запирается в ванной комнате. Осознав, что они едва не совершили преступление, ребята оставляют ключ и уходят.</t>
        </is>
      </c>
      <c r="L6645" s="2" t="inlineStr">
        <is>
          <t>https://gosfilmofond.ru/films/239777/</t>
        </is>
      </c>
      <c r="M6645" s="2">
        <f>HYPERLINK("https://ru.wikipedia.org/w/index.php?search=%D0%94%D0%BE%D1%80%D0%BE%D0%B3%D0%B0%D1%8F%20%D0%95%D0%BB%D0%B5%D0%BD%D0%B0%20%D0%A1%D0%B5%D1%80%D0%B3%D0%B5%D0%B5%D0%B2%D0%BD%D0%B0%201988%20%D1%84%D0%B8%D0%BB%D1%8C%D0%BC","искать")</f>
        <v/>
      </c>
      <c r="N6645" s="3" t="n"/>
      <c r="O6645" s="2" t="n"/>
      <c r="P6645" s="2" t="n"/>
    </row>
    <row r="6646">
      <c r="A6646" s="2" t="n">
        <v>6645</v>
      </c>
      <c r="B6646" s="2" t="inlineStr"/>
      <c r="C6646" s="2" t="n">
        <v>8518</v>
      </c>
      <c r="D6646" s="3" t="inlineStr">
        <is>
          <t>Фруза</t>
        </is>
      </c>
      <c r="E6646" s="2" t="n">
        <v>1981</v>
      </c>
      <c r="F6646" s="2" t="inlineStr">
        <is>
          <t>телефильм</t>
        </is>
      </c>
      <c r="G6646" s="2" t="n"/>
      <c r="H6646" s="2" t="n">
        <v>963</v>
      </c>
      <c r="I6646" s="2" t="inlineStr"/>
      <c r="J6646" s="2" t="inlineStr"/>
      <c r="K6646" s="3" t="inlineStr">
        <is>
          <t>Первые послевоенные годы, девушка с редким именем Фруза работает вахтёром в Строительном управлении Минска. Она, приехавшая в город из разоренной в войну деревни, потерявшая всех близких родственников, ведёт очень скромную одинокую жизнь. Ей хочется семьи, детей, но… перспектив на замужество в обескровленном войной обществе нет. Её развлекает работник организации, каждый раз проходящий мимо неё со словами: «Фруза — вышитая блуза. Вот сдадим квартальный отчет, подыщем тебе жениха».
Скрипящая входная дверь вызывает недовольство Фрузы и приводит к её знакомству с шофёром Пархомовым, который решает дверную проблему с помощью маслёнки. В свою очередь, Фруза приходит на помощь Пархомову, когда у него рядом с её домом ломается машина. Эта встреча продолжается визитом Пархомова к Фрузе в весенний праздничный день и их сближением, несмотря на нескрываемое им семейное положение и пятилетнюю дочь. Вскоре Фруза Семашко рассказывает подруге о своей беременности.</t>
        </is>
      </c>
      <c r="L6646" s="2" t="inlineStr">
        <is>
          <t>https://ru.wikipedia.org/w/index.php?title=%D0%A4%D1%80%D1%83%D0%B7%D0%B0&amp;oldid=154060581</t>
        </is>
      </c>
      <c r="M6646" s="2">
        <f>HYPERLINK("https://ru.wikipedia.org/w/index.php?search=%D0%A4%D1%80%D1%83%D0%B7%D0%B0%201981%20%D1%84%D0%B8%D0%BB%D1%8C%D0%BC","искать")</f>
        <v/>
      </c>
      <c r="N6646" s="3" t="n"/>
      <c r="O6646" s="2" t="n"/>
      <c r="P6646" s="2" t="n"/>
    </row>
    <row r="6647">
      <c r="A6647" s="2" t="n">
        <v>6646</v>
      </c>
      <c r="B6647" s="2" t="inlineStr"/>
      <c r="C6647" s="2" t="n">
        <v>9811</v>
      </c>
      <c r="D6647" s="3" t="inlineStr">
        <is>
          <t>Ведьма</t>
        </is>
      </c>
      <c r="E6647" s="2" t="n">
        <v>1958</v>
      </c>
      <c r="F6647" s="2" t="inlineStr">
        <is>
          <t>телефильм</t>
        </is>
      </c>
      <c r="G6647" s="2" t="inlineStr">
        <is>
          <t>Ленфильм</t>
        </is>
      </c>
      <c r="H6647" s="2" t="n">
        <v>964</v>
      </c>
      <c r="I6647" s="2" t="inlineStr"/>
      <c r="J6647" s="2" t="inlineStr"/>
      <c r="K6647" s="3" t="inlineStr">
        <is>
          <t>В далекой сторожке живут двое - грязный, обросший дьячок Савелий и его жена Раиса - молодая красивая женщина. Дьячок мучает свою жену нелепой, дикой ревностью. Сцены ревности становятся особенно невыносимыми, когда начинает кружить метель. Это ворожит она - ведьма. Каждый раз, как кровь в ней начинает играть, так и непогода, а как непогода, так и несет к ним какого-нибудь безумца - то мастера, то охотника, то писаря... и все молодые... Вот и теперь наворожила. В сторожку входит облепленный снегом, замерзший, измученный ужасной дорогой почтальон. Ямщик сбился с пути, и они зашли немного обогреться, посидеть.Дьячиха обрадовалась новому человеку. Она рассказывает ему про свою жизнь, просит остаться ночевать. И когда ямщик с дьячком вышли из сторожки, чтобы уложить вещи, дьячиха уже совсем было обольстила молодого почтальона. Но... вошел ямщик.Они уехали. И снова звенит колокольчик. Снова осталась дьячиха одна со своим мучителем мужем. Пытка продолжается</t>
        </is>
      </c>
      <c r="L6647" s="2" t="inlineStr">
        <is>
          <t>https://gosfilmofond.ru/films/146893/</t>
        </is>
      </c>
      <c r="M6647" s="2">
        <f>HYPERLINK("https://ru.wikipedia.org/w/index.php?search=%D0%92%D0%B5%D0%B4%D1%8C%D0%BC%D0%B0%201958%20%D1%84%D0%B8%D0%BB%D1%8C%D0%BC","искать")</f>
        <v/>
      </c>
      <c r="N6647" s="3" t="n"/>
      <c r="O6647" s="2" t="n"/>
      <c r="P6647" s="2" t="n"/>
    </row>
    <row r="6648">
      <c r="A6648" s="2" t="n">
        <v>6647</v>
      </c>
      <c r="B6648" s="2" t="inlineStr"/>
      <c r="C6648" s="2" t="n">
        <v>10769</v>
      </c>
      <c r="D6648" s="3" t="inlineStr">
        <is>
          <t>Последняя альтернатива</t>
        </is>
      </c>
      <c r="E6648" s="2" t="n">
        <v>1978</v>
      </c>
      <c r="F6648" s="2" t="inlineStr">
        <is>
          <t>фильм-спектакль</t>
        </is>
      </c>
      <c r="G6648" s="2" t="inlineStr">
        <is>
          <t>Ленинградское телевидение</t>
        </is>
      </c>
      <c r="H6648" s="2" t="n">
        <v>967</v>
      </c>
      <c r="I6648" s="2" t="inlineStr"/>
      <c r="J6648" s="2" t="inlineStr"/>
      <c r="K6648" s="3" t="inlineStr">
        <is>
          <t>Детектива Эла Бейли приглашают в один из Внешних миров — Солярию, где произошло загадочное убийство. Солярия отличается изолированностью жителей друг от друга (даже муж с женой видятся по расписанию), что делает убийство невероятным. С детства люди растут в окружении роботов, взрослыми людьми личные контакты воспринимаются как нечто неприличное и являются весьма тяжёлым испытанием. Неподготовленность жителей к убийству вынуждает их согласиться с предложением пригласить землянина. Прибыв на планету, Эл Бейли встречает своего старого знакомого — робота Дана (Р. Дэниел Оливо), в паре с которым они приступают к расследованию.
Постепенно, знакомясь с особенностями жизни обитателей Солярии и преодолевая возникшие на пути расследования препятствия, Бэйли удаётся разобраться в сути произошедшего и не только снять подозрения с невиновного и разоблачить истинного преступника, но и сорвать его планы, ставившие под угрозу мирную жизнь жителей Земли и Внешних миров.</t>
        </is>
      </c>
      <c r="L6648" s="2" t="inlineStr">
        <is>
          <t>https://ru.wikipedia.org/w/index.php?title=%D0%9F%D0%BE%D1%81%D0%BB%D0%B5%D0%B4%D0%BD%D1%8F%D1%8F_%D0%B0%D0%BB%D1%8C%D1%82%D0%B5%D1%80%D0%BD%D0%B0%D1%82%D0%B8%D0%B2%D0%B0&amp;oldid=149110095</t>
        </is>
      </c>
      <c r="M6648" s="2">
        <f>HYPERLINK("https://ru.wikipedia.org/w/index.php?search=%D0%9F%D0%BE%D1%81%D0%BB%D0%B5%D0%B4%D0%BD%D1%8F%D1%8F%20%D0%B0%D0%BB%D1%8C%D1%82%D0%B5%D1%80%D0%BD%D0%B0%D1%82%D0%B8%D0%B2%D0%B0%201978%20%D1%84%D0%B8%D0%BB%D1%8C%D0%BC","искать")</f>
        <v/>
      </c>
      <c r="N6648" s="3" t="n"/>
      <c r="O6648" s="2" t="n"/>
      <c r="P6648" s="2" t="n"/>
    </row>
    <row r="6649">
      <c r="A6649" s="2" t="n">
        <v>6648</v>
      </c>
      <c r="B6649" s="2" t="inlineStr"/>
      <c r="C6649" s="2" t="n">
        <v>10806</v>
      </c>
      <c r="D6649" s="3" t="inlineStr">
        <is>
          <t>Когда же пойдёт снег?</t>
        </is>
      </c>
      <c r="E6649" s="2" t="n">
        <v>1979</v>
      </c>
      <c r="F6649" s="2" t="inlineStr">
        <is>
          <t>фильм-спектакль</t>
        </is>
      </c>
      <c r="G6649" s="2" t="inlineStr">
        <is>
          <t>Главная редакция программ для детей ЦТ</t>
        </is>
      </c>
      <c r="H6649" s="2" t="n">
        <v>967</v>
      </c>
      <c r="I6649" s="2" t="inlineStr"/>
      <c r="J6649" s="2" t="inlineStr"/>
      <c r="K6649" s="3" t="inlineStr">
        <is>
          <t>Телеверсия спектакля в постановке Московского ТЮЗа.
По одноименной повести Дины Рубиной.
Отец тяжелобольной 15-летней девочки Нины, рано оставшейся без матери, решает жениться вновь. Нина тяжело переживает это событие. Также она влюбляется в 22-летнего Бориса, знакомство с которым вызывает тревогу у старшего брата Нины Максима. С обострением болезни почек девочка попадает в больницу, ей необходима сложная операция. Но даже в больнице Нина не может смириться с «предательством» отца. От брата она узнает, что еще при жизни ее мама была влюблена в другого мужчину. Ее навещает Максим и рассказывает трагическую историю жизни своей бабушки. Все эти события совершают переворот в Нинином сознании – она понимает, что была несправедлива к родным. Настает день операции… На протяжении всего действия Нина ждет, когда же наконец выпадет снег, она считает, что это будет ознаменованием для нее счастливых перемен. Это ожидание снега как чуда и дало название произведению.</t>
        </is>
      </c>
      <c r="L6649" s="2" t="inlineStr">
        <is>
          <t>https://www.kino-teatr.ru/teatr/movie/10680/annot/</t>
        </is>
      </c>
      <c r="M6649" s="2">
        <f>HYPERLINK("https://ru.wikipedia.org/w/index.php?search=%D0%9A%D0%BE%D0%B3%D0%B4%D0%B0%20%D0%B6%D0%B5%20%D0%BF%D0%BE%D0%B9%D0%B4%D1%91%D1%82%20%D1%81%D0%BD%D0%B5%D0%B3%3F%201979%20%D1%84%D0%B8%D0%BB%D1%8C%D0%BC","искать")</f>
        <v/>
      </c>
      <c r="N6649" s="3" t="n"/>
      <c r="O6649" s="2" t="n"/>
      <c r="P6649" s="2" t="n"/>
    </row>
    <row r="6650">
      <c r="A6650" s="2" t="n">
        <v>6649</v>
      </c>
      <c r="B6650" s="2" t="inlineStr"/>
      <c r="C6650" s="2" t="n">
        <v>9031</v>
      </c>
      <c r="D6650" s="3" t="inlineStr">
        <is>
          <t>Светик</t>
        </is>
      </c>
      <c r="E6650" s="2" t="n">
        <v>1989</v>
      </c>
      <c r="F6650" s="2" t="inlineStr">
        <is>
          <t>кинофильм</t>
        </is>
      </c>
      <c r="G6650" s="2" t="n"/>
      <c r="H6650" s="2" t="n">
        <v>968</v>
      </c>
      <c r="I6650" s="2" t="inlineStr"/>
      <c r="J6650" s="2" t="inlineStr"/>
      <c r="K6650" s="3" t="inlineStr">
        <is>
          <t>По мотивам повести Вл. Маканина «Старые книги». Направляясь из провинции в Москву, двадцатилетняя Света знакомится с Николаем Степановичем, заведующим книжным складом. Новый знакомый делится со смазливой провинциалкой опытом - как можно неплохо заработать. И вот Светик уже спекулирует на толкучке у букинистического магазина ходовыми книгами. Хваткая, инициативная, она собирает вокруг себя группу «единомышленников». На толкучке девушка знакомится с научными сотрудниками,
занимающимися поиском пропавших изданий. Светлана стремится завоевать расположение их руководителя, профессора Каратыгина, чтобы иметь доступ к редким книгам. Но неожиданно для себя
влюбляется в него. Ее планы резко меняются. Теперь главная задача — опекать и защищать неприспособленного к жизни библиофила. Она переселяется к нему, устраивает его быт. Тем временем милиция арестовывает ее подельников. Света признается Каратыгину, что она спекулировала книгами, и решается на явку с повинной.</t>
        </is>
      </c>
      <c r="L6650" s="2" t="inlineStr">
        <is>
          <t>https://gosfilmofond.ru/films/242131/</t>
        </is>
      </c>
      <c r="M6650" s="2">
        <f>HYPERLINK("https://ru.wikipedia.org/w/index.php?search=%D0%A1%D0%B2%D0%B5%D1%82%D0%B8%D0%BA%201989%20%D1%84%D0%B8%D0%BB%D1%8C%D0%BC","искать")</f>
        <v/>
      </c>
      <c r="N6650" s="3" t="n"/>
      <c r="O6650" s="2" t="n"/>
      <c r="P6650" s="2" t="n"/>
    </row>
    <row r="6651">
      <c r="A6651" s="2" t="n">
        <v>6650</v>
      </c>
      <c r="B6651" s="2" t="inlineStr"/>
      <c r="C6651" s="2" t="n">
        <v>9827</v>
      </c>
      <c r="D6651" s="3" t="inlineStr">
        <is>
          <t>Двое</t>
        </is>
      </c>
      <c r="E6651" s="2" t="n">
        <v>1965</v>
      </c>
      <c r="F6651" s="2" t="inlineStr">
        <is>
          <t>кинофильм</t>
        </is>
      </c>
      <c r="G6651" s="2" t="inlineStr">
        <is>
          <t>Рижская киностудия</t>
        </is>
      </c>
      <c r="H6651" s="2" t="n">
        <v>970</v>
      </c>
      <c r="I6651" s="2" t="inlineStr"/>
      <c r="J6651" s="2" t="inlineStr"/>
      <c r="K6651" s="3" t="inlineStr">
        <is>
          <t>Сергей, будущий музыкант, студент Рижской консерватории, случайно встречает на улице эффектную молчаливую брюнетку Наташу и влюбляется в неё. Но, начав знакомство с лёгкого флирта, он вскоре узнаёт, что девушка с трёхлетнего возраста ничего не слышит. Его легкомысленная игривость вдруг сталкивается с неожиданной для него реальностью, которая ставит перед ним вопрос о его собственной совести. Ему придётся сильно измениться внутренне, чтобы научиться новым отношениям с иными и очень ранимыми людьми.
Наташа, работающая танцовщицей в цирке и осветителем в Театре мимики и жеста, так же честно пытается понять его мир музыки, как он старается постигнуть её мир пластики. Но проблема в том, что для Наташи, потерявшей слух во время прошедшей Великой Отечественной войны, звуки связаны с болью и страхом. И даже концерт классической музыки, на который приглашает её Сергей, превращается для неё в пытку, вызывая в её памяти только звуки пережитых в детстве бомбардировок.</t>
        </is>
      </c>
      <c r="L6651" s="2" t="inlineStr">
        <is>
          <t>https://ru.wikipedia.org/w/index.php?title=%D0%94%D0%B2%D0%BE%D0%B5_%28%D1%84%D0%B8%D0%BB%D1%8C%D0%BC%2C_1965%29&amp;oldid=153699907</t>
        </is>
      </c>
      <c r="M6651" s="2">
        <f>HYPERLINK("https://ru.wikipedia.org/w/index.php?search=%D0%94%D0%B2%D0%BE%D0%B5%201965%20%D1%84%D0%B8%D0%BB%D1%8C%D0%BC","искать")</f>
        <v/>
      </c>
      <c r="N6651" s="3" t="n"/>
      <c r="O6651" s="2" t="n"/>
      <c r="P6651" s="2" t="n"/>
    </row>
    <row r="6652">
      <c r="A6652" s="2" t="n">
        <v>6651</v>
      </c>
      <c r="B6652" s="2" t="inlineStr"/>
      <c r="C6652" s="2" t="n">
        <v>7222</v>
      </c>
      <c r="D6652" s="3" t="inlineStr">
        <is>
          <t>Артистка из Грибова</t>
        </is>
      </c>
      <c r="E6652" s="2" t="n">
        <v>1988</v>
      </c>
      <c r="F6652" s="2" t="inlineStr">
        <is>
          <t>телефильм</t>
        </is>
      </c>
      <c r="G6652" s="2" t="inlineStr">
        <is>
          <t>Мосфильм</t>
        </is>
      </c>
      <c r="H6652" s="2" t="n">
        <v>971</v>
      </c>
      <c r="I6652" s="2" t="inlineStr"/>
      <c r="J6652" s="2" t="inlineStr"/>
      <c r="K6652" s="3" t="inlineStr">
        <is>
          <t>Главная героиня Галина Кадетова (Ирина Муравьёва) — актриса в возрасте сильно за тридцать. Творческая карьера приехавшей в Москву провинциалки, успешно начавшись когда-то, близится к закату. Амбиции Галины реализуются лишь в радиопостановках и детском театре, большие роли ей не доверяют. В личной жизни тоже не всё благополучно: Галина разведена, встречается с самовлюблённым номенклатурным работником Александром Гололобовым, а он не воспринимает их связь всерьёз; он вообще не уверен, нужна ли ему эта Галина.
Разругавшись с режиссёром, который пригласил её на съёмки фильма (поначалу тот пообещал главную роль, но в последний момент передумал и предпочёл ей другую кандидатку), Галина поддаётся неожиданному порыву: она решает бросить городскую жизнь и вернуться на малую родину — в городок Грибов, где живёт мать, живут родные и близкие люди, знающие её как известную московскую актрису. Галина намерена устроиться в труппу местного театра и остаться здесь навсегда.</t>
        </is>
      </c>
      <c r="L6652" s="2" t="inlineStr">
        <is>
          <t>https://ru.wikipedia.org/w/index.php?title=%D0%90%D1%80%D1%82%D0%B8%D1%81%D1%82%D0%BA%D0%B0_%D0%B8%D0%B7_%D0%93%D1%80%D0%B8%D0%B1%D0%BE%D0%B2%D0%B0&amp;oldid=151023238</t>
        </is>
      </c>
      <c r="M6652" s="2">
        <f>HYPERLINK("https://ru.wikipedia.org/w/index.php?search=%D0%90%D1%80%D1%82%D0%B8%D1%81%D1%82%D0%BA%D0%B0%20%D0%B8%D0%B7%20%D0%93%D1%80%D0%B8%D0%B1%D0%BE%D0%B2%D0%B0%201988%20%D1%84%D0%B8%D0%BB%D1%8C%D0%BC","искать")</f>
        <v/>
      </c>
      <c r="N6652" s="3" t="n"/>
      <c r="O6652" s="2" t="n"/>
      <c r="P6652" s="2" t="n"/>
    </row>
    <row r="6653">
      <c r="A6653" s="2" t="n">
        <v>6652</v>
      </c>
      <c r="B6653" s="2" t="inlineStr"/>
      <c r="C6653" s="2" t="n">
        <v>9338</v>
      </c>
      <c r="D6653" s="3" t="inlineStr">
        <is>
          <t>Диссидент</t>
        </is>
      </c>
      <c r="E6653" s="2" t="n">
        <v>1988</v>
      </c>
      <c r="F6653" s="2" t="inlineStr">
        <is>
          <t>кинофильм</t>
        </is>
      </c>
      <c r="G6653" s="2" t="n"/>
      <c r="H6653" s="2" t="n">
        <v>971</v>
      </c>
      <c r="I6653" s="2" t="inlineStr"/>
      <c r="J6653" s="2" t="inlineStr"/>
      <c r="K6653" s="3" t="inlineStr">
        <is>
          <t>Автор — писатель, радиожурналист, кинорежиссер. Он страдает оттого, что не может найти контакта с окружающими его людьми. Надеясь, что он диссидент только у себя на родине, он едет по приглашению в другую страну, где по его сценарию должен сниматься фильм. Но в ходе съемок выясняется, что Автор и здесь диссидент — не находит общего языка ни с соотечественниками-эмигрантами, ни с кинорежиссером. Вернувшись на родину, Автор решает сам поставить фильм-исповедь о себе и своей личной жизни. Разыскивает Любовь, девушку, в которую когда-то был влюблен, и пытается на экране воспроизвести их романтическую историю. Обнаруживается, однако, что их история совсем не романтична. И вот этот фильм,
в котором все оказались чужими друг другу, Автор показывает молодежи, среди которой он популярен. И тут происходит окончательное крушение всех надежд — никого не заинтересовала история его жизни. Автор,окончательно осознав, что он одинок и никому не нужен, уничтожает свой фильм.</t>
        </is>
      </c>
      <c r="L6653" s="2" t="inlineStr">
        <is>
          <t>https://gosfilmofond.ru/films/240357/</t>
        </is>
      </c>
      <c r="M6653" s="2">
        <f>HYPERLINK("https://ru.wikipedia.org/w/index.php?search=%D0%94%D0%B8%D1%81%D1%81%D0%B8%D0%B4%D0%B5%D0%BD%D1%82%201988%20%D1%84%D0%B8%D0%BB%D1%8C%D0%BC","искать")</f>
        <v/>
      </c>
      <c r="N6653" s="3" t="n"/>
      <c r="O6653" s="2" t="n"/>
      <c r="P6653" s="2" t="n"/>
    </row>
    <row r="6654">
      <c r="A6654" s="2" t="n">
        <v>6653</v>
      </c>
      <c r="B6654" s="2" t="inlineStr"/>
      <c r="C6654" s="2" t="n">
        <v>11590</v>
      </c>
      <c r="D6654" s="3" t="inlineStr">
        <is>
          <t>Внимание, волки!</t>
        </is>
      </c>
      <c r="E6654" s="2" t="n">
        <v>1970</v>
      </c>
      <c r="F6654" s="2" t="inlineStr">
        <is>
          <t>мультфильм</t>
        </is>
      </c>
      <c r="G6654" s="2" t="inlineStr">
        <is>
          <t>Союзмультфильм</t>
        </is>
      </c>
      <c r="H6654" s="2" t="n">
        <v>971</v>
      </c>
      <c r="I6654" s="2" t="inlineStr"/>
      <c r="J6654" s="2" t="inlineStr"/>
      <c r="K6654" s="3" t="inlineStr">
        <is>
          <t>По мотивам повести Лазаря Лагина "Белокурая бестия". Шестнадцатого октября 1946 года были казнены главари Третьего рейха, трупы их сожгли, а пепел развеяли по ветру. многие в мире вздохнули свободно и спокойно, надеясь, что с этим пеплом развеяно воспоминание о фашизме... В тот же день произошло еще одно событие: в одном из районов Альпийского нагорья лесник в волчьем логове нашел одичавшего ребенка. Многие годы потребовались воспитателям приюта, куда попал мальчик, чтобы научить его ходить, говорить, доверять людям. Но однажды его похищают из приюта...Мальчик снова оказывается в "Волчьем логове" (теперь это замок глубоко в горах, где живут недобитые фашисты). Нынешние воспитатели недовольны им - он крепок, силен, вынослив, но проявляет человечность. И снова долгие годы потрачены на то, чтобы сделать из Мальчика главаря "волчьей стаи" фашистов. А потом набрана и стая, умеющая грабить, убивать, жечь, члены ее изучают историю нацизма, готовятся к новым войнам</t>
        </is>
      </c>
      <c r="L6654" s="2" t="inlineStr">
        <is>
          <t>https://gosfilmofond.ru/films/254788/</t>
        </is>
      </c>
      <c r="M6654" s="2">
        <f>HYPERLINK("https://ru.wikipedia.org/w/index.php?search=%D0%92%D0%BD%D0%B8%D0%BC%D0%B0%D0%BD%D0%B8%D0%B5%2C%20%D0%B2%D0%BE%D0%BB%D0%BA%D0%B8%21%201970%20%D1%84%D0%B8%D0%BB%D1%8C%D0%BC","искать")</f>
        <v/>
      </c>
      <c r="N6654" s="3" t="n"/>
      <c r="O6654" s="2" t="n"/>
      <c r="P6654" s="2" t="n"/>
    </row>
    <row r="6655">
      <c r="A6655" s="2" t="n">
        <v>6654</v>
      </c>
      <c r="B6655" s="2" t="inlineStr"/>
      <c r="C6655" s="2" t="n">
        <v>11287</v>
      </c>
      <c r="D6655" s="3" t="inlineStr">
        <is>
          <t>Три сестры</t>
        </is>
      </c>
      <c r="E6655" s="2" t="n">
        <v>1989</v>
      </c>
      <c r="F6655" s="2" t="inlineStr">
        <is>
          <t>фильм-спектакль</t>
        </is>
      </c>
      <c r="G6655" s="2" t="n"/>
      <c r="H6655" s="2" t="n">
        <v>973</v>
      </c>
      <c r="I6655" s="2" t="inlineStr"/>
      <c r="J6655" s="2" t="inlineStr"/>
      <c r="K6655" s="3" t="inlineStr">
        <is>
          <t>Театр на Таганке.
Центральное действующее лицо в спектакле — Маша, роль которой исполняет Алла Демидова. Пожалуй, одна Маша делает ещё попытки вырваться из этой окаменелой жизни, лишь она еще старается найти какой-то выход — будь то переезд в Москву или какие-то отношения с Вершининым — но выход. Она и сломлена последней.
В спектакле Любимова сделана своеобразная перекличка различных постановок «Трёх сестер». Мы слышим голос Качалова, который исполнял роль Тузенбаха во МХАТе, голос Юрского (Тузенбах) и Поповой (Ирина) из постановки в БДТ. В тех спектаклях была надежда на будущее. Таганковский спектакль говорит: "Нет! Нельзя надеяться на будущее. Все вопросы надо решать только сейчас! И если, ничего не получилось сейчас, будущее не поможет!". Именно потому последний монолог Ольга произносит пусто, без всякого энтузиазма: «Музыка играет так весело, так радостно, и, кажется, еще немного, и мы узнаем, зачем мы живем, зачем страдаем… Если бы знать, если бы знать!»</t>
        </is>
      </c>
      <c r="L6655" s="2" t="inlineStr">
        <is>
          <t>https://www.kino-teatr.ru/teatr/movie/118244/annot/</t>
        </is>
      </c>
      <c r="M6655" s="2">
        <f>HYPERLINK("https://ru.wikipedia.org/w/index.php?search=%D0%A2%D1%80%D0%B8%20%D1%81%D0%B5%D1%81%D1%82%D1%80%D1%8B%201989%20%D1%84%D0%B8%D0%BB%D1%8C%D0%BC","искать")</f>
        <v/>
      </c>
      <c r="N6655" s="3" t="n"/>
      <c r="O6655" s="2" t="n"/>
      <c r="P6655" s="2" t="n"/>
    </row>
    <row r="6656">
      <c r="A6656" s="2" t="n">
        <v>6655</v>
      </c>
      <c r="B6656" s="2" t="inlineStr"/>
      <c r="C6656" s="2" t="n">
        <v>10152</v>
      </c>
      <c r="D6656" s="3" t="inlineStr">
        <is>
          <t>Понедельник начинается в субботу</t>
        </is>
      </c>
      <c r="E6656" s="2" t="n">
        <v>1965</v>
      </c>
      <c r="F6656" s="2" t="inlineStr">
        <is>
          <t>фильм-спектакль</t>
        </is>
      </c>
      <c r="G6656" s="2" t="inlineStr">
        <is>
          <t>Ленинградская студия ТВ</t>
        </is>
      </c>
      <c r="H6656" s="2" t="n">
        <v>974</v>
      </c>
      <c r="I6656" s="2" t="inlineStr"/>
      <c r="J6656" s="2" t="inlineStr"/>
      <c r="K6656" s="3" t="inlineStr">
        <is>
          <t>Телеспектакль основан на первой части одноимённой повести братьев Стругацких «Суета вокруг дивана», и при этом весьма близок к тексту оригинала.
Молодой программист Саша Привалов едет на взятой напрокат «Волге» по просёлочной дороге где-то на Русском Севере. Он встречает двух голосующих мужчин, которые оказываются научными сотрудниками НИИЧАВО — Научно-исследовательского института чародейства и волшебства, расположенного в вымышленном городе Соловце. Узнав, что Привалов — программист, попутчики приглашают его в свой институт, которому как раз нужен специалист его профессии. Сначала Привалов колеблется, но, планируя заночевать в Соловце, сталкивается с проблемой переполненной гостиницы. Новые друзья предлагают ему ночлег в «Изнакурнож» — избушке на курьих ножках, которая одновременно служит местным музеем и филиалом института. Уже в первую ночь с Приваловым начинают происходить волшебные события, в которых участвуют как волшебные животные, так и сотрудники НИИ.</t>
        </is>
      </c>
      <c r="L6656" s="2" t="inlineStr">
        <is>
          <t>https://ru.wikipedia.org/w/index.php?title=%D0%9F%D0%BE%D0%BD%D0%B5%D0%B4%D0%B5%D0%BB%D1%8C%D0%BD%D0%B8%D0%BA_%D0%BD%D0%B0%D1%87%D0%B8%D0%BD%D0%B0%D0%B5%D1%82%D1%81%D1%8F_%D0%B2_%D1%81%D1%83%D0%B1%D0%B1%D0%BE%D1%82%D1%83_%28%D1%82%D0%B5%D0%BB%D0%B5%D1%81%D0%BF%D0%B5%D0%BA%D1%82%D0%B0%D0%BA%D0%BB%D1%8C%29&amp;oldid=148159183</t>
        </is>
      </c>
      <c r="M6656" s="2">
        <f>HYPERLINK("https://ru.wikipedia.org/w/index.php?search=%D0%9F%D0%BE%D0%BD%D0%B5%D0%B4%D0%B5%D0%BB%D1%8C%D0%BD%D0%B8%D0%BA%20%D0%BD%D0%B0%D1%87%D0%B8%D0%BD%D0%B0%D0%B5%D1%82%D1%81%D1%8F%20%D0%B2%20%D1%81%D1%83%D0%B1%D0%B1%D0%BE%D1%82%D1%83%201965%20%D1%84%D0%B8%D0%BB%D1%8C%D0%BC","искать")</f>
        <v/>
      </c>
      <c r="N6656" s="3" t="n"/>
      <c r="O6656" s="2" t="n"/>
      <c r="P6656" s="2" t="n"/>
    </row>
    <row r="6657">
      <c r="A6657" s="2" t="n">
        <v>6656</v>
      </c>
      <c r="B6657" s="2" t="inlineStr"/>
      <c r="C6657" s="2" t="n">
        <v>9678</v>
      </c>
      <c r="D6657" s="3" t="inlineStr">
        <is>
          <t>Сувенир для прокурора</t>
        </is>
      </c>
      <c r="E6657" s="2" t="n">
        <v>1989</v>
      </c>
      <c r="F6657" s="2" t="inlineStr">
        <is>
          <t>кинофильм</t>
        </is>
      </c>
      <c r="G6657" s="2" t="n"/>
      <c r="H6657" s="2" t="n">
        <v>975</v>
      </c>
      <c r="I6657" s="2" t="inlineStr"/>
      <c r="J6657" s="2" t="inlineStr"/>
      <c r="K6657" s="3" t="inlineStr">
        <is>
          <t>В небольшом южном курортном городе в автокатастрофе погибает завскладом местного машиностроительного завода Слава Зубцов (Николай Бурляев). Предварительное следствие показало, что водитель был пьян и не справился с управлением. Дело поручают старшему следователю прокуратуры Гранской (Ирина Короткова).
Но что-то в этом деле настораживает, отдельные детали не укладываются в цельную картину, и тогда за него берётся прокурор города Захар Петрович Измайлов (Юрий Соломин) лично. Когда экспертиза приходит к выводу, что в момент аварии Зубцова за рулём не было, становится ясно, что произошло убийство.
Расследование этого убийства перерастает в проверку работы как самого завода, так и связанной с ним сувенирной фабрики. Следователи выходят на ОПГ во главе с директором завода Самсоновым (Пётр Вельяминов), имеющим поддержку у партийного руководства города.
В ответ мафия готова использовать любые средства — от примитивного шантажа до попытки компрометации самого прокурора.</t>
        </is>
      </c>
      <c r="L6657" s="2" t="inlineStr">
        <is>
          <t>https://ru.wikipedia.org/w/index.php?title=%D0%A1%D1%83%D0%B2%D0%B5%D0%BD%D0%B8%D1%80_%D0%B4%D0%BB%D1%8F_%D0%BF%D1%80%D0%BE%D0%BA%D1%83%D1%80%D0%BE%D1%80%D0%B0&amp;oldid=147056998</t>
        </is>
      </c>
      <c r="M6657" s="2">
        <f>HYPERLINK("https://ru.wikipedia.org/w/index.php?search=%D0%A1%D1%83%D0%B2%D0%B5%D0%BD%D0%B8%D1%80%20%D0%B4%D0%BB%D1%8F%20%D0%BF%D1%80%D0%BE%D0%BA%D1%83%D1%80%D0%BE%D1%80%D0%B0%201989%20%D1%84%D0%B8%D0%BB%D1%8C%D0%BC","искать")</f>
        <v/>
      </c>
      <c r="N6657" s="3" t="n"/>
      <c r="O6657" s="2" t="n"/>
      <c r="P6657" s="2" t="n"/>
    </row>
    <row r="6658">
      <c r="A6658" s="2" t="n">
        <v>6657</v>
      </c>
      <c r="B6658" s="2" t="inlineStr"/>
      <c r="C6658" s="2" t="n">
        <v>7448</v>
      </c>
      <c r="D6658" s="3" t="inlineStr">
        <is>
          <t>Гонки по вертикали</t>
        </is>
      </c>
      <c r="E6658" s="2" t="n">
        <v>1982</v>
      </c>
      <c r="F6658" s="2" t="inlineStr">
        <is>
          <t>телефильм</t>
        </is>
      </c>
      <c r="G6658" s="2" t="n"/>
      <c r="H6658" s="2" t="n">
        <v>976</v>
      </c>
      <c r="I6658" s="2" t="inlineStr"/>
      <c r="J6658" s="2" t="inlineStr"/>
      <c r="K6658" s="3" t="inlineStr">
        <is>
          <t>Действие происходит в СССР, в Москве и Подмосковье, в 1980-е годы. В основе сюжета — противостояние инспектора МУРа Станислава Тихонова (Андрей Мягков) и вора-рецидивиста Алексея Дедушкина по кличке Батон (Валентин Гафт).
Сотрудники МУРа задерживают преступника с набитым заграничными вещами импортным чемоданом, в котором также находят орден Андрея Первозванного, однако из-за недостаточности улик (отсутствие заявления о краже) Батона приходится отпустить. Он на свободе и продолжает преступный промысел. При этом чувствуя, что петля вокруг него затягивается, пускается во все тяжкие — кража меховых шапок и шкурок из магазина, кража в квартире отставного генерала, где, помимо сберкнижки, Батон прихватывает «наган» и патроны к нему.
Сыщики, устроив засаду, ловят грузчика, которого прислал Батон. Загнанный в угол Дедушкин ранит Тихонова после неудачной попытки улететь из Москвы.
Вторая сюжетная линия — история знакомства Станислава Тихонова и сотрудницы архива Людмилы.</t>
        </is>
      </c>
      <c r="L6658" s="2" t="inlineStr">
        <is>
          <t>https://ru.wikipedia.org/w/index.php?title=%D0%93%D0%BE%D0%BD%D0%BA%D0%B8_%D0%BF%D0%BE_%D0%B2%D0%B5%D1%80%D1%82%D0%B8%D0%BA%D0%B0%D0%BB%D0%B8_%28%D1%84%D0%B8%D0%BB%D1%8C%D0%BC%29&amp;oldid=153430411</t>
        </is>
      </c>
      <c r="M6658" s="2">
        <f>HYPERLINK("https://ru.wikipedia.org/w/index.php?search=%D0%93%D0%BE%D0%BD%D0%BA%D0%B8%20%D0%BF%D0%BE%20%D0%B2%D0%B5%D1%80%D1%82%D0%B8%D0%BA%D0%B0%D0%BB%D0%B8%201982%20%D1%84%D0%B8%D0%BB%D1%8C%D0%BC","искать")</f>
        <v/>
      </c>
      <c r="N6658" s="3" t="n"/>
      <c r="O6658" s="2" t="n"/>
      <c r="P6658" s="2" t="n"/>
    </row>
    <row r="6659">
      <c r="A6659" s="2" t="n">
        <v>6658</v>
      </c>
      <c r="B6659" s="2" t="inlineStr"/>
      <c r="C6659" s="2" t="n">
        <v>8575</v>
      </c>
      <c r="D6659" s="3" t="inlineStr">
        <is>
          <t>Шаги по земле</t>
        </is>
      </c>
      <c r="E6659" s="2" t="n">
        <v>1968</v>
      </c>
      <c r="F6659" s="2" t="inlineStr">
        <is>
          <t>телефильм</t>
        </is>
      </c>
      <c r="G6659" s="2" t="n"/>
      <c r="H6659" s="2" t="n">
        <v>976</v>
      </c>
      <c r="I6659" s="2" t="inlineStr"/>
      <c r="J6659" s="2" t="inlineStr"/>
      <c r="K6659" s="3" t="inlineStr">
        <is>
          <t>1960-е годы, группа археологов под руководством профессора Журавлёва ведёт раскопки в южных степях. Студентка Аня, познакомившись с местным табунщиком Санькой, узнаёт от него, что по рассказам старожилов накануне войны в этих же местах уже были археологи во главе со старым учёным. Журавлёв догадывается, что это была пропавшая без вести в июне 1941 года группа его учителя профессора Нечаева, в составе которой была и любимая им девушка, и начинает поиски уже не древних артефактов, а следов той археологической экспедиции.
Спустя два десятка лет старый табунщик Никифор, тогда чудом выживший, вспоминает: немцы взяли в плен археологов — учёного, парня и девушку, и хотели узнать где находятся старинные ценности, пытали их, оставив под палящим солнцем, а профессора Нечаева допрашивал фашистский офицер — ему была нужна рукопись известного учёного с доказательствами, опровергающими фальсифицирующие историю данные нацистской науки и теорию о превосходстве германской нации.</t>
        </is>
      </c>
      <c r="L6659" s="2" t="inlineStr">
        <is>
          <t>https://ru.wikipedia.org/w/index.php?title=%D0%A8%D0%B0%D0%B3%D0%B8_%D0%BF%D0%BE_%D0%B7%D0%B5%D0%BC%D0%BB%D0%B5&amp;oldid=154671332</t>
        </is>
      </c>
      <c r="M6659" s="2">
        <f>HYPERLINK("https://ru.wikipedia.org/w/index.php?search=%D0%A8%D0%B0%D0%B3%D0%B8%20%D0%BF%D0%BE%20%D0%B7%D0%B5%D0%BC%D0%BB%D0%B5%201968%20%D1%84%D0%B8%D0%BB%D1%8C%D0%BC","искать")</f>
        <v/>
      </c>
      <c r="N6659" s="3" t="n"/>
      <c r="O6659" s="2" t="n"/>
      <c r="P6659" s="2" t="n"/>
    </row>
    <row r="6660">
      <c r="A6660" s="2" t="n">
        <v>6659</v>
      </c>
      <c r="B6660" s="2" t="inlineStr"/>
      <c r="C6660" s="2" t="n">
        <v>11011</v>
      </c>
      <c r="D6660" s="3" t="inlineStr">
        <is>
          <t>Сашка</t>
        </is>
      </c>
      <c r="E6660" s="2" t="n">
        <v>1983</v>
      </c>
      <c r="F6660" s="2" t="inlineStr">
        <is>
          <t>фильм-спектакль</t>
        </is>
      </c>
      <c r="G6660" s="2" t="inlineStr">
        <is>
          <t>Главная редакция литературно-драматических программ ЦТ</t>
        </is>
      </c>
      <c r="H6660" s="2" t="n">
        <v>976</v>
      </c>
      <c r="I6660" s="2" t="inlineStr"/>
      <c r="J6660" s="2" t="inlineStr"/>
      <c r="K6660" s="3" t="inlineStr">
        <is>
          <t>По одноименной повести В.Кондратьева в постановке Государственного академического театра имени Моссовета.
Всё повествование — это первые пять месяцев войны, события, которые ежедневно происходят со вчерашним подростком на фронте. Немец, которого Сашка берёт в плен, медсестра Зина, в которую он влюблён, комбат, приказавший ему расстрелять немца, спутники раненого Сашки по пути в тыловой госпиталь, деревенская красавица Паша — все люди, которых он встречает на фронтовых дорогах, — во многом меняют мировоззрение молодого человека и формируют его личность. В череде всех этих встреч и расставаний Сашка по-настоящему узнаёт сам себя, свой собственный характер. «Сашка» — это история человека, оказавшегося в самое трудное время в самом трудном месте и на самой трудной должности — солдатской. Мне кажется, что, не прочитай я «Сашки», мне бы чего-то не хватало — не в литературе, а просто-напросто в жизни", — писал в предисловии к первому изданию повести Константин Симонов.</t>
        </is>
      </c>
      <c r="L6660" s="2" t="inlineStr">
        <is>
          <t>https://www.kino-teatr.ru/teatr/movie/79176/annot/</t>
        </is>
      </c>
      <c r="M6660" s="2">
        <f>HYPERLINK("https://ru.wikipedia.org/w/index.php?search=%D0%A1%D0%B0%D1%88%D0%BA%D0%B0%201983%20%D1%84%D0%B8%D0%BB%D1%8C%D0%BC","искать")</f>
        <v/>
      </c>
      <c r="N6660" s="3" t="n"/>
      <c r="O6660" s="2" t="n"/>
      <c r="P6660" s="2" t="n"/>
    </row>
    <row r="6661">
      <c r="A6661" s="2" t="n">
        <v>6660</v>
      </c>
      <c r="B6661" s="2" t="inlineStr"/>
      <c r="C6661" s="2" t="n">
        <v>10756</v>
      </c>
      <c r="D6661" s="3" t="inlineStr">
        <is>
          <t>Месяц длинных дней</t>
        </is>
      </c>
      <c r="E6661" s="2" t="n">
        <v>1978</v>
      </c>
      <c r="F6661" s="2" t="inlineStr">
        <is>
          <t>фильм-спектакль</t>
        </is>
      </c>
      <c r="G6661" s="2" t="inlineStr">
        <is>
          <t>Гл. ред. литературно-драматических программ</t>
        </is>
      </c>
      <c r="H6661" s="2" t="n">
        <v>977</v>
      </c>
      <c r="I6661" s="2" t="inlineStr"/>
      <c r="J6661" s="2" t="inlineStr"/>
      <c r="K6661" s="3" t="inlineStr">
        <is>
          <t>Основные персонажи картины скрепляют различные сюжетные линии: конфликт главврача профилактория с директором типографии; разлад в семье главврача Званцева; отношения двух пожилых людей, случайно нашедших друг друга в профилактории; служебная и человеческая драма дочери Званцева — сотрудницы милиции, неспособной удержать трудного подростка от погружения в уголовный мир. Через производственные неурядицы в типографии показаны социальные проблемы советского общества в период, позднее названный эпохой застоя (главврач исходит из декларируемой «заботы о человеке», директор жёстко добивается достижения плановых показателей). Главное внимание уделяется общечеловеческой тематике — столкновениям нравственных позиций, разному пониманию смысла жизни, выбору жизненного пути, поздней либо неразделённой любви. Сюжетное многообразие консолидируется образами бескомпромиссного гуманиста Званцева и его многолетней подруги Полины, олицетворяющей альтруизм, бескорыстие и достоинство.</t>
        </is>
      </c>
      <c r="L6661" s="2" t="inlineStr">
        <is>
          <t>https://ru.wikipedia.org/w/index.php?title=%D0%9C%D0%B5%D1%81%D1%8F%D1%86_%D0%B4%D0%BB%D0%B8%D0%BD%D0%BD%D1%8B%D1%85_%D0%B4%D0%BD%D0%B5%D0%B9&amp;oldid=152581060</t>
        </is>
      </c>
      <c r="M6661" s="2">
        <f>HYPERLINK("https://ru.wikipedia.org/w/index.php?search=%D0%9C%D0%B5%D1%81%D1%8F%D1%86%20%D0%B4%D0%BB%D0%B8%D0%BD%D0%BD%D1%8B%D1%85%20%D0%B4%D0%BD%D0%B5%D0%B9%201978%20%D1%84%D0%B8%D0%BB%D1%8C%D0%BC","искать")</f>
        <v/>
      </c>
      <c r="N6661" s="3" t="n"/>
      <c r="O6661" s="2" t="n"/>
      <c r="P6661" s="2" t="n"/>
    </row>
    <row r="6662">
      <c r="A6662" s="2" t="n">
        <v>6661</v>
      </c>
      <c r="B6662" s="2" t="inlineStr"/>
      <c r="C6662" s="2" t="n">
        <v>9042</v>
      </c>
      <c r="D6662" s="3" t="inlineStr">
        <is>
          <t>Сирано де Бержерак</t>
        </is>
      </c>
      <c r="E6662" s="2" t="n">
        <v>1989</v>
      </c>
      <c r="F6662" s="2" t="inlineStr">
        <is>
          <t>кинофильм</t>
        </is>
      </c>
      <c r="G6662" s="2" t="n"/>
      <c r="H6662" s="2" t="n">
        <v>978</v>
      </c>
      <c r="I6662" s="2" t="inlineStr"/>
      <c r="J6662" s="2" t="inlineStr"/>
      <c r="K6662" s="3" t="inlineStr">
        <is>
          <t>По одноименной пьесе Э. Ростана. XVII век. Франция. Талантливый поэт, бесстрашный воин Сирано де Бержерак уже много лет любит свою кузину, красавицу Роксану. Но он не смеет ей открыться, ибо считает свою внешность недостойной внимания любимой женщины. Роксана рассказывает кузену о своих чувствах к красавцу барону Кристиану де Невилетту, офицеру полка, в котором служит Сирано. По прихоти красавицы Сирано вынужден стать другом барона, человека заурядного во всех отношениях. От имени Кристиана Сирано пишет Роксане письма. Читая послания, девушка все более убеждается в таланте своего избранника.
За Роксаной ухаживает престарелый барон — полковник де Гиш. Чтобы избавиться от его домогательств Роксана и Кристиан тайно венчаются. Узнав об этом, барон мстит молодой женщине, отправляя ее
супруга воевать с испанцами. Кристиан погибает. Оставшись вдовой, Роксана уходит жить в монастырь. Только через пятнадцать лет перед своей смертью Сирано де Бержерак признается ей в любви.</t>
        </is>
      </c>
      <c r="L6662" s="2" t="inlineStr">
        <is>
          <t>https://gosfilmofond.ru/films/240252/</t>
        </is>
      </c>
      <c r="M6662" s="2">
        <f>HYPERLINK("https://ru.wikipedia.org/w/index.php?search=%D0%A1%D0%B8%D1%80%D0%B0%D0%BD%D0%BE%20%D0%B4%D0%B5%20%D0%91%D0%B5%D1%80%D0%B6%D0%B5%D1%80%D0%B0%D0%BA%201989%20%D1%84%D0%B8%D0%BB%D1%8C%D0%BC","искать")</f>
        <v/>
      </c>
      <c r="N6662" s="3" t="n"/>
      <c r="O6662" s="2" t="n"/>
      <c r="P6662" s="2" t="n"/>
    </row>
    <row r="6663">
      <c r="A6663" s="2" t="n">
        <v>6662</v>
      </c>
      <c r="B6663" s="2" t="inlineStr"/>
      <c r="C6663" s="2" t="n">
        <v>9433</v>
      </c>
      <c r="D6663" s="3" t="inlineStr">
        <is>
          <t>Коррупция</t>
        </is>
      </c>
      <c r="E6663" s="2" t="n">
        <v>1989</v>
      </c>
      <c r="F6663" s="2" t="inlineStr">
        <is>
          <t>кинофильм</t>
        </is>
      </c>
      <c r="G6663" s="2" t="n"/>
      <c r="H6663" s="2" t="n">
        <v>980</v>
      </c>
      <c r="I6663" s="2" t="inlineStr"/>
      <c r="J6663" s="2" t="inlineStr"/>
      <c r="K6663" s="3" t="inlineStr">
        <is>
          <t>Старший инспектор МУРа Лев Гуров во время дежурства выезжает на убийство. Убийство непростое — убита молодая красивая хозяйка богато обставленной квартиры Елена Качалина, причём убийство наспех и довольно скверно инсценировано как несчастный случай. Поскольку из квартиры ничего не украдено, инспектор отвергает версию ограбления. В деле появляются четверо подозреваемых в убийстве: муж Елены Игорь, приятель Толик, сосед по лестничной площадке Денис и консьержка Вера. Мотив на убийство обнаруживается в равной доле у каждого подозреваемого: мужем Елена повелевала, он был как бы при ней, Толик мог устать быть мальчиком на побегушках у Елены и быть у неё «на крючке», к Вере Елена была строга и придирчива, а Денис ещё со студенческих лет был безнадежно влюблён в Елену, а она знала это и использовала Дениса в своих целях. И теперь сыщику Гурову необходимо применить весь свой опыт следователя, чтобы докопаться до истины и из четверых подозреваемых вычислить истинного убийцу.</t>
        </is>
      </c>
      <c r="L6663" s="2" t="inlineStr">
        <is>
          <t>https://ru.wikipedia.org/w/index.php?title=%D0%9A%D0%BE%D1%80%D1%80%D1%83%D0%BF%D1%86%D0%B8%D1%8F_%28%D1%84%D0%B8%D0%BB%D1%8C%D0%BC%29&amp;oldid=154738625</t>
        </is>
      </c>
      <c r="M6663" s="2">
        <f>HYPERLINK("https://ru.wikipedia.org/w/index.php?search=%D0%9A%D0%BE%D1%80%D1%80%D1%83%D0%BF%D1%86%D0%B8%D1%8F%201989%20%D1%84%D0%B8%D0%BB%D1%8C%D0%BC","искать")</f>
        <v/>
      </c>
      <c r="N6663" s="3" t="n"/>
      <c r="O6663" s="2" t="n"/>
      <c r="P6663" s="2" t="n"/>
    </row>
    <row r="6664">
      <c r="A6664" s="2" t="n">
        <v>6663</v>
      </c>
      <c r="B6664" s="2" t="inlineStr"/>
      <c r="C6664" s="2" t="n">
        <v>9601</v>
      </c>
      <c r="D6664" s="3" t="inlineStr">
        <is>
          <t>Прохиндиада, или Бег на месте</t>
        </is>
      </c>
      <c r="E6664" s="2" t="n">
        <v>1984</v>
      </c>
      <c r="F6664" s="2" t="inlineStr">
        <is>
          <t>кинофильм</t>
        </is>
      </c>
      <c r="G6664" s="2" t="n"/>
      <c r="H6664" s="2" t="n">
        <v>981</v>
      </c>
      <c r="I6664" s="2" t="inlineStr"/>
      <c r="J6664" s="2" t="inlineStr"/>
      <c r="K6664" s="3" t="inlineStr">
        <is>
          <t>Сан Саныч Любомудров — энергичный и по-своему талантливый деловой человек, который может со всеми договориться, наладить нужные связи и достать дефицит. Его талант — умение дружить. Смысл жизни Любомудрова — заводить полезные связи, «держать фасон» на публике, быть успешным всегда и во всём, жить на широкую ногу. При этом он подчёркнуто соблюдает закон и никогда не возьмёт лично себе лишнего.
Желая устроить судьбу дочери, он берёт взаймы деньги у теневого дельца на её свадьбу. Сама дочь категорически против этого, а в последний момент вообще отказывается выходить замуж, и Любомудров попадает в щекотливую ситуацию.
Параллельно развивается линия его взаимоотношений на работе с новым начальником, который имеет иную систему ценностей и не приемлет взгляды своего подчинённого на жизнь. Часто отсутствуя на работе, Любомудров легко справляется со своими должностными обязанностями. В конце концов, попав в денежную авантюру из-за долгов, Любомудров понимает, как он запутался.</t>
        </is>
      </c>
      <c r="L6664" s="2" t="inlineStr">
        <is>
          <t>https://ru.wikipedia.org/w/index.php?title=%D0%9F%D1%80%D0%BE%D1%85%D0%B8%D0%BD%D0%B4%D0%B8%D0%B0%D0%B4%D0%B0%2C_%D0%B8%D0%BB%D0%B8_%D0%91%D0%B5%D0%B3_%D0%BD%D0%B0_%D0%BC%D0%B5%D1%81%D1%82%D0%B5&amp;oldid=152988301</t>
        </is>
      </c>
      <c r="M6664" s="2">
        <f>HYPERLINK("https://ru.wikipedia.org/w/index.php?search=%D0%9F%D1%80%D0%BE%D1%85%D0%B8%D0%BD%D0%B4%D0%B8%D0%B0%D0%B4%D0%B0%2C%20%D0%B8%D0%BB%D0%B8%20%D0%91%D0%B5%D0%B3%20%D0%BD%D0%B0%20%D0%BC%D0%B5%D1%81%D1%82%D0%B5%201984%20%D1%84%D0%B8%D0%BB%D1%8C%D0%BC","искать")</f>
        <v/>
      </c>
      <c r="N6664" s="3" t="n"/>
      <c r="O6664" s="2" t="n"/>
      <c r="P6664" s="2" t="n"/>
    </row>
    <row r="6665">
      <c r="A6665" s="2" t="n">
        <v>6664</v>
      </c>
      <c r="B6665" s="2" t="inlineStr"/>
      <c r="C6665" s="2" t="n">
        <v>7467</v>
      </c>
      <c r="D6665" s="3" t="inlineStr">
        <is>
          <t>Грядущему веку</t>
        </is>
      </c>
      <c r="E6665" s="2" t="n">
        <v>1985</v>
      </c>
      <c r="F6665" s="2" t="inlineStr">
        <is>
          <t>телефильм</t>
        </is>
      </c>
      <c r="G6665" s="2" t="inlineStr">
        <is>
          <t>Ленфильм</t>
        </is>
      </c>
      <c r="H6665" s="2" t="n">
        <v>982</v>
      </c>
      <c r="I6665" s="2" t="inlineStr"/>
      <c r="J6665" s="2" t="inlineStr"/>
      <c r="K6665" s="3" t="inlineStr">
        <is>
          <t>В Синегорск после беседы в ЦК КПСС приезжает молодой руководитель края Антон Соболев, избранный первым секретарём обкома партии. Он желает начать обновление кадров и оздоровление местной политики, однако с программным выступлением не спешит и просит две недели для ознакомления с делами края. Вот он толкается в переполненном автобусе, вот знакомится с кусачими ценами на местном базарчике, старательно вникая в жизнь среднестатистического советского областного центра. Параллельно освещаются эпизоды его командировки в Италию, где знакомый журналист Рино Феличе по кличке «навозная муха», слишком глубоко закопавшийся в тайны мафии, гибнет от пуль убийц; а также сложные взаимоотношения с женой.
Практически первые 5 серий фильма — это только пролог к будущей деятельности Соболева в крае в русле политики «перестройки», экранизация первой книги романа. В финале он готовится к своей «тронной речи» на предстоящем пленуме обкома. Однако обещанное продолжение фильма так и не вышло.</t>
        </is>
      </c>
      <c r="L6665" s="2" t="inlineStr">
        <is>
          <t>https://ru.wikipedia.org/w/index.php?title=%D0%93%D1%80%D1%8F%D0%B4%D1%83%D1%89%D0%B5%D0%BC%D1%83_%D0%B2%D0%B5%D0%BA%D1%83&amp;oldid=153037987</t>
        </is>
      </c>
      <c r="M6665" s="2">
        <f>HYPERLINK("https://ru.wikipedia.org/w/index.php?search=%D0%93%D1%80%D1%8F%D0%B4%D1%83%D1%89%D0%B5%D0%BC%D1%83%20%D0%B2%D0%B5%D0%BA%D1%83%201985%20%D1%84%D0%B8%D0%BB%D1%8C%D0%BC","искать")</f>
        <v/>
      </c>
      <c r="N6665" s="3" t="n"/>
      <c r="O6665" s="2" t="n"/>
      <c r="P6665" s="2" t="n"/>
    </row>
    <row r="6666">
      <c r="A6666" s="2" t="n">
        <v>6665</v>
      </c>
      <c r="B6666" s="2" t="inlineStr"/>
      <c r="C6666" s="2" t="n">
        <v>8901</v>
      </c>
      <c r="D6666" s="3" t="inlineStr">
        <is>
          <t>Осада Венеции</t>
        </is>
      </c>
      <c r="E6666" s="2" t="n">
        <v>1991</v>
      </c>
      <c r="F6666" s="2" t="inlineStr">
        <is>
          <t>телефильм</t>
        </is>
      </c>
      <c r="G6666" s="2" t="inlineStr">
        <is>
          <t>Киностудия «Время»; Мосфильм; «Эксцельсиорфильм ТВ»; «Уджис Ф. Э.»; Чинечитта; Rai Due; Canal+; А/О «Луч»</t>
        </is>
      </c>
      <c r="H6666" s="2" t="n">
        <v>982</v>
      </c>
      <c r="I6666" s="2" t="inlineStr"/>
      <c r="J6666" s="2" t="inlineStr"/>
      <c r="K6666" s="3" t="inlineStr">
        <is>
          <t>Действие фильма происходит в Венеции во второй половине XVIII века. Красавица Розанна должна была выйти замуж за знатного престарелого богача Стефанелло Боретти, но жених умер прямо у алтаря во время венчания. Розанна вышла из церкви уже вдовой. Как оказалось, умерший муж оставил вдове большое состояние. Естественно, нашлось немало охотников до её руки и сердца.
Претендентами оказались графы и князья из самых крупных государств Европы, включая Россию. Тут уже заволновалась святая инквизиция, богатая вдова вместе со всем состоянием могла навсегда покинуть Венецианскую республику. Инквизиторы понимают, что лишатся крупной части своих доходов, если Розанна выйдет замуж за иностранца, и принимают меры. Они заставляют сердцееда графа Анджело Босканерро, назло которому она и вышла за богача, «осадить» Розанну и взять в жены.
В конце фильма весь замысел раскрывается, оскорбленная невеста отказывает новоявленному жениху, но ему-то что делать — ведь он уже её искренне полюбил.</t>
        </is>
      </c>
      <c r="L6666" s="2" t="inlineStr">
        <is>
          <t>https://ru.wikipedia.org/w/index.php?title=%D0%9E%D1%81%D0%B0%D0%B4%D0%B0_%D0%92%D0%B5%D0%BD%D0%B5%D1%86%D0%B8%D0%B8&amp;oldid=154701203</t>
        </is>
      </c>
      <c r="M6666" s="2">
        <f>HYPERLINK("https://ru.wikipedia.org/w/index.php?search=%D0%9E%D1%81%D0%B0%D0%B4%D0%B0%20%D0%92%D0%B5%D0%BD%D0%B5%D1%86%D0%B8%D0%B8%201991%20%D1%84%D0%B8%D0%BB%D1%8C%D0%BC","искать")</f>
        <v/>
      </c>
      <c r="N6666" s="3" t="n"/>
      <c r="O6666" s="2" t="n"/>
      <c r="P6666" s="2" t="n"/>
    </row>
    <row r="6667">
      <c r="A6667" s="2" t="n">
        <v>6666</v>
      </c>
      <c r="B6667" s="2" t="inlineStr"/>
      <c r="C6667" s="2" t="n">
        <v>9386</v>
      </c>
      <c r="D6667" s="3" t="inlineStr">
        <is>
          <t>Ивин А.</t>
        </is>
      </c>
      <c r="E6667" s="2" t="n">
        <v>1990</v>
      </c>
      <c r="F6667" s="2" t="inlineStr">
        <is>
          <t>кинофильм</t>
        </is>
      </c>
      <c r="G6667" s="2" t="n"/>
      <c r="H6667" s="2" t="n">
        <v>982</v>
      </c>
      <c r="I6667" s="2" t="inlineStr"/>
      <c r="J6667" s="2" t="inlineStr"/>
      <c r="K6667" s="3" t="inlineStr">
        <is>
          <t>Рядовой внутренних войск Андрей Ивин — охранник зоны строгого режима. Он абсолютно не приспособлен к военной службе, типичный гуманитарий, бросивший историко-архивный институт.
Однажды летом он стоит ночью на посту на вышке. Рецидивист по прозвищу Мишка Князь совершает побег. Рядовой Ивин не смог выстрелить в него, и вынужден сам пойти под трибунал. В объяснительной записке он пишет, что «отказывается и впредь распоряжаться чужой жизнью».
Под надзором командира роты Наротьева его отправляют в дисбат. Старший лейтенант Наротьев почти ровесник Ивина. Ему сложно поверить, что рядовой говорит правду. По его мнению, солдат просто растерялся, давая показания, а на посту заснул, или, возможно, струсил.
В пути, разморенные жарой, они решают искупаться. Здесь, на берегу реки, выясняется, насколько эти два человека разные в трактовке заповеди «Не убий». Командир уговаривает Ивина переписать рапорт, чтобы выглядеть в нём в более выгодном свете. Но тот не поддаётся на провокацию.</t>
        </is>
      </c>
      <c r="L6667" s="2" t="inlineStr">
        <is>
          <t>https://ru.wikipedia.org/w/index.php?title=%D0%98%D0%B2%D0%B8%D0%BD_%D0%90.&amp;oldid=154589160</t>
        </is>
      </c>
      <c r="M6667" s="2">
        <f>HYPERLINK("https://ru.wikipedia.org/w/index.php?search=%D0%98%D0%B2%D0%B8%D0%BD%20%D0%90.%201990%20%D1%84%D0%B8%D0%BB%D1%8C%D0%BC","искать")</f>
        <v/>
      </c>
      <c r="N6667" s="3" t="n"/>
      <c r="O6667" s="2" t="n"/>
      <c r="P6667" s="2" t="n"/>
    </row>
    <row r="6668">
      <c r="A6668" s="2" t="n">
        <v>6667</v>
      </c>
      <c r="B6668" s="2" t="inlineStr"/>
      <c r="C6668" s="2" t="n">
        <v>13001</v>
      </c>
      <c r="D6668" s="3" t="inlineStr">
        <is>
          <t>Шрамы старого еркена</t>
        </is>
      </c>
      <c r="E6668" s="2" t="n">
        <v>1970</v>
      </c>
      <c r="F6668" s="2" t="inlineStr">
        <is>
          <t>мультфильм</t>
        </is>
      </c>
      <c r="G6668" s="2" t="inlineStr">
        <is>
          <t>КАЗАХФИЛЬМ</t>
        </is>
      </c>
      <c r="H6668" s="2" t="n">
        <v>983</v>
      </c>
      <c r="I6668" s="2" t="inlineStr"/>
      <c r="J6668" s="2" t="inlineStr"/>
      <c r="K6668" s="3" t="inlineStr">
        <is>
          <t>Умирая, отец Еркена завещал ему домбру и пояс, а коня велел взять тому из братьев, кто на нем усидит. Еркен оседлал коня и, возгордившись, решил оставить родной аул, поехать свет повидать и себя показать...Многое приходится испытать ему в жизни. Сначала Еркен попадает ко двору жадного и жестокого султана, добивается славы и почестей, но, не стерпев несправедливости, восстает и вынужден бежать. Но теряет своего коня. Потом попадает он в Индию к факиру и остается у него играть и петь, даже перед магараджей он пел. Но задумал Еркен спасти из гарема факира девушку-казашку и за то жестоко был избит. Там потерял он свою домбру. Пришлось ему потом побывать в Европе, в ресторане работал. В Австралии золото добывал и ему повезло, но на обратном пути грабители отобрали и золото и отцовский пояс. В Америке на заводе работал. Но нигде не чувствовал себя счастливым. Наконец, под старость, возвращается он на родину, сажает сады на родной земле и чувствует себя довольным и счастливым</t>
        </is>
      </c>
      <c r="L6668" s="2" t="inlineStr">
        <is>
          <t>https://gosfilmofond.ru/films/255184/</t>
        </is>
      </c>
      <c r="M6668" s="2">
        <f>HYPERLINK("https://ru.wikipedia.org/w/index.php?search=%D0%A8%D1%80%D0%B0%D0%BC%D1%8B%20%D1%81%D1%82%D0%B0%D1%80%D0%BE%D0%B3%D0%BE%20%D0%B5%D1%80%D0%BA%D0%B5%D0%BD%D0%B0%201970%20%D1%84%D0%B8%D0%BB%D1%8C%D0%BC","искать")</f>
        <v/>
      </c>
      <c r="N6668" s="3" t="n"/>
      <c r="O6668" s="2" t="n"/>
      <c r="P6668" s="2" t="n"/>
    </row>
    <row r="6669">
      <c r="A6669" s="2" t="n">
        <v>6668</v>
      </c>
      <c r="B6669" s="2" t="inlineStr"/>
      <c r="C6669" s="2" t="n">
        <v>7239</v>
      </c>
      <c r="D6669" s="3" t="inlineStr">
        <is>
          <t>Без году неделя</t>
        </is>
      </c>
      <c r="E6669" s="2" t="n">
        <v>1982</v>
      </c>
      <c r="F6669" s="2" t="inlineStr">
        <is>
          <t>телефильм</t>
        </is>
      </c>
      <c r="G6669" s="2" t="inlineStr">
        <is>
          <t>к/с им. Довженко</t>
        </is>
      </c>
      <c r="H6669" s="2" t="n">
        <v>984</v>
      </c>
      <c r="I6669" s="2" t="inlineStr"/>
      <c r="J6669" s="2" t="inlineStr"/>
      <c r="K6669" s="3" t="inlineStr">
        <is>
          <t>По окончании речного училища Насте Филимоновой за отличную учёбу присвоили квалификацию второго помощника капитана и направили в Киевское речное пароходство. Благодаря своему мужественному характеру и огромной силе воли, она начинает служить на новом грузовом судне «Славутич» у опытного «морского волка» Василия Артёмовича Яруги. Поначалу капитан не верил в способности Филимоновой управлять огромным судном с дорогостоящим грузом на борту и определил её в должности матроса. Но Настя, быстро доказав, что быть матросом ей под силу, стала помогать капитанской команде. Помимо своих прямых обязанностей, она организовала на судне самодеятельный ансамбль, тем самым покорив мужскую команду корабля вместе с капитаном. Но однажды во время запланированной стоянки, в то время как капитан с помощником отлучились по делам на берег, случился страшный шторм. Второму помощнику капитана Филимоновой пришлось проявить на деле талант судовождения в условиях непогоды, сохранив и судно, и груз.</t>
        </is>
      </c>
      <c r="L6669" s="2" t="inlineStr">
        <is>
          <t>https://ru.wikipedia.org/w/index.php?title=%D0%91%D0%B5%D0%B7_%D0%B3%D0%BE%D0%B4%D1%83_%D0%BD%D0%B5%D0%B4%D0%B5%D0%BB%D1%8F&amp;oldid=149989833</t>
        </is>
      </c>
      <c r="M6669" s="2">
        <f>HYPERLINK("https://ru.wikipedia.org/w/index.php?search=%D0%91%D0%B5%D0%B7%20%D0%B3%D0%BE%D0%B4%D1%83%20%D0%BD%D0%B5%D0%B4%D0%B5%D0%BB%D1%8F%201982%20%D1%84%D0%B8%D0%BB%D1%8C%D0%BC","искать")</f>
        <v/>
      </c>
      <c r="N6669" s="3" t="n"/>
      <c r="O6669" s="2" t="n"/>
      <c r="P6669" s="2" t="n"/>
    </row>
    <row r="6670">
      <c r="A6670" s="2" t="n">
        <v>6669</v>
      </c>
      <c r="B6670" s="2" t="inlineStr"/>
      <c r="C6670" s="2" t="n">
        <v>8044</v>
      </c>
      <c r="D6670" s="3" t="inlineStr">
        <is>
          <t>Опасный возраст</t>
        </is>
      </c>
      <c r="E6670" s="2" t="n">
        <v>1981</v>
      </c>
      <c r="F6670" s="2" t="inlineStr">
        <is>
          <t>телефильм</t>
        </is>
      </c>
      <c r="G6670" s="2" t="n"/>
      <c r="H6670" s="2" t="n">
        <v>988</v>
      </c>
      <c r="I6670" s="2" t="inlineStr"/>
      <c r="J6670" s="2" t="inlineStr"/>
      <c r="K6670" s="3" t="inlineStr">
        <is>
          <t>Супруги Родимцевы, прожившие вместе двадцать лет, вдруг обнаруживают полное отсутствие взаимопонимания. Развод и размен квартиры видятся им решением проблемы. Но на деле всё оказывается сложнее: не выдержав домашней обстановки, их сын (Антон Табаков) уезжает учиться в мореходное училище, а семейная драма мешает каждому из них сосредоточиться на работе. Супруги разводятся.
Талантливого парфюмера-дегустатора Наркиса Михайловича (Юозас Будрайтис), обладающего невероятными обонятельными способностями различать мельчайшие нюансы в гамме запахов, приглашают в качестве специалиста для опознания духов женщины, которая подозревается в совершении преступления. В ходе опознания подозреваемая наносит ему травму носа, после чего тот лишается способности различать запахи. Однако случайная встреча с бывшей женой (Алиса Фрейндлих) возвращает Наркису Михайловичу его способность, о чём он узнаёт, уловив запах советского одеколона «Саша» от одного из пассажиров метро в финальной сцене фильма.</t>
        </is>
      </c>
      <c r="L6670" s="2" t="inlineStr">
        <is>
          <t>https://ru.wikipedia.org/w/index.php?title=%D0%9E%D0%BF%D0%B0%D1%81%D0%BD%D1%8B%D0%B9_%D0%B2%D0%BE%D0%B7%D1%80%D0%B0%D1%81%D1%82_%28%D1%84%D0%B8%D0%BB%D1%8C%D0%BC%29&amp;oldid=154045762</t>
        </is>
      </c>
      <c r="M6670" s="2">
        <f>HYPERLINK("https://ru.wikipedia.org/w/index.php?search=%D0%9E%D0%BF%D0%B0%D1%81%D0%BD%D1%8B%D0%B9%20%D0%B2%D0%BE%D0%B7%D1%80%D0%B0%D1%81%D1%82%201981%20%D1%84%D0%B8%D0%BB%D1%8C%D0%BC","искать")</f>
        <v/>
      </c>
      <c r="N6670" s="3" t="n"/>
      <c r="O6670" s="2" t="n"/>
      <c r="P6670" s="2" t="n"/>
    </row>
    <row r="6671">
      <c r="A6671" s="2" t="n">
        <v>6670</v>
      </c>
      <c r="B6671" s="2" t="inlineStr"/>
      <c r="C6671" s="2" t="n">
        <v>7250</v>
      </c>
      <c r="D6671" s="3" t="inlineStr">
        <is>
          <t>Берега</t>
        </is>
      </c>
      <c r="E6671" s="2" t="n">
        <v>1977</v>
      </c>
      <c r="F6671" s="2" t="inlineStr">
        <is>
          <t>телефильм</t>
        </is>
      </c>
      <c r="G6671" s="2" t="inlineStr">
        <is>
          <t>Грузия-фильм</t>
        </is>
      </c>
      <c r="H6671" s="2" t="n">
        <v>994</v>
      </c>
      <c r="I6671" s="2" t="inlineStr"/>
      <c r="J6671" s="2" t="inlineStr"/>
      <c r="K6671" s="3" t="inlineStr">
        <is>
          <t>Эпическая драма о жизни народного мстителя, абрека Дата Туташхиа. События фильма разворачиваются в дореволюционное время в Грузии (примерно 1900—1910 годы). Дата Туташхиа, простой крестьянин, приютив беглого русского революционера, входит в конфликт с властями и с самой обыденной жизнью и становится разбойником. Он нападает и грабит богатых людей и защищает бедных. В противоположность — его двоюродный брат полковник Мушни Зарандиа (Тенгиз Арчвадзе) делает блестящую карьеру как чиновник и полицейский. Шеф Мушни, генерал жандармерии граф Сегеди ценит его, но не доверяет по-настоящему, подозревая, что родственная связь мешает подчиненному исполнять долг. Противостояние братьев проходит основной сюжетной нитью через всю картину. Близкие отношения долгие годы связывают Дата Туташхиа и Бечуни Пертиа, с которой он вынужден встречаться тайно. Разные люди и силы пытаются склонить Дата на свою сторону, вовлечь в политику, но он отчаянно пытается сохранить независимость в этом суровом мире.</t>
        </is>
      </c>
      <c r="L6671" s="2" t="inlineStr">
        <is>
          <t>https://ru.wikipedia.org/w/index.php?title=%D0%91%D0%B5%D1%80%D0%B5%D0%B3%D0%B0_%28%D1%84%D0%B8%D0%BB%D1%8C%D0%BC%2C_1977%29&amp;oldid=153294064</t>
        </is>
      </c>
      <c r="M6671" s="2">
        <f>HYPERLINK("https://ru.wikipedia.org/w/index.php?search=%D0%91%D0%B5%D1%80%D0%B5%D0%B3%D0%B0%201977%20%D1%84%D0%B8%D0%BB%D1%8C%D0%BC","искать")</f>
        <v/>
      </c>
      <c r="N6671" s="3" t="n"/>
      <c r="O6671" s="2" t="n"/>
      <c r="P6671" s="2" t="n"/>
    </row>
    <row r="6672">
      <c r="A6672" s="2" t="n">
        <v>6671</v>
      </c>
      <c r="B6672" s="2" t="inlineStr"/>
      <c r="C6672" s="2" t="n">
        <v>9318</v>
      </c>
      <c r="D6672" s="3" t="inlineStr">
        <is>
          <t>Грешник</t>
        </is>
      </c>
      <c r="E6672" s="2" t="n">
        <v>1988</v>
      </c>
      <c r="F6672" s="2" t="inlineStr">
        <is>
          <t>кинофильм</t>
        </is>
      </c>
      <c r="G6672" s="2" t="inlineStr">
        <is>
          <t>К/ст имени А.П. Довженко</t>
        </is>
      </c>
      <c r="H6672" s="2" t="n">
        <v>998</v>
      </c>
      <c r="I6672" s="2" t="inlineStr"/>
      <c r="J6672" s="2" t="inlineStr"/>
      <c r="K6672" s="3" t="inlineStr">
        <is>
          <t>Петр Иванович Маслов — талантливый токарь. Но его золотые руки оказались никому не нужными. Всюду, где Маслов начинает работать, от него тут же пытаются избавиться, вынуждая увольняться «по собственному желанию». И вовсе не потому, что Петр Иванович пьяница, лодырь или прогульщик. Напротив, он отличный токарь, а, главное, не может работать спустя рукава. Но именно это и пугает всех. И когда в очередной раз Маслову предлагают уйти с работы, жена Зина заявляет, мол, не устроишься — домой не приходи. И тут Маслову улыбается удача. Бродя по пустому утреннему шоссе, он встречает мужчину и женщину, ссорящихся у белого «Мерседеса». Мужчина, выругавшись, уходит, а женщина, окликнув Маслова, просит его посмотреть автомобиль. С помощью дамской шпильки умелец «оживляет» машину, с которой до этого не мог справиться ни один мастер. С этой первой «починки» Петр Иванович начинает
работать в частном автосервисе. Вскоре к Маслову приходят коллеги с просьбой вернуться на завод, но Маслов отказывается.</t>
        </is>
      </c>
      <c r="L6672" s="2" t="inlineStr">
        <is>
          <t>https://gosfilmofond.ru/films/239774/</t>
        </is>
      </c>
      <c r="M6672" s="2">
        <f>HYPERLINK("https://ru.wikipedia.org/w/index.php?search=%D0%93%D1%80%D0%B5%D1%88%D0%BD%D0%B8%D0%BA%201988%20%D1%84%D0%B8%D0%BB%D1%8C%D0%BC","искать")</f>
        <v/>
      </c>
      <c r="N6672" s="3" t="n"/>
      <c r="O6672" s="2" t="n"/>
      <c r="P6672" s="2" t="n"/>
    </row>
    <row r="6673">
      <c r="A6673" s="2" t="n">
        <v>6672</v>
      </c>
      <c r="B6673" s="2" t="inlineStr"/>
      <c r="C6673" s="2" t="n">
        <v>9272</v>
      </c>
      <c r="D6673" s="3" t="inlineStr">
        <is>
          <t>Виктория</t>
        </is>
      </c>
      <c r="E6673" s="2" t="n">
        <v>1988</v>
      </c>
      <c r="F6673" s="2" t="inlineStr">
        <is>
          <t>кинофильм</t>
        </is>
      </c>
      <c r="G6673" s="2" t="n"/>
      <c r="H6673" s="2" t="n">
        <v>999</v>
      </c>
      <c r="I6673" s="2" t="inlineStr"/>
      <c r="J6673" s="2" t="inlineStr"/>
      <c r="K6673" s="3" t="inlineStr">
        <is>
          <t>Норвегия начала XX века. В театре во время спектакля поэт Юханнес замечает в ложе Викторию и не сводит с нее глаз. В антракте Виктория знакомит своего жениха, лейтенанта Отто, и Юханнеса. Светский разговор прерывается воспоминаниями Юханнеса и Виктории о далеком детстве, когда дочь камергера Виктория и сын простого мельника Юханнес подружились вопреки насмешкам детворы. Детская дружба с годами превратилась в любовь. Но счастью молодых людей мешали сословные предрассудки, родители Виктории сами нашли ей жениха — лейтенанта Отто. Виктория выходит за него замуж. Подруга Виктории Камилла, которую когда-то спас Юханнес, неравнодушна к нему и терпеливо ждет, когда спаситель назовет ее невестой. Вскоре после свадьбы с Викторией Отто случайно убивают на охоте. Виктория свободна, но Юханнес уже дал слово Камилле. Спустя несколько лет Юханнес узнает о смерти бывшей возлюбленной. И вновь в его памяти возникают картины счастливого детства, когда они с Викторией проводили целые дни
на берегу моря.</t>
        </is>
      </c>
      <c r="L6673" s="2" t="inlineStr">
        <is>
          <t>https://gosfilmofond.ru/films/239748/</t>
        </is>
      </c>
      <c r="M6673" s="2">
        <f>HYPERLINK("https://ru.wikipedia.org/w/index.php?search=%D0%92%D0%B8%D0%BA%D1%82%D0%BE%D1%80%D0%B8%D1%8F%201988%20%D1%84%D0%B8%D0%BB%D1%8C%D0%BC","искать")</f>
        <v/>
      </c>
      <c r="N6673" s="3" t="n"/>
      <c r="O6673" s="2" t="n"/>
      <c r="P6673" s="2" t="n"/>
    </row>
    <row r="6674">
      <c r="A6674" s="2" t="n">
        <v>6673</v>
      </c>
      <c r="B6674" s="2" t="inlineStr"/>
      <c r="C6674" s="2" t="n">
        <v>11609</v>
      </c>
      <c r="D6674" s="3" t="inlineStr">
        <is>
          <t>Синяя птица</t>
        </is>
      </c>
      <c r="E6674" s="2" t="n">
        <v>1970</v>
      </c>
      <c r="F6674" s="2" t="inlineStr">
        <is>
          <t>мультфильм</t>
        </is>
      </c>
      <c r="G6674" s="2" t="inlineStr">
        <is>
          <t>Союзмультфильм</t>
        </is>
      </c>
      <c r="H6674" s="2" t="n">
        <v>999</v>
      </c>
      <c r="I6674" s="2" t="inlineStr"/>
      <c r="J6674" s="2" t="inlineStr"/>
      <c r="K6674" s="3" t="inlineStr">
        <is>
          <t>По мотивам одноименной пьесы Мориса Метерлинка. Мальчик, живущий в тесном и шумном городе однаэжды оказывается на базаре. Он отдает пирожнику единственную свою монетку, чтобы тот не бил голодного пса, укравшего пирог. За это Фея дарит Мальчику волшебную Синюю птицу, которая умеет оживлять воспоминания...Злой Кот уносит клетку с птицей, и Мальчик с сестрой и собакой отправляется в погоню. Фея объясняет детям, что Кот выполняет волю Черной Ночи, задумавшей лишить людей радостей и воспоминаний: Кот должен этой ночью продать птицу Толстяку, а тот бросить ее в пасть войне. Спасать птицу Фея посылает вместе с детьми Огонь, Воду и Хлеб - старинных спутников человека.Поздней ночью на базарной площади встречаются Толстяк, Кот и Ночь. Толстяк покупает Синюю птицу. В этот момент появляется Мальчик со своими друзьями. Огонь устремляется за Ночью и озаряет вее ярким пламенем. Вода преграждает дорогу Коту, и он захлебывается в потоке. Дети и Хлеб догоняют Толстяка и выпускают Синюю птицу на свободу</t>
        </is>
      </c>
      <c r="L6674" s="2" t="inlineStr">
        <is>
          <t>https://gosfilmofond.ru/films/255175/</t>
        </is>
      </c>
      <c r="M6674" s="2">
        <f>HYPERLINK("https://ru.wikipedia.org/w/index.php?search=%D0%A1%D0%B8%D0%BD%D1%8F%D1%8F%20%D0%BF%D1%82%D0%B8%D1%86%D0%B0%201970%20%D1%84%D0%B8%D0%BB%D1%8C%D0%BC","искать")</f>
        <v/>
      </c>
      <c r="N6674" s="3" t="n"/>
      <c r="O6674" s="2" t="n"/>
      <c r="P6674" s="2" t="n"/>
    </row>
    <row r="6675">
      <c r="A6675" s="2" t="n">
        <v>6674</v>
      </c>
      <c r="B6675" s="2" t="inlineStr"/>
      <c r="C6675" s="2" t="n">
        <v>7660</v>
      </c>
      <c r="D6675" s="3" t="inlineStr">
        <is>
          <t>И капли росы на рассвете</t>
        </is>
      </c>
      <c r="E6675" s="2" t="n">
        <v>1977</v>
      </c>
      <c r="F6675" s="2" t="inlineStr">
        <is>
          <t>телефильм</t>
        </is>
      </c>
      <c r="G6675" s="2" t="inlineStr">
        <is>
          <t>Рижская киностудия</t>
        </is>
      </c>
      <c r="H6675" s="2" t="n">
        <v>1001</v>
      </c>
      <c r="I6675" s="2" t="inlineStr"/>
      <c r="J6675" s="2" t="inlineStr"/>
      <c r="K6675" s="3" t="inlineStr">
        <is>
          <t>Группа антифашистски настроенных подростков остаётся без идейного руководства после ареста и гибели руководителей одного из подразделений рижского подполья. Опасаясь преследования, Эрик Зариньш, близкий к погибшему учителю истории Эглайсу, прячется на даче своего школьного товарища Хуго.
Пытаясь быть полезными общему делу, не дожидаясь прибытия связного, ребята распространяют листовки с записанными на слух сообщениями Совинформбюро. После инцидента с покушением на немецкий патруль, опытный следователь гестапо, играя на неокрепшей психике Хуго, узнаёт фамилии всех подпольщиков.
Под угрозой ареста оказались и сами подростки, и недавний ополченец рабочей дружины Донат, прибывший с чрезвычайными полномочиями для координации сопротивления. Его сопровождала бывшая узница белорусского лагеря смерти Ольга, которой также требовалось убежище. Не имея возможности увести в безопасное место всю группу, Донат поручил троим ребятам пробраться к приближающейся линии фронта и доставить важное донесение.</t>
        </is>
      </c>
      <c r="L6675" s="2" t="inlineStr">
        <is>
          <t>https://ru.wikipedia.org/w/index.php?title=%D0%98_%D0%BA%D0%B0%D0%BF%D0%BB%D0%B8_%D1%80%D0%BE%D1%81%D1%8B_%D0%BD%D0%B0_%D1%80%D0%B0%D1%81%D1%81%D0%B2%D0%B5%D1%82%D0%B5&amp;oldid=152742404</t>
        </is>
      </c>
      <c r="M6675" s="2">
        <f>HYPERLINK("https://ru.wikipedia.org/w/index.php?search=%D0%98%20%D0%BA%D0%B0%D0%BF%D0%BB%D0%B8%20%D1%80%D0%BE%D1%81%D1%8B%20%D0%BD%D0%B0%20%D1%80%D0%B0%D1%81%D1%81%D0%B2%D0%B5%D1%82%D0%B5%201977%20%D1%84%D0%B8%D0%BB%D1%8C%D0%BC","искать")</f>
        <v/>
      </c>
      <c r="N6675" s="3" t="n"/>
      <c r="O6675" s="2" t="n"/>
      <c r="P6675" s="2" t="n"/>
    </row>
    <row r="6676">
      <c r="A6676" s="2" t="n">
        <v>6675</v>
      </c>
      <c r="B6676" s="2" t="inlineStr"/>
      <c r="C6676" s="2" t="n">
        <v>8665</v>
      </c>
      <c r="D6676" s="3" t="inlineStr">
        <is>
          <t>Воля Вселенной</t>
        </is>
      </c>
      <c r="E6676" s="2" t="n">
        <v>1988</v>
      </c>
      <c r="F6676" s="2" t="inlineStr">
        <is>
          <t>кинофильм</t>
        </is>
      </c>
      <c r="G6676" s="2" t="inlineStr">
        <is>
          <t>«Беларусьфильм», Творческое объединение художественных фильмов</t>
        </is>
      </c>
      <c r="H6676" s="2" t="n">
        <v>1001</v>
      </c>
      <c r="I6676" s="2" t="inlineStr"/>
      <c r="J6676" s="2" t="inlineStr"/>
      <c r="K6676" s="3" t="inlineStr">
        <is>
          <t>Дима Коноплев, ученик 7 «Б», единственный из класса не написал сочинение на тему «Кем я хочу быть». Он действительно не знает этого. Дима убежден, что некая таинственная «воля вселенной» поможет ему определиться в этом вопросе. Его одноклассник Марик Уточкин приносит в класс книгу гаданий. Из нее Дима узнает, что в ближайшее воскресенье должен погибнуть в аварии. И надо же такому случиться, что именно в это воскресенье сосед, летчик дядя Коля, предлагает ему слетать в Ленинград и обратно в кабине пилотов. Обстоятельства воскресного дня складываются таким образом, что предсказание непременно должно сбыться: бабушке снится плохой сон, по телевизору показывают страшную передачу об авиакатастрофах, да и метеосводка неутешительная. Но Дима, переборов страх, все же летит в город на Неве. Во время полета подросток становится свидетелем самоотверженной работы летчиков при выполнении сложной посадки из-за технического сбоя, и дает своим спасателям слово в будущем непременно стать похожим на них.</t>
        </is>
      </c>
      <c r="L6676" s="2" t="inlineStr">
        <is>
          <t>https://gosfilmofond.ru/films/239869/</t>
        </is>
      </c>
      <c r="M6676" s="2">
        <f>HYPERLINK("https://ru.wikipedia.org/w/index.php?search=%D0%92%D0%BE%D0%BB%D1%8F%20%D0%92%D1%81%D0%B5%D0%BB%D0%B5%D0%BD%D0%BD%D0%BE%D0%B9%201988%20%D1%84%D0%B8%D0%BB%D1%8C%D0%BC","искать")</f>
        <v/>
      </c>
      <c r="N6676" s="3" t="n"/>
      <c r="O6676" s="2" t="n"/>
      <c r="P6676" s="2" t="n"/>
    </row>
    <row r="6677">
      <c r="A6677" s="2" t="n">
        <v>6676</v>
      </c>
      <c r="B6677" s="2" t="inlineStr"/>
      <c r="C6677" s="2" t="n">
        <v>9595</v>
      </c>
      <c r="D6677" s="3" t="inlineStr">
        <is>
          <t>Продление рода</t>
        </is>
      </c>
      <c r="E6677" s="2" t="n">
        <v>1988</v>
      </c>
      <c r="F6677" s="2" t="inlineStr">
        <is>
          <t>кинофильм</t>
        </is>
      </c>
      <c r="G6677" s="2" t="n"/>
      <c r="H6677" s="2" t="n">
        <v>1002</v>
      </c>
      <c r="I6677" s="2" t="inlineStr"/>
      <c r="J6677" s="2" t="inlineStr"/>
      <c r="K6677" s="3" t="inlineStr">
        <is>
          <t>1980-е годы. Около одного из древних заброшенных монастырей, где работают столичные реставраторы, расположен военный аэродром. Ради безопасности ночных полетов решено установить на колокольне проблесковые огни. Для подготовки работ в монастырь приезжает молодой капитан Былин. Планы военных вызывают решительный протест реставратора Ольги, мечтающей восстановить обитель. Капитан увлекается Ольгой, и той удается убедить его в том, что монастырь имеет огромную историческую ценность. Былин придумывает систему установки огней так, чтобы они не причиняли ущерб монастырю. Параллельно этот сюжет сопровождают экскурсы в историю монастыря: времена татаро-монгольского ига, церковный раскол XVII века, разрушение монастыря большевиками в 1920-е годы... Сегодня двое из участников той акции помогают реставраторам восстанавливать разрушенное. Это азартный крушитель храма Солонкин и Кислицын, сумевший спрятать и спасти часть монастырской библиотеки и заплативший в свое время за это
десятью годами лагерей.</t>
        </is>
      </c>
      <c r="L6677" s="2" t="inlineStr">
        <is>
          <t>https://gosfilmofond.ru/films/240110/</t>
        </is>
      </c>
      <c r="M6677" s="2">
        <f>HYPERLINK("https://ru.wikipedia.org/w/index.php?search=%D0%9F%D1%80%D0%BE%D0%B4%D0%BB%D0%B5%D0%BD%D0%B8%D0%B5%20%D1%80%D0%BE%D0%B4%D0%B0%201988%20%D1%84%D0%B8%D0%BB%D1%8C%D0%BC","искать")</f>
        <v/>
      </c>
      <c r="N6677" s="3" t="n"/>
      <c r="O6677" s="2" t="n"/>
      <c r="P6677" s="2" t="n"/>
    </row>
    <row r="6678">
      <c r="A6678" s="2" t="n">
        <v>6677</v>
      </c>
      <c r="B6678" s="2" t="inlineStr"/>
      <c r="C6678" s="2" t="n">
        <v>7633</v>
      </c>
      <c r="D6678" s="3" t="inlineStr">
        <is>
          <t>Зверобой</t>
        </is>
      </c>
      <c r="E6678" s="2" t="n">
        <v>1990</v>
      </c>
      <c r="F6678" s="2" t="inlineStr">
        <is>
          <t>телефильм</t>
        </is>
      </c>
      <c r="G6678" s="2" t="inlineStr">
        <is>
          <t>Союзтелефильм</t>
        </is>
      </c>
      <c r="H6678" s="2" t="n">
        <v>1004</v>
      </c>
      <c r="I6678" s="2" t="inlineStr"/>
      <c r="J6678" s="2" t="inlineStr"/>
      <c r="K6678" s="3" t="inlineStr">
        <is>
          <t>Середина XVIII века. Колониальный раздел Северной Америки продолжается. Борьба Англии и Франции за территориальное господство разделила и сделала врагами индейские племена и европейских переселенцев.
Случайно встретившись, два совершенно разных человека Гарри Марч и Натаниэль Бампо, направляются к озеру под названием Мерцающее зеркало. Зверобой должен помочь своему индейскому другу Чингачгуку вырвать из рук враждебного племени его возлюбленную Уа-Та-Уа, а Гарри добивается сердца красавицы Джудит, живущей на озере вместе с сестрой и пожилым отцом Томасом Хаттером. По мере развития сюжета фильма герои оказываются втянутыми в военный конфликт с враждебным племенем индейцев.
Фильм показывает жизнь пионеров Северной Америки и их взаимоотношения с коренными жителями материка с двух сторон: и у индейцев, и у белых — своя правда. Авторы фильма воспевают красоту первозданной природы американского континента, показывают жестокость и бессмысленность войны, прославляют честность, находчивость, дружбу.</t>
        </is>
      </c>
      <c r="L6678" s="2" t="inlineStr">
        <is>
          <t>https://ru.wikipedia.org/w/index.php?title=%D0%97%D0%B2%D0%B5%D1%80%D0%BE%D0%B1%D0%BE%D0%B9_%28%D1%84%D0%B8%D0%BB%D1%8C%D0%BC%29&amp;oldid=154543678</t>
        </is>
      </c>
      <c r="M6678" s="2">
        <f>HYPERLINK("https://ru.wikipedia.org/w/index.php?search=%D0%97%D0%B2%D0%B5%D1%80%D0%BE%D0%B1%D0%BE%D0%B9%201990%20%D1%84%D0%B8%D0%BB%D1%8C%D0%BC","искать")</f>
        <v/>
      </c>
      <c r="N6678" s="3" t="n"/>
      <c r="O6678" s="2" t="n"/>
      <c r="P6678" s="2" t="n"/>
    </row>
    <row r="6679">
      <c r="A6679" s="2" t="n">
        <v>6678</v>
      </c>
      <c r="B6679" s="2" t="inlineStr"/>
      <c r="C6679" s="2" t="n">
        <v>8169</v>
      </c>
      <c r="D6679" s="3" t="inlineStr">
        <is>
          <t>Последний рейс "Альбатроса"</t>
        </is>
      </c>
      <c r="E6679" s="2" t="n">
        <v>1971</v>
      </c>
      <c r="F6679" s="2" t="inlineStr">
        <is>
          <t>телефильм</t>
        </is>
      </c>
      <c r="G6679" s="2" t="n"/>
      <c r="H6679" s="2" t="n">
        <v>1004</v>
      </c>
      <c r="I6679" s="2" t="inlineStr"/>
      <c r="J6679" s="2" t="inlineStr"/>
      <c r="K6679" s="3" t="inlineStr">
        <is>
          <t>Советской разведке удалось накануне войны внедрить своего агента с кодовым именем «Март» в одно из элитных подразделений Военно-воздушных сил Германии. Главной задачей разведчика стало противодействие запуску в серийное производство опытного образца реактивного самолёта, проходившего испытания на специально оборудованном лётном полигоне, недалеко от Берлина.
Сохранением секретности работ занимается специальное подразделение, руководитель которого приложил максимум усилий, чтобы не допустить утечки информации. Помимо «Марта» за ходом испытаний заинтересованно наблюдает группа «Альта», составленная из немецких антифашистов. После ряда следственных действий агентам спецслужб удаётся запеленговать их радиостанцию и выйти на след подпольщиков.
Советскому разведчику приходится идти на риск и организовать подрыв одной из машин на пути следования к месту испытаний. Вторую он сам уничтожает в воздухе над усиленно охраняемым полигоном и жертвует, ради выполнения ответственного задания, своей жизнью.</t>
        </is>
      </c>
      <c r="L6679" s="2" t="inlineStr">
        <is>
          <t>https://ru.wikipedia.org/w/index.php?title=%D0%9F%D0%BE%D1%81%D0%BB%D0%B5%D0%B4%D0%BD%D0%B8%D0%B9_%D1%80%D0%B5%D0%B9%D1%81_%C2%AB%D0%90%D0%BB%D1%8C%D0%B1%D0%B0%D1%82%D1%80%D0%BE%D1%81%D0%B0%C2%BB&amp;oldid=154552095</t>
        </is>
      </c>
      <c r="M6679" s="2">
        <f>HYPERLINK("https://ru.wikipedia.org/w/index.php?search=%D0%9F%D0%BE%D1%81%D0%BB%D0%B5%D0%B4%D0%BD%D0%B8%D0%B9%20%D1%80%D0%B5%D0%B9%D1%81%20%22%D0%90%D0%BB%D1%8C%D0%B1%D0%B0%D1%82%D1%80%D0%BE%D1%81%D0%B0%22%201971%20%D1%84%D0%B8%D0%BB%D1%8C%D0%BC","искать")</f>
        <v/>
      </c>
      <c r="N6679" s="3" t="n"/>
      <c r="O6679" s="2" t="n"/>
      <c r="P6679" s="2" t="n"/>
    </row>
    <row r="6680">
      <c r="A6680" s="2" t="n">
        <v>6679</v>
      </c>
      <c r="B6680" s="2" t="inlineStr"/>
      <c r="C6680" s="2" t="n">
        <v>8496</v>
      </c>
      <c r="D6680" s="3" t="inlineStr">
        <is>
          <t>У старой мельницы</t>
        </is>
      </c>
      <c r="E6680" s="2" t="n">
        <v>1972</v>
      </c>
      <c r="F6680" s="2" t="inlineStr">
        <is>
          <t>телефильм</t>
        </is>
      </c>
      <c r="G6680" s="2" t="n"/>
      <c r="H6680" s="2" t="n">
        <v>1004</v>
      </c>
      <c r="I6680" s="2" t="inlineStr"/>
      <c r="J6680" s="2" t="inlineStr"/>
      <c r="K6680" s="3" t="inlineStr">
        <is>
          <t>Молодая выпускница пединститута Асем приезжает работать учительницей в сельскую школу далёкого села Кадам. Асем знакомится с местным кузнецом Медером, восстанавливающим никому не нужную старую мельницу, веря притче о заброшенной мельнице, которую нужно восстановить во что бы то ни стало. И несмотря на трудности, конфликт с директором школы, Асем решает остаться здесь, в этом селе, где когда-то работал её отец — был первым учителем села — в годы ликвидации безграмотности обучал грамоте малых и взрослых, оставив о себе добрую память.
Проблемы сегодняшнего дня киргизской сельской школы, быт современного села — вот фон, на котором развертываются события, внутренняя суть которых — поиск связи времен, гармонии между преходящим и вечным, будничным, легендарным.
Фильм как бы продолжает фильм «Первый учитель» по одноимённой повести Чингиза Айтматова, где главную роль Алтынай, сироты, которую в 1920-е годы обучает учитель Дюйшен, играла та же актриса что и исполняет роль Асем — Наталия Аринбасарова.</t>
        </is>
      </c>
      <c r="L6680" s="2" t="inlineStr">
        <is>
          <t>https://ru.wikipedia.org/w/index.php?title=%D0%A3_%D1%81%D1%82%D0%B0%D1%80%D0%BE%D0%B9_%D0%BC%D0%B5%D0%BB%D1%8C%D0%BD%D0%B8%D1%86%D1%8B&amp;oldid=140463253</t>
        </is>
      </c>
      <c r="M6680" s="2">
        <f>HYPERLINK("https://ru.wikipedia.org/w/index.php?search=%D0%A3%20%D1%81%D1%82%D0%B0%D1%80%D0%BE%D0%B9%20%D0%BC%D0%B5%D0%BB%D1%8C%D0%BD%D0%B8%D1%86%D1%8B%201972%20%D1%84%D0%B8%D0%BB%D1%8C%D0%BC","искать")</f>
        <v/>
      </c>
      <c r="N6680" s="3" t="n"/>
      <c r="O6680" s="2" t="n"/>
      <c r="P6680" s="2" t="n"/>
    </row>
    <row r="6681">
      <c r="A6681" s="2" t="n">
        <v>6680</v>
      </c>
      <c r="B6681" s="2" t="inlineStr"/>
      <c r="C6681" s="2" t="n">
        <v>9519</v>
      </c>
      <c r="D6681" s="3" t="inlineStr">
        <is>
          <t>Облако-рай</t>
        </is>
      </c>
      <c r="E6681" s="2" t="n">
        <v>1990</v>
      </c>
      <c r="F6681" s="2" t="inlineStr">
        <is>
          <t>кинофильм</t>
        </is>
      </c>
      <c r="G6681" s="2" t="n"/>
      <c r="H6681" s="2" t="n">
        <v>1007</v>
      </c>
      <c r="I6681" s="2" t="inlineStr"/>
      <c r="J6681" s="2" t="inlineStr"/>
      <c r="K6681" s="3" t="inlineStr">
        <is>
          <t>Маленький провинциальный посёлок городского типа, воскресенье, раннее утро. Слоняющийся по двору от безделья парень Коля надоедает соседям бестолковыми разговорами «про погоду». Не найдя собеседников на улице, он заходит к своему другу Феде. Федя и его жена Валя встречают его утомлённо и равнодушно.
Желая привлечь внимание, Коля говорит, что якобы собирается уезжать к другу-начальнику — на Дальний Восток. Это его решение находит всеобщую поддержку, Коля становится местным героем, все соседи участвуют в его сборах и проводах. Под диктовку Феди он пишет заявления на отпуск с последующим увольнением, Валя собирает ему чемодан, подаренный местным мужиком Филомеевым, а предприимчивые соседи скупают его мебель.
За решение оставить скучную однообразную жизнь Коля вызывает у знакомых уважение и даже добрую зависть. А когда он сообщает, что история с отъездом — просто выдумка, ему уже никто не верит. Колю сажают в автобус, и он покидает родной посёлок и людей, ставших ему за этот день самыми близкими.</t>
        </is>
      </c>
      <c r="L6681" s="2" t="inlineStr">
        <is>
          <t>https://ru.wikipedia.org/w/index.php?title=%D0%9E%D0%B1%D0%BB%D0%B0%D0%BA%D0%BE-%D1%80%D0%B0%D0%B9&amp;oldid=146281142</t>
        </is>
      </c>
      <c r="M6681" s="2">
        <f>HYPERLINK("https://ru.wikipedia.org/w/index.php?search=%D0%9E%D0%B1%D0%BB%D0%B0%D0%BA%D0%BE-%D1%80%D0%B0%D0%B9%201990%20%D1%84%D0%B8%D0%BB%D1%8C%D0%BC","искать")</f>
        <v/>
      </c>
      <c r="N6681" s="3" t="n"/>
      <c r="O6681" s="2" t="n"/>
      <c r="P6681" s="2" t="n"/>
    </row>
    <row r="6682">
      <c r="A6682" s="2" t="n">
        <v>6681</v>
      </c>
      <c r="B6682" s="2" t="inlineStr"/>
      <c r="C6682" s="2" t="n">
        <v>8675</v>
      </c>
      <c r="D6682" s="3" t="inlineStr">
        <is>
          <t>Выше гор</t>
        </is>
      </c>
      <c r="E6682" s="2" t="n">
        <v>1988</v>
      </c>
      <c r="F6682" s="2" t="inlineStr">
        <is>
          <t>кинофильм</t>
        </is>
      </c>
      <c r="G6682" s="2" t="n"/>
      <c r="H6682" s="2" t="n">
        <v>1010</v>
      </c>
      <c r="I6682" s="2" t="inlineStr"/>
      <c r="J6682" s="2" t="inlineStr"/>
      <c r="K6682" s="3" t="inlineStr">
        <is>
          <t>Пожилой лесник Абдрахман обходит свои лесные владения и натыкается на банду браконьеров, которые вырубают для продажи к Новому Году посаженные им ели. Лесник вступает в перепалку с бандитами, и те ранят его ножом. Лежа в больнице, он вспоминает всю свою жизнь. В двадцать два года, после смерти отца-лесника на пожаре, ему ничего не остается, кроме как заменить родителя и самому стать блюстителем порядка в лесу. Пятьдесят лет проводит он в горах с верной женой Магрипой в скромной сторожке. Идет
время, меняется начальство, но тихий трудяга словно и не вникает в то, что происходит на «большой земле». Начинается и заканчивается Великая Отечественная война, рождаются и умирают его дети, а он по-прежнему помогает расти лесу вырубает больные деревья, корчует пни, высаживает ели и яблони, приобщая и сына к этому занятию. Некогда пустые горные склоны теперь зеленеют и благоухают. Вместе они высаживают не одну сотню новых деревьев... Абдрахман возвращается из больницы и умирает на пороге собственного дома.</t>
        </is>
      </c>
      <c r="L6682" s="2" t="inlineStr">
        <is>
          <t>https://gosfilmofond.ru/films/239939/</t>
        </is>
      </c>
      <c r="M6682" s="2">
        <f>HYPERLINK("https://ru.wikipedia.org/w/index.php?search=%D0%92%D1%8B%D1%88%D0%B5%20%D0%B3%D0%BE%D1%80%201988%20%D1%84%D0%B8%D0%BB%D1%8C%D0%BC","искать")</f>
        <v/>
      </c>
      <c r="N6682" s="3" t="n"/>
      <c r="O6682" s="2" t="n"/>
      <c r="P6682" s="2" t="n"/>
    </row>
    <row r="6683">
      <c r="A6683" s="2" t="n">
        <v>6682</v>
      </c>
      <c r="B6683" s="2" t="inlineStr"/>
      <c r="C6683" s="2" t="n">
        <v>11151</v>
      </c>
      <c r="D6683" s="3" t="inlineStr">
        <is>
          <t>Жениться - не журиться</t>
        </is>
      </c>
      <c r="E6683" s="2" t="n">
        <v>1987</v>
      </c>
      <c r="F6683" s="2" t="inlineStr">
        <is>
          <t>фильм-спектакль</t>
        </is>
      </c>
      <c r="G6683" s="2" t="inlineStr">
        <is>
          <t>Главная редакция литературно-драматических программ ЦТ</t>
        </is>
      </c>
      <c r="H6683" s="2" t="n">
        <v>1013</v>
      </c>
      <c r="I6683" s="2" t="inlineStr"/>
      <c r="J6683" s="2" t="inlineStr"/>
      <c r="K6683" s="3" t="inlineStr">
        <is>
          <t>По водевилям М.Чарота "Михалка" и "Микитов лапоть", объединённым общей темой "брак по расчету". В постановке Белорусского государственного академического театра имени Янки Купалы.
Первая серия - по водевилю "Михалка". Герой водевиля Михалка влюбился в молоденькую дворовую девушку. Но его родители настаивали, чтобы он женился на богатой "девице", которая была нехороша собой и явно старше названного ею возраста. Немало стараний пришлось приложить влюбленным, чтобы установить подлинный возраст "невесты" и добиться отмены намеченной свадьбы.
Вторая серия. Две семьи, живущие по-соседству друг с другом, хотят сосватать своих детей, но родители жениха и невесты все время ссорятся между собой, и свадьба откладывается. Приятель жениха Микита, которому очень понравилась чужая невеста, пытается проникнуть к ней в сад, но по дороге теряет свой лапоть. Нашедший лапоть отец невесты решает, что Микита пробирался к его жене. Происшествие на время примиряет соседей и помогает жениху и невесте соединить свои судьбы.</t>
        </is>
      </c>
      <c r="L6683" s="2" t="inlineStr">
        <is>
          <t>https://www.kino-teatr.ru/teatr/movie/81294/annot/</t>
        </is>
      </c>
      <c r="M6683" s="2">
        <f>HYPERLINK("https://ru.wikipedia.org/w/index.php?search=%D0%96%D0%B5%D0%BD%D0%B8%D1%82%D1%8C%D1%81%D1%8F%20-%20%D0%BD%D0%B5%20%D0%B6%D1%83%D1%80%D0%B8%D1%82%D1%8C%D1%81%D1%8F%201987%20%D1%84%D0%B8%D0%BB%D1%8C%D0%BC","искать")</f>
        <v/>
      </c>
      <c r="N6683" s="3" t="n"/>
      <c r="O6683" s="2" t="n"/>
      <c r="P6683" s="2" t="n"/>
    </row>
    <row r="6684">
      <c r="A6684" s="2" t="n">
        <v>6683</v>
      </c>
      <c r="B6684" s="2" t="inlineStr"/>
      <c r="C6684" s="2" t="n">
        <v>9681</v>
      </c>
      <c r="D6684" s="3" t="inlineStr">
        <is>
          <t>Счастливчик</t>
        </is>
      </c>
      <c r="E6684" s="2" t="n">
        <v>1989</v>
      </c>
      <c r="F6684" s="2" t="inlineStr">
        <is>
          <t>кинофильм</t>
        </is>
      </c>
      <c r="G6684" s="2" t="inlineStr">
        <is>
          <t>Мосфильм, творческое объединение «Старт»</t>
        </is>
      </c>
      <c r="H6684" s="2" t="n">
        <v>1014</v>
      </c>
      <c r="I6684" s="2" t="inlineStr"/>
      <c r="J6684" s="2" t="inlineStr"/>
      <c r="K6684" s="3" t="inlineStr">
        <is>
          <t>Действие фильма происходит в Москве в период перестройки. Главный герой — 23-летний Иван Нечкин, работающий водителем и автомехаником. Он отличается общительным характером, любит шутки и пользуется успехом у женщин. Нечкин способен выдавать себя за других людей, в том числе за итальянского тенора и сотрудника Государственной автомобильной инспекции.
Нечкин занимается страховым мошенничеством, связанным с преднамеренным повреждением автомобилей. По договорённости с владельцами технически изношенных автомобилей он инсценирует дорожно-транспортные происшествия, в результате которых машины получают значительные повреждения. После этого владельцы получают страховые выплаты, а Нечкин — оговорённое вознаграждение.
В ходе одной из таких операций Нечкин получает тяжёлые травмы, однако впоследствии продолжает заниматься аналогичной деятельностью. Сюжет фильма посвящён его образу жизни и последующим событиям, связанным с последствиями его рискованного поведения и неспособностью определить жизненные приоритеты.</t>
        </is>
      </c>
      <c r="L6684" s="2" t="inlineStr">
        <is>
          <t>https://ru.wikipedia.org/w/index.php?title=%D0%A1%D1%87%D0%B0%D1%81%D1%82%D0%BB%D0%B8%D0%B2%D1%87%D0%B8%D0%BA_%28%D1%84%D0%B8%D0%BB%D1%8C%D0%BC%2C_1989%29&amp;oldid=155473119</t>
        </is>
      </c>
      <c r="M6684" s="2">
        <f>HYPERLINK("https://ru.wikipedia.org/w/index.php?search=%D0%A1%D1%87%D0%B0%D1%81%D1%82%D0%BB%D0%B8%D0%B2%D1%87%D0%B8%D0%BA%201989%20%D1%84%D0%B8%D0%BB%D1%8C%D0%BC","искать")</f>
        <v/>
      </c>
      <c r="N6684" s="3" t="n"/>
      <c r="O6684" s="2" t="n"/>
      <c r="P6684" s="2" t="n"/>
    </row>
    <row r="6685">
      <c r="A6685" s="2" t="n">
        <v>6684</v>
      </c>
      <c r="B6685" s="2" t="inlineStr"/>
      <c r="C6685" s="2" t="n">
        <v>11222</v>
      </c>
      <c r="D6685" s="3" t="inlineStr">
        <is>
          <t>Про Федота-стрельца, удалого молодца</t>
        </is>
      </c>
      <c r="E6685" s="2" t="n">
        <v>1988</v>
      </c>
      <c r="F6685" s="2" t="inlineStr">
        <is>
          <t>фильм-спектакль</t>
        </is>
      </c>
      <c r="G6685" s="2" t="inlineStr">
        <is>
          <t>Гостелерадио СССР</t>
        </is>
      </c>
      <c r="H6685" s="2" t="n">
        <v>1014</v>
      </c>
      <c r="I6685" s="2" t="inlineStr"/>
      <c r="J6685" s="2" t="inlineStr"/>
      <c r="K6685" s="3" t="inlineStr">
        <is>
          <t>«Сказка про Федота-стрельца, удалого молодца» — это наиболее известное поэтическое произведение Леонида Филатова, написанное в 1985 году. По нему поставлено множество спектаклей в различных театрах России и СНГ, а также сняты фильмы и мультфильм. Однако по зрительским отзывам, именно этот телеспектакль, в котором снялся сам Леонид Филатов в жанре театра одного актёра, считается самой лучшей экранизацией.
Сюжет произведения традиционен для многих русских народных сказок: царь, желая извести стрельца и жениться на его супруге, придумывает для героя испытания. Последнее испытание — неисполнимая задача принести «то, чего не может быть». Решение удачливым героем этой загадки приводит царя к потере престола.
Традиционные герои произведения — Царь, Комендант (Генерал у Филатова), Федот-стрелец, его Жена (Маруся), Баба-Яга, Молодцы-помощники (Тит Кузьмич и Фрол Фомич), Шмат-разум (Голос или То-Чаво-Не-Может-Быть). В дополнение к героям сказки-источника Леонид Филатов вводит в повествование Царевну и Няньку.</t>
        </is>
      </c>
      <c r="L6685" s="2" t="inlineStr">
        <is>
          <t>https://www.kino-teatr.ru/teatr/movie/83563/annot/</t>
        </is>
      </c>
      <c r="M6685" s="2">
        <f>HYPERLINK("https://ru.wikipedia.org/w/index.php?search=%D0%9F%D1%80%D0%BE%20%D0%A4%D0%B5%D0%B4%D0%BE%D1%82%D0%B0-%D1%81%D1%82%D1%80%D0%B5%D0%BB%D1%8C%D1%86%D0%B0%2C%20%D1%83%D0%B4%D0%B0%D0%BB%D0%BE%D0%B3%D0%BE%20%D0%BC%D0%BE%D0%BB%D0%BE%D0%B4%D1%86%D0%B0%201988%20%D1%84%D0%B8%D0%BB%D1%8C%D0%BC","искать")</f>
        <v/>
      </c>
      <c r="N6685" s="3" t="n"/>
      <c r="O6685" s="2" t="n"/>
      <c r="P6685" s="2" t="n"/>
    </row>
    <row r="6686">
      <c r="A6686" s="2" t="n">
        <v>6685</v>
      </c>
      <c r="B6686" s="2" t="inlineStr"/>
      <c r="C6686" s="2" t="n">
        <v>9581</v>
      </c>
      <c r="D6686" s="3" t="inlineStr">
        <is>
          <t>Презумпция невиновности</t>
        </is>
      </c>
      <c r="E6686" s="2" t="n">
        <v>1988</v>
      </c>
      <c r="F6686" s="2" t="inlineStr">
        <is>
          <t>кинофильм</t>
        </is>
      </c>
      <c r="G6686" s="2" t="n"/>
      <c r="H6686" s="2" t="n">
        <v>1015</v>
      </c>
      <c r="I6686" s="2" t="inlineStr"/>
      <c r="J6686" s="2" t="inlineStr"/>
      <c r="K6686" s="3" t="inlineStr">
        <is>
          <t>Популярная певица Зоя Болотникова после концерта в Москве отправляется на гастроли в Скандинавские страны транзитом через Ленинград. В поезде к ней вваливаются пьяные финны, перепутавшие купе. После их ухода певица обнаруживает пропажу пиджака, в котором находится ее загранпаспорт. Зоя в панике, ведь без него она не сможет пересечь границу. На станции «Бологое» в поезд садятся два безбилетных пассажира — Миша и Петр Никитич, врачи-анестезиологи. Их по недоразумению принимают за работников милиции, направленных специально для расследования кражи. Чтобы их не высадили, «зайцы» вынуждены играть роль сыщиков. Миша рьяно принимается за дело. В итоге у него под подозрением оказываются все участники событий. Следствие заходит в тупик, и уже самих «следователей» просят предъявить документы.
И тут выясняется, что на самом деле пиджак с паспортом никуда не пропадал — его случайно утащил финн, когда его выдворяли из купе. Розыск благополучно завершается, пассажиры, уставшие, но довольные, прибывают в Ленинград.</t>
        </is>
      </c>
      <c r="L6686" s="2" t="inlineStr">
        <is>
          <t>https://gosfilmofond.ru/films/240127/</t>
        </is>
      </c>
      <c r="M6686" s="2">
        <f>HYPERLINK("https://ru.wikipedia.org/w/index.php?search=%D0%9F%D1%80%D0%B5%D0%B7%D1%83%D0%BC%D0%BF%D1%86%D0%B8%D1%8F%20%D0%BD%D0%B5%D0%B2%D0%B8%D0%BD%D0%BE%D0%B2%D0%BD%D0%BE%D1%81%D1%82%D0%B8%201988%20%D1%84%D0%B8%D0%BB%D1%8C%D0%BC","искать")</f>
        <v/>
      </c>
      <c r="N6686" s="3" t="n"/>
      <c r="O6686" s="2" t="n"/>
      <c r="P6686" s="2" t="n"/>
    </row>
    <row r="6687">
      <c r="A6687" s="2" t="n">
        <v>6686</v>
      </c>
      <c r="B6687" s="2" t="inlineStr"/>
      <c r="C6687" s="2" t="n">
        <v>11159</v>
      </c>
      <c r="D6687" s="3" t="inlineStr">
        <is>
          <t>Каменный цветок</t>
        </is>
      </c>
      <c r="E6687" s="2" t="n">
        <v>1987</v>
      </c>
      <c r="F6687" s="2" t="inlineStr">
        <is>
          <t>фильм-спектакль</t>
        </is>
      </c>
      <c r="G6687" s="2" t="inlineStr">
        <is>
          <t>Творческое объединение "Экран"</t>
        </is>
      </c>
      <c r="H6687" s="2" t="n">
        <v>1015</v>
      </c>
      <c r="I6687" s="2" t="inlineStr"/>
      <c r="J6687" s="2" t="inlineStr"/>
      <c r="K6687" s="3" t="inlineStr">
        <is>
          <t>По мотивам сказов Павла Бажова "Каменный цветок" и "Горный мастер" в постановке Государственного академического Малого театра.
Ещё мальчиком, обучаясь у старого мастера Прокопьича, Данила овладел тайнами обработки камня, научился создавать из малахита замечательные изделия. Шкатулка и чаша, сделанные им по заказу барина, вызывают всеобщее восхищение. Радуется работе мастера и невеста Данилы, скромная девушка Катенька. Только сам Данила не удовлетворён своей работой. Он стремится к совершенству в искусстве резьбы по камню.
По зову Хозяйки Медной горы, прекрасной владычицы уральских подземных богатств, Данила спускается в её царство. Но ни её холодная красота, ни ослепительный блеск драгоценных камней, ни художественное совершенство волшебного каменного цветка не могут заставить Данилу забыть о земных людях. Его невеста Катенька отправляется на поиски любимого. Не покорив сердца Данилы, подземная царица отпускает пленника. Она позволяет Даниле унести наверх познанную им в подземном царстве тайну камня.</t>
        </is>
      </c>
      <c r="L6687" s="2" t="inlineStr">
        <is>
          <t>https://www.kino-teatr.ru/teatr/movie/81199/annot/</t>
        </is>
      </c>
      <c r="M6687" s="2">
        <f>HYPERLINK("https://ru.wikipedia.org/w/index.php?search=%D0%9A%D0%B0%D0%BC%D0%B5%D0%BD%D0%BD%D1%8B%D0%B9%20%D1%86%D0%B2%D0%B5%D1%82%D0%BE%D0%BA%201987%20%D1%84%D0%B8%D0%BB%D1%8C%D0%BC","искать")</f>
        <v/>
      </c>
      <c r="N6687" s="3" t="n"/>
      <c r="O6687" s="2" t="n"/>
      <c r="P6687" s="2" t="n"/>
    </row>
    <row r="6688">
      <c r="A6688" s="2" t="n">
        <v>6687</v>
      </c>
      <c r="B6688" s="2" t="inlineStr"/>
      <c r="C6688" s="2" t="n">
        <v>7513</v>
      </c>
      <c r="D6688" s="3" t="inlineStr">
        <is>
          <t>Диалог</t>
        </is>
      </c>
      <c r="E6688" s="2" t="n">
        <v>1977</v>
      </c>
      <c r="F6688" s="2" t="inlineStr">
        <is>
          <t>телефильм</t>
        </is>
      </c>
      <c r="G6688" s="2" t="inlineStr">
        <is>
          <t>Мосфильм</t>
        </is>
      </c>
      <c r="H6688" s="2" t="n">
        <v>1016</v>
      </c>
      <c r="I6688" s="2" t="inlineStr"/>
      <c r="J6688" s="2" t="inlineStr"/>
      <c r="K6688" s="3" t="inlineStr">
        <is>
          <t>О совместной работе советского журналиста Ершова (Вячеслав Тихонов) и западногерманского режиссёра над документальным фильмом, посвященным разрядке международной напряженности в конце 70-х годов.
В трехсерийном телефильме «Диалог» Карташов работает в принципе коллажа. Заданный сценарием синтез игровых эпизодов, публицистического комментария, документальных интервью, репортажных съемок и архивных кинокадров
Режиссёр С. Колосов снял острый политический телефильм «Диалог» (1978), интересный, между прочим органичным вплетением в сюжет осуществленных специально для фильма документальных съемок общественных деятелей ФРГ.
В фильм включены кадры, где Владимир Михайлов, собкор газеты «Правда» в ФРГ, берёт интервью у следующих лиц:
Виктор Афанасьев — главный редактор газеты «Правда», интервью в прологе 1-й серии
Макс Грюн — писатель, интервью в прологе 2-й серии
Генри Наннен — главный редактор «Штерн», интервью, (2-я серия)
Герберт Мис — Председатель Германской коммунистической партии, интервью (2-я, 3-я серии)</t>
        </is>
      </c>
      <c r="L6688" s="2" t="inlineStr">
        <is>
          <t>https://ru.wikipedia.org/w/index.php?title=%D0%94%D0%B8%D0%B0%D0%BB%D0%BE%D0%B3_%28%D1%84%D0%B8%D0%BB%D1%8C%D0%BC%29&amp;oldid=154694848</t>
        </is>
      </c>
      <c r="M6688" s="2">
        <f>HYPERLINK("https://ru.wikipedia.org/w/index.php?search=%D0%94%D0%B8%D0%B0%D0%BB%D0%BE%D0%B3%201977%20%D1%84%D0%B8%D0%BB%D1%8C%D0%BC","искать")</f>
        <v/>
      </c>
      <c r="N6688" s="3" t="n"/>
      <c r="O6688" s="2" t="n"/>
      <c r="P6688" s="2" t="n"/>
    </row>
    <row r="6689">
      <c r="A6689" s="2" t="n">
        <v>6688</v>
      </c>
      <c r="B6689" s="2" t="inlineStr"/>
      <c r="C6689" s="2" t="n">
        <v>10094</v>
      </c>
      <c r="D6689" s="3" t="inlineStr">
        <is>
          <t>Золотая долина</t>
        </is>
      </c>
      <c r="E6689" s="2" t="n">
        <v>1962</v>
      </c>
      <c r="F6689" s="2" t="inlineStr">
        <is>
          <t>фильм-спектакль</t>
        </is>
      </c>
      <c r="G6689" s="2" t="n"/>
      <c r="H6689" s="2" t="n">
        <v>1017</v>
      </c>
      <c r="I6689" s="2" t="inlineStr"/>
      <c r="J6689" s="2" t="inlineStr"/>
      <c r="K6689" s="3" t="inlineStr">
        <is>
          <t>Спектакль Московского театра оперетты.
Советская лирико-романтическая оперетта о дружбе народов в Советской стране.
Золотая долина – цветочная плантация в Грузии. Недостаток воды грозит посадкам гибелью, т.к. обвалы преградили дороги горным ручьям вниз. Директор плантации Сандро обращается за помощью к русским геологам, надеясь, что они сумеют не только объяснить причины частых горных обвалов, но и вернуть долине её плодородие. Вместе с работниками Золотой долины, среди которых старуха повариха Кэто, ботаник Нина (дочь директора плантации), геологи во главе с Николаем Бочаровым совершают поход в горы и находят горное озеро. Красноармейцы-сапёры взрывают обвалившиеся породы, и Золотая долина оживает. Одновременно побеждаются национальные предрассудки, сапёр-пенсионер Онисим Бобриков встречает своего внука – лейтенанта Красной Армии. Кроме того, на пороге своего счастья оказывается пара главных лирических героев (Нина и Николай), а также характерная пара (Кэто и Онисим) и каскадная пара (Ольга и Павлик).</t>
        </is>
      </c>
      <c r="L6689" s="2" t="inlineStr">
        <is>
          <t>https://www.kino-teatr.ru/teatr/movie/86572/annot/</t>
        </is>
      </c>
      <c r="M6689" s="2">
        <f>HYPERLINK("https://ru.wikipedia.org/w/index.php?search=%D0%97%D0%BE%D0%BB%D0%BE%D1%82%D0%B0%D1%8F%20%D0%B4%D0%BE%D0%BB%D0%B8%D0%BD%D0%B0%201962%20%D1%84%D0%B8%D0%BB%D1%8C%D0%BC","искать")</f>
        <v/>
      </c>
      <c r="N6689" s="3" t="n"/>
      <c r="O6689" s="2" t="n"/>
      <c r="P6689" s="2" t="n"/>
    </row>
    <row r="6690">
      <c r="A6690" s="2" t="n">
        <v>6689</v>
      </c>
      <c r="B6690" s="2" t="inlineStr"/>
      <c r="C6690" s="2" t="n">
        <v>9481</v>
      </c>
      <c r="D6690" s="3" t="inlineStr">
        <is>
          <t>Мужчина для молодой женщины</t>
        </is>
      </c>
      <c r="E6690" s="2" t="n">
        <v>1988</v>
      </c>
      <c r="F6690" s="2" t="inlineStr">
        <is>
          <t>кинофильм</t>
        </is>
      </c>
      <c r="G6690" s="2" t="n"/>
      <c r="H6690" s="2" t="n">
        <v>1024</v>
      </c>
      <c r="I6690" s="2" t="inlineStr"/>
      <c r="J6690" s="2" t="inlineStr"/>
      <c r="K6690" s="3" t="inlineStr">
        <is>
          <t>У Рауфа, немолодого уже мужчины, навязчивая идея — не оплошать перед юной возлюбленной. Однажды свекор рассказывает ему о «волшебном» эликсире, который вернул молодость самому Юлию Цезарю. Чтобы добыть компоненты для этого эликсира Рауф ночью проникает в зоопарк и отпиливает рог у носорога. Затем срывает тмин на кладбище. Теперь эликсир должен настаиваться неделю, и все, чего жаждет Рауф, сбудется. Да не тут-то было. Пока Рауф был в зоопарке и добывал заветный рог, пропадает реликтовая птица киви. В краже, разумеется, обвиняют незадачливого донжуана. Рауф, надеясь скрыть от семьи и друзей свою затею, предлагает взятку следователю, но страж закона оказывается неподкупным. Пока предприимчивый любовник находится в тюрьме, птицу находят. Вернувшись домой, Рауф обнаруживает, что эликсир выпили домочадцы. Свекор со свекровью проводят медовый месяц, а жена на мужниной машине разъезжает с молодым аспирантом. Но у Рауфа снова появляется надежда — ему звонит друг, нашедший еще один старинный рецепт продления молодости.</t>
        </is>
      </c>
      <c r="L6690" s="2" t="inlineStr">
        <is>
          <t>https://gosfilmofond.ru/films/240199/</t>
        </is>
      </c>
      <c r="M6690" s="2">
        <f>HYPERLINK("https://ru.wikipedia.org/w/index.php?search=%D0%9C%D1%83%D0%B6%D1%87%D0%B8%D0%BD%D0%B0%20%D0%B4%D0%BB%D1%8F%20%D0%BC%D0%BE%D0%BB%D0%BE%D0%B4%D0%BE%D0%B9%20%D0%B6%D0%B5%D0%BD%D1%89%D0%B8%D0%BD%D1%8B%201988%20%D1%84%D0%B8%D0%BB%D1%8C%D0%BC","искать")</f>
        <v/>
      </c>
      <c r="N6690" s="3" t="n"/>
      <c r="O6690" s="2" t="n"/>
      <c r="P6690" s="2" t="n"/>
    </row>
    <row r="6691">
      <c r="A6691" s="2" t="n">
        <v>6690</v>
      </c>
      <c r="B6691" s="2" t="inlineStr"/>
      <c r="C6691" s="2" t="n">
        <v>9896</v>
      </c>
      <c r="D6691" s="3" t="inlineStr">
        <is>
          <t>Солдатёнок</t>
        </is>
      </c>
      <c r="E6691" s="2" t="n">
        <v>1972</v>
      </c>
      <c r="F6691" s="2" t="inlineStr">
        <is>
          <t>телефильм</t>
        </is>
      </c>
      <c r="G6691" s="2" t="inlineStr">
        <is>
          <t>Киргизтелефильм</t>
        </is>
      </c>
      <c r="H6691" s="2" t="n">
        <v>1024</v>
      </c>
      <c r="I6691" s="2" t="inlineStr"/>
      <c r="J6691" s="2" t="inlineStr"/>
      <c r="K6691" s="3" t="inlineStr">
        <is>
          <t>1946 год. В глухом киргизском ауле с мамой и бабушкой живёт пятилетний Авалбек, отца у него нет — он не вернулся с войны. Как-то в аул приезжает кинопередвижка и сбежавшийся смотреть кино весь аул с напряжением смотрит за боем артиллеристов с фашистским танком, и вдруг маленький Авалбек «узнаёт» своего отца в солдате, идущем с гранатой на фашистский танк.
Приехала в село кинопередвижка, киномеханик показывает фильм о войне грохотали взрывы, под огнем врага наши артиллеристы катили на бугор пушку, и был среди них один, лицом похожий на киргиза. И вдруг к экрану выбежал маленький мальчишка и закричал: «Ребята, это мой отец! Вы видели? Это моего отца убили…» Он, которого война сделала сиротой, поверил, что сейчас перед ним на экране был его отец, что это не кино, разыгранное актёрами, а самая настоящая война и самая настоящая правда.
И никто не посмел засмеяться или разуверить в этом мальчугана… И киномеханик, и фронтовик-фотограф, и старые чабаны, да и всё жители аула чутки и уважительно внимательны к его вере.</t>
        </is>
      </c>
      <c r="L6691" s="2" t="inlineStr">
        <is>
          <t>https://ru.wikipedia.org/w/index.php?title=%D0%A1%D0%BE%D0%BB%D0%B4%D0%B0%D1%82%D1%91%D0%BD%D0%BE%D0%BA&amp;oldid=149106167</t>
        </is>
      </c>
      <c r="M6691" s="2">
        <f>HYPERLINK("https://ru.wikipedia.org/w/index.php?search=%D0%A1%D0%BE%D0%BB%D0%B4%D0%B0%D1%82%D1%91%D0%BD%D0%BE%D0%BA%201972%20%D1%84%D0%B8%D0%BB%D1%8C%D0%BC","искать")</f>
        <v/>
      </c>
      <c r="N6691" s="3" t="n"/>
      <c r="O6691" s="2" t="n"/>
      <c r="P6691" s="2" t="n"/>
    </row>
    <row r="6692">
      <c r="A6692" s="2" t="n">
        <v>6691</v>
      </c>
      <c r="B6692" s="2" t="inlineStr"/>
      <c r="C6692" s="2" t="n">
        <v>8727</v>
      </c>
      <c r="D6692" s="3" t="inlineStr">
        <is>
          <t>За прекрасных дам!</t>
        </is>
      </c>
      <c r="E6692" s="2" t="n">
        <v>1989</v>
      </c>
      <c r="F6692" s="2" t="inlineStr">
        <is>
          <t>кинофильм</t>
        </is>
      </c>
      <c r="G6692" s="2" t="n"/>
      <c r="H6692" s="2" t="n">
        <v>1027</v>
      </c>
      <c r="I6692" s="2" t="inlineStr"/>
      <c r="J6692" s="2" t="inlineStr"/>
      <c r="K6692" s="3" t="inlineStr">
        <is>
          <t>Пятеро подруг, Вера, Надя, Люба, Ира и Татьяна, закончив школу, дают клятву: в институт не поступать, добиться блестящего материального положения без образования и каждый год встречаться и докладывать о своих успехах. Однажды в квартире Веры, где собрались девушки, раздается звонок. На пороге появляются два грабителя, Виктор и Гена, которые требуют отдать им драгоценности. Все, кроме Татьяны, послушно начинают их снимать. Татьяна категорически отказывается, признавшись, что они взяты на время у тетки. Подруги с удивлением узнают, что Таня ушла из торговли, поступила в институт и сейчас учится на третьем курсе. Упорство девушки трогает грабителей, они уже не так агрессивны. Вера и Надя решают обольстить мужчин, чтобы вернуть свои драгоценности. Вступив с ними в разговор, они выясняют, что ограбление подстроено Любой, которой очень нравились бриллиантовые сережки Веры, а та ни в какую не хотела их продавать. Отказавшись от своих планов, Гена и Виктор в знак примирения предлагают поднять бокалы — за прекрасных дам.</t>
        </is>
      </c>
      <c r="L6692" s="2" t="inlineStr">
        <is>
          <t>https://gosfilmofond.ru/films/251174/</t>
        </is>
      </c>
      <c r="M6692" s="2">
        <f>HYPERLINK("https://ru.wikipedia.org/w/index.php?search=%D0%97%D0%B0%20%D0%BF%D1%80%D0%B5%D0%BA%D1%80%D0%B0%D1%81%D0%BD%D1%8B%D1%85%20%D0%B4%D0%B0%D0%BC%21%201989%20%D1%84%D0%B8%D0%BB%D1%8C%D0%BC","искать")</f>
        <v/>
      </c>
      <c r="N6692" s="3" t="n"/>
      <c r="O6692" s="2" t="n"/>
      <c r="P6692" s="2" t="n"/>
    </row>
    <row r="6693">
      <c r="A6693" s="2" t="n">
        <v>6692</v>
      </c>
      <c r="B6693" s="2" t="inlineStr"/>
      <c r="C6693" s="2" t="n">
        <v>8230</v>
      </c>
      <c r="D6693" s="3" t="inlineStr">
        <is>
          <t>Продолжение</t>
        </is>
      </c>
      <c r="E6693" s="2" t="n">
        <v>1974</v>
      </c>
      <c r="F6693" s="2" t="inlineStr">
        <is>
          <t>телефильм</t>
        </is>
      </c>
      <c r="G6693" s="2" t="n"/>
      <c r="H6693" s="2" t="n">
        <v>1029</v>
      </c>
      <c r="I6693" s="2" t="inlineStr"/>
      <c r="J6693" s="2" t="inlineStr"/>
      <c r="K6693" s="3" t="inlineStr">
        <is>
          <t>Сюжет развивается в двух параллельных линиях — в настоящем времени и событиях периода войны.
Молодая супружеская пара Тоомас и Айли стоят перед выбором: Айли беременна. Тоомас, чья карьера инженера идёт в гору, считает, что он ещё не готов стать отцом, ему еще нужно чего-то достичь в жизни, а ребёнок будет помехой. Айли же инстинктивно чувствует, что нужно дать новую жизнь, но не осмеливается решать в одиночку.
Отчим Тоомаса Март Лейпик решается рассказать Тоомасу историю его рождения: 30 лет назад в 1945 году, в последние дни Великой Отечественной войны, в заброшенной загородной усадьбе в Германии родился мальчик, мать которого умерла при родах. Но чтобы он родился и выжил были вовлечены разные люди: сам эстонец Март Лепик, старший лейтенант Кудрявцев и сержант Сулейман, бежавший из концлагеря поляк Кароль, американский военный лётчик Томас, немецкий военный врач и другие, многие из которых ради рождения этого ребёнка шли на смертельный риск, и многие из которых погибли обеспечивая роды и оберегая новорождённого.</t>
        </is>
      </c>
      <c r="L6693" s="2" t="inlineStr">
        <is>
          <t>https://ru.wikipedia.org/w/index.php?title=%D0%9F%D1%80%D0%BE%D0%B4%D0%BE%D0%BB%D0%B6%D0%B5%D0%BD%D0%B8%D0%B5_%28%D1%84%D0%B8%D0%BB%D1%8C%D0%BC%2C_1974%29&amp;oldid=154703159</t>
        </is>
      </c>
      <c r="M6693" s="2">
        <f>HYPERLINK("https://ru.wikipedia.org/w/index.php?search=%D0%9F%D1%80%D0%BE%D0%B4%D0%BE%D0%BB%D0%B6%D0%B5%D0%BD%D0%B8%D0%B5%201974%20%D1%84%D0%B8%D0%BB%D1%8C%D0%BC","искать")</f>
        <v/>
      </c>
      <c r="N6693" s="3" t="n"/>
      <c r="O6693" s="2" t="n"/>
      <c r="P6693" s="2" t="n"/>
    </row>
    <row r="6694">
      <c r="A6694" s="2" t="n">
        <v>6693</v>
      </c>
      <c r="B6694" s="2" t="inlineStr"/>
      <c r="C6694" s="2" t="n">
        <v>13758</v>
      </c>
      <c r="D6694" s="3" t="inlineStr">
        <is>
          <t>Мама для мамонтенка</t>
        </is>
      </c>
      <c r="E6694" s="2" t="n">
        <v>1981</v>
      </c>
      <c r="F6694" s="2" t="inlineStr">
        <is>
          <t>мультфильм</t>
        </is>
      </c>
      <c r="G6694" s="2" t="inlineStr">
        <is>
          <t>ЭКРАН</t>
        </is>
      </c>
      <c r="H6694" s="2" t="n">
        <v>1030</v>
      </c>
      <c r="I6694" s="2" t="inlineStr"/>
      <c r="J6694" s="2" t="inlineStr"/>
      <c r="K6694" s="3" t="inlineStr">
        <is>
          <t>Мультфильм о судьбе мамонтенка, который случайно избежал вымирания мамонтов (замерз в вечной мерзлоте, а потом оттаял) и теперь ищет маму. Мамонтенок знакомится с белым медвежонком и моржом, которые отправляют его на льдине в плаванье. Старый мудрый дедушка Морж рассказывает мамонтенку, что далеко на юге есть огромный континент, где живут звери, похожие на него, только без шерсти. Может быть, там его мама? Мамонтенок отправляется в далекое плавание через огромный океан, чтобы найти ее. Он достигает Африки, где встречает обезьяну и бегемотиху, и находит маму — слониху. Теперь он не одинок, и у него есть настоящая дружная семья! Ведь так не бывает на свете, чтоб были потеряны дети!Песенка, которую Мамонтенок поет на пути через океан, в настоящее время является неофициальным гимном учреждений для детей-сирот и детей, оставшихся без попечения родителей. В ней каждый ребёнок выражает надежду, что обязательно будет кому-то нужен и в новой семье обретет долгожданное счастье.Музыка из мультфильма:Песенка мамонтенка(920 Кб)</t>
        </is>
      </c>
      <c r="L6694" s="2" t="inlineStr">
        <is>
          <t>2026-10_мультфильмы_список_владельца.xlsx; https://animator.ru/db/?p=show_film&amp;fid=5151</t>
        </is>
      </c>
      <c r="M6694" s="2">
        <f>HYPERLINK("https://ru.wikipedia.org/w/index.php?search=%D0%9C%D0%B0%D0%BC%D0%B0%20%D0%B4%D0%BB%D1%8F%20%D0%BC%D0%B0%D0%BC%D0%BE%D0%BD%D1%82%D0%B5%D0%BD%D0%BA%D0%B0%201981%20%D1%84%D0%B8%D0%BB%D1%8C%D0%BC","искать")</f>
        <v/>
      </c>
      <c r="N6694" s="3" t="n"/>
      <c r="O6694" s="2" t="n"/>
      <c r="P6694" s="2" t="n"/>
    </row>
    <row r="6695">
      <c r="A6695" s="2" t="n">
        <v>6694</v>
      </c>
      <c r="B6695" s="2" t="inlineStr"/>
      <c r="C6695" s="2" t="n">
        <v>8041</v>
      </c>
      <c r="D6695" s="3" t="inlineStr">
        <is>
          <t>Олег и Айна</t>
        </is>
      </c>
      <c r="E6695" s="2" t="n">
        <v>1973</v>
      </c>
      <c r="F6695" s="2" t="inlineStr">
        <is>
          <t>телефильм</t>
        </is>
      </c>
      <c r="G6695" s="2" t="n"/>
      <c r="H6695" s="2" t="n">
        <v>1031</v>
      </c>
      <c r="I6695" s="2" t="inlineStr"/>
      <c r="J6695" s="2" t="inlineStr"/>
      <c r="K6695" s="3" t="inlineStr">
        <is>
          <t>Действие фильма проходит на одном из крупных рижских предприятий. Фрезеровщик Олег Щербаков, после защиты диплома технического ВУЗа, переходит на инженерную должность в конструкторское бюро. Там он знакомится со своей коллегой Айной, автором проекта реорганизации производства.
Молодые люди испытывают чувство взаимной симпатии, помогают друг другу и встречаются свободными вечерами. Будучи хорошим практиком, Олег делает ряд удачных предложений, но со временем начинает сомневаться в правильности выбранного пути.
Вскоре приходит известие о переоснащении и реконструкции завода, которое должно пройти без сокращения производства. Предприятие в сложившихся условиях должно будет работать не снижая производственной нагрузки, для чего намечено организовать инженерные группы в каждом цехе.
Главная ответственность ложится на вновь организуемый экспериментальный участок, создаваемый по отложенному было проекту Айны. Олег, собравшийся подать заявление об уходе, остаётся и включается в работу над осуществлением поставленной задачи.</t>
        </is>
      </c>
      <c r="L6695" s="2" t="inlineStr">
        <is>
          <t>https://ru.wikipedia.org/w/index.php?title=%D0%9E%D0%BB%D0%B5%D0%B3_%D0%B8_%D0%90%D0%B9%D0%BD%D0%B0&amp;oldid=149104887</t>
        </is>
      </c>
      <c r="M6695" s="2">
        <f>HYPERLINK("https://ru.wikipedia.org/w/index.php?search=%D0%9E%D0%BB%D0%B5%D0%B3%20%D0%B8%20%D0%90%D0%B9%D0%BD%D0%B0%201973%20%D1%84%D0%B8%D0%BB%D1%8C%D0%BC","искать")</f>
        <v/>
      </c>
      <c r="N6695" s="3" t="n"/>
      <c r="O6695" s="2" t="n"/>
      <c r="P6695" s="2" t="n"/>
    </row>
    <row r="6696">
      <c r="A6696" s="2" t="n">
        <v>6695</v>
      </c>
      <c r="B6696" s="2" t="inlineStr"/>
      <c r="C6696" s="2" t="n">
        <v>7227</v>
      </c>
      <c r="D6696" s="3" t="inlineStr">
        <is>
          <t>Ах, водевиль, водевиль...</t>
        </is>
      </c>
      <c r="E6696" s="2" t="n">
        <v>1979</v>
      </c>
      <c r="F6696" s="2" t="inlineStr">
        <is>
          <t>телефильм</t>
        </is>
      </c>
      <c r="G6696" s="2" t="inlineStr">
        <is>
          <t>Киностудия «Мосфильм»; Творческое объединение телевизионных фильмов</t>
        </is>
      </c>
      <c r="H6696" s="2" t="n">
        <v>1038</v>
      </c>
      <c r="I6696" s="2" t="inlineStr"/>
      <c r="J6696" s="2" t="inlineStr"/>
      <c r="K6696" s="3" t="inlineStr">
        <is>
          <t>По мотивам водевиля Петра Григорьева «Дочь русского актёра» (1844).
Актёру Михаилу Лисичкину в театре дают отставку, чем наносят глубокое оскорбление. Он решает во что бы то ни стало отвадить свою дочь Верочку от сцены и удачно выдать её замуж за дважды вдовца и отставного гусарского прапорщика Акакия Ушицу. В планы Верочки не входит перспектива стать отставной прапорщицей, потому что она мечтает о карьере театральной актрисы и продолжении творческой династии Лисичкиных. Верочка подговаривает служанку Катю, как одурачить отставного военного.
Сначала главная героиня переодевается цыганкой, а потом — мальчишкой-посыльным Филимоном. Меняя образы, она убеждает прапорщика отказаться от планов взять её в жены. И вот теперь Катя ему нравится гораздо больше.
Проходит много лет. Бывшая знаменитая актриса Вера Лисичкина, оскорблённая увольнением, пытается уберечь свою дочь Екатерину от театральной карьеры, как когда-то её отец. Тем не менее, девушка успешно поступает в Александринский театр и сообщает об этом матери. Круг замкнулся.</t>
        </is>
      </c>
      <c r="L6696" s="2" t="inlineStr">
        <is>
          <t>https://ru.wikipedia.org/w/index.php?title=%D0%90%D1%85%2C_%D0%B2%D0%BE%D0%B4%D0%B5%D0%B2%D0%B8%D0%BB%D1%8C%2C_%D0%B2%D0%BE%D0%B4%D0%B5%D0%B2%D0%B8%D0%BB%D1%8C%E2%80%A6&amp;oldid=151041420</t>
        </is>
      </c>
      <c r="M6696" s="2">
        <f>HYPERLINK("https://ru.wikipedia.org/w/index.php?search=%D0%90%D1%85%2C%20%D0%B2%D0%BE%D0%B4%D0%B5%D0%B2%D0%B8%D0%BB%D1%8C%2C%20%D0%B2%D0%BE%D0%B4%D0%B5%D0%B2%D0%B8%D0%BB%D1%8C...%201979%20%D1%84%D0%B8%D0%BB%D1%8C%D0%BC","искать")</f>
        <v/>
      </c>
      <c r="N6696" s="3" t="n"/>
      <c r="O6696" s="2" t="n"/>
      <c r="P6696" s="2" t="n"/>
    </row>
    <row r="6697">
      <c r="A6697" s="2" t="n">
        <v>6696</v>
      </c>
      <c r="B6697" s="2" t="inlineStr"/>
      <c r="C6697" s="2" t="n">
        <v>9610</v>
      </c>
      <c r="D6697" s="3" t="inlineStr">
        <is>
          <t>Раз, два, горе - не беда!</t>
        </is>
      </c>
      <c r="E6697" s="2" t="n">
        <v>1988</v>
      </c>
      <c r="F6697" s="2" t="inlineStr">
        <is>
          <t>кинофильм</t>
        </is>
      </c>
      <c r="G6697" s="2" t="n"/>
      <c r="H6697" s="2" t="n">
        <v>1038</v>
      </c>
      <c r="I6697" s="2" t="inlineStr"/>
      <c r="J6697" s="2" t="inlineStr"/>
      <c r="K6697" s="3" t="inlineStr">
        <is>
          <t>В тридевятом царстве правит царь Иван. И живет в этом царстве солдат — тоже Иван, который спас однажды народ от страшного Змея Горыныча. Царь-батюшка награждает победителя и хочет женить его на своей дочке, принцессе Марии-Луизе. Но Иван любит другую — Марусю из родной деревни. Царь в гневе лишает героя всех наград и гонит прочь. Во дворец свататься к Марии-Луизе прибывает король Жан-Жан, с ним восточные гости — Сулейман и Сулейманчик. Но между царем и королем происходит ссора из-за приданого невесты, и заморский гость объявляет царю войну. Умелец техник Данилов сооружает Карбарасса — невиданное железное чудище, которое оказывается охочим до людской кровушки. Карбарасс принимается крушить все и вся. Приходится бывшим недругам объединяться. Главную тяжесть в сражении с Карбарассом берет на себя солдат Иван. Он побеждает чудище, но при этом сам получает смертельные раны. Лекари разных царств пытаются спасти героя. Вылечившийся Иван спешит к Марусе в родную деревню — свадьбу
играть. А Мария-Луиза сбегает с техником Даниловым.</t>
        </is>
      </c>
      <c r="L6697" s="2" t="inlineStr">
        <is>
          <t>https://gosfilmofond.ru/films/240314/</t>
        </is>
      </c>
      <c r="M6697" s="2">
        <f>HYPERLINK("https://ru.wikipedia.org/w/index.php?search=%D0%A0%D0%B0%D0%B7%2C%20%D0%B4%D0%B2%D0%B0%2C%20%D0%B3%D0%BE%D1%80%D0%B5%20-%20%D0%BD%D0%B5%20%D0%B1%D0%B5%D0%B4%D0%B0%21%201988%20%D1%84%D0%B8%D0%BB%D1%8C%D0%BC","искать")</f>
        <v/>
      </c>
      <c r="N6697" s="3" t="n"/>
      <c r="O6697" s="2" t="n"/>
      <c r="P6697" s="2" t="n"/>
    </row>
    <row r="6698">
      <c r="A6698" s="2" t="n">
        <v>6697</v>
      </c>
      <c r="B6698" s="2" t="inlineStr"/>
      <c r="C6698" s="2" t="n">
        <v>9522</v>
      </c>
      <c r="D6698" s="3" t="inlineStr">
        <is>
          <t>Одна радость</t>
        </is>
      </c>
      <c r="E6698" s="2" t="n">
        <v>1933</v>
      </c>
      <c r="F6698" s="2" t="inlineStr">
        <is>
          <t>кинофильм</t>
        </is>
      </c>
      <c r="G6698" s="2" t="n"/>
      <c r="H6698" s="2" t="n">
        <v>1039</v>
      </c>
      <c r="I6698" s="2" t="inlineStr"/>
      <c r="J6698" s="2" t="inlineStr"/>
      <c r="K6698" s="3" t="inlineStr">
        <is>
          <t>Герои фильма пытаются сочетать семейное счастье с общественной деятельностью
"Но любопытны и мелкие вещи Левина: рассказ «Одна радость», например, напечатанный в ноябрьской книжке «Красной нови».
Завязка — самая наивная. Большевик-энтузиаст, Сморода, работает по уборке льна. Далеко, за шесть тысяч верст, на Онекстрое работает редактором местной газеты его жена Наташа, тоже большевичка, и тоже энтузиастка. Наташа любит Смороду, Сморода любит Наташу. Но счастье их нарушает инженер Эун, к которому Наташа уходит. Сморода взбешен, потрясен, но... он читает об успехах Онекского строительства и забывает личные обиды.
«Радость!» — восклицает он. Автор добавляет от себя: «Товарищи, вас ждут десятки, сотни, тысячи радостей!»
Эту незамысловатую историю Левин рассказывает очень живо и искусно. Более чем вероятно, что он скоро станет одним из популярнейших в России беллетристов: у него есть для этого данные; и, по-видимому, единственным побуждением к творчеству является для него желание заинтересовать читателя. Цели своей он достигает."</t>
        </is>
      </c>
      <c r="L6698" s="2" t="inlineStr">
        <is>
          <t>https://ru.wikipedia.org/w/index.php?title=%D0%9E%D0%B4%D0%BD%D0%B0_%D1%80%D0%B0%D0%B4%D0%BE%D1%81%D1%82%D1%8C&amp;oldid=154140222</t>
        </is>
      </c>
      <c r="M6698" s="2">
        <f>HYPERLINK("https://ru.wikipedia.org/w/index.php?search=%D0%9E%D0%B4%D0%BD%D0%B0%20%D1%80%D0%B0%D0%B4%D0%BE%D1%81%D1%82%D1%8C%201933%20%D1%84%D0%B8%D0%BB%D1%8C%D0%BC","искать")</f>
        <v/>
      </c>
      <c r="N6698" s="3" t="n"/>
      <c r="O6698" s="2" t="n"/>
      <c r="P6698" s="2" t="n"/>
    </row>
    <row r="6699">
      <c r="A6699" s="2" t="n">
        <v>6698</v>
      </c>
      <c r="B6699" s="2" t="inlineStr"/>
      <c r="C6699" s="2" t="n">
        <v>9219</v>
      </c>
      <c r="D6699" s="3" t="inlineStr">
        <is>
          <t>Бархан</t>
        </is>
      </c>
      <c r="E6699" s="2" t="n">
        <v>1989</v>
      </c>
      <c r="F6699" s="2" t="inlineStr">
        <is>
          <t>кинофильм</t>
        </is>
      </c>
      <c r="G6699" s="2" t="n"/>
      <c r="H6699" s="2" t="n">
        <v>1040</v>
      </c>
      <c r="I6699" s="2" t="inlineStr"/>
      <c r="J6699" s="2" t="inlineStr"/>
      <c r="K6699" s="3" t="inlineStr">
        <is>
          <t>Молодая супружеская пара — Ирина и Гоша — отправились на новенькой «Волге» из Москвы в Среднюю Азию к новому месту службы Гоши. Заблудившись в пустыне, они оказываются в сложной ситуации. Казалось бы, помощь близка, когда на горизонте появляется грузовик, однако вместо спасителей в его кабине сбежавшие из колонии два рецидивиста…
с одним из которых жена ушла за бархан, а другого муж в это время убил. После этого идут нелепые выяснения отношений, загримированные под психологическую драму. Муж, вроде бы плохой и жадный (хотел машину продать подороже), а жена, тонкая и хорошая, резко поняв, что благоверного не любит, захотела отдаться беглому ЗК в поту среди барханов.
В том, насколько страшно проигрывает человек, начавший жить согласно неписаным законам популярного в определённой части общества обмена товарами услугами самого разного рода, убеждает и судьба главной героини повести ташкентского прозаика Владимира Соколова «Бархан», попытавшейся ценой своей спасти новую машину, на которую покушаются бегущие из тюрьмы преступники.</t>
        </is>
      </c>
      <c r="L6699" s="2" t="inlineStr">
        <is>
          <t>https://ru.wikipedia.org/w/index.php?title=%D0%91%D0%B0%D1%80%D1%85%D0%B0%D0%BD_%28%D1%84%D0%B8%D0%BB%D1%8C%D0%BC%29&amp;oldid=154186853</t>
        </is>
      </c>
      <c r="M6699" s="2">
        <f>HYPERLINK("https://ru.wikipedia.org/w/index.php?search=%D0%91%D0%B0%D1%80%D1%85%D0%B0%D0%BD%201989%20%D1%84%D0%B8%D0%BB%D1%8C%D0%BC","искать")</f>
        <v/>
      </c>
      <c r="N6699" s="3" t="n"/>
      <c r="O6699" s="2" t="n"/>
      <c r="P6699" s="2" t="n"/>
    </row>
    <row r="6700">
      <c r="A6700" s="2" t="n">
        <v>6699</v>
      </c>
      <c r="B6700" s="2" t="inlineStr"/>
      <c r="C6700" s="2" t="n">
        <v>9634</v>
      </c>
      <c r="D6700" s="3" t="inlineStr">
        <is>
          <t>Сделано в СССР</t>
        </is>
      </c>
      <c r="E6700" s="2" t="n">
        <v>1990</v>
      </c>
      <c r="F6700" s="2" t="inlineStr">
        <is>
          <t>кинофильм</t>
        </is>
      </c>
      <c r="G6700" s="2" t="n"/>
      <c r="H6700" s="2" t="n">
        <v>1041</v>
      </c>
      <c r="I6700" s="2" t="inlineStr"/>
      <c r="J6700" s="2" t="inlineStr"/>
      <c r="K6700" s="3" t="inlineStr">
        <is>
          <t>В московской школе во время вечерней дискотеки исчезает видеомагнитофон. На следующее утро учителя истории Виктора Андреевича (А.Джигарханян), который когда-то работал «в органах», просят о помощи в поисках видеомагнитофона и наделяют расширенными властными функциями. В прошлом Виктор Андреевич действительно работал «в органах», но не в милиции, а в органах НКВД, выискивая врагов народа. В первую очередь он вызывает себе в помощь старого сослуживца Ивана Моисеевича (Л.Куравлёв). Далее свои услуги ему предлагает школьная экстремистская организация во главе с некоей Сысоевой (А.Клюка). Начинаются аресты учеников, подозреваемых в краже. Все они под пытками дают признательные показания. Попутно формируется культ личности преподавателя. Остальные учителя пытаются возмущаться, но уже поздно — все несогласные с новой политикой отправляются под арест. Репрессии касаются и нового руководства школы. Родителям приходится брать школу штурмом, чтобы освободить своих детей, но идеология культа личности преподавателя проникла в юные сердца.</t>
        </is>
      </c>
      <c r="L6700" s="2" t="inlineStr">
        <is>
          <t>https://ru.wikipedia.org/w/index.php?title=%D0%A1%D0%B4%D0%B5%D0%BB%D0%B0%D0%BD%D0%BE_%D0%B2_%D0%A1%D0%A1%D0%A1%D0%A0_%28%D1%84%D0%B8%D0%BB%D1%8C%D0%BC%29&amp;oldid=154499329</t>
        </is>
      </c>
      <c r="M6700" s="2">
        <f>HYPERLINK("https://ru.wikipedia.org/w/index.php?search=%D0%A1%D0%B4%D0%B5%D0%BB%D0%B0%D0%BD%D0%BE%20%D0%B2%20%D0%A1%D0%A1%D0%A1%D0%A0%201990%20%D1%84%D0%B8%D0%BB%D1%8C%D0%BC","искать")</f>
        <v/>
      </c>
      <c r="N6700" s="3" t="n"/>
      <c r="O6700" s="2" t="n"/>
      <c r="P6700" s="2" t="n"/>
    </row>
    <row r="6701">
      <c r="A6701" s="2" t="n">
        <v>6700</v>
      </c>
      <c r="B6701" s="2" t="inlineStr"/>
      <c r="C6701" s="2" t="n">
        <v>8391</v>
      </c>
      <c r="D6701" s="3" t="inlineStr">
        <is>
          <t>Спроси себя</t>
        </is>
      </c>
      <c r="E6701" s="2" t="n">
        <v>1976</v>
      </c>
      <c r="F6701" s="2" t="inlineStr">
        <is>
          <t>телефильм</t>
        </is>
      </c>
      <c r="G6701" s="2" t="n"/>
      <c r="H6701" s="2" t="n">
        <v>1043</v>
      </c>
      <c r="I6701" s="2" t="inlineStr"/>
      <c r="J6701" s="2" t="inlineStr"/>
      <c r="K6701" s="3" t="inlineStr">
        <is>
          <t>На сплавучастке происходит авария, сгорает общежитие, а вся древесина, приготовленная к отправке, уходит в реку. Начальник сплавучастка Щербак оказался на скамье подсудимых и берёт всю вину и ответственность за случившееся на себя, но отказывается от разъяснений и молчит. Судья Градова видит за его молчанием невыясненные обстоятельства. Но одновременно она узнаёт в подсудимом лётчика, который во время войны отказался вывезти её, тяжело раненную, в тыл… В ходе судебного разбирательства выясняются не только события недавнего, но и далёкого прошлого, а также характеры героев.
Судопроизводство всегда способно долго и прочно удерживать наш интерес к происходящим событиям. Сценарист и режиссер строят действие на заседаниях суда, прерываемых ретроспективными наплывами воспоминаний героев. Правда, кое о чем мы, опытные зрители, догадываемся раньше, чем члены суда. Но большой беды в этом нет: важен не только сюжет и его перипетии, не только «чем же это кончится?», но и скрытый за сюжетом диспут о нравственности. А он идёт своим чередом.</t>
        </is>
      </c>
      <c r="L6701" s="2" t="inlineStr">
        <is>
          <t>https://ru.wikipedia.org/w/index.php?title=%D0%A1%D0%BF%D1%80%D0%BE%D1%81%D0%B8_%D1%81%D0%B5%D0%B1%D1%8F&amp;oldid=154707837</t>
        </is>
      </c>
      <c r="M6701" s="2">
        <f>HYPERLINK("https://ru.wikipedia.org/w/index.php?search=%D0%A1%D0%BF%D1%80%D0%BE%D1%81%D0%B8%20%D1%81%D0%B5%D0%B1%D1%8F%201976%20%D1%84%D0%B8%D0%BB%D1%8C%D0%BC","искать")</f>
        <v/>
      </c>
      <c r="N6701" s="3" t="n"/>
      <c r="O6701" s="2" t="n"/>
      <c r="P6701" s="2" t="n"/>
    </row>
    <row r="6702">
      <c r="A6702" s="2" t="n">
        <v>6701</v>
      </c>
      <c r="B6702" s="2" t="inlineStr"/>
      <c r="C6702" s="2" t="n">
        <v>10086</v>
      </c>
      <c r="D6702" s="3" t="inlineStr">
        <is>
          <t>Коллеги</t>
        </is>
      </c>
      <c r="E6702" s="2" t="n">
        <v>1961</v>
      </c>
      <c r="F6702" s="2" t="inlineStr">
        <is>
          <t>фильм-спектакль</t>
        </is>
      </c>
      <c r="G6702" s="2" t="inlineStr">
        <is>
          <t>Ленинградское телевидение</t>
        </is>
      </c>
      <c r="H6702" s="2" t="n">
        <v>1044</v>
      </c>
      <c r="I6702" s="2" t="inlineStr"/>
      <c r="J6702" s="2" t="inlineStr"/>
      <c r="K6702" s="3" t="inlineStr">
        <is>
          <t>Трое друзей-выпускников 1-го Ленинградского медицинского института — Саша, Алёша и Владька получают распределение на работу.
Алексей, начав трудиться в карантинной службе международного порта, обнаруживает крупную аферу с заражёнными продуктами питания, но, отказавшись от взятки и не испугавшись угроз, сообщает факты представителям государства.
Александр начинает работать врачом в сельской больнице и очень скоро заслуживает уважение у местных жителей. Молодого доктора полюбила медсестра Даша, которой домогается вор и хулиган Бугров. Бугров, которого Зеленин застаёт при попытке кражи со взломом, наносит Зеленину проникающее ножевое ранение в живот. К счастью, Александра спасают друзья, оказавшиеся рядом, причём оперирует именно Владька, который, таким образом, последним из друзей проходит проверку на прочность.
В сюжетную линию фильма вплетена музыкальная тема песни «Палуба» (музыка Юрия Левитина, слова Геннадия Шпаликова), в оркестровой обработке. Сама песня звучит в исполнении О. Анофриева в одной из заключительных сцен фильма.</t>
        </is>
      </c>
      <c r="L6702" s="2" t="inlineStr">
        <is>
          <t>https://ru.wikipedia.org/w/index.php?title=%D0%9A%D0%BE%D0%BB%D0%BB%D0%B5%D0%B3%D0%B8_%28%D1%84%D0%B8%D0%BB%D1%8C%D0%BC%29&amp;oldid=148048171</t>
        </is>
      </c>
      <c r="M6702" s="2">
        <f>HYPERLINK("https://ru.wikipedia.org/w/index.php?search=%D0%9A%D0%BE%D0%BB%D0%BB%D0%B5%D0%B3%D0%B8%201961%20%D1%84%D0%B8%D0%BB%D1%8C%D0%BC","искать")</f>
        <v/>
      </c>
      <c r="N6702" s="3" t="n"/>
      <c r="O6702" s="2" t="n"/>
      <c r="P6702" s="2" t="n"/>
    </row>
    <row r="6703">
      <c r="A6703" s="2" t="n">
        <v>6702</v>
      </c>
      <c r="B6703" s="2" t="inlineStr"/>
      <c r="C6703" s="2" t="n">
        <v>11492</v>
      </c>
      <c r="D6703" s="3" t="inlineStr">
        <is>
          <t>Старые заветы</t>
        </is>
      </c>
      <c r="E6703" s="2" t="n">
        <v>1968</v>
      </c>
      <c r="F6703" s="2" t="inlineStr">
        <is>
          <t>мультфильм</t>
        </is>
      </c>
      <c r="G6703" s="2" t="inlineStr">
        <is>
          <t>Союзмультфильм</t>
        </is>
      </c>
      <c r="H6703" s="2" t="n">
        <v>1045</v>
      </c>
      <c r="I6703" s="2" t="inlineStr"/>
      <c r="J6703" s="2" t="inlineStr"/>
      <c r="K6703" s="3" t="inlineStr">
        <is>
          <t>Фильм состоиит из пяти микросюжетов, в иронической и остроумной форме иллюстрирущих мудрость давным-давно известных пословиц. ХОРОШО СМЕЕТСЯ ТОТ, КТО СМЕЕТСЯ ПОСЛЕДНИМ. Большая обезьяна обижает маленькую: отбирает еду, выгоняет с хороших деревьев. Но маленькая обезьянка становится человеком, а большую показывают в зоопарке. КТО ВОЗВЫШАЕТ СЕБЯ, УНИЖЕН БУДЕТ. Фараон захотел повесить себе на грудь вместо драгоценностей настоящую звезду. Он приказывает строить пирамиду, чтобы достать звезду с неба. Но пирамида рушится и погребает под лбломками трон с фараоном. ДАРЫ ОСЛЕПЛЯЮТ ГЛАЗА МУДРЫХ. За мешок с золотом мудрец соглашается исправить веками бытовавший закон , что дважды два равно четырем. МУДРЫЕ НАСЛЕДУЮТ СЛАВУ, А ГЛУПЫЕ - БЕССЛАВИЕ. Ньютону, который открыл закон земного притяжения, наблюдая падение яблока, позавидовал сосед. Сев под яблоню, он трясет ее и набивает огромную шишку на голове. СПАСЕНИЕ УТОПАЮЩИХ - ДЕЛО РУК САМИХ УТОПАЮЩИХ. Два Робинзона, поссорившись из-за пойманной рыбки, в пылу борьбы потопили свои маленькие острова</t>
        </is>
      </c>
      <c r="L6703" s="2" t="inlineStr">
        <is>
          <t>https://gosfilmofond.ru/films/254718/</t>
        </is>
      </c>
      <c r="M6703" s="2">
        <f>HYPERLINK("https://ru.wikipedia.org/w/index.php?search=%D0%A1%D1%82%D0%B0%D1%80%D1%8B%D0%B5%20%D0%B7%D0%B0%D0%B2%D0%B5%D1%82%D1%8B%201968%20%D1%84%D0%B8%D0%BB%D1%8C%D0%BC","искать")</f>
        <v/>
      </c>
      <c r="N6703" s="3" t="n"/>
      <c r="O6703" s="2" t="n"/>
      <c r="P6703" s="2" t="n"/>
    </row>
    <row r="6704">
      <c r="A6704" s="2" t="n">
        <v>6703</v>
      </c>
      <c r="B6704" s="2" t="inlineStr"/>
      <c r="C6704" s="2" t="n">
        <v>9380</v>
      </c>
      <c r="D6704" s="3" t="inlineStr">
        <is>
          <t>Золотая голова мстителя</t>
        </is>
      </c>
      <c r="E6704" s="2" t="n">
        <v>1988</v>
      </c>
      <c r="F6704" s="2" t="inlineStr">
        <is>
          <t>кинофильм</t>
        </is>
      </c>
      <c r="G6704" s="2" t="n"/>
      <c r="H6704" s="2" t="n">
        <v>1047</v>
      </c>
      <c r="I6704" s="2" t="inlineStr"/>
      <c r="J6704" s="2" t="inlineStr"/>
      <c r="K6704" s="3" t="inlineStr">
        <is>
          <t>По мотивам одноименного романа X. Тухтабаева. Туркестан начала века. Несколько офицеров царской армии конвоируют своего сослуживца поручика Молдаханова в Ташкент, чтобы предать его суду за служебные нарушения. На ночлег они останавливаются на постоялом дворе. Их внимание привлекает народный сказитель — бахши, который поет о благородном разбойнике и народном мстителе Намазе... Власти назначают за голову Намаза огромную сумму золотом. Находится человек, польстившийся на награду, бывший сподвижник героя Кенж. Отряд Намаза окружен солдатами, сам главарь смертельно ранен. Кенж пробирается в хижину, где умирает благородный разбойник, но друг Намаза Шернияз убивает предателя. Похоронив Намаза, Шернияз начинает мстить богачам, чтобы таким образом поддержать легенду о бессмертии Намаза... Наутро путники собираются покинуть постоялый двор. Неожиданно один из офицеров стреляется. Это ротмистр, который готовился выйти в отставку и провести остаток дней в тиши и покое. Его сослуживцы так и не могут понять, что же заставило ротмистра убить себя.</t>
        </is>
      </c>
      <c r="L6704" s="2" t="inlineStr">
        <is>
          <t>https://gosfilmofond.ru/films/240075/</t>
        </is>
      </c>
      <c r="M6704" s="2">
        <f>HYPERLINK("https://ru.wikipedia.org/w/index.php?search=%D0%97%D0%BE%D0%BB%D0%BE%D1%82%D0%B0%D1%8F%20%D0%B3%D0%BE%D0%BB%D0%BE%D0%B2%D0%B0%20%D0%BC%D1%81%D1%82%D0%B8%D1%82%D0%B5%D0%BB%D1%8F%201988%20%D1%84%D0%B8%D0%BB%D1%8C%D0%BC","искать")</f>
        <v/>
      </c>
      <c r="N6704" s="3" t="n"/>
      <c r="O6704" s="2" t="n"/>
      <c r="P6704" s="2" t="n"/>
    </row>
    <row r="6705">
      <c r="A6705" s="2" t="n">
        <v>6704</v>
      </c>
      <c r="B6705" s="2" t="inlineStr"/>
      <c r="C6705" s="2" t="n">
        <v>10736</v>
      </c>
      <c r="D6705" s="3" t="inlineStr">
        <is>
          <t>Дальше - тишина</t>
        </is>
      </c>
      <c r="E6705" s="2" t="n">
        <v>1978</v>
      </c>
      <c r="F6705" s="2" t="inlineStr">
        <is>
          <t>фильм-спектакль</t>
        </is>
      </c>
      <c r="G6705" s="2" t="inlineStr">
        <is>
          <t>Главная редакция литературно-драматических программ ЦТ</t>
        </is>
      </c>
      <c r="H6705" s="2" t="n">
        <v>1047</v>
      </c>
      <c r="I6705" s="2" t="inlineStr"/>
      <c r="J6705" s="2" t="inlineStr"/>
      <c r="K6705" s="3" t="inlineStr">
        <is>
          <t>Действие спектакля происходит в США, в семье Куперов. Придя на обед к родителям, дети узнают неприятную новость — родители вынуждены расстаться с домом из-за задолженности банку. Оплачивать жильё для родителей в складчину дети не хотят, и начинаются споры — куда девать мать и отца. Старики становятся в тягость своим детям. Паре, прожившей 50 лет вместе, приходится расстаться навсегда.
Отца забирает дочь из Калифорнии, у которой не находится места для матери «ни под лестницей, ни в чулане». Голос актрисы срывается, губы трясутся, Люси Купер беспомощно смотрит на сына, который сообщил ей страшное известие. Её же саму отправляют в приют для престарелых женщин, и единственное, что её заботит — чтобы отец не узнал об этом. Она берёт с сына обещание не рассказывать отцу, где она будет находиться — «это будет первая в моей жизни тайна от твоего отца».
Финальная сцена спектакля — прощание супругов на вокзале перед отходом поезда в Калифорнию. Последнее объятие, наставления Люси, слёзы Барклея Купера. И голос за кадром: «А дальше — тишина…»</t>
        </is>
      </c>
      <c r="L6705" s="2" t="inlineStr">
        <is>
          <t>https://ru.wikipedia.org/w/index.php?title=%D0%94%D0%B0%D0%BB%D1%8C%D1%88%D0%B5_%E2%80%94_%D1%82%D0%B8%D1%88%D0%B8%D0%BD%D0%B0%E2%80%A6&amp;oldid=150521371</t>
        </is>
      </c>
      <c r="M6705" s="2">
        <f>HYPERLINK("https://ru.wikipedia.org/w/index.php?search=%D0%94%D0%B0%D0%BB%D1%8C%D1%88%D0%B5%20-%20%D1%82%D0%B8%D1%88%D0%B8%D0%BD%D0%B0%201978%20%D1%84%D0%B8%D0%BB%D1%8C%D0%BC","искать")</f>
        <v/>
      </c>
      <c r="N6705" s="3" t="n"/>
      <c r="O6705" s="2" t="n"/>
      <c r="P6705" s="2" t="n"/>
    </row>
    <row r="6706">
      <c r="A6706" s="2" t="n">
        <v>6705</v>
      </c>
      <c r="B6706" s="2" t="inlineStr"/>
      <c r="C6706" s="2" t="n">
        <v>8473</v>
      </c>
      <c r="D6706" s="3" t="inlineStr">
        <is>
          <t>Три весёлые смены</t>
        </is>
      </c>
      <c r="E6706" s="2" t="n">
        <v>1977</v>
      </c>
      <c r="F6706" s="2" t="inlineStr">
        <is>
          <t>телефильм</t>
        </is>
      </c>
      <c r="G6706" s="2" t="inlineStr">
        <is>
          <t>«Беларусьфильм», Творческое объединение «Телефильм»</t>
        </is>
      </c>
      <c r="H6706" s="2" t="n">
        <v>1050</v>
      </c>
      <c r="I6706" s="2" t="inlineStr"/>
      <c r="J6706" s="2" t="inlineStr"/>
      <c r="K6706" s="3" t="inlineStr">
        <is>
          <t>«Селюжёнок».
История о любознательном мальчишке, который каждую секунду придумывает такое, что у руководства лагеря не остается другого выбора, как отправить его домой. Серия снята по рассказу Юрия Яковлева «Разбуженный соловьями» (1963).
«Ошибка Микоши».
История о пионерской игре «Секретный пакет». Участвуют две команды — «синие пилотки» и «голубые пилотки». К игре присоединяется мальчик Микоша, который живёт рядом с лагерем. Друг Микоши Павел работает на вертолёте Ка-26. Серия снята по мотивам рассказа Юрия Яковлева «Непослушный мальчик Икар» (1968). Использованная для съёмок старая башня, в которой «синие пилотки» заперли разведгруппу «голубых пилоток», является Мирским замком, в настоящее время восстановленным.
«Тайна Фенимора».
История о таинственном Фениморе, который по ночам приходит в палатку к мальчикам третьего отряда и рассказывает удивительные истории об индейцах и инопланетянах. Серия снята по одноимённому рассказу Юрия Яковлева «Тайна Фенимора». В ней звучит отрывок из инструментальной пьесы Юрия Саульского «Сталактиты».</t>
        </is>
      </c>
      <c r="L6706" s="2" t="inlineStr">
        <is>
          <t>https://ru.wikipedia.org/w/index.php?title=%D0%A2%D1%80%D0%B8_%D0%B2%D0%B5%D1%81%D1%91%D0%BB%D1%8B%D0%B5_%D1%81%D0%BC%D0%B5%D0%BD%D1%8B&amp;oldid=154807546</t>
        </is>
      </c>
      <c r="M6706" s="2">
        <f>HYPERLINK("https://ru.wikipedia.org/w/index.php?search=%D0%A2%D1%80%D0%B8%20%D0%B2%D0%B5%D1%81%D1%91%D0%BB%D1%8B%D0%B5%20%D1%81%D0%BC%D0%B5%D0%BD%D1%8B%201977%20%D1%84%D0%B8%D0%BB%D1%8C%D0%BC","искать")</f>
        <v/>
      </c>
      <c r="N6706" s="3" t="n"/>
      <c r="O6706" s="2" t="n"/>
      <c r="P6706" s="2" t="n"/>
    </row>
    <row r="6707">
      <c r="A6707" s="2" t="n">
        <v>6706</v>
      </c>
      <c r="B6707" s="2" t="inlineStr"/>
      <c r="C6707" s="2" t="n">
        <v>9283</v>
      </c>
      <c r="D6707" s="3" t="inlineStr">
        <is>
          <t>Восточная плутовка</t>
        </is>
      </c>
      <c r="E6707" s="2" t="n">
        <v>1989</v>
      </c>
      <c r="F6707" s="2" t="inlineStr">
        <is>
          <t>кинофильм</t>
        </is>
      </c>
      <c r="G6707" s="2" t="n"/>
      <c r="H6707" s="2" t="n">
        <v>1050</v>
      </c>
      <c r="I6707" s="2" t="inlineStr"/>
      <c r="J6707" s="2" t="inlineStr"/>
      <c r="K6707" s="3" t="inlineStr">
        <is>
          <t>По пьесе Хамзы Хаким-заде Ниязи «Проделки Майсары». Посвящается 100-летию со дня рождения поэта. Вечер. В гостях у судьи Казиева его помощник Аглям. Засидевшись допоздна, изрядно выпив и плотно поужинав, приятели, расположившись перед телевизором, погружаются в сон, во время которого происходит их перемещение во времени. И вот уже Казиев — это Казий, верный страж закона, а Аглямов — его преданный помощник. Оба они, а также сын Казия, Хидоятхон, положили глаз на красавицу Айхон — жену бедного чеканщика Чупона. На помощь они призывают хитроумную вдову Майсару. Но, поняв, что затевают пройдохи, мудрая женщина решает их проучить. Она подговаривает мужа Айхон на время уехать из города, а сама встречается с ухажерами и назначает им всем свидание с Айхон в одно и то же время, тогда же, по ее замыслу, должен появиться Чупон и наказать сластолюбцев. Так все и получается. Услышав о приезде мужа, гости поспешно прячутся в доме, а Майсара поджигает его. Перепуганные мужчины, пытаясь выбраться из горящего дома, просыпаются, проклиная свое видение.</t>
        </is>
      </c>
      <c r="L6707" s="2" t="inlineStr">
        <is>
          <t>https://gosfilmofond.ru/films/240231/</t>
        </is>
      </c>
      <c r="M6707" s="2">
        <f>HYPERLINK("https://ru.wikipedia.org/w/index.php?search=%D0%92%D0%BE%D1%81%D1%82%D0%BE%D1%87%D0%BD%D0%B0%D1%8F%20%D0%BF%D0%BB%D1%83%D1%82%D0%BE%D0%B2%D0%BA%D0%B0%201989%20%D1%84%D0%B8%D0%BB%D1%8C%D0%BC","искать")</f>
        <v/>
      </c>
      <c r="N6707" s="3" t="n"/>
      <c r="O6707" s="2" t="n"/>
      <c r="P6707" s="2" t="n"/>
    </row>
    <row r="6708">
      <c r="A6708" s="2" t="n">
        <v>6707</v>
      </c>
      <c r="B6708" s="2" t="inlineStr"/>
      <c r="C6708" s="2" t="n">
        <v>9666</v>
      </c>
      <c r="D6708" s="3" t="inlineStr">
        <is>
          <t>Спасённому - рай</t>
        </is>
      </c>
      <c r="E6708" s="2" t="n">
        <v>1988</v>
      </c>
      <c r="F6708" s="2" t="inlineStr">
        <is>
          <t>кинофильм</t>
        </is>
      </c>
      <c r="G6708" s="2" t="n"/>
      <c r="H6708" s="2" t="n">
        <v>1051</v>
      </c>
      <c r="I6708" s="2" t="inlineStr"/>
      <c r="J6708" s="2" t="inlineStr"/>
      <c r="K6708" s="3" t="inlineStr">
        <is>
          <t>Сорокалетний Павел Сергеевич — флегматичный и крайне нерешительный человек. Он давно разошелся с женой и потерял всякий интерес к жизни: забросил диссертацию, перестал вести в школе зоологический кружок, его уроки по биологии стали скучны. Но однажды его приглашают на встречу с военной летчицей — Марией Михайловной Ивантеевой, которая во время Великой Отечественной войны спасла ему, трехлетнему Паше Грушакину, жизнь. Павел Сергеевич выражает благодарность своей спасительнице. Но Мария
Михайловна замечает, что дорогой ее сердцу человек, которого она разыскивала долгие годы, равнодушен к жизни. Ивантеева решает помочь ему. В институте она договаривается о встрече, на которой должен решиться вопрос о завершении диссертации ее подопечного. Узнав, что Павел разведен, пытается устроить его личную жизнь. Но Павел Сергеевич раздражается от бессмысленной, как он считает, суеты. Мария Михайловна вынуждена уехать. Только тогда Павел понимает, что нужно что-то делать. И впервые за многие годы начинает день с твердым намерением изменить свою жизнь.</t>
        </is>
      </c>
      <c r="L6708" s="2" t="inlineStr">
        <is>
          <t>https://gosfilmofond.ru/films/239967/</t>
        </is>
      </c>
      <c r="M6708" s="2">
        <f>HYPERLINK("https://ru.wikipedia.org/w/index.php?search=%D0%A1%D0%BF%D0%B0%D1%81%D1%91%D0%BD%D0%BD%D0%BE%D0%BC%D1%83%20-%20%D1%80%D0%B0%D0%B9%201988%20%D1%84%D0%B8%D0%BB%D1%8C%D0%BC","искать")</f>
        <v/>
      </c>
      <c r="N6708" s="3" t="n"/>
      <c r="O6708" s="2" t="n"/>
      <c r="P6708" s="2" t="n"/>
    </row>
    <row r="6709">
      <c r="A6709" s="2" t="n">
        <v>6708</v>
      </c>
      <c r="B6709" s="2" t="inlineStr"/>
      <c r="C6709" s="2" t="n">
        <v>10284</v>
      </c>
      <c r="D6709" s="3" t="inlineStr">
        <is>
          <t>Анна Снегина</t>
        </is>
      </c>
      <c r="E6709" s="2" t="n">
        <v>1969</v>
      </c>
      <c r="F6709" s="2" t="inlineStr">
        <is>
          <t>фильм-спектакль</t>
        </is>
      </c>
      <c r="G6709" s="2" t="inlineStr">
        <is>
          <t>Центральное телевидение</t>
        </is>
      </c>
      <c r="H6709" s="2" t="n">
        <v>1051</v>
      </c>
      <c r="I6709" s="2" t="inlineStr"/>
      <c r="J6709" s="2" t="inlineStr"/>
      <c r="K6709" s="3" t="inlineStr">
        <is>
          <t>Телеопера по поэме С.Есенина.
Особенностью поэмы "Анна Снегина" является слияние эпического и лирического жанров в единое нераздельное целое. В поэме нет сквозного действия, нет последовательного рассказа о событиях. Они даны отдельными эпизодами, автора интересуют его собственные впечатления и переживания от столкновения с этими событиями. Лирический герой поэмы выступает и как рассказчик, и как герой произведения, и как участник событий предреволюционного и революционного времени. Поэма начинается и заканчивается лирическим аккордом -- воспоминания автора о ранней юности, о "девушке в белой накидке". Развитие сюжета начинается в первой части поэмы: герой возвращается в родные места после трехлетнего отсутствия. Свершилась февральская революция, но война продолжается, земли крестьяне не получили. Назревают новые грозные события. Но герой хочет остаться в стороне от них, отдохнуть в общении с природой, вспомнить юность. Но события сами врываются в его жизнь. Он только что пришел с войны, бросил винтовку и "решил лишь в стихах воевать".</t>
        </is>
      </c>
      <c r="L6709" s="2" t="inlineStr">
        <is>
          <t>https://www.kino-teatr.ru/teatr/movie/80536/annot/</t>
        </is>
      </c>
      <c r="M6709" s="2">
        <f>HYPERLINK("https://ru.wikipedia.org/w/index.php?search=%D0%90%D0%BD%D0%BD%D0%B0%20%D0%A1%D0%BD%D0%B5%D0%B3%D0%B8%D0%BD%D0%B0%201969%20%D1%84%D0%B8%D0%BB%D1%8C%D0%BC","искать")</f>
        <v/>
      </c>
      <c r="N6709" s="3" t="n"/>
      <c r="O6709" s="2" t="n"/>
      <c r="P6709" s="2" t="n"/>
    </row>
    <row r="6710">
      <c r="A6710" s="2" t="n">
        <v>6709</v>
      </c>
      <c r="B6710" s="2" t="inlineStr"/>
      <c r="C6710" s="2" t="n">
        <v>9562</v>
      </c>
      <c r="D6710" s="3" t="inlineStr">
        <is>
          <t>Поджигатели</t>
        </is>
      </c>
      <c r="E6710" s="2" t="n">
        <v>1988</v>
      </c>
      <c r="F6710" s="2" t="inlineStr">
        <is>
          <t>кинофильм</t>
        </is>
      </c>
      <c r="G6710" s="2" t="n"/>
      <c r="H6710" s="2" t="n">
        <v>1053</v>
      </c>
      <c r="I6710" s="2" t="inlineStr"/>
      <c r="J6710" s="2" t="inlineStr"/>
      <c r="K6710" s="3" t="inlineStr">
        <is>
          <t>СпецПТУ для несовершеннолетних преступниц. Одна из воспитанниц, пятнадцатилетняя Саша Швец, незаурядная, способная, наделенная сильным характером и склонная к лидерству, неповиновение сверстниц воспринимает как личное оскорбление. Даже многие педагоги находятся под влиянием своенравной девочки. Не получается у нее только «влиять» на начальника училища Свищева. Привыкший к карательным методам воздействия на учеников, педагог отмечает все правонарушения Швец и намерен отправить ее в ближайшее время в карцер, зная, что такое наказание не позволит девочке получить досрочное освобождение. Саша, выпив для храбрости, поджигает карцер и убегает из училища, отправившись в Туркмению, где в экспедиции работает ее бабушка — профессор геологии. Однако та, растерявшись, не знает, как лучше поступить — вернуть внучку в ПТУ или оставить у себя. Мысль о возвращении в ПТУ настолько ужасна для Саши, что девочка снова пускается в бегство, сев в попутный грузовик. В пустыне машина сбивается с пути и ломается. Саша бросает шофера, идет дальше одна и погибает.</t>
        </is>
      </c>
      <c r="L6710" s="2" t="inlineStr">
        <is>
          <t>https://gosfilmofond.ru/films/240229/</t>
        </is>
      </c>
      <c r="M6710" s="2">
        <f>HYPERLINK("https://ru.wikipedia.org/w/index.php?search=%D0%9F%D0%BE%D0%B4%D0%B6%D0%B8%D0%B3%D0%B0%D1%82%D0%B5%D0%BB%D0%B8%201988%20%D1%84%D0%B8%D0%BB%D1%8C%D0%BC","искать")</f>
        <v/>
      </c>
      <c r="N6710" s="3" t="n"/>
      <c r="O6710" s="2" t="n"/>
      <c r="P6710" s="2" t="n"/>
    </row>
    <row r="6711">
      <c r="A6711" s="2" t="n">
        <v>6710</v>
      </c>
      <c r="B6711" s="2" t="inlineStr"/>
      <c r="C6711" s="2" t="n">
        <v>10155</v>
      </c>
      <c r="D6711" s="3" t="inlineStr">
        <is>
          <t>Старые друзья</t>
        </is>
      </c>
      <c r="E6711" s="2" t="n">
        <v>1965</v>
      </c>
      <c r="F6711" s="2" t="inlineStr">
        <is>
          <t>фильм-спектакль</t>
        </is>
      </c>
      <c r="G6711" s="2" t="inlineStr">
        <is>
          <t>Ленинградское телевидение</t>
        </is>
      </c>
      <c r="H6711" s="2" t="n">
        <v>1053</v>
      </c>
      <c r="I6711" s="2" t="inlineStr"/>
      <c r="J6711" s="2" t="inlineStr"/>
      <c r="K6711" s="3" t="inlineStr">
        <is>
          <t>Пьеса "Старые друзья" (1945) стала дебютом Леонида Малюгина как драматурга. В ней прослеживаются судьбы молодых людей, окончивших одну из ленинградских школ в июне 1941 года. У них, по словам автора, "не было в жизни выпускного вечера - выпустили их не вечером, а утром - и прямо на войну". Война устроила им суровую проверку на зрелость, на постоянство и верность в любви, в своих жизненных идеалах и целях. Изменения в их характерах на протяжении войны предопределили сближение одних и неизбежное расхождение других.
Первая же самостоятельная пьеса Малюгина принесла ему редкую удачу: она была удостоена Сталинской премии по литературе и с большим успехом воплощена на сцене Московского драматического театра им. М.Н.Ермоловой (1946, реж. А.М.Лобанов). Спектакль стал событием послевоенной театральной жизни, после чего пьеса обошла сцены многих театров страны. Необычность ситуации заключалась в том, что первая пьеса автора сразу же оказалась зрелой, а автором ее был театральный критик, который и потом, став драматургом, не перестал быть критиком.</t>
        </is>
      </c>
      <c r="L6711" s="2" t="inlineStr">
        <is>
          <t>https://www.kino-teatr.ru/teatr/movie/122683/annot/</t>
        </is>
      </c>
      <c r="M6711" s="2">
        <f>HYPERLINK("https://ru.wikipedia.org/w/index.php?search=%D0%A1%D1%82%D0%B0%D1%80%D1%8B%D0%B5%20%D0%B4%D1%80%D1%83%D0%B7%D1%8C%D1%8F%201965%20%D1%84%D0%B8%D0%BB%D1%8C%D0%BC","искать")</f>
        <v/>
      </c>
      <c r="N6711" s="3" t="n"/>
      <c r="O6711" s="2" t="n"/>
      <c r="P6711" s="2" t="n"/>
    </row>
    <row r="6712">
      <c r="A6712" s="2" t="n">
        <v>6711</v>
      </c>
      <c r="B6712" s="2" t="inlineStr"/>
      <c r="C6712" s="2" t="n">
        <v>9300</v>
      </c>
      <c r="D6712" s="3" t="inlineStr">
        <is>
          <t>Гарем Степана Гуслякова</t>
        </is>
      </c>
      <c r="E6712" s="2" t="n">
        <v>1989</v>
      </c>
      <c r="F6712" s="2" t="inlineStr">
        <is>
          <t>кинофильм</t>
        </is>
      </c>
      <c r="G6712" s="2" t="inlineStr">
        <is>
          <t>Катарсис</t>
        </is>
      </c>
      <c r="H6712" s="2" t="n">
        <v>1056</v>
      </c>
      <c r="I6712" s="2" t="inlineStr"/>
      <c r="J6712" s="2" t="inlineStr"/>
      <c r="K6712" s="3" t="inlineStr">
        <is>
          <t>По мотивам рассказа Б. Лапина «Клавдюшка». Русская деревня 1980-х годов. В семье Степана Гуслякова случается несчастье. Его жена Клавдия тяжело заболевает, и ее надолго кладут в больницу. Степан остается один с тремя малолетними ребятишкам. Тогда Гусляков приходит к соседу и просит его дочь Маришку, которая только что закончила школу, помочь ему управиться с детьми. Та соглашается. Пока Степан мотается между домом, больницей и лесопилкой, где он работает, Маришка весьма успешно справляется со своими новыми обязанностями. Она не только отлично ведет хозяйство, но так умело и ласково заботится о детях Степана, что те начинают звать ее мамой. Да и сам Степан полюбил Маришку и стал жить с ней, как с женой. Проходит время. Клавдия возвращается домой из больницы, видит в своем доме «вторую жену» на последнем сроке беременности, но не устраивает истерик, а решает оставить все как есть. Даже тогда, когда из сельсовета приходит комиссия для выяснения подробностей жизни «гарема Степана Гуслякова», Клавдия не требует от Маришки, чтобы та покинула дом.</t>
        </is>
      </c>
      <c r="L6712" s="2" t="inlineStr">
        <is>
          <t>https://gosfilmofond.ru/films/240416/</t>
        </is>
      </c>
      <c r="M6712" s="2">
        <f>HYPERLINK("https://ru.wikipedia.org/w/index.php?search=%D0%93%D0%B0%D1%80%D0%B5%D0%BC%20%D0%A1%D1%82%D0%B5%D0%BF%D0%B0%D0%BD%D0%B0%20%D0%93%D1%83%D1%81%D0%BB%D1%8F%D0%BA%D0%BE%D0%B2%D0%B0%201989%20%D1%84%D0%B8%D0%BB%D1%8C%D0%BC","искать")</f>
        <v/>
      </c>
      <c r="N6712" s="3" t="n"/>
      <c r="O6712" s="2" t="n"/>
      <c r="P6712" s="2" t="n"/>
    </row>
    <row r="6713">
      <c r="A6713" s="2" t="n">
        <v>6712</v>
      </c>
      <c r="B6713" s="2" t="inlineStr"/>
      <c r="C6713" s="2" t="n">
        <v>7235</v>
      </c>
      <c r="D6713" s="3" t="inlineStr">
        <is>
          <t>Баллада о комиссаре</t>
        </is>
      </c>
      <c r="E6713" s="2" t="n">
        <v>1967</v>
      </c>
      <c r="F6713" s="2" t="inlineStr">
        <is>
          <t>телефильм</t>
        </is>
      </c>
      <c r="G6713" s="2" t="inlineStr">
        <is>
          <t>Киностудия «Мосфильм», Творческое объединение «Телефильм»</t>
        </is>
      </c>
      <c r="H6713" s="2" t="n">
        <v>1057</v>
      </c>
      <c r="I6713" s="2" t="inlineStr"/>
      <c r="J6713" s="2" t="inlineStr"/>
      <c r="K6713" s="3" t="inlineStr">
        <is>
          <t>Посвящение во вступительной заставке:
50-ти летию
Великого Октября
посвящается
События разворачиваются в годы гражданской войны в России (1918—1922). Комиссар Фадейцев (Юрий Назаров) руководит расстрелом белогвардейских офицеров, после которого один из них, князь Чугуреев (Виктор Шульгин), остаётся в живых. Фадейцев хочет добить раненного Чугуреева, но у него кончаются патроны.
Через некоторое время белые поднимают восстание, и Фадейцеву приходится скрываться на одном из морских островов в заповеднике, охранник которого, Черкасов — знакомый Фадейцева. На острове высаживается отряд белогвардейцев под командованием Чугуреева. Фадейцева арестовывают, однако с помощью Анны, дочери Черкасова (Галина Польских), ему удаётся бежать. Чугуреев приказывает повесить отца Анны, за то, что тот помогал комиссару. Затем на острове высаживается отряд красных, Чугуреева арестовывают.
В заключительной сцене фильма красноармейцы собираются на берегу и дружно смеются, наблюдая за тем, как Фадейцев, который всё ещё думает, что на острове белые, уплывает на лодке.</t>
        </is>
      </c>
      <c r="L6713" s="2" t="inlineStr">
        <is>
          <t>https://ru.wikipedia.org/w/index.php?title=%D0%91%D0%B0%D0%BB%D0%BB%D0%B0%D0%B4%D0%B0_%D0%BE_%D0%BA%D0%BE%D0%BC%D0%B8%D1%81%D1%81%D0%B0%D1%80%D0%B5&amp;oldid=147410874</t>
        </is>
      </c>
      <c r="M6713" s="2">
        <f>HYPERLINK("https://ru.wikipedia.org/w/index.php?search=%D0%91%D0%B0%D0%BB%D0%BB%D0%B0%D0%B4%D0%B0%20%D0%BE%20%D0%BA%D0%BE%D0%BC%D0%B8%D1%81%D1%81%D0%B0%D1%80%D0%B5%201967%20%D1%84%D0%B8%D0%BB%D1%8C%D0%BC","искать")</f>
        <v/>
      </c>
      <c r="N6713" s="3" t="n"/>
      <c r="O6713" s="2" t="n"/>
      <c r="P6713" s="2" t="n"/>
    </row>
    <row r="6714">
      <c r="A6714" s="2" t="n">
        <v>6713</v>
      </c>
      <c r="B6714" s="2" t="inlineStr"/>
      <c r="C6714" s="2" t="n">
        <v>9447</v>
      </c>
      <c r="D6714" s="3" t="inlineStr">
        <is>
          <t>Культпоход в театр</t>
        </is>
      </c>
      <c r="E6714" s="2" t="n">
        <v>1982</v>
      </c>
      <c r="F6714" s="2" t="inlineStr">
        <is>
          <t>кинофильм</t>
        </is>
      </c>
      <c r="G6714" s="2" t="n"/>
      <c r="H6714" s="2" t="n">
        <v>1058</v>
      </c>
      <c r="I6714" s="2" t="inlineStr"/>
      <c r="J6714" s="2" t="inlineStr"/>
      <c r="K6714" s="3" t="inlineStr">
        <is>
          <t>Действие картины происходит в далёком селе Белые озёра. Житель села, механик Тихомиров, руководитель местного вокально-инструментального ансамбля, противостоит местным бюрократам, выступающим против свободы творчества. Однажды он отправляется в райцентр посмотреть театральную постановку. Спектакль производит на него такое впечатление, что он приглашает автора, молодого драматурга Скоробогатова, к себе домой с тем, чтобы он разобрался в проблемах самого села и написал пьесу о местной жизни. Безработный и неухоженный писатель приезжает и погружается в проблемы жителей села, в конце концов сходится с дочерью Тихомирова Аней, которая накануне рассталась со своим женихом. Так что Тихомиров становится ещё и его тестем. Писатель возвращается с Аней в город, но снова оказывается без денег и собирается бросить пьесу и устроиться на работу. Тихомиров приезжает к нему и убеждает его закончить начатое. На обратном пути домой Тихомиров переживает сердечный приступ. В концовке пьеса доходит до постановки, и жители села наблюдают со сцены собственную жизнь.</t>
        </is>
      </c>
      <c r="L6714" s="2" t="inlineStr">
        <is>
          <t>https://ru.wikipedia.org/w/index.php?title=%D0%9A%D1%83%D0%BB%D1%8C%D1%82%D0%BF%D0%BE%D1%85%D0%BE%D0%B4_%D0%B2_%D1%82%D0%B5%D0%B0%D1%82%D1%80&amp;oldid=149261815</t>
        </is>
      </c>
      <c r="M6714" s="2">
        <f>HYPERLINK("https://ru.wikipedia.org/w/index.php?search=%D0%9A%D1%83%D0%BB%D1%8C%D1%82%D0%BF%D0%BE%D1%85%D0%BE%D0%B4%20%D0%B2%20%D1%82%D0%B5%D0%B0%D1%82%D1%80%201982%20%D1%84%D0%B8%D0%BB%D1%8C%D0%BC","искать")</f>
        <v/>
      </c>
      <c r="N6714" s="3" t="n"/>
      <c r="O6714" s="2" t="n"/>
      <c r="P6714" s="2" t="n"/>
    </row>
    <row r="6715">
      <c r="A6715" s="2" t="n">
        <v>6714</v>
      </c>
      <c r="B6715" s="2" t="inlineStr"/>
      <c r="C6715" s="2" t="n">
        <v>9579</v>
      </c>
      <c r="D6715" s="3" t="inlineStr">
        <is>
          <t>Предлагаю руку и сердце</t>
        </is>
      </c>
      <c r="E6715" s="2" t="n">
        <v>1988</v>
      </c>
      <c r="F6715" s="2" t="inlineStr">
        <is>
          <t>кинофильм</t>
        </is>
      </c>
      <c r="G6715" s="2" t="n"/>
      <c r="H6715" s="2" t="n">
        <v>1060</v>
      </c>
      <c r="I6715" s="2" t="inlineStr"/>
      <c r="J6715" s="2" t="inlineStr"/>
      <c r="K6715" s="3" t="inlineStr">
        <is>
          <t>Пенсионер Николай Михайлович Чмугин, бывший учитель истории, переезжает из родного тихого городка к дочери в областной центр. Вскоре Николай Михайлович начинает раздражать дочь и зятя. Родственники решают пристроить старика, женив его на немолодой женщине с жилплощадью. Устраиваются «смотрины», но Николай Михайлович из протеста даже не выходит из своей комнаты. Через какое-то время он встречает Розу, которая была одной из потенциальных невест. Они разговорились, и Чмутин обращает внимание на то, что бывшая актриса, кажущаяся очень уверенной в себе, на самом деле беззащитна и трогательна. Она нравится Николаю Михайловичу, они начинают встречаться, и он предлагает ей руку и сердце, оговаривая, что жить будут у него. Намерения отца вызывают негодование Людмилы и ее мужа. Тогда пожилая пара
уезжает в Ленинград к сестре Розы. Там Николай Михайлович невольно становится свидетелем разговора сестер, из которого узнает, что его избранница испытывает к нему лишь жалость. Потрясенный, он решает вернуться в родной городок. По дороге старый человек умирает.</t>
        </is>
      </c>
      <c r="L6715" s="2" t="inlineStr">
        <is>
          <t>https://gosfilmofond.ru/films/240103/</t>
        </is>
      </c>
      <c r="M6715" s="2">
        <f>HYPERLINK("https://ru.wikipedia.org/w/index.php?search=%D0%9F%D1%80%D0%B5%D0%B4%D0%BB%D0%B0%D0%B3%D0%B0%D1%8E%20%D1%80%D1%83%D0%BA%D1%83%20%D0%B8%20%D1%81%D0%B5%D1%80%D0%B4%D1%86%D0%B5%201988%20%D1%84%D0%B8%D0%BB%D1%8C%D0%BC","искать")</f>
        <v/>
      </c>
      <c r="N6715" s="3" t="n"/>
      <c r="O6715" s="2" t="n"/>
      <c r="P6715" s="2" t="n"/>
    </row>
    <row r="6716">
      <c r="A6716" s="2" t="n">
        <v>6715</v>
      </c>
      <c r="B6716" s="2" t="inlineStr"/>
      <c r="C6716" s="2" t="n">
        <v>8684</v>
      </c>
      <c r="D6716" s="3" t="inlineStr">
        <is>
          <t>Гость</t>
        </is>
      </c>
      <c r="E6716" s="2" t="n">
        <v>1987</v>
      </c>
      <c r="F6716" s="2" t="inlineStr">
        <is>
          <t>кинофильм</t>
        </is>
      </c>
      <c r="G6716" s="2" t="inlineStr">
        <is>
          <t>ЭМТО (Мосфильм) при участии Ленфильм</t>
        </is>
      </c>
      <c r="H6716" s="2" t="n">
        <v>1062</v>
      </c>
      <c r="I6716" s="2" t="inlineStr"/>
      <c r="J6716" s="2" t="inlineStr"/>
      <c r="K6716" s="3" t="inlineStr">
        <is>
          <t>В поместье к молодому человеку приезжает друг. Хозяин, уезжая на несколько дней, оставляет гостя в доме, где также живут трое слуг — управляющий отец и его взрослые сын и дочь — тёмные крестьяне, неизвестной национальности, забывшие свой язык и веру, но очень суеверные. Изучающий Библию гость, читая её вслух, заметил, что все трое очень внимательно его слушают, а на следующий день они попросили повторить чтение «Евангелия от Марка»…
Эта картина из ряда общих перевернутых идей. По её сюжету какой-то человек читает в течение всего действия разным нерелигиозным людям Библию. И они, принимая его за Христа, распинают беднягу на кресте. Тут двойная идея. Во-первых, мне кажется, что за поиск веры, как и истины, смельчакам приходится всегда расплачиваться. И, в основном, своей жизнью. В этом — один смысл картины. Второй смысл — сила слова, разрушающая сила неправильно воспринятого слова. Оно играет большую роль в жизни, обладает такой силой воздействия на умы, что если его даже чуть-чуть неверно истолковать, то это может привести к страшным последствиям.</t>
        </is>
      </c>
      <c r="L6716" s="2" t="inlineStr">
        <is>
          <t>https://ru.wikipedia.org/w/index.php?title=%D0%93%D0%BE%D1%81%D1%82%D1%8C_%28%D1%84%D0%B8%D0%BB%D1%8C%D0%BC%2C_1987%29&amp;oldid=154133750</t>
        </is>
      </c>
      <c r="M6716" s="2">
        <f>HYPERLINK("https://ru.wikipedia.org/w/index.php?search=%D0%93%D0%BE%D1%81%D1%82%D1%8C%201987%20%D1%84%D0%B8%D0%BB%D1%8C%D0%BC","искать")</f>
        <v/>
      </c>
      <c r="N6716" s="3" t="n"/>
      <c r="O6716" s="2" t="n"/>
      <c r="P6716" s="2" t="n"/>
    </row>
    <row r="6717">
      <c r="A6717" s="2" t="n">
        <v>6716</v>
      </c>
      <c r="B6717" s="2" t="inlineStr"/>
      <c r="C6717" s="2" t="n">
        <v>9746</v>
      </c>
      <c r="D6717" s="3" t="inlineStr">
        <is>
          <t>Чаша терпения</t>
        </is>
      </c>
      <c r="E6717" s="2" t="n">
        <v>1989</v>
      </c>
      <c r="F6717" s="2" t="inlineStr">
        <is>
          <t>кинофильм</t>
        </is>
      </c>
      <c r="G6717" s="2" t="n"/>
      <c r="H6717" s="2" t="n">
        <v>1066</v>
      </c>
      <c r="I6717" s="2" t="inlineStr"/>
      <c r="J6717" s="2" t="inlineStr"/>
      <c r="K6717" s="3" t="inlineStr">
        <is>
          <t>Небольшой районный центр недалеко от Москвы. Природоохранный заповедник. Иван Савельевич Медников работает здесь охотоведом. В этом же поселке в кафе «Шашлычная» работает молодая, но уже немало хлебнувшая на своем веку горя женщина по имени Лиза. Она одна растит маленького тяжелобольного сына Сережу. Познакомившись с Лизой, Медников стал часто приходить к ней в гости. Иван Савельевич, честный и принципиальный человек, он не может смириться с тем, что начальство приезжает в заповедник на охоту, и постоянно пишет жалобы в милицию, в прокуратуру, в газеты. Его пытаются упрятать в психиатрическую больницу, но врачебная комиссия не находит у него психического заболевания. Когда в очередной раз компания высокопоставленных чиновников приезжает в лес поохотиться, Медников подкрадывается к ним и берет их на прицел своего ружья, собираясь вести на городскую площадь на народный суд. Одному из горожан удается выхватить ружье, и все набрасываются на охотоведа. Лиза прибегает к месту драки, пытается защитить любимого, но раздается случайный выстрел. Женщина убита.</t>
        </is>
      </c>
      <c r="L6717" s="2" t="inlineStr">
        <is>
          <t>https://gosfilmofond.ru/films/240716/</t>
        </is>
      </c>
      <c r="M6717" s="2">
        <f>HYPERLINK("https://ru.wikipedia.org/w/index.php?search=%D0%A7%D0%B0%D1%88%D0%B0%20%D1%82%D0%B5%D1%80%D0%BF%D0%B5%D0%BD%D0%B8%D1%8F%201989%20%D1%84%D0%B8%D0%BB%D1%8C%D0%BC","искать")</f>
        <v/>
      </c>
      <c r="N6717" s="3" t="n"/>
      <c r="O6717" s="2" t="n"/>
      <c r="P6717" s="2" t="n"/>
    </row>
    <row r="6718">
      <c r="A6718" s="2" t="n">
        <v>6717</v>
      </c>
      <c r="B6718" s="2" t="inlineStr"/>
      <c r="C6718" s="2" t="n">
        <v>9985</v>
      </c>
      <c r="D6718" s="3" t="inlineStr">
        <is>
          <t>Любимые песни</t>
        </is>
      </c>
      <c r="E6718" s="2" t="n">
        <v>1982</v>
      </c>
      <c r="F6718" s="2" t="inlineStr">
        <is>
          <t>телефильм</t>
        </is>
      </c>
      <c r="G6718" s="2" t="inlineStr">
        <is>
          <t>Главная редакция музыкальных программ ЦТ</t>
        </is>
      </c>
      <c r="H6718" s="2" t="n">
        <v>1066</v>
      </c>
      <c r="I6718" s="2" t="inlineStr"/>
      <c r="J6718" s="2" t="inlineStr"/>
      <c r="K6718" s="3" t="inlineStr">
        <is>
          <t>В фильме звучат песни в исполнении Людмилы Гурченко в сопровождении инструментального ансамбля «Мелодия» под управлением Григория Гараняна.
1. "Ты сама догадайся" Музыка: Бирюков Ю. Стихи: Фатьянов А. ,
2. "Одинокая гармонь" Музыка: Мокроусов Б. Стихи: Исаковский М.
3. "Старый клен" Музыка: Пахмутова А. Стихи: Матусовский М.,
4. "За дальнею околицей" Музыка: Будашкин Н. Стихи: Акулов Т. ,
5. "Нет, мой милый" Музыка: Фрадкин М. Стихи: Долматовский Е.,
6. "Московские окна" Музыка: Хренников Т. Стихи: Матусовский М.,
7. "Ночной разговор" (музыка Марк Фрадкин, слова В.Лазарев)
8. "В городском" Музыка: Блантер М. Стихи: Фатьянов А.,
9. "На карнавале" Музыка: Хренников Т. Стихи: Коваль Н.,
10. "Если любишь найди" (К. Листов — Л. Ошанин).
11. "Сядь со мною рядом" (С. Кац — А. Коваленков, Д. Толкачёв)
12. "Белая ночь",
13. "Песня о любви" Музыка: Фрадкин М. Стихи: Доризо Н.
14. "Когда проходит молодость" Музыка: Сорокин В. Стихи: Фатьянов А,
15. "Не грусти" Музыка:Мурадели В. Стихи: Халецкий Я.,
16. "Дорогие мои, москвичи" Музыка:Дунаевский И. Стихи: Масс В.</t>
        </is>
      </c>
      <c r="L6718" s="2" t="inlineStr">
        <is>
          <t>https://www.kino-teatr.ru/short/movie/sov/104398/annot/</t>
        </is>
      </c>
      <c r="M6718" s="2">
        <f>HYPERLINK("https://ru.wikipedia.org/w/index.php?search=%D0%9B%D1%8E%D0%B1%D0%B8%D0%BC%D1%8B%D0%B5%20%D0%BF%D0%B5%D1%81%D0%BD%D0%B8%201982%20%D1%84%D0%B8%D0%BB%D1%8C%D0%BC","искать")</f>
        <v/>
      </c>
      <c r="N6718" s="3" t="n"/>
      <c r="O6718" s="2" t="n"/>
      <c r="P6718" s="2" t="n"/>
    </row>
    <row r="6719">
      <c r="A6719" s="2" t="n">
        <v>6718</v>
      </c>
      <c r="B6719" s="2" t="inlineStr"/>
      <c r="C6719" s="2" t="n">
        <v>9217</v>
      </c>
      <c r="D6719" s="3" t="inlineStr">
        <is>
          <t>Балаган</t>
        </is>
      </c>
      <c r="E6719" s="2" t="n">
        <v>1990</v>
      </c>
      <c r="F6719" s="2" t="inlineStr">
        <is>
          <t>кинофильм</t>
        </is>
      </c>
      <c r="G6719" s="2" t="inlineStr">
        <is>
          <t>к/с им. Довженко</t>
        </is>
      </c>
      <c r="H6719" s="2" t="n">
        <v>1067</v>
      </c>
      <c r="I6719" s="2" t="inlineStr"/>
      <c r="J6719" s="2" t="inlineStr"/>
      <c r="K6719" s="3" t="inlineStr">
        <is>
          <t>Главный герой фильма — талантливый поэт Иван, чья искренняя одаренность ни у кого не вызывает сомнения. Но лирическое направление его творчества, далеко от конъюнктуры периода перестройки и не приносит поэту ни признания, ни денег. В 40 лет он автор единственного сборника стихов, обременённый долгами, не находит взаимопонимания с женой. Однако Иван не может заставить себя следовать «умным советам» приспособленцев от литературы, и скорее находит забвение в пьянстве вместе с трагикомичным другом Сократом. Иван видит, как легко люди вокруг него идут на измену ради лучшей жизни — например, молодой красавец Игорь, выставляя себя поборником принципов и бунтовщиком, бросает любимую женщину, чтобы выгодно жениться на дочери главного редактора. Сам Иван при этом не способен вырваться из замкнутого круга, который напоминает балаганную карусель …
Фильм показывает жизненные перепетии характерного персонажа поздней советской эпохи — способного и честного, но слабодушного интеллигента. В сюжет фильма включены сны героя, придающие киноленте определённую мистичность.</t>
        </is>
      </c>
      <c r="L6719" s="2" t="inlineStr">
        <is>
          <t>https://ru.wikipedia.org/w/index.php?title=%D0%91%D0%B0%D0%BB%D0%B0%D0%B3%D0%B0%D0%BD_%28%D1%84%D0%B8%D0%BB%D1%8C%D0%BC%29&amp;oldid=154691389</t>
        </is>
      </c>
      <c r="M6719" s="2">
        <f>HYPERLINK("https://ru.wikipedia.org/w/index.php?search=%D0%91%D0%B0%D0%BB%D0%B0%D0%B3%D0%B0%D0%BD%201990%20%D1%84%D0%B8%D0%BB%D1%8C%D0%BC","искать")</f>
        <v/>
      </c>
      <c r="N6719" s="3" t="n"/>
      <c r="O6719" s="2" t="n"/>
      <c r="P6719" s="2" t="n"/>
    </row>
    <row r="6720">
      <c r="A6720" s="2" t="n">
        <v>6719</v>
      </c>
      <c r="B6720" s="2" t="inlineStr"/>
      <c r="C6720" s="2" t="n">
        <v>9524</v>
      </c>
      <c r="D6720" s="3" t="inlineStr">
        <is>
          <t>Ожог</t>
        </is>
      </c>
      <c r="E6720" s="2" t="n">
        <v>1988</v>
      </c>
      <c r="F6720" s="2" t="inlineStr">
        <is>
          <t>кинофильм</t>
        </is>
      </c>
      <c r="G6720" s="2" t="n"/>
      <c r="H6720" s="2" t="n">
        <v>1067</v>
      </c>
      <c r="I6720" s="2" t="inlineStr"/>
      <c r="J6720" s="2" t="inlineStr"/>
      <c r="K6720" s="3" t="inlineStr">
        <is>
          <t>По мотивам повести В. Леоновича «Записки рабочего человека». В небольшом портовом городе живет Василий Держаков, пятидесятилетний начальник рабочей бригады. На работе Василий — квалифицированный, востребованный сотрудник, а в семье его жизнь совсем не ладится, жена частенько закатывает скандалы. Спокойствие наступает лишь в дни приезда сына, работающего лесником.
Василий считает себя честным человеком и уверен в непогрешимости своих поступков. Он учит сына не брать взяток и жить честно, сам же тщательно скрывает свои отношения со старой знакомой Анной,
работающей в пивной. Случается так, что Анна, предчувствуя свой арест, просит Василия спрятать ее сбережения, нажитые «честным путем». Тот наотрез отказывается от пособничества, но все же настойчивые просьбы женщины заставляют его изменить решение. Он прячет деньги в дверях домашнего холодильника. Когда в очередной раз приезжает сын, во время застолья в квартиру Держаковых приходит милиция. Обыск и арест потрясают Василия. Но выясняется, что по делу он проходит как свидетель, и его выпускают на свободу.</t>
        </is>
      </c>
      <c r="L6720" s="2" t="inlineStr">
        <is>
          <t>https://gosfilmofond.ru/films/240188/</t>
        </is>
      </c>
      <c r="M6720" s="2">
        <f>HYPERLINK("https://ru.wikipedia.org/w/index.php?search=%D0%9E%D0%B6%D0%BE%D0%B3%201988%20%D1%84%D0%B8%D0%BB%D1%8C%D0%BC","искать")</f>
        <v/>
      </c>
      <c r="N6720" s="3" t="n"/>
      <c r="O6720" s="2" t="n"/>
      <c r="P6720" s="2" t="n"/>
    </row>
    <row r="6721">
      <c r="A6721" s="2" t="n">
        <v>6720</v>
      </c>
      <c r="B6721" s="2" t="inlineStr"/>
      <c r="C6721" s="2" t="n">
        <v>9718</v>
      </c>
      <c r="D6721" s="3" t="inlineStr">
        <is>
          <t>Утреннее шоссе</t>
        </is>
      </c>
      <c r="E6721" s="2" t="n">
        <v>1988</v>
      </c>
      <c r="F6721" s="2" t="inlineStr">
        <is>
          <t>кинофильм</t>
        </is>
      </c>
      <c r="G6721" s="2" t="n"/>
      <c r="H6721" s="2" t="n">
        <v>1068</v>
      </c>
      <c r="I6721" s="2" t="inlineStr"/>
      <c r="J6721" s="2" t="inlineStr"/>
      <c r="K6721" s="3" t="inlineStr">
        <is>
          <t>По мотивам одноименного романа И. Штемлера. Южный приморский городок. Бывший известный футболист Антон Клямин работает водителем такси. Однажды знакомые предлагают ему за хорошие деньги съездить в горы, привезти из села пару десяток банок со сгущенным молоком. На обратном пути Клямин попадает в аварию, при этом одна из банок лопается, и Антон обнаруживает, что везет не молоко, а наркотики. Он оставляет банку в лесу, а остальные привозит по указанному адресу. Наркоторговцы, обнаружив пропажу банки, устраивают Клямину проверку. Выяснив, что тот ее не украл, но знает о содержимом, они решают принять Антона в свое «сообщество». В это время в город приезжает девушка Наташа, оказавшаяся дочерью Клямина. У Антона просыпаются отцовские чувства, он надеется, что теперь начнется новая, наполненная смыслом жизнь. Но, так как Антон отказывается иметь дело с наркодилерами, они угрожают ему, что расправятся с Наташей. Клямин отвозит дочь в деревню, а сам выслеживает в городе
бандитов и на полном ходу на своей машине врезается в их «Мерседес». От взрыва погибают все.</t>
        </is>
      </c>
      <c r="L6721" s="2" t="inlineStr">
        <is>
          <t>https://gosfilmofond.ru/films/240082/</t>
        </is>
      </c>
      <c r="M6721" s="2">
        <f>HYPERLINK("https://ru.wikipedia.org/w/index.php?search=%D0%A3%D1%82%D1%80%D0%B5%D0%BD%D0%BD%D0%B5%D0%B5%20%D1%88%D0%BE%D1%81%D1%81%D0%B5%201988%20%D1%84%D0%B8%D0%BB%D1%8C%D0%BC","искать")</f>
        <v/>
      </c>
      <c r="N6721" s="3" t="n"/>
      <c r="O6721" s="2" t="n"/>
      <c r="P6721" s="2" t="n"/>
    </row>
    <row r="6722">
      <c r="A6722" s="2" t="n">
        <v>6721</v>
      </c>
      <c r="B6722" s="2" t="inlineStr"/>
      <c r="C6722" s="2" t="n">
        <v>8265</v>
      </c>
      <c r="D6722" s="3" t="inlineStr">
        <is>
          <t>Рассказы о любви</t>
        </is>
      </c>
      <c r="E6722" s="2" t="n">
        <v>1980</v>
      </c>
      <c r="F6722" s="2" t="inlineStr">
        <is>
          <t>телефильм</t>
        </is>
      </c>
      <c r="G6722" s="2" t="n"/>
      <c r="H6722" s="2" t="n">
        <v>1070</v>
      </c>
      <c r="I6722" s="2" t="inlineStr"/>
      <c r="J6722" s="2" t="inlineStr"/>
      <c r="K6722" s="3" t="inlineStr">
        <is>
          <t>По мотивам рассказов А. П. Чехова «На пути», «Осенью», «В ссылке».
Рассказы о любви, мастерски сплетенные в единое целое, короткие, без начала и конца человеческие истории, моментальные портретные зарисовки, истории нескольких попраных, по ветру пущенных, обратившихся в пепел и дым, несостоявшихся человеческих любовей.
«Рассказы любви» состоят из трех новелл «В ссылке», «Осенью» и «На пути». Их объединяет традиционный для русской литературы мотив дороги. Короткой была встреча случайных людей на постоялом дворе, но и она позволила им раскрыться, рассказать свои истории. И в каждой из них — и в жизни несчастного пьяницы—барина (Г. Гирдвайнис), и нищего татарина (Р. Сиразеев), и разочарованного интеллигента Лихарева (А. Джигарханян), богатой барышни Иловайской (А. Каменкова) — не хватает тепла, каждый героев страдает без понимания, чуткости, любви. Истории, рассказанные на грязном, неуютном Постоялом Дворе, как бы дополняют друг друга, складываясь в картину скучной и безысходной жизни без цели и настоящего чувства, но с огромной насущной потребностью в них.</t>
        </is>
      </c>
      <c r="L6722" s="2" t="inlineStr">
        <is>
          <t>https://ru.wikipedia.org/w/index.php?title=%D0%A0%D0%B0%D1%81%D1%81%D0%BA%D0%B0%D0%B7%D1%8B_%D0%BE_%D0%BB%D1%8E%D0%B1%D0%B2%D0%B8&amp;oldid=154703505</t>
        </is>
      </c>
      <c r="M6722" s="2">
        <f>HYPERLINK("https://ru.wikipedia.org/w/index.php?search=%D0%A0%D0%B0%D1%81%D1%81%D0%BA%D0%B0%D0%B7%D1%8B%20%D0%BE%20%D0%BB%D1%8E%D0%B1%D0%B2%D0%B8%201980%20%D1%84%D0%B8%D0%BB%D1%8C%D0%BC","искать")</f>
        <v/>
      </c>
      <c r="N6722" s="3" t="n"/>
      <c r="O6722" s="2" t="n"/>
      <c r="P6722" s="2" t="n"/>
    </row>
    <row r="6723">
      <c r="A6723" s="2" t="n">
        <v>6722</v>
      </c>
      <c r="B6723" s="2" t="inlineStr"/>
      <c r="C6723" s="2" t="n">
        <v>8615</v>
      </c>
      <c r="D6723" s="3" t="inlineStr">
        <is>
          <t>Я, сын трудового народа</t>
        </is>
      </c>
      <c r="E6723" s="2" t="n">
        <v>1983</v>
      </c>
      <c r="F6723" s="2" t="inlineStr">
        <is>
          <t>телефильм</t>
        </is>
      </c>
      <c r="G6723" s="2" t="inlineStr">
        <is>
          <t>Одесская к/с</t>
        </is>
      </c>
      <c r="H6723" s="2" t="n">
        <v>1070</v>
      </c>
      <c r="I6723" s="2" t="inlineStr"/>
      <c r="J6723" s="2" t="inlineStr"/>
      <c r="K6723" s="3" t="inlineStr">
        <is>
          <t>Украина, февраль 1918 года. После четырёх лет войны в родное село с Георгиевским крестом на груди возвращается артиллерист Семён Котко. Он ещё до войны сватался к Софье — красавице-дочке своего односельчанина фельдфебеля Никанора Ткаченко, но тот не захотел выдавать дочь за сына бедняка-кузнеца, несмотря на то, что Софья полюбила Семёна.
После революции ситуация изменилась, селяне получают землю и скотину экспроприированную у местного помещика пана Клембовского. Семён снова засылает сватов — главу первого сельского Совета Трофима Ременюка и матроса Василия Царёва. Никанор Ткаченко соглашается на брак дочери с Семёном Котко.
По договору Украинской державы и Германии в страну вводится немецкая армия и летом 1918 года в село приходит новая власть — офицер фон Вирхов, сын местного помещика пан Клембовский. Ткаченко становится старостой и начинает своё правление в селе с показательной казни Царёва и Ременюка. Семён с молодым односельчанином Миколой уходят в лес к партизанам. Отряд быстро растёт, превращаясь в партизанскую бригаду, и примыкает к Красной армии.</t>
        </is>
      </c>
      <c r="L6723" s="2" t="inlineStr">
        <is>
          <t>https://ru.wikipedia.org/w/index.php?title=%D0%AF%2C_%D1%81%D1%8B%D0%BD_%D1%82%D1%80%D1%83%D0%B4%D0%BE%D0%B2%D0%BE%D0%B3%D0%BE_%D0%BD%D0%B0%D1%80%D0%BE%D0%B4%D0%B0_%28%D1%84%D0%B8%D0%BB%D1%8C%D0%BC%29&amp;oldid=149106846</t>
        </is>
      </c>
      <c r="M6723" s="2">
        <f>HYPERLINK("https://ru.wikipedia.org/w/index.php?search=%D0%AF%2C%20%D1%81%D1%8B%D0%BD%20%D1%82%D1%80%D1%83%D0%B4%D0%BE%D0%B2%D0%BE%D0%B3%D0%BE%20%D0%BD%D0%B0%D1%80%D0%BE%D0%B4%D0%B0%201983%20%D1%84%D0%B8%D0%BB%D1%8C%D0%BC","искать")</f>
        <v/>
      </c>
      <c r="N6723" s="3" t="n"/>
      <c r="O6723" s="2" t="n"/>
      <c r="P6723" s="2" t="n"/>
    </row>
    <row r="6724">
      <c r="A6724" s="2" t="n">
        <v>6723</v>
      </c>
      <c r="B6724" s="2" t="inlineStr"/>
      <c r="C6724" s="2" t="n">
        <v>8758</v>
      </c>
      <c r="D6724" s="3" t="inlineStr">
        <is>
          <t>Канувшее время</t>
        </is>
      </c>
      <c r="E6724" s="2" t="n">
        <v>1989</v>
      </c>
      <c r="F6724" s="2" t="inlineStr">
        <is>
          <t>кинофильм</t>
        </is>
      </c>
      <c r="G6724" s="2" t="n"/>
      <c r="H6724" s="2" t="n">
        <v>1070</v>
      </c>
      <c r="I6724" s="2" t="inlineStr"/>
      <c r="J6724" s="2" t="inlineStr"/>
      <c r="K6724" s="3" t="inlineStr">
        <is>
          <t>По мотивам романа А. Бека «Новое назначение». В 1957 году один из руководителей сталелитейной промышленности страны Александр Леонтьевич Онисимов неожиданно снят с должности и назначен послом в европейскую страну. Новое назначение он встречает с большим сожалением. И, приняв дела, решает разобраться, почему его отстранили от руководящей работы. Онисимов начинает анализировать свою жизнь. Он всегда считал себя человеком честным, энергичным, принципиальным и преданным
делу. Его деятельность высоко оценивал товарищ Сталин. Но Александр Леонтьевич понимает, что при всех своих достоинствах и заслугах, он не однажды шел на сделку с собственной совестью — отрекся от брата, которого объявили «врагом народа», не смог защитить арестованных сослуживцев, потратил огромные средства на воплощение заведомо неудачного проекта. Онисимов вынужден признать, что новое назначение — это его отставка как человека «прошлой эпохи». Серьезные переживания настолько ухудшают состояние здоровья Александра Леонтьевича, что он вынужден отказаться от новой работы и вернуться на родину.</t>
        </is>
      </c>
      <c r="L6724" s="2" t="inlineStr">
        <is>
          <t>https://gosfilmofond.ru/films/240757/</t>
        </is>
      </c>
      <c r="M6724" s="2">
        <f>HYPERLINK("https://ru.wikipedia.org/w/index.php?search=%D0%9A%D0%B0%D0%BD%D1%83%D0%B2%D1%88%D0%B5%D0%B5%20%D0%B2%D1%80%D0%B5%D0%BC%D1%8F%201989%20%D1%84%D0%B8%D0%BB%D1%8C%D0%BC","искать")</f>
        <v/>
      </c>
      <c r="N6724" s="3" t="n"/>
      <c r="O6724" s="2" t="n"/>
      <c r="P6724" s="2" t="n"/>
    </row>
    <row r="6725">
      <c r="A6725" s="2" t="n">
        <v>6724</v>
      </c>
      <c r="B6725" s="2" t="inlineStr"/>
      <c r="C6725" s="2" t="n">
        <v>9270</v>
      </c>
      <c r="D6725" s="3" t="inlineStr">
        <is>
          <t>Взгляд</t>
        </is>
      </c>
      <c r="E6725" s="2" t="n">
        <v>1988</v>
      </c>
      <c r="F6725" s="2" t="inlineStr">
        <is>
          <t>кинофильм</t>
        </is>
      </c>
      <c r="G6725" s="2" t="n"/>
      <c r="H6725" s="2" t="n">
        <v>1071</v>
      </c>
      <c r="I6725" s="2" t="inlineStr"/>
      <c r="J6725" s="2" t="inlineStr"/>
      <c r="K6725" s="3" t="inlineStr">
        <is>
          <t>Таджикистан, 1980-е годы. В многодетной семье Рустамовых младшему сыну Далеру исполняется шестнадцать лет. За праздничным столом собираются родные и близкие. С волнением все ожидают задерживающегося именинника. Накануне подросток заявил, что при получении паспорта в графе «национальность» он запишет себя не «таджиком», а «гражданином СССР», так как не хочет, чтобы национальность определяла принадлежность к «своим» или к «чужим». Этим решением Далер протестует против того, что творится вокруг — события в Нагорном Карабахе, Сумгаите, национальная рознь, нетерпимость, убийства людей другой веры. Когда, наконец, виновник торжества появляется, звучат тосты и поздравления. Глава семейства, полковник милиции, воспользовавшись своим служебным положением, заранее оформил сыну паспорт и за праздничным столом вручает его. Когда Далер видит, что в графе «наци-
ональность» написано «таджик», он разрывает паспорт и швыряет его на пол. Обескураженный отец отчитывает сына и прогоняет из дома. Старший брат избивает Далера. В отчаянии подросток кончает жизнь самоубийством.</t>
        </is>
      </c>
      <c r="L6725" s="2" t="inlineStr">
        <is>
          <t>https://gosfilmofond.ru/films/240390/</t>
        </is>
      </c>
      <c r="M6725" s="2">
        <f>HYPERLINK("https://ru.wikipedia.org/w/index.php?search=%D0%92%D0%B7%D0%B3%D0%BB%D1%8F%D0%B4%201988%20%D1%84%D0%B8%D0%BB%D1%8C%D0%BC","искать")</f>
        <v/>
      </c>
      <c r="N6725" s="3" t="n"/>
      <c r="O6725" s="2" t="n"/>
      <c r="P6725" s="2" t="n"/>
    </row>
    <row r="6726">
      <c r="A6726" s="2" t="n">
        <v>6725</v>
      </c>
      <c r="B6726" s="2" t="inlineStr"/>
      <c r="C6726" s="2" t="n">
        <v>10189</v>
      </c>
      <c r="D6726" s="3" t="inlineStr">
        <is>
          <t>Гендель и гангстеры</t>
        </is>
      </c>
      <c r="E6726" s="2" t="n">
        <v>1967</v>
      </c>
      <c r="F6726" s="2" t="inlineStr">
        <is>
          <t>фильм-спектакль</t>
        </is>
      </c>
      <c r="G6726" s="2" t="inlineStr">
        <is>
          <t>Главная редакция литкратурно-драматических программ ЦТ</t>
        </is>
      </c>
      <c r="H6726" s="2" t="n">
        <v>1072</v>
      </c>
      <c r="I6726" s="2" t="inlineStr"/>
      <c r="J6726" s="2" t="inlineStr"/>
      <c r="K6726" s="3" t="inlineStr">
        <is>
          <t>В застрявшей кабине лифта мистер Том Хэбблсуэйт, представитель Ладденстальской кооперации, дал понять своему попутчику, что тот фальшивит, насвистывая мелодию из арии «Иуды Маккавея» Генделя. Господин, к которому была высказана претензия, представился. Его звали Джеймс Старк Онгар — он, глава компании «Онгар Тропикал
Продактс» и увлечённый поклонник творчества великого композитора, был уверен, что правильно помнит мелодию, и в доказательство своей правоты пригласил Хэбблсуэйта в арендуемый им гостиничный номер для того, чтобы свериться с имевшейся у него партитурой.
В комнате их ожидала встреча с двумя гангстерами, Чарли Банетти и Сэмом «Буйволом», преследующими Онгара (как оказалось активного борца с бандитским влиянием в деловой жизни) с целью получить его подпись на компрометирующих документах. Разъярённый хамским поведением непрошеных гостей, Хэбблсуэйт нашёл хитроумный способ оповестить полицию о нападении. Некоторое время спустя оба пожилых джентльмена были на свободе и могли продолжить свой увлекательный спор о нюансах музыкального наследия Генделя.</t>
        </is>
      </c>
      <c r="L6726" s="2" t="inlineStr">
        <is>
          <t>https://ru.wikipedia.org/w/index.php?title=%D0%93%D0%B5%D0%BD%D0%B4%D0%B5%D0%BB%D1%8C_%D0%B8_%D0%B3%D0%B0%D0%BD%D0%B3%D1%81%D1%82%D0%B5%D1%80%D1%8B&amp;oldid=145721232</t>
        </is>
      </c>
      <c r="M6726" s="2">
        <f>HYPERLINK("https://ru.wikipedia.org/w/index.php?search=%D0%93%D0%B5%D0%BD%D0%B4%D0%B5%D0%BB%D1%8C%20%D0%B8%20%D0%B3%D0%B0%D0%BD%D0%B3%D1%81%D1%82%D0%B5%D1%80%D1%8B%201967%20%D1%84%D0%B8%D0%BB%D1%8C%D0%BC","искать")</f>
        <v/>
      </c>
      <c r="N6726" s="3" t="n"/>
      <c r="O6726" s="2" t="n"/>
      <c r="P6726" s="2" t="n"/>
    </row>
    <row r="6727">
      <c r="A6727" s="2" t="n">
        <v>6726</v>
      </c>
      <c r="B6727" s="2" t="inlineStr"/>
      <c r="C6727" s="2" t="n">
        <v>7891</v>
      </c>
      <c r="D6727" s="3" t="inlineStr">
        <is>
          <t>Мой друг Сократик</t>
        </is>
      </c>
      <c r="E6727" s="2" t="n">
        <v>1984</v>
      </c>
      <c r="F6727" s="2" t="inlineStr">
        <is>
          <t>телефильм</t>
        </is>
      </c>
      <c r="G6727" s="2" t="n"/>
      <c r="H6727" s="2" t="n">
        <v>1073</v>
      </c>
      <c r="I6727" s="2" t="inlineStr"/>
      <c r="J6727" s="2" t="inlineStr"/>
      <c r="K6727" s="3" t="inlineStr">
        <is>
          <t>Раймонд учится в четвёртом классе одной из рижских школ. Ребята прозвали его Сократиком за обострённое чувство справедливости и склонность к разговорам на отвлечённые темы. Родители в командировке и Раймонд находится под присмотром своего деда, бывшего моряка.
Как-то вечером к ним в гости заглянул капитан дальнего плавания, старый товарищ деда. Сквозь сон Раймонд слышал их разговор. Друзья вспоминали молодые годы и капитан поведал о сокровищах, якобы спрятанных в том доме, где они жили до войны.
Сократик решил, что капитан хочет забрать золото себе. Он рассказал о кладе ребятам и они после уроков пошли к старому дому. Когда стало понятно, что никаких сокровищ нет, рассердившиеся кладоискатели набросились на виновника с кулаками.
Раймонду было стыдно, что он подозревал своего деда в попытке присвоить клад. С тяжёлым сердцем он пошёл посоветоваться с Арнольдом Борисовичем, бывшим лётчиком-испытателем. Тот как мог успокоил Сократика, рассказав в качестве примера свою историю о несправедливом для него выводе товарищей о серьёзной аварии испытуемого им самолёта.</t>
        </is>
      </c>
      <c r="L6727" s="2" t="inlineStr">
        <is>
          <t>https://ru.wikipedia.org/w/index.php?title=%D0%9C%D0%BE%D0%B9_%D0%B4%D1%80%D1%83%D0%B3_%D0%A1%D0%BE%D0%BA%D1%80%D0%B0%D1%82%D0%B8%D0%BA&amp;oldid=155281863</t>
        </is>
      </c>
      <c r="M6727" s="2">
        <f>HYPERLINK("https://ru.wikipedia.org/w/index.php?search=%D0%9C%D0%BE%D0%B9%20%D0%B4%D1%80%D1%83%D0%B3%20%D0%A1%D0%BE%D0%BA%D1%80%D0%B0%D1%82%D0%B8%D0%BA%201984%20%D1%84%D0%B8%D0%BB%D1%8C%D0%BC","искать")</f>
        <v/>
      </c>
      <c r="N6727" s="3" t="n"/>
      <c r="O6727" s="2" t="n"/>
      <c r="P6727" s="2" t="n"/>
    </row>
    <row r="6728">
      <c r="A6728" s="2" t="n">
        <v>6727</v>
      </c>
      <c r="B6728" s="2" t="inlineStr"/>
      <c r="C6728" s="2" t="n">
        <v>9722</v>
      </c>
      <c r="D6728" s="3" t="inlineStr">
        <is>
          <t>Филиал</t>
        </is>
      </c>
      <c r="E6728" s="2" t="n">
        <v>1988</v>
      </c>
      <c r="F6728" s="2" t="inlineStr">
        <is>
          <t>кинофильм</t>
        </is>
      </c>
      <c r="G6728" s="2" t="n"/>
      <c r="H6728" s="2" t="n">
        <v>1076</v>
      </c>
      <c r="I6728" s="2" t="inlineStr"/>
      <c r="J6728" s="2" t="inlineStr"/>
      <c r="K6728" s="3" t="inlineStr">
        <is>
          <t>Действие фильма происходит в 1980-е годы. В коммунальной квартире, ещё не полностью освобожденной жильцами, располагается филиал НИИ. Специалист по вычислительной технике Пётр Румянцев, устраивающийся на работу в филиале по окончанию института, не понимает, чем именно занимается организация, а его попытки найти себе рабочее место неудачны. Жилая часть квартиры, в которую он попал, представлена Верой Сабуровой, предлагающей ему необычное «рабочее» место в обмен на женитьбу на её дочке.
По ходу действия фильма Румянцев сталкивается с проблемами как со стороны сотрудников филиала — «дельцов», так и жильцов, которые испытывают сложности с определением своих ролей и границ между работой и домом. Обстановка накаляется, когда обе дочери Сабуровой беременеют, и все указывают на Румянцева. Отцом будущих детей оказывается командированный Чичико.
Сотрудники филиала планируют выдать Валю за Чичико, а Галю — за Румянцева. На свадьбе, в состоянии отчаяния, Румянцев пытается покончить с собой, выпрыгнув из окна. Однако, зацепившись за карниз второго этажа, он остаётся живым.</t>
        </is>
      </c>
      <c r="L6728" s="2" t="inlineStr">
        <is>
          <t>https://ru.wikipedia.org/w/index.php?title=%D0%A4%D0%B8%D0%BB%D0%B8%D0%B0%D0%BB_%28%D1%84%D0%B8%D0%BB%D1%8C%D0%BC%29&amp;oldid=143528022</t>
        </is>
      </c>
      <c r="M6728" s="2">
        <f>HYPERLINK("https://ru.wikipedia.org/w/index.php?search=%D0%A4%D0%B8%D0%BB%D0%B8%D0%B0%D0%BB%201988%20%D1%84%D0%B8%D0%BB%D1%8C%D0%BC","искать")</f>
        <v/>
      </c>
      <c r="N6728" s="3" t="n"/>
      <c r="O6728" s="2" t="n"/>
      <c r="P6728" s="2" t="n"/>
    </row>
    <row r="6729">
      <c r="A6729" s="2" t="n">
        <v>6728</v>
      </c>
      <c r="B6729" s="2" t="inlineStr"/>
      <c r="C6729" s="2" t="n">
        <v>9876</v>
      </c>
      <c r="D6729" s="3" t="inlineStr">
        <is>
          <t>Кувшин</t>
        </is>
      </c>
      <c r="E6729" s="2" t="n">
        <v>1970</v>
      </c>
      <c r="F6729" s="2" t="inlineStr">
        <is>
          <t>телефильм</t>
        </is>
      </c>
      <c r="G6729" s="2" t="inlineStr">
        <is>
          <t>Грузия-телефильм</t>
        </is>
      </c>
      <c r="H6729" s="2" t="n">
        <v>1076</v>
      </c>
      <c r="I6729" s="2" t="inlineStr"/>
      <c r="J6729" s="2" t="inlineStr"/>
      <c r="K6729" s="3" t="inlineStr">
        <is>
          <t>Редкой удачей стала для Гогии покупка большого кувшина под вино нового урожая. Его дочь пыталась одна снять кувшин с багажника машины и, не удержав, ударила о землю. Откололся приличный кусок. Пришлось обратиться за помощью к Абессалому — мастеру на все руки.
Приглашённый умелец залез внутрь кувшина и заделал специальным составом скол и трещины. Собрался вылезать, как обычно, через горлышко склеенного сосуда — но кувшин был из Мегрелии, с непривычным для их мест узким отверстием. Как ни старался бедолага, но выйти из ловушки не удавалось никак.
Гогия по-всякому убеждал незадачливого мастера покинуть кувшин, но все попытки не давали желанного результата. Приехал участковый милиционер, но и он не мог предложить выход. Решили ждать до понедельника и задействовать в таком сложном случае кого-нибудь посообразительней.
Друзья принесли бедняге ужин и выпив немного вина, стали петь, чтобы скоротать время. Это очень не нравилось хозяину дома, но он сдерживал накопившиеся за долгий день эмоции до того момента, пока невольному пленнику не приспичило справить малую нужду.</t>
        </is>
      </c>
      <c r="L6729" s="2" t="inlineStr">
        <is>
          <t>https://ru.wikipedia.org/w/index.php?title=%D0%9A%D1%83%D0%B2%D1%88%D0%B8%D0%BD_%28%D1%84%D0%B8%D0%BB%D1%8C%D0%BC%29&amp;oldid=149106474</t>
        </is>
      </c>
      <c r="M6729" s="2">
        <f>HYPERLINK("https://ru.wikipedia.org/w/index.php?search=%D0%9A%D1%83%D0%B2%D1%88%D0%B8%D0%BD%201970%20%D1%84%D0%B8%D0%BB%D1%8C%D0%BC","искать")</f>
        <v/>
      </c>
      <c r="N6729" s="3" t="n"/>
      <c r="O6729" s="2" t="n"/>
      <c r="P6729" s="2" t="n"/>
    </row>
    <row r="6730">
      <c r="A6730" s="2" t="n">
        <v>6729</v>
      </c>
      <c r="B6730" s="2" t="inlineStr"/>
      <c r="C6730" s="2" t="n">
        <v>9426</v>
      </c>
      <c r="D6730" s="3" t="inlineStr">
        <is>
          <t>Комедия о Лисистрате</t>
        </is>
      </c>
      <c r="E6730" s="2" t="n">
        <v>1989</v>
      </c>
      <c r="F6730" s="2" t="inlineStr">
        <is>
          <t>кинофильм</t>
        </is>
      </c>
      <c r="G6730" s="2" t="n"/>
      <c r="H6730" s="2" t="n">
        <v>1079</v>
      </c>
      <c r="I6730" s="2" t="inlineStr"/>
      <c r="J6730" s="2" t="inlineStr"/>
      <c r="K6730" s="3" t="inlineStr">
        <is>
          <t>Женщины Спарты и Афин утомлены Пелопоннесской войной, которую ведут их мужья. Чтобы положить конец этому бесконечному противостоянию, молодая вдова Лисистрата собирает всех женщин и убеждает дать клятву в храме Афины не допускать к себе мужчин и жить взаперти до тех пор, пока их мужья не прекратят воевать.
Афинянки запираются в Акрополе, который пытается безуспешно штурмовать Советник. В ответ женщины осыпают его и других воинов насмешками. Однако со временем терпению женщин приходит предел, так что они одна за другой ищут предлог для отлучки домой. Лисистрате приходится увещевать подруг соблюдать клятву. Тем временем, к Миррине приходит её муж Кинесий. Женщина отказывает ему в близости.
Неожиданно является вестница Богов Ирида, чем смущает афинянок, а в это время Советник со своими людьми вновь пытается штурмовать Акрополь. Перед этим все воины обнажаются. Но точно так же поступают и женщины, и их вид приводит мужчин в смятение. Тем временем в Афины с предложением мира прибывают послы из Спарты. Народ ликует. Фильм заканчивается демонстрацией рабочего материала.</t>
        </is>
      </c>
      <c r="L6730" s="2" t="inlineStr">
        <is>
          <t>https://ru.wikipedia.org/w/index.php?title=%D0%9A%D0%BE%D0%BC%D0%B5%D0%B4%D0%B8%D1%8F_%D0%BE_%D0%9B%D0%B8%D1%81%D0%B8%D1%81%D1%82%D1%80%D0%B0%D1%82%D0%B5&amp;oldid=154738621</t>
        </is>
      </c>
      <c r="M6730" s="2">
        <f>HYPERLINK("https://ru.wikipedia.org/w/index.php?search=%D0%9A%D0%BE%D0%BC%D0%B5%D0%B4%D0%B8%D1%8F%20%D0%BE%20%D0%9B%D0%B8%D1%81%D0%B8%D1%81%D1%82%D1%80%D0%B0%D1%82%D0%B5%201989%20%D1%84%D0%B8%D0%BB%D1%8C%D0%BC","искать")</f>
        <v/>
      </c>
      <c r="N6730" s="3" t="n"/>
      <c r="O6730" s="2" t="n"/>
      <c r="P6730" s="2" t="n"/>
    </row>
    <row r="6731">
      <c r="A6731" s="2" t="n">
        <v>6730</v>
      </c>
      <c r="B6731" s="2" t="inlineStr"/>
      <c r="C6731" s="2" t="n">
        <v>9547</v>
      </c>
      <c r="D6731" s="3" t="inlineStr">
        <is>
          <t>Перед рассветом</t>
        </is>
      </c>
      <c r="E6731" s="2" t="n">
        <v>1989</v>
      </c>
      <c r="F6731" s="2" t="inlineStr">
        <is>
          <t>кинофильм</t>
        </is>
      </c>
      <c r="G6731" s="2" t="n"/>
      <c r="H6731" s="2" t="n">
        <v>1079</v>
      </c>
      <c r="I6731" s="2" t="inlineStr"/>
      <c r="J6731" s="2" t="inlineStr"/>
      <c r="K6731" s="3" t="inlineStr">
        <is>
          <t>1941 год. С прифронтовой железнодорожной станции вглубь страны отправляется поезд особого назначения — заключенных эвакуируют в другие тюрьмы. Но до места назначения эшелон не доходит, его разбомбили. В живых остаются офицер НКВД, вор в законе по прозвищу Усатый и политический, осужденный по 58-й
статье как «враг народа». Лейтенант решает и далее сопровождать заключенных, жестко требуя от них безоговорочного подчинения. Теперь они — маленький отряд, который в тылу у немцев пробирается к своим. Вскоре лейтенанта ранят, дальше осужденные несут его на руках. Потом погибает Усатый. Добравшись до города, лейтенант и политический хотят связаться с подпольщиками. Политическому
удается найти их и договориться о встрече, но состояться ей не суждено. Немцы, напуганные партизанской деятельностью, собирают на площади стариков, женщин и детей и объявляют, что все будут расстреляны, если партизаны, взорвавшие военный объект, не сдадутся. Лейтенант и политический, оказавшиеся случайными свидетелями происходящего, спасая людей, выходят вперед и заявляют, что партизаны — это они.</t>
        </is>
      </c>
      <c r="L6731" s="2" t="inlineStr">
        <is>
          <t>https://gosfilmofond.ru/films/240435/</t>
        </is>
      </c>
      <c r="M6731" s="2">
        <f>HYPERLINK("https://ru.wikipedia.org/w/index.php?search=%D0%9F%D0%B5%D1%80%D0%B5%D0%B4%20%D1%80%D0%B0%D1%81%D1%81%D0%B2%D0%B5%D1%82%D0%BE%D0%BC%201989%20%D1%84%D0%B8%D0%BB%D1%8C%D0%BC","искать")</f>
        <v/>
      </c>
      <c r="N6731" s="3" t="n"/>
      <c r="O6731" s="2" t="n"/>
      <c r="P6731" s="2" t="n"/>
    </row>
    <row r="6732">
      <c r="A6732" s="2" t="n">
        <v>6731</v>
      </c>
      <c r="B6732" s="2" t="inlineStr"/>
      <c r="C6732" s="2" t="n">
        <v>11040</v>
      </c>
      <c r="D6732" s="3" t="inlineStr">
        <is>
          <t>Ретро</t>
        </is>
      </c>
      <c r="E6732" s="2" t="n">
        <v>1984</v>
      </c>
      <c r="F6732" s="2" t="inlineStr">
        <is>
          <t>фильм-спектакль</t>
        </is>
      </c>
      <c r="G6732" s="2" t="inlineStr">
        <is>
          <t>Литовское телевидение</t>
        </is>
      </c>
      <c r="H6732" s="2" t="n">
        <v>1079</v>
      </c>
      <c r="I6732" s="2" t="inlineStr"/>
      <c r="J6732" s="2" t="inlineStr"/>
      <c r="K6732" s="3" t="inlineStr">
        <is>
          <t>Телеспектакль по пьесе Александра Галина в постановке Русского драматического театра Литвы.
Старика Чмутина после смерти жены взяла к себе дочь Людмила. Но неуютно, холодно и тоскливо старику в удобной московской квартире. И вот дочь и зять решают его женить. Леонид находит для знакомства возможных "претенденток". Причем, чтобы не особенно церемониться и не тянуть время, он приглашает всех троих в один вечер, отпуская каждой на визит по часу. А женщины путают все его планы и приходят чуть ли не одновременно: Нина Ивановна, проработавшая много лет медсестрой, Роза Александровна, бывшая балерина, и Диана Владимировна.
Для четырёх пожилых людей это неожиданная встреча, так нелепо затеянная и устроенная Леонидом, дала возможность многое вспомнить и светло погрустить, ощутить теплоту искреннего внимания и нежную заботу, наконец, самому поддержать кого-то в трудную минуту.
Спектакль возвращает нас к старым, но отнюдь не устаревшим человеческим отношениям, говорит о доброте, искренности, взаимопонимании, сочувствии, приглашает нас пристальнее вглядеться в нашу же жизнь.</t>
        </is>
      </c>
      <c r="L6732" s="2" t="inlineStr">
        <is>
          <t>https://www.kino-teatr.ru/teatr/movie/106092/annot/</t>
        </is>
      </c>
      <c r="M6732" s="2">
        <f>HYPERLINK("https://ru.wikipedia.org/w/index.php?search=%D0%A0%D0%B5%D1%82%D1%80%D0%BE%201984%20%D1%84%D0%B8%D0%BB%D1%8C%D0%BC","искать")</f>
        <v/>
      </c>
      <c r="N6732" s="3" t="n"/>
      <c r="O6732" s="2" t="n"/>
      <c r="P6732" s="2" t="n"/>
    </row>
    <row r="6733">
      <c r="A6733" s="2" t="n">
        <v>6732</v>
      </c>
      <c r="B6733" s="2" t="inlineStr"/>
      <c r="C6733" s="2" t="n">
        <v>9450</v>
      </c>
      <c r="D6733" s="3" t="inlineStr">
        <is>
          <t>Легенда древних гор</t>
        </is>
      </c>
      <c r="E6733" s="2" t="n">
        <v>1988</v>
      </c>
      <c r="F6733" s="2" t="inlineStr">
        <is>
          <t>кинофильм</t>
        </is>
      </c>
      <c r="G6733" s="2" t="n"/>
      <c r="H6733" s="2" t="n">
        <v>1080</v>
      </c>
      <c r="I6733" s="2" t="inlineStr"/>
      <c r="J6733" s="2" t="inlineStr"/>
      <c r="K6733" s="3" t="inlineStr">
        <is>
          <t>По мотивам повести X. Дурдыева «Сильнее скал». Туркмения. Старый Нурягды теряет на охоте своего помощника — орла Алгыра. Птицу смертельно ранит во время схватки волк. Со своим маленьким внуком Мередом старик отправляется в горы, где на большой высоте гнездятся орлы, чтобы взять оттуда птенца
и научить его охотиться. Меред остается ждать дедушку в пещере у подножия скалы. Старик спускается со скалы к гнезду по веревке. Он борется с орлом, защищавшим своих детенышей, веревка обрывается, и старый охотник оказывается в ловушке. Меред, не дождавшись деда, идет домой за помощью. Но в ауле кончилась вода, и люди ушли на другое стойбище, остались только семья Мереда и сосед Нунна-ага. Нунна-ага и мальчик отправляются на помощь старику. В пути Нунна-ага погибает, сорвавшись в пропасть. Мальчик остается один. Все это время старый охотник пытается выбраться из западни. Сил остается все меньше и меньше, он совсем обессилел и готов уже к смерти, но вдруг слышит, как кричит его внук, нашедший, наконец, дедушку. Мальчик помогает охотнику выбраться. Вместе они возвращаются домой.</t>
        </is>
      </c>
      <c r="L6733" s="2" t="inlineStr">
        <is>
          <t>https://gosfilmofond.ru/films/240615/</t>
        </is>
      </c>
      <c r="M6733" s="2">
        <f>HYPERLINK("https://ru.wikipedia.org/w/index.php?search=%D0%9B%D0%B5%D0%B3%D0%B5%D0%BD%D0%B4%D0%B0%20%D0%B4%D1%80%D0%B5%D0%B2%D0%BD%D0%B8%D1%85%20%D0%B3%D0%BE%D1%80%201988%20%D1%84%D0%B8%D0%BB%D1%8C%D0%BC","искать")</f>
        <v/>
      </c>
      <c r="N6733" s="3" t="n"/>
      <c r="O6733" s="2" t="n"/>
      <c r="P6733" s="2" t="n"/>
    </row>
    <row r="6734">
      <c r="A6734" s="2" t="n">
        <v>6733</v>
      </c>
      <c r="B6734" s="2" t="inlineStr"/>
      <c r="C6734" s="2" t="n">
        <v>10467</v>
      </c>
      <c r="D6734" s="3" t="inlineStr">
        <is>
          <t>РЇ - Р РѕР±РёРЅ Р“СѓРґ</t>
        </is>
      </c>
      <c r="E6734" s="2" t="n">
        <v>1972</v>
      </c>
      <c r="F6734" s="2" t="inlineStr">
        <is>
          <t>фильм-спектакль</t>
        </is>
      </c>
      <c r="G6734" s="2" t="n"/>
      <c r="H6734" s="2" t="n">
        <v>1083</v>
      </c>
      <c r="I6734" s="2" t="inlineStr"/>
      <c r="J6734" s="2" t="inlineStr"/>
      <c r="K6734" s="3" t="inlineStr">
        <is>
          <t>РџРѕ РјРѕС‚РёРІР°Рј РѕРґРЅРѕРёРјРµРЅРЅРѕРіРѕ РїСЂРѕРёР·РІРµРґРµРЅРёСЏ Р®СЂРёСЏ РҐР°Р·Р°РЅРѕРІР°.
РўРµР»РµСЃРїРµРєС‚Р°РєР»СЊ Рѕ СЂР°Р·РЅС‹С… РёРЅС‚РµСЂРµСЃРЅС‹С… СЃРѕР±С‹С‚РёСЏС… Рё СЃР»СѓС‡Р°СЏС… РёР· Р¶РёР·РЅРё С€РєРѕР»СЊРЅРёРєРѕРІ - С…СЂР°Р±СЂРµС†Р°С… Рё РїСЂР°РІРґРѕР»СЋР±С†Р°С…, РїСЂСЏРјРѕР»РёРЅРµР№РЅС‹С… Рё СЃРєСЂС‹С‚РЅС‹С…. РЎ РЅРёРјРё РІСЃРµ РІСЂРµРјСЏ РїСЂРѕРёСЃС…РѕРґРёС‚ С‡С‚Рѕ-С‚Рѕ РёРЅС‚РµСЂРµСЃРЅРѕРµ - РІ С€РєРѕР»Рµ, РґРѕРјР°, РІРѕ РґРІРѕСЂРµ. Р­С‚Рѕ СЂР°СЃСЃРєР°Р· Рѕ С€РєРѕР»СЊРЅРёРєРµ, РєРѕС‚РѕСЂРѕРјСѓ РїРѕРґРґРµСЂР¶РєР° РґСЂСѓР·РµР№ РїРѕРјРѕРіР»Р° РїСЂРµРѕРґРѕР»РµС‚СЊ Р±РѕР»РµР·РЅСЊ.
РђРІС‚РѕСЂ РїРѕРґРЅРёРјР°РµС‚ РІР°Р¶РЅС‹Рµ РЅСЂР°РІСЃС‚РІРµРЅРЅС‹Рµ РїСЂРѕР±Р»РµРјС‹ - РґРѕР»РіР°, РґРѕРІРµСЂРёСЏ, РѕС‚РЅРѕС€РµРЅРёСЏ РґСЂСѓРі Рє РґСЂСѓРіСѓ. Р Р°СЃСЃРєР°Р·С‹РІР°СЏ Рѕ СЃРјРµС€РЅРѕРј Рё СЃРµСЂСЊС‘Р·РЅРѕРј, Рѕ РІРµСЃС‘Р»РѕРј Рё РіСЂСѓСЃС‚РЅРѕРј, Р®СЂРёР№ РҐР°Р·Р°РЅРѕРІ РЅРёРєРѕРіРґР° РЅРµ Р·Р°Р±С‹РІР°РµС‚ РЅР°РїРѕРјРЅРёС‚СЊ, С‡С‚Рѕ "С‡РµСЃС‚СЊ - СЌС‚Рѕ РїСЂР°РІРґРёРІРѕСЃС‚СЊ, С‡РµСЃС‚СЊ - СЌС‚Рѕ СЃРјРµР»РѕСЃС‚СЊ. РЎР»РѕРІРѕРј, С‡РµСЃС‚СЊ - СЌС‚Рѕ Р§РµСЃС‚СЊ".</t>
        </is>
      </c>
      <c r="L6734" s="2" t="inlineStr">
        <is>
          <t>https://www.kino-teatr.ru/teatr/movie/105656/annot/</t>
        </is>
      </c>
      <c r="M6734" s="2">
        <f>HYPERLINK("https://ru.wikipedia.org/w/index.php?search=%D0%A0%D0%87%20-%20%D0%A0%20%D0%A0%D1%95%D0%A0%C2%B1%D0%A0%D1%91%D0%A0%D0%85%20%D0%A0%E2%80%9C%D0%A1%D1%93%D0%A0%D2%91%201972%20%D1%84%D0%B8%D0%BB%D1%8C%D0%BC","искать")</f>
        <v/>
      </c>
      <c r="N6734" s="3" t="n"/>
      <c r="O6734" s="2" t="n"/>
      <c r="P6734" s="2" t="n"/>
    </row>
    <row r="6735">
      <c r="A6735" s="2" t="n">
        <v>6734</v>
      </c>
      <c r="B6735" s="2" t="inlineStr"/>
      <c r="C6735" s="2" t="n">
        <v>9856</v>
      </c>
      <c r="D6735" s="3" t="inlineStr">
        <is>
          <t>Цветик-семицветик</t>
        </is>
      </c>
      <c r="E6735" s="2" t="n">
        <v>1968</v>
      </c>
      <c r="F6735" s="2" t="inlineStr">
        <is>
          <t>кинофильм</t>
        </is>
      </c>
      <c r="G6735" s="2" t="inlineStr">
        <is>
          <t>К/ст им. Горького</t>
        </is>
      </c>
      <c r="H6735" s="2" t="n">
        <v>1091</v>
      </c>
      <c r="I6735" s="2" t="inlineStr"/>
      <c r="J6735" s="2" t="inlineStr"/>
      <c r="K6735" s="3" t="inlineStr">
        <is>
          <t>Мама посылает свою дочь — девочку Женю — в магазин за баранками. Купив баранки, Женя отвлекается на велосипедистов-гонщиков, и маленький пёсик съедает всю её покупку. Девочка бежит за пёсиком и попадает в незнакомую часть города. Там она знакомится с волшебницей, которая дарит ей цветик-семицветик. Если чего-то пожелать, а потом оторвать лепесток и бросить его так, чтобы он летел, а потом опустился, то всё исполнится.
Сперва Женя желает оказаться дома. Затем, попав туда, она разбивает мамину любимую вазочку, и желает, чтобы осколки склеились обратно. Третьим желанием девочки стало получение всех игрушек детей во дворе (Женю не хотели брать в игру), а затем — чтобы все игрушки вернулись обратно к хозяевам. Прогуливаясь по улице, Женя видит мальчиков, которые играют в космонавтов, готовящихся к полёту на Луну. Они не хотят с ней играть, и тогда девочка желает, чтобы она с одним из мальчиков оказалась на Полярной звезде, а затем желает попасть обратно на Землю.
Познакомившись с хромым мальчиком Витей, Женя тратит последний лепесток на благое дело — желает, чтобы тот выздоровел.</t>
        </is>
      </c>
      <c r="L6735" s="2" t="inlineStr">
        <is>
          <t>https://ru.wikipedia.org/w/index.php?title=%D0%A6%D0%B2%D0%B5%D1%82%D0%B8%D0%BA-%D1%81%D0%B5%D0%BC%D0%B8%D1%86%D0%B2%D0%B5%D1%82%D0%B8%D0%BA_%28%D1%84%D0%B8%D0%BB%D1%8C%D0%BC%29&amp;oldid=155366340</t>
        </is>
      </c>
      <c r="M6735" s="2">
        <f>HYPERLINK("https://ru.wikipedia.org/w/index.php?search=%D0%A6%D0%B2%D0%B5%D1%82%D0%B8%D0%BA-%D1%81%D0%B5%D0%BC%D0%B8%D1%86%D0%B2%D0%B5%D1%82%D0%B8%D0%BA%201968%20%D1%84%D0%B8%D0%BB%D1%8C%D0%BC","искать")</f>
        <v/>
      </c>
      <c r="N6735" s="3" t="n"/>
      <c r="O6735" s="2" t="n"/>
      <c r="P6735" s="2" t="n"/>
    </row>
    <row r="6736">
      <c r="A6736" s="2" t="n">
        <v>6735</v>
      </c>
      <c r="B6736" s="2" t="inlineStr"/>
      <c r="C6736" s="2" t="n">
        <v>9774</v>
      </c>
      <c r="D6736" s="3" t="inlineStr">
        <is>
          <t>Шурави</t>
        </is>
      </c>
      <c r="E6736" s="2" t="n">
        <v>1988</v>
      </c>
      <c r="F6736" s="2" t="inlineStr">
        <is>
          <t>кинофильм</t>
        </is>
      </c>
      <c r="G6736" s="2" t="n"/>
      <c r="H6736" s="2" t="n">
        <v>1092</v>
      </c>
      <c r="I6736" s="2" t="inlineStr"/>
      <c r="J6736" s="2" t="inlineStr"/>
      <c r="K6736" s="3" t="inlineStr">
        <is>
          <t>1988 год. Душманы привозят в афганский кишлак захваченного в плен 18-летнего советского солдата Николая Морозова. Его сажают в тюрьму, где уже находится воин афганской армии, тоже
захваченный в плен бандой Ахматхана. Оба солдата тяжело переживают свой плен. Душманы придумывают изощренные пытки, чтобы сломить их дух. На глазах Николая режут теленка, убивают афганского солдата. Профессиональный разведчик, выдающий себя за журналиста агентства «Рейтер», Эдвард Стафф, которому
предоставляют возможность взять интервью у Морозова, пытается склонить парня к измене Родине, обещая взамен красивую жизнь в Европе. Им разрешено общаться вне тюрьмы. Морозов, не выдержав психологического напряжения, в котором находился последнее время, пытается бежать, бросившись на минное поле. Ему везет — при взрыве он получает только легкое ранение. Из последних сил солдат идет в горы, вспоминая по дороге отца, мать, невесту. Семья пастуха спасает его от жажды. Вскоре приземляется советский вертолет. Николая перевозят в часть, где он сообщает командиру о готовящемся нападении душманов на Гератский мост.</t>
        </is>
      </c>
      <c r="L6736" s="2" t="inlineStr">
        <is>
          <t>https://gosfilmofond.ru/films/241840/</t>
        </is>
      </c>
      <c r="M6736" s="2">
        <f>HYPERLINK("https://ru.wikipedia.org/w/index.php?search=%D0%A8%D1%83%D1%80%D0%B0%D0%B2%D0%B8%201988%20%D1%84%D0%B8%D0%BB%D1%8C%D0%BC","искать")</f>
        <v/>
      </c>
      <c r="N6736" s="3" t="n"/>
      <c r="O6736" s="2" t="n"/>
      <c r="P6736" s="2" t="n"/>
    </row>
    <row r="6737">
      <c r="A6737" s="2" t="n">
        <v>6736</v>
      </c>
      <c r="B6737" s="2" t="inlineStr"/>
      <c r="C6737" s="2" t="n">
        <v>12328</v>
      </c>
      <c r="D6737" s="3" t="inlineStr">
        <is>
          <t>Буденовка</t>
        </is>
      </c>
      <c r="E6737" s="2" t="n">
        <v>1977</v>
      </c>
      <c r="F6737" s="2" t="inlineStr">
        <is>
          <t>мультфильм</t>
        </is>
      </c>
      <c r="G6737" s="2" t="inlineStr">
        <is>
          <t>КИЕВНАУЧФИЛЬМ</t>
        </is>
      </c>
      <c r="H6737" s="2" t="n">
        <v>1093</v>
      </c>
      <c r="I6737" s="2" t="inlineStr"/>
      <c r="J6737" s="2" t="inlineStr"/>
      <c r="K6737" s="3" t="inlineStr">
        <is>
          <t>По мотивам произведений Аркадия Гайдара.
Село, в котором живет семилетний Гриша Собакин, занимает отраяд красногвардейцев под командованием его дяди Егора. Но уже на следующий день белогвардейцы вновь захватывают село. Раненый Егор укрывается в камышах и просит мальчика, чтобы тот достал ему йод. Гришка направляется к белогвардейцам, которыми руководит барон Ваальд. Барону понравился мальчуган, и через него Гриша достает лекарство. Тем временем кто-то доносит на Егора, белогвардейцы арестовывают его. Гриша просит барона отпустить дядю, но Ваальд отказывает ему. Егора расстреливают. На следующий день Гришка встречает в камышах красного разведчика Леньку Сидоренко, который просит узнать о количестве белых в селе и их вооружении.Гришка выполняет поручение и не дожидаясь прихода красноармейцев начинает действовать сам. На него доносит кулацкий сын Васька. Гришку арестовывают, а его мать сажают в подвал. Вскоре красные входят в село. Гришка ищет своего друга, но ему говорят, что Ленька "ранен" в сердце и вылечится не скоро.Отряд покидает село, а мальчик дает себе слово ждать Леньку</t>
        </is>
      </c>
      <c r="L6737" s="2" t="inlineStr">
        <is>
          <t>https://gosfilmofond.ru/films/235493/</t>
        </is>
      </c>
      <c r="M6737" s="2">
        <f>HYPERLINK("https://ru.wikipedia.org/w/index.php?search=%D0%91%D1%83%D0%B4%D0%B5%D0%BD%D0%BE%D0%B2%D0%BA%D0%B0%201977%20%D1%84%D0%B8%D0%BB%D1%8C%D0%BC","искать")</f>
        <v/>
      </c>
      <c r="N6737" s="3" t="n"/>
      <c r="O6737" s="2" t="n"/>
      <c r="P6737" s="2" t="n"/>
    </row>
    <row r="6738">
      <c r="A6738" s="2" t="n">
        <v>6737</v>
      </c>
      <c r="B6738" s="2" t="inlineStr"/>
      <c r="C6738" s="2" t="n">
        <v>8877</v>
      </c>
      <c r="D6738" s="3" t="inlineStr">
        <is>
          <t>Нокдаун</t>
        </is>
      </c>
      <c r="E6738" s="2" t="n">
        <v>1989</v>
      </c>
      <c r="F6738" s="2" t="inlineStr">
        <is>
          <t>кинофильм</t>
        </is>
      </c>
      <c r="G6738" s="2" t="n"/>
      <c r="H6738" s="2" t="n">
        <v>1094</v>
      </c>
      <c r="I6738" s="2" t="inlineStr"/>
      <c r="J6738" s="2" t="inlineStr"/>
      <c r="K6738" s="3" t="inlineStr">
        <is>
          <t>Молодой талантливый боксер Даир влюбляется во врача спортивной команды красавицу Адинай. Девушка отвечает ему взаимностью, решив отказаться от уже намеченной свадьбы с председателем спорткомитета Анваром Султановичем. Из-за травмы глаза Даир проигрывает бой на ответственных соревнованиях, а затем, напившись, устраивает в ресторане драку. Воспользовавшись этим, Анвар Султанович, не простивший нанесенной ему обиды, делает все, чтобы боксера отчислили из команды. Даир женится на Адинай, молодые уезжают в аил. Но и там их подстерегают неприятности. В аил приезжает Анвар Султанович извиниться перед молодоженами, но Даиру кажется, что тот приехал только затем, чтобы повидаться с его женой. Считая, что жена ему изменяет, Даир начинает пить. Супруги расстаются. Случайная встреча, произошедшая через несколько лет, казалось бы, может вернуть их к прежней совместной жизни. Однако Даир, пообещав жене бросить пить, в очередной раз не удерживается от соблазна. Адинай с сыном уезжает. Даир не в силах перенести расставание с Адинай, в результате пережитого нервного потрясения он теряет зрение.</t>
        </is>
      </c>
      <c r="L6738" s="2" t="inlineStr">
        <is>
          <t>https://gosfilmofond.ru/films/240896/</t>
        </is>
      </c>
      <c r="M6738" s="2">
        <f>HYPERLINK("https://ru.wikipedia.org/w/index.php?search=%D0%9D%D0%BE%D0%BA%D0%B4%D0%B0%D1%83%D0%BD%201989%20%D1%84%D0%B8%D0%BB%D1%8C%D0%BC","искать")</f>
        <v/>
      </c>
      <c r="N6738" s="3" t="n"/>
      <c r="O6738" s="2" t="n"/>
      <c r="P6738" s="2" t="n"/>
    </row>
    <row r="6739">
      <c r="A6739" s="2" t="n">
        <v>6738</v>
      </c>
      <c r="B6739" s="2" t="inlineStr"/>
      <c r="C6739" s="2" t="n">
        <v>8490</v>
      </c>
      <c r="D6739" s="3" t="inlineStr">
        <is>
          <t>Туфли с золотыми пряжками</t>
        </is>
      </c>
      <c r="E6739" s="2" t="n">
        <v>1976</v>
      </c>
      <c r="F6739" s="2" t="inlineStr">
        <is>
          <t>телефильм</t>
        </is>
      </c>
      <c r="G6739" s="2" t="inlineStr">
        <is>
          <t>Одесская к/с</t>
        </is>
      </c>
      <c r="H6739" s="2" t="n">
        <v>1095</v>
      </c>
      <c r="I6739" s="2" t="inlineStr"/>
      <c r="J6739" s="2" t="inlineStr"/>
      <c r="K6739" s="3" t="inlineStr">
        <is>
          <t>Отец Иванушки плетёт лучшие во всей округе лапти. Своё умение он передал сыну, но что-то грустно стало в последнее время Ивану и он отпросился у родителей сходить на ярмарку, купить себе немного счастья. Деньги — полный кошель медяков — он по дороге истратил. Половину дал разбойникам, чтобы выручить из беды скомороха Тимоню, а другую у него выманил ярмарочный плут.
Повстречал Иван на ярмарке Марьюшку и понял, что это и есть его счастье. Но девушка оказалась дочкой Царя-батюшки, убежавшей тайком из царского дворца посмотреть, как народ веселится.
На поиски дочери царь отправляет двух заморских сыщиков, которые оказались переодетыми в чужое платье разбойниками. Марьюшку они разыскали, но, пользуясь случаем, украли из царской опочивальни туфли с золотыми пряжками (подарок дружественного короля) и алмазную корону.
Царь с большим неудовольствием узнал, что Марьюшка любит простого парня. Соискателю руки царевны он приказал построить напротив царского дворца невиданные хоромы. За одну ночь Иван сплёл из лыка сказочной красоты дом и царь был вынужден отдать ему в жёны единственную дочь.</t>
        </is>
      </c>
      <c r="L6739" s="2" t="inlineStr">
        <is>
          <t>https://ru.wikipedia.org/w/index.php?title=%D0%A2%D1%83%D1%84%D0%BB%D0%B8_%D1%81_%D0%B7%D0%BE%D0%BB%D0%BE%D1%82%D1%8B%D0%BC%D0%B8_%D0%BF%D1%80%D1%8F%D0%B6%D0%BA%D0%B0%D0%BC%D0%B8&amp;oldid=154087925</t>
        </is>
      </c>
      <c r="M6739" s="2">
        <f>HYPERLINK("https://ru.wikipedia.org/w/index.php?search=%D0%A2%D1%83%D1%84%D0%BB%D0%B8%20%D1%81%20%D0%B7%D0%BE%D0%BB%D0%BE%D1%82%D1%8B%D0%BC%D0%B8%20%D0%BF%D1%80%D1%8F%D0%B6%D0%BA%D0%B0%D0%BC%D0%B8%201976%20%D1%84%D0%B8%D0%BB%D1%8C%D0%BC","искать")</f>
        <v/>
      </c>
      <c r="N6739" s="3" t="n"/>
      <c r="O6739" s="2" t="n"/>
      <c r="P6739" s="2" t="n"/>
    </row>
    <row r="6740">
      <c r="A6740" s="2" t="n">
        <v>6739</v>
      </c>
      <c r="B6740" s="2" t="inlineStr"/>
      <c r="C6740" s="2" t="n">
        <v>10995</v>
      </c>
      <c r="D6740" s="3" t="inlineStr">
        <is>
          <t>Месье Ленуар, который...</t>
        </is>
      </c>
      <c r="E6740" s="2" t="n">
        <v>1983</v>
      </c>
      <c r="F6740" s="2" t="inlineStr">
        <is>
          <t>фильм-спектакль</t>
        </is>
      </c>
      <c r="G6740" s="2" t="inlineStr">
        <is>
          <t>Главная редакция лит-драм программ ЦТ</t>
        </is>
      </c>
      <c r="H6740" s="2" t="n">
        <v>1102</v>
      </c>
      <c r="I6740" s="2" t="inlineStr"/>
      <c r="J6740" s="2" t="inlineStr"/>
      <c r="K6740" s="3" t="inlineStr">
        <is>
          <t>Телеспектакль по пьесе Армана Салакру "Архипелаг Ленуар".
Глава фирмы и семейства месье Поль-Альбер Ленуар совершил преступление. Родственники собираются на семейный совет, чтобы защитить, прежде всего, свою честь и деньги. Они даже готовы убить старика или, на крайний случай, вынудить его совершить самоубийство. Но никто из них не замечает тихого слугу Жозефа, который уже все решил за них…
«Звездный» актерский состав и прекрасная режиссура доставят истинное удовольствие поклонникам театрального искусства.
Интересный факт: первоначально у телеспектакля было рабочее название «Архипелаг Ленуар». Примерно в тоже время Вениамин Смехов участвовал в пьесе «Ярты Гулак» («Верблюжье Ушко»), поставленной на основе туркменских сказок. Через некоторое время спешно сменили и название телеспектакля, и название пьесы. Телеспектакль получил название «Господин Ленуар, который…» (позже «Месье Ленуар, который…»), а пьесу назвали «Сказки каракумского ветра». Сам Вениамин Смехов связывает эту историю с тем, что объединенное название двух его работ было созвучным названию книги Солженицына «Архипелаг ГУЛАГ»</t>
        </is>
      </c>
      <c r="L6740" s="2" t="inlineStr">
        <is>
          <t>https://www.kino-teatr.ru/teatr/movie/16399/annot/</t>
        </is>
      </c>
      <c r="M6740" s="2">
        <f>HYPERLINK("https://ru.wikipedia.org/w/index.php?search=%D0%9C%D0%B5%D1%81%D1%8C%D0%B5%20%D0%9B%D0%B5%D0%BD%D1%83%D0%B0%D1%80%2C%20%D0%BA%D0%BE%D1%82%D0%BE%D1%80%D1%8B%D0%B9...%201983%20%D1%84%D0%B8%D0%BB%D1%8C%D0%BC","искать")</f>
        <v/>
      </c>
      <c r="N6740" s="3" t="n"/>
      <c r="O6740" s="2" t="n"/>
      <c r="P6740" s="2" t="n"/>
    </row>
    <row r="6741">
      <c r="A6741" s="2" t="n">
        <v>6740</v>
      </c>
      <c r="B6741" s="2" t="inlineStr"/>
      <c r="C6741" s="2" t="n">
        <v>9112</v>
      </c>
      <c r="D6741" s="3" t="inlineStr">
        <is>
          <t>Тропой бескорыстной любви</t>
        </is>
      </c>
      <c r="E6741" s="2" t="n">
        <v>1971</v>
      </c>
      <c r="F6741" s="2" t="inlineStr">
        <is>
          <t>кинофильм</t>
        </is>
      </c>
      <c r="G6741" s="2" t="n"/>
      <c r="H6741" s="2" t="n">
        <v>1103</v>
      </c>
      <c r="I6741" s="2" t="inlineStr"/>
      <c r="J6741" s="2" t="inlineStr"/>
      <c r="K6741" s="3" t="inlineStr">
        <is>
          <t>Спасая своё потомство от нападения медведя, самка рыси погибла, но защитила детёныша. Маленького несмышлёного рысёнка подобрал лесник Михалыч. Он принёс его к себе домой, выкормил и дал имя «Кунак». Котёнок начинает исследовать дом лесника, потом окрестности и лес. Познакомился и подружился с собакой. Прошёл год. Весть о том, что в доме у лесника выросла рысь, разнеслась по области. Михалычу предлагали за рысёнка большие деньги, но друзей не продают.
Как-то раз Михалычу удалось задержать компанию опасных браконьеров. Во время погони погибает собака лесника. Один из них отправляется в тюрьму на год, но решил после выхода на волю отомстить принципиальному леснику. Бандитам удаётся проникнуть в сторожку лесника и украсть Кунака. Редкое животное они продали в зооцирк. Михалычу, тоскующему без друга, знакомые рассказывают, что видели его рысёнка в городе.
Бандиты связывают Михалыча и оставляют связанным в зимнем лесу, в расчете на то, что он замерзнет или его растерзают волки. Но в нужный момент появляется сбежавший из зоопарка Кунак и освобождает Михалыча, перегрызя связывающие его веревки.</t>
        </is>
      </c>
      <c r="L6741" s="2" t="inlineStr">
        <is>
          <t>https://ru.wikipedia.org/w/index.php?title=%D0%A2%D1%80%D0%BE%D0%BF%D0%BE%D0%B9_%D0%B1%D0%B5%D1%81%D0%BA%D0%BE%D1%80%D1%8B%D1%81%D1%82%D0%BD%D0%BE%D0%B9_%D0%BB%D1%8E%D0%B1%D0%B2%D0%B8&amp;oldid=152135574</t>
        </is>
      </c>
      <c r="M6741" s="2">
        <f>HYPERLINK("https://ru.wikipedia.org/w/index.php?search=%D0%A2%D1%80%D0%BE%D0%BF%D0%BE%D0%B9%20%D0%B1%D0%B5%D1%81%D0%BA%D0%BE%D1%80%D1%8B%D1%81%D1%82%D0%BD%D0%BE%D0%B9%20%D0%BB%D1%8E%D0%B1%D0%B2%D0%B8%201971%20%D1%84%D0%B8%D0%BB%D1%8C%D0%BC","искать")</f>
        <v/>
      </c>
      <c r="N6741" s="3" t="n"/>
      <c r="O6741" s="2" t="n"/>
      <c r="P6741" s="2" t="n"/>
    </row>
    <row r="6742">
      <c r="A6742" s="2" t="n">
        <v>6741</v>
      </c>
      <c r="B6742" s="2" t="inlineStr"/>
      <c r="C6742" s="2" t="n">
        <v>9708</v>
      </c>
      <c r="D6742" s="3" t="inlineStr">
        <is>
          <t>Украденное свидание</t>
        </is>
      </c>
      <c r="E6742" s="2" t="n">
        <v>1988</v>
      </c>
      <c r="F6742" s="2" t="inlineStr">
        <is>
          <t>кинофильм</t>
        </is>
      </c>
      <c r="G6742" s="2" t="n"/>
      <c r="H6742" s="2" t="n">
        <v>1103</v>
      </c>
      <c r="I6742" s="2" t="inlineStr"/>
      <c r="J6742" s="2" t="inlineStr"/>
      <c r="K6742" s="3" t="inlineStr">
        <is>
          <t>Проведя несколько лет в женской колонии, тридцатилетняя Валентина Саар возвращается домой в Эстонию. Женщина одержима идеей во что бы то ни стало вернуть сына Юри, от которого когда-то отказалась. Не хотелось тогда Валентине, чтобы ее мальчик находился в приюте, пока она отбывает срок. Пусть лучше Юри
усыновят хорошие люди, и у ребенка будет нормальная семья. Так рассуждала она, сама выросшая в детдоме. Но, выйдя из колонии, Валентина ощущает одиночество и тоску по сыну. Чтобы узнать, кто его усыновил, она обманом, предъявив украденный паспорт своей подруги Милви, устраивается в семью инспектора гороно сиделкой к его больной матери. Наконец, узнав адрес, приходит к приемным родителям Юри, искренне любящим ребенка и нежно заботящимся о нем, и требует отдать мальчика. На следующий день Валентина тайком уводит Юри из школы. Она собирается уехать с ним из города. Чтобы без очереди купить билеты на поезд, Валентина крадет из коляски чужого ребенка... Но, в конце концов, женщина понимает,
что не сможет дать сыну то, что ему нужно. Трезво оценив ситуацию, она возвращает его приемным родителям.</t>
        </is>
      </c>
      <c r="L6742" s="2" t="inlineStr">
        <is>
          <t>https://gosfilmofond.ru/films/240972/</t>
        </is>
      </c>
      <c r="M6742" s="2">
        <f>HYPERLINK("https://ru.wikipedia.org/w/index.php?search=%D0%A3%D0%BA%D1%80%D0%B0%D0%B4%D0%B5%D0%BD%D0%BD%D0%BE%D0%B5%20%D1%81%D0%B2%D0%B8%D0%B4%D0%B0%D0%BD%D0%B8%D0%B5%201988%20%D1%84%D0%B8%D0%BB%D1%8C%D0%BC","искать")</f>
        <v/>
      </c>
      <c r="N6742" s="3" t="n"/>
      <c r="O6742" s="2" t="n"/>
      <c r="P6742" s="2" t="n"/>
    </row>
    <row r="6743">
      <c r="A6743" s="2" t="n">
        <v>6742</v>
      </c>
      <c r="B6743" s="2" t="inlineStr"/>
      <c r="C6743" s="2" t="n">
        <v>10097</v>
      </c>
      <c r="D6743" s="3" t="inlineStr">
        <is>
          <t>Композитор Ференц Легар</t>
        </is>
      </c>
      <c r="E6743" s="2" t="n">
        <v>1962</v>
      </c>
      <c r="F6743" s="2" t="inlineStr">
        <is>
          <t>фильм-спектакль</t>
        </is>
      </c>
      <c r="G6743" s="2" t="n"/>
      <c r="H6743" s="2" t="n">
        <v>1103</v>
      </c>
      <c r="I6743" s="2" t="inlineStr"/>
      <c r="J6743" s="2" t="inlineStr"/>
      <c r="K6743" s="3" t="inlineStr">
        <is>
          <t>О жизни и творчестве венгерского композитора Ференца Легара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оперетт композитора:
- "Весёлая вдова" исполняют: Мирдза Озолиня, Николай Рубан
- "Граф Люксембург" исполняют: Татьяна Шмыга, Алексей Феона, Ирина Муштакова, Григорий Ярон, Нелли Крылова, Николай Каширский, Василий Алчевский
- "Цыганская любовь" исполняют: Алла Еланская, Владимир Ивановский, Дина Потаповская, Георгий Дударев и артисты балета;
- "Ева" исполняют: Нонна Куралесина и артисты балета;
- "Там, где жаворонок поет" исполняет: Владимир Канделаки;
- "Страна улыбок" ("Желтая кофта") исполняет: Станислав Бруцин;
- "Танец стрекоз" исполняют: Татьяна Шмыга и артисты балета;
- "Паганини" исполняет: Николай Рубан;
- "Джудитта" исполняет: Зоя Белая.
А также фрагменты из зарубежного кинофильма, поставленного по оперетте "Веселая вдова" исполнители: Морис Шевалье, Жанетт Макдональд и балет</t>
        </is>
      </c>
      <c r="L6743" s="2" t="inlineStr">
        <is>
          <t>https://www.kino-teatr.ru/teatr/movie/86570/annot/</t>
        </is>
      </c>
      <c r="M6743" s="2">
        <f>HYPERLINK("https://ru.wikipedia.org/w/index.php?search=%D0%9A%D0%BE%D0%BC%D0%BF%D0%BE%D0%B7%D0%B8%D1%82%D0%BE%D1%80%20%D0%A4%D0%B5%D1%80%D0%B5%D0%BD%D1%86%20%D0%9B%D0%B5%D0%B3%D0%B0%D1%80%201962%20%D1%84%D0%B8%D0%BB%D1%8C%D0%BC","искать")</f>
        <v/>
      </c>
      <c r="N6743" s="3" t="n"/>
      <c r="O6743" s="2" t="n"/>
      <c r="P6743" s="2" t="n"/>
    </row>
    <row r="6744">
      <c r="A6744" s="2" t="n">
        <v>6743</v>
      </c>
      <c r="B6744" s="2" t="inlineStr"/>
      <c r="C6744" s="2" t="n">
        <v>7887</v>
      </c>
      <c r="D6744" s="3" t="inlineStr">
        <is>
          <t>Моё дело</t>
        </is>
      </c>
      <c r="E6744" s="2" t="n">
        <v>1976</v>
      </c>
      <c r="F6744" s="2" t="inlineStr">
        <is>
          <t>телефильм</t>
        </is>
      </c>
      <c r="G6744" s="2" t="n"/>
      <c r="H6744" s="2" t="n">
        <v>1105</v>
      </c>
      <c r="I6744" s="2" t="inlineStr"/>
      <c r="J6744" s="2" t="inlineStr"/>
      <c r="K6744" s="3" t="inlineStr">
        <is>
          <t>Действие происходит в СССР середины 1970-х годов.
Сюжет фильма повествует об одном дне жизни крупного советского предприятия.
Директор машиностроительного завода Друянов срывает поставку котлов для строящейся ГРЭС. Министерство собирается передать руководство заводом новому человеку. Однако, прежде чем Дмитрий Семеняка примет решение о принятии должности у Друянова, он хочет разобраться в том, почему возникли задержки с поставкой котлов.
Семеняка проводит один день в управлении завода и постепенно начинает понимать, что бывший директор — человек старой закалки, опытный и талантливый руководитель, но привык решать вопросы управления заводом при помощи различных уловок и политических ходов. Друянов заранее знал, что без модернизации производства не сможет вовремя поставить котлы, но подписал обязательства в расчёте на финансирование и ресурсы, которые заводу выделят под этот проект…
Концовка фильма не даёт ответа о решении назначенца, но Семеняка заявляет Друянову, что пришло новое время, когда нужно руководствоваться прежде всего открытостью и рациональностью, а не манёврами и ухищрениями.</t>
        </is>
      </c>
      <c r="L6744" s="2" t="inlineStr">
        <is>
          <t>https://ru.wikipedia.org/w/index.php?title=%D0%9C%D0%BE%D1%91_%D0%B4%D0%B5%D0%BB%D0%BE&amp;oldid=144460669</t>
        </is>
      </c>
      <c r="M6744" s="2">
        <f>HYPERLINK("https://ru.wikipedia.org/w/index.php?search=%D0%9C%D0%BE%D1%91%20%D0%B4%D0%B5%D0%BB%D0%BE%201976%20%D1%84%D0%B8%D0%BB%D1%8C%D0%BC","искать")</f>
        <v/>
      </c>
      <c r="N6744" s="3" t="n"/>
      <c r="O6744" s="2" t="n"/>
      <c r="P6744" s="2" t="n"/>
    </row>
    <row r="6745">
      <c r="A6745" s="2" t="n">
        <v>6744</v>
      </c>
      <c r="B6745" s="2" t="inlineStr"/>
      <c r="C6745" s="2" t="n">
        <v>9549</v>
      </c>
      <c r="D6745" s="3" t="inlineStr">
        <is>
          <t>Песнь, наводящая ужас</t>
        </is>
      </c>
      <c r="E6745" s="2" t="n">
        <v>1989</v>
      </c>
      <c r="F6745" s="2" t="inlineStr">
        <is>
          <t>кинофильм</t>
        </is>
      </c>
      <c r="G6745" s="2" t="n"/>
      <c r="H6745" s="2" t="n">
        <v>1105</v>
      </c>
      <c r="I6745" s="2" t="inlineStr"/>
      <c r="J6745" s="2" t="inlineStr"/>
      <c r="K6745" s="3" t="inlineStr">
        <is>
          <t>Великая Отечественная война. Девушки-инвалиды после ранений проходят курс лечения в военном госпитале. У Инги парализована нижняя половина тела. Жизнерадостная и отзывчивая Галка подбадривает всех рассказами о счастливой кровати в их палате, с которой жених на руках унес безногую невесту. В Галю влюблен комбат, и она верит в то, что и с одной ногой будет для него самой желанной. Бывшая летчица Элла четыре раза пыталась покончить с собой. У нее ушиб печени, ее скручивают страшные боли. У Алены, пережившей блокаду, полная потеря памяти. Пользуясь ее простотой, мужеподобная медсестра Сима склоняет ее к воровству и доносительству. Однорукую Лиду, майора медицинской службы, арестовывают как дочь «врага народа»... Девушек подбадривает слепой массажист Ваня, убеждая их, что будет у них еще и семья, и дети. Но, похоже, что мечты о семейном счастье не сбудутся. Галя получает письмо от комбата, в котором он сообщает, что нашел другую. Девушка в порыве отчаяния уходит из госпиталя. Алена кончает жизнь самоубийством. Эллу увозят в психиатрическую клинику... Повезло только Инге — за ней приезжает муж.</t>
        </is>
      </c>
      <c r="L6745" s="2" t="inlineStr">
        <is>
          <t>https://gosfilmofond.ru/films/240495/</t>
        </is>
      </c>
      <c r="M6745" s="2">
        <f>HYPERLINK("https://ru.wikipedia.org/w/index.php?search=%D0%9F%D0%B5%D1%81%D0%BD%D1%8C%2C%20%D0%BD%D0%B0%D0%B2%D0%BE%D0%B4%D1%8F%D1%89%D0%B0%D1%8F%20%D1%83%D0%B6%D0%B0%D1%81%201989%20%D1%84%D0%B8%D0%BB%D1%8C%D0%BC","искать")</f>
        <v/>
      </c>
      <c r="N6745" s="3" t="n"/>
      <c r="O6745" s="2" t="n"/>
      <c r="P6745" s="2" t="n"/>
    </row>
    <row r="6746">
      <c r="A6746" s="2" t="n">
        <v>6745</v>
      </c>
      <c r="B6746" s="2" t="inlineStr"/>
      <c r="C6746" s="2" t="n">
        <v>7413</v>
      </c>
      <c r="D6746" s="3" t="inlineStr">
        <is>
          <t>Вся правда о Колумбе</t>
        </is>
      </c>
      <c r="E6746" s="2" t="n">
        <v>1970</v>
      </c>
      <c r="F6746" s="2" t="inlineStr">
        <is>
          <t>телефильм</t>
        </is>
      </c>
      <c r="G6746" s="2" t="n"/>
      <c r="H6746" s="2" t="n">
        <v>1107</v>
      </c>
      <c r="I6746" s="2" t="inlineStr"/>
      <c r="J6746" s="2" t="inlineStr"/>
      <c r="K6746" s="3" t="inlineStr">
        <is>
          <t>Действие происходит в неназванной латиноамериканской стране, где идёт революция под предводительством таинственного лидера по имени Колумб.
Двое крестьян — Пабло и Педро, приехав с гор в маленький городок, чтобы связаться с революционерами, попадаются полиции. Ранее они от революционера «Учителя» узнают отчаянную истину: Колумб умер от тифа, но эту правду нужно скрыть, так как именно именем умершего связываются надежды повстанцев.
Вскоре Пабло арестовывают. В тюрьме капитану Падрильо даны все полномочия, чтобы добиться информации о Колумбе…
В противостоянии палача и жертвы, пытающего и пытаемого, проявляются характеры людей.
Фильм как баллада, как сказание о подвиге и страданиях героя. Зовут его Пабло. Он коммунист и простой человек, крестьянин. В единоборстве с комиссаром полиции, на допросах и под пытками, он обнаружит такую силу духа и ума, стойкости и преданности своему делу, что победит. Никто не узнает правду о Колумбе — лидере коммунистов.
Пабло не только выдерживает пытки, но и так себя ставит, что в итоге палач, жаждущий денег и власти, не выдержав нервного напряжения сходит с ума.</t>
        </is>
      </c>
      <c r="L6746" s="2" t="inlineStr">
        <is>
          <t>https://ru.wikipedia.org/w/index.php?title=%D0%92%D1%81%D1%8F_%D0%BF%D1%80%D0%B0%D0%B2%D0%B4%D0%B0_%D0%BE_%D0%9A%D0%BE%D0%BB%D1%83%D0%BC%D0%B1%D0%B5&amp;oldid=154693207</t>
        </is>
      </c>
      <c r="M6746" s="2">
        <f>HYPERLINK("https://ru.wikipedia.org/w/index.php?search=%D0%92%D1%81%D1%8F%20%D0%BF%D1%80%D0%B0%D0%B2%D0%B4%D0%B0%20%D0%BE%20%D0%9A%D0%BE%D0%BB%D1%83%D0%BC%D0%B1%D0%B5%201970%20%D1%84%D0%B8%D0%BB%D1%8C%D0%BC","искать")</f>
        <v/>
      </c>
      <c r="N6746" s="3" t="n"/>
      <c r="O6746" s="2" t="n"/>
      <c r="P6746" s="2" t="n"/>
    </row>
    <row r="6747">
      <c r="A6747" s="2" t="n">
        <v>6746</v>
      </c>
      <c r="B6747" s="2" t="inlineStr"/>
      <c r="C6747" s="2" t="n">
        <v>9676</v>
      </c>
      <c r="D6747" s="3" t="inlineStr">
        <is>
          <t>Стук в дверь</t>
        </is>
      </c>
      <c r="E6747" s="2" t="n">
        <v>1989</v>
      </c>
      <c r="F6747" s="2" t="inlineStr">
        <is>
          <t>кинофильм</t>
        </is>
      </c>
      <c r="G6747" s="2" t="n"/>
      <c r="H6747" s="2" t="n">
        <v>1107</v>
      </c>
      <c r="I6747" s="2" t="inlineStr"/>
      <c r="J6747" s="2" t="inlineStr"/>
      <c r="K6747" s="3" t="inlineStr">
        <is>
          <t>Молдавия. 1949 год. Ночью в квартире директора районной школы Баулина раздается стук в дверь. Хозяина срочно вызывают в райком партии. Получен приказ о переселении в отдаленные места лиц, сотрудничавших с фашистами. Первый секретарь Гололобов собирает людей для выполнения данной операции. Баулину и
сотрудникам НКВД предписано выехать в село Пырлица. Директор школы уверен в правильности решения правительства, поэтому без колебаний проводит аресты. Но когда он приходит в дом местного ветеринара Вердыша и узнает, что арест ветеринара вызван тем, что тот является членом компартии Румынии, то начинает сомневаться в целесообразности действий руководящих органов. Наконец, Баулин приходит в дом Иону Урсулу, в котором узнает фронтового друга Ваню Медведя. Потрясенный, он понимает, что происходит
какая-то ошибка. Докладывая Гололобову о происшедшем, Баулин настаивает на разбирательстве. Но тот не спешит с ответом. Случайно на пункте отправки узнают, что Иону Урсулу является орденоносцем, и его освобождают. Но, несмотря на это, семья фронтовика отправляется вместе с «неблагонадежными» лицами в ссылку.</t>
        </is>
      </c>
      <c r="L6747" s="2" t="inlineStr">
        <is>
          <t>https://gosfilmofond.ru/films/240352/</t>
        </is>
      </c>
      <c r="M6747" s="2">
        <f>HYPERLINK("https://ru.wikipedia.org/w/index.php?search=%D0%A1%D1%82%D1%83%D0%BA%20%D0%B2%20%D0%B4%D0%B2%D0%B5%D1%80%D1%8C%201989%20%D1%84%D0%B8%D0%BB%D1%8C%D0%BC","искать")</f>
        <v/>
      </c>
      <c r="N6747" s="3" t="n"/>
      <c r="O6747" s="2" t="n"/>
      <c r="P6747" s="2" t="n"/>
    </row>
    <row r="6748">
      <c r="A6748" s="2" t="n">
        <v>6747</v>
      </c>
      <c r="B6748" s="2" t="inlineStr"/>
      <c r="C6748" s="2" t="n">
        <v>7268</v>
      </c>
      <c r="D6748" s="3" t="inlineStr">
        <is>
          <t>Братан</t>
        </is>
      </c>
      <c r="E6748" s="2" t="n">
        <v>1991</v>
      </c>
      <c r="F6748" s="2" t="inlineStr">
        <is>
          <t>телефильм</t>
        </is>
      </c>
      <c r="G6748" s="2" t="inlineStr">
        <is>
          <t>«Таджикфильм»; «Союзтелефильм»</t>
        </is>
      </c>
      <c r="H6748" s="2" t="n">
        <v>1108</v>
      </c>
      <c r="I6748" s="2" t="inlineStr"/>
      <c r="J6748" s="2" t="inlineStr"/>
      <c r="K6748" s="3" t="inlineStr">
        <is>
          <t>В одном городе живут вместе двое братьев, старший Фарух и младший Азамат, он же Пончик. Отец ушёл из их семьи, мать вскоре умерла и теперь они живут одни вместе с бабушкой. Старший из братьев затевает поездку в гости к отцу и берёт с собой Пончика. Вообще он предпринимает это путешествие с расчётом оставить Азамата у отца. Они отправляются в путешествие на товарном поезде по узкоколейке, которым управляет один их знакомый.
Поездка составляет бо́льшую часть сюжета фильма. Поезд периодически делает остановки в различных местах, где машинист что-нибудь забирает или что-нибудь передаёт. Иногда к ним подсаживаются новые пассажиры. По приезде на место братья отправляются к отцу, у которого встречают незнакомую женщину. Старший сын тихонько сообщает, что хотел бы младшего оставить здесь и что Пончик сам этого очень хочет. Пончику же говорит, что тот должен обязательно остаться у отца и что этого хочет именно отец. Сам же Фарух через несколько дней запрыгивает на обратный поезд.
Во время остановки в грузовом отсеке под брезентом находится плачущий Пончик, который не собирается расставаться с братом.</t>
        </is>
      </c>
      <c r="L6748" s="2" t="inlineStr">
        <is>
          <t>https://ru.wikipedia.org/w/index.php?title=%D0%91%D1%80%D0%B0%D1%82%D0%B0%D0%BD_%28%D1%84%D0%B8%D0%BB%D1%8C%D0%BC%29&amp;oldid=146651276</t>
        </is>
      </c>
      <c r="M6748" s="2">
        <f>HYPERLINK("https://ru.wikipedia.org/w/index.php?search=%D0%91%D1%80%D0%B0%D1%82%D0%B0%D0%BD%201991%20%D1%84%D0%B8%D0%BB%D1%8C%D0%BC","искать")</f>
        <v/>
      </c>
      <c r="N6748" s="3" t="n"/>
      <c r="O6748" s="2" t="n"/>
      <c r="P6748" s="2" t="n"/>
    </row>
    <row r="6749">
      <c r="A6749" s="2" t="n">
        <v>6748</v>
      </c>
      <c r="B6749" s="2" t="inlineStr"/>
      <c r="C6749" s="2" t="n">
        <v>7200</v>
      </c>
      <c r="D6749" s="3" t="inlineStr">
        <is>
          <t>Акмаль, Дракон и Принцесса</t>
        </is>
      </c>
      <c r="E6749" s="2" t="n">
        <v>1981</v>
      </c>
      <c r="F6749" s="2" t="inlineStr">
        <is>
          <t>телефильм</t>
        </is>
      </c>
      <c r="G6749" s="2" t="n"/>
      <c r="H6749" s="2" t="n">
        <v>1111</v>
      </c>
      <c r="I6749" s="2" t="inlineStr"/>
      <c r="J6749" s="2" t="inlineStr"/>
      <c r="K6749" s="3" t="inlineStr">
        <is>
          <t>Фильм начинается с поисков мальчика Акмаля, уже неоднократно уходившего из дома в поисках приключений. Когда его находят, он утверждает, что побывал в сказке. Оказавшись в сказке и сориентировавшись во времени, начитанный Акмаль вспоминает, что принцессе Гузаль угрожает опасность: сегодня на закате её должен похитить дракон Кара-Батур. С помощью старичка-волшебника он отправляется предупредить людей.
Однако Акмаль опоздал — когда он пришёл в город, там уже побывал дракон, который похитил принцессу, а остальных жителей заколдовал, лишив возможности двигаться. Избежал участи только отец принцессы — хан, который во время нападения дракона спрятался под столом. Акмаль отправляется по следам дракона, а хан, случайно коснувшись одного из подданных, также застывает на месте. В пути Акмалю встречается ведьма с единственным больным зубом. Акмаль, вырвав ей зуб, избавляет её от страданий, и ведьма в благодарность решает помочь ему.
Акмаль вступает в схватку с драконом. К нему на помощь поспевает разыскивающий его милиционер Нуриев. Вдвоём они с помощью сказочного огненного тюльпана одолевают Кара-Батура.</t>
        </is>
      </c>
      <c r="L6749" s="2" t="inlineStr">
        <is>
          <t>https://ru.wikipedia.org/w/index.php?title=%D0%90%D0%BA%D0%BC%D0%B0%D0%BB%D1%8C%2C_%D0%B4%D1%80%D0%B0%D0%BA%D0%BE%D0%BD_%D0%B8_%D0%BF%D1%80%D0%B8%D0%BD%D1%86%D0%B5%D1%81%D1%81%D0%B0&amp;oldid=148248145</t>
        </is>
      </c>
      <c r="M6749" s="2">
        <f>HYPERLINK("https://ru.wikipedia.org/w/index.php?search=%D0%90%D0%BA%D0%BC%D0%B0%D0%BB%D1%8C%2C%20%D0%94%D1%80%D0%B0%D0%BA%D0%BE%D0%BD%20%D0%B8%20%D0%9F%D1%80%D0%B8%D0%BD%D1%86%D0%B5%D1%81%D1%81%D0%B0%201981%20%D1%84%D0%B8%D0%BB%D1%8C%D0%BC","искать")</f>
        <v/>
      </c>
      <c r="N6749" s="3" t="n"/>
      <c r="O6749" s="2" t="n"/>
      <c r="P6749" s="2" t="n"/>
    </row>
    <row r="6750">
      <c r="A6750" s="2" t="n">
        <v>6749</v>
      </c>
      <c r="B6750" s="2" t="inlineStr"/>
      <c r="C6750" s="2" t="n">
        <v>7183</v>
      </c>
      <c r="D6750" s="3" t="inlineStr">
        <is>
          <t>31 июня</t>
        </is>
      </c>
      <c r="E6750" s="2" t="n">
        <v>1978</v>
      </c>
      <c r="F6750" s="2" t="inlineStr">
        <is>
          <t>телефильм</t>
        </is>
      </c>
      <c r="G6750" s="2" t="inlineStr">
        <is>
          <t>Киностудия «Мосфильм»; Творческое объединение телевизионных фильмов</t>
        </is>
      </c>
      <c r="H6750" s="2" t="n">
        <v>1113</v>
      </c>
      <c r="I6750" s="2" t="inlineStr"/>
      <c r="J6750" s="2" t="inlineStr"/>
      <c r="K6750" s="3" t="inlineStr">
        <is>
          <t>Действие фильма происходит в Британии в двух временны́х линиях — в XII и XXI веках. Мелиот — правитель королевства Перадор — ищет жениха для своей дочери — принцессы Мелисенты. Те претенденты на её руку, что живут с ней в одно время, не подходят принцессе. В этот же день 30 июня человек XXI века — художник Сэм Пенти ищет образ девушки для рекламы чулок, которую ему необходимо сдать 1 июля. Увидев Мелисенту в зеркале, Сэм понимает, что нашёл ту, которую так долго искал.
Злой волшебник Мальгрим устраивает недолгую встречу Мелисенты и Сэма на Звёздном мосту. Они влюбляются друг в друга с первого взгляда, но за их соединение Мальгрим просит слишком большую плату — волшебную брошь Великого Мерлина, принадлежащую Мелисенте. Добрый волшебник Марлаграм пытается помочь влюблённым, но безуспешно.
Обитатели двух миров путешествуют туда и обратно, попадая в комические ситуации. С брошью приходится расстаться, но Сэм и Мелисента наконец обретают друг друга. Лунный день 31 июня заканчивается, и участники истории забывают всё, что с ними случилось в тот день. Только Сэм и Мелисента продолжают любить друг друга.</t>
        </is>
      </c>
      <c r="L6750" s="2" t="inlineStr">
        <is>
          <t>https://ru.wikipedia.org/w/index.php?title=31_%D0%B8%D1%8E%D0%BD%D1%8F_%28%D1%84%D0%B8%D0%BB%D1%8C%D0%BC%29&amp;oldid=154727193</t>
        </is>
      </c>
      <c r="M6750" s="2">
        <f>HYPERLINK("https://ru.wikipedia.org/w/index.php?search=31%20%D0%B8%D1%8E%D0%BD%D1%8F%201978%20%D1%84%D0%B8%D0%BB%D1%8C%D0%BC","искать")</f>
        <v/>
      </c>
      <c r="N6750" s="3" t="n"/>
      <c r="O6750" s="2" t="n"/>
      <c r="P6750" s="2" t="n"/>
    </row>
    <row r="6751">
      <c r="A6751" s="2" t="n">
        <v>6750</v>
      </c>
      <c r="B6751" s="2" t="inlineStr"/>
      <c r="C6751" s="2" t="n">
        <v>8992</v>
      </c>
      <c r="D6751" s="3" t="inlineStr">
        <is>
          <t>Прямая трансляция</t>
        </is>
      </c>
      <c r="E6751" s="2" t="n">
        <v>1989</v>
      </c>
      <c r="F6751" s="2" t="inlineStr">
        <is>
          <t>кинофильм</t>
        </is>
      </c>
      <c r="G6751" s="2" t="n"/>
      <c r="H6751" s="2" t="n">
        <v>1114</v>
      </c>
      <c r="I6751" s="2" t="inlineStr"/>
      <c r="J6751" s="2" t="inlineStr"/>
      <c r="K6751" s="3" t="inlineStr">
        <is>
          <t>Весна 1985 года. По всей стране транслируются похороны Генерального секретаря Коммунистической парии Советского Союза К.У. Черненко. Журналист Сергей Еремин, который хочет опубликовать повесть своего друга, писателя Павла Старикова, неожиданно обнаруживает, что рукопись повести исчезла. Пропал куда-то
и сам Стариков. Сергей начинает искать его. Сначала Еремин обращается к отцу Старикова и узнает, что Павел ушел из этой квартиры сразу же после ссоры со своей подругой, которая оказалась бывшей женой Еремина Люсей. Вместе они продолжают поиски Павла. Помочь им никто не хочет. Бывший приятель и сокурсник Старикова Лебедев занят только свой диссертацией. Очередная подружка Павла требует от Еремина и Люси, чтобы они оставили Старикова в покое. А художник, друг Павла, отказывается даже говорить с Ереминым, так как тот был когда-то комсоргом курса и, по его мнению, стукачом и сексотом. В конце концов, поиски приводят Еремина и Люсю в котельную, где, оказывается, жил и провел свои последние дни Стариков. Люди из котельной рассказывают им, как умер Павел, и передают квитанцию на получение урны с его прахом.</t>
        </is>
      </c>
      <c r="L6751" s="2" t="inlineStr">
        <is>
          <t>https://gosfilmofond.ru/films/241032/</t>
        </is>
      </c>
      <c r="M6751" s="2">
        <f>HYPERLINK("https://ru.wikipedia.org/w/index.php?search=%D0%9F%D1%80%D1%8F%D0%BC%D0%B0%D1%8F%20%D1%82%D1%80%D0%B0%D0%BD%D1%81%D0%BB%D1%8F%D1%86%D0%B8%D1%8F%201989%20%D1%84%D0%B8%D0%BB%D1%8C%D0%BC","искать")</f>
        <v/>
      </c>
      <c r="N6751" s="3" t="n"/>
      <c r="O6751" s="2" t="n"/>
      <c r="P6751" s="2" t="n"/>
    </row>
    <row r="6752">
      <c r="A6752" s="2" t="n">
        <v>6751</v>
      </c>
      <c r="B6752" s="2" t="inlineStr"/>
      <c r="C6752" s="2" t="n">
        <v>7274</v>
      </c>
      <c r="D6752" s="3" t="inlineStr">
        <is>
          <t>Бросок, или Всё началось в субботу</t>
        </is>
      </c>
      <c r="E6752" s="2" t="n">
        <v>1976</v>
      </c>
      <c r="F6752" s="2" t="inlineStr">
        <is>
          <t>телефильм</t>
        </is>
      </c>
      <c r="G6752" s="2" t="inlineStr">
        <is>
          <t>Казахфильм</t>
        </is>
      </c>
      <c r="H6752" s="2" t="n">
        <v>1116</v>
      </c>
      <c r="I6752" s="2" t="inlineStr"/>
      <c r="J6752" s="2" t="inlineStr"/>
      <c r="K6752" s="3" t="inlineStr">
        <is>
          <t>Архитектор Темирбек Сарсенбаев получает в дар от загадочного профессора умение безошибочно бросать предметы в цель, с больших расстояний и почти не целясь. Об этом узнаёт тренер местного баскетбольного клуба «Арман» и предлагает ему попробовать свои силы в игре. И хотя у Темирбека нет никаких природных данных для баскетбола, кроме умения точно кидать мяч, его дар преображает команду, которая начинает «играть на Сарсенбаева».
Команда, ведомая новым лидером, одерживает ряд громких побед, а сам Темирбек становится настоящей звездой баскетбола. Болельщики его буквально носят на руках, у него появляются поклонницы, о чём он раньше не мог и мечтать. Но успех и слава не приносят счастья Сарсенбаеву, он понимает, что так и не смог стать настоящим баскетболистом.
Накануне решающего матча он заявляет об уходе из клуба. «Арман» начинает проигрывать без своего лидера, Темирбек всё-таки приезжает на игру, чтобы помочь команде. Выйдя на площадку и добившись перелома в игре, он просит тренера заменить его молодым игроком, «вечным запасным». «Арман» побеждает, и Сарсенбаев после матча окончательно уходит из спорта.</t>
        </is>
      </c>
      <c r="L6752" s="2" t="inlineStr">
        <is>
          <t>https://ru.wikipedia.org/w/index.php?title=%D0%91%D1%80%D0%BE%D1%81%D0%BE%D0%BA%2C_%D0%B8%D0%BB%D0%B8_%D0%92%D1%81%D1%91_%D0%BD%D0%B0%D1%87%D0%B0%D0%BB%D0%BE%D1%81%D1%8C_%D0%B2_%D1%81%D1%83%D0%B1%D0%B1%D0%BE%D1%82%D1%83&amp;oldid=154692279</t>
        </is>
      </c>
      <c r="M6752" s="2">
        <f>HYPERLINK("https://ru.wikipedia.org/w/index.php?search=%D0%91%D1%80%D0%BE%D1%81%D0%BE%D0%BA%2C%20%D0%B8%D0%BB%D0%B8%20%D0%92%D1%81%D1%91%20%D0%BD%D0%B0%D1%87%D0%B0%D0%BB%D0%BE%D1%81%D1%8C%20%D0%B2%20%D1%81%D1%83%D0%B1%D0%B1%D0%BE%D1%82%D1%83%201976%20%D1%84%D0%B8%D0%BB%D1%8C%D0%BC","искать")</f>
        <v/>
      </c>
      <c r="N6752" s="3" t="n"/>
      <c r="O6752" s="2" t="n"/>
      <c r="P6752" s="2" t="n"/>
    </row>
    <row r="6753">
      <c r="A6753" s="2" t="n">
        <v>6752</v>
      </c>
      <c r="B6753" s="2" t="inlineStr"/>
      <c r="C6753" s="2" t="n">
        <v>7433</v>
      </c>
      <c r="D6753" s="3" t="inlineStr">
        <is>
          <t>Где вы, рыцари?</t>
        </is>
      </c>
      <c r="E6753" s="2" t="n">
        <v>1971</v>
      </c>
      <c r="F6753" s="2" t="inlineStr">
        <is>
          <t>телефильм</t>
        </is>
      </c>
      <c r="G6753" s="2" t="inlineStr">
        <is>
          <t>к/с им. Довженко</t>
        </is>
      </c>
      <c r="H6753" s="2" t="n">
        <v>1118</v>
      </c>
      <c r="I6753" s="2" t="inlineStr"/>
      <c r="J6753" s="2" t="inlineStr"/>
      <c r="K6753" s="3" t="inlineStr">
        <is>
          <t>Талантливый учёный Игорь Владимирович Кресовский любит аэроспортсменку Юлю и собирается объясниться, но не успевает — она случайно встречает музыканта Женю и так же случайно из-за непогоды вынуждена скоротать ночь в его коммунальной квартире со своей подругой Леной, девушкой одного из музыкантов коллектива, который возглавляет Женя. Узнав об этом, уязвлённый учёный прерывает перспективную научную работу, отказывается делать доклад на симпозиуме, собирает вещи и уходит «в горы», но в аэропорту передумывает и возвращается, чтобы обрести душевное равновесие в труде. Его коллега и партнёр Ким Алексеевич наговаривает на Женю и подначивает Кресовского объясниться с ним.
Объяснение начинается с оскорблений и переходит в эксцентрическую дуэль на шпагах, в результате чего учёного с царапиной увозят в больницу, а музыканта — в милицию. Чтобы расставить точки над i, Юля пишет письмо Кресовскому, где сообщает, что любит Женю. Учёный сбегает из больницы в милицию, чтобы защитить Женю и принять вину на себя. В то же время Ким Алексеевич продолжает интриговать, но ничто не может помешать взаимным искренним чувствам.</t>
        </is>
      </c>
      <c r="L6753" s="2" t="inlineStr">
        <is>
          <t>https://ru.wikipedia.org/w/index.php?title=%D0%93%D0%B4%D0%B5_%D0%B2%D1%8B%2C_%D1%80%D1%8B%D1%86%D0%B0%D1%80%D0%B8%3F&amp;oldid=149104988</t>
        </is>
      </c>
      <c r="M6753" s="2">
        <f>HYPERLINK("https://ru.wikipedia.org/w/index.php?search=%D0%93%D0%B4%D0%B5%20%D0%B2%D1%8B%2C%20%D1%80%D1%8B%D1%86%D0%B0%D1%80%D0%B8%3F%201971%20%D1%84%D0%B8%D0%BB%D1%8C%D0%BC","искать")</f>
        <v/>
      </c>
      <c r="N6753" s="3" t="n"/>
      <c r="O6753" s="2" t="n"/>
      <c r="P6753" s="2" t="n"/>
    </row>
    <row r="6754">
      <c r="A6754" s="2" t="n">
        <v>6753</v>
      </c>
      <c r="B6754" s="2" t="inlineStr"/>
      <c r="C6754" s="2" t="n">
        <v>8636</v>
      </c>
      <c r="D6754" s="3" t="inlineStr">
        <is>
          <t>Боярышник</t>
        </is>
      </c>
      <c r="E6754" s="2" t="n">
        <v>1981</v>
      </c>
      <c r="F6754" s="2" t="inlineStr">
        <is>
          <t>кинофильм</t>
        </is>
      </c>
      <c r="G6754" s="2" t="inlineStr">
        <is>
          <t>Казахфильм</t>
        </is>
      </c>
      <c r="H6754" s="2" t="n">
        <v>1120</v>
      </c>
      <c r="I6754" s="2" t="inlineStr"/>
      <c r="J6754" s="2" t="inlineStr"/>
      <c r="K6754" s="3" t="inlineStr">
        <is>
          <t>Ревизора райфинотдела старика Каугабаева, проводящего проверку бухгалтерских документов строительного треста, отзывают из командировки. Он удивлён — ведь только что он запросил необходимые документы, и расстроен — не успел найти и привезти из этих мест по просьбе жены боярышник.
Оказывается, его начальство, повязанное семейственностью и круговой порукой, направляя его надеялось обеспечить прохождение проверки трестом без проблем — рассчитывая на слабое здоровье, возраст и рассеянность старика, его мягкий характер, а также на его формальный подход при последней проверке перед уходом на спокойную пенсию.
Но тихий ревизор, не может не довести дело до конца — он возвращается — найти боярышник и завершить проверку. Несмотря на посулы начальства получить садовый участок, отклоняя попытки проверяемых дать ему крупную взятку, вставая перед сложным моральным выбором — один из строителей треста — зять его знакомой, которая в войну будучи медсестрой спасла его — фронтовика, получившего в 1942 году ранение под Курском, он всё-таки проводит ревизию, уличая обнаглевших от безнаказанности «хозяйственников» в хищениях.</t>
        </is>
      </c>
      <c r="L6754" s="2" t="inlineStr">
        <is>
          <t>https://ru.wikipedia.org/w/index.php?title=%D0%91%D0%BE%D1%8F%D1%80%D1%8B%D1%88%D0%BD%D0%B8%D0%BA_%28%D1%84%D0%B8%D0%BB%D1%8C%D0%BC%29&amp;oldid=154692201</t>
        </is>
      </c>
      <c r="M6754" s="2">
        <f>HYPERLINK("https://ru.wikipedia.org/w/index.php?search=%D0%91%D0%BE%D1%8F%D1%80%D1%8B%D1%88%D0%BD%D0%B8%D0%BA%201981%20%D1%84%D0%B8%D0%BB%D1%8C%D0%BC","искать")</f>
        <v/>
      </c>
      <c r="N6754" s="3" t="n"/>
      <c r="O6754" s="2" t="n"/>
      <c r="P6754" s="2" t="n"/>
    </row>
    <row r="6755">
      <c r="A6755" s="2" t="n">
        <v>6754</v>
      </c>
      <c r="B6755" s="2" t="inlineStr"/>
      <c r="C6755" s="2" t="n">
        <v>8587</v>
      </c>
      <c r="D6755" s="3" t="inlineStr">
        <is>
          <t>Эзоп</t>
        </is>
      </c>
      <c r="E6755" s="2" t="n">
        <v>1981</v>
      </c>
      <c r="F6755" s="2" t="inlineStr">
        <is>
          <t>телефильм</t>
        </is>
      </c>
      <c r="G6755" s="2" t="n"/>
      <c r="H6755" s="2" t="n">
        <v>1121</v>
      </c>
      <c r="I6755" s="2" t="inlineStr"/>
      <c r="J6755" s="2" t="inlineStr"/>
      <c r="K6755" s="3" t="inlineStr">
        <is>
          <t>Действие происходит на Самосе, в Древней Греции.
Философ Ксанф из очередного путешествия возвращается домой с новым рабом, уродливым человеком по имени Эзоп, обладающим удивительными качествами мыслителя и сочинителя. Эзоп оказывает Ксанфу различные услуги в надежде получить свободу, но Ксанф, не желающий расставаться с рабом, чьи басни он выдаёт за собственные, всякий раз обманывает его.
Однажды Ксанф приводит в дом «мудреца» по имени Агностос, стоика из Афин. Затеяв с гостем пьяный спор о том, может ли он выпить море, Ксанф в конце концов подписывает бумагу, в которой обязуется в случае неисполнения обещания выпить море передать Агностосу дом и всё имущество. Возмущённая поведением мужа, от Ксанфа уходит его жена Клея. Эзоп помогает философу вернуть жену, а затем и выпутаться из затруднения с Агностосом.
В конце концов Эзоп всё же получает свободу, но лишь для того, чтобы тут же быть обвинённым в краже. По закону, рабу в этом случае полагается телесное наказание, а свободному гражданину — смертная казнь. Ксанф предлагает Эзопу вернуться в прежнее состояние, но Эзоп выбирает умереть свободным человеком.</t>
        </is>
      </c>
      <c r="L6755" s="2" t="inlineStr">
        <is>
          <t>https://ru.wikipedia.org/w/index.php?title=%D0%AD%D0%B7%D0%BE%D0%BF_%28%D1%82%D0%B5%D0%BB%D0%B5%D1%81%D0%BF%D0%B5%D0%BA%D1%82%D0%B0%D0%BA%D0%BB%D1%8C%29&amp;oldid=154472963</t>
        </is>
      </c>
      <c r="M6755" s="2">
        <f>HYPERLINK("https://ru.wikipedia.org/w/index.php?search=%D0%AD%D0%B7%D0%BE%D0%BF%201981%20%D1%84%D0%B8%D0%BB%D1%8C%D0%BC","искать")</f>
        <v/>
      </c>
      <c r="N6755" s="3" t="n"/>
      <c r="O6755" s="2" t="n"/>
      <c r="P6755" s="2" t="n"/>
    </row>
    <row r="6756">
      <c r="A6756" s="2" t="n">
        <v>6755</v>
      </c>
      <c r="B6756" s="2" t="inlineStr"/>
      <c r="C6756" s="2" t="n">
        <v>10096</v>
      </c>
      <c r="D6756" s="3" t="inlineStr">
        <is>
          <t>Композитор Исаак Осипович Дунаевский</t>
        </is>
      </c>
      <c r="E6756" s="2" t="n">
        <v>1962</v>
      </c>
      <c r="F6756" s="2" t="inlineStr">
        <is>
          <t>фильм-спектакль</t>
        </is>
      </c>
      <c r="G6756" s="2" t="inlineStr">
        <is>
          <t>Центральное телевидение</t>
        </is>
      </c>
      <c r="H6756" s="2" t="n">
        <v>1121</v>
      </c>
      <c r="I6756" s="2" t="inlineStr"/>
      <c r="J6756" s="2" t="inlineStr"/>
      <c r="K6756" s="3" t="inlineStr">
        <is>
          <t>О жизни и творчестве композитора Исаака Дунаевского рассказывает артист Московского театра оперетты Григорий Маркович Ярон.
В отрывках из спектаклей участвуют артисты Московского театра оперетты, Московского театра им. К.С.Станиславского и В.И.Немировича-Данченко, Большого театра.
Сцены и арии из оперет композитора:
"Женихи":
Юрий Савельев, Василий Зарубеев, Александр Ткаченко, Григорий Ярон.
"Золотая долина":
Евгений Кибкало, Нелли Крылова, Николай Каширский, Ольга Власова, Серафим Аникеев, Татьяна Санина.
"Дороги к счастью":
Матвей Матвеев.
"Вольный ветер":
Зоя Белая, Юрий Богданов, Татьяна Шмыга, Нелли Крылова,
Борис Поваляев, Георгий Панков.
"Белая акация": Татьяна Шмыга, Анатолий Пиневич и Борис Витюхов.
Фантазия из оперетты "Соломенная шляпка":
эстрадно-симфонический оркестр телевидения и радио
(дирижер - Юрий Силантьев).
а также фрагменты из кинофильмов "Цирк", "Веселые ребята", "Дети капитана Гранта", "Богатая невеста", "Волга-Волга", "Белая акция", "Крылатая защита", "Испытание верности"
участвуют: Любовь Орлова, Леонид Утесов, Владимир Володин, Николай Черкасов, Марина Ладынина, Идалия Иванова.</t>
        </is>
      </c>
      <c r="L6756" s="2" t="inlineStr">
        <is>
          <t>https://www.kino-teatr.ru/teatr/movie/86568/annot/</t>
        </is>
      </c>
      <c r="M6756" s="2">
        <f>HYPERLINK("https://ru.wikipedia.org/w/index.php?search=%D0%9A%D0%BE%D0%BC%D0%BF%D0%BE%D0%B7%D0%B8%D1%82%D0%BE%D1%80%20%D0%98%D1%81%D0%B0%D0%B0%D0%BA%20%D0%9E%D1%81%D0%B8%D0%BF%D0%BE%D0%B2%D0%B8%D1%87%20%D0%94%D1%83%D0%BD%D0%B0%D0%B5%D0%B2%D1%81%D0%BA%D0%B8%D0%B9%201962%20%D1%84%D0%B8%D0%BB%D1%8C%D0%BC","искать")</f>
        <v/>
      </c>
      <c r="N6756" s="3" t="n"/>
      <c r="O6756" s="2" t="n"/>
      <c r="P6756" s="2" t="n"/>
    </row>
    <row r="6757">
      <c r="A6757" s="2" t="n">
        <v>6756</v>
      </c>
      <c r="B6757" s="2" t="inlineStr"/>
      <c r="C6757" s="2" t="n">
        <v>10890</v>
      </c>
      <c r="D6757" s="3" t="inlineStr">
        <is>
          <t>Любовь Яровая</t>
        </is>
      </c>
      <c r="E6757" s="2" t="n">
        <v>1981</v>
      </c>
      <c r="F6757" s="2" t="inlineStr">
        <is>
          <t>фильм-спектакль</t>
        </is>
      </c>
      <c r="G6757" s="2" t="n"/>
      <c r="H6757" s="2" t="n">
        <v>1123</v>
      </c>
      <c r="I6757" s="2" t="inlineStr"/>
      <c r="J6757" s="2" t="inlineStr"/>
      <c r="K6757" s="3" t="inlineStr">
        <is>
          <t>Спектакль Малого Театра.
По одноименной пьесе К.Тренева.
Революция разрушает не только основы общественного устройства, но и семью, и человеческие души. Муж и жена Яровые оказываются по разные стороны баррикад.
В пьесе нашли отражение исторические дни гражданской войны. Большевистское подполье действовало в белогвардейском стане. В революционный лагерь нередко проникали враждебно настроенные люди. В это тревожное время напряженных боев муж и жена Яровые потеряли друг друга и оказались но разным сторонам революционной баррикады. В памяти Любови Яровой ее муж остался человеком высокой чести и революционных убеждений. Это укрепляет в ней желание служить революции, продолжая дело любимого человека. Она принимает идеологию рабочего класса и выступает на стороне большевиков. Случайно во время захвата города белыми Любовь Яровая встречает мужа. Но после короткой радости встречи с ним она осознает, что Яровой связал свою судьбу с белогвардейцами, стал врагом революции. В душе женщины-революционерки возникает трагический конфликт между чувством любви к мужу и чувством долга перед товарищами по революционной борьбе.</t>
        </is>
      </c>
      <c r="L6757" s="2" t="inlineStr">
        <is>
          <t>https://www.kino-teatr.ru/teatr/movie/94678/annot/</t>
        </is>
      </c>
      <c r="M6757" s="2">
        <f>HYPERLINK("https://ru.wikipedia.org/w/index.php?search=%D0%9B%D1%8E%D0%B1%D0%BE%D0%B2%D1%8C%20%D0%AF%D1%80%D0%BE%D0%B2%D0%B0%D1%8F%201981%20%D1%84%D0%B8%D0%BB%D1%8C%D0%BC","искать")</f>
        <v/>
      </c>
      <c r="N6757" s="3" t="n"/>
      <c r="O6757" s="2" t="n"/>
      <c r="P6757" s="2" t="n"/>
    </row>
    <row r="6758">
      <c r="A6758" s="2" t="n">
        <v>6757</v>
      </c>
      <c r="B6758" s="2" t="inlineStr"/>
      <c r="C6758" s="2" t="n">
        <v>9558</v>
      </c>
      <c r="D6758" s="3" t="inlineStr">
        <is>
          <t>Поворот сюжета</t>
        </is>
      </c>
      <c r="E6758" s="2" t="n">
        <v>1988</v>
      </c>
      <c r="F6758" s="2" t="inlineStr">
        <is>
          <t>кинофильм</t>
        </is>
      </c>
      <c r="G6758" s="2" t="n"/>
      <c r="H6758" s="2" t="n">
        <v>1124</v>
      </c>
      <c r="I6758" s="2" t="inlineStr"/>
      <c r="J6758" s="2" t="inlineStr"/>
      <c r="K6758" s="3" t="inlineStr">
        <is>
          <t>В 1965 году Ивар уезжает из провинциального латвийского городка учиться в Москву. Спустя год у него умирает мать, вскоре Ивар женится и после рождения сына перевозит жену Милду с маленьким Андреем в дом покойной матери, а сам снова едет в столицу. Проходят годы. Ивар, известный режиссер и сценарист, принимает решение вернуться в Латвию. Сначала Милда с недовольством встречает своего неожиданно объявившегося мужа. Со временем к супругам возвращается былая нежность и страсть, но Андрей
продолжает относиться к отцу настороженно, с недоверием и не торопится откровенничать с ним. Парень взрослеет, хочет быть самостоятельным и поступать по-своему. Не найдя должного понимания со стороны матери, юноша пишет письмо, в котором сообщает. что бросает учебу в институте и будет жить за городом у своей возлюбленной. Ивар пытается решить проблемы, накопившиеся в его семье. Но годы жизни, проведенные вдали от близких, создают пропасть между ними, восстановить покой в доме так и не удается. Не находя выхода из сложившейся ситуации, Милда, чувствующая себя одинокой и отчаявшаяся что-либо изменить, кончает жизнь самоубийством.</t>
        </is>
      </c>
      <c r="L6758" s="2" t="inlineStr">
        <is>
          <t>https://gosfilmofond.ru/films/240207/</t>
        </is>
      </c>
      <c r="M6758" s="2">
        <f>HYPERLINK("https://ru.wikipedia.org/w/index.php?search=%D0%9F%D0%BE%D0%B2%D0%BE%D1%80%D0%BE%D1%82%20%D1%81%D1%8E%D0%B6%D0%B5%D1%82%D0%B0%201988%20%D1%84%D0%B8%D0%BB%D1%8C%D0%BC","искать")</f>
        <v/>
      </c>
      <c r="N6758" s="3" t="n"/>
      <c r="O6758" s="2" t="n"/>
      <c r="P6758" s="2" t="n"/>
    </row>
    <row r="6759">
      <c r="A6759" s="2" t="n">
        <v>6758</v>
      </c>
      <c r="B6759" s="2" t="inlineStr"/>
      <c r="C6759" s="2" t="n">
        <v>8819</v>
      </c>
      <c r="D6759" s="3" t="inlineStr">
        <is>
          <t>Маньчжурский вариант</t>
        </is>
      </c>
      <c r="E6759" s="2" t="n">
        <v>1989</v>
      </c>
      <c r="F6759" s="2" t="inlineStr">
        <is>
          <t>кинофильм</t>
        </is>
      </c>
      <c r="G6759" s="2" t="n"/>
      <c r="H6759" s="2" t="n">
        <v>1127</v>
      </c>
      <c r="I6759" s="2" t="inlineStr"/>
      <c r="J6759" s="2" t="inlineStr"/>
      <c r="K6759" s="3" t="inlineStr">
        <is>
          <t>По мотивам повести А. Ромова «Хокуман-Отель». Август 1945 года. Квантунская армия терпит поражение от советских войск и поспешно отступает. В штабе армии уверены, что происходит утечка информации, и тайная полиция «Токко» под руководством майора Мицуи активизирует свою деятельность. Запеленгован передатчик в окрестностях Линко, где расположен отель «Хокуман». Под подозрением все генералы японской армии, особенно генерал Ханда — начальник разведотдела, поселившийся в отеле. Хозяин гостиницы Исудзима (он же советский разведчик Чадьяров) налаживает доверительные отношения с генералом. Неожиданно на территории, принадлежащей отелю, совершает посадку подбитый самолет без опознавательных знаков с представителем императорской фамилии князем Фундзимори. Для Исудзимы-
Чадьярова представляется случай выполнить приказ Центра — доставить генерала Ханду на территорию Советского Союза и этим завершить операцию «Маньчжурский вариант». Разведчик убеждает генерала, что вылет на самолете — единственный путь к спасению. При взлете самолет был обстрелян, Исудзима тяжело ранен, но самолет все же взлетает. Задание Центра выполнено.</t>
        </is>
      </c>
      <c r="L6759" s="2" t="inlineStr">
        <is>
          <t>https://gosfilmofond.ru/films/240829/</t>
        </is>
      </c>
      <c r="M6759" s="2">
        <f>HYPERLINK("https://ru.wikipedia.org/w/index.php?search=%D0%9C%D0%B0%D0%BD%D1%8C%D1%87%D0%B6%D1%83%D1%80%D1%81%D0%BA%D0%B8%D0%B9%20%D0%B2%D0%B0%D1%80%D0%B8%D0%B0%D0%BD%D1%82%201989%20%D1%84%D0%B8%D0%BB%D1%8C%D0%BC","искать")</f>
        <v/>
      </c>
      <c r="N6759" s="3" t="n"/>
      <c r="O6759" s="2" t="n"/>
      <c r="P6759" s="2" t="n"/>
    </row>
    <row r="6760">
      <c r="A6760" s="2" t="n">
        <v>6759</v>
      </c>
      <c r="B6760" s="2" t="inlineStr"/>
      <c r="C6760" s="2" t="n">
        <v>8882</v>
      </c>
      <c r="D6760" s="3" t="inlineStr">
        <is>
          <t>Ночь длинных ножей</t>
        </is>
      </c>
      <c r="E6760" s="2" t="n">
        <v>1990</v>
      </c>
      <c r="F6760" s="2" t="inlineStr">
        <is>
          <t>кинофильм</t>
        </is>
      </c>
      <c r="G6760" s="2" t="n"/>
      <c r="H6760" s="2" t="n">
        <v>1128</v>
      </c>
      <c r="I6760" s="2" t="inlineStr"/>
      <c r="J6760" s="2" t="inlineStr"/>
      <c r="K6760" s="3" t="inlineStr">
        <is>
          <t>Поздний Советский Союз. Намечается государственный переворот, а вместе с ним и ликвидация седовласого лидера оппозиции, в чертах которого легко угадывается Борис Ельцин, пользовавшийся в то время большой симпатией у выступавшей за перемены интеллигенции. По московским улицам на автомобиле в компании двух проституток передвигается нанятый для его устранения киллер, который вступает с одной из его спутниц — Светой — в любовные отношения, путающие планы заговорщиков.
Фильм передаёт атмосферу государства накануне его краха: многолюдные процессии с российскими флагами; выстраивающаяся в ряд группа пожилых людей с барабанами и в пионерских галстуках, заслоняемая шествием адептов Движения Харе Кришны, ведомых человеком, слегка постукивающим ладонью по своей мриданге; рост отрядов солдат на улицах столицы.
По радио слышны перехваченные переговоры о приведении войск в состояние боевой готовности, но всем кажется, что это «какой-то детектив передают». Создаётся впечатление, что даже мелькающие в темноте грузовики с надписью «Хлеб» несут на себе зловещий отпечаток и являются своеобразным подмигиванием для тех, кто в теме.</t>
        </is>
      </c>
      <c r="L6760" s="2" t="inlineStr">
        <is>
          <t>https://ru.wikipedia.org/w/index.php?title=%D0%9D%D0%BE%D1%87%D1%8C_%D0%B4%D0%BB%D0%B8%D0%BD%D0%BD%D1%8B%D1%85_%D0%BD%D0%BE%D0%B6%D0%B5%D0%B9_%28%D1%84%D0%B8%D0%BB%D1%8C%D0%BC%2C_1990%29&amp;oldid=154841831</t>
        </is>
      </c>
      <c r="M6760" s="2">
        <f>HYPERLINK("https://ru.wikipedia.org/w/index.php?search=%D0%9D%D0%BE%D1%87%D1%8C%20%D0%B4%D0%BB%D0%B8%D0%BD%D0%BD%D1%8B%D1%85%20%D0%BD%D0%BE%D0%B6%D0%B5%D0%B9%201990%20%D1%84%D0%B8%D0%BB%D1%8C%D0%BC","искать")</f>
        <v/>
      </c>
      <c r="N6760" s="3" t="n"/>
      <c r="O6760" s="2" t="n"/>
      <c r="P6760" s="2" t="n"/>
    </row>
    <row r="6761">
      <c r="A6761" s="2" t="n">
        <v>6760</v>
      </c>
      <c r="B6761" s="2" t="inlineStr"/>
      <c r="C6761" s="2" t="n">
        <v>9730</v>
      </c>
      <c r="D6761" s="3" t="inlineStr">
        <is>
          <t>Хамка</t>
        </is>
      </c>
      <c r="E6761" s="2" t="n">
        <v>1918</v>
      </c>
      <c r="F6761" s="2" t="inlineStr">
        <is>
          <t>кинофильм</t>
        </is>
      </c>
      <c r="G6761" s="2" t="n"/>
      <c r="H6761" s="2" t="n">
        <v>1128</v>
      </c>
      <c r="I6761" s="2" t="inlineStr"/>
      <c r="J6761" s="2" t="inlineStr"/>
      <c r="K6761" s="3" t="inlineStr">
        <is>
          <t>По одноименной пьесе Константинова. В провинциальном городке в трактире служат Василий Яблочкин и его невеста Аннушка,которая вскоре становится его женой.Василий увлекается живописью.Столичный художник Колокольцев считает,что Яблочкин очень талантлив и приглашает его в Москву учиться на художника.Получив согласие жены,Василий едет в Москву и поступает в художественное училище.Вскоре в Москву приезжает и Анна.Устроившись горничной и много работая,она помогает мужу закончить образование.После окончания училища Яблочкину удается получить хорошую работу и через 5 лет он становится богатым архитектором и художником. Яблочкин живет теперь с женой и сыном в роскошном особняке и часто принимает гостей.Лишь одно мучает его - плебейские привычки жены,ее необразованность и невоспитанность.Устав от придирок мужа,Аннушка забирает сына и уезжает от Яблочкина...После ее отъезда,Яблочкин женится на художнице Шумской,но вскоре раскаивается:образованная и воспитанная Шумская оказывается бездушной и развратной женщиной.Все чаще и чаще он вспоминает Аннушку,которая стала теперь женой художника Колокольцева и вполне счастлива с ним</t>
        </is>
      </c>
      <c r="L6761" s="2" t="inlineStr">
        <is>
          <t>https://gosfilmofond.ru/films/252796/</t>
        </is>
      </c>
      <c r="M6761" s="2">
        <f>HYPERLINK("https://ru.wikipedia.org/w/index.php?search=%D0%A5%D0%B0%D0%BC%D0%BA%D0%B0%201918%20%D1%84%D0%B8%D0%BB%D1%8C%D0%BC","искать")</f>
        <v/>
      </c>
      <c r="N6761" s="3" t="n"/>
      <c r="O6761" s="2" t="n"/>
      <c r="P6761" s="2" t="n"/>
    </row>
    <row r="6762">
      <c r="A6762" s="2" t="n">
        <v>6761</v>
      </c>
      <c r="B6762" s="2" t="inlineStr"/>
      <c r="C6762" s="2" t="n">
        <v>8085</v>
      </c>
      <c r="D6762" s="3" t="inlineStr">
        <is>
          <t>Пеппи Длинныйчулок</t>
        </is>
      </c>
      <c r="E6762" s="2" t="n">
        <v>1984</v>
      </c>
      <c r="F6762" s="2" t="inlineStr">
        <is>
          <t>телефильм</t>
        </is>
      </c>
      <c r="G6762" s="2" t="n"/>
      <c r="H6762" s="2" t="n">
        <v>1129</v>
      </c>
      <c r="I6762" s="2" t="inlineStr"/>
      <c r="J6762" s="2" t="inlineStr"/>
      <c r="K6762" s="3" t="inlineStr">
        <is>
          <t>В маленьком городке появляется девочка Пеппи Длинныйчулок. Она приехала одна, с лошадью и чемоданом, в котором спрятан аквариум с рыбкой. Мать Пеппи умерла, когда девочка была ещё младенцем, а отец, капитан Эфраим Длинныйчулок, пропал (как говорит сама Пеппи: «Его смыло с палубы волной, и он стал негритянским королём»).
Пеппи — жизнерадостная, сильная и ловкая девочка, всегда охочая до весёлых игр и проказ. У неё появляются друзья — брат и сестра Томми и Анника, которые с радостью участвуют в играх Пеппи. Но в жизни Пеппи не всё безоблачно: строгие и чопорные дамы из попечительского совета во главе с фрекен Розенблюм хотят отправить её в детский дом, а местные жулики охотятся за чемоданом с, как они думают, золотом. Не сумев отправить Пеппи в детский дом, дамы фактически продают её директору цирка в качестве хорошей гимнастки и клоуна. Девочку спасает её отец Эфраим, вернувшийся из плавания. Он разоблачает директора цирка как известного жулика и забирает Пеппи в далёкое путешествие, но, увидев, как расстроены предстоящей разлукой Томми и Анника, девочка решает остаться и прыгает в воду с уже отчалившего корабля.</t>
        </is>
      </c>
      <c r="L6762" s="2" t="inlineStr">
        <is>
          <t>https://ru.wikipedia.org/w/index.php?title=%D0%9F%D0%B5%D0%BF%D0%BF%D0%B8_%D0%94%D0%BB%D0%B8%D0%BD%D0%BD%D1%8B%D0%B9%D1%87%D1%83%D0%BB%D0%BE%D0%BA_%28%D1%84%D0%B8%D0%BB%D1%8C%D0%BC%2C_1984%29&amp;oldid=148946345</t>
        </is>
      </c>
      <c r="M6762" s="2">
        <f>HYPERLINK("https://ru.wikipedia.org/w/index.php?search=%D0%9F%D0%B5%D0%BF%D0%BF%D0%B8%20%D0%94%D0%BB%D0%B8%D0%BD%D0%BD%D1%8B%D0%B9%D1%87%D1%83%D0%BB%D0%BE%D0%BA%201984%20%D1%84%D0%B8%D0%BB%D1%8C%D0%BC","искать")</f>
        <v/>
      </c>
      <c r="N6762" s="3" t="n"/>
      <c r="O6762" s="2" t="n"/>
      <c r="P6762" s="2" t="n"/>
    </row>
    <row r="6763">
      <c r="A6763" s="2" t="n">
        <v>6762</v>
      </c>
      <c r="B6763" s="2" t="inlineStr"/>
      <c r="C6763" s="2" t="n">
        <v>9563</v>
      </c>
      <c r="D6763" s="3" t="inlineStr">
        <is>
          <t>Подземелье ведьм</t>
        </is>
      </c>
      <c r="E6763" s="2" t="n">
        <v>1990</v>
      </c>
      <c r="F6763" s="2" t="inlineStr">
        <is>
          <t>кинофильм</t>
        </is>
      </c>
      <c r="G6763" s="2" t="n"/>
      <c r="H6763" s="2" t="n">
        <v>1132</v>
      </c>
      <c r="I6763" s="2" t="inlineStr"/>
      <c r="J6763" s="2" t="inlineStr"/>
      <c r="K6763" s="3" t="inlineStr">
        <is>
          <t>Будущее. Экспедиция землян-исследователей прилетает на далекую планету Эвур (Эволюционный урод), напоминающую Землю, с биосферой, близкой к земной, и неотличимыми от землян аборигенами, находящимися на стадии первобытного общества. Здесь много странностей, например, высшие млекопитающие соседствуют с невымершими крупными рептилиями типа динозавров, а вождь дикарей Октин-Хаш сражается стальным мечом, хотя местной цивилизации железо неизвестно.
После вероломного нападения племени Октин-Хаша на базу землян в живых остаются только инспектор-этнолог Андрей Брюс и лингвист Жан, взятые в плен. Дикари отводят Жана на берег реки, к Святилищу Ведьм, где его забирают с собой таинственные существа в чёрном. Андрей же бежит из плена, и с помощью девушки-аборигенки Биллегурри (Белогурочки) отправляется спасать друга. Героям предстоит пережить много опасностей, чтобы в конце концов найти разгадку многочисленных тайн, связанных со странной планетой, и узнать о беспрецедентном эксперименте по объединению различных эпох времени, некогда поставленном здесь высокоразвитыми инопланетянами, которые пали жертвой амбиций дикарского вождя.</t>
        </is>
      </c>
      <c r="L6763" s="2" t="inlineStr">
        <is>
          <t>https://ru.wikipedia.org/w/index.php?title=%D0%9F%D0%BE%D0%B4%D0%B7%D0%B5%D0%BC%D0%B5%D0%BB%D1%8C%D0%B5_%D0%B2%D0%B5%D0%B4%D1%8C%D0%BC&amp;oldid=154133807</t>
        </is>
      </c>
      <c r="M6763" s="2">
        <f>HYPERLINK("https://ru.wikipedia.org/w/index.php?search=%D0%9F%D0%BE%D0%B4%D0%B7%D0%B5%D0%BC%D0%B5%D0%BB%D1%8C%D0%B5%20%D0%B2%D0%B5%D0%B4%D1%8C%D0%BC%201990%20%D1%84%D0%B8%D0%BB%D1%8C%D0%BC","искать")</f>
        <v/>
      </c>
      <c r="N6763" s="3" t="n"/>
      <c r="O6763" s="2" t="n"/>
      <c r="P6763" s="2" t="n"/>
    </row>
    <row r="6764">
      <c r="A6764" s="2" t="n">
        <v>6763</v>
      </c>
      <c r="B6764" s="2" t="inlineStr"/>
      <c r="C6764" s="2" t="n">
        <v>9745</v>
      </c>
      <c r="D6764" s="3" t="inlineStr">
        <is>
          <t>Частный детектив, или Операция «Кооперация»</t>
        </is>
      </c>
      <c r="E6764" s="2" t="n">
        <v>1989</v>
      </c>
      <c r="F6764" s="2" t="inlineStr">
        <is>
          <t>кинофильм</t>
        </is>
      </c>
      <c r="G6764" s="2" t="n"/>
      <c r="H6764" s="2" t="n">
        <v>1133</v>
      </c>
      <c r="I6764" s="2" t="inlineStr"/>
      <c r="J6764" s="2" t="inlineStr"/>
      <c r="K6764" s="3" t="inlineStr">
        <is>
          <t>На волне всеобщего трудового энтузиазма, охватившего население всей страны, Дмитрий Пузырев решает открыть частную детективную контору, разумеется, с разрешения всех соответствующих инстанций. Поначалу все складывается не совсем удачно. Начинающего предпринимателя мог сломить отказ исполкомовской комиссии, если бы не случайная встреча с бывшим одноклассником, Виктором, респектабельным бизнесменом, владеющим роскошным платным туалетом «Комфорт» — с колоннами, зеркалами и даже китайцем, подающим мягкие тапочки под тихо журчащую музыку. С помощью Виктора уже на следующий день Дима получает патент. Но с клиентами выходит промашка, их нет. Заглядывает разгоряченный предвыборными битвами депутат, да и то с предложением собрать компромат на его конкурента. В работе Пузыреву помогает его отец. Пузырев знакомится с журналисткой Леной, девушка ему нравится. В ходе расследования похищений кооперативщиков Дима и Лена попадают в штаб-квартиру местной мафии, устроенную в... кооперативном сортире. Виктор, оказавшийся организатором этих похищений, собирается убить частных детективов, но милиции удается их спасти и схватить Виктора.</t>
        </is>
      </c>
      <c r="L6764" s="2" t="inlineStr">
        <is>
          <t>https://gosfilmofond.ru/films/356490/</t>
        </is>
      </c>
      <c r="M6764" s="2">
        <f>HYPERLINK("https://ru.wikipedia.org/w/index.php?search=%D0%A7%D0%B0%D1%81%D1%82%D0%BD%D1%8B%D0%B9%20%D0%B4%D0%B5%D1%82%D0%B5%D0%BA%D1%82%D0%B8%D0%B2%2C%20%D0%B8%D0%BB%D0%B8%20%D0%9E%D0%BF%D0%B5%D1%80%D0%B0%D1%86%D0%B8%D1%8F%20%C2%AB%D0%9A%D0%BE%D0%BE%D0%BF%D0%B5%D1%80%D0%B0%D1%86%D0%B8%D1%8F%C2%BB%201989%20%D1%84%D0%B8%D0%BB%D1%8C%D0%BC","искать")</f>
        <v/>
      </c>
      <c r="N6764" s="3" t="n"/>
      <c r="O6764" s="2" t="n"/>
      <c r="P6764" s="2" t="n"/>
    </row>
    <row r="6765">
      <c r="A6765" s="2" t="n">
        <v>6764</v>
      </c>
      <c r="B6765" s="2" t="inlineStr"/>
      <c r="C6765" s="2" t="n">
        <v>10977</v>
      </c>
      <c r="D6765" s="3" t="inlineStr">
        <is>
          <t>Ах, эти звёзды...</t>
        </is>
      </c>
      <c r="E6765" s="2" t="n">
        <v>1983</v>
      </c>
      <c r="F6765" s="2" t="inlineStr">
        <is>
          <t>фильм-спектакль</t>
        </is>
      </c>
      <c r="G6765" s="2" t="n"/>
      <c r="H6765" s="2" t="n">
        <v>1135</v>
      </c>
      <c r="I6765" s="2" t="inlineStr"/>
      <c r="J6765" s="2" t="inlineStr"/>
      <c r="K6765" s="3" t="inlineStr">
        <is>
          <t>Весной 1983 года театральный Ленинград сходил с ума. Обветшавшее здание Театрального института, что на Моховой, осаждали толпы страждущих. Трещали двери, рвались подметки, со всех аудиторий тащили стулья, сидели на полу, стояли в проходах. Выпускной курс А. Кацмана - Л. Додина показывал дипломный спектакль "Ах, эти звезды". Собственно, это был не спектакль, скорее то, что теперь называется затрепанным словом "шоу". Музыкальное представление с участием звезд мировой эстрады: Эллы Фицджералд, Лайзы Минелли, Элвиса Пресли, Жака Бреля и т.п. Их играли, пародировали, представляли студенты, которые на глазах экстатически восторженной, изумленной аудитории сами становились звездами. Во всех номерах они пели живьем, ни разу не унизившись до чужой фонограммы. Блистали многие. Этот курс был незаурядным и успешным просто по определению. И спектакль этот казался чудом, столь легки и не ко времени свободны были эти юные артисты, столь веселы, непосредственны и талантливы. Он быстро выпорхнул за пределы ЛГИТМиКа, прокатился по стране, собирая стадионы. Актеры сделались известны, и их мгновенно разобрали лучшие ленинградские театры.</t>
        </is>
      </c>
      <c r="L6765" s="2" t="inlineStr">
        <is>
          <t>https://www.kino-teatr.ru/teatr/movie/104383/annot/</t>
        </is>
      </c>
      <c r="M6765" s="2">
        <f>HYPERLINK("https://ru.wikipedia.org/w/index.php?search=%D0%90%D1%85%2C%20%D1%8D%D1%82%D0%B8%20%D0%B7%D0%B2%D1%91%D0%B7%D0%B4%D1%8B...%201983%20%D1%84%D0%B8%D0%BB%D1%8C%D0%BC","искать")</f>
        <v/>
      </c>
      <c r="N6765" s="3" t="n"/>
      <c r="O6765" s="2" t="n"/>
      <c r="P6765" s="2" t="n"/>
    </row>
    <row r="6766">
      <c r="A6766" s="2" t="n">
        <v>6765</v>
      </c>
      <c r="B6766" s="2" t="inlineStr"/>
      <c r="C6766" s="2" t="n">
        <v>11446</v>
      </c>
      <c r="D6766" s="3" t="inlineStr">
        <is>
          <t>Машинка времени</t>
        </is>
      </c>
      <c r="E6766" s="2" t="n">
        <v>1967</v>
      </c>
      <c r="F6766" s="2" t="inlineStr">
        <is>
          <t>мультфильм</t>
        </is>
      </c>
      <c r="G6766" s="2" t="inlineStr">
        <is>
          <t>Союзмультфильм</t>
        </is>
      </c>
      <c r="H6766" s="2" t="n">
        <v>1137</v>
      </c>
      <c r="I6766" s="2" t="inlineStr"/>
      <c r="J6766" s="2" t="inlineStr"/>
      <c r="K6766" s="3" t="inlineStr">
        <is>
          <t>В три разных предмета закладыфваются машинки времени, способные перенести человека в ту эпоху, которой он более всего достоин. Ожерелье на рукее девушки - первый предмет. Детина срывает ожерелье и тут же певращается в доисторического человека. Но и там он ведет себя по хамски и его судят пещерным судом... Паша ухитряется назначить свидание по телефону сразу нескольким девушкам, а жене, оставшейся с детьми, говорит, что идет на совещание. Он покупает розу и...попадает в средневековый воточный город. Он заводит сразу три гарема. Возмущенные жены пишут жалобу султану, дети выходят на улицы с плакатами. И султан решает вернуть его в семью. Вихрь времени подхватывает Пашу и опускает на тротуар рядом с женой и детьми...Третий предмет - палка, обладатель которой с трибуны стадиона попадает на трибуны Колизея, где гладиатор сражается со львом. После перерыва начинается бой Динамия со Спартаком. Болельщик кричит "Судью на мыло!", и тут же по велению Цезаря выполняют его волю. Судьей становится Болельщик. На этот раз Цезарь требует "судью на мыло!". Беднягу тащат к котлу...Он снова на трибуне стадиона, но ведет себя теперь смирно</t>
        </is>
      </c>
      <c r="L6766" s="2" t="inlineStr">
        <is>
          <t>https://gosfilmofond.ru/films/254272/</t>
        </is>
      </c>
      <c r="M6766" s="2">
        <f>HYPERLINK("https://ru.wikipedia.org/w/index.php?search=%D0%9C%D0%B0%D1%88%D0%B8%D0%BD%D0%BA%D0%B0%20%D0%B2%D1%80%D0%B5%D0%BC%D0%B5%D0%BD%D0%B8%201967%20%D1%84%D0%B8%D0%BB%D1%8C%D0%BC","искать")</f>
        <v/>
      </c>
      <c r="N6766" s="3" t="n"/>
      <c r="O6766" s="2" t="n"/>
      <c r="P6766" s="2" t="n"/>
    </row>
    <row r="6767">
      <c r="A6767" s="2" t="n">
        <v>6766</v>
      </c>
      <c r="B6767" s="2" t="inlineStr"/>
      <c r="C6767" s="2" t="n">
        <v>7188</v>
      </c>
      <c r="D6767" s="3" t="inlineStr">
        <is>
          <t>Авария</t>
        </is>
      </c>
      <c r="E6767" s="2" t="n">
        <v>1974</v>
      </c>
      <c r="F6767" s="2" t="inlineStr">
        <is>
          <t>телефильм</t>
        </is>
      </c>
      <c r="G6767" s="2" t="inlineStr">
        <is>
          <t>Мосфильм</t>
        </is>
      </c>
      <c r="H6767" s="2" t="n">
        <v>1139</v>
      </c>
      <c r="I6767" s="2" t="inlineStr"/>
      <c r="J6767" s="2" t="inlineStr"/>
      <c r="K6767" s="3" t="inlineStr">
        <is>
          <t>Машина Альфредо Трапса, поднявшегося из низов и ныне процветающего торгового представителя, ломается где-то в сельской местности. Приехавший для ремонта сотрудник техпомощи Фридрих предлагает ему переночевать в доме старого судьи. Вечером к хозяину приходят гости: бывшие прокурор, адвокат и палач. Во время трапезы они предлагают Альфредо сыграть в своеобразную игру, которая, по существу, является полушутливой имитацией судебного процесса. Для начала Трапсу предлагают рассказать историю своей жизни. Изрядно выпив вина, торговый представитель сообщает некоторые деликатные подробности своей биографии.
Анализируя их, бывший прокурор раскручивает историю любовной связи между Трапсом и женой его бывшего шефа Гигакса, которая и могла привести к смерти последнего, хотя в реальности тот умер от инфаркта миокарда. Импровизированный суд приговаривает Альфредо к смертной казни, что вызывает всеобщее веселье, к которому присоединяется и Трапс. В процессе веселья судья, как бы ненароком, что-то шепнул на ухо палачу.
С утра Трапс уезжает на как будто отремонтированной машине, однако на горной дороге его автомобиль попадает в катастрофу.</t>
        </is>
      </c>
      <c r="L6767" s="2" t="inlineStr">
        <is>
          <t>https://ru.wikipedia.org/w/index.php?title=%D0%90%D0%B2%D0%B0%D1%80%D0%B8%D1%8F_%28%D1%84%D0%B8%D0%BB%D1%8C%D0%BC%2C_1974%29&amp;oldid=154448467</t>
        </is>
      </c>
      <c r="M6767" s="2">
        <f>HYPERLINK("https://ru.wikipedia.org/w/index.php?search=%D0%90%D0%B2%D0%B0%D1%80%D0%B8%D1%8F%201974%20%D1%84%D0%B8%D0%BB%D1%8C%D0%BC","искать")</f>
        <v/>
      </c>
      <c r="N6767" s="3" t="n"/>
      <c r="O6767" s="2" t="n"/>
      <c r="P6767" s="2" t="n"/>
    </row>
    <row r="6768">
      <c r="A6768" s="2" t="n">
        <v>6767</v>
      </c>
      <c r="B6768" s="2" t="inlineStr"/>
      <c r="C6768" s="2" t="n">
        <v>9325</v>
      </c>
      <c r="D6768" s="3" t="inlineStr">
        <is>
          <t>Двое и одна</t>
        </is>
      </c>
      <c r="E6768" s="2" t="n">
        <v>1988</v>
      </c>
      <c r="F6768" s="2" t="inlineStr">
        <is>
          <t>кинофильм</t>
        </is>
      </c>
      <c r="G6768" s="2" t="n"/>
      <c r="H6768" s="2" t="n">
        <v>1140</v>
      </c>
      <c r="I6768" s="2" t="inlineStr"/>
      <c r="J6768" s="2" t="inlineStr"/>
      <c r="K6768" s="3" t="inlineStr">
        <is>
          <t>Нелепая смерть женщины, погибшей под поездом, объединила трёх героев фильма: оставшуюся сиротой дочь Ольгу, Всеволода Фролова — фотографа из маленькой кооперативной газеты, с которым Валентина познакомилась за несколько недель до гибели, и Андрея Корякина — отца девочки Оли и бывшего мужа Валентины, который свою дочь ни разу не видел, а только платил алименты и вообще не интересовался её жизнью.
Шестилетняя, разумная и самостоятельная Оля соглашается считать «Хлора» (искаженная девочкой фамилия превратилась в прозвище) отцом, поскольку он и Валентина уже решили пожениться и заказали в магазине новый диван. На время похорон матери Олю поселили у Всеволода, сказав, что мама в командировке. Однако соседка Фролова рассказывает, что случилось с матерью, считая, что неправильно скрывать от ребёнка правду.
«Не успели жениться, а уже стали вдовцом…»
Вскоре приезжает родной отец Оли Андрей Корякин. Девочка думает, что незнакомый мужчина заберёт её к себе, и просит его уехать. Но внезапная поездка Фролова в другой город помогает Оле и Корякину сдружиться, и после возвращения Всеволода она уже не отпускает никого из своих двух отцов.</t>
        </is>
      </c>
      <c r="L6768" s="2" t="inlineStr">
        <is>
          <t>https://ru.wikipedia.org/w/index.php?title=%D0%94%D0%B2%D0%BE%D0%B5_%D0%B8_%D0%BE%D0%B4%D0%BD%D0%B0&amp;oldid=154694428</t>
        </is>
      </c>
      <c r="M6768" s="2">
        <f>HYPERLINK("https://ru.wikipedia.org/w/index.php?search=%D0%94%D0%B2%D0%BE%D0%B5%20%D0%B8%20%D0%BE%D0%B4%D0%BD%D0%B0%201988%20%D1%84%D0%B8%D0%BB%D1%8C%D0%BC","искать")</f>
        <v/>
      </c>
      <c r="N6768" s="3" t="n"/>
      <c r="O6768" s="2" t="n"/>
      <c r="P6768" s="2" t="n"/>
    </row>
    <row r="6769">
      <c r="A6769" s="2" t="n">
        <v>6768</v>
      </c>
      <c r="B6769" s="2" t="inlineStr"/>
      <c r="C6769" s="2" t="n">
        <v>9761</v>
      </c>
      <c r="D6769" s="3" t="inlineStr">
        <is>
          <t>Шаг</t>
        </is>
      </c>
      <c r="E6769" s="2" t="n">
        <v>1988</v>
      </c>
      <c r="F6769" s="2" t="inlineStr">
        <is>
          <t>кинофильм</t>
        </is>
      </c>
      <c r="G6769" s="2" t="n"/>
      <c r="H6769" s="2" t="n">
        <v>1144</v>
      </c>
      <c r="I6769" s="2" t="inlineStr"/>
      <c r="J6769" s="2" t="inlineStr"/>
      <c r="K6769" s="3" t="inlineStr">
        <is>
          <t>1959 год. В Японии эпидемия полиомиелита, от которого умирают или становятся инвалидами тысячи детей. Вакцина Солка, применяемая в Японии, эффективна лишь в 60% случаев, кроме того, её не хватает на всех нуждающихся. Простая японская женщина по имени Кейко, потеряв старшего сына, хочет во что бы то ни стало защитить от болезни младшего и решает поехать в СССР, чтобы приобрести и привезти в Японию новую советскую вакцину, разработанную доктором Гусевым, которая эффективна в 100% случаев и, в отличие от вакцины Солка, совершенно безопасна.
В СССР она получает вакцину для своего сына и покупает ещё тысячу доз для соотечественников, однако на таможне вакцину конфискуют — по японским законам любое лекарство, ввозимое в страну, должно пройти длительную проверку, занимающую два года. Японские матери устраивают акции протеста и требуют ввезти советскую вакцину немедленно, однако этому препятствуют бюрократические аппараты обоих государств.
Усилиями Кейко и других японских матерей с одной стороны и доктора Гусева с другой удаётся согласовать и осуществить отправку вакцины в Японию, благодаря чему удаётся спасти миллионы детских жизней.</t>
        </is>
      </c>
      <c r="L6769" s="2" t="inlineStr">
        <is>
          <t>https://ru.wikipedia.org/w/index.php?title=%D0%A8%D0%B0%D0%B3_%28%D1%84%D0%B8%D0%BB%D1%8C%D0%BC%29&amp;oldid=155691442</t>
        </is>
      </c>
      <c r="M6769" s="2">
        <f>HYPERLINK("https://ru.wikipedia.org/w/index.php?search=%D0%A8%D0%B0%D0%B3%201988%20%D1%84%D0%B8%D0%BB%D1%8C%D0%BC","искать")</f>
        <v/>
      </c>
      <c r="N6769" s="3" t="n"/>
      <c r="O6769" s="2" t="n"/>
      <c r="P6769" s="2" t="n"/>
    </row>
    <row r="6770">
      <c r="A6770" s="2" t="n">
        <v>6769</v>
      </c>
      <c r="B6770" s="2" t="inlineStr"/>
      <c r="C6770" s="2" t="n">
        <v>7361</v>
      </c>
      <c r="D6770" s="3" t="inlineStr">
        <is>
          <t>Война на западном направлении</t>
        </is>
      </c>
      <c r="E6770" s="2" t="n">
        <v>1990</v>
      </c>
      <c r="F6770" s="2" t="inlineStr">
        <is>
          <t>телефильм</t>
        </is>
      </c>
      <c r="G6770" s="2" t="inlineStr">
        <is>
          <t>Киностудия имени А. Довженко, Творческое объединение «Луч»</t>
        </is>
      </c>
      <c r="H6770" s="2" t="n">
        <v>1148</v>
      </c>
      <c r="I6770" s="2" t="inlineStr"/>
      <c r="J6770" s="2" t="inlineStr"/>
      <c r="K6770" s="3" t="inlineStr">
        <is>
          <t>Фильм снят на основе известного произведения Ивана Стаднюка, романа в трёх книгах «Война». Сценаристы излагают свою версию роли советского руководства и лично И. В. Сталина в поражениях лета 1941 года, когда Вооружённые силы СССР оказались в критическом положении после нападения Германии. В сериале показаны судьбы многих людей, от рядовых, совершавших свои подвиги, до командующих, которые не щадя себя, вносили свой вклад в защиту Родины, в победу над общим врагом.
В центре сюжета — судьба генерала Чумакова, собирательный образ одного из тех многих советских командиров, которые несмотря ни на что, возглавляли сопротивление германской агрессии. По свидетельству И. Стаднюка, автора сценария фильма и литературного первоисточника, Фёдор Чумаков — это собирательный образ многих реальных командиров советских мехкорпусов, воевавших примерно в то же время и в том же месте, что и в произведении, — генерал-майора Петра Ахлюстина (13-й мехкорпус), генерал-майора Дмитрия Мостовенко (11-й мехкорпус) и генерал-майора Михаила Хацкилевича (6-й мехкорпус).
Завершается фильм картинами одной из первых успешных наступательных операций РККА под Ельней.</t>
        </is>
      </c>
      <c r="L6770" s="2" t="inlineStr">
        <is>
          <t>https://ru.wikipedia.org/w/index.php?title=%D0%92%D0%BE%D0%B9%D0%BD%D0%B0_%D0%BD%D0%B0_%D0%B7%D0%B0%D0%BF%D0%B0%D0%B4%D0%BD%D0%BE%D0%BC_%D0%BD%D0%B0%D0%BF%D1%80%D0%B0%D0%B2%D0%BB%D0%B5%D0%BD%D0%B8%D0%B8&amp;oldid=154138506</t>
        </is>
      </c>
      <c r="M6770" s="2">
        <f>HYPERLINK("https://ru.wikipedia.org/w/index.php?search=%D0%92%D0%BE%D0%B9%D0%BD%D0%B0%20%D0%BD%D0%B0%20%D0%B7%D0%B0%D0%BF%D0%B0%D0%B4%D0%BD%D0%BE%D0%BC%20%D0%BD%D0%B0%D0%BF%D1%80%D0%B0%D0%B2%D0%BB%D0%B5%D0%BD%D0%B8%D0%B8%201990%20%D1%84%D0%B8%D0%BB%D1%8C%D0%BC","искать")</f>
        <v/>
      </c>
      <c r="N6770" s="3" t="n"/>
      <c r="O6770" s="2" t="n"/>
      <c r="P6770" s="2" t="n"/>
    </row>
    <row r="6771">
      <c r="A6771" s="2" t="n">
        <v>6770</v>
      </c>
      <c r="B6771" s="2" t="inlineStr"/>
      <c r="C6771" s="2" t="n">
        <v>9453</v>
      </c>
      <c r="D6771" s="3" t="inlineStr">
        <is>
          <t>Лестница</t>
        </is>
      </c>
      <c r="E6771" s="2" t="n">
        <v>1989</v>
      </c>
      <c r="F6771" s="2" t="inlineStr">
        <is>
          <t>кинофильм</t>
        </is>
      </c>
      <c r="G6771" s="2" t="n"/>
      <c r="H6771" s="2" t="n">
        <v>1148</v>
      </c>
      <c r="I6771" s="2" t="inlineStr"/>
      <c r="J6771" s="2" t="inlineStr"/>
      <c r="K6771" s="3" t="inlineStr">
        <is>
          <t>Владимир Пирошников никак не может найти выход из дома, в который попал случайно. Есть лестница, есть подъезд, но выхода нет. Пытаясь выбраться, Владимир звонит в первую попавшуюся дверь, ему открывает девушка по имени Аля. Он просит ее показать выход. Аля понимает, что Владимир - очередной пленник лестницы, но помочь ему отказывается, ссылаясь на то, что он не первый — однажды она уже пыталась показать выход, но ничего из этого не вышло. Аля уходит на работу, внезапно появляется Старицкий,
чтобы забрать свои вещи. Он рассказывает Владимиру, что год назад сам пытался найти выход и нашел спустя некоторое время, но выход этот нужно найти самому, без чьей-либо помощи. Соседка Анна
Кондратьевна пытается помочь Пирошникову выбраться при помощи иконы и креста, но и это не помогает. Тогда Владимир принимает решение спуститься по веревке через окно, но тут появляется дядя Миша с племянником Леней, и они втягивают Владимира обратно, приняв его за вора. Другая соседка, Лариса, пытается убедить Владимира в том, что все это проделки Али, и что выйти можно только через окно ее комнаты. Но настоящий выход из лабиринта показывает сын Али Сережа.</t>
        </is>
      </c>
      <c r="L6771" s="2" t="inlineStr">
        <is>
          <t>https://gosfilmofond.ru/films/240925/</t>
        </is>
      </c>
      <c r="M6771" s="2">
        <f>HYPERLINK("https://ru.wikipedia.org/w/index.php?search=%D0%9B%D0%B5%D1%81%D1%82%D0%BD%D0%B8%D1%86%D0%B0%201989%20%D1%84%D0%B8%D0%BB%D1%8C%D0%BC","искать")</f>
        <v/>
      </c>
      <c r="N6771" s="3" t="n"/>
      <c r="O6771" s="2" t="n"/>
      <c r="P6771" s="2" t="n"/>
    </row>
    <row r="6772">
      <c r="A6772" s="2" t="n">
        <v>6771</v>
      </c>
      <c r="B6772" s="2" t="inlineStr"/>
      <c r="C6772" s="2" t="n">
        <v>10721</v>
      </c>
      <c r="D6772" s="3" t="inlineStr">
        <is>
          <t>Человек-невидимка</t>
        </is>
      </c>
      <c r="E6772" s="2" t="n">
        <v>1977</v>
      </c>
      <c r="F6772" s="2" t="inlineStr">
        <is>
          <t>фильм-спектакль</t>
        </is>
      </c>
      <c r="G6772" s="2" t="inlineStr">
        <is>
          <t>Ленинградское телевидение</t>
        </is>
      </c>
      <c r="H6772" s="2" t="n">
        <v>1149</v>
      </c>
      <c r="I6772" s="2" t="inlineStr"/>
      <c r="J6772" s="2" t="inlineStr"/>
      <c r="K6772" s="3" t="inlineStr">
        <is>
          <t>По мотивам одноименного романа Герберта Уэллса.
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 Конечно же миссис Холл была поражена его странным видом, но все-таки она была счастлива заполучить в это время года постояльца, да еще такого, который не торгуется. Ведь она даже и представить себе не могла последствий этого визита!</t>
        </is>
      </c>
      <c r="L6772" s="2" t="inlineStr">
        <is>
          <t>https://www.kino-teatr.ru/teatr/movie/111652/annot/</t>
        </is>
      </c>
      <c r="M6772" s="2">
        <f>HYPERLINK("https://ru.wikipedia.org/w/index.php?search=%D0%A7%D0%B5%D0%BB%D0%BE%D0%B2%D0%B5%D0%BA-%D0%BD%D0%B5%D0%B2%D0%B8%D0%B4%D0%B8%D0%BC%D0%BA%D0%B0%201977%20%D1%84%D0%B8%D0%BB%D1%8C%D0%BC","искать")</f>
        <v/>
      </c>
      <c r="N6772" s="3" t="n"/>
      <c r="O6772" s="2" t="n"/>
      <c r="P6772" s="2" t="n"/>
    </row>
    <row r="6773">
      <c r="A6773" s="2" t="n">
        <v>6772</v>
      </c>
      <c r="B6773" s="2" t="inlineStr"/>
      <c r="C6773" s="2" t="n">
        <v>10907</v>
      </c>
      <c r="D6773" s="3" t="inlineStr">
        <is>
          <t>Р РµРїРµС‚РёС‚РѕСЂ</t>
        </is>
      </c>
      <c r="E6773" s="2" t="n">
        <v>1981</v>
      </c>
      <c r="F6773" s="2" t="inlineStr">
        <is>
          <t>фильм-спектакль</t>
        </is>
      </c>
      <c r="G6773" s="2" t="n"/>
      <c r="H6773" s="2" t="n">
        <v>1154</v>
      </c>
      <c r="I6773" s="2" t="inlineStr"/>
      <c r="J6773" s="2" t="inlineStr"/>
      <c r="K6773" s="3" t="inlineStr">
        <is>
          <t>РџРѕ РѕРґРЅРѕРёРјРµРЅРЅРѕР№ РїСЊРµСЃРµ Р“.РџРѕР»РѕРЅСЃРєРѕРіРѕ РІ РїРѕСЃС‚Р°РЅРѕРІРєРµ РњРѕСЃРєРѕРІСЃРєРѕРіРѕ РҐСѓРґРѕР¶РµСЃС‚РІРµРЅРЅРѕРіРѕ Р°РєР°РґРµРјРёС‡РµСЃРєРѕРіРѕ С‚РµР°С‚СЂР°.
Р’С‹РїСѓСЃРєРЅРёРє РњР“РЈ Р•РІРіРµРЅРёР№ РћРіР°СЂС‹С€РµРІ РїСЂРёРµР·Р¶Р°РµС‚ СЃРѕ СЃРІРѕРµР№ Р±Р°Р±СѓС€РєРѕР№ РЅР° Р РёР¶СЃРєРѕРµ РІР·РјРѕСЂСЊРµ. Р—РґРµСЃСЊ РѕРЅ Р·РЅР°РєРѕРјРёС‚СЃСЏ СЃ РљР°С‚РµР№ Р‘Р°С‚РёСЃС‚РѕРІРѕР№, Р±РµР·Р·Р°Р±РѕС‚РЅРѕР№ Рё Р»РµРіРєРѕРјС‹СЃР»РµРЅРЅРѕР№ РґРµРІСѓС€РєРѕР№, РєРѕС‚РѕСЂРѕР№ РЅРµ СѓРґР°Р»РѕСЃСЊ РїРѕСЃС‚СѓРїРёС‚СЊ РІ РёРЅСЃС‚РёС‚СѓС‚. РЈРІР»РµРєС€РёСЃСЊ РљР°С‚РµР№, Р•РІРіРµРЅРёР№ РїРѕРјРѕРіР°РµС‚ РµР№ РІ РїРѕРґРіРѕС‚РѕРІРєРµ Рє РІСЃС‚СѓРїРёС‚РµР»СЊРЅС‹Рј СЌРєР·Р°РјРµРЅР°Рј. Р’РЅР°С‡Р°Р»Рµ РљР°С‚СЏ РІРѕР·Р»Р°РіР°РµС‚ РЅР°РґРµР¶РґС‹ РЅР° РїРѕРјРѕС‰СЊ РµРіРѕ Р±Р°Р±СѓС€РєРё - Р·РЅР°РјРµРЅРёС‚РѕР№ Р°РєС‚СЂРёСЃС‹, РјРµС‡С‚Р°СЏ РїРѕСЃС‚СѓРїРёС‚СЊ РІ С‚РµР°С‚СЂР°Р»СЊРЅС‹Р№ РёРЅСЃС‚РёС‚СѓС‚.РќРѕ РїРѕСЃС‚РµРїРµРЅРЅРѕ РѕР±С‰РµРЅРёРµ СЃ РёСЃРєСЂРµРЅРЅРёРј Рё С†РµР»РµСѓСЃС‚СЂРµРјР»РµРЅРЅС‹Рј Р–РµРЅРµР№ Р·Р°СЃС‚Р°РІР»СЏРµС‚ РµРµ СЃРµСЂСЊРµР·РЅРѕ РѕС‚РЅРµСЃС‚РёСЃСЊ Рє Р¶РёР·РЅРё. РџСЂРёС…РѕРґРёС‚ Рє РЅРµР№ Рё РЅР°СЃС‚РѕСЏС‰Р°СЏ Р»СЋР±РѕРІСЊ.</t>
        </is>
      </c>
      <c r="L6773" s="2" t="inlineStr">
        <is>
          <t>https://www.kino-teatr.ru/teatr/movie/81446/annot/</t>
        </is>
      </c>
      <c r="M6773" s="2">
        <f>HYPERLINK("https://ru.wikipedia.org/w/index.php?search=%D0%A0%20%D0%A0%C2%B5%D0%A0%D1%97%D0%A0%C2%B5%D0%A1%E2%80%9A%D0%A0%D1%91%D0%A1%E2%80%9A%D0%A0%D1%95%D0%A1%D0%82%201981%20%D1%84%D0%B8%D0%BB%D1%8C%D0%BC","искать")</f>
        <v/>
      </c>
      <c r="N6773" s="3" t="n"/>
      <c r="O6773" s="2" t="n"/>
      <c r="P6773" s="2" t="n"/>
    </row>
    <row r="6774">
      <c r="A6774" s="2" t="n">
        <v>6773</v>
      </c>
      <c r="B6774" s="2" t="inlineStr"/>
      <c r="C6774" s="2" t="n">
        <v>8843</v>
      </c>
      <c r="D6774" s="3" t="inlineStr">
        <is>
          <t>Мой муж - инопланетянин</t>
        </is>
      </c>
      <c r="E6774" s="2" t="n">
        <v>1990</v>
      </c>
      <c r="F6774" s="2" t="inlineStr">
        <is>
          <t>кинофильм</t>
        </is>
      </c>
      <c r="G6774" s="2" t="n"/>
      <c r="H6774" s="2" t="n">
        <v>1155</v>
      </c>
      <c r="I6774" s="2" t="inlineStr"/>
      <c r="J6774" s="2" t="inlineStr"/>
      <c r="K6774" s="3" t="inlineStr">
        <is>
          <t>Верной жене Люсе достался гулящий муж Виктор. Он не только изменяет своей жене, но и бесконечно придумывает идиотские объяснения своим «похождениям». Однажды он возвращается домой голый и со следами помады. Как утверждает Виктор, он подвергся ограблению. Ночью же он заявляет, что является пришельцем. Вскоре после этого Люся встречает мужа в метро, однако тот ведёт себя так, как будто видит её первый раз в жизни. Вместе с подругой Верой Люся начинает пытаться вывести мужа на чистую воду. Муж представляется Казимиром, профессиональным музыкантом. Его бывшую жену тоже зовут Людмилой. Проведя с ним ночь, Люся замечает, что муж стал несколько другим: другой склад характера, исчезла родинка, появился шрам (после армии, в которой Виктор не служил), не испытывает зверского аппетита после полового акта, не может починить водопроводный кран. Открыв дверь по звонку, Люся видит на лестнице голого Виктора, закрывающего паспортом гениталии. Он сознается, что изменял ей, его обокрали и выгнали. Люся опять подозревает, что он шутит, и начинает ругаться. Тут Виктор здоровается с кем-то, стоящим за спиной Люси. Она оборачивается и видит Казимира в халате.</t>
        </is>
      </c>
      <c r="L6774" s="2" t="inlineStr">
        <is>
          <t>https://ru.wikipedia.org/w/index.php?title=%D0%9C%D0%BE%D0%B9_%D0%BC%D1%83%D0%B6_%E2%80%94_%D0%B8%D0%BD%D0%BE%D0%BF%D0%BB%D0%B0%D0%BD%D0%B5%D1%82%D1%8F%D0%BD%D0%B8%D0%BD&amp;oldid=154616004</t>
        </is>
      </c>
      <c r="M6774" s="2">
        <f>HYPERLINK("https://ru.wikipedia.org/w/index.php?search=%D0%9C%D0%BE%D0%B9%20%D0%BC%D1%83%D0%B6%20-%20%D0%B8%D0%BD%D0%BE%D0%BF%D0%BB%D0%B0%D0%BD%D0%B5%D1%82%D1%8F%D0%BD%D0%B8%D0%BD%201990%20%D1%84%D0%B8%D0%BB%D1%8C%D0%BC","искать")</f>
        <v/>
      </c>
      <c r="N6774" s="3" t="n"/>
      <c r="O6774" s="2" t="n"/>
      <c r="P6774" s="2" t="n"/>
    </row>
    <row r="6775">
      <c r="A6775" s="2" t="n">
        <v>6774</v>
      </c>
      <c r="B6775" s="2" t="inlineStr"/>
      <c r="C6775" s="2" t="n">
        <v>7435</v>
      </c>
      <c r="D6775" s="3" t="inlineStr">
        <is>
          <t>Где-то гремит война</t>
        </is>
      </c>
      <c r="E6775" s="2" t="n">
        <v>1986</v>
      </c>
      <c r="F6775" s="2" t="inlineStr">
        <is>
          <t>телефильм</t>
        </is>
      </c>
      <c r="G6775" s="2" t="inlineStr">
        <is>
          <t>к/с им. Довженко</t>
        </is>
      </c>
      <c r="H6775" s="2" t="n">
        <v>1159</v>
      </c>
      <c r="I6775" s="2" t="inlineStr"/>
      <c r="J6775" s="2" t="inlineStr"/>
      <c r="K6775" s="3" t="inlineStr">
        <is>
          <t>Герой фильма — семнадцатилетний Митя Ненашкин, которого война застала в далеком тылу в Сибири. Много тяжелого, трагичного пришлось ему пережить, повидать. Но в подавляющем большинстве Мите встречались добрые, мужественные люди, готовые прийти на помощь другим, поделиться последним. В этой обстановке формировался характер смышлёного, храброго парня, ушедшего добровольцем на фронт.
В основе фильма факты из жизни самого писателя, составившие сюжетную ткань его известной повести «Последний поклон».
«Свою войну» переживает и главный герой Митя Ненашкин, семнадцатилетний паренек из сибирского села, ученик ремесленного училища. Пока он учится «на составителя поездов», — где-то, вдали от родных мест, гремит война. Но он видит, сколько горя и лишений несет она, как обнажает души людские. Становится видна суть человека. И дядя Левонтий, и бабушка Катерина Петровна, и тетя Августа, и Ксения все эти дорогие Мите люди сохранили душевное тепло и милосердие, готовность в любую минуту прийти на помощь, стать другому опорой. Митя переполне желанием защитить их жизнь, свой дом, поля и и леса, что необозримо раскинулись вокруг. Митя идет добровольцем на фронт.</t>
        </is>
      </c>
      <c r="L6775" s="2" t="inlineStr">
        <is>
          <t>https://ru.wikipedia.org/w/index.php?title=%D0%93%D0%B4%D0%B5-%D1%82%D0%BE_%D0%B3%D1%80%D0%B5%D0%BC%D0%B8%D1%82_%D0%B2%D0%BE%D0%B9%D0%BD%D0%B0&amp;oldid=154693539</t>
        </is>
      </c>
      <c r="M6775" s="2">
        <f>HYPERLINK("https://ru.wikipedia.org/w/index.php?search=%D0%93%D0%B4%D0%B5-%D1%82%D0%BE%20%D0%B3%D1%80%D0%B5%D0%BC%D0%B8%D1%82%20%D0%B2%D0%BE%D0%B9%D0%BD%D0%B0%201986%20%D1%84%D0%B8%D0%BB%D1%8C%D0%BC","искать")</f>
        <v/>
      </c>
      <c r="N6775" s="3" t="n"/>
      <c r="O6775" s="2" t="n"/>
      <c r="P6775" s="2" t="n"/>
    </row>
    <row r="6776">
      <c r="A6776" s="2" t="n">
        <v>6775</v>
      </c>
      <c r="B6776" s="2" t="inlineStr"/>
      <c r="C6776" s="2" t="n">
        <v>8358</v>
      </c>
      <c r="D6776" s="3" t="inlineStr">
        <is>
          <t>Случай в аэропорту</t>
        </is>
      </c>
      <c r="E6776" s="2" t="n">
        <v>1987</v>
      </c>
      <c r="F6776" s="2" t="inlineStr">
        <is>
          <t>телефильм</t>
        </is>
      </c>
      <c r="G6776" s="2" t="inlineStr">
        <is>
          <t>Таджикфильм</t>
        </is>
      </c>
      <c r="H6776" s="2" t="n">
        <v>1161</v>
      </c>
      <c r="I6776" s="2" t="inlineStr"/>
      <c r="J6776" s="2" t="inlineStr"/>
      <c r="K6776" s="3" t="inlineStr">
        <is>
          <t>Первая серия — «Туман»
Вторая серия — «Воровская ночь»
Третья серия — «Зона поражения»
В аэропорту города Душанбе совершено дерзкое нападение на курьеров городского художественного комбината, перевозивших груз ценных ювелирных украшений, предназначенных для участия в международной выставке.
Подозрение падает на директора комбината, который, мотивируя своё решение спешкой, приказал отправить золотые изделия обычным пассажирским рейсом. К тому же в милицию поступил сигнал о его подозрительном поведении накануне случившегося похищения.
После кропотливой работы следственной группой было установлено, что подлинным виновником был заместитель директора Зафар Каюмов. Он, в сговоре с уголовником Азиз-беком, по наущению бывшего художника комбината Саидова, спланировал и осуществил кражу драгоценностей.
Будучи пилотом добровольного спортивного общества, Каюмов планировал совершить побег на клубном самолёте. Направляя следствие по ложному следу, он был уверен в своём преимуществе во времени. После организованной с привлечением вертолётов погони, благодаря слаженным действиям сотрудников милиции, были нейтрализованы все причастные к ограблению преступники.</t>
        </is>
      </c>
      <c r="L6776" s="2" t="inlineStr">
        <is>
          <t>https://ru.wikipedia.org/w/index.php?title=%D0%A1%D0%BB%D1%83%D1%87%D0%B0%D0%B9_%D0%B2_%D0%B0%D1%8D%D1%80%D0%BE%D0%BF%D0%BE%D1%80%D1%82%D1%83&amp;oldid=152271736</t>
        </is>
      </c>
      <c r="M6776" s="2">
        <f>HYPERLINK("https://ru.wikipedia.org/w/index.php?search=%D0%A1%D0%BB%D1%83%D1%87%D0%B0%D0%B9%20%D0%B2%20%D0%B0%D1%8D%D1%80%D0%BE%D0%BF%D0%BE%D1%80%D1%82%D1%83%201987%20%D1%84%D0%B8%D0%BB%D1%8C%D0%BC","искать")</f>
        <v/>
      </c>
      <c r="N6776" s="3" t="n"/>
      <c r="O6776" s="2" t="n"/>
      <c r="P6776" s="2" t="n"/>
    </row>
    <row r="6777">
      <c r="A6777" s="2" t="n">
        <v>6776</v>
      </c>
      <c r="B6777" s="2" t="inlineStr"/>
      <c r="C6777" s="2" t="n">
        <v>9178</v>
      </c>
      <c r="D6777" s="3" t="inlineStr">
        <is>
          <t>Шут</t>
        </is>
      </c>
      <c r="E6777" s="2" t="n">
        <v>1988</v>
      </c>
      <c r="F6777" s="2" t="inlineStr">
        <is>
          <t>кинофильм</t>
        </is>
      </c>
      <c r="G6777" s="2" t="n"/>
      <c r="H6777" s="2" t="n">
        <v>1161</v>
      </c>
      <c r="I6777" s="2" t="inlineStr"/>
      <c r="J6777" s="2" t="inlineStr"/>
      <c r="K6777" s="3" t="inlineStr">
        <is>
          <t>По одноименной повести Ю. Вяземского. Валя Успенский весьма необычный девятиклассник. Используя
систему психологических приемов, называемых «шутэнами», юноша постоянно экспериментирует над окружающими. Порой эти эксперименты бывают достаточно жестокими, в связи с чем окружающие
побаиваются и избегают Вали. Однако его симпатичная одноклассница Ира Богданова испытывает к юноше интерес. Девушка даже предлагает Вале вступить с ней в интимную связь, а после отказа приглашает юношу к своим взрослым друзьям-неформалам. Она уединяется с одним из них. Расстроенный Валентин придирается к другой гостье, за нее вступается ее муж. Ссора заканчивается дракой. Вернувшись домой, Валя оскорбляет мать, называет ее безвольной из-за того, что она всю жизнь посвятила отцу, отказавшись от карьеры, а отца обвиняет в безразличии к семье. На следующий день в школе Валя обижает учительницу, приносит в класс муравьев в банке и срывает урок математики... Раздосадованный математик, поняв, что Валя - всего лишь подросток с ярко выраженным максимализмом, вызывает его на откровенный разговор, после которого мальчик сам идет к завучу, чтобы поговорить с ним о своих проблемах.</t>
        </is>
      </c>
      <c r="L6777" s="2" t="inlineStr">
        <is>
          <t>https://gosfilmofond.ru/films/239910/</t>
        </is>
      </c>
      <c r="M6777" s="2">
        <f>HYPERLINK("https://ru.wikipedia.org/w/index.php?search=%D0%A8%D1%83%D1%82%201988%20%D1%84%D0%B8%D0%BB%D1%8C%D0%BC","искать")</f>
        <v/>
      </c>
      <c r="N6777" s="3" t="n"/>
      <c r="O6777" s="2" t="n"/>
      <c r="P6777" s="2" t="n"/>
    </row>
    <row r="6778">
      <c r="A6778" s="2" t="n">
        <v>6777</v>
      </c>
      <c r="B6778" s="2" t="inlineStr"/>
      <c r="C6778" s="2" t="n">
        <v>9770</v>
      </c>
      <c r="D6778" s="3" t="inlineStr">
        <is>
          <t>Штаны</t>
        </is>
      </c>
      <c r="E6778" s="2" t="n">
        <v>1988</v>
      </c>
      <c r="F6778" s="2" t="inlineStr">
        <is>
          <t>кинофильм</t>
        </is>
      </c>
      <c r="G6778" s="2" t="n"/>
      <c r="H6778" s="2" t="n">
        <v>1161</v>
      </c>
      <c r="I6778" s="2" t="inlineStr"/>
      <c r="J6778" s="2" t="inlineStr"/>
      <c r="K6778" s="3" t="inlineStr">
        <is>
          <t>Курортный город. Ночью в ресторане происходит убийство. По подозрению задержан известный актер Бананов. В СИЗО Бананов признается в убийстве и отказывается от адвоката. Следователь Мишин чувствует, что задержанный что-то скрывает, да и вряд ли он способен убить человека. Из разговоров с актером, посещения театра, в котором он работал, поездки к нему на родину постепенно складывается подлинная картина преступления. Мишин выясняет, что у Бацанова есть сын Вячеслав, который ведет жизнь вечного курортника — не работает, вечерами сидит в ресторанах с девицами и подозрительными дружками. Один из таких приятелей, официант Чумак, выбивает деньги у должников. Он втянул в это и Вячеслава. Однажды официант нечаянно убивает шантажиста Горбова и пытается свалить вину на Вячеслава. Случайно оказавшись возле места преступления, Бацанов решает взять на себя мнимую вину сына. Тем более что актер находится в состоянии душевного кризиса и признается следователю, что ему все равно, где жить - на свободе или в тюрьме. Распутав это сложное дело, Мишин устраивает свидание Бацанову с сыном, который осужден как соучастник убийства и должен отправиться по этапу в зону.</t>
        </is>
      </c>
      <c r="L6778" s="2" t="inlineStr">
        <is>
          <t>https://gosfilmofond.ru/films/240806/</t>
        </is>
      </c>
      <c r="M6778" s="2">
        <f>HYPERLINK("https://ru.wikipedia.org/w/index.php?search=%D0%A8%D1%82%D0%B0%D0%BD%D1%8B%201988%20%D1%84%D0%B8%D0%BB%D1%8C%D0%BC","искать")</f>
        <v/>
      </c>
      <c r="N6778" s="3" t="n"/>
      <c r="O6778" s="2" t="n"/>
      <c r="P6778" s="2" t="n"/>
    </row>
    <row r="6779">
      <c r="A6779" s="2" t="n">
        <v>6778</v>
      </c>
      <c r="B6779" s="2" t="inlineStr"/>
      <c r="C6779" s="2" t="n">
        <v>8168</v>
      </c>
      <c r="D6779" s="3" t="inlineStr">
        <is>
          <t>Последний довод королей</t>
        </is>
      </c>
      <c r="E6779" s="2" t="n">
        <v>1983</v>
      </c>
      <c r="F6779" s="2" t="inlineStr">
        <is>
          <t>телефильм</t>
        </is>
      </c>
      <c r="G6779" s="2" t="inlineStr">
        <is>
          <t>Укртелефильм</t>
        </is>
      </c>
      <c r="H6779" s="2" t="n">
        <v>1162</v>
      </c>
      <c r="I6779" s="2" t="inlineStr"/>
      <c r="J6779" s="2" t="inlineStr"/>
      <c r="K6779" s="3" t="inlineStr">
        <is>
          <t>Действие фильма разворачивается в США в разгар холодной войны. Президент Джордан Лимен подписывает соглашение о ядерном разоружении с Советским Союзом, что вызывает острую критику со стороны военных и политиков, считающих его слабым лидером. Выражающий их интересы председатель комитета начальников штабов генерал ВВС Джеймс Скотт, заручившись поддержкой начальников штабов Армии, ВВС и морской пехоты, подготавливает военный переворот.
Полковник Кейси, которого друзья зовут Джигс, работающий в Пентагоне, случайно узнаёт о заговоре и сообщает президенту. Лимен, осознавая угрозу, поручает своим доверенным лицам, включая сенатора Рэя Кларка и секретаря Эстер Таунсенд, расследовать ситуацию. Помощник президента Пол Джирард добывает доказательства, но погибает в авиакатастрофе.
Кульминация фильма наступает за день до предполагаемого переворота. Президент предпринимает решительные шаги, используя политические и правовые механизмы для предотвращения узурпации власти. Заговор раскрывается, а его участники оказываются смещёнными со своих постов и уходят в отставку. Финал фильма подчёркивает хрупкость демократических институтов перед лицом внутренних угроз.</t>
        </is>
      </c>
      <c r="L6779" s="2" t="inlineStr">
        <is>
          <t>https://ru.wikipedia.org/w/index.php?title=%D0%9F%D0%BE%D1%81%D0%BB%D0%B5%D0%B4%D0%BD%D0%B8%D0%B9_%D0%B4%D0%BE%D0%B2%D0%BE%D0%B4_%D0%BA%D0%BE%D1%80%D0%BE%D0%BB%D0%B5%D0%B9_%28%D1%84%D0%B8%D0%BB%D1%8C%D0%BC%29&amp;oldid=151083131</t>
        </is>
      </c>
      <c r="M6779" s="2">
        <f>HYPERLINK("https://ru.wikipedia.org/w/index.php?search=%D0%9F%D0%BE%D1%81%D0%BB%D0%B5%D0%B4%D0%BD%D0%B8%D0%B9%20%D0%B4%D0%BE%D0%B2%D0%BE%D0%B4%20%D0%BA%D0%BE%D1%80%D0%BE%D0%BB%D0%B5%D0%B9%201983%20%D1%84%D0%B8%D0%BB%D1%8C%D0%BC","искать")</f>
        <v/>
      </c>
      <c r="N6779" s="3" t="n"/>
      <c r="O6779" s="2" t="n"/>
      <c r="P6779" s="2" t="n"/>
    </row>
    <row r="6780">
      <c r="A6780" s="2" t="n">
        <v>6779</v>
      </c>
      <c r="B6780" s="2" t="inlineStr"/>
      <c r="C6780" s="2" t="n">
        <v>9255</v>
      </c>
      <c r="D6780" s="3" t="inlineStr">
        <is>
          <t>Бумажные глаза Пришвина</t>
        </is>
      </c>
      <c r="E6780" s="2" t="n">
        <v>1989</v>
      </c>
      <c r="F6780" s="2" t="inlineStr">
        <is>
          <t>кинофильм</t>
        </is>
      </c>
      <c r="G6780" s="2" t="n"/>
      <c r="H6780" s="2" t="n">
        <v>1162</v>
      </c>
      <c r="I6780" s="2" t="inlineStr"/>
      <c r="J6780" s="2" t="inlineStr"/>
      <c r="K6780" s="3" t="inlineStr">
        <is>
          <t>Сюжет выстроен по схеме «фильм в фильме». Телережиссёр Павел Пришвин (Александр Романцов) играет роль капитана госбезопасности в ленте о сталинизме, действие которой происходит в 1949 году. Сам Пришвин задумал сделать телепередачу о группе телевизионщиков, работавших в том же 1949 году. Он изучает архивные материалы, беседует с живыми членами группы, пытаясь восстановить события сорокалетней давности. Его внимание привлекает история загадочной гибели одного из актёров. Пришвин проводит расследование, предполагая, что здесь замешано МГБ. Но всё оказалось гораздо прозаичнее. Просто коллега актёра, приревновав к нему свою жену, вставил ему, пьяному, палку от швабры в рукава шубы, в результате чего тот упал и замёрз на морозе.
Необычное название фильма, эти странные «бумажные глаза» — связаны со следующей историей. Дикторам телевидения, читая новости, приходилось время от времени опускать глаза, следя за текстом. И вот в студию пришло письмо, где предлагалось наклеить им на веки бумажные глаза, чтобы, даже когда они будут читать, казалось, что они смотрят на телезрителей. С другой стороны, некоторые критики видят в «бумажных глазах» символ слепоты.</t>
        </is>
      </c>
      <c r="L6780" s="2" t="inlineStr">
        <is>
          <t>https://ru.wikipedia.org/w/index.php?title=%D0%91%D1%83%D0%BC%D0%B0%D0%B6%D0%BD%D1%8B%D0%B5_%D0%B3%D0%BB%D0%B0%D0%B7%D0%B0_%D0%9F%D1%80%D0%B8%D1%88%D0%B2%D0%B8%D0%BD%D0%B0&amp;oldid=154309509</t>
        </is>
      </c>
      <c r="M6780" s="2">
        <f>HYPERLINK("https://ru.wikipedia.org/w/index.php?search=%D0%91%D1%83%D0%BC%D0%B0%D0%B6%D0%BD%D1%8B%D0%B5%20%D0%B3%D0%BB%D0%B0%D0%B7%D0%B0%20%D0%9F%D1%80%D0%B8%D1%88%D0%B2%D0%B8%D0%BD%D0%B0%201989%20%D1%84%D0%B8%D0%BB%D1%8C%D0%BC","искать")</f>
        <v/>
      </c>
      <c r="N6780" s="3" t="n"/>
      <c r="O6780" s="2" t="n"/>
      <c r="P6780" s="2" t="n"/>
    </row>
    <row r="6781">
      <c r="A6781" s="2" t="n">
        <v>6780</v>
      </c>
      <c r="B6781" s="2" t="inlineStr"/>
      <c r="C6781" s="2" t="n">
        <v>9619</v>
      </c>
      <c r="D6781" s="3" t="inlineStr">
        <is>
          <t>Регина</t>
        </is>
      </c>
      <c r="E6781" s="2" t="n">
        <v>1990</v>
      </c>
      <c r="F6781" s="2" t="inlineStr">
        <is>
          <t>кинофильм</t>
        </is>
      </c>
      <c r="G6781" s="2" t="n"/>
      <c r="H6781" s="2" t="n">
        <v>1163</v>
      </c>
      <c r="I6781" s="2" t="inlineStr"/>
      <c r="J6781" s="2" t="inlineStr"/>
      <c r="K6781" s="3" t="inlineStr">
        <is>
          <t>Регина — красивая, образованная, но все ещё незамужняя женщина лет 30-ти. Её бросает парень, решивший жениться на молодой беременной девушке. В это время Регина наследует от своей тёти дом в небольшом городке, она решает изменить жизнь, переезжает из столицы в городок и начинает работать учителем. Соседка Герта предлагает ей в качестве помощника по саду и ремонту Анцу, человека с золотыми руками, который также приходил на помощь тёте Регины. Регина же хочет создать семью, во что бы то ни стало. Не имея на примете никого из своих старых и новых знакомых, она делает предложение Анцу. Он соглашается, и они становятся парой. Мужчина любит выпить, и подруга Регины Мари предупреждает её, что дети могут родиться с нарушениями здоровья. Однако у Регины есть свой план — она прагматично планирует родить детей от случайных отношений со здоровыми мужчинами. Мари же по её плану должна проверить медицинские записи кандидатов в отцы. У Регины рождаются трое прекрасных детей, счастливаи она, и Анц, и тёща. Но совесть мучает Регину всё больше и больше, и в конце концов она вступает в драку с Мари, которая в отместку угрожает раскрыть дело Регины всем участникам.</t>
        </is>
      </c>
      <c r="L6781" s="2" t="inlineStr">
        <is>
          <t>https://ru.wikipedia.org/w/index.php?title=%D0%A0%D0%B5%D0%B3%D0%B8%D0%BD%D0%B0_%28%D1%84%D0%B8%D0%BB%D1%8C%D0%BC%2C_1990%29&amp;oldid=155467411</t>
        </is>
      </c>
      <c r="M6781" s="2">
        <f>HYPERLINK("https://ru.wikipedia.org/w/index.php?search=%D0%A0%D0%B5%D0%B3%D0%B8%D0%BD%D0%B0%201990%20%D1%84%D0%B8%D0%BB%D1%8C%D0%BC","искать")</f>
        <v/>
      </c>
      <c r="N6781" s="3" t="n"/>
      <c r="O6781" s="2" t="n"/>
      <c r="P6781" s="2" t="n"/>
    </row>
    <row r="6782">
      <c r="A6782" s="2" t="n">
        <v>6781</v>
      </c>
      <c r="B6782" s="2" t="inlineStr"/>
      <c r="C6782" s="2" t="n">
        <v>10514</v>
      </c>
      <c r="D6782" s="3" t="inlineStr">
        <is>
          <t>Разные люди</t>
        </is>
      </c>
      <c r="E6782" s="2" t="n">
        <v>1973</v>
      </c>
      <c r="F6782" s="2" t="inlineStr">
        <is>
          <t>фильм-спектакль</t>
        </is>
      </c>
      <c r="G6782" s="2" t="inlineStr">
        <is>
          <t>Главная редакция литературно-драматических программ ЦТ</t>
        </is>
      </c>
      <c r="H6782" s="2" t="n">
        <v>1170</v>
      </c>
      <c r="I6782" s="2" t="inlineStr"/>
      <c r="J6782" s="2" t="inlineStr"/>
      <c r="K6782" s="3" t="inlineStr">
        <is>
          <t>Телевизионная повесть о судьбах самых разных людей, которые встретились в 10 "А" классе вечерней школы. У каждого из учеников - свои сложности и радости, проблемы и удачи. Случайно встретившиеся люди становятся по-настоящему необходимыми друг другу.
Герой первой главы телеповести - молодой рабочий Владимир Родионов.
Главное действующее лицо второй главы, шофер такси Николай Седых, пережив серьезный конфликт с женой, понимает, что их связывает большое и глубокое чувство.
Третья глава "Ирина Лескова" - рассказ о молодой учительнице, влюбленной в свою профессию.
Глава четвертая - "Федор Иваненко". Рассказ о трудном подростке, которому педагоги и товарищи помогают найти свое призвание.
Пятая глава повествует об электромонтере Леониде Волкове, человеке требовательном к себе и другим, о его любви к Нине Родионовой, сестре товарища по вечерней школе.
В центре сюжета шестой главы повести - конфликт Зины Багляевой, работающей на стройке, с ее непосредственным начальником - прорабом.
В заключительной главе под названием "10 А" происходит встреча со всеми героями сериала. Они внутренне повзрослели и готовы к решению новых задач, которые поставит перед ними жизнь.</t>
        </is>
      </c>
      <c r="L6782" s="2" t="inlineStr">
        <is>
          <t>https://www.kino-teatr.ru/teatr/movie/14936/annot/</t>
        </is>
      </c>
      <c r="M6782" s="2">
        <f>HYPERLINK("https://ru.wikipedia.org/w/index.php?search=%D0%A0%D0%B0%D0%B7%D0%BD%D1%8B%D0%B5%20%D0%BB%D1%8E%D0%B4%D0%B8%201973%20%D1%84%D0%B8%D0%BB%D1%8C%D0%BC","искать")</f>
        <v/>
      </c>
      <c r="N6782" s="3" t="n"/>
      <c r="O6782" s="2" t="n"/>
      <c r="P6782" s="2" t="n"/>
    </row>
    <row r="6783">
      <c r="A6783" s="2" t="n">
        <v>6782</v>
      </c>
      <c r="B6783" s="2" t="inlineStr"/>
      <c r="C6783" s="2" t="n">
        <v>8497</v>
      </c>
      <c r="D6783" s="3" t="inlineStr">
        <is>
          <t>Удивительные приключения Дениса Кораблёва</t>
        </is>
      </c>
      <c r="E6783" s="2" t="n">
        <v>1979</v>
      </c>
      <c r="F6783" s="2" t="inlineStr">
        <is>
          <t>телефильм</t>
        </is>
      </c>
      <c r="G6783" s="2" t="n"/>
      <c r="H6783" s="2" t="n">
        <v>1171</v>
      </c>
      <c r="I6783" s="2" t="inlineStr"/>
      <c r="J6783" s="2" t="inlineStr"/>
      <c r="K6783" s="3" t="inlineStr">
        <is>
          <t>Фильм снят по мотивам известных рассказов популярного детского писателя Виктора Драгунского о школьнике Денисе Кораблёве, его друзьях и близких. Использованы следующие рассказы:
«Ровно двадцать пять кило», в котором Денис весьма оригинальным образом выигрывает подписку на журнал «Мурзилка».
«Не хуже вас, цирковых!», в котором он случайно становится «цирковым артистом» (правда, ненадолго).
«Друг детства», где Денис рассуждает о том, кем станет, когда вырастет, и отказывается использовать плюшевого Мишку в качестве боксёрской груши.
«Девочка на шаре», в котором он встречает свою первую любовь.
«Гусиное горло», в котором Денис приготавливает вполне оригинальный подарок для своего друга.
«На Садовой большое движение», где он и его приятель оказываются обманутыми нахальным мальчишкой.
«Белые амадины», в котором Денис посещает выставку певчих птиц.
«Мой знакомый медведь», где Денис встречает на празднике медведя, который на самом деле оказывается переодетым артистом.
«Мотогонки по отвесной стене», в котором Денис без спроса берёт велосипед с мотором, принадлежащий мишкиному родственнику Феде, и катается по двору.
А также небольшие эпизоды из других рассказов.</t>
        </is>
      </c>
      <c r="L6783" s="2" t="inlineStr">
        <is>
          <t>https://ru.wikipedia.org/w/index.php?title=%D0%A3%D0%B4%D0%B8%D0%B2%D0%B8%D1%82%D0%B5%D0%BB%D1%8C%D0%BD%D1%8B%D0%B5_%D0%BF%D1%80%D0%B8%D0%BA%D0%BB%D1%8E%D1%87%D0%B5%D0%BD%D0%B8%D1%8F_%D0%94%D0%B5%D0%BD%D0%B8%D1%81%D0%B0_%D0%9A%D0%BE%D1%80%D0%B0%D0%B1%D0%BB%D1%91%D0%B2%D0%B0&amp;oldid=153594861</t>
        </is>
      </c>
      <c r="M6783" s="2">
        <f>HYPERLINK("https://ru.wikipedia.org/w/index.php?search=%D0%A3%D0%B4%D0%B8%D0%B2%D0%B8%D1%82%D0%B5%D0%BB%D1%8C%D0%BD%D1%8B%D0%B5%20%D0%BF%D1%80%D0%B8%D0%BA%D0%BB%D1%8E%D1%87%D0%B5%D0%BD%D0%B8%D1%8F%20%D0%94%D0%B5%D0%BD%D0%B8%D1%81%D0%B0%20%D0%9A%D0%BE%D1%80%D0%B0%D0%B1%D0%BB%D1%91%D0%B2%D0%B0%201979%20%D1%84%D0%B8%D0%BB%D1%8C%D0%BC","искать")</f>
        <v/>
      </c>
      <c r="N6783" s="3" t="n"/>
      <c r="O6783" s="2" t="n"/>
      <c r="P6783" s="2" t="n"/>
    </row>
    <row r="6784">
      <c r="A6784" s="2" t="n">
        <v>6783</v>
      </c>
      <c r="B6784" s="2" t="inlineStr"/>
      <c r="C6784" s="2" t="n">
        <v>11377</v>
      </c>
      <c r="D6784" s="3" t="inlineStr">
        <is>
          <t>Лючия ди Ламмермур</t>
        </is>
      </c>
      <c r="E6784" s="2" t="n">
        <v>1980</v>
      </c>
      <c r="F6784" s="2" t="inlineStr">
        <is>
          <t>фильм-опера/балет</t>
        </is>
      </c>
      <c r="G6784" s="2" t="n"/>
      <c r="H6784" s="2" t="n">
        <v>1171</v>
      </c>
      <c r="I6784" s="2" t="inlineStr"/>
      <c r="J6784" s="2" t="inlineStr"/>
      <c r="K6784" s="3" t="inlineStr">
        <is>
          <t>Путешествующий с друзьями по Великобритании безымянный итальянский композитор укрылся от проливного дождя в доме одинокой старухи. Там его заинтересовала картина, висевшая над очагом. После короткого предисловия хозяйка рассказала трагическую историю изображённой на холсте пары влюблённых.
Лорд Эдгар — последний из старинного рода Равенсвудов. Отец Эдгара был убит неким Астоном, добившемся власти в этих краях. Лорд поклялся отомстить за смерть отца и за все оскорбления, нанесённые их роду.
К несчастью, Эдгар встретил и полюбил Лючию — сестру своего врага. Вынужденный покинуть на время родину, Эдгар даёт возможность коварному вельможе воспользоваться подложным письмом и убедить сестру в неверности её возлюбленного.
Лючия уступает просьбам брата и даёт согласие на свадьбу с лордом Артуром, богатым женихом, которого так усиленно рекомендует ей Генрих.
Из Франции возвращается Эдгар. Он обвиняет Лючию в неверности данному слову. Обманутая девушка теряет рассудок, убивает своего молодого супруга и бросается вниз с крутого обрыва реки.
Потрясённый случившимся, Эдгар идёт в замок своего врага и гибнет от стрелы, пущенной в него Норманном, верным слугой Генриха.</t>
        </is>
      </c>
      <c r="L6784" s="2" t="inlineStr">
        <is>
          <t>https://ru.wikipedia.org/w/index.php?title=%D0%9B%D1%8E%D1%87%D0%B8%D1%8F_%D0%B4%D0%B8_%D0%9B%D0%B0%D0%BC%D0%BC%D0%B5%D1%80%D0%BC%D1%83%D1%80_%28%D1%84%D0%B8%D0%BB%D1%8C%D0%BC-%D0%BE%D0%BF%D0%B5%D1%80%D0%B0%2C_1980%29&amp;oldid=154698943</t>
        </is>
      </c>
      <c r="M6784" s="2">
        <f>HYPERLINK("https://ru.wikipedia.org/w/index.php?search=%D0%9B%D1%8E%D1%87%D0%B8%D1%8F%20%D0%B4%D0%B8%20%D0%9B%D0%B0%D0%BC%D0%BC%D0%B5%D1%80%D0%BC%D1%83%D1%80%201980%20%D1%84%D0%B8%D0%BB%D1%8C%D0%BC","искать")</f>
        <v/>
      </c>
      <c r="N6784" s="3" t="n"/>
      <c r="O6784" s="2" t="n"/>
      <c r="P6784" s="2" t="n"/>
    </row>
    <row r="6785">
      <c r="A6785" s="2" t="n">
        <v>6784</v>
      </c>
      <c r="B6785" s="2" t="inlineStr"/>
      <c r="C6785" s="2" t="n">
        <v>9646</v>
      </c>
      <c r="D6785" s="3" t="inlineStr">
        <is>
          <t>Скорый поезд</t>
        </is>
      </c>
      <c r="E6785" s="2" t="n">
        <v>1988</v>
      </c>
      <c r="F6785" s="2" t="inlineStr">
        <is>
          <t>кинофильм</t>
        </is>
      </c>
      <c r="G6785" s="2" t="n"/>
      <c r="H6785" s="2" t="n">
        <v>1172</v>
      </c>
      <c r="I6785" s="2" t="inlineStr"/>
      <c r="J6785" s="2" t="inlineStr"/>
      <c r="K6785" s="3" t="inlineStr">
        <is>
          <t>Официантка-разносчица вагона-ресторана скорого поезда Ольга Коренева одна растит маленького сына Антона. Постоянно мотаясь по стране, она почти не видит сына. Ее мать, Ксения, также всю жизнь работает проводницей, мужа у нее не было, и Ольга воспитывалась в школе-интернате. Видятся они редко, а, встречаясь, постоянно ссорятся и кричат друг на друга. Антона воспитывает соседка баба Валя, но однажды, приехав домой, Ольга попадает на поминки соседки. Помочь ей больше некому и сына она берет с собой.
Но скоро понимает, что ребенку лучше не видеть того, что творится на ее работе — там процветает обман, воровство. Заведующий позволяет обсчитывать и обманывать пассажиров, беря за это с официанток мзду. С наступлением нового учебного года Ольга приводит сына в тот же интернат, в котором когда-то жила и училась сама. Встречи их становятся еще более редкими. В Мурманске, случайно познакомившись с режиссером народного театра, Коренева попадает на репетицию спектакля. И вдруг, во время спектакля она увидела свою жизнь другими глазами, Ольга понимает, что сыну нужна мать, а не редкие короткие свидания и подарки. Она оставляет свою работу и забирает сына из интерната.</t>
        </is>
      </c>
      <c r="L6785" s="2" t="inlineStr">
        <is>
          <t>https://gosfilmofond.ru/films/239903/</t>
        </is>
      </c>
      <c r="M6785" s="2">
        <f>HYPERLINK("https://ru.wikipedia.org/w/index.php?search=%D0%A1%D0%BA%D0%BE%D1%80%D1%8B%D0%B9%20%D0%BF%D0%BE%D0%B5%D0%B7%D0%B4%201988%20%D1%84%D0%B8%D0%BB%D1%8C%D0%BC","искать")</f>
        <v/>
      </c>
      <c r="N6785" s="3" t="n"/>
      <c r="O6785" s="2" t="n"/>
      <c r="P6785" s="2" t="n"/>
    </row>
    <row r="6786">
      <c r="A6786" s="2" t="n">
        <v>6785</v>
      </c>
      <c r="B6786" s="2" t="inlineStr"/>
      <c r="C6786" s="2" t="n">
        <v>9372</v>
      </c>
      <c r="D6786" s="3" t="inlineStr">
        <is>
          <t>Запретная зона</t>
        </is>
      </c>
      <c r="E6786" s="2" t="n">
        <v>1988</v>
      </c>
      <c r="F6786" s="2" t="inlineStr">
        <is>
          <t>кинофильм</t>
        </is>
      </c>
      <c r="G6786" s="2" t="n"/>
      <c r="H6786" s="2" t="n">
        <v>1173</v>
      </c>
      <c r="I6786" s="2" t="inlineStr"/>
      <c r="J6786" s="2" t="inlineStr"/>
      <c r="K6786" s="3" t="inlineStr">
        <is>
          <t>В июне 1984 года на территории Волго-Вятского района пронесся чудовищный ураган. Многие населенные пункты стерты с лица земли. В зоне стихии оказывается и село Воздвиженское. Чудом уцелевшие люди начинают разбирать завалы, им помогают солдаты. Прибывают и репортеры телевидения. Однако отснятый
материал не нравится главному редактору, так как в нем должным образом не отражена деятельность партийных и советских органов. Лишь Вера Андреевна Третьякова, заместитель председателя райисполкома по ликвидации последствий стихийных бедствий, самоотверженно выполняет нелегкую задачу временного обустройства людей, потерявших близких и кров, разъясняет, как пользоваться ссудой, направляет стройматериалы туда, где они нужней. В нескольких шагах от зоны бедствия располагается дачный поселок. Здесь звучит музыка, играют в теннис, жарят шашлыки и слушают юного скрипача, рассуждая об искусстве. Третьякова решает временно поселить оставшихся без крова людей на этих дачах, но хозяева категорически против. Вера Андреевна идет в местный ЖЭК за помощью, но там ей говорят, что свободной жилплощади нет... Зато в новостях рассказывают об эффективной борьбе с последствиями урагана.</t>
        </is>
      </c>
      <c r="L6786" s="2" t="inlineStr">
        <is>
          <t>https://gosfilmofond.ru/films/239823/</t>
        </is>
      </c>
      <c r="M6786" s="2">
        <f>HYPERLINK("https://ru.wikipedia.org/w/index.php?search=%D0%97%D0%B0%D0%BF%D1%80%D0%B5%D1%82%D0%BD%D0%B0%D1%8F%20%D0%B7%D0%BE%D0%BD%D0%B0%201988%20%D1%84%D0%B8%D0%BB%D1%8C%D0%BC","искать")</f>
        <v/>
      </c>
      <c r="N6786" s="3" t="n"/>
      <c r="O6786" s="2" t="n"/>
      <c r="P6786" s="2" t="n"/>
    </row>
    <row r="6787">
      <c r="A6787" s="2" t="n">
        <v>6786</v>
      </c>
      <c r="B6787" s="2" t="inlineStr"/>
      <c r="C6787" s="2" t="n">
        <v>10902</v>
      </c>
      <c r="D6787" s="3" t="inlineStr">
        <is>
          <t>Похищение чародея</t>
        </is>
      </c>
      <c r="E6787" s="2" t="n">
        <v>1981</v>
      </c>
      <c r="F6787" s="2" t="inlineStr">
        <is>
          <t>фильм-спектакль</t>
        </is>
      </c>
      <c r="G6787" s="2" t="inlineStr">
        <is>
          <t>Ленинградское телевидение</t>
        </is>
      </c>
      <c r="H6787" s="2" t="n">
        <v>1174</v>
      </c>
      <c r="I6787" s="2" t="inlineStr"/>
      <c r="J6787" s="2" t="inlineStr"/>
      <c r="K6787" s="3" t="inlineStr">
        <is>
          <t>Фильм-спектакль по одноименной повести Кира Булычева.
Молодая аспирантка Анна Иванкевич приезжает в родную деревню, где не была около 20 лет. Здесь, в деревенской тишине теткиного дома, она собирается писать диссертацию. Вдруг в доме неожиданно появляются двое странных незнакомцев, которых поначалу Анна принимает за воров. Они утверждают, что хозяйка этого дома вчера сдала им его на две недели, а для большей убедительности передают письмо, в котором Анина мама подтверждает это и ещё просит ее пожить пока у их соседа - деда Геннадия. Все это выглядит очень странно...
А дальше вообще начинается фантастика - вскоре выясняется, что они - гости из будущего, и выбрали этот дом в качестве промежуточной станции. Незнакомцы заявляют, что сами они из далекого XXVIII века и им необходимо отправиться в XIII век. Им дано поручение похитить боярина Романа, проживающего в то время в этих краях, и который с их точки зрения гений, а по мнению его соотечественников - алхимик и колдун. Невольно Анна оказывается вовлеченной в круговерть удивительных перевоплащений и фантастических приключений. Средневековье открылось для неё в самый трудный, смертельный период в истории Руси.</t>
        </is>
      </c>
      <c r="L6787" s="2" t="inlineStr">
        <is>
          <t>https://www.kino-teatr.ru/teatr/movie/5521/annot/</t>
        </is>
      </c>
      <c r="M6787" s="2">
        <f>HYPERLINK("https://ru.wikipedia.org/w/index.php?search=%D0%9F%D0%BE%D1%85%D0%B8%D1%89%D0%B5%D0%BD%D0%B8%D0%B5%20%D1%87%D0%B0%D1%80%D0%BE%D0%B4%D0%B5%D1%8F%201981%20%D1%84%D0%B8%D0%BB%D1%8C%D0%BC","искать")</f>
        <v/>
      </c>
      <c r="N6787" s="3" t="n"/>
      <c r="O6787" s="2" t="n"/>
      <c r="P6787" s="2" t="n"/>
    </row>
    <row r="6788">
      <c r="A6788" s="2" t="n">
        <v>6787</v>
      </c>
      <c r="B6788" s="2" t="inlineStr"/>
      <c r="C6788" s="2" t="n">
        <v>8264</v>
      </c>
      <c r="D6788" s="3" t="inlineStr">
        <is>
          <t>Рассказы о Кешке и его друзьях</t>
        </is>
      </c>
      <c r="E6788" s="2" t="n">
        <v>1974</v>
      </c>
      <c r="F6788" s="2" t="inlineStr">
        <is>
          <t>телефильм</t>
        </is>
      </c>
      <c r="G6788" s="2" t="n"/>
      <c r="H6788" s="2" t="n">
        <v>1175</v>
      </c>
      <c r="I6788" s="2" t="inlineStr"/>
      <c r="J6788" s="2" t="inlineStr"/>
      <c r="K6788" s="3" t="inlineStr">
        <is>
          <t>Автогонщик Василий Гаврилин, не в силах глядеть на изнывающих от летнего безделья соседских ребят, предлагает им восстановить списанный карт и попробовать выступить на нём в настоящих гонках. Жильцам дома, во дворе которого происходит действие фильма, поначалу не нравится идея появления во дворе грохочущей машины, но убедившись в истинном увлечении ребят техникой, они постепенно переходят в число их горячих приверженцев. По просьбе участкового жилконтора берёт под свою опеку самодеятельный клуб.
Пенсионеры, коротавшие время за домино, не удержались и стали помогать ребятам. Затем, предоставив им возможность самостоятельно заниматься ремонтом, они строят для малышей педальную модель ретро-автомобиля.
Двое ребят — Женька и Толик — по наивности связываются с контрабандистами, и их товарищам приходится приложить немало усилий, чтобы помочь выпутаться из неприятной ситуации. Толик, к большому удовольствию управхоза, отдаёт скопленные им деньги в пользу мотоклуба.
Во время ответственного заезда Борька замечает одного из преступников и, бросив гонку, преследует его на карте. После удачной погони злоумышленника «Серёжу-кожаного» передают в руки подоспевшей милиции.</t>
        </is>
      </c>
      <c r="L6788" s="2" t="inlineStr">
        <is>
          <t>https://ru.wikipedia.org/w/index.php?title=%D0%A0%D0%B0%D1%81%D1%81%D0%BA%D0%B0%D0%B7%D1%8B_%D0%BE_%D0%9A%D0%B5%D1%88%D0%BA%D0%B5_%D0%B8_%D0%B5%D0%B3%D0%BE_%D0%B4%D1%80%D1%83%D0%B7%D1%8C%D1%8F%D1%85&amp;oldid=150585946</t>
        </is>
      </c>
      <c r="M6788" s="2">
        <f>HYPERLINK("https://ru.wikipedia.org/w/index.php?search=%D0%A0%D0%B0%D1%81%D1%81%D0%BA%D0%B0%D0%B7%D1%8B%20%D0%BE%20%D0%9A%D0%B5%D1%88%D0%BA%D0%B5%20%D0%B8%20%D0%B5%D0%B3%D0%BE%20%D0%B4%D1%80%D1%83%D0%B7%D1%8C%D1%8F%D1%85%201974%20%D1%84%D0%B8%D0%BB%D1%8C%D0%BC","искать")</f>
        <v/>
      </c>
      <c r="N6788" s="3" t="n"/>
      <c r="O6788" s="2" t="n"/>
      <c r="P6788" s="2" t="n"/>
    </row>
    <row r="6789">
      <c r="A6789" s="2" t="n">
        <v>6788</v>
      </c>
      <c r="B6789" s="2" t="inlineStr"/>
      <c r="C6789" s="2" t="n">
        <v>9605</v>
      </c>
      <c r="D6789" s="3" t="inlineStr">
        <is>
          <t>Публикация</t>
        </is>
      </c>
      <c r="E6789" s="2" t="n">
        <v>1988</v>
      </c>
      <c r="F6789" s="2" t="inlineStr">
        <is>
          <t>кинофильм</t>
        </is>
      </c>
      <c r="G6789" s="2" t="n"/>
      <c r="H6789" s="2" t="n">
        <v>1176</v>
      </c>
      <c r="I6789" s="2" t="inlineStr"/>
      <c r="J6789" s="2" t="inlineStr"/>
      <c r="K6789" s="3" t="inlineStr">
        <is>
          <t>В 10-й класс московской спецшколы приходит новая учительница Ирина Александровна. Прежняя классная руководительница, Зинаида Ивановна, тяжело заболела после появления газетной публикации, в которой говорилось о консервативных методах преподавания, о ее любви к церквям и храмам. Над письмом усердно поработали и некоторые родители, которых не устраивала принципиальная позиция пожилой учительницы, не желавшей завышать оценки так называемым «мажорам» — детям ответственных работников. Школьники Сергей Максимов, Глеб Стеклов и Шмаков, пришедшие в школу из простых семей, тяжело переживают болезнь и уход Зинаиды Ивановны, тем более, что та много сделала для них, особенно для Сергея, отстояв его в момент, когда подростка хотели выгнать из 8-го класса за неуспеваемость, и вытащив из милиции, куда
Сергей попал по оговору. Вскоре Оля Березина из подслушанного ею разговора Вадима с Мариной узнает, что публикацию подготовил по просьбе Вадима его знакомый журналист. Ирина Александровна решает обсудить этот поступок подростка на классном собрании. Глеб обвиняет директора школы в лицемерии, а Сергей, несмотря на то, что за это его могут исключить из школы, уходит с собрания.</t>
        </is>
      </c>
      <c r="L6789" s="2" t="inlineStr">
        <is>
          <t>https://gosfilmofond.ru/films/239896/</t>
        </is>
      </c>
      <c r="M6789" s="2">
        <f>HYPERLINK("https://ru.wikipedia.org/w/index.php?search=%D0%9F%D1%83%D0%B1%D0%BB%D0%B8%D0%BA%D0%B0%D1%86%D0%B8%D1%8F%201988%20%D1%84%D0%B8%D0%BB%D1%8C%D0%BC","искать")</f>
        <v/>
      </c>
      <c r="N6789" s="3" t="n"/>
      <c r="O6789" s="2" t="n"/>
      <c r="P6789" s="2" t="n"/>
    </row>
    <row r="6790">
      <c r="A6790" s="2" t="n">
        <v>6789</v>
      </c>
      <c r="B6790" s="2" t="inlineStr"/>
      <c r="C6790" s="2" t="n">
        <v>10882</v>
      </c>
      <c r="D6790" s="3" t="inlineStr">
        <is>
          <t>Зыковы</t>
        </is>
      </c>
      <c r="E6790" s="2" t="n">
        <v>1981</v>
      </c>
      <c r="F6790" s="2" t="inlineStr">
        <is>
          <t>фильм-спектакль</t>
        </is>
      </c>
      <c r="G6790" s="2" t="inlineStr">
        <is>
          <t>Главная редакция литературно-драматических программ ЦТ</t>
        </is>
      </c>
      <c r="H6790" s="2" t="n">
        <v>1176</v>
      </c>
      <c r="I6790" s="2" t="inlineStr"/>
      <c r="J6790" s="2" t="inlineStr"/>
      <c r="K6790" s="3" t="inlineStr">
        <is>
          <t>По одноименной пьесе Максима Горького в постановке Куйбышевского академического театра драмы имени М. Горького.
Живет семья. Крепкая, русская. Ее глава - лесопромышленник Антипа Зыков: немолодой, умный, сильный, богатый, самоуверенный, но с неистребимой трещинкой души. Его рано овдовевшая сестра Софья, которую брат в юности выдал за обеспеченного старика, так что своих детей у нее не родилось. Они вдвоем воспитывают сына Антипы Михаила - молодого, вечно пьяного, вроде никчемного, но чувствительного. Он сразу реагирует на появление в доме юной Павлы, только что вышедшей из монастырской школы и неустанно разглагольствующей о необходимости всеобщей любви и добра. Михаил не верит ей с самого начала, хотя она ему в невесты предназначена, а проницательный Зыков-старший влюбляется и стремительно женится. Не тут-то было, Павла быстро передумывает и переключается на Зыкова-младшего, с ним и изменяет Антипе. Всё меркнет пред страстями главного героя и его невольных обидчиков, его крутит от вседозволенности до смиренного выбора дальнейшего образа жизни вне мести и преследований виновных жены и сына: в странники ли теперь податься или вернуться к прежней жизни холостой?</t>
        </is>
      </c>
      <c r="L6790" s="2" t="inlineStr">
        <is>
          <t>https://www.kino-teatr.ru/teatr/movie/108050/annot/</t>
        </is>
      </c>
      <c r="M6790" s="2">
        <f>HYPERLINK("https://ru.wikipedia.org/w/index.php?search=%D0%97%D1%8B%D0%BA%D0%BE%D0%B2%D1%8B%201981%20%D1%84%D0%B8%D0%BB%D1%8C%D0%BC","искать")</f>
        <v/>
      </c>
      <c r="N6790" s="3" t="n"/>
      <c r="O6790" s="2" t="n"/>
      <c r="P6790" s="2" t="n"/>
    </row>
    <row r="6791">
      <c r="A6791" s="2" t="n">
        <v>6790</v>
      </c>
      <c r="B6791" s="2" t="inlineStr"/>
      <c r="C6791" s="2" t="n">
        <v>11191</v>
      </c>
      <c r="D6791" s="3" t="inlineStr">
        <is>
          <t>Глазами клоуна</t>
        </is>
      </c>
      <c r="E6791" s="2" t="n">
        <v>1988</v>
      </c>
      <c r="F6791" s="2" t="inlineStr">
        <is>
          <t>фильм-спектакль</t>
        </is>
      </c>
      <c r="G6791" s="2" t="n"/>
      <c r="H6791" s="2" t="n">
        <v>1178</v>
      </c>
      <c r="I6791" s="2" t="inlineStr"/>
      <c r="J6791" s="2" t="inlineStr"/>
      <c r="K6791" s="3" t="inlineStr">
        <is>
          <t>Спектакль Государственного Академического театра им. Моссовета.
По роману Генриха Бёлля.
Главным героем романа является Ганс Шнир, клоун. Гансу двадцать семь лет, он из очень богатой семьи. В начале романа он приезжает в немецкий город Бонн, город, в котором родился. Однако Ганс не может признать этот город родным. Дело в том, что будучи артистом, он находился в постоянных разъездах и не задерживался подолгу в одном городе. Женщина, которую он любил и которая сопровождала его в поездках, Мария, покинула Ганса, чтобы выйти замуж за Цюпфнера. Это ввело Ганса в сильную депрессию, он начал много пить и его карьера артиста устремилась вниз.
Ганс Шнир смотрел на мир «глазами клоуна», немецкий писатель Генрих Белль уловил этот взгляд и написал свой роман, русский актёр Геннадий Бортников сыграл клоуна в театре им. Моссовета. Он играл странно, непривычно, необычные интонация, пластика. Он явно выбивался из общепринятой стилистики актёрского существования на сцене. Но в итоге каким-то неведомым образом приковывал внимание зрителей до такой степени, что к концу спектакля они были буквально оглушены его сценической исповедью…
Запись сделана на последнем, 400-м спектакле.</t>
        </is>
      </c>
      <c r="L6791" s="2" t="inlineStr">
        <is>
          <t>https://www.kino-teatr.ru/teatr/movie/117863/annot/</t>
        </is>
      </c>
      <c r="M6791" s="2">
        <f>HYPERLINK("https://ru.wikipedia.org/w/index.php?search=%D0%93%D0%BB%D0%B0%D0%B7%D0%B0%D0%BC%D0%B8%20%D0%BA%D0%BB%D0%BE%D1%83%D0%BD%D0%B0%201988%20%D1%84%D0%B8%D0%BB%D1%8C%D0%BC","искать")</f>
        <v/>
      </c>
      <c r="N6791" s="3" t="n"/>
      <c r="O6791" s="2" t="n"/>
      <c r="P6791" s="2" t="n"/>
    </row>
    <row r="6792">
      <c r="A6792" s="2" t="n">
        <v>6791</v>
      </c>
      <c r="B6792" s="2" t="inlineStr"/>
      <c r="C6792" s="2" t="n">
        <v>9633</v>
      </c>
      <c r="D6792" s="3" t="inlineStr">
        <is>
          <t>Свой крест</t>
        </is>
      </c>
      <c r="E6792" s="2" t="n">
        <v>1989</v>
      </c>
      <c r="F6792" s="2" t="inlineStr">
        <is>
          <t>кинофильм</t>
        </is>
      </c>
      <c r="G6792" s="2" t="n"/>
      <c r="H6792" s="2" t="n">
        <v>1185</v>
      </c>
      <c r="I6792" s="2" t="inlineStr"/>
      <c r="J6792" s="2" t="inlineStr"/>
      <c r="K6792" s="3" t="inlineStr">
        <is>
          <t>По повести Ю. Трифонова «Другая жизнь». 1970-е годы. В руки молодого историка Сергея Троицкого попадают тайные списки осведомителей царской охранки. Один из этих осведомителей по кличке «Рябой» постоянно является Троицкому в странных сновидениях, он ускользает от Сергея в длинных коридорах ЧК или НКВД (здесь, в одном из закутков, можно вдруг увидеть последнего русского царя, окровавленного, сидящего на полу в углу). А однажды Сергей видит беседу Николая II и Ленина. Император допытывается у вождя мирового пролетариата: зачем в Екатеринбурге убили всю семью Романовых — ведь государь отрекся от престола. В свою очередь Ильич отстаивает значение диктатуры при новой власти, утверждая, что большевики не выйдут из этой схватки победителями без жесточайшего террора... Сослуживцы Сергея отмечают перемены в его поведении, начальство, поняв, что Троицкий обладает запретными сведениями, начинает планомерную работу по нейтрализации ненадежного сотрудника. Сергея считают диссидентом, он вынужден уйти с работы. Всем сообщается, что Троицкий умер. Исследования Сергея становятся «крестом»
для его жены Ольги. Но она не выдерживает, сжигает содержимое папки мужа и уезжает в Ленинград.</t>
        </is>
      </c>
      <c r="L6792" s="2" t="inlineStr">
        <is>
          <t>https://gosfilmofond.ru/films/241026/</t>
        </is>
      </c>
      <c r="M6792" s="2">
        <f>HYPERLINK("https://ru.wikipedia.org/w/index.php?search=%D0%A1%D0%B2%D0%BE%D0%B9%20%D0%BA%D1%80%D0%B5%D1%81%D1%82%201989%20%D1%84%D0%B8%D0%BB%D1%8C%D0%BC","искать")</f>
        <v/>
      </c>
      <c r="N6792" s="3" t="n"/>
      <c r="O6792" s="2" t="n"/>
      <c r="P6792" s="2" t="n"/>
    </row>
    <row r="6793">
      <c r="A6793" s="2" t="n">
        <v>6792</v>
      </c>
      <c r="B6793" s="2" t="inlineStr"/>
      <c r="C6793" s="2" t="n">
        <v>9243</v>
      </c>
      <c r="D6793" s="3" t="inlineStr">
        <is>
          <t>Бич божий</t>
        </is>
      </c>
      <c r="E6793" s="2" t="n">
        <v>1988</v>
      </c>
      <c r="F6793" s="2" t="inlineStr">
        <is>
          <t>кинофильм</t>
        </is>
      </c>
      <c r="G6793" s="2" t="inlineStr">
        <is>
          <t>к/с им. Довженко</t>
        </is>
      </c>
      <c r="H6793" s="2" t="n">
        <v>1186</v>
      </c>
      <c r="I6793" s="2" t="inlineStr"/>
      <c r="J6793" s="2" t="inlineStr"/>
      <c r="K6793" s="3" t="inlineStr">
        <is>
          <t>Два друга детства оказываются в одном поезде. Их жизненные пути разошлись давным-давно, и судьбы сложились по-разному. Леонид Ляшенко — легкий на подъем, бесшабашный и опустившийся человек. А Валерий Петрович Куненко — серьезный и важный чиновник. Встретившись, они не узнают друг друга. Пользуясь отсутствием Валерия Петровича и его секретарши, Ляшенко заходит в купе, крадет пакет с документами и деньгами и на промежуточной станции выходит из поезда. На вокзале Леонид забирает из
пакета деньги, а остальное выбрасывает в урну. Заметив среди выброшенных бумаг паспорт и открыв его, понимает, что обокрал своего лучшего друга детства, на которого когда-то хотел быть похожим. Ему вспоминаются школьные будни, детские шалости и забавы и то, как однажды его, тонущего, Валерка вытащил из воды. Леонид бросается догонять поезд. Догнав его и забравшись в вагон, Ляшенко идет в купе Валерия Петровича и случайно становится свидетелем неприятной сцены — Куненко, пользуясь своим положением, склоняет к близости секретаршу. Леонид понимает, что его дружок уже не тот парень из детских воспоминаний. Теперь это циничный негодяй. Прибыв на конечную станцию, школьные приятели
молча расходятся.</t>
        </is>
      </c>
      <c r="L6793" s="2" t="inlineStr">
        <is>
          <t>https://gosfilmofond.ru/films/240965/</t>
        </is>
      </c>
      <c r="M6793" s="2">
        <f>HYPERLINK("https://ru.wikipedia.org/w/index.php?search=%D0%91%D0%B8%D1%87%20%D0%B1%D0%BE%D0%B6%D0%B8%D0%B9%201988%20%D1%84%D0%B8%D0%BB%D1%8C%D0%BC","искать")</f>
        <v/>
      </c>
      <c r="N6793" s="3" t="n"/>
      <c r="O6793" s="2" t="n"/>
      <c r="P6793" s="2" t="n"/>
    </row>
    <row r="6794">
      <c r="A6794" s="2" t="n">
        <v>6793</v>
      </c>
      <c r="B6794" s="2" t="inlineStr"/>
      <c r="C6794" s="2" t="n">
        <v>9748</v>
      </c>
      <c r="D6794" s="3" t="inlineStr">
        <is>
          <t>Человек, которого не было</t>
        </is>
      </c>
      <c r="E6794" s="2" t="n">
        <v>1989</v>
      </c>
      <c r="F6794" s="2" t="inlineStr">
        <is>
          <t>кинофильм</t>
        </is>
      </c>
      <c r="G6794" s="2" t="n"/>
      <c r="H6794" s="2" t="n">
        <v>1187</v>
      </c>
      <c r="I6794" s="2" t="inlineStr"/>
      <c r="J6794" s="2" t="inlineStr"/>
      <c r="K6794" s="3" t="inlineStr">
        <is>
          <t>Имби, дочь железнодорожника, с детства поражается многообразию звуков в природе. С помощью дяди, актера по профессии, она в совершенстве научилась имитировать голоса людей, пение птиц, звуки машин. Однако больше всего она любит подражать голосу популярного радиокомментатора Тармо Киви. После войны девушка знакомится со своим кумиром. Обнаружив у поклонницы талант, Тармо приглашает ее на работу в Дом радиовещания. Скоро Имби становится знаменитой, ее голос узнают взрослые и дети по всей Эстонии. Начав со сказок для малышей, молодая актриса постепенно превращается в рупор советской идеологии, бодрым голосом сообщая о досрочном выполнении пятилетки и клеймя пособников буржуазии и
агентов капитализма. Ее карьера обрывается в 1949 году, когда тысячи эстонцев были высланы в Сибирь. Умирает от тоски отец, за сотрудничество с гитлеровцами отправляют в ссылку Тармо Киви. Имби спасается, устроившись истопником в больницу. Все считают женщину немой, на самом деле она просто не хочет больше говорить. Однажды она находит на железнодорожных путях ребенка, которого выбросили из вагона ссыльные, чтобы спасти ему жизнь. Имби забирает девочку к себе домой и заботится о ней как о родной.</t>
        </is>
      </c>
      <c r="L6794" s="2" t="inlineStr">
        <is>
          <t>https://gosfilmofond.ru/films/240889/</t>
        </is>
      </c>
      <c r="M6794" s="2">
        <f>HYPERLINK("https://ru.wikipedia.org/w/index.php?search=%D0%A7%D0%B5%D0%BB%D0%BE%D0%B2%D0%B5%D0%BA%2C%20%D0%BA%D0%BE%D1%82%D0%BE%D1%80%D0%BE%D0%B3%D0%BE%20%D0%BD%D0%B5%20%D0%B1%D1%8B%D0%BB%D0%BE%201989%20%D1%84%D0%B8%D0%BB%D1%8C%D0%BC","искать")</f>
        <v/>
      </c>
      <c r="N6794" s="3" t="n"/>
      <c r="O6794" s="2" t="n"/>
      <c r="P6794" s="2" t="n"/>
    </row>
    <row r="6795">
      <c r="A6795" s="2" t="n">
        <v>6794</v>
      </c>
      <c r="B6795" s="2" t="inlineStr"/>
      <c r="C6795" s="2" t="n">
        <v>7738</v>
      </c>
      <c r="D6795" s="3" t="inlineStr">
        <is>
          <t>Кодовое название "Южный гром"</t>
        </is>
      </c>
      <c r="E6795" s="2" t="n">
        <v>1980</v>
      </c>
      <c r="F6795" s="2" t="inlineStr">
        <is>
          <t>телефильм</t>
        </is>
      </c>
      <c r="G6795" s="2" t="inlineStr">
        <is>
          <t>Молдова-фильм</t>
        </is>
      </c>
      <c r="H6795" s="2" t="n">
        <v>1189</v>
      </c>
      <c r="I6795" s="2" t="inlineStr"/>
      <c r="J6795" s="2" t="inlineStr"/>
      <c r="K6795" s="3" t="inlineStr">
        <is>
          <t>Сюжет двухсерийного фильма разворачивается в 1944 году во время подготовки к Ясско-Кишинёвской операции. Кодовое название операции «Южный гром». В её основе планируется дезинформировать противника, разгромить крупную немецко-румынскую группировку, прикрывавшую балканское направление, освободить Молдавию и вывести Румынию из войны.
Немецкому командованию становится известно о готовящейся операции, но детали операции узнать не удаётся. Абвер стремится всеми средствами разгадать планы советского командования. Строгая секретность советской наступательной операции не позволяет немецкому командованию выяснить все детали. В дело вступают шпионы, внедрённые в ряды советской армии.
Затем, желая получить необходимую информацию, Абвер начинает операцию «Родственник». Немецкий агент под видом подпольщика-антифашиста тайно пробирается в квартиру майора контрразведки Чумаковой. Она считает, что её дети погибли в начале войны, но агент утверждает, что они живы и находятся в немецком тылу. Женщина находится в замешательстве. Ставка даёт разрешение включить майора Чумакову в игру по дезинформации противника. Агент Абвера не предполагает, что он стал пешкой в игре советской контрразведки.</t>
        </is>
      </c>
      <c r="L6795" s="2" t="inlineStr">
        <is>
          <t>https://ru.wikipedia.org/w/index.php?title=%D0%9A%D0%BE%D0%B4%D0%BE%D0%B2%D0%BE%D0%B5_%D0%BD%D0%B0%D0%B7%D0%B2%D0%B0%D0%BD%D0%B8%D0%B5_%C2%AB%D0%AE%D0%B6%D0%BD%D1%8B%D0%B9_%D0%B3%D1%80%D0%BE%D0%BC%C2%BB&amp;oldid=154697245</t>
        </is>
      </c>
      <c r="M6795" s="2">
        <f>HYPERLINK("https://ru.wikipedia.org/w/index.php?search=%D0%9A%D0%BE%D0%B4%D0%BE%D0%B2%D0%BE%D0%B5%20%D0%BD%D0%B0%D0%B7%D0%B2%D0%B0%D0%BD%D0%B8%D0%B5%20%22%D0%AE%D0%B6%D0%BD%D1%8B%D0%B9%20%D0%B3%D1%80%D0%BE%D0%BC%22%201980%20%D1%84%D0%B8%D0%BB%D1%8C%D0%BC","искать")</f>
        <v/>
      </c>
      <c r="N6795" s="3" t="n"/>
      <c r="O6795" s="2" t="n"/>
      <c r="P6795" s="2" t="n"/>
    </row>
    <row r="6796">
      <c r="A6796" s="2" t="n">
        <v>6795</v>
      </c>
      <c r="B6796" s="2" t="inlineStr"/>
      <c r="C6796" s="2" t="n">
        <v>9790</v>
      </c>
      <c r="D6796" s="3" t="inlineStr">
        <is>
          <t>Достигаев и другие</t>
        </is>
      </c>
      <c r="E6796" s="2" t="n">
        <v>1959</v>
      </c>
      <c r="F6796" s="2" t="inlineStr">
        <is>
          <t>кинофильм</t>
        </is>
      </c>
      <c r="G6796" s="2" t="inlineStr">
        <is>
          <t>Ленфильм</t>
        </is>
      </c>
      <c r="H6796" s="2" t="n">
        <v>1191</v>
      </c>
      <c r="I6796" s="2" t="inlineStr"/>
      <c r="J6796" s="2" t="inlineStr"/>
      <c r="K6796" s="3" t="inlineStr">
        <is>
          <t>Июль - октябрь 1917 г. Все пришло в движение. Горит земля под ногами буржуазии, набирает силы революционный народ. И вот уже зажигается над Россией заря Октябрьской революции. Действие фильма разворачивается в купеческом клубе, в доме Достигаева, в доме Булычова. Перед нами проходят бывшие столпы общества. Одни из них встревожены надвигающимися грозными для них событиями и готовятся к борьбе с революцией, другие - и среди них Достигаев - начинают понимать безнадежность такой борьбы, стараются приспособиться к революции. Конечно, Василий Достигаев резко выделяется среди остальных столпов общества. Достигаев дальновиднее других и почти не сомневается в победе революции. Его беспокоит вопрос только о том, как бы спасти свою шкуру. Жизненная позция Достигаева на новом историческом этапе хорошо выражена в словах его: А вот, если ножку им подставить на крутом-то пути.на неведомой дороге? Но усилия Достигаева, равно как и Нестрашного, который втайне готовит арест членов большевистской организации города, тщетны: нельзя повернуть колесо истории вспять. Жалкие попытки представителей господствующих классов и духовенства помешать грядущей победе социалистической революции терпят крах</t>
        </is>
      </c>
      <c r="L6796" s="2" t="inlineStr">
        <is>
          <t>https://gosfilmofond.ru/films/147029/</t>
        </is>
      </c>
      <c r="M6796" s="2">
        <f>HYPERLINK("https://ru.wikipedia.org/w/index.php?search=%D0%94%D0%BE%D1%81%D1%82%D0%B8%D0%B3%D0%B0%D0%B5%D0%B2%20%D0%B8%20%D0%B4%D1%80%D1%83%D0%B3%D0%B8%D0%B5%201959%20%D1%84%D0%B8%D0%BB%D1%8C%D0%BC","искать")</f>
        <v/>
      </c>
      <c r="N6796" s="3" t="n"/>
      <c r="O6796" s="2" t="n"/>
      <c r="P6796" s="2" t="n"/>
    </row>
    <row r="6797">
      <c r="A6797" s="2" t="n">
        <v>6796</v>
      </c>
      <c r="B6797" s="2" t="inlineStr"/>
      <c r="C6797" s="2" t="n">
        <v>9503</v>
      </c>
      <c r="D6797" s="3" t="inlineStr">
        <is>
          <t>Неприкаянный</t>
        </is>
      </c>
      <c r="E6797" s="2" t="n">
        <v>1988</v>
      </c>
      <c r="F6797" s="2" t="inlineStr">
        <is>
          <t>кинофильм</t>
        </is>
      </c>
      <c r="G6797" s="2" t="n"/>
      <c r="H6797" s="2" t="n">
        <v>1192</v>
      </c>
      <c r="I6797" s="2" t="inlineStr"/>
      <c r="J6797" s="2" t="inlineStr"/>
      <c r="K6797" s="3" t="inlineStr">
        <is>
          <t>Старый хормейстер сидит в кресле в своей по-холостяцки запущенной квартире. На стенах — фотографии, рядом с креслом — манекен, наряженный в концертный фрак... Пожилой музыкант вспоминает, как много лет назад он нашел настоящий самородок — талантливую девушку Веру — и предложил ей солировать
в самодеятельном хоре. Девушка нравится ему, Ветлугин приглашает ее на концерт, потом — к себе домой, где дает ей понять, что чувствует к ней симпатию. Юную ученицу коробит двусмысленность происходящего, и она уходит... В квартире старика-Ветлугина одна за другой появляются три женщины, его бывшие жены. Все они вызваны сюда странными телеграммами, в которых хормейстер просит бывших спутниц приехать и проститься с ним. Три женщины, такие разные, объединены воспоминаниями о своем муже-ветренике,
некогда романтическом кумире, талантливым и неординарным в прошлом, а в настоящем никому не нужным. Они суетятся возле старика, наряжают его в концертный фрак, снятый ими с манекена. Появляется четвертая женщина, Лида, его первая любовь, которую видит только умирающий. Ветлугин дирижирует воображаемым хором, прекрасно поющим «Глорию» Вивальди, об исполнении которой хормейстер мечтал всю свою жизнь.</t>
        </is>
      </c>
      <c r="L6797" s="2" t="inlineStr">
        <is>
          <t>https://gosfilmofond.ru/films/240117/</t>
        </is>
      </c>
      <c r="M6797" s="2">
        <f>HYPERLINK("https://ru.wikipedia.org/w/index.php?search=%D0%9D%D0%B5%D0%BF%D1%80%D0%B8%D0%BA%D0%B0%D1%8F%D0%BD%D0%BD%D1%8B%D0%B9%201988%20%D1%84%D0%B8%D0%BB%D1%8C%D0%BC","искать")</f>
        <v/>
      </c>
      <c r="N6797" s="3" t="n"/>
      <c r="O6797" s="2" t="n"/>
      <c r="P6797" s="2" t="n"/>
    </row>
    <row r="6798">
      <c r="A6798" s="2" t="n">
        <v>6797</v>
      </c>
      <c r="B6798" s="2" t="inlineStr"/>
      <c r="C6798" s="2" t="n">
        <v>7371</v>
      </c>
      <c r="D6798" s="3" t="inlineStr">
        <is>
          <t>Вольный ветер</t>
        </is>
      </c>
      <c r="E6798" s="2" t="n">
        <v>1983</v>
      </c>
      <c r="F6798" s="2" t="inlineStr">
        <is>
          <t>телефильм</t>
        </is>
      </c>
      <c r="G6798" s="2" t="inlineStr">
        <is>
          <t>Ленфильм</t>
        </is>
      </c>
      <c r="H6798" s="2" t="n">
        <v>1193</v>
      </c>
      <c r="I6798" s="2" t="inlineStr"/>
      <c r="J6798" s="2" t="inlineStr"/>
      <c r="K6798" s="3" t="inlineStr">
        <is>
          <t>Дочь погибшего моряка по имени Стелла (Лариса Белогурова) живёт вместе с мамой в портовом городе одной южной маленькой страны. После ухода фашистских оккупантов порт практически бездействует, работы нет.
Судовладелец и фактический хозяин порта Стэн (Михаил Водяной), сбежавший из-за боязни возмездия за сотрудничество с врагами, но, заручившись поддержкой местных властей, — вернувшийся, предлагает семье или заплатить все долги, или же выйти Стелле за него замуж. Микки Стэн, племянник старшего Стэна, влюбляется в Пепиту, служанку портового кабачка, но она поначалу не отвечает ему взаимностью.
В Стеллу влюбляется и привлекательный моряк и повстанец Янко (Андрей Харитонов). Об этом узнаёт судовладелец и когда комиссар полиции (Евгений Весник) показывает ему присланную фотографию повстанца, он указывает на моряка. Стелле с Янко удаётся обмануть Стэна, и Стелла делает вид, что согласна на свадьбу.
После возвращения Стэна в порту возобновляются работы, но в грузимых на корабли ящиках с апельсинами находятся отнюдь не апельсины, а оружие, предназначенное для помощи фашистскому режиму другой страны.
Янко предлагает выйти в море, а там утопить всё оружие. Стелла уплывает вместе с Янко.</t>
        </is>
      </c>
      <c r="L6798" s="2" t="inlineStr">
        <is>
          <t>https://ru.wikipedia.org/w/index.php?title=%D0%92%D0%BE%D0%BB%D1%8C%D0%BD%D1%8B%D0%B9_%D0%B2%D0%B5%D1%82%D0%B5%D1%80_%28%D1%84%D0%B8%D0%BB%D1%8C%D0%BC%2C_1983%29&amp;oldid=154547704</t>
        </is>
      </c>
      <c r="M6798" s="2">
        <f>HYPERLINK("https://ru.wikipedia.org/w/index.php?search=%D0%92%D0%BE%D0%BB%D1%8C%D0%BD%D1%8B%D0%B9%20%D0%B2%D0%B5%D1%82%D0%B5%D1%80%201983%20%D1%84%D0%B8%D0%BB%D1%8C%D0%BC","искать")</f>
        <v/>
      </c>
      <c r="N6798" s="3" t="n"/>
      <c r="O6798" s="2" t="n"/>
      <c r="P6798" s="2" t="n"/>
    </row>
    <row r="6799">
      <c r="A6799" s="2" t="n">
        <v>6798</v>
      </c>
      <c r="B6799" s="2" t="inlineStr"/>
      <c r="C6799" s="2" t="n">
        <v>8627</v>
      </c>
      <c r="D6799" s="3" t="inlineStr">
        <is>
          <t>Афганец</t>
        </is>
      </c>
      <c r="E6799" s="2" t="n">
        <v>1991</v>
      </c>
      <c r="F6799" s="2" t="inlineStr">
        <is>
          <t>кинофильм</t>
        </is>
      </c>
      <c r="G6799" s="2" t="inlineStr">
        <is>
          <t>«Котра Балт», при участии Киностудии имени А. Довженко</t>
        </is>
      </c>
      <c r="H6799" s="2" t="n">
        <v>1194</v>
      </c>
      <c r="I6799" s="2" t="inlineStr"/>
      <c r="J6799" s="2" t="inlineStr"/>
      <c r="K6799" s="3" t="inlineStr">
        <is>
          <t>Советский солдат украинского происхождения Иван Коваль в составе военной колонны подвергается нападению душманов. В ходе контратаки в кишлаке гибнет «старик-дуканщик». Коваль обвиняется в убийстве мирного жителя, и ему грозит до 15 лет тюрьмы. В процессе перевозки БТР, в котором едет Коваль, снова подвергается нападению душманов. На сей раз он оказывается в плену на высокогорной базе вместе с другими пленными «интернационалистами». Душманы жестоко избивают пленных и морят голодом, дразня арбузами. В отчаянии те поднимают бунт. Коваль получает тяжёлое ранение, но остаётся в живых. Душман пугает его пыткой «красный тюльпан» - сдирание кожи заживо. В ходе разборок между бандами душманов у Коваля появляются новые хозяева. Один из душманов — бывший советский солдат Степан, принявший ислам. Ковалю предлагают стать мусульманином. Он начинает заучивать суры Корана. На него выходит представитель ООП в арафатке, предлагает банку «Фанты» и содействие в освобождении. В ходе переговоров с работником советского МИДа Коваль отказывается возвращаться в Союз, однако впоследствии он колеблется и бежит к советскому консульству в Пакистане, но там отказываются его принять, сославшись на перерыв.</t>
        </is>
      </c>
      <c r="L6799" s="2" t="inlineStr">
        <is>
          <t>https://ru.wikipedia.org/w/index.php?title=%D0%90%D1%84%D0%B3%D0%B0%D0%BD%D0%B5%D1%86_%28%D1%84%D0%B8%D0%BB%D1%8C%D0%BC%29&amp;oldid=154691253</t>
        </is>
      </c>
      <c r="M6799" s="2">
        <f>HYPERLINK("https://ru.wikipedia.org/w/index.php?search=%D0%90%D1%84%D0%B3%D0%B0%D0%BD%D0%B5%D1%86%201991%20%D1%84%D0%B8%D0%BB%D1%8C%D0%BC","искать")</f>
        <v/>
      </c>
      <c r="N6799" s="3" t="n"/>
      <c r="O6799" s="2" t="n"/>
      <c r="P6799" s="2" t="n"/>
    </row>
    <row r="6800">
      <c r="A6800" s="2" t="n">
        <v>6799</v>
      </c>
      <c r="B6800" s="2" t="inlineStr"/>
      <c r="C6800" s="2" t="n">
        <v>9279</v>
      </c>
      <c r="D6800" s="3" t="inlineStr">
        <is>
          <t>Волчонок среди людей</t>
        </is>
      </c>
      <c r="E6800" s="2" t="n">
        <v>1988</v>
      </c>
      <c r="F6800" s="2" t="inlineStr">
        <is>
          <t>кинофильм</t>
        </is>
      </c>
      <c r="G6800" s="2" t="inlineStr">
        <is>
          <t>Мосфильм</t>
        </is>
      </c>
      <c r="H6800" s="2" t="n">
        <v>1198</v>
      </c>
      <c r="I6800" s="2" t="inlineStr"/>
      <c r="J6800" s="2" t="inlineStr"/>
      <c r="K6800" s="3" t="inlineStr">
        <is>
          <t>Маленький мальчик Самат живет в одном из казахских аулов вместе с бабушкой Алтын-ага. Однажды он и его приятель Айдос находят в горах волчонка. Мать-волчицу убил охотник Асанбек. Самат называет щенка Арстаном и приносит домой. Но бабушка не позволяет оставить его. Приходится мальчишке прятать своего друга на пустыре. Там волчонка случайно замечает местный дурачок Гили-Гили и приносит его к Асанбеку. Самат, тайно проникнув в дом охотника, забирает волчонка. За то, что не уследили за животным, Асанбек жестоко избивает свою жену и дочь Маржан, которая очень нравится Самату. Узнав об этом, мальчик хочет вернуть волчонка, но охотник не слушает его и выталкивает за ворота. Спустя время они встречаются в горах, когда мальчик играл с Арстаном. Охотник бросается к Самату и тот, убегая с волчонком на руках, падает в горную реку. Асанбек вытаскивает мальчика. После этого Самат долго болеет. Выздоровев, он узнает, что волчонка бабушка отдала охотнику. Парнишка идет к нему, но вместо своего друга находит только чучело. Увидев стоящее рядом ружье, Самат хватает его, целится, но выстрелить не может и падает в обморок. Неожиданно появившийся здесь Гили-Гили берет Самата на руки и приносит в аул.</t>
        </is>
      </c>
      <c r="L6800" s="2" t="inlineStr">
        <is>
          <t>https://gosfilmofond.ru/films/240331/</t>
        </is>
      </c>
      <c r="M6800" s="2">
        <f>HYPERLINK("https://ru.wikipedia.org/w/index.php?search=%D0%92%D0%BE%D0%BB%D1%87%D0%BE%D0%BD%D0%BE%D0%BA%20%D1%81%D1%80%D0%B5%D0%B4%D0%B8%20%D0%BB%D1%8E%D0%B4%D0%B5%D0%B9%201988%20%D1%84%D0%B8%D0%BB%D1%8C%D0%BC","искать")</f>
        <v/>
      </c>
      <c r="N6800" s="3" t="n"/>
      <c r="O6800" s="2" t="n"/>
      <c r="P6800" s="2" t="n"/>
    </row>
    <row r="6801">
      <c r="A6801" s="2" t="n">
        <v>6800</v>
      </c>
      <c r="B6801" s="2" t="inlineStr"/>
      <c r="C6801" s="2" t="n">
        <v>10480</v>
      </c>
      <c r="D6801" s="3" t="inlineStr">
        <is>
          <t>Юбилей</t>
        </is>
      </c>
      <c r="E6801" s="2" t="n">
        <v>1972</v>
      </c>
      <c r="F6801" s="2" t="inlineStr">
        <is>
          <t>фильм-спектакль</t>
        </is>
      </c>
      <c r="G6801" s="2" t="inlineStr">
        <is>
          <t>Лентелефильм, Подборки фильмов, экранизации Чехова</t>
        </is>
      </c>
      <c r="H6801" s="2" t="n">
        <v>1201</v>
      </c>
      <c r="I6801" s="2" t="inlineStr"/>
      <c r="J6801" s="2" t="inlineStr"/>
      <c r="K6801" s="3" t="inlineStr">
        <is>
          <t>Шутка А.П.Чехова.
В банке готовятся к юбилею. Старый писарь Кузьма Николаевич ворчит. Он болен, а ему приходится работать, да еще во время юбилея, когда все суетятся и мешают. Правда, юбиляр обещал ему награду. А вот и юбиляр - директор банка Шипучин. Писарь подает ему переписанный доклад. Счастливый и довольный Шипучин доверительно делится с Кузьмой Николаевичем - адрес, который ему поднесут, он писал сам, а подарок, который ему подарят, тоже был куплен им самим. Внезапно он вспоминает, что должна приехать жена, которая тут же и появляется. Она без умолку рассказывает мужу о своем путешествии, и никак не реагирует на просьбу мужа уйти. А тут еще приходит жена губернского секретаря госпожа Мерчуткина. Она жалуется на увольнение мужа. Теперь женщины тарахтят одновременно. Наконец, ему удается выпроводить жену, но Мерчуткина не намерена отступать. Она явно попала не туда, но добивается своего. Желая отвязаться от нее, Шипучин всучает ей 15 рублей компенсации ее мужу. Мерчуткина тут же начинает просить для него места. Снова появляется его жена и продолжает свой бесконечный монолог. В голове у Шипучина происходит полный бедлам. И в этот момент является депутация поздравляющих с адресом.</t>
        </is>
      </c>
      <c r="L6801" s="2" t="inlineStr">
        <is>
          <t>https://www.kino-teatr.ru/teatr/movie/13708/annot/</t>
        </is>
      </c>
      <c r="M6801" s="2">
        <f>HYPERLINK("https://ru.wikipedia.org/w/index.php?search=%D0%AE%D0%B1%D0%B8%D0%BB%D0%B5%D0%B9%201972%20%D1%84%D0%B8%D0%BB%D1%8C%D0%BC","искать")</f>
        <v/>
      </c>
      <c r="N6801" s="3" t="n"/>
      <c r="O6801" s="2" t="n"/>
      <c r="P6801" s="2" t="n"/>
    </row>
    <row r="6802">
      <c r="A6802" s="2" t="n">
        <v>6801</v>
      </c>
      <c r="B6802" s="2" t="inlineStr"/>
      <c r="C6802" s="2" t="n">
        <v>10666</v>
      </c>
      <c r="D6802" s="3" t="inlineStr">
        <is>
          <t>Пощёчина</t>
        </is>
      </c>
      <c r="E6802" s="2" t="n">
        <v>1976</v>
      </c>
      <c r="F6802" s="2" t="inlineStr">
        <is>
          <t>фильм-спектакль</t>
        </is>
      </c>
      <c r="G6802" s="2" t="inlineStr">
        <is>
          <t>Центральное телевидение</t>
        </is>
      </c>
      <c r="H6802" s="2" t="n">
        <v>1204</v>
      </c>
      <c r="I6802" s="2" t="inlineStr"/>
      <c r="J6802" s="2" t="inlineStr"/>
      <c r="K6802" s="3" t="inlineStr">
        <is>
          <t>Телеспектакль Московского театра Сатиры по одноименной сатирической пьесе Сергея Михалкова (премьера состоялась в июне 1974 года).
Клиника. По больничному коридору быстро идет пожилой человек в распахнутом белом халате и врачебной белой шапочке. Это профессор Щеглов. Он решительно входит в один из кабинетов, где за столом сидит и что-то пишет врач средних лет. Это доктор Скуратов. Скуратов поднимается навстречу вошедшему, и тот неожиданно, подойдя к нему, молча дает ему пощечину...
Старый заслуженный врач дает пощечину молодому своему ученику, берущему взятки за медицинскую помощь. Казалось бы, негуманно - пощечина! Недостойно это воспитанного, интеллигентного человека. Но именно так, при помощи пощечины можно обратить внимание на зло, обратить внимание так, чтобы все вздрогнули, как от пистолетного выстрела.....
Одна из последних сатирических комедий Михалкова "Пощечина" - самая, если можно так сказать, спокойная его пьеса, выдержанная в сугубо реалистических тонах. В ней нет ни преувеличения, ни гротеска, ни символики, ни аллегории: все просто, буднично; сатира здесь живет в формах самой жизни. Но тем не менее сатирический запал этой комедии нисколько не меньше других пьес Михалкова.</t>
        </is>
      </c>
      <c r="L6802" s="2" t="inlineStr">
        <is>
          <t>https://www.kino-teatr.ru/teatr/movie/82717/annot/</t>
        </is>
      </c>
      <c r="M6802" s="2">
        <f>HYPERLINK("https://ru.wikipedia.org/w/index.php?search=%D0%9F%D0%BE%D1%89%D1%91%D1%87%D0%B8%D0%BD%D0%B0%201976%20%D1%84%D0%B8%D0%BB%D1%8C%D0%BC","искать")</f>
        <v/>
      </c>
      <c r="N6802" s="3" t="n"/>
      <c r="O6802" s="2" t="n"/>
      <c r="P6802" s="2" t="n"/>
    </row>
    <row r="6803">
      <c r="A6803" s="2" t="n">
        <v>6802</v>
      </c>
      <c r="B6803" s="2" t="inlineStr"/>
      <c r="C6803" s="2" t="n">
        <v>7897</v>
      </c>
      <c r="D6803" s="3" t="inlineStr">
        <is>
          <t>Морские ворота</t>
        </is>
      </c>
      <c r="E6803" s="2" t="n">
        <v>1974</v>
      </c>
      <c r="F6803" s="2" t="inlineStr">
        <is>
          <t>телефильм</t>
        </is>
      </c>
      <c r="G6803" s="2" t="n"/>
      <c r="H6803" s="2" t="n">
        <v>1206</v>
      </c>
      <c r="I6803" s="2" t="inlineStr"/>
      <c r="J6803" s="2" t="inlineStr"/>
      <c r="K6803" s="3" t="inlineStr">
        <is>
          <t>В центре внимания картины — семья капитана рыболовного судна Ансиса Дзиесмы (Эдуардс Павулс). У него жена Кристина (Вия Артмане), две взрослые дочери — Айна (Аусма Кантане) и Эва (Вайва Майнелите). Сын Кристап (Роланд Загорский), несколько лет назад горько разочаровал Ансиса: тот ожидал, что юноша пойдёт по его стопам, а он выбрал — вопреки воле и гневу отца — профессию музыканта и ушёл из дома; по сути, ослушник был изгнан оттуда Дзиесмой-старшим. Теперь, накануне юбилея главы семьи, жена говорит ему, что надо бы пригласить и сына, но юбиляр непреклонен. Мудрая, любящая и миролюбивая Кристина, чьё сердце болит и за сына (по которому мать тоскует), и за мужа, не спорит с супругом. Обе их дочери — учительницы в местной школе. Старшая, Айна, замужем за Эдгаром (Валерий Козинец), её супруг, как и Ансис, — капитан рыболовного судна; он считает, что с его шурином Кристапом поступили несправедливо, и тесть начинает сомневаться в своей правоте… Мать старается научить Айну быть более сердечной к близким, создать тёплый домашний очаг, но та не всегда воспринимает её советы. Имеются в семье и другие проблемы. Так, младшая дочь Эва и Иорен (Витаутас Томкус) любят друг друга, хотя у него есть семья.</t>
        </is>
      </c>
      <c r="L6803" s="2" t="inlineStr">
        <is>
          <t>https://ru.wikipedia.org/w/index.php?title=%D0%9C%D0%BE%D1%80%D1%81%D0%BA%D0%B8%D0%B5_%D0%B2%D0%BE%D1%80%D0%BE%D1%82%D0%B0_%28%D1%84%D0%B8%D0%BB%D1%8C%D0%BC%2C_1974%29&amp;oldid=154699988</t>
        </is>
      </c>
      <c r="M6803" s="2">
        <f>HYPERLINK("https://ru.wikipedia.org/w/index.php?search=%D0%9C%D0%BE%D1%80%D1%81%D0%BA%D0%B8%D0%B5%20%D0%B2%D0%BE%D1%80%D0%BE%D1%82%D0%B0%201974%20%D1%84%D0%B8%D0%BB%D1%8C%D0%BC","искать")</f>
        <v/>
      </c>
      <c r="N6803" s="3" t="n"/>
      <c r="O6803" s="2" t="n"/>
      <c r="P6803" s="2" t="n"/>
    </row>
    <row r="6804">
      <c r="A6804" s="2" t="n">
        <v>6803</v>
      </c>
      <c r="B6804" s="2" t="inlineStr"/>
      <c r="C6804" s="2" t="n">
        <v>9304</v>
      </c>
      <c r="D6804" s="3" t="inlineStr">
        <is>
          <t>Гибель во имя рождения</t>
        </is>
      </c>
      <c r="E6804" s="2" t="n">
        <v>1988</v>
      </c>
      <c r="F6804" s="2" t="inlineStr">
        <is>
          <t>кинофильм</t>
        </is>
      </c>
      <c r="G6804" s="2" t="n"/>
      <c r="H6804" s="2" t="n">
        <v>1206</v>
      </c>
      <c r="I6804" s="2" t="inlineStr"/>
      <c r="J6804" s="2" t="inlineStr"/>
      <c r="K6804" s="3" t="inlineStr">
        <is>
          <t>Киргизстан, начало 1930-х годов. В одном из аилов появляется Емельян Красин с необычной миссией — построить конезавод, который будет создавать новые породы скаковых лошадей для Красной Армии. Большая часть местного населения встречает это в штыки. Наиболее враждебную позицию занимает знаток лошадей аксакал Бекнияз. Пользуясь уважением и умея влиять на людей, он настраивает жителей против строительства конезавода. Его люди отравляют ядовитой травой породистую лошадь. Бекнияза арестовывают. Вскоре ему удается бежать и укрыться в зарослях ущелья. Тем временем конезавод успешно строится. Появляется первенец — Тулпар, Сказочный скакун — который обгоняет на скачках знаменитого коня Бекнияза Арча-Тору. Сердобольный Красин отправляется к Бекниязу, он хочет помочь беглецу вернуться к людям. Но одичавший Бекнияз убивает Емельяна. Сын Бекнияза Чаро, потрясенный этим убийством, убегает от отца, который умоляет его остановиться. Но мальчик неумолим. Бекнияз, понимая, что сын фактически отрекся от него, в отчаянии стреляет в себя. Выстрел многократным эхом проносится по горам, срывая с места молодой табун «солнечных коней», который бежит рядом с Чаро, может быть, завтрашним хозяином нового конезавода.</t>
        </is>
      </c>
      <c r="L6804" s="2" t="inlineStr">
        <is>
          <t>https://gosfilmofond.ru/films/240566/</t>
        </is>
      </c>
      <c r="M6804" s="2">
        <f>HYPERLINK("https://ru.wikipedia.org/w/index.php?search=%D0%93%D0%B8%D0%B1%D0%B5%D0%BB%D1%8C%20%D0%B2%D0%BE%20%D0%B8%D0%BC%D1%8F%20%D1%80%D0%BE%D0%B6%D0%B4%D0%B5%D0%BD%D0%B8%D1%8F%201988%20%D1%84%D0%B8%D0%BB%D1%8C%D0%BC","искать")</f>
        <v/>
      </c>
      <c r="N6804" s="3" t="n"/>
      <c r="O6804" s="2" t="n"/>
      <c r="P6804" s="2" t="n"/>
    </row>
    <row r="6805">
      <c r="A6805" s="2" t="n">
        <v>6804</v>
      </c>
      <c r="B6805" s="2" t="inlineStr"/>
      <c r="C6805" s="2" t="n">
        <v>10612</v>
      </c>
      <c r="D6805" s="3" t="inlineStr">
        <is>
          <t>Ковалёва из провинции</t>
        </is>
      </c>
      <c r="E6805" s="2" t="n">
        <v>1975</v>
      </c>
      <c r="F6805" s="2" t="inlineStr">
        <is>
          <t>фильм-спектакль</t>
        </is>
      </c>
      <c r="G6805" s="2" t="inlineStr">
        <is>
          <t>Главная редакция литературно-драматических программ ЦТ</t>
        </is>
      </c>
      <c r="H6805" s="2" t="n">
        <v>1208</v>
      </c>
      <c r="I6805" s="2" t="inlineStr"/>
      <c r="J6805" s="2" t="inlineStr"/>
      <c r="K6805" s="3" t="inlineStr">
        <is>
          <t>По пьесе Игнатия Дворецкого.
Телевизионная версия спектакля Ленинградского академического театра им. Ленсовета (постановщик И.Владимиров).
В центре пьесы - образ женщины-судьи. Спектакль построен в форме судебного разбирательства.
"Ковалёва" Алисы Фрейндлих - сама женственность, сама гармония, как может показаться с первого взгляда. Но внутренне вся она - из острых углов, в непрестанной борьбе с собой.
Плотник Никулин выиграл по лотерейному билету автомобиль «Волга», но не имея в этой «Волге» нужды, продал билет шоферу междугородного автобуса из Сухуми Чачхалии (он оказался в городе, где происходит действие, потому что привез продавать мандарины). История эта и становится предметом судебного разбирательства, ведет его судья Ковалева.
Этот сюжет с продажей лотерейного билета дополнен личной жизнью Ковалёвой: ушла от мужа, полюбив человека семейного, а тот семью не оставил; она этого ни в коем случае и не требовала. Детей у Ковалёвой нет, а у любимого ею Мещерякова, хирурга из другого города, напротив, дети есть; наконец, отец нелюбимого и оставленного мужа, старый и больной, ужасно привязан к Ковалевой, а не к собственным потомкам, от которых уходит, чтобы жить под одной крышей с Ковалёвой.</t>
        </is>
      </c>
      <c r="L6805" s="2" t="inlineStr">
        <is>
          <t>https://www.kino-teatr.ru/teatr/movie/3033/annot/</t>
        </is>
      </c>
      <c r="M6805" s="2">
        <f>HYPERLINK("https://ru.wikipedia.org/w/index.php?search=%D0%9A%D0%BE%D0%B2%D0%B0%D0%BB%D1%91%D0%B2%D0%B0%20%D0%B8%D0%B7%20%D0%BF%D1%80%D0%BE%D0%B2%D0%B8%D0%BD%D1%86%D0%B8%D0%B8%201975%20%D1%84%D0%B8%D0%BB%D1%8C%D0%BC","искать")</f>
        <v/>
      </c>
      <c r="N6805" s="3" t="n"/>
      <c r="O6805" s="2" t="n"/>
      <c r="P6805" s="2" t="n"/>
    </row>
    <row r="6806">
      <c r="A6806" s="2" t="n">
        <v>6805</v>
      </c>
      <c r="B6806" s="2" t="inlineStr"/>
      <c r="C6806" s="2" t="n">
        <v>9388</v>
      </c>
      <c r="D6806" s="3" t="inlineStr">
        <is>
          <t>Идеальное преступление</t>
        </is>
      </c>
      <c r="E6806" s="2" t="n">
        <v>1989</v>
      </c>
      <c r="F6806" s="2" t="inlineStr">
        <is>
          <t>кинофильм</t>
        </is>
      </c>
      <c r="G6806" s="2" t="n"/>
      <c r="H6806" s="2" t="n">
        <v>1209</v>
      </c>
      <c r="I6806" s="2" t="inlineStr"/>
      <c r="J6806" s="2" t="inlineStr"/>
      <c r="K6806" s="3" t="inlineStr">
        <is>
          <t>По мотивам романа З. Юрьева «Полная переделка». В некоем европейском городе убита молодая девушка. Подозрение падает на богатого фабриканта Ланса Гереро, который заявляет о своей непричастности к убийству. Молодой адвокат Язон Рондол берется защищать его. Но на суде обвинение предъявляет
неоспоримые доказательства вины подсудимого — отпечатки пальцев. Находятся и свидетели, видевшие его возле места преступления. «Электронный» суд приговаривает Гереро к полной переделке психики. Приговор должен быть приведен в исполнение в течение сорока дней. Осужденный уверяет адвоката в своей невиновности. Рондол собирается подать апелляцию. Он начинает свое расследование и убеждается в том, что его подзащитный оказался неугодным человеком для мафии, которая решила избавиться от своего конкурента, устроив «идеальное» преступление. Адвокат выясняет, что в секретной лаборатории под руководством профессора Ламонта создаются доказательства вины неугодных людей — оттиски пальцев,
маски, синтезирование голоса любого человека. С помощью Одри, дочери профессора Ламонта, Рондолу удается предоставить доказательства невиновности своего подзащитного, но с опозданием. Лансу Гереро уже сделали полную переделку психики.</t>
        </is>
      </c>
      <c r="L6806" s="2" t="inlineStr">
        <is>
          <t>https://gosfilmofond.ru/films/240660/</t>
        </is>
      </c>
      <c r="M6806" s="2">
        <f>HYPERLINK("https://ru.wikipedia.org/w/index.php?search=%D0%98%D0%B4%D0%B5%D0%B0%D0%BB%D1%8C%D0%BD%D0%BE%D0%B5%20%D0%BF%D1%80%D0%B5%D1%81%D1%82%D1%83%D0%BF%D0%BB%D0%B5%D0%BD%D0%B8%D0%B5%201989%20%D1%84%D0%B8%D0%BB%D1%8C%D0%BC","искать")</f>
        <v/>
      </c>
      <c r="N6806" s="3" t="n"/>
      <c r="O6806" s="2" t="n"/>
      <c r="P6806" s="2" t="n"/>
    </row>
    <row r="6807">
      <c r="A6807" s="2" t="n">
        <v>6806</v>
      </c>
      <c r="B6807" s="2" t="inlineStr"/>
      <c r="C6807" s="2" t="n">
        <v>11823</v>
      </c>
      <c r="D6807" s="3" t="inlineStr">
        <is>
          <t>Бобик в гостях у Барбоса</t>
        </is>
      </c>
      <c r="E6807" s="2" t="n">
        <v>1977</v>
      </c>
      <c r="F6807" s="2" t="inlineStr">
        <is>
          <t>мультфильм</t>
        </is>
      </c>
      <c r="G6807" s="2" t="inlineStr">
        <is>
          <t>Союзмультфильм</t>
        </is>
      </c>
      <c r="H6807" s="2" t="n">
        <v>1212</v>
      </c>
      <c r="I6807" s="2" t="inlineStr"/>
      <c r="J6807" s="2" t="inlineStr"/>
      <c r="K6807" s="3" t="inlineStr">
        <is>
          <t>Рано утром дедушка выгуливает своего домашнего любимца — пса Барбоса. Потом оставляет его одного дома, а сам уходит до вечера, оставив Барбоса «за хозяина».Барбосу скучно одному, и он приглашает в гости дворового пса Бобика. Барбос изображает из себя хозяина квартиры: бесцеремонно опустошает холодильник, устраивает катание на пролитом супе по полу, заявляя: «А что мне дедушка? Здесь все мое!» и «А если дедушка не слушается, то я его веником», всячески пытаясь поразить Бобика.Разрушив все, что можно и что нельзя, герои ложатся спать на дедушкину кровать, и им снится сон, в котором они ведут дедушку, хозяина Барбоса, на поводке и поют песню:- Человек собаке друг,Это знают все вокруг...Понятно всем как дважды два:Нет добрее существа!Лапу первым подает,Волю нервам не даёт...Вечером приходит дедушка и, увидев, что учинили в доме собаки, в сердцах швыряет в Барбоса тапочком. Бобик спасается бегством через окно, вслед ему летит веник.Дедушка сидит в кресле-качалке, обозревая погром и не зная, что делать. Раздается звонок в дверь, Барбос, виляя хвостом, приносит дедушке тапочки, а в дверях сидит виноватый Бобик с веником в зубах, и дедушка его прощает.Музыка из мультфильма:Человек собаке друг(1.55 Мб)</t>
        </is>
      </c>
      <c r="L6807" s="2" t="inlineStr">
        <is>
          <t>2026-10_мультфильмы_список_владельца.xlsx; https://animator.ru/db/?p=show_film&amp;fid=2738</t>
        </is>
      </c>
      <c r="M6807" s="2">
        <f>HYPERLINK("https://ru.wikipedia.org/w/index.php?search=%D0%91%D0%BE%D0%B1%D0%B8%D0%BA%20%D0%B2%20%D0%B3%D0%BE%D1%81%D1%82%D1%8F%D1%85%20%D1%83%20%D0%91%D0%B0%D1%80%D0%B1%D0%BE%D1%81%D0%B0%201977%20%D1%84%D0%B8%D0%BB%D1%8C%D0%BC","искать")</f>
        <v/>
      </c>
      <c r="N6807" s="3" t="n"/>
      <c r="O6807" s="2" t="n"/>
      <c r="P6807" s="2" t="n"/>
    </row>
    <row r="6808">
      <c r="A6808" s="2" t="n">
        <v>6807</v>
      </c>
      <c r="B6808" s="2" t="inlineStr"/>
      <c r="C6808" s="2" t="n">
        <v>9570</v>
      </c>
      <c r="D6808" s="3" t="inlineStr">
        <is>
          <t>Помилуй и прости</t>
        </is>
      </c>
      <c r="E6808" s="2" t="n">
        <v>1988</v>
      </c>
      <c r="F6808" s="2" t="inlineStr">
        <is>
          <t>кинофильм</t>
        </is>
      </c>
      <c r="G6808" s="2" t="n"/>
      <c r="H6808" s="2" t="n">
        <v>1213</v>
      </c>
      <c r="I6808" s="2" t="inlineStr"/>
      <c r="J6808" s="2" t="inlineStr"/>
      <c r="K6808" s="3" t="inlineStr">
        <is>
          <t>Молодой художник Юрий Дьяченко пишет странные сюрреалистические картины. Расхождения во взглядах с ректором на то, что есть истинное искусство, влечет отчисление студента из института. Однако Юрия это не слишком расстраивает. Он живет на иждивении отца-академика. На одной из вечеринок художник знакомится с Лелей. Девушка словно сошла с картины Сандро Боттичелли «Рождение Венеры» — главной музы Юрия, присутствующей во всех его работах. Молодому человеку даже кажется, что он влюбился в Лелю, но чувства его быстро угасают, когда он узнает, что девушка замужем, а ее муж работает в конструкторском бюро под руководством его отца. Вскоре Юрий получает заказ — оформить сцену местного Дома культуры, в знак благодарности директор Дома культуры обещает устроить его выставку. Но пугающие образы демонов, пожирающих плоть прекрасной девы, вызывают отвращение у публики. Идет время. Некий меценат предлагает Юрию устроить новую выставку, за это художник должен жениться на его дочери. Юрий соглашается, но по роковой случайности этому не суждено сбыться. Напившись на вечеринке, жених хочет встретить рассвет с малознакомой девицей на крыше самого высокого здания в городе, откуда случайно срывается вниз и погибает.</t>
        </is>
      </c>
      <c r="L6808" s="2" t="inlineStr">
        <is>
          <t>https://gosfilmofond.ru/films/240564/</t>
        </is>
      </c>
      <c r="M6808" s="2">
        <f>HYPERLINK("https://ru.wikipedia.org/w/index.php?search=%D0%9F%D0%BE%D0%BC%D0%B8%D0%BB%D1%83%D0%B9%20%D0%B8%20%D0%BF%D1%80%D0%BE%D1%81%D1%82%D0%B8%201988%20%D1%84%D0%B8%D0%BB%D1%8C%D0%BC","искать")</f>
        <v/>
      </c>
      <c r="N6808" s="3" t="n"/>
      <c r="O6808" s="2" t="n"/>
      <c r="P6808" s="2" t="n"/>
    </row>
    <row r="6809">
      <c r="A6809" s="2" t="n">
        <v>6808</v>
      </c>
      <c r="B6809" s="2" t="inlineStr"/>
      <c r="C6809" s="2" t="n">
        <v>10111</v>
      </c>
      <c r="D6809" s="3" t="inlineStr">
        <is>
          <t>Октябрь</t>
        </is>
      </c>
      <c r="E6809" s="2" t="n">
        <v>1963</v>
      </c>
      <c r="F6809" s="2" t="inlineStr">
        <is>
          <t>фильм-спектакль</t>
        </is>
      </c>
      <c r="G6809" s="2" t="inlineStr">
        <is>
          <t>Центральное телевидение</t>
        </is>
      </c>
      <c r="H6809" s="2" t="n">
        <v>1213</v>
      </c>
      <c r="I6809" s="2" t="inlineStr"/>
      <c r="J6809" s="2" t="inlineStr"/>
      <c r="K6809" s="3" t="inlineStr">
        <is>
          <t>Действие оперы происходит в период с 3 апреля по 25 октября 1917 года.
Опере предшествует эпически-величавый пролог.
Нарастают революционные события.
Старый питерский рабочий – мастер Путиловского завода, участник революции 1905 года, Иван Тимофеевич вспоминает былые революционные сражения и призывает идти на штурм твердыни царизма, так “мы новую правду народу несем”.
В опере раскрывается судьба отдельных героев.
Сестра милосердия Марина. Она встречается с товарищем с товарищем детства, ныне офицером батальона смерти, Массальским, а затем с рабочим Путиловского завода Андреем. Марина начинает осознавать, что Массальский идет с врагами народа. Ей всё ближе становится дело свободы и революции, за которую борется Андрей и его товарищи.
Шестая картина “В Разливе” – вершина драматургии оперы.
На берегу озера Разлив скрывается Владимир Ильич Ленин. Его покой охраняет рыбак. Здесь в предутренний час Ленин и его друзья приняли историческое решение – срок восстания настал. Ветер доносит с озера песню “Камушку”. Её поют рыбаки, расставившие сети неподалеку от шалаша Ильича.
Единение с народом, человеческая глубина, воля и решительность вождя революции – эти черты Ленина раскрываются в этой картине-опере.</t>
        </is>
      </c>
      <c r="L6809" s="2" t="inlineStr">
        <is>
          <t>https://www.kino-teatr.ru/teatr/movie/104001/annot/</t>
        </is>
      </c>
      <c r="M6809" s="2">
        <f>HYPERLINK("https://ru.wikipedia.org/w/index.php?search=%D0%9E%D0%BA%D1%82%D1%8F%D0%B1%D1%80%D1%8C%201963%20%D1%84%D0%B8%D0%BB%D1%8C%D0%BC","искать")</f>
        <v/>
      </c>
      <c r="N6809" s="3" t="n"/>
      <c r="O6809" s="2" t="n"/>
      <c r="P6809" s="2" t="n"/>
    </row>
    <row r="6810">
      <c r="A6810" s="2" t="n">
        <v>6809</v>
      </c>
      <c r="B6810" s="2" t="inlineStr"/>
      <c r="C6810" s="2" t="n">
        <v>8673</v>
      </c>
      <c r="D6810" s="3" t="inlineStr">
        <is>
          <t>Выкидыш</t>
        </is>
      </c>
      <c r="E6810" s="2" t="n">
        <v>1991</v>
      </c>
      <c r="F6810" s="2" t="inlineStr">
        <is>
          <t>кинофильм</t>
        </is>
      </c>
      <c r="G6810" s="2" t="inlineStr">
        <is>
          <t>Творческое объединение"Алан", Одесская киностудия</t>
        </is>
      </c>
      <c r="H6810" s="2" t="n">
        <v>1215</v>
      </c>
      <c r="I6810" s="2" t="inlineStr"/>
      <c r="J6810" s="2" t="inlineStr"/>
      <c r="K6810" s="3" t="inlineStr">
        <is>
          <t>В сюрреалистическом почти бессюжетном фильме, наполненном фантазиями, воспоминаниями, символами, главный герой молодой российский интеллигент Сергей рассказывает историю своей несостоявшейся жизни. Его отец мечтал, что сын станет современным Ньютоном, а мама видела в Сереже маленького принца. Взросление в реальной жёсткой среде современного города, кампанейские сборища с алкоголем, философствования в попытках понять себя и действительность, плотские наслаждения. Приход к пониманию, что мир держится на инстинктах, страхах, лжи. Неудачные попытки сказать своё слово в искусстве, метание между стилями, образами, историческими периодами. Не сложившиеся личные отношения, растерянность, потеря веры в свой талант. Ощущение бесцельности собственной жизни, любой путь в которой ведёт в тупик. Герой делает для себя вывод, что человек, как создание, не удался природе, вот и выкинула она его. Все люди выкидыши. Сергей хочет начать жизнь сначала с любимой женщиной, но она отвергает его. Он осознает, что не создал ничего и упустил свою Маргариту. Сергей задумывается о том, что если человек не верит в бессмертие, то самоубийство для него неизбежно. Устав от реальности, он кончает счеты с жизнью выстрелом в висок.</t>
        </is>
      </c>
      <c r="L6810" s="2" t="inlineStr">
        <is>
          <t>https://gosfilmofond.ru/films/232255/</t>
        </is>
      </c>
      <c r="M6810" s="2">
        <f>HYPERLINK("https://ru.wikipedia.org/w/index.php?search=%D0%92%D1%8B%D0%BA%D0%B8%D0%B4%D1%8B%D1%88%201991%20%D1%84%D0%B8%D0%BB%D1%8C%D0%BC","искать")</f>
        <v/>
      </c>
      <c r="N6810" s="3" t="n"/>
      <c r="O6810" s="2" t="n"/>
      <c r="P6810" s="2" t="n"/>
    </row>
    <row r="6811">
      <c r="A6811" s="2" t="n">
        <v>6810</v>
      </c>
      <c r="B6811" s="2" t="inlineStr"/>
      <c r="C6811" s="2" t="n">
        <v>9228</v>
      </c>
      <c r="D6811" s="3" t="inlineStr">
        <is>
          <t>Белая кость</t>
        </is>
      </c>
      <c r="E6811" s="2" t="n">
        <v>1988</v>
      </c>
      <c r="F6811" s="2" t="inlineStr">
        <is>
          <t>кинофильм</t>
        </is>
      </c>
      <c r="G6811" s="2" t="n"/>
      <c r="H6811" s="2" t="n">
        <v>1215</v>
      </c>
      <c r="I6811" s="2" t="inlineStr"/>
      <c r="J6811" s="2" t="inlineStr"/>
      <c r="K6811" s="3" t="inlineStr">
        <is>
          <t>На мясокомбинате под руководством директора, который называет себя «белой костью», орудует шайка крупных махинаторов. Попытки вывести жуликов на чистую воду, предпринятые местной милицией, закончились исчезновением на комбинате двух оперативных работников. Теперь все надежды на третьего — капитана Гранта Симоняна, любимого ученика начальника городской милиции полковника Манукяна. Гранта вызывают из отпуска и внедряют на фабрику. Освоившись в новом коллективе, Симонян начинает замечать подозрительные детали: с территории фабрики ночью выезжают крытые брезентом грузовики. В шифрованной записке, которая попадает к Гранту, сообщается о прибытии загадочного объекта — быка, в котором спрятаны драгоценности. К этому моменту Гранту уже удается выяснить, что в подвалах фабрики тайно действует завод, выпускающий видеомагнитофоны. Оперативник понимает, что эти драгоценности — плата за продукцию. Мафия решает убить неподкупного сыщика и похищает его. Не получая сведений от агента, полковник Манукян посылает на его поиски оперативную группу. Освободив капитана, милиционеры вместе с ним настигают директора фабрики и его сообщников, которые направлялись в Ялту на ежегодное собрание членов преступного синдиката.</t>
        </is>
      </c>
      <c r="L6811" s="2" t="inlineStr">
        <is>
          <t>https://gosfilmofond.ru/films/240224/</t>
        </is>
      </c>
      <c r="M6811" s="2">
        <f>HYPERLINK("https://ru.wikipedia.org/w/index.php?search=%D0%91%D0%B5%D0%BB%D0%B0%D1%8F%20%D0%BA%D0%BE%D1%81%D1%82%D1%8C%201988%20%D1%84%D0%B8%D0%BB%D1%8C%D0%BC","искать")</f>
        <v/>
      </c>
      <c r="N6811" s="3" t="n"/>
      <c r="O6811" s="2" t="n"/>
      <c r="P6811" s="2" t="n"/>
    </row>
    <row r="6812">
      <c r="A6812" s="2" t="n">
        <v>6811</v>
      </c>
      <c r="B6812" s="2" t="inlineStr"/>
      <c r="C6812" s="2" t="n">
        <v>7416</v>
      </c>
      <c r="D6812" s="3" t="inlineStr">
        <is>
          <t>Вход в лабиринт</t>
        </is>
      </c>
      <c r="E6812" s="2" t="n">
        <v>1989</v>
      </c>
      <c r="F6812" s="2" t="inlineStr">
        <is>
          <t>телефильм</t>
        </is>
      </c>
      <c r="G6812" s="2" t="n"/>
      <c r="H6812" s="2" t="n">
        <v>1216</v>
      </c>
      <c r="I6812" s="2" t="inlineStr"/>
      <c r="J6812" s="2" t="inlineStr"/>
      <c r="K6812" s="3" t="inlineStr">
        <is>
          <t>Фильм состоит из нескольких сюжетных линий.
Главная: происходит в СССР 1980-х годов — это детективная история о мошенниках, которые, используя милицейское удостоверение, вламываются в квартиры нечестных людей и под видом обыска грабят их. Расследуя это дело, оперуполномоченный Муромцев выходит на конфликт двух изобретателей чудо-препарата — метапроптизола, названного за рубежом «лекарством против страха». Как скажет один из участников конфликта профессор Панафидин (Ивар Калныньш): «Интерес к нему таков, что даже название ему заранее придумали». Профессор не верит в существование препарата, поскольку, работая именно над этой проблемой, не достиг успеха. А потому отрицает, что его оппонент Лыжин, которого все считают чудаком и человеком «не от мира сего», мог изобрести подобный препарат. Впрочем, отравив именно этим препаратом милиционера, преступники похитили удостоверение и табельное оружие участкового Позднякова.
Параллельным сюжетом рассказывается о жизни и трагической судьбе великого врача и философа Парацельса в XVI веке в Европе. В поисках мифического лекарства от всех болезней он делает открытия, которые легли в основу современной фармакологии. Жизнь Парацельса прошла в постоянных скитаниях.</t>
        </is>
      </c>
      <c r="L6812" s="2" t="inlineStr">
        <is>
          <t>https://ru.wikipedia.org/w/index.php?title=%D0%92%D1%85%D0%BE%D0%B4_%D0%B2_%D0%BB%D0%B0%D0%B1%D0%B8%D1%80%D0%B8%D0%BD%D1%82&amp;oldid=154823005</t>
        </is>
      </c>
      <c r="M6812" s="2">
        <f>HYPERLINK("https://ru.wikipedia.org/w/index.php?search=%D0%92%D1%85%D0%BE%D0%B4%20%D0%B2%20%D0%BB%D0%B0%D0%B1%D0%B8%D1%80%D0%B8%D0%BD%D1%82%201989%20%D1%84%D0%B8%D0%BB%D1%8C%D0%BC","искать")</f>
        <v/>
      </c>
      <c r="N6812" s="3" t="n"/>
      <c r="O6812" s="2" t="n"/>
      <c r="P6812" s="2" t="n"/>
    </row>
    <row r="6813">
      <c r="A6813" s="2" t="n">
        <v>6812</v>
      </c>
      <c r="B6813" s="2" t="inlineStr"/>
      <c r="C6813" s="2" t="n">
        <v>9350</v>
      </c>
      <c r="D6813" s="3" t="inlineStr">
        <is>
          <t>Дураки умирают по пятницам</t>
        </is>
      </c>
      <c r="E6813" s="2" t="n">
        <v>1990</v>
      </c>
      <c r="F6813" s="2" t="inlineStr">
        <is>
          <t>кинофильм</t>
        </is>
      </c>
      <c r="G6813" s="2" t="n"/>
      <c r="H6813" s="2" t="n">
        <v>1219</v>
      </c>
      <c r="I6813" s="2" t="inlineStr"/>
      <c r="J6813" s="2" t="inlineStr"/>
      <c r="K6813" s="3" t="inlineStr">
        <is>
          <t>СССР, конец 1980-х годов. Сотрудник милиции Андрей Обухов, отсидев три года в тюрьме по ложному обвинению, возвращается домой. Его друг и коллега, которого он решил навестить сразу после освобождения, оказывается убит, и Обухов снова под подозрением. Андрей вынужден бежать и скрываться, обращаясь к помощи случайной знакомой Яны. В городе, где властные и силовые структуры погрязли в коррупции, можно положиться только на себя. Андрей начинает собственное расследование.
В ходе расследования Обухов узнаёт, что к гибели его друга причастен некий Гелий Иванович. Андрей «раскалывает» Гелия и решает встретиться с Бугром, проинформировав своего бывшего коллегу Толика Ткачёва.
Захватив в заложники шофёра Василия, Андрей отправляется на дачу к Яне, где находится Гелий Иванович и все его сообщники. Вовремя подъехавшая милиция связывает всю банду. Ткачёв, также приехавший на задержание, оказывается тем самым Бугром, с которым Обухов собирался встретиться. Взяв в заложники Риту, сестру Яны, Бугор-Ткачёв пытается спастись бегством, но милиция настигает его. Бугор попадает в аварию и, увидев, что его-таки настигли Обухов и милиция, стреляется. Рита остаётся жива, все члены банды арестованы, обвинения с Андрея сняты.</t>
        </is>
      </c>
      <c r="L6813" s="2" t="inlineStr">
        <is>
          <t>https://ru.wikipedia.org/w/index.php?title=%D0%94%D1%83%D1%80%D0%B0%D0%BA%D0%B8_%D1%83%D0%BC%D0%B8%D1%80%D0%B0%D1%8E%D1%82_%D0%BF%D0%BE_%D0%BF%D1%8F%D1%82%D0%BD%D0%B8%D1%86%D0%B0%D0%BC&amp;oldid=154139779</t>
        </is>
      </c>
      <c r="M6813" s="2">
        <f>HYPERLINK("https://ru.wikipedia.org/w/index.php?search=%D0%94%D1%83%D1%80%D0%B0%D0%BA%D0%B8%20%D1%83%D0%BC%D0%B8%D1%80%D0%B0%D1%8E%D1%82%20%D0%BF%D0%BE%20%D0%BF%D1%8F%D1%82%D0%BD%D0%B8%D1%86%D0%B0%D0%BC%201990%20%D1%84%D0%B8%D0%BB%D1%8C%D0%BC","искать")</f>
        <v/>
      </c>
      <c r="N6813" s="3" t="n"/>
      <c r="O6813" s="2" t="n"/>
      <c r="P6813" s="2" t="n"/>
    </row>
    <row r="6814">
      <c r="A6814" s="2" t="n">
        <v>6813</v>
      </c>
      <c r="B6814" s="2" t="inlineStr"/>
      <c r="C6814" s="2" t="n">
        <v>7880</v>
      </c>
      <c r="D6814" s="3" t="inlineStr">
        <is>
          <t>Миф</t>
        </is>
      </c>
      <c r="E6814" s="2" t="n">
        <v>1986</v>
      </c>
      <c r="F6814" s="2" t="inlineStr">
        <is>
          <t>телефильм</t>
        </is>
      </c>
      <c r="G6814" s="2" t="n"/>
      <c r="H6814" s="2" t="n">
        <v>1221</v>
      </c>
      <c r="I6814" s="2" t="inlineStr"/>
      <c r="J6814" s="2" t="inlineStr"/>
      <c r="K6814" s="3" t="inlineStr">
        <is>
          <t>Балерина Вера Скобелева, уже в возрасте, по инерции ещё танцует в театре проходные роли, но никаких перспектив у неё не предвидится. Личная жизнь не устроена, она с детства влюблена в ныне успешного балетмейстера Игоря Уралова. В старой ленинградской квартире — умирающая бабушка и котики, требующие неусыпного ухода. Скобелева лишена ореола балетной дивы, она — женщина, измотанная тяжким балетным трудом и бытом. Вместо охапок цветов от поклонников, у неё в руках сверток с сосисками от добросердечной буфетчицы. Когда балетмейстер Игорь Уралов, уезжая в заграничные гастроли, поручает Скобелевой взять руководство над молодёжным коллективом, дав карт-бланш на эксперименты. Скобелева решает поставить новый балет «Крылья холопа», привлекая своего дядю оформителем декораций. Балет, являющийся новым словом в хореографии, имеет невероятный успех, но Уралов без зазрения совести присваивает себе авторство постановки. Но без поддержки Скобелевой, переврав все вариации на репетиции, срывает постановку в Москве. Молодая пассия Уралова, танцующая ведущую женскую партию в его постановках, обманом и против воли Уралова зовёт Скобелеву руководить коллективом, и под её руководством постановка проходит в Москве с триумфом.</t>
        </is>
      </c>
      <c r="L6814" s="2" t="inlineStr">
        <is>
          <t>https://ru.wikipedia.org/w/index.php?title=%D0%9C%D0%B8%D1%84_%28%D1%84%D0%B8%D0%BB%D1%8C%D0%BC%2C_1986%29&amp;oldid=155280939</t>
        </is>
      </c>
      <c r="M6814" s="2">
        <f>HYPERLINK("https://ru.wikipedia.org/w/index.php?search=%D0%9C%D0%B8%D1%84%201986%20%D1%84%D0%B8%D0%BB%D1%8C%D0%BC","искать")</f>
        <v/>
      </c>
      <c r="N6814" s="3" t="n"/>
      <c r="O6814" s="2" t="n"/>
      <c r="P6814" s="2" t="n"/>
    </row>
    <row r="6815">
      <c r="A6815" s="2" t="n">
        <v>6814</v>
      </c>
      <c r="B6815" s="2" t="inlineStr"/>
      <c r="C6815" s="2" t="n">
        <v>8499</v>
      </c>
      <c r="D6815" s="3" t="inlineStr">
        <is>
          <t>Украли зебру</t>
        </is>
      </c>
      <c r="E6815" s="2" t="n">
        <v>1972</v>
      </c>
      <c r="F6815" s="2" t="inlineStr">
        <is>
          <t>телефильм</t>
        </is>
      </c>
      <c r="G6815" s="2" t="n"/>
      <c r="H6815" s="2" t="n">
        <v>1223</v>
      </c>
      <c r="I6815" s="2" t="inlineStr"/>
      <c r="J6815" s="2" t="inlineStr"/>
      <c r="K6815" s="3" t="inlineStr">
        <is>
          <t>Фильм посвящён приключениям любопытной шимпанзе по имени Доня и её друзей — шимпанзе Микки и бабушки Зиты. Фильм состоит из трёх новелл: «Пирог с бананом», «Наводнение в буфете» и «Заговор на конюшне».
«Пирог с бананом»: Доня впервые остаётся одна дома и пытается навести порядок, но у неё ничего не выходит.
«Наводнение в буфете»: Доня знакомится с Зитой и Микки, они играют в домино. Доня уходит и случайно устраивает наводнение в буфете. Дрессировщик (Степан Исаакян) спасает обезьяну из «потопа», но она простудилась: её лечат хозяин и Микки.
«Заговор на конюшне»: Доня хочет вставить в свой номер, который исполняли только Зита и Микки, что-нибудь новое. Она сама вместо хозяина начинает выступать с зеброй и его помощника запирает в конюшне Зита. Когда дрессировщик приходит исполнять номер, Доня уже кончила работать с зеброй. Хозяин называет её молодцом.
Шимпанзе Дони и Микки, а также другие подопечные дрессировщика Степана Исаакяна, веселили юных зрителей... Обратная сторона хорошего фильма о животных: всем хочется завести ручную обезьяну, но можно ли держать дома такое сложное животное? Не будет ли того самого «Наводнения в буфете» и прогорелого «Пирога с бананом»? Только так ли весело почувствуем мы себя?</t>
        </is>
      </c>
      <c r="L6815" s="2" t="inlineStr">
        <is>
          <t>https://ru.wikipedia.org/w/index.php?title=%D0%A3%D0%BA%D1%80%D0%B0%D0%BB%D0%B8_%D0%B7%D0%B5%D0%B1%D1%80%D1%83&amp;oldid=152515422</t>
        </is>
      </c>
      <c r="M6815" s="2">
        <f>HYPERLINK("https://ru.wikipedia.org/w/index.php?search=%D0%A3%D0%BA%D1%80%D0%B0%D0%BB%D0%B8%20%D0%B7%D0%B5%D0%B1%D1%80%D1%83%201972%20%D1%84%D0%B8%D0%BB%D1%8C%D0%BC","искать")</f>
        <v/>
      </c>
      <c r="N6815" s="3" t="n"/>
      <c r="O6815" s="2" t="n"/>
      <c r="P6815" s="2" t="n"/>
    </row>
    <row r="6816">
      <c r="A6816" s="2" t="n">
        <v>6815</v>
      </c>
      <c r="B6816" s="2" t="inlineStr"/>
      <c r="C6816" s="2" t="n">
        <v>9783</v>
      </c>
      <c r="D6816" s="3" t="inlineStr">
        <is>
          <t>Я в полном порядке</t>
        </is>
      </c>
      <c r="E6816" s="2" t="n">
        <v>1989</v>
      </c>
      <c r="F6816" s="2" t="inlineStr">
        <is>
          <t>кинофильм</t>
        </is>
      </c>
      <c r="G6816" s="2" t="n"/>
      <c r="H6816" s="2" t="n">
        <v>1224</v>
      </c>
      <c r="I6816" s="2" t="inlineStr"/>
      <c r="J6816" s="2" t="inlineStr"/>
      <c r="K6816" s="3" t="inlineStr">
        <is>
          <t>Герман Гвоздев — мелкий аферист. Он внимательно изучает газеты с объявлениями о знакомствах. Одно его заинтересовало, и он тем же вечером отправляется по указанному адресу. Новую знакомую Герман ведет в ресторан, рассказывает за ужином трогательную историю о гибели жены под колесами автомашины, об аварии, в которую попала дочь, и тут же просит денег на дорогу, обещая вернуть. Женщина дает... Однажды Герман знакомится с мошенницей Зиной, которая зарабатывает на жизнь тем, что покупает за бесценок картины, чуть подправляет их и продает, как старинные, доставшиеся ей в наследство от бабушки. Не ожидавший ничего плохого, Герман сам становится жертвой проделок Зины — не без ее помощи у него крадут чемодан с вещами и документами, но потом Зина обещает, что ему все вернут. Выясняется, что у Зины есть ребенок, который находится в детском доме. Герман становится свидетелем того, как к Зине приходит чиновница из органов опеки и начинает ее шантажировать, требуя обменять квартиру на другую, худшую, иначе ее окончательно лишат родительских прав. У Зины начинается истерика, и ее отправляют в психиатрическую больницу. Находясь под сильным впечатлением от увиденного, Герман решает навестить ребенка Зины и едет в детдом.</t>
        </is>
      </c>
      <c r="L6816" s="2" t="inlineStr">
        <is>
          <t>https://gosfilmofond.ru/films/241121/</t>
        </is>
      </c>
      <c r="M6816" s="2">
        <f>HYPERLINK("https://ru.wikipedia.org/w/index.php?search=%D0%AF%20%D0%B2%20%D0%BF%D0%BE%D0%BB%D0%BD%D0%BE%D0%BC%20%D0%BF%D0%BE%D1%80%D1%8F%D0%B4%D0%BA%D0%B5%201989%20%D1%84%D0%B8%D0%BB%D1%8C%D0%BC","искать")</f>
        <v/>
      </c>
      <c r="N6816" s="3" t="n"/>
      <c r="O6816" s="2" t="n"/>
      <c r="P6816" s="2" t="n"/>
    </row>
    <row r="6817">
      <c r="A6817" s="2" t="n">
        <v>6816</v>
      </c>
      <c r="B6817" s="2" t="inlineStr"/>
      <c r="C6817" s="2" t="n">
        <v>9239</v>
      </c>
      <c r="D6817" s="3" t="inlineStr">
        <is>
          <t>Беспредел</t>
        </is>
      </c>
      <c r="E6817" s="2" t="n">
        <v>1989</v>
      </c>
      <c r="F6817" s="2" t="inlineStr">
        <is>
          <t>кинофильм</t>
        </is>
      </c>
      <c r="G6817" s="2" t="n"/>
      <c r="H6817" s="2" t="n">
        <v>1229</v>
      </c>
      <c r="I6817" s="2" t="inlineStr"/>
      <c r="J6817" s="2" t="inlineStr"/>
      <c r="K6817" s="3" t="inlineStr">
        <is>
          <t>Осужденный Юрий Калганов отбывает четырехлетний срок в колонии строгого режима. Он трудится в швейном цеху и, как и все, возмущен ненормированным графиком работы. Сколько бы не было сшито телогреек, процент выработки в накладной всегда стоит один и тот же. Калганов отказывается работать, за что его отправляют на 15 суток в штрафной изолятор. Здесь он знакомится с Князем, уголовником со стажем, который через систему «шестерок» и подкупленного персонала держит в руках весь лагерь. Осужденный по
кличке Могол предлагает Юрию стать бригадиром, угрожая сделать его жизнь невыносимой, если он откажется. Новоявленного бригадира вынуждают ставить высокие проценты выработки неработающим дружкам Князя. В лагере царит беспредел. Избиение строптивых, сбор дани с каждого зека и другие беззакония происходят с ведома начальства. Однажды в один из отрядов прибывает молодой парнишка по прозвищу Филателист. Он рассказывает товарищам по несчастью о разных государствах, где совершались революции, давая понять, что невозможно жить такой жизнью как они. Начальство лагеря решает наказать Филателиста руками осужденных — подручные Князя насилуют парнишку. Не выдержав бесчестия, он
кончает жизнь самоубийством. Заключенные поднимают бунт.</t>
        </is>
      </c>
      <c r="L6817" s="2" t="inlineStr">
        <is>
          <t>https://gosfilmofond.ru/films/241911/</t>
        </is>
      </c>
      <c r="M6817" s="2">
        <f>HYPERLINK("https://ru.wikipedia.org/w/index.php?search=%D0%91%D0%B5%D1%81%D0%BF%D1%80%D0%B5%D0%B4%D0%B5%D0%BB%201989%20%D1%84%D0%B8%D0%BB%D1%8C%D0%BC","искать")</f>
        <v/>
      </c>
      <c r="N6817" s="3" t="n"/>
      <c r="O6817" s="2" t="n"/>
      <c r="P6817" s="2" t="n"/>
    </row>
    <row r="6818">
      <c r="A6818" s="2" t="n">
        <v>6817</v>
      </c>
      <c r="B6818" s="2" t="inlineStr"/>
      <c r="C6818" s="2" t="n">
        <v>10028</v>
      </c>
      <c r="D6818" s="3" t="inlineStr">
        <is>
          <t>Защитник Седов</t>
        </is>
      </c>
      <c r="E6818" s="2" t="n">
        <v>1988</v>
      </c>
      <c r="F6818" s="2" t="inlineStr">
        <is>
          <t>кинофильм</t>
        </is>
      </c>
      <c r="G6818" s="2" t="inlineStr">
        <is>
          <t>Мосфильм, ЭМТО «Дебют»</t>
        </is>
      </c>
      <c r="H6818" s="2" t="n">
        <v>1234</v>
      </c>
      <c r="I6818" s="2" t="inlineStr"/>
      <c r="J6818" s="2" t="inlineStr"/>
      <c r="K6818" s="3" t="inlineStr">
        <is>
          <t>К московскому адвокату Седову приезжают три женщины из деревни с просьбой спасти от несправедливого смертного приговора осуждённых по 58-й статье агрономов местного райзо. Седов не хочет браться за дело, из-за которого сам может стать жертвой политических репрессий, но под эмоциональным давлением женщин соглашается и едет в провинциальный город Энск, где проходят слушания по делу. Установив, что дело полностью сфабриковано, а при следствии допущены грубейшие нарушения, он обращается с жалобой к «Большому Прокурору» (намёк на Андрея Вышинского).
Через некоторое время в помещение адвокатской коллегии, где работает Седов, заходят несколько сотрудников НКВД и уводят Седова с собой. Он попадает в зал суда, где прокурор произносит эффектную речь о том что все проводившие следствие и связанные с ним были расстреляны как «троцкистско-бухаринские агенты», «вредители» и «шпионы», а работники райзо были оправданы; прокурор призывает подняться всех присутствующих в зале, чтобы аплодисментами выразить одобрение Седову за его «бдительность», благодаря которой был «разоблачён» очередной заговор внутренних врагов.
Таким образом, спасая нескольких невинных, Седов становится невольным виновником гибели ещё большего количества людей.</t>
        </is>
      </c>
      <c r="L6818" s="2" t="inlineStr">
        <is>
          <t>https://ru.wikipedia.org/w/index.php?title=%D0%97%D0%B0%D1%89%D0%B8%D1%82%D0%BD%D0%B8%D0%BA_%D0%A1%D0%B5%D0%B4%D0%BE%D0%B2&amp;oldid=154695971</t>
        </is>
      </c>
      <c r="M6818" s="2">
        <f>HYPERLINK("https://ru.wikipedia.org/w/index.php?search=%D0%97%D0%B0%D1%89%D0%B8%D1%82%D0%BD%D0%B8%D0%BA%20%D0%A1%D0%B5%D0%B4%D0%BE%D0%B2%201988%20%D1%84%D0%B8%D0%BB%D1%8C%D0%BC","искать")</f>
        <v/>
      </c>
      <c r="N6818" s="3" t="n"/>
      <c r="O6818" s="2" t="n"/>
      <c r="P6818" s="2" t="n"/>
    </row>
    <row r="6819">
      <c r="A6819" s="2" t="n">
        <v>6818</v>
      </c>
      <c r="B6819" s="2" t="inlineStr"/>
      <c r="C6819" s="2" t="n">
        <v>11452</v>
      </c>
      <c r="D6819" s="3" t="inlineStr">
        <is>
          <t>Паровозик из Ромашкова</t>
        </is>
      </c>
      <c r="E6819" s="2" t="n">
        <v>1967</v>
      </c>
      <c r="F6819" s="2" t="inlineStr">
        <is>
          <t>мультфильм</t>
        </is>
      </c>
      <c r="G6819" s="2" t="inlineStr">
        <is>
          <t>Союзмультфильм</t>
        </is>
      </c>
      <c r="H6819" s="2" t="n">
        <v>1235</v>
      </c>
      <c r="I6819" s="2" t="inlineStr"/>
      <c r="J6819" s="2" t="inlineStr"/>
      <c r="K6819" s="3" t="inlineStr">
        <is>
          <t>Трогательная история про маленький Паровозик, который возил детей на станцию Ромашково. Во время поездок Паровозику так нравилось любоваться красотой окружающего мира, что он никогда не мог удержаться, чтобы не остановиться, сходил с рельсов и отправлялся в лес наслаждаться ароматом весенних ландышей, слушать заливистое пение соловьев или встречать рассвет — «единственный в жизни», и из-за этого постоянно опаздывал на станцию, чем вызывал недовольство начальника и поначалу пассажиров. Паровозику стыдно за то, что он все время опаздывает, но он обещает, что больше не будет опаздывать, что постараться приезжать на станцию вовремя. И когда во время из одной остановок пассажиры, зараженные Паровозиком любовью к прекрасной природе, задерживаются, чтобы подольше посмотреть рассвет, Паровозик, помня об обещании, произносит: «Ехать пора. Ведь мы опоздаем...».Поле большое, зёленый лесок,Сколько весною путей и дорог!Хорошо на свете! Солнышко, свети,Пожелай нам, ветер, доброго пути!Доброго, доброго, доброго пути,Самого, самого доброго пути!Все интересно — на что ни взгляни,Дружная песня над миром звенит!Хорошо на свете! Солнышко, свети,Пожелай нам, ветер, доброго пути!Доброго, доброго, доброго пути,Самого, самого доброго пути!</t>
        </is>
      </c>
      <c r="L6819" s="2" t="inlineStr">
        <is>
          <t>2026-10_мультфильмы_список_владельца.xlsx; https://animator.ru/db/?p=show_film&amp;fid=2223</t>
        </is>
      </c>
      <c r="M6819" s="2">
        <f>HYPERLINK("https://ru.wikipedia.org/w/index.php?search=%D0%9F%D0%B0%D1%80%D0%BE%D0%B2%D0%BE%D0%B7%D0%B8%D0%BA%20%D0%B8%D0%B7%20%D0%A0%D0%BE%D0%BC%D0%B0%D1%88%D0%BA%D0%BE%D0%B2%D0%B0%201967%20%D1%84%D0%B8%D0%BB%D1%8C%D0%BC","искать")</f>
        <v/>
      </c>
      <c r="N6819" s="3" t="n"/>
      <c r="O6819" s="2" t="n"/>
      <c r="P6819" s="2" t="n"/>
    </row>
    <row r="6820">
      <c r="A6820" s="2" t="n">
        <v>6819</v>
      </c>
      <c r="B6820" s="2" t="inlineStr"/>
      <c r="C6820" s="2" t="n">
        <v>9281</v>
      </c>
      <c r="D6820" s="3" t="inlineStr">
        <is>
          <t>Воры в законе</t>
        </is>
      </c>
      <c r="E6820" s="2" t="n">
        <v>1988</v>
      </c>
      <c r="F6820" s="2" t="inlineStr">
        <is>
          <t>кинофильм</t>
        </is>
      </c>
      <c r="G6820" s="2" t="n"/>
      <c r="H6820" s="2" t="n">
        <v>1236</v>
      </c>
      <c r="I6820" s="2" t="inlineStr"/>
      <c r="J6820" s="2" t="inlineStr"/>
      <c r="K6820" s="3" t="inlineStr">
        <is>
          <t>Юная Рита живет в горном ауле, пасет овец и втайне от отца занимается любовью с приезжающим из города парнем. Проходит несколько лет, Рита переезжает в приморский городок и под именем Марго становится содержанкой главы местной мафии Артура. Вскоре она знакомится с поэтом Андреем и выходит за него замуж. Между тем у Артура возникает конфликт с главой другой преступной группировки Рамзесом, который обложил непомерной данью городских предпринимателей и требует, чтобы бармен Володя освободил для него свое доходное место. «Цеховики» и Володя обращаются за помощью к Артуру, и тот решает вступить в борьбу с Рамзесом. У обоих есть свои покровители в милиции, но так как Рамзес платит больше, Артур начинает проигрывать. «Цеховики» вновь беззащитны, а Володя, против которого у милиции есть немало доказательств того, что он причастен к делам мафии, попадает в тюремную камеру. Выйдя из тюрьмы, он пытается добиться оправдания, но все тщетно. К этому времени становится ясно, что Артур в борьбе с Рамзесом окончательно проиграл. Андрей узнает, кем на самом деле является его жена. Он хочет ее убить. Но приехавший отец Риты увозит дочь обратно в горный аул и запирает там на замок. Та пытается бежать, и тогда отец из ружья убивает Риту.</t>
        </is>
      </c>
      <c r="L6820" s="2" t="inlineStr">
        <is>
          <t>https://gosfilmofond.ru/films/240915/</t>
        </is>
      </c>
      <c r="M6820" s="2">
        <f>HYPERLINK("https://ru.wikipedia.org/w/index.php?search=%D0%92%D0%BE%D1%80%D1%8B%20%D0%B2%20%D0%B7%D0%B0%D0%BA%D0%BE%D0%BD%D0%B5%201988%20%D1%84%D0%B8%D0%BB%D1%8C%D0%BC","искать")</f>
        <v/>
      </c>
      <c r="N6820" s="3" t="n"/>
      <c r="O6820" s="2" t="n"/>
      <c r="P6820" s="2" t="n"/>
    </row>
    <row r="6821">
      <c r="A6821" s="2" t="n">
        <v>6820</v>
      </c>
      <c r="B6821" s="2" t="inlineStr"/>
      <c r="C6821" s="2" t="n">
        <v>9252</v>
      </c>
      <c r="D6821" s="3" t="inlineStr">
        <is>
          <t>Брат, найди брата!</t>
        </is>
      </c>
      <c r="E6821" s="2" t="n">
        <v>1988</v>
      </c>
      <c r="F6821" s="2" t="inlineStr">
        <is>
          <t>кинофильм</t>
        </is>
      </c>
      <c r="G6821" s="2" t="n"/>
      <c r="H6821" s="2" t="n">
        <v>1244</v>
      </c>
      <c r="I6821" s="2" t="inlineStr"/>
      <c r="J6821" s="2" t="inlineStr"/>
      <c r="K6821" s="3" t="inlineStr">
        <is>
          <t>Казачья станица в Краснодарском крае. Десятилетний Никита в школьные каникулы отправляется на пастбище, чтобы помогать отцу пасти отару. Неожиданно начинается страшная гроза с градом.
Град губит множество овец хозяйства. И только отара Михаила Веденеева — отца Никиты — остается невредима, так как Михаил загнал ее под навес скалы. Однако председатель Воронин хочет получить максимум страховки за погибших овец и подсылает к Михаилу своего шофера Карповца. Тот отправляет Никиту в станицу, а его отцу подсыпает снотворное и, когда пастух засыпает, расстреливает собак и уводит отару. Попытки Михаила доказать, что он непричастен к пропаже овец, тщетны. В гневе чабан избивает Карповца и оказывается в милиции. Вскоре Веденеева выпускают, но его вера в справедливость подорвана: он опускается, начинает пить с дружками в котельной, куда устроился, уйдя из хозяйства. Ни сын, ни жена
не могут вернуть Михаила домой. От одноклассника Никита узнает, что укус собаки может излечить от пьянства. Он начинает дрессировать свою любимую собаку Дружка, и однажды Дружок действительно кусает пьяного Михаила. В ярости тот избивает собаку, а затем пристреливает на глазах Никиты. Потрясенный мальчик теряет сознание. В себя он приходит на больничной койке.</t>
        </is>
      </c>
      <c r="L6821" s="2" t="inlineStr">
        <is>
          <t>https://gosfilmofond.ru/films/239968/</t>
        </is>
      </c>
      <c r="M6821" s="2">
        <f>HYPERLINK("https://ru.wikipedia.org/w/index.php?search=%D0%91%D1%80%D0%B0%D1%82%2C%20%D0%BD%D0%B0%D0%B9%D0%B4%D0%B8%20%D0%B1%D1%80%D0%B0%D1%82%D0%B0%21%201988%20%D1%84%D0%B8%D0%BB%D1%8C%D0%BC","искать")</f>
        <v/>
      </c>
      <c r="N6821" s="3" t="n"/>
      <c r="O6821" s="2" t="n"/>
      <c r="P6821" s="2" t="n"/>
    </row>
    <row r="6822">
      <c r="A6822" s="2" t="n">
        <v>6821</v>
      </c>
      <c r="B6822" s="2" t="inlineStr"/>
      <c r="C6822" s="2" t="n">
        <v>11233</v>
      </c>
      <c r="D6822" s="3" t="inlineStr">
        <is>
          <t>Холопы</t>
        </is>
      </c>
      <c r="E6822" s="2" t="n">
        <v>1988</v>
      </c>
      <c r="F6822" s="2" t="inlineStr">
        <is>
          <t>фильм-спектакль</t>
        </is>
      </c>
      <c r="G6822" s="2" t="inlineStr">
        <is>
          <t>ТО "Экран"</t>
        </is>
      </c>
      <c r="H6822" s="2" t="n">
        <v>1261</v>
      </c>
      <c r="I6822" s="2" t="inlineStr"/>
      <c r="J6822" s="2" t="inlineStr"/>
      <c r="K6822" s="3" t="inlineStr">
        <is>
          <t>Действие происходит в 1801 году, пять картин из хроники семьи князей Плавутиных-Плавунцовых, живущей в Петербурге при дворе императора Павла I.
Первая и третья картины — в доме княжны Плавутиной-Плавунцовой, в Петербурге; вторая — в доме сенатского чиновника Веточкина, на Фонтанке; четвёртая — в «Эрмите», близ загородной дачи княжны; пятая — на даче.
Старая княжна Плавутина-Плавунцова прикована к креслу; у неё паралич; слуги возят её по комнатам. Из слов дворецкого выясняется, что она вовсе не больна, она сама обрекла себя на неподвижность из-за нежелания подчиняться самодурным распоряжениям Павла I, требовавшего на улицах выходить из экипажа при встрече императора. В её душе живёт жестокая обида на императора, пытавшегося её унизить, а теперь вынудившего не подниматься с кресел. В таком состоянии княжна с повышенной чуткостью воспринимает обиды других.
Автор показывает холопов в раззолоченных мундирах и наследственных рабов-крепостных. Взята эпоха наиболее характерная и мрачная — последние дни царствования императора Павла I. Развивая несколько занимательных сюжетных линий, сочетая юмор и мелодраматизм, автор через частную жизнь одной семьи обличает холопство во всех его видах (хотя сатирой пьеса не является, характеры героев неоднозначны).</t>
        </is>
      </c>
      <c r="L6822" s="2" t="inlineStr">
        <is>
          <t>https://ru.wikipedia.org/w/index.php?title=%D0%A5%D0%BE%D0%BB%D0%BE%D0%BF%D1%8B_%28%D1%82%D0%B5%D0%BB%D0%B5%D1%81%D0%BF%D0%B5%D0%BA%D1%82%D0%B0%D0%BA%D0%BB%D1%8C%29&amp;oldid=149106746</t>
        </is>
      </c>
      <c r="M6822" s="2">
        <f>HYPERLINK("https://ru.wikipedia.org/w/index.php?search=%D0%A5%D0%BE%D0%BB%D0%BE%D0%BF%D1%8B%201988%20%D1%84%D0%B8%D0%BB%D1%8C%D0%BC","искать")</f>
        <v/>
      </c>
      <c r="N6822" s="3" t="n"/>
      <c r="O6822" s="2" t="n"/>
      <c r="P6822" s="2" t="n"/>
    </row>
    <row r="6823">
      <c r="A6823" s="2" t="n">
        <v>6822</v>
      </c>
      <c r="B6823" s="2" t="inlineStr"/>
      <c r="C6823" s="2" t="n">
        <v>8546</v>
      </c>
      <c r="D6823" s="3" t="inlineStr">
        <is>
          <t>Человек в проходном дворе</t>
        </is>
      </c>
      <c r="E6823" s="2" t="n">
        <v>1971</v>
      </c>
      <c r="F6823" s="2" t="inlineStr">
        <is>
          <t>телефильм</t>
        </is>
      </c>
      <c r="G6823" s="2" t="n"/>
      <c r="H6823" s="2" t="n">
        <v>1262</v>
      </c>
      <c r="I6823" s="2" t="inlineStr"/>
      <c r="J6823" s="2" t="inlineStr"/>
      <c r="K6823" s="3" t="inlineStr">
        <is>
          <t>В небольшом прибалтийском курортном городе убили бывшего советского партизана Григория Михайловича Юшкова, приехавшего на отдых. Его ударили по голове кастетом в проходном дворе. Выясняется, что убийство связано с гибелью партизанского отряда и советских подпольщиков в 1944 году. Их выдал гитлеровцам по кличке «Кентавр».
Расследование ведёт местное управление КГБ. Для оказания помощи следствию из Москвы направляется старший лейтенант госбезопасности Борис Вараксин. Поскольку в городе его никто не знает, он может действовать, не раскрывая себя. Под видом студента, который хочет подработать матросом на рыболовном судне в сельдяной экспедиции, Вараксин поселяется в гостинице «Endla» в трёхместном номере, где перед убийством проживал погибший. Он знакомится с людьми, которые были так или иначе связаны с Юшковым, и проверяет их на причастность к убийству. Отработав несколько версий, Вараксин вычисляет убийцу.
«Кентавр», оставшись жить в этом же городе после войны, работал водителем пригородного автобуса, и Юшков узнал его. «Кентавра» берут с поличным в момент, когда в том же проходном дворе он пытается убить другого разоблачившего его человека — моряка Войтина. Попутно сотрудники госбезопасности изобличают местную шайку расхитителей и спекулянтов.</t>
        </is>
      </c>
      <c r="L6823" s="2" t="inlineStr">
        <is>
          <t>https://ru.wikipedia.org/w/index.php?title=%D0%A7%D0%B5%D0%BB%D0%BE%D0%B2%D0%B5%D0%BA_%D0%B2_%D0%BF%D1%80%D0%BE%D1%85%D0%BE%D0%B4%D0%BD%D0%BE%D0%BC_%D0%B4%D0%B2%D0%BE%D1%80%D0%B5&amp;oldid=153796167</t>
        </is>
      </c>
      <c r="M6823" s="2">
        <f>HYPERLINK("https://ru.wikipedia.org/w/index.php?search=%D0%A7%D0%B5%D0%BB%D0%BE%D0%B2%D0%B5%D0%BA%20%D0%B2%20%D0%BF%D1%80%D0%BE%D1%85%D0%BE%D0%B4%D0%BD%D0%BE%D0%BC%20%D0%B4%D0%B2%D0%BE%D1%80%D0%B5%201971%20%D1%84%D0%B8%D0%BB%D1%8C%D0%BC","искать")</f>
        <v/>
      </c>
      <c r="N6823" s="3" t="n"/>
      <c r="O6823" s="2" t="n"/>
      <c r="P6823" s="2" t="n"/>
    </row>
    <row r="6824">
      <c r="A6824" s="2" t="n">
        <v>6823</v>
      </c>
      <c r="B6824" s="2" t="inlineStr"/>
      <c r="C6824" s="2" t="n">
        <v>9406</v>
      </c>
      <c r="D6824" s="3" t="inlineStr">
        <is>
          <t>Камышовый рай</t>
        </is>
      </c>
      <c r="E6824" s="2" t="n">
        <v>1989</v>
      </c>
      <c r="F6824" s="2" t="inlineStr">
        <is>
          <t>кинофильм</t>
        </is>
      </c>
      <c r="G6824" s="2" t="inlineStr">
        <is>
          <t>Мосфильм, творческое объединение «Старт»</t>
        </is>
      </c>
      <c r="H6824" s="2" t="n">
        <v>1268</v>
      </c>
      <c r="I6824" s="2" t="inlineStr"/>
      <c r="J6824" s="2" t="inlineStr"/>
      <c r="K6824" s="3" t="inlineStr">
        <is>
          <t>Молодой бродяга Кеша Бобров по кличке «Бобёр», бывший ленинградец, неожиданно попадает в подпольный трудовой лагерь в казахстанской степи, где бомжей и деградантов с утра до вечера заставляют рубить тростник. Начальником лагеря оказывается знакомый Кеши Сыра-Пыра, который предлагает старому знакомому стать одним из охранников, но Бобёр вместо этого пытается бежать. Его отправляют к работягам.
Помимо бесконечного труда под палящим солнцем, для работников разработана система наказаний в виде лишения той или другой порции воды. Бомжа Профессора, укравшего пачку сигарет, заставляют её съесть. Однажды работяга Назыр падает с высоты и ломает ногу. Бомжи считают, что его отвозят в больницу, но спустя несколько дней его чётки видят у одного из охранников.
Профессору удаётся сбежать и добраться до милиции, но выясняется, что органы власти знают о подпольном лагере. Сотрудник милиции извещает Сыра-Пыра о находке беглеца. Беглеца возвращают в лагерь и жестоко избивают, после чего он умирает. Через какое-то время Кеша и его новый друг Витёк Зайцев устраивают бунт и убивают охранников. Бомжи отказываются покидать разработки и даже пытаются схватить бунтарей, однако Бобёр и двое его товарищей, вооружённые автоматами, уходят. Теперь им предстоит схватка с жаждой.</t>
        </is>
      </c>
      <c r="L6824" s="2" t="inlineStr">
        <is>
          <t>https://ru.wikipedia.org/w/index.php?title=%D0%9A%D0%B0%D0%BC%D1%8B%D1%88%D0%BE%D0%B2%D1%8B%D0%B9_%D1%80%D0%B0%D0%B9&amp;oldid=153350213</t>
        </is>
      </c>
      <c r="M6824" s="2">
        <f>HYPERLINK("https://ru.wikipedia.org/w/index.php?search=%D0%9A%D0%B0%D0%BC%D1%8B%D1%88%D0%BE%D0%B2%D1%8B%D0%B9%20%D1%80%D0%B0%D0%B9%201989%20%D1%84%D0%B8%D0%BB%D1%8C%D0%BC","искать")</f>
        <v/>
      </c>
      <c r="N6824" s="3" t="n"/>
      <c r="O6824" s="2" t="n"/>
      <c r="P6824" s="2" t="n"/>
    </row>
    <row r="6825">
      <c r="A6825" s="2" t="n">
        <v>6824</v>
      </c>
      <c r="B6825" s="2" t="inlineStr"/>
      <c r="C6825" s="2" t="n">
        <v>7424</v>
      </c>
      <c r="D6825" s="3" t="inlineStr">
        <is>
          <t>Выше Радуги</t>
        </is>
      </c>
      <c r="E6825" s="2" t="n">
        <v>1986</v>
      </c>
      <c r="F6825" s="2" t="inlineStr">
        <is>
          <t>телефильм</t>
        </is>
      </c>
      <c r="G6825" s="2" t="inlineStr">
        <is>
          <t>Одесская к/с</t>
        </is>
      </c>
      <c r="H6825" s="2" t="n">
        <v>1270</v>
      </c>
      <c r="I6825" s="2" t="inlineStr"/>
      <c r="J6825" s="2" t="inlineStr"/>
      <c r="K6825" s="3" t="inlineStr">
        <is>
          <t>Мальчик по имени Алик (Александр) Радуга — обладатель недюжинного воображения, мечтатель, сочиняет стихи и песни. В школе он уделяет много времени литературе, но по физкультуре у него плохие результаты.
Однажды силой своего воображения он освобождает из плена волшебницу Сирену, и она в благодарность исполняет его желание: теперь Алик может лучше всех прыгать в высоту. Только чудо имеет одно условие — Алик теперь не может соврать ни единого слова. В другой раз, гуляя по лесу, Алик находит и освобождает из плена другого сказочного персонажа — Ивана Ивановича, известного как Иван-дурак. Он тоже может подарить своему спасителю исполнение одного желания, но при этом ему придётся исчезнуть, а мальчику этого не хочется. Наоборот, он сам помогает во всём Ивану Ивановичу, исполняя его порой странные желания.
На уроке физкультуры Алик демонстрирует свой новый дар, и его отправляют на школьные соревнования. Он прыгает на 1 метр 95 сантиметров в высоту и занимает первое место.
Только Радуга недолго наслаждается своим даром. Взяв на себя вину подруги Даши, он врёт, и Сирена лишает его чудесных способностей. Теперь Алику предстоит выступать на городских соревнованиях, полагаясь только на собственные силы. Однако упорными тренировками он добивается подлинных побед.</t>
        </is>
      </c>
      <c r="L6825" s="2" t="inlineStr">
        <is>
          <t>https://ru.wikipedia.org/w/index.php?title=%D0%92%D1%8B%D1%88%D0%B5_%D0%A0%D0%B0%D0%B4%D1%83%D0%B3%D0%B8&amp;oldid=154922100</t>
        </is>
      </c>
      <c r="M6825" s="2">
        <f>HYPERLINK("https://ru.wikipedia.org/w/index.php?search=%D0%92%D1%8B%D1%88%D0%B5%20%D0%A0%D0%B0%D0%B4%D1%83%D0%B3%D0%B8%201986%20%D1%84%D0%B8%D0%BB%D1%8C%D0%BC","искать")</f>
        <v/>
      </c>
      <c r="N6825" s="3" t="n"/>
      <c r="O6825" s="2" t="n"/>
      <c r="P6825" s="2" t="n"/>
    </row>
    <row r="6826">
      <c r="A6826" s="2" t="n">
        <v>6825</v>
      </c>
      <c r="B6826" s="2" t="inlineStr"/>
      <c r="C6826" s="2" t="n">
        <v>10264</v>
      </c>
      <c r="D6826" s="3" t="inlineStr">
        <is>
          <t>Перед бурей</t>
        </is>
      </c>
      <c r="E6826" s="2" t="n">
        <v>1968</v>
      </c>
      <c r="F6826" s="2" t="inlineStr">
        <is>
          <t>фильм-спектакль</t>
        </is>
      </c>
      <c r="G6826" s="2" t="inlineStr">
        <is>
          <t>Лентелефильм</t>
        </is>
      </c>
      <c r="H6826" s="2" t="n">
        <v>1277</v>
      </c>
      <c r="I6826" s="2" t="inlineStr"/>
      <c r="J6826" s="2" t="inlineStr"/>
      <c r="K6826" s="3" t="inlineStr">
        <is>
          <t>Фильм-спектакль по пьесе А.М.Горького “Последние”.
Действие фильма происходит между двумя революциями – 1905 и 1917 г. В семье братьев Коломийцевых, разорившихся дворян, нет согласия. Старший брат Яков смертельно болен. Младший – Иван, жандармский полковник, - вконец запутался, и не знает, как выйти из создавшегося в семье положения. Совсем недавно в него стреляли, но в полиции он ошибочно указал не на того человека. Мать подозреваемого взывает о справедливости, но Иван отказывает из боязни потерять место. Он не знает, как ему быть с больной женой, которая, как он случайно узнает, всю жизнь любит его старшего брата. Не знает, как ему справиться с неприкаянными детьми. Старший сын Александр – лентяй и картежник. Старшая дочь Надежда – личность пустая и жадная. Другая дочь, горбунья Люба, больна, и вообще – дочь его собственной жены и брата Якова. Младшая - Вера, юна, и, с его точки зрения, ничего не смыслит в жизни, но не желает подчиниться его воле и выйти замуж по расчету. Младший - Петр живет своей, неподвластной и непонятной ему жизнью. Он не постигает того, что происходит в стране. Приближающаяся революция грозит превратить привычную для него жизнь в хаос. Внезапная смерть брата ставит заключительную точку: Петр делает свой выбор – уходит к большевикам.</t>
        </is>
      </c>
      <c r="L6826" s="2" t="inlineStr">
        <is>
          <t>https://www.kino-teatr.ru/teatr/movie/9939/annot/</t>
        </is>
      </c>
      <c r="M6826" s="2">
        <f>HYPERLINK("https://ru.wikipedia.org/w/index.php?search=%D0%9F%D0%B5%D1%80%D0%B5%D0%B4%20%D0%B1%D1%83%D1%80%D0%B5%D0%B9%201968%20%D1%84%D0%B8%D0%BB%D1%8C%D0%BC","искать")</f>
        <v/>
      </c>
      <c r="N6826" s="3" t="n"/>
      <c r="O6826" s="2" t="n"/>
      <c r="P6826" s="2" t="n"/>
    </row>
    <row r="6827">
      <c r="A6827" s="2" t="n">
        <v>6826</v>
      </c>
      <c r="B6827" s="2" t="inlineStr"/>
      <c r="C6827" s="2" t="n">
        <v>9802</v>
      </c>
      <c r="D6827" s="3" t="inlineStr">
        <is>
          <t>Чужая жена и муж под кроватью</t>
        </is>
      </c>
      <c r="E6827" s="2" t="n">
        <v>1984</v>
      </c>
      <c r="F6827" s="2" t="inlineStr">
        <is>
          <t>кинофильм</t>
        </is>
      </c>
      <c r="G6827" s="2" t="inlineStr">
        <is>
          <t>ЛЕНФИЛЬМ</t>
        </is>
      </c>
      <c r="H6827" s="2" t="n">
        <v>1279</v>
      </c>
      <c r="I6827" s="2" t="inlineStr"/>
      <c r="J6827" s="2" t="inlineStr"/>
      <c r="K6827" s="3" t="inlineStr">
        <is>
          <t>Иван Андреевич, человек почтенного возраста, собирается отметить годовщину свадьбы со своей молодой женой Глафирой Петровной. Но дома он, к своему ужасу, её не застал. Приревновав супругу, Иван Андреевич кидается её искать по всему городу и наконец выслеживает Глафиру в театре, однако та успевает от него ускользнуть.
Во время представления в руки Ивана Андреевича попадает записка жены, в которой она назначила встречу неизвестному лицу, и обманутый муж спешит туда. Там он встречается с молодым человеком по фамилии Творогов. Он пытается у него выяснить, куда ушла девушка, нелепо объясняя, что он якобы друг её ревнивого мужа, который попросил его следить за ней. Творогов отвечает, что не видел её, хотя на самом деле он ждал именно Глафиру. Иван Андреевич заподозрил в лице Творогова любовника жены, а тот, в свою очередь, догадался, что перед ним стоит её муж.
Узнав, в каком доме находилась Глафира, оба мужчины входят туда и устраивают словесную перепалку на лестничной площадке. Тут их спрашивает время какой-то незнакомец и идёт наверх. Обезумевший от ревности Иван Андреевич мчится за ним и попадает в квартиру, в которой застаёт совсем чужую женщину. Иван Андреевич собрался было уйти, как вдруг женщина засовывает его под кровать, опасаясь своего престарелого мужа.</t>
        </is>
      </c>
      <c r="L6827" s="2" t="inlineStr">
        <is>
          <t>https://ru.wikipedia.org/w/index.php?title=%D0%A7%D1%83%D0%B6%D0%B0%D1%8F_%D0%B6%D0%B5%D0%BD%D0%B0_%D0%B8_%D0%BC%D1%83%D0%B6_%D0%BF%D0%BE%D0%B4_%D0%BA%D1%80%D0%BE%D0%B2%D0%B0%D1%82%D1%8C%D1%8E_%28%D1%84%D0%B8%D0%BB%D1%8C%D0%BC%29&amp;oldid=154919393</t>
        </is>
      </c>
      <c r="M6827" s="2">
        <f>HYPERLINK("https://ru.wikipedia.org/w/index.php?search=%D0%A7%D1%83%D0%B6%D0%B0%D1%8F%20%D0%B6%D0%B5%D0%BD%D0%B0%20%D0%B8%20%D0%BC%D1%83%D0%B6%20%D0%BF%D0%BE%D0%B4%20%D0%BA%D1%80%D0%BE%D0%B2%D0%B0%D1%82%D1%8C%D1%8E%201984%20%D1%84%D0%B8%D0%BB%D1%8C%D0%BC","искать")</f>
        <v/>
      </c>
      <c r="N6827" s="3" t="n"/>
      <c r="O6827" s="2" t="n"/>
      <c r="P6827" s="2" t="n"/>
    </row>
    <row r="6828">
      <c r="A6828" s="2" t="n">
        <v>6827</v>
      </c>
      <c r="B6828" s="2" t="inlineStr"/>
      <c r="C6828" s="2" t="n">
        <v>11488</v>
      </c>
      <c r="D6828" s="3" t="inlineStr">
        <is>
          <t>Русалочка</t>
        </is>
      </c>
      <c r="E6828" s="2" t="n">
        <v>1968</v>
      </c>
      <c r="F6828" s="2" t="inlineStr">
        <is>
          <t>мультфильм</t>
        </is>
      </c>
      <c r="G6828" s="2" t="inlineStr">
        <is>
          <t>Союзмультфильм</t>
        </is>
      </c>
      <c r="H6828" s="2" t="n">
        <v>1281</v>
      </c>
      <c r="I6828" s="2" t="inlineStr"/>
      <c r="J6828" s="2" t="inlineStr"/>
      <c r="K6828" s="3" t="inlineStr">
        <is>
          <t>По мотивам одноименной сказки Ганса-Христиана Анднрсена. Случилось это давно. Однажды юная Русалочка выплыла наверх посмотреть землю и увидела молодого принца, мужественно борющегося с ураганом. Русалочка спасает полюбившегося ей юношу и своим прелестный голоском поет ему колыбельную. Но, испугавшись появившихся монашек, ныряет в море. А Принц, очнувшись, принимает одну из монашек за свою спасительницу. Бедная же Русалочка уже не может жить без любви к Принцу и просит старую ведьму превратить ее в земную девушку. Ведьма отговаривает Русалочку - ведь она лишится своего прелестного голоса, а если ее любимый женится на другой, то сердце Русалочки разорвется и она превратится в морскую пену. На все согласна Русалочка, лишь бы быть рядом с любимым...И вот они встретились - Русалочка и Принц. Но отец-король решил женить сына на принцессе, на той самой монашке, что нашла его на берегу. Принц верит, что это и есть его спасительница, и согласен жениться. Бедная Русалочка должна погибнуть. Чтоб спасти подругу русалки дарят ей волшебную раковину, с помощью которой она может погубить Принца и его избранницу. Но Русалочка любит юного Принца и не может причинить ему зла. Она бросает раковину в море и превращается в морскую пену, и только прелестный голосок звучит над волнами</t>
        </is>
      </c>
      <c r="L6828" s="2" t="inlineStr">
        <is>
          <t>https://gosfilmofond.ru/films/254714/</t>
        </is>
      </c>
      <c r="M6828" s="2">
        <f>HYPERLINK("https://ru.wikipedia.org/w/index.php?search=%D0%A0%D1%83%D1%81%D0%B0%D0%BB%D0%BE%D1%87%D0%BA%D0%B0%201968%20%D1%84%D0%B8%D0%BB%D1%8C%D0%BC","искать")</f>
        <v/>
      </c>
      <c r="N6828" s="3" t="n"/>
      <c r="O6828" s="2" t="n"/>
      <c r="P6828" s="2" t="n"/>
    </row>
    <row r="6829">
      <c r="A6829" s="2" t="n">
        <v>6828</v>
      </c>
      <c r="B6829" s="2" t="inlineStr"/>
      <c r="C6829" s="2" t="n">
        <v>10741</v>
      </c>
      <c r="D6829" s="3" t="inlineStr">
        <is>
          <t>Диалоги</t>
        </is>
      </c>
      <c r="E6829" s="2" t="n">
        <v>1978</v>
      </c>
      <c r="F6829" s="2" t="inlineStr">
        <is>
          <t>фильм-спектакль</t>
        </is>
      </c>
      <c r="G6829" s="2" t="inlineStr">
        <is>
          <t>Центральное телевидение</t>
        </is>
      </c>
      <c r="H6829" s="2" t="n">
        <v>1284</v>
      </c>
      <c r="I6829" s="2" t="inlineStr"/>
      <c r="J6829" s="2" t="inlineStr"/>
      <c r="K6829" s="3" t="inlineStr">
        <is>
          <t>По одноименной пьесе Диаса Валеева в постановке Московского драматического театра имени М.Н. Ермоловой.
В основе пьесы - конфликт, вызванный введением в действие крупного производственного комплекса, который стал убыточным из-за несовершенства его проекта. Спектакль построен на беседах и диалогах. Разговор идет о прошлом, настоящем и будущем. Ведут диалог крупные инженеры, администраторы, дельцы делового мира. Дело этих людей - работать головой. Их задача – соображать, знать, решать вопросы на уровне мирового стандарта и ближайшего будущего. Они командуют сотнями рабочих, специалистов разных степеней, отвечают за мировой уровень продукции, а также и за детские ясли. На сцене, перед зрителем, один из них - Александр Громких, уже второй за два года генеральный директор комплекса заводов. Ему приходится расхлебывать кашу, заваренную его же коллегами. Ему ясно, что заводы как целое заложены ниже возможностей страны, без расчета на будущее. Но люди повыше его по служебной лестнице советуют, настаивают, угрожают - хотят, чтобы было все по прежнему: тихо, мирно и, в конце концов - плохо. Александр Громких внешне спокоен, кажется, даже доволен, но чувствуется, что спокойствие это маска, он в тревоге, и он ищет, ищет единственный правильный выход из создавшегося положения.</t>
        </is>
      </c>
      <c r="L6829" s="2" t="inlineStr">
        <is>
          <t>https://www.kino-teatr.ru/teatr/movie/93006/annot/</t>
        </is>
      </c>
      <c r="M6829" s="2">
        <f>HYPERLINK("https://ru.wikipedia.org/w/index.php?search=%D0%94%D0%B8%D0%B0%D0%BB%D0%BE%D0%B3%D0%B8%201978%20%D1%84%D0%B8%D0%BB%D1%8C%D0%BC","искать")</f>
        <v/>
      </c>
      <c r="N6829" s="3" t="n"/>
      <c r="O6829" s="2" t="n"/>
      <c r="P6829" s="2" t="n"/>
    </row>
    <row r="6830">
      <c r="A6830" s="2" t="n">
        <v>6829</v>
      </c>
      <c r="B6830" s="2" t="inlineStr"/>
      <c r="C6830" s="2" t="n">
        <v>9550</v>
      </c>
      <c r="D6830" s="3" t="inlineStr">
        <is>
          <t>Пилоты</t>
        </is>
      </c>
      <c r="E6830" s="2" t="n">
        <v>1988</v>
      </c>
      <c r="F6830" s="2" t="inlineStr">
        <is>
          <t>кинофильм</t>
        </is>
      </c>
      <c r="G6830" s="2" t="n"/>
      <c r="H6830" s="2" t="n">
        <v>1288</v>
      </c>
      <c r="I6830" s="2" t="inlineStr"/>
      <c r="J6830" s="2" t="inlineStr"/>
      <c r="K6830" s="3" t="inlineStr">
        <is>
          <t>Последние месяцы Второй Мировой войны. В числе европейских стран, объединившихся в борьбе против фашизма, к патриотическому движению присоединяется и Чехословакия. Сформирована первая летная чехословацкая дивизия. Пилоты боевого звена, которым командует летчик-истребитель Ян Трейбал, люди самые разные: Алексей Лежнев, советский инструктор эскадрильи; Карол Галай, отличный летчик и «покоритель женских сердец»; подпоручик Мартин Габриэль, мечтающий после войны стать поваром. В
полк прибывает молоденький подпоручик Томек Яндак. Привозит его Алена — военнослужащая хозяйственного обеспечения полка. Юноша сразу проникается к девушке глубокой симпатией, хотя она
первое время не отвечает ему взаимностью. Потеряв на войне двух своих друзей, девушка считает, что любовь во время войны невозможна. Поначалу командир недоверчиво относится к новоиспеченному летчику. Но во время первого же боевого вылета Томек сбивает вражеский самолет. Командир доверяет молодому пилоту новую боевую машину. Один за другим погибают летчики-истребители. В одном из боев за Чехословакию погибает и сам командир Трейбал, направив свой подбитый самолет на вражеский дзот. После окончания войны боевые друзья Яна приезжают к его матери, чтобы отдать последнюю дань памяти и уважения своему товарищу и командиру.</t>
        </is>
      </c>
      <c r="L6830" s="2" t="inlineStr">
        <is>
          <t>https://gosfilmofond.ru/films/240371/</t>
        </is>
      </c>
      <c r="M6830" s="2">
        <f>HYPERLINK("https://ru.wikipedia.org/w/index.php?search=%D0%9F%D0%B8%D0%BB%D0%BE%D1%82%D1%8B%201988%20%D1%84%D0%B8%D0%BB%D1%8C%D0%BC","искать")</f>
        <v/>
      </c>
      <c r="N6830" s="3" t="n"/>
      <c r="O6830" s="2" t="n"/>
      <c r="P6830" s="2" t="n"/>
    </row>
    <row r="6831">
      <c r="A6831" s="2" t="n">
        <v>6830</v>
      </c>
      <c r="B6831" s="2" t="inlineStr"/>
      <c r="C6831" s="2" t="n">
        <v>9789</v>
      </c>
      <c r="D6831" s="3" t="inlineStr">
        <is>
          <t>ЧП. Чрезвычайное происшествие</t>
        </is>
      </c>
      <c r="E6831" s="2" t="n">
        <v>1958</v>
      </c>
      <c r="F6831" s="2" t="inlineStr">
        <is>
          <t>телефильм</t>
        </is>
      </c>
      <c r="G6831" s="2" t="inlineStr">
        <is>
          <t>К/ст им.Горького, к/ст им.Довженко</t>
        </is>
      </c>
      <c r="H6831" s="2" t="n">
        <v>1290</v>
      </c>
      <c r="I6831" s="2" t="inlineStr"/>
      <c r="J6831" s="2" t="inlineStr"/>
      <c r="K6831" s="3" t="inlineStr">
        <is>
          <t>В июне 1954 года в нейтральных водах близ острова Тайвань чанкайшистами был пиратски захвачен советский танкер "Туапсе". Отважные моряки мужественно проходят через все пытки азиатских тюрьм, ужасы допросов "третьей степени" и изощрённые провокации. Лишь через 13 месяцев советскому правительству удалось добиться возвращения большинства измученных неволей, но не сломленных моряков. Эти факты и стали основой фильма.
...Танкер "Полтава", следовавший с керосином в Китай, захвачен чанкайшистами. При этом моторист Райский (Вячеслав Тихонов) случайно ранил одного из солдат. Танкер с экипажем был доставлен на Тайвань, где всех стали уговаривать добровольно перейти на сторону "подлинной свободы и демократии", обращаясь исключительно хорошо: поселили на роскошной вилле, поили, кормили. Когда уговоры не подействовали, в ход пустили совсем другие меры: концлагерь, лишения. Далее были героические приключения. Одни вернулись на Родину через несколько месяцев, другие только через годы, а некоторые не вернулись вовсе.
Сюжет фильма держит зрителя в напряжении от первого до последнего кадра. Редкую для себя характерную роль сыграл Вячеслав Тихонов - озорного и веселого парня из Одессы. Рассказ ведется от лица замполита экипажа в исполнении Михаила Кузнецова.
Лидер проката (1959, 1 место).</t>
        </is>
      </c>
      <c r="L6831" s="2" t="inlineStr">
        <is>
          <t>https://www.kino-teatr.ru/kino/movie/sov/7907/annot/</t>
        </is>
      </c>
      <c r="M6831" s="2">
        <f>HYPERLINK("https://ru.wikipedia.org/w/index.php?search=%D0%A7%D0%9F.%20%D0%A7%D1%80%D0%B5%D0%B7%D0%B2%D1%8B%D1%87%D0%B0%D0%B9%D0%BD%D0%BE%D0%B5%20%D0%BF%D1%80%D0%BE%D0%B8%D1%81%D1%88%D0%B5%D1%81%D1%82%D0%B2%D0%B8%D0%B5%201958%20%D1%84%D0%B8%D0%BB%D1%8C%D0%BC","искать")</f>
        <v/>
      </c>
      <c r="N6831" s="3" t="n"/>
      <c r="O6831" s="2" t="n"/>
      <c r="P6831" s="2" t="n"/>
    </row>
    <row r="6832">
      <c r="A6832" s="2" t="n">
        <v>6831</v>
      </c>
      <c r="B6832" s="2" t="inlineStr"/>
      <c r="C6832" s="2" t="n">
        <v>8859</v>
      </c>
      <c r="D6832" s="3" t="inlineStr">
        <is>
          <t>Набат</t>
        </is>
      </c>
      <c r="E6832" s="2" t="n">
        <v>1983</v>
      </c>
      <c r="F6832" s="2" t="inlineStr">
        <is>
          <t>кинофильм</t>
        </is>
      </c>
      <c r="G6832" s="2" t="n"/>
      <c r="H6832" s="2" t="n">
        <v>1293</v>
      </c>
      <c r="I6832" s="2" t="inlineStr"/>
      <c r="J6832" s="2" t="inlineStr"/>
      <c r="K6832" s="3" t="inlineStr">
        <is>
          <t>В фильме рассказывается о попытках террористов совершить угон самолёта Ту-134Б.
Первые минуты идёт документация о мерах безопасности, принимаемых «Аэрофлотом» против воздушных террористов. И только затем начинаются титры, а за ними — и сам фильм.
Всё начинается с того, что легкомысленная стюардесса Катя Васильчикова согласилась пронести на борт своего самолёта чемодан, где, по предварительной версии, находились коллекционные коньяки для летящих этим же рейсом молодожёнов Андрея и Тани. Таким образом стюардесса стала непреднамеренной пособницей террористов.
Сюжет фильма близок к боевику с элементами детектива. В фильме показывается, к чему приводит потеря бдительности работниками «Аэрофлота» (особенно преступная неосторожность стюардессы Кати), как надо действовать экипажу в экстремальной ситуации, как докладывать об обстановке на землю, на что обращать внимание при общении с террористами. Здесь и инструкция для пассажиров, а именно — к чему приводят попытки самостоятельно обезвредить угонщиков на примере гибели Валеры и Бориса, решивших не ждать помощи, а действовать самим. Заодно показано, как действуют по плану «Набат» наземные службы. Поскольку это кино в первую очередь предназначалось для лётных экипажей, то им внушалась мысль: не отчаивайтесь, держитесь, земля с вами.</t>
        </is>
      </c>
      <c r="L6832" s="2" t="inlineStr">
        <is>
          <t>https://ru.wikipedia.org/w/index.php?title=%D0%9D%D0%B0%D0%B1%D0%B0%D1%82_%28%D1%84%D0%B8%D0%BB%D1%8C%D0%BC%2C_1983%29&amp;oldid=154593210</t>
        </is>
      </c>
      <c r="M6832" s="2">
        <f>HYPERLINK("https://ru.wikipedia.org/w/index.php?search=%D0%9D%D0%B0%D0%B1%D0%B0%D1%82%201983%20%D1%84%D0%B8%D0%BB%D1%8C%D0%BC","искать")</f>
        <v/>
      </c>
      <c r="N6832" s="3" t="n"/>
      <c r="O6832" s="2" t="n"/>
      <c r="P6832" s="2" t="n"/>
    </row>
    <row r="6833">
      <c r="A6833" s="2" t="n">
        <v>6832</v>
      </c>
      <c r="B6833" s="2" t="inlineStr"/>
      <c r="C6833" s="2" t="n">
        <v>9440</v>
      </c>
      <c r="D6833" s="3" t="inlineStr">
        <is>
          <t>Криминальный квартет</t>
        </is>
      </c>
      <c r="E6833" s="2" t="n">
        <v>1989</v>
      </c>
      <c r="F6833" s="2" t="inlineStr">
        <is>
          <t>кинофильм</t>
        </is>
      </c>
      <c r="G6833" s="2" t="n"/>
      <c r="H6833" s="2" t="n">
        <v>1294</v>
      </c>
      <c r="I6833" s="2" t="inlineStr"/>
      <c r="J6833" s="2" t="inlineStr"/>
      <c r="K6833" s="3" t="inlineStr">
        <is>
          <t>Детдомовское детство прочно связало четверых друзей - Марата, Семена, Петра и Николая. Они всегда готовы прийти друг другу на помощь. На этот раз друзей призывает следователь Семен Портной. На торговой базе он обнаружил партию бракованной обуви, поступившей с местной фабрики. Но реакция на следственные мероприятия оказывается неожиданной. Неизвестные берут в заложники сына Портного, по телефону родителей предупреждают: если Семен не закроет «обувное» дело, ребенка убьют. Друзья Семена включаются в поиски. Скоро четверка понимает, что столкнулась не с простыми дельцами, а с настоящими «крестными отцами» городской мафии. Журналист Ларин, чтобы заставить местных мафиози хоть немного раскрыться, публикует заметку о ходе следствия. Бандиты похищают Николая, к счастью, ему удается убедить босса бандитов, что ничего сверх того, что написано в заметке, ему неизвестно. Журналиста отпускают. Тем временем один из мафиози хочет «заработать» тридцать тысяч, продав Семену информацию
о сыне. Он и становится той ниточкой, которая в конечном итоге приводит четверку к цели. Друзьям удается установить место встречи «крестных отцов» — это спорткомплекс «Динамо», затем они выясняют, что сына Семена держат в подвалах городских очистных сооружений. Они спасают парнишку. Главари мафии разоблачены.</t>
        </is>
      </c>
      <c r="L6833" s="2" t="inlineStr">
        <is>
          <t>https://gosfilmofond.ru/films/241837/</t>
        </is>
      </c>
      <c r="M6833" s="2">
        <f>HYPERLINK("https://ru.wikipedia.org/w/index.php?search=%D0%9A%D1%80%D0%B8%D0%BC%D0%B8%D0%BD%D0%B0%D0%BB%D1%8C%D0%BD%D1%8B%D0%B9%20%D0%BA%D0%B2%D0%B0%D1%80%D1%82%D0%B5%D1%82%201989%20%D1%84%D0%B8%D0%BB%D1%8C%D0%BC","искать")</f>
        <v/>
      </c>
      <c r="N6833" s="3" t="n"/>
      <c r="O6833" s="2" t="n"/>
      <c r="P6833" s="2" t="n"/>
    </row>
    <row r="6834">
      <c r="A6834" s="2" t="n">
        <v>6833</v>
      </c>
      <c r="B6834" s="2" t="inlineStr"/>
      <c r="C6834" s="2" t="n">
        <v>10062</v>
      </c>
      <c r="D6834" s="3" t="inlineStr">
        <is>
          <t>Пигмалион</t>
        </is>
      </c>
      <c r="E6834" s="2" t="n">
        <v>1955</v>
      </c>
      <c r="F6834" s="2" t="inlineStr">
        <is>
          <t>фильм-спектакль</t>
        </is>
      </c>
      <c r="G6834" s="2" t="inlineStr">
        <is>
          <t>Мосфильм</t>
        </is>
      </c>
      <c r="H6834" s="2" t="n">
        <v>1303</v>
      </c>
      <c r="I6834" s="2" t="inlineStr"/>
      <c r="J6834" s="2" t="inlineStr"/>
      <c r="K6834" s="3" t="inlineStr">
        <is>
          <t>Телефильм. Экранизация спектакля Малого театра по пьесе Бернарда Шоу "Пигмалион".
Профессор фонетики мистер Хиггинс (Михаил Царев) решил доказать, что сможет благодаря своим знаниям и педагогическому искусству превратить Элизу (Констанция Роек) - простую уличную цветочницу с ужасающей речью и манерами, в светскую даму и представить ее гостям как герцогиню.
Мать профессора играет великолепная, умная актриса - одна из трех великих старух Малого театра` - Евдокия Дмитриевна Турчанинова. Абсолютная англичанка, аристократка, которую мог написать только Шоу и никто другой. Действие третьего акта пьесы происходит в доме миссис Хиггинс. Наконец, Хиггинс решил устроить ученице первый экзамен: привез Элизу к своей матери в ее приемный день. У Турчаниновой в этой сцене не так много слов, но она умеет говорить и без слов одними глазами, и зритель совершенно безошибочно знает, о чем она в данный момент думает. Эта партитура мысли была разработана актрисой безукоризненно. Мисси Хиггинс выше всех остальных гостей: она первая и единственная в холодном и искусственном мире встала на защиту человека. Не случайно в минуту отчаяния Элиза придет к ней, к ироничной старой леди с добрыми и мудрыми глазами. Эта тончайшая актриса сумела передать парадоксальную манеру письма великого насмешника Бернарда Шоу.</t>
        </is>
      </c>
      <c r="L6834" s="2" t="inlineStr">
        <is>
          <t>https://www.kino-teatr.ru/teatr/movie/8787/annot/</t>
        </is>
      </c>
      <c r="M6834" s="2">
        <f>HYPERLINK("https://ru.wikipedia.org/w/index.php?search=%D0%9F%D0%B8%D0%B3%D0%BC%D0%B0%D0%BB%D0%B8%D0%BE%D0%BD%201955%20%D1%84%D0%B8%D0%BB%D1%8C%D0%BC","искать")</f>
        <v/>
      </c>
      <c r="N6834" s="3" t="n"/>
      <c r="O6834" s="2" t="n"/>
      <c r="P6834" s="2" t="n"/>
    </row>
    <row r="6835">
      <c r="A6835" s="2" t="n">
        <v>6834</v>
      </c>
      <c r="B6835" s="2" t="inlineStr"/>
      <c r="C6835" s="2" t="n">
        <v>9072</v>
      </c>
      <c r="D6835" s="3" t="inlineStr">
        <is>
          <t>Стервятники на дорогах</t>
        </is>
      </c>
      <c r="E6835" s="2" t="n">
        <v>1990</v>
      </c>
      <c r="F6835" s="2" t="inlineStr">
        <is>
          <t>кинофильм</t>
        </is>
      </c>
      <c r="G6835" s="2" t="n"/>
      <c r="H6835" s="2" t="n">
        <v>1307</v>
      </c>
      <c r="I6835" s="2" t="inlineStr"/>
      <c r="J6835" s="2" t="inlineStr"/>
      <c r="K6835" s="3" t="inlineStr">
        <is>
          <t>Александр и Анатолий работают водителями-дальнобойщиками в Минске на автомобилях МАЗ-6422 и МАЗ-64228 в фирме, которая занимается международными перевозками. Как настоящие друзья, они всегда друг другу помогают, что бы в дороге ни случилось.
Однажды Анатолию малознакомые люди предлагают доставить в ближайший населённый пункт колесо от ГАЗ-21/24. Судя по всему, в колесе спрятаны наркотики: Александр, имея нехорошее предчувствие и прошлый негативный опыт встречи с бандитами, пытается безуспешно отговорить друга принимать участие в этом деле, едва не ссорясь с ним. Когда Александр заехал в деревню в гости к своей однокашнице Маргарите, которая воспитывает ребёнка одна и работает проституткой на трассе под бандитской крышей, грабители заманили Анатолия в ловушку и убили его. В результате у беременной жены Анатолия, Ирины, случается истерика, а жена Александра (и сестра Анатолия), Татьяна, ссорится с ним и уходит от него. Александр пытается найти убийц друга и жестоко отомстить им, терпя издевательства хулиганов и бандитов, гибель подруги детства Маргариты от рук тех же бандитов и попустительство милиции. В конце концов ему это удаётся: на своём грузовике он преследует автомобили бандитов и уничтожает их многократными таранами, но в результате Александр становится разыскиваемым преступником.</t>
        </is>
      </c>
      <c r="L6835" s="2" t="inlineStr">
        <is>
          <t>https://ru.wikipedia.org/w/index.php?title=%D0%A1%D1%82%D0%B5%D1%80%D0%B2%D1%8F%D1%82%D0%BD%D0%B8%D0%BA%D0%B8_%D0%BD%D0%B0_%D0%B4%D0%BE%D1%80%D0%BE%D0%B3%D0%B0%D1%85&amp;oldid=150444878</t>
        </is>
      </c>
      <c r="M6835" s="2">
        <f>HYPERLINK("https://ru.wikipedia.org/w/index.php?search=%D0%A1%D1%82%D0%B5%D1%80%D0%B2%D1%8F%D1%82%D0%BD%D0%B8%D0%BA%D0%B8%20%D0%BD%D0%B0%20%D0%B4%D0%BE%D1%80%D0%BE%D0%B3%D0%B0%D1%85%201990%20%D1%84%D0%B8%D0%BB%D1%8C%D0%BC","искать")</f>
        <v/>
      </c>
      <c r="N6835" s="3" t="n"/>
      <c r="O6835" s="2" t="n"/>
      <c r="P6835" s="2" t="n"/>
    </row>
    <row r="6836">
      <c r="A6836" s="2" t="n">
        <v>6835</v>
      </c>
      <c r="B6836" s="2" t="inlineStr"/>
      <c r="C6836" s="2" t="n">
        <v>9820</v>
      </c>
      <c r="D6836" s="3" t="inlineStr">
        <is>
          <t>Карусель</t>
        </is>
      </c>
      <c r="E6836" s="2" t="n">
        <v>1962</v>
      </c>
      <c r="F6836" s="2" t="inlineStr">
        <is>
          <t>кинофильм</t>
        </is>
      </c>
      <c r="G6836" s="2" t="inlineStr">
        <is>
          <t>ВГИК</t>
        </is>
      </c>
      <c r="H6836" s="2" t="n">
        <v>1311</v>
      </c>
      <c r="I6836" s="2" t="inlineStr"/>
      <c r="J6836" s="2" t="inlineStr"/>
      <c r="K6836" s="3" t="inlineStr">
        <is>
          <t>Лирическая уличная зарисовка. Фильм фактически немой — есть уличные шумы, шум толпы, многоголосье в ускоренном темпе, говорят Он и Она, но вместо слов — щебетанье: так кино по выражению режиссёра становится «музыкой изображения».
В Москве наступает утро, улицы залиты солнцем. Вход в метро «Площадь революции», переулок Сивцев Вражек, ещё безлюдные улицы. Граждане выходят из своих домов и дружным строем направляются на работу. Так же дружно они пьют газированную воду из автоматов, покупают газеты, поднимаясь из подземного перехода входят в телефонные будки, в здания. Так пробуждается город.
В этом многолюдном городе в автобусе вдруг встречаются двое — Он и Она. Она выходит на остановке у Парка культуры и отдыха в Сокольниках. Он бежит за ней и видит, что Она села на карусель. Затем идёт за ней до института. Здесь пара разговаривает и идёт дальше вместе. Но в какой-то момент они случайно разминулись. Бегают в поисках, и не находят друг друга.
В ней ничего особенного не происходит. Но происходит много всего.
Он и Она. Открытые и гостеприимные объятия города, залитого солнцем. Это рай, в котором открыты все дороги — и дорога любви. Магическая сила кино — Он увидел Её. И перегляды, улыбки — чему? Безусловная эмоция, которая передается пантомимой. Она появляется в платье, на котором вышито сердце.</t>
        </is>
      </c>
      <c r="L6836" s="2" t="inlineStr">
        <is>
          <t>https://ru.wikipedia.org/w/index.php?title=%D0%9A%D0%B0%D1%80%D1%83%D1%81%D0%B5%D0%BB%D1%8C_%28%D1%84%D0%B8%D0%BB%D1%8C%D0%BC%2C_1962%29&amp;oldid=154696838</t>
        </is>
      </c>
      <c r="M6836" s="2">
        <f>HYPERLINK("https://ru.wikipedia.org/w/index.php?search=%D0%9A%D0%B0%D1%80%D1%83%D1%81%D0%B5%D0%BB%D1%8C%201962%20%D1%84%D0%B8%D0%BB%D1%8C%D0%BC","искать")</f>
        <v/>
      </c>
      <c r="N6836" s="3" t="n"/>
      <c r="O6836" s="2" t="n"/>
      <c r="P6836" s="2" t="n"/>
    </row>
    <row r="6837">
      <c r="A6837" s="2" t="n">
        <v>6836</v>
      </c>
      <c r="B6837" s="2" t="inlineStr"/>
      <c r="C6837" s="2" t="n">
        <v>8510</v>
      </c>
      <c r="D6837" s="3" t="inlineStr">
        <is>
          <t>Фантазии Фарятьева</t>
        </is>
      </c>
      <c r="E6837" s="2" t="n">
        <v>1979</v>
      </c>
      <c r="F6837" s="2" t="inlineStr">
        <is>
          <t>телефильм</t>
        </is>
      </c>
      <c r="G6837" s="2" t="n"/>
      <c r="H6837" s="2" t="n">
        <v>1312</v>
      </c>
      <c r="I6837" s="2" t="inlineStr"/>
      <c r="J6837" s="2" t="inlineStr"/>
      <c r="K6837" s="3" t="inlineStr">
        <is>
          <t>События фильма происходят в провинциальном советском городке. Главная героиня Александра, только что пережившая разрыв с любимым человеком (Бетхудовым), вынуждена зарабатывать частными музыкальными уроками. В её жизни появляется врач-стоматолог Павел Фарятьев, чудаковатый и неловкий человек. Он объясняется Александре в любви. Мать и младшая сестра Александры настаивают на том, что она должна выйти за него замуж, но она никак не может обрести душевное равновесие и решить, как жить дальше. Чувство к бывшему возлюбленному не отпускает её, да и новый поклонник не вызывает у неё особой симпатии. Но Павел поражает воображение Александры своими теориями о том, будто люди страдают от того, что являются потомками пришельцев из другого мира и мучительно ищут способ вернуться назад. Согласие на брак практически получено, но на следующий день Александру посещает тот, с кем она порвала. Забыв о Фарятьеве, Александра уходит с тем, кого любила раньше.
Пришедший Павел не застаёт её и вынужден вместе с сестрой Александры Любой обманывать мать, что дочь скоро придёт — у той больное сердце и она может не пережить вести, что дочь ушла с Бетхудовым, человеком, причинившим ей столько страданий. Фарятьев держится из последних сил — жизнь свою он считает рухнувшей и даже не слышит, как объясняется ему в любви Люба.</t>
        </is>
      </c>
      <c r="L6837" s="2" t="inlineStr">
        <is>
          <t>https://ru.wikipedia.org/w/index.php?title=%D0%A4%D0%B0%D0%BD%D1%82%D0%B0%D0%B7%D0%B8%D0%B8_%D0%A4%D0%B0%D1%80%D1%8F%D1%82%D1%8C%D0%B5%D0%B2%D0%B0_%28%D1%84%D0%B8%D0%BB%D1%8C%D0%BC%29&amp;oldid=154899963</t>
        </is>
      </c>
      <c r="M6837" s="2">
        <f>HYPERLINK("https://ru.wikipedia.org/w/index.php?search=%D0%A4%D0%B0%D0%BD%D1%82%D0%B0%D0%B7%D0%B8%D0%B8%20%D0%A4%D0%B0%D1%80%D1%8F%D1%82%D1%8C%D0%B5%D0%B2%D0%B0%201979%20%D1%84%D0%B8%D0%BB%D1%8C%D0%BC","искать")</f>
        <v/>
      </c>
      <c r="N6837" s="3" t="n"/>
      <c r="O6837" s="2" t="n"/>
      <c r="P6837" s="2" t="n"/>
    </row>
    <row r="6838">
      <c r="A6838" s="2" t="n">
        <v>6837</v>
      </c>
      <c r="B6838" s="2" t="inlineStr"/>
      <c r="C6838" s="2" t="n">
        <v>7694</v>
      </c>
      <c r="D6838" s="3" t="inlineStr">
        <is>
          <t>К расследованию приступить</t>
        </is>
      </c>
      <c r="E6838" s="2" t="n">
        <v>1986</v>
      </c>
      <c r="F6838" s="2" t="inlineStr">
        <is>
          <t>телефильм</t>
        </is>
      </c>
      <c r="G6838" s="2" t="inlineStr">
        <is>
          <t>к/с им. Довженко</t>
        </is>
      </c>
      <c r="H6838" s="2" t="n">
        <v>1329</v>
      </c>
      <c r="I6838" s="2" t="inlineStr"/>
      <c r="J6838" s="2" t="inlineStr"/>
      <c r="K6838" s="3" t="inlineStr">
        <is>
          <t>Несколько старых друзей — сотрудников прокуратуры и МВД СССР, которых судьба раскидала по разным республикам Союза, раз в год собираются вместе чтобы помянуть погибшего товарища и поделиться необычными делами из своей практики.
Фильм первый. «Версия».
Следователю по особо важным делам Стасенко попадает в разработку дело о пропаже крупной суммы денег и работника колхоза «Прогресс» Петра Царькова. Расследование показало, что в колхозе процветало подпольное производство поддельных фруктовых соков и производились бестоварные фиктивные операции при заготовке крупного рогатого скота. Царьков был только звеном в цепочке махинаций. При попытке скрыть хищения между мошенниками возникла ссора, которая закончилась смертью Царькова.
Фильм второй. «Клевета».
Руководитель строительного треста Владимир Мельников скончался от инфаркта. После смерти друзья покойного настаивают на проведении расследования. Оказывается, что на Мельникова одна за другой приходили анонимные жалобы о его якобы аморальном поведении и превышении служебных полномочий. В конце концов, после бесконечных проверок его сердце не выдержало постоянного стресса. Расследование, которое возглавил следователь Джангиров, показало, что автором анонимок был близкий друг покойного Мельникова, который после увольнения решил отомстить обидчику путём угроз и шантажа.</t>
        </is>
      </c>
      <c r="L6838" s="2" t="inlineStr">
        <is>
          <t>https://ru.wikipedia.org/w/index.php?title=%D0%9A_%D1%80%D0%B0%D1%81%D1%81%D0%BB%D0%B5%D0%B4%D0%BE%D0%B2%D0%B0%D0%BD%D0%B8%D1%8E_%D0%BF%D1%80%D0%B8%D1%81%D1%82%D1%83%D0%BF%D0%B8%D1%82%D1%8C&amp;oldid=149108084</t>
        </is>
      </c>
      <c r="M6838" s="2">
        <f>HYPERLINK("https://ru.wikipedia.org/w/index.php?search=%D0%9A%20%D1%80%D0%B0%D1%81%D1%81%D0%BB%D0%B5%D0%B4%D0%BE%D0%B2%D0%B0%D0%BD%D0%B8%D1%8E%20%D0%BF%D1%80%D0%B8%D1%81%D1%82%D1%83%D0%BF%D0%B8%D1%82%D1%8C%201986%20%D1%84%D0%B8%D0%BB%D1%8C%D0%BC","искать")</f>
        <v/>
      </c>
      <c r="N6838" s="3" t="n"/>
      <c r="O6838" s="2" t="n"/>
      <c r="P6838" s="2" t="n"/>
    </row>
    <row r="6839">
      <c r="A6839" s="2" t="n">
        <v>6838</v>
      </c>
      <c r="B6839" s="2" t="inlineStr"/>
      <c r="C6839" s="2" t="n">
        <v>8884</v>
      </c>
      <c r="D6839" s="3" t="inlineStr">
        <is>
          <t>О любви говорить не будем</t>
        </is>
      </c>
      <c r="E6839" s="2" t="n">
        <v>1988</v>
      </c>
      <c r="F6839" s="2" t="inlineStr">
        <is>
          <t>кинофильм</t>
        </is>
      </c>
      <c r="G6839" s="2" t="n"/>
      <c r="H6839" s="2" t="n">
        <v>1330</v>
      </c>
      <c r="I6839" s="2" t="inlineStr"/>
      <c r="J6839" s="2" t="inlineStr"/>
      <c r="K6839" s="3" t="inlineStr">
        <is>
          <t>По мотивам романа А. Колбергса «Под утро в автомобиле». Искренне любящие друг друга молодожены Бригита и Индулис в самом начале своей семейной жизни сталкиваются с массой проблем, о которых они прежде не задумывались. Сначала их со скандалом выгоняет сварливая хозяйка комнаты. Семья начинает скитаться по квартирам. Появляется малыш, и они поселяются в маленьком домике на участке одного афериста с тем условием, что супруги станут присматривать за огромными владениями хозяина. Индулис ездит на работу в Ригу, но семья еле-еле сводит концы с концами. Однажды их приглашает на вечеринку приятель Индулиса Фредис, который выгодно женился на дочери крупного чиновника и работает на престижном заводе «Фотон», где проворачивает всяческие денежные аферы и махинации. Бытовая неустроенность, нехватка денег и нерешительность Индулиса заставляет Бригиту устроиться на работу в «Фотон». Жизнь семьи сразу меняется, появляются и квартира, и деньги. Но всему приходит конец. Комиссия выявляет ряд краж на предприятии, а так как фальшивые накладные подписывала Бригита, ее осуждают на 6 лет. По окончании срока заключения оказывается, что ей некуда идти. Индулис за это время женился на другой женщине. Бывшие супруги договариваются о встрече. Во время свидания оба понимают, что по-прежнему любят друг друга, но сделать уже ничего нельзя.</t>
        </is>
      </c>
      <c r="L6839" s="2" t="inlineStr">
        <is>
          <t>https://gosfilmofond.ru/films/240250/</t>
        </is>
      </c>
      <c r="M6839" s="2">
        <f>HYPERLINK("https://ru.wikipedia.org/w/index.php?search=%D0%9E%20%D0%BB%D1%8E%D0%B1%D0%B2%D0%B8%20%D0%B3%D0%BE%D0%B2%D0%BE%D1%80%D0%B8%D1%82%D1%8C%20%D0%BD%D0%B5%20%D0%B1%D1%83%D0%B4%D0%B5%D0%BC%201988%20%D1%84%D0%B8%D0%BB%D1%8C%D0%BC","искать")</f>
        <v/>
      </c>
      <c r="N6839" s="3" t="n"/>
      <c r="O6839" s="2" t="n"/>
      <c r="P6839" s="2" t="n"/>
    </row>
    <row r="6840">
      <c r="A6840" s="2" t="n">
        <v>6839</v>
      </c>
      <c r="B6840" s="2" t="inlineStr"/>
      <c r="C6840" s="2" t="n">
        <v>10847</v>
      </c>
      <c r="D6840" s="3" t="inlineStr">
        <is>
          <t>Кардемон, город тружеников и разбойников</t>
        </is>
      </c>
      <c r="E6840" s="2" t="n">
        <v>1980</v>
      </c>
      <c r="F6840" s="2" t="inlineStr">
        <is>
          <t>фильм-спектакль</t>
        </is>
      </c>
      <c r="G6840" s="2" t="inlineStr">
        <is>
          <t>Эстонское телевидение (ETV)</t>
        </is>
      </c>
      <c r="H6840" s="2" t="n">
        <v>1333</v>
      </c>
      <c r="I6840" s="2" t="inlineStr"/>
      <c r="J6840" s="2" t="inlineStr"/>
      <c r="K6840" s="3" t="inlineStr">
        <is>
          <t>По сказке норвежского писателя Торбьерна Эгнера (1912-1990).
В одном очень своеобразном городке под названием Кардамон живут старый Тобиас, тетя Софи, Камомилла, Томми и добрый кордник Бастиан. В городе работают пекарь, колбасник, парикмахер и многие другие замечательные люди. Однако в старом доме за городом живут три добросердечных грабителя: Каспер, Джеспер и Джонатан.
Главный управляющий города Кардамона (он же — главный полицейский) Бастиан слишком мягкий, слишком жалостливый и слишком любит массовые гулянья. Поэтому у трех братьев-разбойников Каспера, Еспера и Юнатана, у которых есть лев, совершающих набеги на Кардамон, сытая и привольная жизнь. Отпор им никто дать не может.
В городе есть двухэтажный трамвай, который ездит по одному короткому маршруту, и кондуктор, который бесплатно угощает всех пассажиров пряниками. А ещё есть много праздников, многие из которых являются исключительно инициативой мэра. Кардамонцы крайне жизнерадостны по натуре, любят петь песенки, и даже собачки у них поют в своём собственном хоре.
Однажды разбойников посадили в тюрьму, но не подвергли мучениям, а отмыли, накормили и постригли. И тут выяснилось, что и у разбойников есть прошлое, и оно совершенно не связано с грабежами. В финале Каспер, Еспер и Юнатан стали самыми мирными людьми города: пожарным, пекарем и директором цирка.</t>
        </is>
      </c>
      <c r="L6840" s="2" t="inlineStr">
        <is>
          <t>https://www.kino-teatr.ru/teatr/movie/87733/annot/</t>
        </is>
      </c>
      <c r="M6840" s="2">
        <f>HYPERLINK("https://ru.wikipedia.org/w/index.php?search=%D0%9A%D0%B0%D1%80%D0%B4%D0%B5%D0%BC%D0%BE%D0%BD%2C%20%D0%B3%D0%BE%D1%80%D0%BE%D0%B4%20%D1%82%D1%80%D1%83%D0%B6%D0%B5%D0%BD%D0%B8%D0%BA%D0%BE%D0%B2%20%D0%B8%20%D1%80%D0%B0%D0%B7%D0%B1%D0%BE%D0%B9%D0%BD%D0%B8%D0%BA%D0%BE%D0%B2%201980%20%D1%84%D0%B8%D0%BB%D1%8C%D0%BC","искать")</f>
        <v/>
      </c>
      <c r="N6840" s="3" t="n"/>
      <c r="O6840" s="2" t="n"/>
      <c r="P6840" s="2" t="n"/>
    </row>
    <row r="6841">
      <c r="A6841" s="2" t="n">
        <v>6840</v>
      </c>
      <c r="B6841" s="2" t="inlineStr"/>
      <c r="C6841" s="2" t="n">
        <v>10950</v>
      </c>
      <c r="D6841" s="3" t="inlineStr">
        <is>
          <t>На краю бездны</t>
        </is>
      </c>
      <c r="E6841" s="2" t="n">
        <v>1982</v>
      </c>
      <c r="F6841" s="2" t="inlineStr">
        <is>
          <t>фильм-спектакль</t>
        </is>
      </c>
      <c r="G6841" s="2" t="inlineStr">
        <is>
          <t>Творческое объединение "Экран"</t>
        </is>
      </c>
      <c r="H6841" s="2" t="n">
        <v>1333</v>
      </c>
      <c r="I6841" s="2" t="inlineStr"/>
      <c r="J6841" s="2" t="inlineStr"/>
      <c r="K6841" s="3" t="inlineStr">
        <is>
          <t>По мотивам пьесы Фридриха Дюрренматта "Играем Стринберга" в постановке Московского театра имени М.Н. Ермоловой.
Мрачная башня на острове, окружённом бурным северным морем – уже само место действия вводит в атмосферу возвышенно-таинственную. В этой-то башне, в непосредственном соприкосновении со стихиями, и происходят бурные столкновения немолодой супружеской пары – капитана Эдгара и его жены Алисы. Любовь-ненависть этих людей привычна, они существуют в ней, как рыба в воде. Изо дня в день привычные подначки, оскорбления. Они не властны над своими поступками и чувствами и как будто сами постоянно удивляются себе. Жена ликует, видя мужа умирающим, хотя в глубине души она любит его. Вскоре появляется третий персонаж, дальний родственник и бывший поклонник Алисы – Курт. Он приезжает на остров разбогатевшим в Америке миллионером. Однако деньги заработаны отнюдь не честным путем. Чек на 50 тысяч, который интригами вымогает у него Эдгар, это лишь малая часть его состояния. И только что изменившая мужу Алиса с тем же остервенением хватается за эти деньги, когда понимает, что Курт не останется с ней.
Деньги! Деньги! Всё решают деньги. В этом аморальном мире душевной чуткости не хватает даже на заботу о самом близком человеке. «В большом мире, где я живу, всё обстоит ничуть не хуже; только масштабы другие» – говорит Курт.</t>
        </is>
      </c>
      <c r="L6841" s="2" t="inlineStr">
        <is>
          <t>https://www.kino-teatr.ru/teatr/movie/94512/annot/</t>
        </is>
      </c>
      <c r="M6841" s="2">
        <f>HYPERLINK("https://ru.wikipedia.org/w/index.php?search=%D0%9D%D0%B0%20%D0%BA%D1%80%D0%B0%D1%8E%20%D0%B1%D0%B5%D0%B7%D0%B4%D0%BD%D1%8B%201982%20%D1%84%D0%B8%D0%BB%D1%8C%D0%BC","искать")</f>
        <v/>
      </c>
      <c r="N6841" s="3" t="n"/>
      <c r="O6841" s="2" t="n"/>
      <c r="P6841" s="2" t="n"/>
    </row>
    <row r="6842">
      <c r="A6842" s="2" t="n">
        <v>6841</v>
      </c>
      <c r="B6842" s="2" t="inlineStr"/>
      <c r="C6842" s="2" t="n">
        <v>7628</v>
      </c>
      <c r="D6842" s="3" t="inlineStr">
        <is>
          <t>Запомните меня такой</t>
        </is>
      </c>
      <c r="E6842" s="2" t="n">
        <v>1987</v>
      </c>
      <c r="F6842" s="2" t="inlineStr">
        <is>
          <t>телефильм</t>
        </is>
      </c>
      <c r="G6842" s="2" t="n"/>
      <c r="H6842" s="2" t="n">
        <v>1337</v>
      </c>
      <c r="I6842" s="2" t="inlineStr"/>
      <c r="J6842" s="2" t="inlineStr"/>
      <c r="K6842" s="3" t="inlineStr">
        <is>
          <t>Фильм начинается с видов осеннего Ленинграда. Раннее утро, пустынные улицы. За кадром звучит «К Элизе» Бетховена и голос главного героя: «Я редко бываю теперь в Ленинграде. Мы далеко живём. И вот уже несколько лет как нет мамы. Многое изменилось с тех пор в нашей жизни, да и в жизни вообще. Но чем больше проходит времени, тем чаще я вспоминаю её, наши разговоры и тот наш последний приезд».
Несколько поколений одной семьи предстают перед нами в этой картине. В центре кинодрамы — Мария Ивановна (Ангелина Степанова) — убеждённая коммунистка, блокадница, которая волею судеб живёт в Ленинграде, с уже немолодой дочерью. Жизнь практически не изменила её принципов и убеждений.
На день рождения к ней в гости из Сибири прилетает сын с двумя своими жёнами (нынешней и предыдущей), дочерью и внуком. Однако праздник проходит не очень радостно: бабушка видит, насколько последнее поколение её семьи далеко от тех идеалов, которые разделяет она. В конце концов она с болью и гневом рассказывает о своей молодости, хлебе, сохраненном ею со времен блокады, и сокрушается, что не на кого оставить страну.
Финальная сцена фильма: Мария Ивановна делит между членами своей семьи самое дорогое, что у неё есть — те самые 125 «блокадных» граммов хлеба, которые она хранила все эти годы. Звучит Andante g-moll из сонаты для фортепиано № 25 Бетховена.</t>
        </is>
      </c>
      <c r="L6842" s="2" t="inlineStr">
        <is>
          <t>https://ru.wikipedia.org/w/index.php?title=%D0%97%D0%B0%D0%BF%D0%BE%D0%BC%D0%BD%D0%B8%D1%82%D0%B5_%D0%BC%D0%B5%D0%BD%D1%8F_%D1%82%D0%B0%D0%BA%D0%BE%D0%B9&amp;oldid=154029598</t>
        </is>
      </c>
      <c r="M6842" s="2">
        <f>HYPERLINK("https://ru.wikipedia.org/w/index.php?search=%D0%97%D0%B0%D0%BF%D0%BE%D0%BC%D0%BD%D0%B8%D1%82%D0%B5%20%D0%BC%D0%B5%D0%BD%D1%8F%20%D1%82%D0%B0%D0%BA%D0%BE%D0%B9%201987%20%D1%84%D0%B8%D0%BB%D1%8C%D0%BC","искать")</f>
        <v/>
      </c>
      <c r="N6842" s="3" t="n"/>
      <c r="O6842" s="2" t="n"/>
      <c r="P6842" s="2" t="n"/>
    </row>
    <row r="6843">
      <c r="A6843" s="2" t="n">
        <v>6842</v>
      </c>
      <c r="B6843" s="2" t="inlineStr"/>
      <c r="C6843" s="2" t="n">
        <v>9463</v>
      </c>
      <c r="D6843" s="3" t="inlineStr">
        <is>
          <t>Маленькая Вера</t>
        </is>
      </c>
      <c r="E6843" s="2" t="n">
        <v>1988</v>
      </c>
      <c r="F6843" s="2" t="inlineStr">
        <is>
          <t>кинофильм</t>
        </is>
      </c>
      <c r="G6843" s="2" t="n"/>
      <c r="H6843" s="2" t="n">
        <v>1338</v>
      </c>
      <c r="I6843" s="2" t="inlineStr"/>
      <c r="J6843" s="2" t="inlineStr"/>
      <c r="K6843" s="3" t="inlineStr">
        <is>
          <t>1980-е годы. Индустриальный город, прокопченный дымами труб. Убегая от милиции, которая разгоняла дерущуюся на танцплощадке молодежь, Вера знакомится с Сергеем, студентом металлургического института. Вскоре Вера приходит к Сергею в общежитие. Они становятся близки, сначала думая, что эта связь их ни к чему не обязывает. Виктор, брат Веры, узнав, что Сергей сошелся с его сестрой, запрещает Вере встречаться с ним, потому что знает о его прежних романах. Но у Сергея, кажется, намерения в отношении Веры серьезны. На правах гражданского мужа он переселяется в семью девушки. Однако обе стороны недовольны друг другом. Отца Веры раздражает бесцеремонность будущего зятя, нежелание опрокинуть стопку-другую за обедом. Он считает, что этим Сергей проявляет открытое неуважение к образу жизни семьи. Мать проводит все дни в хлопотах и почти не участвует в жизни дочери. Однажды, во время застолья, в пылу спора, незлобивый по натуре отец бросается на Сергея с ножом и ранит его. Мать и брат просят Веру сказать следователю, что во всем виноват Сергей. Девушка подчиняется, но, не в силах перенести собственного предательства, глотает снотворные таблетки. Брат едва успевает спасти ее. Сергей, еще слабый, так ничего и не рассказав следователю, покидает больницу. Кажется, жизнь должна наладиться, но отец Веры умирает от сердечного приступа.</t>
        </is>
      </c>
      <c r="L6843" s="2" t="inlineStr">
        <is>
          <t>https://gosfilmofond.ru/films/240753/</t>
        </is>
      </c>
      <c r="M6843" s="2">
        <f>HYPERLINK("https://ru.wikipedia.org/w/index.php?search=%D0%9C%D0%B0%D0%BB%D0%B5%D0%BD%D1%8C%D0%BA%D0%B0%D1%8F%20%D0%92%D0%B5%D1%80%D0%B0%201988%20%D1%84%D0%B8%D0%BB%D1%8C%D0%BC","искать")</f>
        <v/>
      </c>
      <c r="N6843" s="3" t="n"/>
      <c r="O6843" s="2" t="n"/>
      <c r="P6843" s="2" t="n"/>
    </row>
    <row r="6844">
      <c r="A6844" s="2" t="n">
        <v>6843</v>
      </c>
      <c r="B6844" s="2" t="inlineStr"/>
      <c r="C6844" s="2" t="n">
        <v>9248</v>
      </c>
      <c r="D6844" s="3" t="inlineStr">
        <is>
          <t>Божья тварь</t>
        </is>
      </c>
      <c r="E6844" s="2" t="n">
        <v>1991</v>
      </c>
      <c r="F6844" s="2" t="inlineStr">
        <is>
          <t>кинофильм</t>
        </is>
      </c>
      <c r="G6844" s="2" t="inlineStr">
        <is>
          <t>Центральная киностудия детских и юношеских фильмов им. М. Горького; киностудия «Глобус»</t>
        </is>
      </c>
      <c r="H6844" s="2" t="n">
        <v>1344</v>
      </c>
      <c r="I6844" s="2" t="inlineStr"/>
      <c r="J6844" s="2" t="inlineStr"/>
      <c r="K6844" s="3" t="inlineStr">
        <is>
          <t>Поздняя советская эпоха. Алексей Сычёв (Сергей Шакуров) работает художником-реставратором. У него есть девушка — Мария (Ирина Шмелёва), медсестра. Отправляясь на её день рождения, он заезжает за ней на работу в больницу и видит, что Мария с коллегой утихомиривают пациента-паренька. У входа в палату стоит модная девочка, которая сообщает ему, что это её брат. Позднее, когда Алексей усаживает Марию в свою машину, девочка напрашивается к ним — «подъехать в центр», а потом проникает в их квартиру через окно, ведя себя при этом довольно свободно и независимо.
В попытке отделаться от этой настырной девчонки по имени Шура (и прозвищу «Кэт»), Алексей решил поехать на работу, в реставрируемый монастырь, но Шура и тут оказывается настойчивой и напрашивается ехать вместе с ним. По дороге назад герой останавливается на обочине, чтобы купить пирожки. Возвращается и видит, что Кэт исчезла, и вместе с ней пропала старинная ценная икона, которую он взял из монастыря домой… Алексей разъярён, он отправляется на розыски иконы, хотя дома его ждёт на своём дне рождения его Мария.
Алексею придётся столкнуться с неформальной молодёжной тусовкой (рокеры, байкеры, металлисты) и попасть по вине Кэт во множество переплётов и неприятных ситуаций. А причиной всему девочка по имени Шурочка, воровка и «сорвиголова», которой не хватает любви и понимания.</t>
        </is>
      </c>
      <c r="L6844" s="2" t="inlineStr">
        <is>
          <t>https://ru.wikipedia.org/w/index.php?title=%D0%91%D0%BE%D0%B6%D1%8C%D1%8F_%D1%82%D0%B2%D0%B0%D1%80%D1%8C&amp;oldid=150363045</t>
        </is>
      </c>
      <c r="M6844" s="2">
        <f>HYPERLINK("https://ru.wikipedia.org/w/index.php?search=%D0%91%D0%BE%D0%B6%D1%8C%D1%8F%20%D1%82%D0%B2%D0%B0%D1%80%D1%8C%201991%20%D1%84%D0%B8%D0%BB%D1%8C%D0%BC","искать")</f>
        <v/>
      </c>
      <c r="N6844" s="3" t="n"/>
      <c r="O6844" s="2" t="n"/>
      <c r="P6844" s="2" t="n"/>
    </row>
    <row r="6845">
      <c r="A6845" s="2" t="n">
        <v>6844</v>
      </c>
      <c r="B6845" s="2" t="inlineStr"/>
      <c r="C6845" s="2" t="n">
        <v>8402</v>
      </c>
      <c r="D6845" s="3" t="inlineStr">
        <is>
          <t>Старый Новый год</t>
        </is>
      </c>
      <c r="E6845" s="2" t="n">
        <v>1980</v>
      </c>
      <c r="F6845" s="2" t="inlineStr">
        <is>
          <t>телефильм</t>
        </is>
      </c>
      <c r="G6845" s="2" t="inlineStr">
        <is>
          <t>Мосфильм. Творческое объединение телевизионных фильмов</t>
        </is>
      </c>
      <c r="H6845" s="2" t="n">
        <v>1347</v>
      </c>
      <c r="I6845" s="2" t="inlineStr"/>
      <c r="J6845" s="2" t="inlineStr"/>
      <c r="K6845" s="3" t="inlineStr">
        <is>
          <t>Канун Старого Нового года. Две самых обычных по советским меркам семьи, живущих в одном доме — представители рабочего класса Себейкины и интеллигенции Полуорловы — справляют праздник, при этом у Себейкиных ещё и новоселье. Также к обеим семьям практически в одно и то же время захаживает Иван Адамыч — вездесущий и довольно нетрезвый сосед-пенсионер, бывший лифтёр, капельдинер и вообще заслуженный человек, объединяющий весь дом и часто цитирующий Книгу Екклесиаста, а также мысли Гегеля и Руссо.
Пётр Полуорлов возвращается вечером домой, где всё готово для праздника, в плохом расположении духа. Он разочарован в жизни и во всех своих достижениях. Материальные блага и обустроенная квартира — это не то, ради чего он жил. Жена, родственники и друзья не понимают, почему он вдруг решил выбросить из квартиры на лестничную площадку мебель, телевизор и пианино. Пётр Себейкин тоже не находит общего языка с родными. Он трудился всю жизнь, стремился к благополучию и достатку в семье, но всё это вдруг только приводит к раздражению жены, зависти родственников и осуждению со стороны сварливой тёщи.
Полуорлов и Себейкин, рассорившись с родными и хлопнув дверями, уходят с лучшими друзьями из своих квартир. Две мужские компании, не без помощи Ивана Адамыча, объединяются в бане, где им после парилки и кружки пива предстоит понять, как жить дальше.</t>
        </is>
      </c>
      <c r="L6845" s="2" t="inlineStr">
        <is>
          <t>https://ru.wikipedia.org/w/index.php?title=%D0%A1%D1%82%D0%B0%D1%80%D1%8B%D0%B9_%D0%9D%D0%BE%D0%B2%D1%8B%D0%B9_%D0%B3%D0%BE%D0%B4_%28%D1%84%D0%B8%D0%BB%D1%8C%D0%BC%2C_1980%29&amp;oldid=151518515</t>
        </is>
      </c>
      <c r="M6845" s="2">
        <f>HYPERLINK("https://ru.wikipedia.org/w/index.php?search=%D0%A1%D1%82%D0%B0%D1%80%D1%8B%D0%B9%20%D0%9D%D0%BE%D0%B2%D1%8B%D0%B9%20%D0%B3%D0%BE%D0%B4%201980%20%D1%84%D0%B8%D0%BB%D1%8C%D0%BC","искать")</f>
        <v/>
      </c>
      <c r="N6845" s="3" t="n"/>
      <c r="O6845" s="2" t="n"/>
      <c r="P6845" s="2" t="n"/>
    </row>
    <row r="6846">
      <c r="A6846" s="2" t="n">
        <v>6845</v>
      </c>
      <c r="B6846" s="2" t="inlineStr"/>
      <c r="C6846" s="2" t="n">
        <v>9750</v>
      </c>
      <c r="D6846" s="3" t="inlineStr">
        <is>
          <t>Черная магия, или Свидание с дьяволом</t>
        </is>
      </c>
      <c r="E6846" s="2" t="n">
        <v>1990</v>
      </c>
      <c r="F6846" s="2" t="inlineStr">
        <is>
          <t>кинофильм</t>
        </is>
      </c>
      <c r="G6846" s="2" t="n"/>
      <c r="H6846" s="2" t="n">
        <v>1347</v>
      </c>
      <c r="I6846" s="2" t="inlineStr"/>
      <c r="J6846" s="2" t="inlineStr"/>
      <c r="K6846" s="3" t="inlineStr">
        <is>
          <t>Советская Молдавия, осень 1946 года. Дела в колхозе, возглавляемом отставником Филатом, идут неважно — люди умирают с голоду, а районное начальство продолжает повышать планы. И вот однажды паренёк Петруц, подрабатывающий писарем, находит на чердаке бывшего барского дома книгу по чёрной магии. Доведённые до отчаяния крестьяне решают прибегнуть к рекомендациям, которые описаны в этом томе.
Однако Петруца, как сына погибшего красноармейца, должны отправить в интернат, тогда бабка и дед запирают его в карцере бывшего барского дома. Затем крестьяне режут единственную оставшуюся в селе овцу, принадлежащую бывшему артисту Любомиру. После всего этого Петруц заболевает, и его родственникам приходится звать на помощь цыганку Милитину, к дочери которой, Цирике, юноша испытывает симпатию.
Молодой человек выздоравливает, и перед Рождеством селяне идут в лес для выполнения обряда, о котором они прочитали в чёрной книге. Они долго без толку вопят, призывая чёрта. Муж Милитины Чумак выходит из круга, тогда крестьяне заявляют, что из-за этого обряд не удался, после чего насмерть забивают односельчанина. В это время у цыганки в доме разбивается зеркало. Тем временем массовое помешательство продолжается — крестьяне забираются на чердак барского дома, вытаскивают все находящиеся там книги и сжигают их. Петруца убивают сразу после похорон Чумака.</t>
        </is>
      </c>
      <c r="L6846" s="2" t="inlineStr">
        <is>
          <t>https://ru.wikipedia.org/w/index.php?title=%D0%A7%D1%91%D1%80%D0%BD%D0%B0%D1%8F_%D0%BC%D0%B0%D0%B3%D0%B8%D1%8F%2C_%D0%B8%D0%BB%D0%B8_%D0%A1%D0%B2%D0%B8%D0%B4%D0%B0%D0%BD%D0%B8%D0%B5_%D1%81_%D0%B4%D1%8C%D1%8F%D0%B2%D0%BE%D0%BB%D0%BE%D0%BC&amp;oldid=154711841</t>
        </is>
      </c>
      <c r="M6846" s="2">
        <f>HYPERLINK("https://ru.wikipedia.org/w/index.php?search=%D0%A7%D0%B5%D1%80%D0%BD%D0%B0%D1%8F%20%D0%BC%D0%B0%D0%B3%D0%B8%D1%8F%2C%20%D0%B8%D0%BB%D0%B8%20%D0%A1%D0%B2%D0%B8%D0%B4%D0%B0%D0%BD%D0%B8%D0%B5%20%D1%81%20%D0%B4%D1%8C%D1%8F%D0%B2%D0%BE%D0%BB%D0%BE%D0%BC%201990%20%D1%84%D0%B8%D0%BB%D1%8C%D0%BC","искать")</f>
        <v/>
      </c>
      <c r="N6846" s="3" t="n"/>
      <c r="O6846" s="2" t="n"/>
      <c r="P6846" s="2" t="n"/>
    </row>
    <row r="6847">
      <c r="A6847" s="2" t="n">
        <v>6846</v>
      </c>
      <c r="B6847" s="2" t="inlineStr"/>
      <c r="C6847" s="2" t="n">
        <v>11031</v>
      </c>
      <c r="D6847" s="3" t="inlineStr">
        <is>
          <t>Одесские рассказы Исаака Бабеля</t>
        </is>
      </c>
      <c r="E6847" s="2" t="n">
        <v>1984</v>
      </c>
      <c r="F6847" s="2" t="inlineStr">
        <is>
          <t>фильм-спектакль</t>
        </is>
      </c>
      <c r="G6847" s="2" t="n"/>
      <c r="H6847" s="2" t="n">
        <v>1347</v>
      </c>
      <c r="I6847" s="2" t="inlineStr"/>
      <c r="J6847" s="2" t="inlineStr"/>
      <c r="K6847" s="3" t="inlineStr">
        <is>
          <t>По произведениям Исаака Бабеля
В основе спектакля - история "возвышения" известного одесского бандита Бени Крика.
В русской культуре очень много началось с нуля в семнадцатом году. Как раз в семнадцатом году Бабель написал в своей статье, что в русской литературе не хватает солнца, что нужно южное одесское солнце. Вот южное одесское солнце он туда и притащил. Бабель вырвался из традиций реалистического бытописания и, действительно, залил все каким-то невероятно ярким цветом и мощными красками, как Матисс. Французское имя здесь возникает не случайно - свои первые рассказы Бабель написал по-французски: он очень хорошо знал этот язык. И, конечно, он восходит к Мопассану, к которому он возводил себя сам, а еще больше – к Рабле. Действуя новыми приемами, он смог совершить ему почти невероятное. Мы знаем, как привлекательно может быть злодейство, но чтобы злодейство было ярко и празднично - это есть только у Бабеля.
И отсюда два поразительных урока – из его "Конармии", из этих анархистов и бандитов, и из "Одесских рассказов", уже из настоящих бандитов во главе которых стоит выдающийся Беня Крик. Два урока: эстетика, может быть, важнее этики. Или уж, по крайней мере, эстетика – это и есть этика: что красиво, то и хорошо. И второе: вечный спор между формой и содержанием, конечно, Бабель решает в пользу формы. Форма и есть содержание.</t>
        </is>
      </c>
      <c r="L6847" s="2" t="inlineStr">
        <is>
          <t>https://www.kino-teatr.ru/teatr/movie/15457/annot/</t>
        </is>
      </c>
      <c r="M6847" s="2">
        <f>HYPERLINK("https://ru.wikipedia.org/w/index.php?search=%D0%9E%D0%B4%D0%B5%D1%81%D1%81%D0%BA%D0%B8%D0%B5%20%D1%80%D0%B0%D1%81%D1%81%D0%BA%D0%B0%D0%B7%D1%8B%20%D0%98%D1%81%D0%B0%D0%B0%D0%BA%D0%B0%20%D0%91%D0%B0%D0%B1%D0%B5%D0%BB%D1%8F%201984%20%D1%84%D0%B8%D0%BB%D1%8C%D0%BC","искать")</f>
        <v/>
      </c>
      <c r="N6847" s="3" t="n"/>
      <c r="O6847" s="2" t="n"/>
      <c r="P6847" s="2" t="n"/>
    </row>
    <row r="6848">
      <c r="A6848" s="2" t="n">
        <v>6847</v>
      </c>
      <c r="B6848" s="2" t="inlineStr"/>
      <c r="C6848" s="2" t="n">
        <v>8576</v>
      </c>
      <c r="D6848" s="3" t="inlineStr">
        <is>
          <t>Шапка Мономаха</t>
        </is>
      </c>
      <c r="E6848" s="2" t="n">
        <v>1982</v>
      </c>
      <c r="F6848" s="2" t="inlineStr">
        <is>
          <t>телефильм</t>
        </is>
      </c>
      <c r="G6848" s="2" t="n"/>
      <c r="H6848" s="2" t="n">
        <v>1350</v>
      </c>
      <c r="I6848" s="2" t="inlineStr"/>
      <c r="J6848" s="2" t="inlineStr"/>
      <c r="K6848" s="3" t="inlineStr">
        <is>
          <t>Восьмиклассники участвуют в малопонятном научном эксперименте в Институте Мозга. «Шапка Мономаха» — прибор который надевают им на головы и проводят какие-то тесты. Школьный секретарь, сопровождавшая учеников, проверяя список фамилий, замечает в протоколе учёных крупную надпись «Петров». В ответе на вопрос об этой надписи учёные упоминают некий «коэффициент Петрова». Секретарь рассказывает об этом в учительской, считая, что речь идёт о Вальке Петрове (Коля Феофанов), непопулярном троечнике, носящем из-за своей фамилии кличку Сидоров, и вокруг него появляется ореол одарённости. Теперь подросток окружён пристальным вниманием, все его поступки, до того осуждавшиеся, теперь становятся подтверждениями его неординарности. Лидер класса, отличник Алик Шубин (Габриель Воробьёв) откровенно завидует и стремится опорочить. Петров остаётся в полном неведении и проявляет те качества, которых в нём прежде не замечали. Он оказывается трудолюбив, скромен, великодушен и внимателен к людям. Его популярность среди одноклассников выросла настолько, что потерявший своё место Шубин хочет вернуть всё. Он не постеснялся пойти в НИИ и выяснить, что «коэффициент Петрова» — научный термин, и совпадение с фамилией одноклассника — воля случая. Но его разоблачение уже не уронит «вундеркинда» в глазах ребят и учителей. Петров выдержал испытание Шапкой Мономаха.</t>
        </is>
      </c>
      <c r="L6848" s="2" t="inlineStr">
        <is>
          <t>https://ru.wikipedia.org/w/index.php?title=%D0%A8%D0%B0%D0%BF%D0%BA%D0%B0_%D0%9C%D0%BE%D0%BD%D0%BE%D0%BC%D0%B0%D1%85%D0%B0_%28%D1%84%D0%B8%D0%BB%D1%8C%D0%BC%29&amp;oldid=153037992</t>
        </is>
      </c>
      <c r="M6848" s="2">
        <f>HYPERLINK("https://ru.wikipedia.org/w/index.php?search=%D0%A8%D0%B0%D0%BF%D0%BA%D0%B0%20%D0%9C%D0%BE%D0%BD%D0%BE%D0%BC%D0%B0%D1%85%D0%B0%201982%20%D1%84%D0%B8%D0%BB%D1%8C%D0%BC","искать")</f>
        <v/>
      </c>
      <c r="N6848" s="3" t="n"/>
      <c r="O6848" s="2" t="n"/>
      <c r="P6848" s="2" t="n"/>
    </row>
    <row r="6849">
      <c r="A6849" s="2" t="n">
        <v>6848</v>
      </c>
      <c r="B6849" s="2" t="inlineStr"/>
      <c r="C6849" s="2" t="n">
        <v>9669</v>
      </c>
      <c r="D6849" s="3" t="inlineStr">
        <is>
          <t>Сталинград</t>
        </is>
      </c>
      <c r="E6849" s="2" t="n">
        <v>1989</v>
      </c>
      <c r="F6849" s="2" t="inlineStr">
        <is>
          <t>кинофильм</t>
        </is>
      </c>
      <c r="G6849" s="2" t="n"/>
      <c r="H6849" s="2" t="n">
        <v>1351</v>
      </c>
      <c r="I6849" s="2" t="inlineStr"/>
      <c r="J6849" s="2" t="inlineStr"/>
      <c r="K6849" s="3" t="inlineStr">
        <is>
          <t>Великая Отечественная война, 1942 год, противоборствующие стороны готовились к решающей летней кампании…
Член немецкой подпольной антифашистской организации Харро Шульце-Бойзен узнал о запланированной Гитлером секретной наступательной военной операции под кодовым названием «Фалль Блау» («Fall Blau»), дающей возможность германским войскам захватить Кавказ, и передал эти сведения в Москву. Но Сталин посчитал это дезинформацией, вследствие чего план немцев — создать имитацию наступления под Москвой с целью удержать там войска Красной армии — сработал. Кроме того, контрнаступление советских войск под Харьковом провалилось, часть их попала в окружение, часть отошла к Сталинграду.
Сталинград приобрёл для воюющих сторон особое стратегическое значение. Немцы были уверены в своём быстром успехе на этом юго-западном направлении. Для них это была открытая дорога на юг, к Кавказу и Индии. По замыслу фюрера, цель должна была быть достигнута силами одной 6-й полевой армии вермахта под командованием генерала танковых войск Фридриха Паулюса всего за неделю — к 25 июля 1942 года. Так, 17 июля 1942 года, начались 200 дней и ночей страшных и кровопролитных боёв за Сталинград, переломивших ход Великой Отечественной войны.
В финале фильма показаны Сталинград, уже именовавшийся как Волгоград, и река Волга на излёте 1980-х годов и всей советской эпохи.</t>
        </is>
      </c>
      <c r="L6849" s="2" t="inlineStr">
        <is>
          <t>https://ru.wikipedia.org/w/index.php?title=%D0%A1%D1%82%D0%B0%D0%BB%D0%B8%D0%BD%D0%B3%D1%80%D0%B0%D0%B4_%28%D1%84%D0%B8%D0%BB%D1%8C%D0%BC%2C_1989%29&amp;oldid=153844852</t>
        </is>
      </c>
      <c r="M6849" s="2">
        <f>HYPERLINK("https://ru.wikipedia.org/w/index.php?search=%D0%A1%D1%82%D0%B0%D0%BB%D0%B8%D0%BD%D0%B3%D1%80%D0%B0%D0%B4%201989%20%D1%84%D0%B8%D0%BB%D1%8C%D0%BC","искать")</f>
        <v/>
      </c>
      <c r="N6849" s="3" t="n"/>
      <c r="O6849" s="2" t="n"/>
      <c r="P6849" s="2" t="n"/>
    </row>
    <row r="6850">
      <c r="A6850" s="2" t="n">
        <v>6849</v>
      </c>
      <c r="B6850" s="2" t="inlineStr"/>
      <c r="C6850" s="2" t="n">
        <v>7977</v>
      </c>
      <c r="D6850" s="3" t="inlineStr">
        <is>
          <t>Незнакомка</t>
        </is>
      </c>
      <c r="E6850" s="2" t="n">
        <v>1979</v>
      </c>
      <c r="F6850" s="2" t="inlineStr">
        <is>
          <t>телефильм</t>
        </is>
      </c>
      <c r="G6850" s="2" t="n"/>
      <c r="H6850" s="2" t="n">
        <v>1352</v>
      </c>
      <c r="I6850" s="2" t="inlineStr"/>
      <c r="J6850" s="2" t="inlineStr"/>
      <c r="K6850" s="3" t="inlineStr">
        <is>
          <t>Среди зелени парков Санкт-Петербурга мелькает белое платье прекрасной незнакомки. Вместе с героем фильма, прообразом поэта, другими персонажами — посетителями ресторана — мы бродим по городу, заходим в рестораны, на вокзал, на прием в богатый и знатный дом. И везде мы встречаем незнакомку. О ней мечтает не только герой, но и юноша-семинарист, говорящий о любви, пожилой служащий продающий миниатюру, на которой поэт узнает свою незнакомку, и старый поэт, читающий свои стихи-воспоминания о юности и о любви… Поэт стоит у Невы: мимо него проходит шарманщик, а по небу проносится падающая звезда. Тонкая, почти прозрачная фигура в чёрном облокотилась на перила набережной недалеко от поэта. Вот она, до неё даже можно дотронуться, но её вдруг уводит другой. Поэт думает, что он потерял её. В своих скитаниях-поисках он попадает в богатый дом на прием. Внезапно в зал входит женщина в чёрном — она почти материализовалась, его незнакомка. Но, глядя в окно, он снова видит светлый и загадочный образ. Кто из них она, его мечта? Но мечта — как облако, к ней нельзя прикоснуться. В послесловии к фильму снова звучат стихи Блока, посвященные творящему художнику. Кредо художника, как провозглашает Блок: «Мир — прекрасен». Также как прекрасен город, родивший поэта и его поэзию. Фантазия и иллюзорность, высокое и низменное переплелось в поэме «Незнакомка».</t>
        </is>
      </c>
      <c r="L6850" s="2" t="inlineStr">
        <is>
          <t>https://ru.wikipedia.org/w/index.php?title=%D0%9D%D0%B5%D0%B7%D0%BD%D0%B0%D0%BA%D0%BE%D0%BC%D0%BA%D0%B0_%28%D1%84%D0%B8%D0%BB%D1%8C%D0%BC%2C_1979%29&amp;oldid=153351535</t>
        </is>
      </c>
      <c r="M6850" s="2">
        <f>HYPERLINK("https://ru.wikipedia.org/w/index.php?search=%D0%9D%D0%B5%D0%B7%D0%BD%D0%B0%D0%BA%D0%BE%D0%BC%D0%BA%D0%B0%201979%20%D1%84%D0%B8%D0%BB%D1%8C%D0%BC","искать")</f>
        <v/>
      </c>
      <c r="N6850" s="3" t="n"/>
      <c r="O6850" s="2" t="n"/>
      <c r="P6850" s="2" t="n"/>
    </row>
    <row r="6851">
      <c r="A6851" s="2" t="n">
        <v>6850</v>
      </c>
      <c r="B6851" s="2" t="inlineStr"/>
      <c r="C6851" s="2" t="n">
        <v>9596</v>
      </c>
      <c r="D6851" s="3" t="inlineStr">
        <is>
          <t>Продлись, продлись, очарованье...</t>
        </is>
      </c>
      <c r="E6851" s="2" t="n">
        <v>1984</v>
      </c>
      <c r="F6851" s="2" t="inlineStr">
        <is>
          <t>кинофильм</t>
        </is>
      </c>
      <c r="G6851" s="2" t="n"/>
      <c r="H6851" s="2" t="n">
        <v>1353</v>
      </c>
      <c r="I6851" s="2" t="inlineStr"/>
      <c r="J6851" s="2" t="inlineStr"/>
      <c r="K6851" s="3" t="inlineStr">
        <is>
          <t>Действие фильма начинается в июне 1984 года.
Главный герой картины — Антон Николаевич Скворцов — всю жизнь руководивший коллективом крупного промышленного предприятия, вышел на пенсию, похоронил жену и остался жить с дочерью, её мужем и взрослой внучкой в принадлежащей ему большой квартире; недавно ещё и перенёс инфаркт.
Врач рекомендует отправить Антона Николаевича в дом ветеранов. Не выдержав, Антон Николаевич сбегает из дома и едет на экскурсию по Москве.
В экскурсионном автобусе он знакомится с Анной Константиновной, которая тоже только что вышла на пенсию. Эта встреча переворачивает всю его жизнь. Они начинают проводить время вместе, едут на его дачу. Соседка Скворцова по даче рассказывает Анне Константиновне о хитросплетениях семейной жизни героя и предупреждает, что его надо беречь («…на второй инфаркт его не хватит»).
Антон Николаевич предлагает Анне Константиновне переехать к нему жить. Она сомневается и в ответ приглашает его к себе на обед. На обеде он предлагает ей совместную работу над рукописью романа, который он давно пишет.
Дочь довольно отрицательно относится к новому увлечению отца, называя Анну Константиновну «кикиморой», чем вызывает у него переживания и сердечную боль.
В конце фильма Антон Николаевич умирает за рулём своего автомобиля, на котором ехал с дачи в Москву к Анне Константиновне, которую выгнала дочь.</t>
        </is>
      </c>
      <c r="L6851" s="2" t="inlineStr">
        <is>
          <t>https://ru.wikipedia.org/w/index.php?title=%D0%9F%D1%80%D0%BE%D0%B4%D0%BB%D0%B8%D1%81%D1%8C%2C_%D0%BF%D1%80%D0%BE%D0%B4%D0%BB%D0%B8%D1%81%D1%8C%2C_%D0%BE%D1%87%D0%B0%D1%80%D0%BE%D0%B2%D0%B0%D0%BD%D1%8C%D0%B5%E2%80%A6&amp;oldid=149549480</t>
        </is>
      </c>
      <c r="M6851" s="2">
        <f>HYPERLINK("https://ru.wikipedia.org/w/index.php?search=%D0%9F%D1%80%D0%BE%D0%B4%D0%BB%D0%B8%D1%81%D1%8C%2C%20%D0%BF%D1%80%D0%BE%D0%B4%D0%BB%D0%B8%D1%81%D1%8C%2C%20%D0%BE%D1%87%D0%B0%D1%80%D0%BE%D0%B2%D0%B0%D0%BD%D1%8C%D0%B5...%201984%20%D1%84%D0%B8%D0%BB%D1%8C%D0%BC","искать")</f>
        <v/>
      </c>
      <c r="N6851" s="3" t="n"/>
      <c r="O6851" s="2" t="n"/>
      <c r="P6851" s="2" t="n"/>
    </row>
    <row r="6852">
      <c r="A6852" s="2" t="n">
        <v>6851</v>
      </c>
      <c r="B6852" s="2" t="inlineStr"/>
      <c r="C6852" s="2" t="n">
        <v>7323</v>
      </c>
      <c r="D6852" s="3" t="inlineStr">
        <is>
          <t>Весёлое сновидение, или Смех и слёзы</t>
        </is>
      </c>
      <c r="E6852" s="2" t="n">
        <v>1976</v>
      </c>
      <c r="F6852" s="2" t="inlineStr">
        <is>
          <t>телефильм</t>
        </is>
      </c>
      <c r="G6852" s="2" t="inlineStr">
        <is>
          <t>Ленфильм</t>
        </is>
      </c>
      <c r="H6852" s="2" t="n">
        <v>1357</v>
      </c>
      <c r="I6852" s="2" t="inlineStr"/>
      <c r="J6852" s="2" t="inlineStr"/>
      <c r="K6852" s="3" t="inlineStr">
        <is>
          <t>Любитель шахмат Андрюша Попов простудился. В ночь перед игрой с гроссмейстером Карповым ему снится сон, где он попадает в страну игр во главе со всешахматным королём Унылио VII, трон которого пытаются захватить коварные карты. Наследник престола уже шесть лет как тяжко болен, и этим терзаются все жители государства: веселье и смех под запретом, по крайней мере во дворце. На фоне болезни принца политическая ситуация ослабла, и этим умело пользуются двое сильнейших людей страны.
Пиковый валет, воспитатель болезненного принца Чихальи, и его подруга Крестовая дама (ближайшие фавориты короля Унылио VII) плетут интриги с целью устранения наследника и захвата трона. Для этого в ход идут «страшные рассказки», разные снадобья и, наконец, вызов в страну шахмат троюродной тётки Валета — знаменитой Пиковой дамы Карганы. С помощью волшебного кисета с табаком она зачаровывает шахматы, превращая их в «подобие предков» — пленников шахматных клеток. Но свободными от заклятия остались Андрюша и принц. Они уходят в путешествие за магическим оживляющим помидором.
Несмотря на происки дуэта интриганов, друзья добывают помидор и освобождают от заклятия шахматы и короля. Судьба заговорщиков неизвестна, а Андрюша узнаёт, что у короля нет сына и что друг его — это принцесса, чьё существование скрывали, чтобы карты не прознали, что в стране нет наследника трона.</t>
        </is>
      </c>
      <c r="L6852" s="2" t="inlineStr">
        <is>
          <t>https://ru.wikipedia.org/w/index.php?title=%D0%92%D0%B5%D1%81%D1%91%D0%BB%D0%BE%D0%B5_%D1%81%D0%BD%D0%BE%D0%B2%D0%B8%D0%B4%D0%B5%D0%BD%D0%B8%D0%B5%2C_%D0%B8%D0%BB%D0%B8_%D0%A1%D0%BC%D0%B5%D1%85_%D0%B8_%D1%81%D0%BB%D1%91%D0%B7%D1%8B&amp;oldid=153243006</t>
        </is>
      </c>
      <c r="M6852" s="2">
        <f>HYPERLINK("https://ru.wikipedia.org/w/index.php?search=%D0%92%D0%B5%D1%81%D1%91%D0%BB%D0%BE%D0%B5%20%D1%81%D0%BD%D0%BE%D0%B2%D0%B8%D0%B4%D0%B5%D0%BD%D0%B8%D0%B5%2C%20%D0%B8%D0%BB%D0%B8%20%D0%A1%D0%BC%D0%B5%D1%85%20%D0%B8%20%D1%81%D0%BB%D1%91%D0%B7%D1%8B%201976%20%D1%84%D0%B8%D0%BB%D1%8C%D0%BC","искать")</f>
        <v/>
      </c>
      <c r="N6852" s="3" t="n"/>
      <c r="O6852" s="2" t="n"/>
      <c r="P6852" s="2" t="n"/>
    </row>
    <row r="6853">
      <c r="A6853" s="2" t="n">
        <v>6852</v>
      </c>
      <c r="B6853" s="2" t="inlineStr"/>
      <c r="C6853" s="2" t="n">
        <v>7430</v>
      </c>
      <c r="D6853" s="3" t="inlineStr">
        <is>
          <t>Ганна Главари</t>
        </is>
      </c>
      <c r="E6853" s="2" t="n">
        <v>1979</v>
      </c>
      <c r="F6853" s="2" t="inlineStr">
        <is>
          <t>телефильм</t>
        </is>
      </c>
      <c r="G6853" s="2" t="inlineStr">
        <is>
          <t>«Лентелефильм»</t>
        </is>
      </c>
      <c r="H6853" s="2" t="n">
        <v>1357</v>
      </c>
      <c r="I6853" s="2" t="inlineStr"/>
      <c r="J6853" s="2" t="inlineStr"/>
      <c r="K6853" s="3" t="inlineStr">
        <is>
          <t>В фильме использовано изменённое либретто оперетты, распространённое в СССР — согласно ему, Данило и Ганна не имеют предыстории отношений и знакомятся уже в Париже.
Банкир Главари был самым богатым человеком страны Монтевердо. После его смерти огромное состояние, — 20 миллионов, — перешло к его вдове, Ганне Главари. Вдова уезжает в Париж. Правительство Монтевердо, опасаясь, что вдова выйдет замуж во второй раз за иностранца, требует от посла во Франции любой ценой спасти страну от потери состояния Главари. Посол находит выход. Он отдаёт приказ графу Данило жениться на вдове из-за её состояния. Граф отказывается, но позже всё же соглашается.
Граф Данило и Ганна Главари знакомятся на приёме в посольстве и сразу проявляют интерес друг к другу. На следующий день граф Данило приходит на бал, который даёт у себя Ганна Главари. Граф не желает обманывать вдову и признаётся ей, что получил от посла приказ жениться на ней. В ответ та признаёт, что граф тот человек, за которого она могла бы выйти замуж.
Желая проверить своих многочисленных поклонников, Ганна Главари оглашает условия завещания — она лишается денег в случае замужества. Поклонники тут же теряют интерес к вдове, в отличие от графа Данило, делающего ей предложение. Ганна соглашается и объявляет условия завещания целиком — она лишается состояния, так как оно переходит к её новому мужу.</t>
        </is>
      </c>
      <c r="L6853" s="2" t="inlineStr">
        <is>
          <t>https://ru.wikipedia.org/w/index.php?title=%D0%93%D0%B0%D0%BD%D0%BD%D0%B0_%D0%93%D0%BB%D0%B0%D0%B2%D0%B0%D1%80%D0%B8&amp;oldid=150241269</t>
        </is>
      </c>
      <c r="M6853" s="2">
        <f>HYPERLINK("https://ru.wikipedia.org/w/index.php?search=%D0%93%D0%B0%D0%BD%D0%BD%D0%B0%20%D0%93%D0%BB%D0%B0%D0%B2%D0%B0%D1%80%D0%B8%201979%20%D1%84%D0%B8%D0%BB%D1%8C%D0%BC","искать")</f>
        <v/>
      </c>
      <c r="N6853" s="3" t="n"/>
      <c r="O6853" s="2" t="n"/>
      <c r="P6853" s="2" t="n"/>
    </row>
    <row r="6854">
      <c r="A6854" s="2" t="n">
        <v>6853</v>
      </c>
      <c r="B6854" s="2" t="inlineStr"/>
      <c r="C6854" s="2" t="n">
        <v>8345</v>
      </c>
      <c r="D6854" s="3" t="inlineStr">
        <is>
          <t>Синдикат-2</t>
        </is>
      </c>
      <c r="E6854" s="2" t="n">
        <v>1980</v>
      </c>
      <c r="F6854" s="2" t="inlineStr">
        <is>
          <t>телефильм</t>
        </is>
      </c>
      <c r="G6854" s="2" t="n"/>
      <c r="H6854" s="2" t="n">
        <v>1358</v>
      </c>
      <c r="I6854" s="2" t="inlineStr"/>
      <c r="J6854" s="2" t="inlineStr"/>
      <c r="K6854" s="3" t="inlineStr">
        <is>
          <t>Фильм основан на реальных событиях. За границей и в СССР действует подпольная контрреволюционная организация, возглавляемая известным террористом Борисом Савинковым. Агенты Савинкова проводят в СССР теракты, но его главная цель — свержение политической власти в Москве и освобождение России от большевиков. С начала 1920-х годов чекисты проводят операции ОГПУ по обезвреживанию Бориса Савинкова и членов его контрреволюционной организации. Чекисты во главе с Артузовым продумывают хитроумную операцию по выманиванию на территорию СССР самого Савинкова и его аресту. Чекисты докладывают Феликсу Дзержинскому о ходе операции и совместными действиями создают хитроумную приманку — легендированное антибольшевистское подполье. Сначала чекисты проводят операцию по выманиванию на территорию СССР белогвардейского офицера Фомичёва — агента Савинкова. После встреч в СССР с легендированными чекистами-подпольщиками Фомичёв убеждается в том, что антибольшевистское подполье действует и докладывает о подполье Савинкову. Но недоверчивый Савинков требует больше активных действий от савинковцев, членов его контрреволюционной организации. В ходе встреч савинковцев с легендированными чекистами через некоторое время удается заманить самого Савинкова и его любовницу Любовь Деренталь в СССР. Здесь контрреволюционная организация Савинкова подвергается полному разгрому.</t>
        </is>
      </c>
      <c r="L6854" s="2" t="inlineStr">
        <is>
          <t>https://ru.wikipedia.org/w/index.php?title=%D0%A1%D0%B8%D0%BD%D0%B4%D0%B8%D0%BA%D0%B0%D1%82-2_%28%D1%84%D0%B8%D0%BB%D1%8C%D0%BC%29&amp;oldid=154115762</t>
        </is>
      </c>
      <c r="M6854" s="2">
        <f>HYPERLINK("https://ru.wikipedia.org/w/index.php?search=%D0%A1%D0%B8%D0%BD%D0%B4%D0%B8%D0%BA%D0%B0%D1%82-2%201980%20%D1%84%D0%B8%D0%BB%D1%8C%D0%BC","искать")</f>
        <v/>
      </c>
      <c r="N6854" s="3" t="n"/>
      <c r="O6854" s="2" t="n"/>
      <c r="P6854" s="2" t="n"/>
    </row>
    <row r="6855">
      <c r="A6855" s="2" t="n">
        <v>6854</v>
      </c>
      <c r="B6855" s="2" t="inlineStr"/>
      <c r="C6855" s="2" t="n">
        <v>9551</v>
      </c>
      <c r="D6855" s="3" t="inlineStr">
        <is>
          <t>Пиры Валтасара, или Ночь со Сталиным</t>
        </is>
      </c>
      <c r="E6855" s="2" t="n">
        <v>1989</v>
      </c>
      <c r="F6855" s="2" t="inlineStr">
        <is>
          <t>кинофильм</t>
        </is>
      </c>
      <c r="G6855" s="2" t="n"/>
      <c r="H6855" s="2" t="n">
        <v>1361</v>
      </c>
      <c r="I6855" s="2" t="inlineStr"/>
      <c r="J6855" s="2" t="inlineStr"/>
      <c r="K6855" s="3" t="inlineStr">
        <is>
          <t>По главе «Пиры Валтасара» из романа Ф. Искандера «Сандро из Чегема». 1935 год. Члены партии и правительства во главе с товарищем Сталиным проводят время за ночным банкетом под сводами дворца, где когда-то принимали самого императора. Теперь здесь собрались лучшие люди страны — товарищи Берия, Ворошилов, Буденный, их жены. Принимает москвичей радушный хозяин и руководитель коммунистов Абхазии Нестор Лакоба. Столы ломятся от яств, звучат тосты. Перед гостями выступает ансамбль народного
танца Абхазии, участником которого является и Сандро из Чегема. Коронный номер плясунов — разбежаться с завязанными глазами, упасть на колени и подкатить точнехонько к членам правительства. Лучше всех это получается у Сандро. Сталин снимает с глаз танцора повязку, и обоим кажется, что они когда-то встречались. Всю ночь Сандро не покидает тревога: тот ли это абрек, которого он мальчишкой — еще до революции — увидел на чегемской дороге? Похоже, тот. Тогда был ограблен пароход, после два бандита высадились на берег и на лошадях устремились в горы. Мальчик Сандро, пасший коз, неожиданно встречает одного из них. Абрек скачет дальше, а Сандро находит неподалеку его убитого напарника. Даже отцу Сандро не сказал, по какой дороге скрылся убийца. А скажи он это отцу, а тот — полицейским, кто знает, каким путем пошла бы мировая история, и состоялся бы этот ночной пир?..</t>
        </is>
      </c>
      <c r="L6855" s="2" t="inlineStr">
        <is>
          <t>https://gosfilmofond.ru/films/240882/</t>
        </is>
      </c>
      <c r="M6855" s="2">
        <f>HYPERLINK("https://ru.wikipedia.org/w/index.php?search=%D0%9F%D0%B8%D1%80%D1%8B%20%D0%92%D0%B0%D0%BB%D1%82%D0%B0%D1%81%D0%B0%D1%80%D0%B0%2C%20%D0%B8%D0%BB%D0%B8%20%D0%9D%D0%BE%D1%87%D1%8C%20%D1%81%D0%BE%20%D0%A1%D1%82%D0%B0%D0%BB%D0%B8%D0%BD%D1%8B%D0%BC%201989%20%D1%84%D0%B8%D0%BB%D1%8C%D0%BC","искать")</f>
        <v/>
      </c>
      <c r="N6855" s="3" t="n"/>
      <c r="O6855" s="2" t="n"/>
      <c r="P6855" s="2" t="n"/>
    </row>
    <row r="6856">
      <c r="A6856" s="2" t="n">
        <v>6855</v>
      </c>
      <c r="B6856" s="2" t="inlineStr"/>
      <c r="C6856" s="2" t="n">
        <v>9614</v>
      </c>
      <c r="D6856" s="3" t="inlineStr">
        <is>
          <t>Распад</t>
        </is>
      </c>
      <c r="E6856" s="2" t="n">
        <v>1990</v>
      </c>
      <c r="F6856" s="2" t="inlineStr">
        <is>
          <t>кинофильм</t>
        </is>
      </c>
      <c r="G6856" s="2" t="n"/>
      <c r="H6856" s="2" t="n">
        <v>1361</v>
      </c>
      <c r="I6856" s="2" t="inlineStr"/>
      <c r="J6856" s="2" t="inlineStr"/>
      <c r="K6856" s="3" t="inlineStr">
        <is>
          <t>Конец апреля 1986 года. Журналист Александр Журавлёв (Сергей Шакуров) возвращается домой. Впереди у него выяснение отношений с изменившей женой и встреча с друзьями детства, теперь работающими в некоем Городе Энергетиков.
Встреча, однако, не состоится. Один из друзей, оператор АЭС, вскоре погибнет при аварии; да и другому, не щадившему себя врачу «скорой помощи», тоже остаётся немного.
Пока не только масштабы катастрофы, но и сам её факт замалчиваются властями, Журавлёв пытается то отправить семью подальше от опасности, то сам выпрашивает у любовника жены пропуск, чтобы попасть к ликвидаторам.
Другие сюжетные линии фильма — отношения молодожёнов Валерия и Любы, убежавших от гостей с собственной свадьбы и оказавшихся в Зоне; а также трогательная история мальчика, оставшегося в «Городе энергетиков» вместе с котёнком, которого ему не позволили вывезти из города.
Действия героев проходят на фоне отреконструированных режиссёром событий времён аварии на ЧАЭС: эвакуация населения, первомайская демонстрация.
Осень того же года. Журавлёв занял пост главного редактора своей газеты. Того самого, что некогда рекомендовал ему молчать, не то не зная о случившемся, не то получив приказ «сверху».
Жизнь продолжается — с идущей как бы рефреном на протяжении фильма трансляцией велогонки по телевизору и вновь звучащей песней Высоцкого о том, что «всё не так».</t>
        </is>
      </c>
      <c r="L6856" s="2" t="inlineStr">
        <is>
          <t>https://ru.wikipedia.org/w/index.php?title=%D0%A0%D0%B0%D1%81%D0%BF%D0%B0%D0%B4_%28%D1%84%D0%B8%D0%BB%D1%8C%D0%BC%29&amp;oldid=153233446</t>
        </is>
      </c>
      <c r="M6856" s="2">
        <f>HYPERLINK("https://ru.wikipedia.org/w/index.php?search=%D0%A0%D0%B0%D1%81%D0%BF%D0%B0%D0%B4%201990%20%D1%84%D0%B8%D0%BB%D1%8C%D0%BC","искать")</f>
        <v/>
      </c>
      <c r="N6856" s="3" t="n"/>
      <c r="O6856" s="2" t="n"/>
      <c r="P6856" s="2" t="n"/>
    </row>
    <row r="6857">
      <c r="A6857" s="2" t="n">
        <v>6856</v>
      </c>
      <c r="B6857" s="2" t="inlineStr"/>
      <c r="C6857" s="2" t="n">
        <v>8257</v>
      </c>
      <c r="D6857" s="3" t="inlineStr">
        <is>
          <t>Раннее, раннее утро...</t>
        </is>
      </c>
      <c r="E6857" s="2" t="n">
        <v>1983</v>
      </c>
      <c r="F6857" s="2" t="inlineStr">
        <is>
          <t>телефильм</t>
        </is>
      </c>
      <c r="G6857" s="2" t="n"/>
      <c r="H6857" s="2" t="n">
        <v>1363</v>
      </c>
      <c r="I6857" s="2" t="inlineStr"/>
      <c r="J6857" s="2" t="inlineStr"/>
      <c r="K6857" s="3" t="inlineStr">
        <is>
          <t>Фильм является второй экранизацией повести Валентины Осеевой. Это история дружбы дочери революционера и мальчишки-рабочего в царской России. События происходят в 1910 году в дачном посёлке на берегу Волги, под Самарой, где многое напоминает об атамане Стеньке Разине, о древнем эрзянском народе.
Спасая ужа, Динка едва не тонет в реке. Её спасает некий Лёнька, паренёк с проплывавшей поблизости баржи. Так начинается их дружба. Благодаря Динке мальчику удаётся сбежать от жестокого и жадного отчима Гордея Лукича, хозяина баржи, где Лёнька беспощадно эксплуатировался, подвергался побоям и унижению. Динка помогает своему спасителю как может: помогает ему продать на рынке рыбу, тайком приносит из дома продукты, пытается заработать деньги, исполняя песни под шарманку. Лёнька делится с девочкой и своими тайнами: показывает утёс и пещеру Стеньки Разина, где он прячется от отчима. Поясняет смысл боевого клича атамана «Сарынь на кичку»!
Лёнька знакомится со студентом Степаном, который распространяет листовки и прокламации. Как потом выясняется, печатают листовки в самарской типографии, где работает мать Динки. Смекалка и находчивость Лёньки позволяет избежать Степану суда и тюремного заключения. Степан и Лёнька помогают устроить побег из следственной тюрьмы Александру Арсеньеву, отцу Динки. После этого семья Арсеньевых принимает решение усыновить Лёньку.</t>
        </is>
      </c>
      <c r="L6857" s="2" t="inlineStr">
        <is>
          <t>https://ru.wikipedia.org/w/index.php?title=%D0%A0%D0%B0%D0%BD%D0%BD%D0%B5%D0%B5%2C_%D1%80%D0%B0%D0%BD%D0%BD%D0%B5%D0%B5_%D1%83%D1%82%D1%80%D0%BE...&amp;oldid=147089920</t>
        </is>
      </c>
      <c r="M6857" s="2">
        <f>HYPERLINK("https://ru.wikipedia.org/w/index.php?search=%D0%A0%D0%B0%D0%BD%D0%BD%D0%B5%D0%B5%2C%20%D1%80%D0%B0%D0%BD%D0%BD%D0%B5%D0%B5%20%D1%83%D1%82%D1%80%D0%BE...%201983%20%D1%84%D0%B8%D0%BB%D1%8C%D0%BC","искать")</f>
        <v/>
      </c>
      <c r="N6857" s="3" t="n"/>
      <c r="O6857" s="2" t="n"/>
      <c r="P6857" s="2" t="n"/>
    </row>
    <row r="6858">
      <c r="A6858" s="2" t="n">
        <v>6857</v>
      </c>
      <c r="B6858" s="2" t="inlineStr"/>
      <c r="C6858" s="2" t="n">
        <v>11116</v>
      </c>
      <c r="D6858" s="3" t="inlineStr">
        <is>
          <t>Мой любимый клоун</t>
        </is>
      </c>
      <c r="E6858" s="2" t="n">
        <v>1986</v>
      </c>
      <c r="F6858" s="2" t="inlineStr">
        <is>
          <t>фильм-спектакль</t>
        </is>
      </c>
      <c r="G6858" s="2" t="n"/>
      <c r="H6858" s="2" t="n">
        <v>1365</v>
      </c>
      <c r="I6858" s="2" t="inlineStr"/>
      <c r="J6858" s="2" t="inlineStr"/>
      <c r="K6858" s="3" t="inlineStr">
        <is>
          <t>Молодой артист цирка — клоун Сергей Синицын (Олег Меньшиков) решает усыновить шестилетнего детдомовца Ваньку. Его жена Леся (страдающая бесплодием), которая была поначалу не против, под давлением своей матери, которая кичится мужем-академиком, противится решению об усыновлении. Дело идёт к разводу. Тем временем Сергей вместе со своим лучшим другом и напарником Романом готовит новый номер для будущих больших гастролей цирка. Ребёнок очень мешает его работе, но Роман вместе с женой Алисой помогают Сергею присматривать за Ванькой. Он постоянно спрашивает отца, где его мама, а тот объясняет, что мама в отъезде.
Прямо перед гастролями Ванька заболел, и Сергей вынужден остаться дома, чтобы ухаживать за сыном. Неожиданно состояние ребёнка резко ухудшается, необходимо экстренное переливание крови редкой группы. У Сергея в прошлом были серьёзные отношения с гимнасткой Полиной, но силовой жонглёр Рюмин в своё время пустил слух об интимных отношениях Полины с немецким дрессировщиком во время гастролей. Гордый и обидчивый, Синицын разорвал с ней отношения, но Полина продолжает его любить. Поспешно перебирая в памяти тех, кто мог бы дать кровь, Алиса вспоминает про Полину. Звонит ей, и Полина соглашается. Правда, коротко и ёмко высказывает Сергею, что о нём думает.
Ванька, очнувшись, видит на соседней койке Полину и говорит ей:
— Мама, это ты? Ты приехала?</t>
        </is>
      </c>
      <c r="L6858" s="2" t="inlineStr">
        <is>
          <t>https://ru.wikipedia.org/w/index.php?title=%D0%9C%D0%BE%D0%B9_%D0%BB%D1%8E%D0%B1%D0%B8%D0%BC%D1%8B%D0%B9_%D0%BA%D0%BB%D0%BE%D1%83%D0%BD_%28%D1%84%D0%B8%D0%BB%D1%8C%D0%BC%29&amp;oldid=150923828</t>
        </is>
      </c>
      <c r="M6858" s="2">
        <f>HYPERLINK("https://ru.wikipedia.org/w/index.php?search=%D0%9C%D0%BE%D0%B9%20%D0%BB%D1%8E%D0%B1%D0%B8%D0%BC%D1%8B%D0%B9%20%D0%BA%D0%BB%D0%BE%D1%83%D0%BD%201986%20%D1%84%D0%B8%D0%BB%D1%8C%D0%BC","искать")</f>
        <v/>
      </c>
      <c r="N6858" s="3" t="n"/>
      <c r="O6858" s="2" t="n"/>
      <c r="P6858" s="2" t="n"/>
    </row>
    <row r="6859">
      <c r="A6859" s="2" t="n">
        <v>6858</v>
      </c>
      <c r="B6859" s="2" t="inlineStr"/>
      <c r="C6859" s="2" t="n">
        <v>7979</v>
      </c>
      <c r="D6859" s="3" t="inlineStr">
        <is>
          <t>Неизвестный солдат</t>
        </is>
      </c>
      <c r="E6859" s="2" t="n">
        <v>1984</v>
      </c>
      <c r="F6859" s="2" t="inlineStr">
        <is>
          <t>телефильм</t>
        </is>
      </c>
      <c r="G6859" s="2" t="n"/>
      <c r="H6859" s="2" t="n">
        <v>1366</v>
      </c>
      <c r="I6859" s="2" t="inlineStr"/>
      <c r="J6859" s="2" t="inlineStr"/>
      <c r="K6859" s="3" t="inlineStr">
        <is>
          <t>Не поступив в институт, Сергей Крашенинников приезжает к деду в небольшой городок и устраивается работать в дорожной строительной бригаде. В ходе работ строители обнаруживают солдатскую могилу. Сергею поручают выяснить личность погибшего.
Повествование идёт параллельно двумя сюжетными линиями — в настоящем времени и во время войны. В настоящем Сергей сталкивается с разным отношением людей к памяти о войне. Для кого-то поиск «неизвестных солдат» — лишь одно из прочих школьных увлечений, неглубоких и преходящих (Наташа), а для кого-то далёкий подвиг неизвестных героев — лишь пропагандистский повод, когда установление истины не столь уж и важно (Славик Агапов). Чтить память можно и нужно, однако увековечивание этой памяти — удел «специальных людей», задача же простого человека, обывателя — помнить о героях «в разумных пределах» и жить сегодняшним днём (Воронов, Юра). Для кого-то война — вообще далёкая история (Зоя Краюшкина). А для кого-то — их жизнь, прошлая и настоящая (дедушка Кроша, мать Бокарева, Клавдия Иванцова).
Одновременно зритель узнаёт историю гибели и подвига пяти «неизвестных солдат» далёким летом 1942 года. В итоге всё же удаётся установить имя солдата, похороненного в безымянной могиле, однако более важным результатом усилий Сергея оказывается возвращение в сердца людей чувства сопричастности с прошлым своей страны и своего народа.</t>
        </is>
      </c>
      <c r="L6859" s="2" t="inlineStr">
        <is>
          <t>https://ru.wikipedia.org/w/index.php?title=%D0%9D%D0%B5%D0%B8%D0%B7%D0%B2%D0%B5%D1%81%D1%82%D0%BD%D1%8B%D0%B9_%D1%81%D0%BE%D0%BB%D0%B4%D0%B0%D1%82_%28%D1%84%D0%B8%D0%BB%D1%8C%D0%BC%2C_1984%29&amp;oldid=151999269</t>
        </is>
      </c>
      <c r="M6859" s="2">
        <f>HYPERLINK("https://ru.wikipedia.org/w/index.php?search=%D0%9D%D0%B5%D0%B8%D0%B7%D0%B2%D0%B5%D1%81%D1%82%D0%BD%D1%8B%D0%B9%20%D1%81%D0%BE%D0%BB%D0%B4%D0%B0%D1%82%201984%20%D1%84%D0%B8%D0%BB%D1%8C%D0%BC","искать")</f>
        <v/>
      </c>
      <c r="N6859" s="3" t="n"/>
      <c r="O6859" s="2" t="n"/>
      <c r="P6859" s="2" t="n"/>
    </row>
    <row r="6860">
      <c r="A6860" s="2" t="n">
        <v>6859</v>
      </c>
      <c r="B6860" s="2" t="inlineStr"/>
      <c r="C6860" s="2" t="n">
        <v>8793</v>
      </c>
      <c r="D6860" s="3" t="inlineStr">
        <is>
          <t>Лебединое озеро. Зона</t>
        </is>
      </c>
      <c r="E6860" s="2" t="n">
        <v>1989</v>
      </c>
      <c r="F6860" s="2" t="inlineStr">
        <is>
          <t>кинофильм</t>
        </is>
      </c>
      <c r="G6860" s="2" t="n"/>
      <c r="H6860" s="2" t="n">
        <v>1371</v>
      </c>
      <c r="I6860" s="2" t="inlineStr"/>
      <c r="J6860" s="2" t="inlineStr"/>
      <c r="K6860" s="3" t="inlineStr">
        <is>
          <t>За три дня до своего освобождения из тюрьмы сбегает вор в законе. Он считает, что иначе поступить не мог, так как, по воровским законам, вор не имеет права предать свое дело и начинать новую жизнь. За это лишают жизни. Сбежавший находит убежище внутри железной скульптурной композиции в виде серпа и молота, стоящей на краю поселка. Здесь его обнаруживает подросток и сообщает об этом своей матери. Сердобольная молодая женщина предлагает беглецу поесть. Мужчина нравится хозяйке дома, она соглашается на близость с ним. Но их отношениям не суждено продлиться. Вора арестовали. По дороге в лагерь он выпивает растворитель, который украл незадолго до этого. Считая самоубийцу умершим, его отправляют в морг, но патологоанатом обнаруживает, что в нем еще теплится жизнь, и решает перелить ему кровь. Нужная группа оказывается только у прапорщика, который привез умирающего. По дороге обратно в зону ослабевший прапорщик не может сам управлять лошадью, и заключенный вместо того, чтобы снова сбежать, везет его в лагерь. За то, что он все-таки вернулся, начальство закрывает глаза на факт побега. Но воровская братия избивает его и предупреждает: он не должен быть носителем крови «овчарки», поэтому обязан на проверке объявить, что оскорблен тем, что в него влили позорную кровь охранника, иначе его женщину убьют. Не в силах сделать выбор, заключенный вскрывает себе вены.</t>
        </is>
      </c>
      <c r="L6860" s="2" t="inlineStr">
        <is>
          <t>https://gosfilmofond.ru/films/251175/</t>
        </is>
      </c>
      <c r="M6860" s="2">
        <f>HYPERLINK("https://ru.wikipedia.org/w/index.php?search=%D0%9B%D0%B5%D0%B1%D0%B5%D0%B4%D0%B8%D0%BD%D0%BE%D0%B5%20%D0%BE%D0%B7%D0%B5%D1%80%D0%BE.%20%D0%97%D0%BE%D0%BD%D0%B0%201989%20%D1%84%D0%B8%D0%BB%D1%8C%D0%BC","искать")</f>
        <v/>
      </c>
      <c r="N6860" s="3" t="n"/>
      <c r="O6860" s="2" t="n"/>
      <c r="P6860" s="2" t="n"/>
    </row>
    <row r="6861">
      <c r="A6861" s="2" t="n">
        <v>6860</v>
      </c>
      <c r="B6861" s="2" t="inlineStr"/>
      <c r="C6861" s="2" t="n">
        <v>8178</v>
      </c>
      <c r="D6861" s="3" t="inlineStr">
        <is>
          <t>Поцелуй</t>
        </is>
      </c>
      <c r="E6861" s="2" t="n">
        <v>1983</v>
      </c>
      <c r="F6861" s="2" t="inlineStr">
        <is>
          <t>телефильм</t>
        </is>
      </c>
      <c r="G6861" s="2" t="n"/>
      <c r="H6861" s="2" t="n">
        <v>1377</v>
      </c>
      <c r="I6861" s="2" t="inlineStr"/>
      <c r="J6861" s="2" t="inlineStr"/>
      <c r="K6861" s="3" t="inlineStr">
        <is>
          <t>Фильм по мотивам одноимённого рассказа А. П. Чехова. Артиллерийская бригада остановилась в маленькой деревушке. Местный помещик, отставной генерал фон Раббек приглашает офицеров к себе в гости. Все офицеры, кроме поручика Рябовича, развлекаются — танцуют с прелестными девушками или играют на бильярде. Поручик застенчив, некрасив, он не танцует, не принимает участия в игре и вообще всем мешает.
Рябович отправляется бродить по дому, случайно слышит разговор жены генерала со своим мужем, которая жалуется ему, что визиты господ офицеров слишком дорого им обходятся. Потом Рябович случайно забредает в одну из тёмных комнат и там его вдруг обнимает и целует незнакомка. Поручик в растерянности возвращается к гостям, ломая голову, кто же из дам могла его поцеловать. Теперь этот нечаянный поцелуй занимает все его мысли.
Рябович рассказывает об этом случае офицерам и становится объектом шуток офицера Лобытко. Его шутки все больше раздражают Рябовича и он вызывает Лобытко на дуэль, которая заканчивается примирением друзей. После похода под проливным дождем бригада возвращается вновь в маленькую деревушку. Разговор заходит о визите к фон Раббеку. Рябович потерянно бродит около реки, чувствуя, как бесцветна и скудна его жизнь. Когда он возвращается к себе в избу, то узнаёт, что офицеры уже ушли в гости. Но поручику не хочется бередить свои раны и он не идёт к генералу.</t>
        </is>
      </c>
      <c r="L6861" s="2" t="inlineStr">
        <is>
          <t>https://ru.wikipedia.org/w/index.php?title=%D0%9F%D0%BE%D1%86%D0%B5%D0%BB%D1%83%D0%B9_%28%D1%84%D0%B8%D0%BB%D1%8C%D0%BC%2C_1983%29&amp;oldid=155622904</t>
        </is>
      </c>
      <c r="M6861" s="2">
        <f>HYPERLINK("https://ru.wikipedia.org/w/index.php?search=%D0%9F%D0%BE%D1%86%D0%B5%D0%BB%D1%83%D0%B9%201983%20%D1%84%D0%B8%D0%BB%D1%8C%D0%BC","искать")</f>
        <v/>
      </c>
      <c r="N6861" s="3" t="n"/>
      <c r="O6861" s="2" t="n"/>
      <c r="P6861" s="2" t="n"/>
    </row>
    <row r="6862">
      <c r="A6862" s="2" t="n">
        <v>6861</v>
      </c>
      <c r="B6862" s="2" t="inlineStr"/>
      <c r="C6862" s="2" t="n">
        <v>10330</v>
      </c>
      <c r="D6862" s="3" t="inlineStr">
        <is>
          <t>Смерть Вазир-Мухтара</t>
        </is>
      </c>
      <c r="E6862" s="2" t="n">
        <v>1969</v>
      </c>
      <c r="F6862" s="2" t="inlineStr">
        <is>
          <t>фильм-спектакль</t>
        </is>
      </c>
      <c r="G6862" s="2" t="inlineStr">
        <is>
          <t>Ленинградское ТВ</t>
        </is>
      </c>
      <c r="H6862" s="2" t="n">
        <v>1382</v>
      </c>
      <c r="I6862" s="2" t="inlineStr"/>
      <c r="J6862" s="2" t="inlineStr"/>
      <c r="K6862" s="3" t="inlineStr">
        <is>
          <t>Часть первая. 1828 год. На приёме у Николая I коллежский советник Грибоедов вручает императору доставленный им текст Туркманчайского мирного договора. Государь удостаивает его личной аудиенции. Дальнейшее действие первой части фильма уделено петербургским встречам Грибоедова с Пушкиным, Булгариным, Чаадаевым, генералом Ермоловым. Он излагает свой проект экономических реформ в Персии графу Нессельроде и члену Государственного совета Родофиникину, но получает молчаливый отказ. Грибоедова назначают русским посланником в Персии, чем, по его собственному убеждению, «отправляют на съедение».
Часть вторая. По дороге в Тегеран Грибоедов заезжает к своему родственнику, командующему русскими войсками в турецкой кампании 1828 года генералу Паскевичу. Прибыв к месту службы, Грибоедов в новой должности сталкивается с трудностями: разорённые войной персы не в состоянии выплачивать дань в соответствии с мирным соглашением. С фактического одобрения местных сановников Грибоедову — «кяфиру в очках», мусульманские фанатики объявляют джихад. Формальным поводом служит прибежище, которое тот предоставил нескольким сбежавшим из персидской неволи пленникам. Толпа, ворвавшаяся в русское посольство, убивает почти 40 казаков конвоя и главу миссии — Грибоедова. Николай I, приняв от персидского посланника щедрые дары, указал «предать вечному забвению злополучное тегеранское происшествие».</t>
        </is>
      </c>
      <c r="L6862" s="2" t="inlineStr">
        <is>
          <t>https://ru.wikipedia.org/w/index.php?title=%D0%A1%D0%BC%D0%B5%D1%80%D1%82%D1%8C_%D0%92%D0%B0%D0%B7%D0%B8%D1%80-%D0%9C%D1%83%D1%85%D1%82%D0%B0%D1%80%D0%B0_%28%D1%82%D0%B5%D0%BB%D0%B5%D1%81%D0%BF%D0%B5%D0%BA%D1%82%D0%B0%D0%BA%D0%BB%D1%8C%29&amp;oldid=149105015</t>
        </is>
      </c>
      <c r="M6862" s="2">
        <f>HYPERLINK("https://ru.wikipedia.org/w/index.php?search=%D0%A1%D0%BC%D0%B5%D1%80%D1%82%D1%8C%20%D0%92%D0%B0%D0%B7%D0%B8%D1%80-%D0%9C%D1%83%D1%85%D1%82%D0%B0%D1%80%D0%B0%201969%20%D1%84%D0%B8%D0%BB%D1%8C%D0%BC","искать")</f>
        <v/>
      </c>
      <c r="N6862" s="3" t="n"/>
      <c r="O6862" s="2" t="n"/>
      <c r="P6862" s="2" t="n"/>
    </row>
    <row r="6863">
      <c r="A6863" s="2" t="n">
        <v>6862</v>
      </c>
      <c r="B6863" s="2" t="inlineStr"/>
      <c r="C6863" s="2" t="n">
        <v>7242</v>
      </c>
      <c r="D6863" s="3" t="inlineStr">
        <is>
          <t>Безумный день инженера Баркасова</t>
        </is>
      </c>
      <c r="E6863" s="2" t="n">
        <v>1982</v>
      </c>
      <c r="F6863" s="2" t="inlineStr">
        <is>
          <t>телефильм</t>
        </is>
      </c>
      <c r="G6863" s="2" t="inlineStr">
        <is>
          <t>к/с им. Горького</t>
        </is>
      </c>
      <c r="H6863" s="2" t="n">
        <v>1383</v>
      </c>
      <c r="I6863" s="2" t="inlineStr"/>
      <c r="J6863" s="2" t="inlineStr"/>
      <c r="K6863" s="3" t="inlineStr">
        <is>
          <t>1920-е годы. Главный герой фильма, инженер Алексей Гаврилович Баркасов (Василий Бочкарёв), целый день попадает в нелепые и анекдотические ситуации.
Он — ответственный работник, руководитель крупного учреждения и совсем вымотался от навалившихся на него неотложных дел. По совету врача (Александр Лазарев) его заместитель (Михаил Кононов) купил для своего начальника два билета в оперетту и приказал секретарше Софочке Крутецкой (Ольга Остроумова) сопровождать Баркасова на вечернем представлении.
Тёща Алексея Гавриловича (Евгения Ханаева) давно намекала своей дочери (Наталья Сайко), что долгое отсутствие её мужа не всегда связано с его работой. Вернувшийся домой за забытыми бумагами, Баркасов сказал, что у него и сегодня загружен целый день. Уходя, он случайно перепутал свой портфель с точно таким же портфелем работавшего в их квартире представителя электроконтроля (Виктор Сергачёв). К ужасу жены, там лежали коробка конфет и цветы.
Тем временем злополучный портфель ещё несколько раз по недоразумению меняет хозяев, а ревнивый муж Софочки (Игорь Дмитриев) вводит в заблуждение Абрамоткина (Пётр Щербаков), ухажёра машинистки Насти Тройкиной (Ирина Резникова), о том, кто с кем должен идти в театр.
Рассерженный Абрамоткин приводит в дом к Насте жену и тёщу Баркасова и только там выясняется, что он оставался верен своей жене, а всё случившееся не больше, чем недоразумение.</t>
        </is>
      </c>
      <c r="L6863" s="2" t="inlineStr">
        <is>
          <t>https://ru.wikipedia.org/w/index.php?title=%D0%91%D0%B5%D0%B7%D1%83%D0%BC%D0%BD%D1%8B%D0%B9_%D0%B4%D0%B5%D0%BD%D1%8C_%D0%B8%D0%BD%D0%B6%D0%B5%D0%BD%D0%B5%D1%80%D0%B0_%D0%91%D0%B0%D1%80%D0%BA%D0%B0%D1%81%D0%BE%D0%B2%D0%B0&amp;oldid=145494143</t>
        </is>
      </c>
      <c r="M6863" s="2">
        <f>HYPERLINK("https://ru.wikipedia.org/w/index.php?search=%D0%91%D0%B5%D0%B7%D1%83%D0%BC%D0%BD%D1%8B%D0%B9%20%D0%B4%D0%B5%D0%BD%D1%8C%20%D0%B8%D0%BD%D0%B6%D0%B5%D0%BD%D0%B5%D1%80%D0%B0%20%D0%91%D0%B0%D1%80%D0%BA%D0%B0%D1%81%D0%BE%D0%B2%D0%B0%201982%20%D1%84%D0%B8%D0%BB%D1%8C%D0%BC","искать")</f>
        <v/>
      </c>
      <c r="N6863" s="3" t="n"/>
      <c r="O6863" s="2" t="n"/>
      <c r="P6863" s="2" t="n"/>
    </row>
    <row r="6864">
      <c r="A6864" s="2" t="n">
        <v>6863</v>
      </c>
      <c r="B6864" s="2" t="inlineStr"/>
      <c r="C6864" s="2" t="n">
        <v>9410</v>
      </c>
      <c r="D6864" s="3" t="inlineStr">
        <is>
          <t>Караул</t>
        </is>
      </c>
      <c r="E6864" s="2" t="n">
        <v>1989</v>
      </c>
      <c r="F6864" s="2" t="inlineStr">
        <is>
          <t>кинофильм</t>
        </is>
      </c>
      <c r="G6864" s="2" t="n"/>
      <c r="H6864" s="2" t="n">
        <v>1383</v>
      </c>
      <c r="I6864" s="2" t="inlineStr"/>
      <c r="J6864" s="2" t="inlineStr"/>
      <c r="K6864" s="3" t="inlineStr">
        <is>
          <t>Солдаты внутренних войск Советской Армии сопровождают эшелон с заключенными. Здесь царят «лагерные» законы. «Деды» требуют от младших по званию беспрекословного подчинения. Командир караула прапорщик Паромов добивается единственного: приказы должны выполняться немедленно. Дабы оградить себя от атмосферы вагона-тюрьмы, Паромов в своем купе постоянно слушает музыку Моцарта и пишет некое психологическое эссе о Человеке и разумном государственном устройстве. Но по-настоящему
пытается сберечь в себе человеческое начало первогодок Андрей Иверень. «Деды» испытывают к нему откровенную ненависть — за то, что у Андрея хорошее образование, за то, что к заключенным он относится без презрения. «Деды» постоянно заставляют парня чистить туалет. Один разгулявшийся сержант подвергает его унизительной муштре, издеваясь и над другим новобранцем — татарином Хаустовым, оскорбляя его национальные чувства. Однажды пьяные солдаты берут в вагон проститутку и поочередно, нацепив на себя противогазы, насилуют ее. «Деды» хотят втянуть в преступление и первогодков, для чего силой заставляют Андрея выпить портвейн. Он сопротивляется, и его жестоко избивают. В драке Иверень выхватывает пистолет и разряжает в подлецов обойму. Андрей пытается затеряться в большом городе, но его находят. Не желая сдаваться, парень с пистолетом в руке выбегает навстречу преследователям и падает, сраженный пулей.</t>
        </is>
      </c>
      <c r="L6864" s="2" t="inlineStr">
        <is>
          <t>https://gosfilmofond.ru/films/253186/</t>
        </is>
      </c>
      <c r="M6864" s="2">
        <f>HYPERLINK("https://ru.wikipedia.org/w/index.php?search=%D0%9A%D0%B0%D1%80%D0%B0%D1%83%D0%BB%201989%20%D1%84%D0%B8%D0%BB%D1%8C%D0%BC","искать")</f>
        <v/>
      </c>
      <c r="N6864" s="3" t="n"/>
      <c r="O6864" s="2" t="n"/>
      <c r="P6864" s="2" t="n"/>
    </row>
    <row r="6865">
      <c r="A6865" s="2" t="n">
        <v>6864</v>
      </c>
      <c r="B6865" s="2" t="inlineStr"/>
      <c r="C6865" s="2" t="n">
        <v>11193</v>
      </c>
      <c r="D6865" s="3" t="inlineStr">
        <is>
          <t>День рождения</t>
        </is>
      </c>
      <c r="E6865" s="2" t="n">
        <v>1988</v>
      </c>
      <c r="F6865" s="2" t="inlineStr">
        <is>
          <t>фильм-спектакль</t>
        </is>
      </c>
      <c r="G6865" s="2" t="inlineStr">
        <is>
          <t>ВПТО "Видеофильм"</t>
        </is>
      </c>
      <c r="H6865" s="2" t="n">
        <v>1389</v>
      </c>
      <c r="I6865" s="2" t="inlineStr"/>
      <c r="J6865" s="2" t="inlineStr"/>
      <c r="K6865" s="3" t="inlineStr">
        <is>
          <t>По пьесе Л.Разумовской "Дорогая Елена Сергеевна"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Но цель у ребят другая. Под предлогом поздравления с днем рождения они просят ее выполнить одну "пустяковую" просьбу, от выполнения которой зависит их будущее. Праздничный вечер постепенно превращается в жестокий фарс, где любимые ученики начинают играть роли настоящих подонков и хамов, "оправдывая свою подлость несовершенством мира".
В фильме снимались актёры московского театра-студии на Спартаковской площади ("Модернъ"). Театр был образован в 1988 году на основе выпускного курса Щепкинского театрального училища (это был последний курс, которым руководил Народный артист СССР М.И.Царев), под названием Театра-студии на Спартаковской площади. Уже первый спектакль "Дорогая Елена Сергеевна" Людмилы Разумовской прославил молодую труппу, в дальнейшем совершившую с этой постановкой триумфальное турне по всей Югославии (фестиваль "Перестройка в СССР", 1989), а затем в течение нескольких месяцев гастролировавшую в США (Лос-Анджелес - Чикаго, 1990). Он был одним из первых профессиональных театров-студий, которые смогли не только доказать свою жизнеспособность, но и заявить о своем собственном творческом кредо. Спектакль "Дорогая Елена Сергеевна" стал хитом нескольких сезонов.</t>
        </is>
      </c>
      <c r="L6865" s="2" t="inlineStr">
        <is>
          <t>https://www.kino-teatr.ru/teatr/movie/101643/annot/</t>
        </is>
      </c>
      <c r="M6865" s="2">
        <f>HYPERLINK("https://ru.wikipedia.org/w/index.php?search=%D0%94%D0%B5%D0%BD%D1%8C%20%D1%80%D0%BE%D0%B6%D0%B4%D0%B5%D0%BD%D0%B8%D1%8F%201988%20%D1%84%D0%B8%D0%BB%D1%8C%D0%BC","искать")</f>
        <v/>
      </c>
      <c r="N6865" s="3" t="n"/>
      <c r="O6865" s="2" t="n"/>
      <c r="P6865" s="2" t="n"/>
    </row>
    <row r="6866">
      <c r="A6866" s="2" t="n">
        <v>6865</v>
      </c>
      <c r="B6866" s="2" t="inlineStr"/>
      <c r="C6866" s="2" t="n">
        <v>8075</v>
      </c>
      <c r="D6866" s="3" t="inlineStr">
        <is>
          <t>Ошибка Тони Вендиса</t>
        </is>
      </c>
      <c r="E6866" s="2" t="n">
        <v>1981</v>
      </c>
      <c r="F6866" s="2" t="inlineStr">
        <is>
          <t>телефильм</t>
        </is>
      </c>
      <c r="G6866" s="2" t="n"/>
      <c r="H6866" s="2" t="n">
        <v>1396</v>
      </c>
      <c r="I6866" s="2" t="inlineStr"/>
      <c r="J6866" s="2" t="inlineStr"/>
      <c r="K6866" s="3" t="inlineStr">
        <is>
          <t>Бывший теннисист Тони Вендис женат на Марго — красивой и состоятельной женщине. Он не любит её, а расстаться не желает, так как не хочет лишиться своей обеспеченной жизни. К тому же Вендис знает, что у Марго был любовник — некто Макс Клайд, писатель детективных романов. Он опасается, что Марго оставит его.
Тони шантажом вынуждает давнего знакомого по колледжу, человека сомнительной репутации по фамилии Сван, согласиться совершить убийство жены. По плану Вендиса, Сван должен проникнуть в квартиру под видом вора и задушить Марго. После убийства — инсценировать ограбление, чтобы полиция решила, что её убил вор, которого обнаружили. Для этого Тони отдаёт Свану ключ своей жены от их квартиры, который он заранее выкрал.
Но первоначальный план срывается: Марго, защищаясь, случайно убила Свана. Тогда Вендис придумывает хитроумный план — он подкладывает в одежду убитого Свана личные письма Марго, которые дискредитировали её.
Теперь убийство Свана выглядит спланированным заранее, так как он предположительно шантажировал Марго разоблачением её связи с Максом Клайдом.
Расследование не доказывает невиновности Марго, которая по обвинению в умышленном убийстве приговаривается к смертной казни.
Ах, Тони, Тони. Всё ты, казалось бы, предусмотрел, да об одном забыл — идеальных преступлений не бывает.
Всё же ты допустил маленькую ошибку, и будешь изобличён, а невиновность Марго будет доказана!</t>
        </is>
      </c>
      <c r="L6866" s="2" t="inlineStr">
        <is>
          <t>https://ru.wikipedia.org/w/index.php?title=%D0%9E%D1%88%D0%B8%D0%B1%D0%BA%D0%B0_%D0%A2%D0%BE%D0%BD%D0%B8_%D0%92%D0%B5%D0%BD%D0%B4%D0%B8%D1%81%D0%B0&amp;oldid=154878546</t>
        </is>
      </c>
      <c r="M6866" s="2">
        <f>HYPERLINK("https://ru.wikipedia.org/w/index.php?search=%D0%9E%D1%88%D0%B8%D0%B1%D0%BA%D0%B0%20%D0%A2%D0%BE%D0%BD%D0%B8%20%D0%92%D0%B5%D0%BD%D0%B4%D0%B8%D1%81%D0%B0%201981%20%D1%84%D0%B8%D0%BB%D1%8C%D0%BC","искать")</f>
        <v/>
      </c>
      <c r="N6866" s="3" t="n"/>
      <c r="O6866" s="2" t="n"/>
      <c r="P6866" s="2" t="n"/>
    </row>
    <row r="6867">
      <c r="A6867" s="2" t="n">
        <v>6866</v>
      </c>
      <c r="B6867" s="2" t="inlineStr"/>
      <c r="C6867" s="2" t="n">
        <v>8671</v>
      </c>
      <c r="D6867" s="3" t="inlineStr">
        <is>
          <t>Все мы немножко лошади</t>
        </is>
      </c>
      <c r="E6867" s="2" t="n">
        <v>1988</v>
      </c>
      <c r="F6867" s="2" t="inlineStr">
        <is>
          <t>кинофильм</t>
        </is>
      </c>
      <c r="G6867" s="2" t="n"/>
      <c r="H6867" s="2" t="n">
        <v>1396</v>
      </c>
      <c r="I6867" s="2" t="inlineStr"/>
      <c r="J6867" s="2" t="inlineStr"/>
      <c r="K6867" s="3" t="inlineStr">
        <is>
          <t>Пятнадцатилетняя школьница Рано Кадырова занимается в хореографическом училище и мечтает стать балериной. Но после травмы, полученной на выпускном спектакле, становится ясно, что девочка не сможет больше танцевать. Окна больничной палаты выходят на манеж, где грациозно бегают лошади во время тренировок, и Рано часто любуется одним светло-серым скакуном. Глядя на него, девочка вспоминает, как в детстве с родителями переправлялась на пароме через реку, упала за борт, и светло-серый красавец конь, прыгнув в воду, спас ее. Придя в конно-спортивную школу, Рано пожелала тренироваться на Глене — чистопородном жеребце, в котором девочка узнает своего спасителя. Но на нем выступает злой и жестокий наездник Батыров. Позже было решено передать старого коня на конезавод. Рано добивается того, чтобы Глена оставили, и скоро становится отличной наездницей. Она побеждает на соревнованиях юношеской
категории и начинает подготовку к серьезным испытаниям взрослых наездников. И снова беда: пьяные конюхи обливают Глена холодной водой, и конь заболевает. Но Рано не сдается. Узнав, что в горах живет старый лекарь, который буквально творит чудеса, ночью отводит к нему коня. Лекарю удается вылечить старого чемпиона. Начинаются соревнования. Первые два этапа кросса для Рано и Глена становятся победными. Остается решающий день. Но обессилевший конь исчерпал свои силы и, не выдержав нагрузки, умирает.</t>
        </is>
      </c>
      <c r="L6867" s="2" t="inlineStr">
        <is>
          <t>https://gosfilmofond.ru/films/239795/</t>
        </is>
      </c>
      <c r="M6867" s="2">
        <f>HYPERLINK("https://ru.wikipedia.org/w/index.php?search=%D0%92%D1%81%D0%B5%20%D0%BC%D1%8B%20%D0%BD%D0%B5%D0%BC%D0%BD%D0%BE%D0%B6%D0%BA%D0%BE%20%D0%BB%D0%BE%D1%88%D0%B0%D0%B4%D0%B8%201988%20%D1%84%D0%B8%D0%BB%D1%8C%D0%BC","искать")</f>
        <v/>
      </c>
      <c r="N6867" s="3" t="n"/>
      <c r="O6867" s="2" t="n"/>
      <c r="P6867" s="2" t="n"/>
    </row>
    <row r="6868">
      <c r="A6868" s="2" t="n">
        <v>6867</v>
      </c>
      <c r="B6868" s="2" t="inlineStr"/>
      <c r="C6868" s="2" t="n">
        <v>9717</v>
      </c>
      <c r="D6868" s="3" t="inlineStr">
        <is>
          <t>Утомлённое солнце</t>
        </is>
      </c>
      <c r="E6868" s="2" t="n">
        <v>1988</v>
      </c>
      <c r="F6868" s="2" t="inlineStr">
        <is>
          <t>кинофильм</t>
        </is>
      </c>
      <c r="G6868" s="2" t="n"/>
      <c r="H6868" s="2" t="n">
        <v>1397</v>
      </c>
      <c r="I6868" s="2" t="inlineStr"/>
      <c r="J6868" s="2" t="inlineStr"/>
      <c r="K6868" s="3" t="inlineStr">
        <is>
          <t>1945 год. Назревает Советско-японская война. На секретной японской базе в заброшенной шахте на территории Кореи, занятой японскими войсками, проводятся разработки и испытания бактериологического оружия, чтобы реализовать «План Сакуры» — совершить тотальную биологическую атаку на мир.
Трое советских разведчиков, среди которых юная санинструктор Маша Цуканова, вместе с северо-корейским партизаном высаживаются у контролируемого японцами прибрежного города Чхонджин. Японская контрразведка при попытке схватить партизана убивает его, начинает прочёсывать побережье, используя местных жителей в качестве живого щита. Двоих разведчиков японцы убивают, но девушку спасает молодой рыбак-кореец из местной деревни, который помогает ей обнаружить секретную японскую базу. С помощью рыбака Маша успевает доставить информацию о базе, и базу захватывает советский десант. При попытке японцев отбить базу десант погибает в неравном бою, и Маша — последняя оставшаяся в живых — ценой свой жизни взрывает заминированную базу, чтоб уничтожить её и разрушить «План Сакуры».
После войны молодой рыбак-кореец, ставший солдатом Корейской народной армии, ищет Машу и, узнав о её смерти, говорит: «Маша жива — она всегда среди нас».
Последний кадр фильма: памятник санинструктору Марии Цукановой на братской могиле советских воинов в городе Чхонджине — в боях там (13-17.08.1945) погибла Мария Цуканова в реальности.</t>
        </is>
      </c>
      <c r="L6868" s="2" t="inlineStr">
        <is>
          <t>https://ru.wikipedia.org/w/index.php?title=%D0%A3%D1%82%D0%BE%D0%BC%D0%BB%D1%91%D0%BD%D0%BD%D0%BE%D0%B5_%D1%81%D0%BE%D0%BB%D0%BD%D1%86%D0%B5_%28%D1%84%D0%B8%D0%BB%D1%8C%D0%BC%29&amp;oldid=154710168</t>
        </is>
      </c>
      <c r="M6868" s="2">
        <f>HYPERLINK("https://ru.wikipedia.org/w/index.php?search=%D0%A3%D1%82%D0%BE%D0%BC%D0%BB%D1%91%D0%BD%D0%BD%D0%BE%D0%B5%20%D1%81%D0%BE%D0%BB%D0%BD%D1%86%D0%B5%201988%20%D1%84%D0%B8%D0%BB%D1%8C%D0%BC","искать")</f>
        <v/>
      </c>
      <c r="N6868" s="3" t="n"/>
      <c r="O6868" s="2" t="n"/>
      <c r="P6868" s="2" t="n"/>
    </row>
    <row r="6869">
      <c r="A6869" s="2" t="n">
        <v>6868</v>
      </c>
      <c r="B6869" s="2" t="inlineStr"/>
      <c r="C6869" s="2" t="n">
        <v>9784</v>
      </c>
      <c r="D6869" s="3" t="inlineStr">
        <is>
          <t>Я не приезжий, я здесь живу</t>
        </is>
      </c>
      <c r="E6869" s="2" t="n">
        <v>1988</v>
      </c>
      <c r="F6869" s="2" t="inlineStr">
        <is>
          <t>кинофильм</t>
        </is>
      </c>
      <c r="G6869" s="2" t="n"/>
      <c r="H6869" s="2" t="n">
        <v>1401</v>
      </c>
      <c r="I6869" s="2" t="inlineStr"/>
      <c r="J6869" s="2" t="inlineStr"/>
      <c r="K6869" s="3" t="inlineStr">
        <is>
          <t>1-я серия. Современный Таллин. Март Кангур, инженер по профессии, увлеченно занимается риэлторством: он без конца устраивает какие-то обмены и переезды, его телефон непрерывно звонит, и картотека клиентов пополняется. Из-за этого занятия у Марта серьезный конфликт с женой: Мерике берет ребенка и уходит к родителям. На просьбы Марта вернуться она отвечает, что сделает это, если он выбросит картотеку своих клиентов. Март готов уже пожертвовать своим увлечением, но знакомство с актером Феликсом
Крамвольтом заставляет его изменить свое решение. Феликс, человек незаурядный, несколько экстравагантный, подрабатывает в котельной, там же и живет. Его, как и Марта, беспокоит судьба Эстонии, он также размышляет о проблемах ее жителей, о мигрантах.
2-я серия. Личная жизнь Феликса не складывается — из-за отсутствия нормального жилья его роман с Мими находится под угрозой. Феликс обращается к Марту, чтобы разменять квартиру брата. Март ищет для него подходящий обмен. Но неожиданно клиентка Марта, вздорная русская женщина, подает на него в суд. На Марта заводят уголовное дело. Феликс отказывается от обмена и уезжает сторожить маленький дачный домик. В Таллине проходит демонстрация молодежи, протестующей против фосфоритных разработок в
заповедных местах. Феликс возвращается в Таллин и снова встречается с Мартом Кангуром. Март с радостью сообщает, что нашел для него замечательный вариант обмена.</t>
        </is>
      </c>
      <c r="L6869" s="2" t="inlineStr">
        <is>
          <t>https://gosfilmofond.ru/films/240561/</t>
        </is>
      </c>
      <c r="M6869" s="2">
        <f>HYPERLINK("https://ru.wikipedia.org/w/index.php?search=%D0%AF%20%D0%BD%D0%B5%20%D0%BF%D1%80%D0%B8%D0%B5%D0%B7%D0%B6%D0%B8%D0%B9%2C%20%D1%8F%20%D0%B7%D0%B4%D0%B5%D1%81%D1%8C%20%D0%B6%D0%B8%D0%B2%D1%83%201988%20%D1%84%D0%B8%D0%BB%D1%8C%D0%BC","искать")</f>
        <v/>
      </c>
      <c r="N6869" s="3" t="n"/>
      <c r="O6869" s="2" t="n"/>
      <c r="P6869" s="2" t="n"/>
    </row>
    <row r="6870">
      <c r="A6870" s="2" t="n">
        <v>6869</v>
      </c>
      <c r="B6870" s="2" t="inlineStr"/>
      <c r="C6870" s="2" t="n">
        <v>9094</v>
      </c>
      <c r="D6870" s="3" t="inlineStr">
        <is>
          <t>Тапёр</t>
        </is>
      </c>
      <c r="E6870" s="2" t="n">
        <v>1989</v>
      </c>
      <c r="F6870" s="2" t="inlineStr">
        <is>
          <t>кинофильм</t>
        </is>
      </c>
      <c r="G6870" s="2" t="n"/>
      <c r="H6870" s="2" t="n">
        <v>1406</v>
      </c>
      <c r="I6870" s="2" t="inlineStr"/>
      <c r="J6870" s="2" t="inlineStr"/>
      <c r="K6870" s="3" t="inlineStr">
        <is>
          <t>Талантливый мальчик из рабочей семьи мечтает стать пианистом. Отец ведёт его на прослушивание к профессору и получает заверение, что из ребёнка никогда не получится хорошего музыканта.
Благодаря упорному труду Лаймонис поступает в консерваторию и успешно заканчивает её. С раннего детства вращаясь в среде музыкантов, Лаймонис имеет постоянную возможность подработать тапёром в ресторанах и танцевальных залах.
На одной из таких вечеринок он встречает Аниту, учившуюся с ним в школе, и женится на ней. В доме молодожёнов побеждает атмосфера постоянного веселья с неизменной выпивкой. Он едва не теряет возможность заниматься любимым делом. Его, молодого руководителя эстрадного оркестра, выгоняют за прогул из филармонии. Жена уходит к другому, и кажется, что жизнь уже окончена.
Неожиданно по радио передают написанную им песню, и друзья помогают восстановиться на работе. Он едет отдохнуть и немного подработать на Черноморское побережье. Там он встречает и влюбляется в Ребеку, женщину, ставшую его надёжной опорой. Зная, что ему не надо волноваться о доме, он с головой уходит в работу и создаёт на базе старого оркестра новый перспективный коллектив.
Его песни из года в год занимают первые места в списках популярных исполнителей. Музыка заполнила его жизнь полностью. Старые друзья ушли, новые не появились, всё растворилось на нотном листе. Он остался тем же тапёром, каким был в годы своей юности.</t>
        </is>
      </c>
      <c r="L6870" s="2" t="inlineStr">
        <is>
          <t>https://ru.wikipedia.org/w/index.php?title=%D0%A2%D0%B0%D0%BF%D1%91%D1%80_%28%D1%84%D0%B8%D0%BB%D1%8C%D0%BC%29&amp;oldid=149105873</t>
        </is>
      </c>
      <c r="M6870" s="2">
        <f>HYPERLINK("https://ru.wikipedia.org/w/index.php?search=%D0%A2%D0%B0%D0%BF%D1%91%D1%80%201989%20%D1%84%D0%B8%D0%BB%D1%8C%D0%BC","искать")</f>
        <v/>
      </c>
      <c r="N6870" s="3" t="n"/>
      <c r="O6870" s="2" t="n"/>
      <c r="P6870" s="2" t="n"/>
    </row>
    <row r="6871">
      <c r="A6871" s="2" t="n">
        <v>6870</v>
      </c>
      <c r="B6871" s="2" t="inlineStr"/>
      <c r="C6871" s="2" t="n">
        <v>9405</v>
      </c>
      <c r="D6871" s="3" t="inlineStr">
        <is>
          <t>Каменная душа</t>
        </is>
      </c>
      <c r="E6871" s="2" t="n">
        <v>1988</v>
      </c>
      <c r="F6871" s="2" t="inlineStr">
        <is>
          <t>кинофильм</t>
        </is>
      </c>
      <c r="G6871" s="2" t="n"/>
      <c r="H6871" s="2" t="n">
        <v>1406</v>
      </c>
      <c r="I6871" s="2" t="inlineStr"/>
      <c r="J6871" s="2" t="inlineStr"/>
      <c r="K6871" s="3" t="inlineStr">
        <is>
          <t>По одноименной повести Г. Хоткевича. Дмитро Марусяка забирают в солдаты. Его невеста Катерина
выходит замуж за недруга своего жениха — старосту Юриштана, который обещал ей вызволить парня из рекрутской неволи. Между тем Дмитро бежит из армии в горы и становится атаманом опрышков —
народных повстанцев. В горах он встречает Марию, жену отца Василия, сбежавшую от скучной поповской жизни. Полюбив юношу, она присоединяется к его отряду. Но недолго длится их роман, так как Марусяк продолжает любить Катерину и все время думает только о ней. Чтобы отделаться от Марии, он предлагает ее в подарок одному из своих товарищей. Не хочет он больше быть и атаманом, так как повстанцы, как разбойники, стали грабить всех подряд, убивать невинных людей. Однажды с группой опрышков Марусяк проникает в дом Юриштана. Он хочет забрать с собой Катерину, но та, наслышанная о кровавых делах его шайки, отвечает категорическим отказом. Узнав об их встрече, Юриштан до смерти избивает Катерину. Тем временем пушкари преследуют и уничтожают почти весь отряд Марусяка. В живых остаются только двое — Марусяк и его друг Бидочук. Пушкари уже совсем рядом. Бидочук идет к границе, а Марусяк остается, у него нет больше желания сражаться, бежать и даже жить. Внизу, в долине, звучит траурная музыка — это хоронят
Катерину. Сыграв на флейте свою любимую мелодию, Дмитро умирает. Группа подошедших пушкарей склоняется над его телом.</t>
        </is>
      </c>
      <c r="L6871" s="2" t="inlineStr">
        <is>
          <t>https://gosfilmofond.ru/films/240276/</t>
        </is>
      </c>
      <c r="M6871" s="2">
        <f>HYPERLINK("https://ru.wikipedia.org/w/index.php?search=%D0%9A%D0%B0%D0%BC%D0%B5%D0%BD%D0%BD%D0%B0%D1%8F%20%D0%B4%D1%83%D1%88%D0%B0%201988%20%D1%84%D0%B8%D0%BB%D1%8C%D0%BC","искать")</f>
        <v/>
      </c>
      <c r="N6871" s="3" t="n"/>
      <c r="O6871" s="2" t="n"/>
      <c r="P6871" s="2" t="n"/>
    </row>
    <row r="6872">
      <c r="A6872" s="2" t="n">
        <v>6871</v>
      </c>
      <c r="B6872" s="2" t="inlineStr"/>
      <c r="C6872" s="2" t="n">
        <v>11039</v>
      </c>
      <c r="D6872" s="3" t="inlineStr">
        <is>
          <t>Ретро</t>
        </is>
      </c>
      <c r="E6872" s="2" t="n">
        <v>1984</v>
      </c>
      <c r="F6872" s="2" t="inlineStr">
        <is>
          <t>фильм-спектакль</t>
        </is>
      </c>
      <c r="G6872" s="2" t="n"/>
      <c r="H6872" s="2" t="n">
        <v>1409</v>
      </c>
      <c r="I6872" s="2" t="inlineStr"/>
      <c r="J6872" s="2" t="inlineStr"/>
      <c r="K6872" s="3" t="inlineStr">
        <is>
          <t>Малый театр.
Пьеса А. Галина "Ретро", написанная в середине 70-х годов, до сих пор не сходит со сцены: у нее прочный кассовый успех.
Дочь вместе с мужем пытается устроить судьбу старика-отца. Старик этот приехал в Москву из деревни, он страдает от одиночества и от чужой ему городской жизни; он охотно общается разве что с залетающими уличными птицами, хотя живет в хорошей квартире с дочерью и зятем. А они в свою очередь, чтобы отвлечь отца от грустных стариковских мыслей и исключительно из благих побуждений, решают женить его и подбирают "невест". Все три невесты приходят на смотрины и возникает много смешных ситуаций, поскольку невесты по ошибке явились все разом. Это три пенсионерки – эксцентричная экс-балерина, строгая экс-медсестра из психушки и сердобольная мать семейства. Но между одинокими стариками пробуждается интерес друг к другу, возникают теплые отношения и надежда, что в жизни что-нибудь изменится.
Мудрая пьеса напоминает нам о том, что все мы когда-нибудь станем стариками, а какой она будет, наша старость, зависит от того с кем рядом мы ее встретим. Какие духовные ценности в детей вложим, то от них в старости и получим…
Принято считать, что такие житейские театральные истории об одиноких стариках и их современных детях не могут устареть.
"Ретро" - лирическая комедия – это когда вам все время смешно, а потом непременно должно стать грустно, потому что речь идет о неизбежном.</t>
        </is>
      </c>
      <c r="L6872" s="2" t="inlineStr">
        <is>
          <t>https://www.kino-teatr.ru/teatr/movie/94961/annot/</t>
        </is>
      </c>
      <c r="M6872" s="2">
        <f>HYPERLINK("https://ru.wikipedia.org/w/index.php?search=%D0%A0%D0%B5%D1%82%D1%80%D0%BE%201984%20%D1%84%D0%B8%D0%BB%D1%8C%D0%BC","искать")</f>
        <v/>
      </c>
      <c r="N6872" s="3" t="n"/>
      <c r="O6872" s="2" t="n"/>
      <c r="P6872" s="2" t="n"/>
    </row>
    <row r="6873">
      <c r="A6873" s="2" t="n">
        <v>6872</v>
      </c>
      <c r="B6873" s="2" t="inlineStr"/>
      <c r="C6873" s="2" t="n">
        <v>11426</v>
      </c>
      <c r="D6873" s="3" t="inlineStr">
        <is>
          <t>Поди туда, не знаю куда</t>
        </is>
      </c>
      <c r="E6873" s="2" t="n">
        <v>1966</v>
      </c>
      <c r="F6873" s="2" t="inlineStr">
        <is>
          <t>мультфильм</t>
        </is>
      </c>
      <c r="G6873" s="2" t="inlineStr">
        <is>
          <t>Союзмультфильм</t>
        </is>
      </c>
      <c r="H6873" s="2" t="n">
        <v>1411</v>
      </c>
      <c r="I6873" s="2" t="inlineStr"/>
      <c r="J6873" s="2" t="inlineStr"/>
      <c r="K6873" s="3" t="inlineStr">
        <is>
          <t>Жил встарь один царь. Был среди его слуг охотник Сергей. Спас он однажды голубку от когтей коршуна, обернулась она прекрасной девицей Марьей. Поженились Сергей и Марья. Соткала она дивной красоты ковер, который Сергей продал цапскому советнику. Тот перепродал ковер царю дороже, а сам поехал заказать мастерице еще десять ковров. Увидев красавицу Марью, советник рассказал о ней царю. И решили царь с советником извести Сергея - послать его на тот свет для свидания с покойным царем. По совету Марьи Сергей потребовал, чтобы с ним пошел советник. Являются они в ад, встречают покойного царя - на нем черти возят дрова. И возвращаются во дворец. Тогда царь отправляет Сергея "туда-не знаю куда, принсти то - не знаю что". Марья дает Сергею клубок, который приводит его за тридевять земель в дом, где он знакомится со сватом Наумом - невидимым слугой, который все может. Наум соглашается помочь Сергею. Они попадают на чудесный остров, встречают там заморских гостей. Гости показывают заморские диковинки - самобитную дубинку, жевательную резинку, от которой перестаешь соображать, трубофон, который всех заставляет плясать. Сергей выменивает у гостей все эти вещи. Тем временем царь хочет силой заставить Марью пойти за него замуж. Но тут появляется Сергей, его трубофон заставляет стражу плясать, а дубинка гонит царя со свитой на тот свет. Расправившись с царем и его слугами молодые устраивают пир на весь мир</t>
        </is>
      </c>
      <c r="L6873" s="2" t="inlineStr">
        <is>
          <t>https://gosfilmofond.ru/films/254241/</t>
        </is>
      </c>
      <c r="M6873" s="2">
        <f>HYPERLINK("https://ru.wikipedia.org/w/index.php?search=%D0%9F%D0%BE%D0%B4%D0%B8%20%D1%82%D1%83%D0%B4%D0%B0%2C%20%D0%BD%D0%B5%20%D0%B7%D0%BD%D0%B0%D1%8E%20%D0%BA%D1%83%D0%B4%D0%B0%201966%20%D1%84%D0%B8%D0%BB%D1%8C%D0%BC","искать")</f>
        <v/>
      </c>
      <c r="N6873" s="3" t="n"/>
      <c r="O6873" s="2" t="n"/>
      <c r="P6873" s="2" t="n"/>
    </row>
    <row r="6874">
      <c r="A6874" s="2" t="n">
        <v>6873</v>
      </c>
      <c r="B6874" s="2" t="inlineStr"/>
      <c r="C6874" s="2" t="n">
        <v>10485</v>
      </c>
      <c r="D6874" s="3" t="inlineStr">
        <is>
          <t>Безумный день, или Женитьба Фигаро</t>
        </is>
      </c>
      <c r="E6874" s="2" t="n">
        <v>1973</v>
      </c>
      <c r="F6874" s="2" t="inlineStr">
        <is>
          <t>фильм-спектакль</t>
        </is>
      </c>
      <c r="G6874" s="2" t="inlineStr">
        <is>
          <t>ЦТ, Театр Сатиры</t>
        </is>
      </c>
      <c r="H6874" s="2" t="n">
        <v>1417</v>
      </c>
      <c r="I6874" s="2" t="inlineStr"/>
      <c r="J6874" s="2" t="inlineStr"/>
      <c r="K6874" s="3" t="inlineStr">
        <is>
          <t>В комедии Бомарше соблюдены обязательные для классицизма три единства: места, времени и действия. Все события разворачиваются в течение одного дня в поместье графа Альмавивы, и все они связаны с решением слуги графа, Фигаро, жениться на Сюзанне — горничной графини Розины. Между тем к Сюзанне неравнодушен граф, давно охладевший к своей супруге (на которой женился хитростью с помощью Фигаро, см. первую пьесу из трилогии). После женитьбы на Розине он отменил феодальное право первой ночи, но ничто не мешает ему добиваться «добровольного» согласия девушки, тем более что в его власти расстроить помолвку. Свадьбе пытается помешать и влюблённая в Фигаро немолодая экономка Марселина: когда-то Фигаро взял у неё деньги под расписку, в которой обещал выплатить долг или жениться. Судебная тяжба Фигаро с Марселиной заканчивается неожиданно: по медальону, который подкидыш Фигаро всегда носил на груди, Марселина опознаёт в нём своего сына. Фигаро пытается отвлечь сластолюбивого Альмавиву от Сюзанны, заставив его заподозрить в неверности собственную супругу и ревновать её к пажу Керубино. Но графу никакая ревность не мешает продолжать ухаживания за служанкой. Тем временем Розина и Сюзанна разыгрывают собственную партию, и в конце концов сам Фигаро перестаёт понимать, что происходит: он узнаёт о том, что его Сюзанна назначила графу свидание ночью в саду, но не знает, что на свидание вместо Сюзанны пришла Розина.</t>
        </is>
      </c>
      <c r="L6874" s="2" t="inlineStr">
        <is>
          <t>https://ru.wikipedia.org/w/index.php?title=%D0%91%D0%B5%D0%B7%D1%83%D0%BC%D0%BD%D1%8B%D0%B9_%D0%B4%D0%B5%D0%BD%D1%8C%2C_%D0%B8%D0%BB%D0%B8_%D0%96%D0%B5%D0%BD%D0%B8%D1%82%D1%8C%D0%B1%D0%B0_%D0%A4%D0%B8%D0%B3%D0%B0%D1%80%D0%BE_%28%D1%81%D0%BF%D0%B5%D0%BA%D1%82%D0%B0%D0%BA%D0%BB%D1%8C%29&amp;oldid=152324330</t>
        </is>
      </c>
      <c r="M6874" s="2">
        <f>HYPERLINK("https://ru.wikipedia.org/w/index.php?search=%D0%91%D0%B5%D0%B7%D1%83%D0%BC%D0%BD%D1%8B%D0%B9%20%D0%B4%D0%B5%D0%BD%D1%8C%2C%20%D0%B8%D0%BB%D0%B8%20%D0%96%D0%B5%D0%BD%D0%B8%D1%82%D1%8C%D0%B1%D0%B0%20%D0%A4%D0%B8%D0%B3%D0%B0%D1%80%D0%BE%201973%20%D1%84%D0%B8%D0%BB%D1%8C%D0%BC","искать")</f>
        <v/>
      </c>
      <c r="N6874" s="3" t="n"/>
      <c r="O6874" s="2" t="n"/>
      <c r="P6874" s="2" t="n"/>
    </row>
    <row r="6875">
      <c r="A6875" s="2" t="n">
        <v>6874</v>
      </c>
      <c r="B6875" s="2" t="inlineStr"/>
      <c r="C6875" s="2" t="n">
        <v>9501</v>
      </c>
      <c r="D6875" s="3" t="inlineStr">
        <is>
          <t>Нелюбовь</t>
        </is>
      </c>
      <c r="E6875" s="2" t="n">
        <v>1991</v>
      </c>
      <c r="F6875" s="2" t="inlineStr">
        <is>
          <t>кинофильм</t>
        </is>
      </c>
      <c r="G6875" s="2" t="n"/>
      <c r="H6875" s="2" t="n">
        <v>1419</v>
      </c>
      <c r="I6875" s="2" t="inlineStr"/>
      <c r="J6875" s="2" t="inlineStr"/>
      <c r="K6875" s="3" t="inlineStr">
        <is>
          <t>Сюжет фильма строится как череда коротких эпизодов из жизни девушки Риты (Ксения Качалина). В кинотеатре, куда героиня приходит со своим другом Ромой, она знакомится с фотографом (Станислав Любшин). Немногословный взрослый мужчина начинает ухаживания, на которые Рита легко откликается, не прерывая в то же время отношений с Ромой.
В перерывах между свиданиями молодая женщина общается с лучшей подругой Бубастисой и рассматривает журнальные снимки Мэрилин Монро; американская актриса постоянно присутствует в фильме — то в записи, то в мыслях и снах героини.
Однажды, взяв собственную фотографию, Рита на обороте фиксирует итоги своей жизни: перечисляет мужчин, с которыми встречалась, упоминает о чувстве вины перед родителями, признаётся в одиночестве, подсчитывает долги и задаёт себе вопрос: «Что делать?» В графе «Вывод» она пишет: «Ничего». Финал, где главная героиня кончает жизнь самоубийством с помощью снотворного, выстроен по абсолютной логике финала судьбы Мэрилин Монро, о страданиях которой главная героиня так много и так красиво говорит до этого. Мистический элемент, который состоит в том, что главная героиня разделась и её тело буквально исчезло из постели после смерти, тоже имеет свою логику: это логика трагического развития судьбы самой актрисы Ксении Качалиной, а также логика идеи о неспособности многих женщин быть просто счастливыми в любви с мужчинами…без нытья и глубокомысленных раздумий.</t>
        </is>
      </c>
      <c r="L6875" s="2" t="inlineStr">
        <is>
          <t>https://ru.wikipedia.org/w/index.php?title=%D0%9D%D0%B5%D0%BB%D1%8E%D0%B1%D0%BE%D0%B2%D1%8C_%28%D1%84%D0%B8%D0%BB%D1%8C%D0%BC%2C_1991%29&amp;oldid=155325409</t>
        </is>
      </c>
      <c r="M6875" s="2">
        <f>HYPERLINK("https://ru.wikipedia.org/w/index.php?search=%D0%9D%D0%B5%D0%BB%D1%8E%D0%B1%D0%BE%D0%B2%D1%8C%201991%20%D1%84%D0%B8%D0%BB%D1%8C%D0%BC","искать")</f>
        <v/>
      </c>
      <c r="N6875" s="3" t="n"/>
      <c r="O6875" s="2" t="n"/>
      <c r="P6875" s="2" t="n"/>
    </row>
    <row r="6876">
      <c r="A6876" s="2" t="n">
        <v>6875</v>
      </c>
      <c r="B6876" s="2" t="inlineStr"/>
      <c r="C6876" s="2" t="n">
        <v>8766</v>
      </c>
      <c r="D6876" s="3" t="inlineStr">
        <is>
          <t>Клоунада</t>
        </is>
      </c>
      <c r="E6876" s="2" t="n">
        <v>1989</v>
      </c>
      <c r="F6876" s="2" t="inlineStr">
        <is>
          <t>кинофильм</t>
        </is>
      </c>
      <c r="G6876" s="2" t="n"/>
      <c r="H6876" s="2" t="n">
        <v>1420</v>
      </c>
      <c r="I6876" s="2" t="inlineStr"/>
      <c r="J6876" s="2" t="inlineStr"/>
      <c r="K6876" s="3" t="inlineStr">
        <is>
          <t>Трагикомедия абсурда, снятая по мотивам произведений Даниила Хармса (1905—1942). Пытаясь воссоздать реалии 30-х годов, на которое пришёлся расцвет творчества Хармса, режиссёр воспроизводит манеру съемок, актёрской игры того времени и вводит в картину «состаренный» звук. Тем самым ему удаётся добиться максимальной достоверности звучания авторского текста и помочь зрителю погрузиться в атмосферу, в которой жил и творил классик абсурда. Это — мир иллюзий, намёков и ассоциаций, отражающий поток сознания творца, живущего в эпоху молчания. Разные произведения Даниила Хармса филигранно связываются в единое целое посредством некоего персонажа, одетого в матросский бушлат, который кочует от «случая» к «случаю», попадая в различные истории и выходя невредимым из самых невероятных ситуаций. Персонаж является милым воплощением революционного матроса в запасе, какими было наполнено русское общество в начале 30-х годов. Он вполне добродушный «люмпен», не лишённый черт своего класса: наглости, своенравия, беспардонности и бесцеремонности. В фильме экранизированы произведения Хармса: «Помеха», «Победа Мышина», «Григорьев и Семёнов» и др.
Фильм начинается и заканчивается фигурой рассказчика. Он бессловесным наблюдателем перемещается в пространстве кадра, зачастую заглядывая прямо в глаза зрителю. В конце фильма рассказчик убегает от нас, как бы испугавшись или зрителя, или реальность, в которой этот зритель живёт.</t>
        </is>
      </c>
      <c r="L6876" s="2" t="inlineStr">
        <is>
          <t>https://ru.wikipedia.org/w/index.php?title=%D0%9A%D0%BB%D0%BE%D1%83%D0%BD%D0%B0%D0%B4%D0%B0_%28%D1%84%D0%B8%D0%BB%D1%8C%D0%BC%2C_1989%29&amp;oldid=154453372</t>
        </is>
      </c>
      <c r="M6876" s="2">
        <f>HYPERLINK("https://ru.wikipedia.org/w/index.php?search=%D0%9A%D0%BB%D0%BE%D1%83%D0%BD%D0%B0%D0%B4%D0%B0%201989%20%D1%84%D0%B8%D0%BB%D1%8C%D0%BC","искать")</f>
        <v/>
      </c>
      <c r="N6876" s="3" t="n"/>
      <c r="O6876" s="2" t="n"/>
      <c r="P6876" s="2" t="n"/>
    </row>
    <row r="6877">
      <c r="A6877" s="2" t="n">
        <v>6876</v>
      </c>
      <c r="B6877" s="2" t="inlineStr"/>
      <c r="C6877" s="2" t="n">
        <v>9640</v>
      </c>
      <c r="D6877" s="3" t="inlineStr">
        <is>
          <t>Серая мышь</t>
        </is>
      </c>
      <c r="E6877" s="2" t="n">
        <v>1988</v>
      </c>
      <c r="F6877" s="2" t="inlineStr">
        <is>
          <t>кинофильм</t>
        </is>
      </c>
      <c r="G6877" s="2" t="n"/>
      <c r="H6877" s="2" t="n">
        <v>1423</v>
      </c>
      <c r="I6877" s="2" t="inlineStr"/>
      <c r="J6877" s="2" t="inlineStr"/>
      <c r="K6877" s="3" t="inlineStr">
        <is>
          <t>По одноименной повести В. Липатова. Рабочий поселок. Воскресный день. Бывший директор шпалозавода Семен Васильевич Баландин просыпается в тяжелом похмелье. Добрый, но бестолковый парень Витька Малых выпрашивает у жены Анки рубль, чтобы «подлечить» Семена Васильевича. Тем временем бывший фронтовик Ванечка Юдин и здоровенный детина Устин Шемяка ускользают из дома и присоединяются к собутыльникам. Купив поллитровку, все четверо отправляются на берег реки. За первой следуют вторая, третья бутылки... Друзьям уже не остановиться. Вспомнив о Прохоре Емельяновиче, компания заявляется к нему в дом, где, «отрабатывая» свой стакан самогонки, потешают бывшего передовика рассказами о тех временах, когда Семен Васильевич, будучи директором, боролся с бракоделами, подхалимами и ворами. Не нравились ему тогда и застолья, которые устраивались для приема приезжих чиновников. Однажды Баландин принимает на работу молодого парня Зеленина, не обращая внимания на предупреждения участкового о его пьяных дебошах. А теперь уже сам Баландин опустился настолько, что часто видит «серую мышку», которая когда-то «посещала» Зеленина, допившегося до белой горячки. Воскресенье подходит
к концу. Устина тащит домой жена, Витька возвращается к своей Анке. Баландин, собрав последние копейки и купив в аптеке какие-то спиртовые настойки, погружается в глубокий сон. А Ванечка, потеряв последний рассудок, погибает, попав под работающий кран.</t>
        </is>
      </c>
      <c r="L6877" s="2" t="inlineStr">
        <is>
          <t>https://gosfilmofond.ru/films/239892/</t>
        </is>
      </c>
      <c r="M6877" s="2">
        <f>HYPERLINK("https://ru.wikipedia.org/w/index.php?search=%D0%A1%D0%B5%D1%80%D0%B0%D1%8F%20%D0%BC%D1%8B%D1%88%D1%8C%201988%20%D1%84%D0%B8%D0%BB%D1%8C%D0%BC","искать")</f>
        <v/>
      </c>
      <c r="N6877" s="3" t="n"/>
      <c r="O6877" s="2" t="n"/>
      <c r="P6877" s="2" t="n"/>
    </row>
    <row r="6878">
      <c r="A6878" s="2" t="n">
        <v>6877</v>
      </c>
      <c r="B6878" s="2" t="inlineStr"/>
      <c r="C6878" s="2" t="n">
        <v>9805</v>
      </c>
      <c r="D6878" s="3" t="inlineStr">
        <is>
          <t>Красный цвет папоротника</t>
        </is>
      </c>
      <c r="E6878" s="2" t="n">
        <v>1988</v>
      </c>
      <c r="F6878" s="2" t="inlineStr">
        <is>
          <t>телефильм</t>
        </is>
      </c>
      <c r="G6878" s="2" t="inlineStr">
        <is>
          <t>"Беларусьфильм", кинообъединение "Профиль", Польша</t>
        </is>
      </c>
      <c r="H6878" s="2" t="n">
        <v>1424</v>
      </c>
      <c r="I6878" s="2" t="inlineStr"/>
      <c r="J6878" s="2" t="inlineStr"/>
      <c r="K6878" s="3" t="inlineStr">
        <is>
          <t>Во Второй мировой войне наступил перелом. Советское войска наступают на западе, линия фронта приближается к Польше. Одновременно на польскую территорию проникают советские партизаны. Но здесь действуют свои силы сопротивления, причём не особо жалующие друг друга: Армия Людова (отряды, ориентирующиеся в борьбе с немцами на сотрудничество с Москвой) и Армия Крайова (отряды, сохранявшие верность польскому правительству в изгнании, в Лондоне). Герои картины долго и мучительно пытаются найти компромисс. Поляки очень хорошо помнят, как в сентябре 1939 года, выполняя тайные договорённости, в страну вторглись не только части Вермахта, но и РККА, причём, на той территории, которая была оккупирована Красной армией, немедленно начались репрессии и депортации. Кроме того, многие польские офицеры мечтают о настоящей независимости и не желают менять гитлеровскую оккупацию на сталинскую диктатуру.
Основная часть картины — это диалоги с выяснением отношений, припоминанием прошлых обид и пафосными речами. Присутствует любовная линия в интернациональном ключе.
Кульминация картины — начало немецкой операции по уничтожению партизанских отрядов в Яновских лесах. Советский командир (в исполнении Бориса Невзорова) настойчиво рекомендует полякам отступить. Но гордый майор Бжезина (Ежи Мольга), командир одного из отрядов Армии Крайовой, отвергает этот план. Он хочет со своими людьми дать отпор немцам и принимает неравный бой.</t>
        </is>
      </c>
      <c r="L6878" s="2" t="inlineStr">
        <is>
          <t>https://ru.wikipedia.org/w/index.php?title=%D0%9A%D1%80%D0%B0%D1%81%D0%BD%D1%8B%D0%B9_%D1%86%D0%B2%D0%B5%D1%82_%D0%BF%D0%B0%D0%BF%D0%BE%D1%80%D0%BE%D1%82%D0%BD%D0%B8%D0%BA%D0%B0&amp;oldid=144991779</t>
        </is>
      </c>
      <c r="M6878" s="2">
        <f>HYPERLINK("https://ru.wikipedia.org/w/index.php?search=%D0%9A%D1%80%D0%B0%D1%81%D0%BD%D1%8B%D0%B9%20%D1%86%D0%B2%D0%B5%D1%82%20%D0%BF%D0%B0%D0%BF%D0%BE%D1%80%D0%BE%D1%82%D0%BD%D0%B8%D0%BA%D0%B0%201988%20%D1%84%D0%B8%D0%BB%D1%8C%D0%BC","искать")</f>
        <v/>
      </c>
      <c r="N6878" s="3" t="n"/>
      <c r="O6878" s="2" t="n"/>
      <c r="P6878" s="2" t="n"/>
    </row>
    <row r="6879">
      <c r="A6879" s="2" t="n">
        <v>6878</v>
      </c>
      <c r="B6879" s="2" t="inlineStr"/>
      <c r="C6879" s="2" t="n">
        <v>8332</v>
      </c>
      <c r="D6879" s="3" t="inlineStr">
        <is>
          <t>Семья Зацепиных</t>
        </is>
      </c>
      <c r="E6879" s="2" t="n">
        <v>1977</v>
      </c>
      <c r="F6879" s="2" t="inlineStr">
        <is>
          <t>телефильм</t>
        </is>
      </c>
      <c r="G6879" s="2" t="n"/>
      <c r="H6879" s="2" t="n">
        <v>1426</v>
      </c>
      <c r="I6879" s="2" t="inlineStr"/>
      <c r="J6879" s="2" t="inlineStr"/>
      <c r="K6879" s="3" t="inlineStr">
        <is>
          <t>Телефильм рассказывает о трудолюбивой рабочей московской семье Зацепиных, все члены которой работают на заводе, выпускающем автомобили «Москвич». Главным персонажем является Анна Степановна Зацепина, работающая в отделе технического контроля, живущая с юных лет интересами родного производства. Муж её Иван Петрович Зацепин является старым опытным мастером, депутатом, он деликатен и отзывчив к чужой беде. С большим доверием, уважением и вниманием относятся к Анне Степановне и Ивану Петровичу их дети: Олег, Виктор, Ирина и Наташа. Сюжет строится вокруг становления личной жизни этих взрослых уже детей. Однажды младшая дочь Наташа решает сменить место работы, но, поработав какое-то время стюардессой, возвращается на родной завод. Старшая дочь Ирина, работавшая дизайнером внешнего вида автомобилей, пять лет близко встречавшаяся с женихом Сергеем, внезапно решает уехать с вновь встреченным любимым человеком (моряком Алексеем) на Север. Младший сын Виктор, бывший простым рабочим, становится секретарём в заводском комитете комсомола. Виктор приводит в качестве жены Зою Соловьёву, женщину с двумя детьми-близняшками, и эти трое обретают родную любящую семью: папу и маму, бабушку и дедушку. Старший сын Олег работает испытателем автомобилей на полигоне. Встретив хорошую девушку, Олег полюбил её, а затем потерял жену, но, пережив её смерть, вернулся в семью. Фильм заканчивается на оптимистической ноте: счастливы все!</t>
        </is>
      </c>
      <c r="L6879" s="2" t="inlineStr">
        <is>
          <t>https://ru.wikipedia.org/w/index.php?title=%D0%A1%D0%B5%D0%BC%D1%8C%D1%8F_%D0%97%D0%B0%D1%86%D0%B5%D0%BF%D0%B8%D0%BD%D1%8B%D1%85&amp;oldid=155105689</t>
        </is>
      </c>
      <c r="M6879" s="2">
        <f>HYPERLINK("https://ru.wikipedia.org/w/index.php?search=%D0%A1%D0%B5%D0%BC%D1%8C%D1%8F%20%D0%97%D0%B0%D1%86%D0%B5%D0%BF%D0%B8%D0%BD%D1%8B%D1%85%201977%20%D1%84%D0%B8%D0%BB%D1%8C%D0%BC","искать")</f>
        <v/>
      </c>
      <c r="N6879" s="3" t="n"/>
      <c r="O6879" s="2" t="n"/>
      <c r="P6879" s="2" t="n"/>
    </row>
    <row r="6880">
      <c r="A6880" s="2" t="n">
        <v>6879</v>
      </c>
      <c r="B6880" s="2" t="inlineStr"/>
      <c r="C6880" s="2" t="n">
        <v>8729</v>
      </c>
      <c r="D6880" s="3" t="inlineStr">
        <is>
          <t>Закон</t>
        </is>
      </c>
      <c r="E6880" s="2" t="n">
        <v>1989</v>
      </c>
      <c r="F6880" s="2" t="inlineStr">
        <is>
          <t>кинофильм</t>
        </is>
      </c>
      <c r="G6880" s="2" t="inlineStr">
        <is>
          <t>Мосфильм</t>
        </is>
      </c>
      <c r="H6880" s="2" t="n">
        <v>1434</v>
      </c>
      <c r="I6880" s="2" t="inlineStr"/>
      <c r="J6880" s="2" t="inlineStr"/>
      <c r="K6880" s="3" t="inlineStr">
        <is>
          <t>СССР, начало марта 1953 года. На своей ближней даче умирает И. В. Сталин. Стилизованная под кинохронику чёрно-белая съёмка показывает растерянность и интриги членов Президиума ЦК КПСС — ближайших соратников Сталина, а затем беспорядки на похоронах Сталина, состоявшихся 9 марта.
Показан арест, суд над Л. П. Берия и другими руководителями МВД СССР, приведение приговора в исполнение в камере гауптвахты Московского военного округа и последующая кремация тел казнённых в 1-м Московском (Донском) крематории. При реконструкции ареста, суда и расстрела Л. П. Берия сценаристы фильма опирались в основном на воспоминания Хрущёва Н. С. и других участвовавших в аресте советских генералов, поэтому среди историков нет единого мнения по поводу исторической достоверности изображенных в фильме сцен.
После ликвидации Берия, из советских лагерей начинают возвращаться узники. В Москву в распоряжение Генеральной прокуратуры СССР откомандированы многие сотрудники, в том числе два молодых юриста — Лунин и Кудрявцев. Им поручено изучение уголовных дел советских граждан, подвергнутых политическим репрессиям, и одновременно расследование нарушений социалистической законности, допущенных следователями НКВД-НКГБ СССР в предыдущий сталинский период. В случае, если оказывалось, что реальных доказательств в материалах дела не имелось, работники прокуратуры обязаны были выносить протест в порядке надзора в целях отмены неправосудного приговора.</t>
        </is>
      </c>
      <c r="L6880" s="2" t="inlineStr">
        <is>
          <t>https://ru.wikipedia.org/w/index.php?title=%D0%97%D0%B0%D0%BA%D0%BE%D0%BD_%28%D1%84%D0%B8%D0%BB%D1%8C%D0%BC%2C_1989%29&amp;oldid=155458993</t>
        </is>
      </c>
      <c r="M6880" s="2">
        <f>HYPERLINK("https://ru.wikipedia.org/w/index.php?search=%D0%97%D0%B0%D0%BA%D0%BE%D0%BD%201989%20%D1%84%D0%B8%D0%BB%D1%8C%D0%BC","искать")</f>
        <v/>
      </c>
      <c r="N6880" s="3" t="n"/>
      <c r="O6880" s="2" t="n"/>
      <c r="P6880" s="2" t="n"/>
    </row>
    <row r="6881">
      <c r="A6881" s="2" t="n">
        <v>6880</v>
      </c>
      <c r="B6881" s="2" t="inlineStr"/>
      <c r="C6881" s="2" t="n">
        <v>9583</v>
      </c>
      <c r="D6881" s="3" t="inlineStr">
        <is>
          <t>Преследование</t>
        </is>
      </c>
      <c r="E6881" s="2" t="n">
        <v>1988</v>
      </c>
      <c r="F6881" s="2" t="inlineStr">
        <is>
          <t>кинофильм</t>
        </is>
      </c>
      <c r="G6881" s="2" t="n"/>
      <c r="H6881" s="2" t="n">
        <v>1436</v>
      </c>
      <c r="I6881" s="2" t="inlineStr"/>
      <c r="J6881" s="2" t="inlineStr"/>
      <c r="K6881" s="3" t="inlineStr">
        <is>
          <t>1920-е годы. Средняя Азия. В гарнизон на юге Киргизии по распределению на должность командира взвода прибывает Абыш Исаев. Здесь Исаев встречает старого боевого товарища Валентина Угрюмова, который рассказывает другу, что коллективизация вызвала новую волну агрессии со стороны басмачей. Убийства и поджоги происходят почти каждый день, а сейчас самое время для сева. Дехкане боятся умереть с голоду, который обязательно наступит, если не посадить пшеницу. Угрюмову приходит в голову план — он пойдет к главе басмачей Шааназару и попросит перемирия для проведения посевных работ. Шааназар соглашается на перемирие. Однако вскоре Таджибай, один из его приближенных, нападает на полевой стан. Договор нарушен, Угрюмов снова отправляется в лагерь к басмачам. Таджибай убивает Шааназара и объявляет Угрюмова пленником. Басмачам необходимо уйти за кордон, и Угрюмов — их шанс скрыться: красноармейцы не станут стрелять, пока их товарищ является заложником. Между тем выясняется, что командир третьего взвода Осташевский - предатель. Множество операций было сорвано благодаря его вмешательству: это он организовал нападение на полевой стан во время перемирия и подстрекал Таджибая убить Шааназара. Теперь, когда бывшие сослуживцы его вычислили, Осташевский бежит из гарнизона и берет командование отрядом басмачей в свои руки. Но бандитов сметает снежная лавина, застигнувшая их на перевале. Гибнут под снегом и преследующие их красноармейцы.</t>
        </is>
      </c>
      <c r="L6881" s="2" t="inlineStr">
        <is>
          <t>https://gosfilmofond.ru/films/240295/</t>
        </is>
      </c>
      <c r="M6881" s="2">
        <f>HYPERLINK("https://ru.wikipedia.org/w/index.php?search=%D0%9F%D1%80%D0%B5%D1%81%D0%BB%D0%B5%D0%B4%D0%BE%D0%B2%D0%B0%D0%BD%D0%B8%D0%B5%201988%20%D1%84%D0%B8%D0%BB%D1%8C%D0%BC","искать")</f>
        <v/>
      </c>
      <c r="N6881" s="3" t="n"/>
      <c r="O6881" s="2" t="n"/>
      <c r="P6881" s="2" t="n"/>
    </row>
    <row r="6882">
      <c r="A6882" s="2" t="n">
        <v>6881</v>
      </c>
      <c r="B6882" s="2" t="inlineStr"/>
      <c r="C6882" s="2" t="n">
        <v>9597</v>
      </c>
      <c r="D6882" s="3" t="inlineStr">
        <is>
          <t>Происшествие в Утиноозерске</t>
        </is>
      </c>
      <c r="E6882" s="2" t="n">
        <v>1988</v>
      </c>
      <c r="F6882" s="2" t="inlineStr">
        <is>
          <t>кинофильм</t>
        </is>
      </c>
      <c r="G6882" s="2" t="n"/>
      <c r="H6882" s="2" t="n">
        <v>1437</v>
      </c>
      <c r="I6882" s="2" t="inlineStr"/>
      <c r="J6882" s="2" t="inlineStr"/>
      <c r="K6882" s="3" t="inlineStr">
        <is>
          <t>Директор мебельного магазина Евгений Иванович Жгульев, отдыхая на берегу водоема в компании своей любовницы, парикмахерши Альбины, и фотографируя девицу, случайно снимает вынырнувшего из воды ящера. Снимки попадают в руки предприимчивой жены Жгульева, Зои, надоумившей мужа обратиться в прессу и Институт прикладных проблем. Директор института Горячев тут же выступает с заявлением о том, что это ядовитые выбросы химкомбината потревожили животное. Руководство Утиноозерского химзавода всерьез обеспокоено ажиотажем вокруг древнего ящера, ведь повышенное внимание к озеру вскроет грубейшие нарушения, допускаемые на предприятии, на котором только инженер Спартак Сергеевич Заборов, ведущий неустанную борьбу с руководством завода, предпринимает попытки остановить процесс загрязнения озера. В это время сотрудники НИИ отправляются в экспедицию по изучению динозавра, а руководство завода с опытными охотниками — на охоту с намерением пристрелить ящера. Журналист Бандуилов приплывает на Змеиный остров, где, по слухам, обитает динозавр. Там он находит хижину с подводным снаряжением, рисунками ящера, схемами и чертежами. Чуть позже из воды показывается голова динозавра, а затем... Заборов, который снимает с себя эту голову. Спартак Сергеевич признается Бандуилову, что сделал это для того, чтобы привлечь внимание к загрязнению озера. Но тут из воды выныривает настоящий динозавр, а вслед за ним — Жгульев с криком: «Это я нашел его!»</t>
        </is>
      </c>
      <c r="L6882" s="2" t="inlineStr">
        <is>
          <t>https://gosfilmofond.ru/films/239964/</t>
        </is>
      </c>
      <c r="M6882" s="2">
        <f>HYPERLINK("https://ru.wikipedia.org/w/index.php?search=%D0%9F%D1%80%D0%BE%D0%B8%D1%81%D1%88%D0%B5%D1%81%D1%82%D0%B2%D0%B8%D0%B5%20%D0%B2%20%D0%A3%D1%82%D0%B8%D0%BD%D0%BE%D0%BE%D0%B7%D0%B5%D1%80%D1%81%D0%BA%D0%B5%201988%20%D1%84%D0%B8%D0%BB%D1%8C%D0%BC","искать")</f>
        <v/>
      </c>
      <c r="N6882" s="3" t="n"/>
      <c r="O6882" s="2" t="n"/>
      <c r="P6882" s="2" t="n"/>
    </row>
    <row r="6883">
      <c r="A6883" s="2" t="n">
        <v>6882</v>
      </c>
      <c r="B6883" s="2" t="inlineStr"/>
      <c r="C6883" s="2" t="n">
        <v>9528</v>
      </c>
      <c r="D6883" s="3" t="inlineStr">
        <is>
          <t>Операция "Вундерланд"</t>
        </is>
      </c>
      <c r="E6883" s="2" t="n">
        <v>1988</v>
      </c>
      <c r="F6883" s="2" t="inlineStr">
        <is>
          <t>кинофильм</t>
        </is>
      </c>
      <c r="G6883" s="2" t="n"/>
      <c r="H6883" s="2" t="n">
        <v>1443</v>
      </c>
      <c r="I6883" s="2" t="inlineStr"/>
      <c r="J6883" s="2" t="inlineStr"/>
      <c r="K6883" s="3" t="inlineStr">
        <is>
          <t>Посвящается героическому экипажу ледокольного парохода «Александр Сибиряков» и его капитану Анатолию Качарава. 1942 год, Архангельский порт. Капитан старенького ледокола «Александр Серебряков» получает задание — доставить полярников на новую полярную станцию. И капитан, и команда недовольны: война, а их посылают в тыл. Тем временем в одном из берлинских кабаре чествуют адмирала Конрада фон Бюхнера — он одержал победу над девятнадцатью неприятельскими судами. Непобедимому капитану вскоре предстоит еще один поход на крейсере «Адмирал Штайнер» — незадолго до этого японский агент Мидзуки сообщил, что северным морским путем следуют два советских каравана со стратегическим сырьем. Операция получает кодовое название «Вундерланд». Необходимое условие операции — внезапность. Из Архангельска выходит в плавание и «Александр Серебряков». В это время немецкий десант захватывает полярную станцию. Расчеты советской разведки показывают, что «Адмирал Штайнер» в течение суток может догнать один из наших караванов. Во что бы то ни стало его необходимо задержать. Пути немецкого крейсера и советского ледокола пересекаются. На мачте немецкого корабля поднимается американский флаг, но команда ледокола понимает, что это обман, и вступает в неравный бой. Наше судно гибнет и уходит под
воду. Сам адмирал Бюхнер признает героизм советских моряков и провал операции: советский караван уходит в безопасные воды на недосягаемое для фашистов расстояние.</t>
        </is>
      </c>
      <c r="L6883" s="2" t="inlineStr">
        <is>
          <t>https://gosfilmofond.ru/films/241070/</t>
        </is>
      </c>
      <c r="M6883" s="2">
        <f>HYPERLINK("https://ru.wikipedia.org/w/index.php?search=%D0%9E%D0%BF%D0%B5%D1%80%D0%B0%D1%86%D0%B8%D1%8F%20%22%D0%92%D1%83%D0%BD%D0%B4%D0%B5%D1%80%D0%BB%D0%B0%D0%BD%D0%B4%22%201988%20%D1%84%D0%B8%D0%BB%D1%8C%D0%BC","искать")</f>
        <v/>
      </c>
      <c r="N6883" s="3" t="n"/>
      <c r="O6883" s="2" t="n"/>
      <c r="P6883" s="2" t="n"/>
    </row>
    <row r="6884">
      <c r="A6884" s="2" t="n">
        <v>6883</v>
      </c>
      <c r="B6884" s="2" t="inlineStr"/>
      <c r="C6884" s="2" t="n">
        <v>8011</v>
      </c>
      <c r="D6884" s="3" t="inlineStr">
        <is>
          <t>Ночные забавы</t>
        </is>
      </c>
      <c r="E6884" s="2" t="n">
        <v>1991</v>
      </c>
      <c r="F6884" s="2" t="inlineStr">
        <is>
          <t>телефильм</t>
        </is>
      </c>
      <c r="G6884" s="2" t="n"/>
      <c r="H6884" s="2" t="n">
        <v>1450</v>
      </c>
      <c r="I6884" s="2" t="inlineStr"/>
      <c r="J6884" s="2" t="inlineStr"/>
      <c r="K6884" s="3" t="inlineStr">
        <is>
          <t>Пожилой саксофонист, ресторанный «лабух», 55-летний Александр (Саша), коротает досуг после вечерних «выступлений» за странной забавой. Достаёт из кармана полученные за вечер купюры и набирает в телефоне номер, напечатанный на купюре, заводя развлекающий его разговор со случайным собеседником, временами довольно жёстко разыгрывая тех, кому звонит.
Одной из таких собеседниц оказывается 20-летняя девушка Ольга, с которой завязалось знакомство, и она даже пригласила Сашу домой. В этот день Ольга случайно поймала свою мать Анну с любовником и «на эмоциях» вызвала срочной телеграммой отца Алексея из командировки. Ольга заперла дверь и забрала ключи, чтобы любовник — начальник матери и отца Михаил Фёдорович — не сбежал. Ольга решила, что посторонний человек в доме будет полезен. Спустя некоторое время в одной квартире собираются Анна, Алексей, хамоватый начальник отца Михаил, Ольга и Саша, которого Ольга представила всем как своего жениха.
Разбирательство в итоге накаляется и перерастает в выяснение отношений. Ольга уже готова выпустить Михаила и отдаёт ключи. Однако теперь Анна хочет понять отношение безвольного Алексея к происходящему. В итоге инициативу берёт в свои руки властный Михаил и требует от Алексея попросить прощения у всех, стоя на коленях. Ольга не может перенести это зрелище и пытается выброситься из окна, её удерживает Саша. В концовке под утро Саша и Ольга приходят в пустой ресторан. Саша играет девушке на саксофоне.</t>
        </is>
      </c>
      <c r="L6884" s="2" t="inlineStr">
        <is>
          <t>https://ru.wikipedia.org/w/index.php?title=%D0%9D%D0%BE%D1%87%D0%BD%D1%8B%D0%B5_%D0%B7%D0%B0%D0%B1%D0%B0%D0%B2%D1%8B&amp;oldid=153814932</t>
        </is>
      </c>
      <c r="M6884" s="2">
        <f>HYPERLINK("https://ru.wikipedia.org/w/index.php?search=%D0%9D%D0%BE%D1%87%D0%BD%D1%8B%D0%B5%20%D0%B7%D0%B0%D0%B1%D0%B0%D0%B2%D1%8B%201991%20%D1%84%D0%B8%D0%BB%D1%8C%D0%BC","искать")</f>
        <v/>
      </c>
      <c r="N6884" s="3" t="n"/>
      <c r="O6884" s="2" t="n"/>
      <c r="P6884" s="2" t="n"/>
    </row>
    <row r="6885">
      <c r="A6885" s="2" t="n">
        <v>6884</v>
      </c>
      <c r="B6885" s="2" t="inlineStr"/>
      <c r="C6885" s="2" t="n">
        <v>8911</v>
      </c>
      <c r="D6885" s="3" t="inlineStr">
        <is>
          <t>Охота на Единорога</t>
        </is>
      </c>
      <c r="E6885" s="2" t="n">
        <v>1989</v>
      </c>
      <c r="F6885" s="2" t="inlineStr">
        <is>
          <t>кинофильм</t>
        </is>
      </c>
      <c r="G6885" s="2" t="n"/>
      <c r="H6885" s="2" t="n">
        <v>1458</v>
      </c>
      <c r="I6885" s="2" t="inlineStr"/>
      <c r="J6885" s="2" t="inlineStr"/>
      <c r="K6885" s="3" t="inlineStr">
        <is>
          <t>По мотивам повести В. Туболева «Чужое небо». 1952 год. В лагере ГУЛАГа отбывает заключение бывший военный летчик сержант Тесленко, осужденный по 58-й статье как изменник Родины. Несправедливый приговор превратил его жизнь в бессмысленное существование. Однажды он слышит по радио «Марш авиаторов», в его памяти всплывают события 1944 года, когда его, выпускника летного училища, сбивают в первом же бою. Он попадает в плен. Пленных летчиков отправляют в расположение немецкого учебного аэродрома, где их используют как живые мишени — они летают на учебных самолетах, а немцы тренируются, сбивая их. Чтобы выжить, пленным пилотам необходимо превосходство в технике пилотирования. Этому их учит узник того же лагеря майор Грабарь. Однажды один из советских летчиков тайно заправляет самолет-мишень большим количеством горючего и заряжает его орудия. Не зная об этом, немецкие летчики в очередной раз проводят учебные полеты. На самолете-мишени в воздух поднимается сержант Тесленко. За ним поднимается в небо немецкий ас Штайнер на самолете с изображением непобедимого единорога. Тесленко удается сбить Штайнера, взорвать аэродром, заминированный заключенными, и улететь. Но когда сержант оказывается у своих, следователи не верят его рассказу. И теперь, в лагере, осужденный Тесленко считает, что его жизнь стала бессмысленной. В один из дней он отказывается выполнить приказ — сесть в машину, в которой должны везти заключенных, и охранник расстреливает его.</t>
        </is>
      </c>
      <c r="L6885" s="2" t="inlineStr">
        <is>
          <t>https://gosfilmofond.ru/films/240667/</t>
        </is>
      </c>
      <c r="M6885" s="2">
        <f>HYPERLINK("https://ru.wikipedia.org/w/index.php?search=%D0%9E%D1%85%D0%BE%D1%82%D0%B0%20%D0%BD%D0%B0%20%D0%95%D0%B4%D0%B8%D0%BD%D0%BE%D1%80%D0%BE%D0%B3%D0%B0%201989%20%D1%84%D0%B8%D0%BB%D1%8C%D0%BC","искать")</f>
        <v/>
      </c>
      <c r="N6885" s="3" t="n"/>
      <c r="O6885" s="2" t="n"/>
      <c r="P6885" s="2" t="n"/>
    </row>
    <row r="6886">
      <c r="A6886" s="2" t="n">
        <v>6885</v>
      </c>
      <c r="B6886" s="2" t="inlineStr"/>
      <c r="C6886" s="2" t="n">
        <v>10762</v>
      </c>
      <c r="D6886" s="3" t="inlineStr">
        <is>
          <t>Не всё коту масленица</t>
        </is>
      </c>
      <c r="E6886" s="2" t="n">
        <v>1978</v>
      </c>
      <c r="F6886" s="2" t="inlineStr">
        <is>
          <t>фильм-спектакль</t>
        </is>
      </c>
      <c r="G6886" s="2" t="inlineStr">
        <is>
          <t>ТО "Экран"</t>
        </is>
      </c>
      <c r="H6886" s="2" t="n">
        <v>1458</v>
      </c>
      <c r="I6886" s="2" t="inlineStr"/>
      <c r="J6886" s="2" t="inlineStr"/>
      <c r="K6886" s="3" t="inlineStr">
        <is>
          <t>Эта комедия Островского похожа на басню — здесь и сказка, и ложь, и намек, и мораль, которая выражена в самом названии пьесы.
Комедия "Не все коту масленица", - а премьера ее случилась в октябре 1871 г. на сцене Малого театра, ныне прославленного Дома Островского, - замечательна в ряду других пьес классика тем, что в ней впервые милые автору герои не поклонились самодуру, а проявили свободу воли, самостоятельность поступков в ответ на оскорбления и унижения.
В центре комедии - два соседствующих семейства: купеческой вдовы Кругловой с дочкой-бесприданницей и богача Ахова, миллионщика лет 60. В незамысловатых, на первый взгляд, сценах из московской жизни - все в движении, все охвачены своей страстью, пусть иногда смешной и нелепой. Тупая одурь богатства, уверенность в собственной вседозволенности у Ахова, лихорадка бедности и крепнущей любви у племянника его Ипполита, мечта о счастье у бедной невесты Агнии. Для Ахова весь мир в нем самом, в его капитале, силе, капризах. Ипполит стеснен робостью и бедностью, многие годы он безропотно ведет дела своего дядюшки - толстосума в надежде когда-нибудь получить жалованье. Обаятельный, импульсивный, несколько дурашливый, смешной в своих страхах перед денежной силой Ахова, он старается сохранить в душе честность, совестливость, хотя жизнь нещадно ломает его и ставит на колени. И вот теперь, когда их с Агнией будущее счастье зависит от обещанного жалованья, он решается на отчаянный дерзкий поступок</t>
        </is>
      </c>
      <c r="L6886" s="2" t="inlineStr">
        <is>
          <t>https://www.kino-teatr.ru/teatr/movie/82067/annot/</t>
        </is>
      </c>
      <c r="M6886" s="2">
        <f>HYPERLINK("https://ru.wikipedia.org/w/index.php?search=%D0%9D%D0%B5%20%D0%B2%D1%81%D1%91%20%D0%BA%D0%BE%D1%82%D1%83%20%D0%BC%D0%B0%D1%81%D0%BB%D0%B5%D0%BD%D0%B8%D1%86%D0%B0%201978%20%D1%84%D0%B8%D0%BB%D1%8C%D0%BC","искать")</f>
        <v/>
      </c>
      <c r="N6886" s="3" t="n"/>
      <c r="O6886" s="2" t="n"/>
      <c r="P6886" s="2" t="n"/>
    </row>
    <row r="6887">
      <c r="A6887" s="2" t="n">
        <v>6886</v>
      </c>
      <c r="B6887" s="2" t="inlineStr"/>
      <c r="C6887" s="2" t="n">
        <v>9795</v>
      </c>
      <c r="D6887" s="3" t="inlineStr">
        <is>
          <t>Белая земля</t>
        </is>
      </c>
      <c r="E6887" s="2" t="n">
        <v>1970</v>
      </c>
      <c r="F6887" s="2" t="inlineStr">
        <is>
          <t>телефильм</t>
        </is>
      </c>
      <c r="G6887" s="2" t="inlineStr">
        <is>
          <t>Беларусьфильм</t>
        </is>
      </c>
      <c r="H6887" s="2" t="n">
        <v>1464</v>
      </c>
      <c r="I6887" s="2" t="inlineStr"/>
      <c r="J6887" s="2" t="inlineStr"/>
      <c r="K6887" s="3" t="inlineStr">
        <is>
          <t>Во время туристической поездки в Мюнхен инженер Александр Окулич узнаёт из газет о загадочных взрывах на арктическом острове Безымянном. Он находит дом врача Франца Риттера и добивается с ним встречи.
Во время войны Окулич на острове Безымянном свёл невольное знакомство с отцом Франца — обер-лейтенантом Иоганном Риттером. Корабль, на котором Окулич возвращался в Мурманск, был накрыт бомбовым ударом немецких самолётов, получил пробоину и на подходе к острову подорвался на мине.
Окулич, единственный из команды, остался в живых. На острове оказалась секретная военная база немцев. Пленника было решено отправить в глубь острова. Воспользовавшись оплошностью сопровождающих, Окуличу удалось бежать, взяв с собой Риттера в качестве пленного.
Долгие дни по снежной пустыне добирались они к людям. Риттер не выдержал тяжести пути и замёрз, совсем немного не дойдя до цели. Перед смертью он рассказал, что их база была построена по личному заданию рейхсмаршала при сотрудничестве с военной разведкой адмирала Канариса. Цель — наводка рейдеров, уничтожение караванов, нападение на самолёты и корабли.
Рассказ Окулича поразил Франца, который был убеждён, что Иоганн Риттер — известный учёный-орнитолог — погиб в Норвегии на полярной станции, занимаясь научной работой. Он долго не хотел верить услышанному, пока при личной встрече друга его отца Курта с Александром Окуличем не выяснилось, что Курт был офицером, ответственным вместе с Иоганном за гибель мирных судов.</t>
        </is>
      </c>
      <c r="L6887" s="2" t="inlineStr">
        <is>
          <t>https://ru.wikipedia.org/w/index.php?title=%D0%91%D0%B5%D0%BB%D0%B0%D1%8F_%D0%B7%D0%B5%D0%BC%D0%BB%D1%8F&amp;oldid=148068298</t>
        </is>
      </c>
      <c r="M6887" s="2">
        <f>HYPERLINK("https://ru.wikipedia.org/w/index.php?search=%D0%91%D0%B5%D0%BB%D0%B0%D1%8F%20%D0%B7%D0%B5%D0%BC%D0%BB%D1%8F%201970%20%D1%84%D0%B8%D0%BB%D1%8C%D0%BC","искать")</f>
        <v/>
      </c>
      <c r="N6887" s="3" t="n"/>
      <c r="O6887" s="2" t="n"/>
      <c r="P6887" s="2" t="n"/>
    </row>
    <row r="6888">
      <c r="A6888" s="2" t="n">
        <v>6887</v>
      </c>
      <c r="B6888" s="2" t="inlineStr"/>
      <c r="C6888" s="2" t="n">
        <v>10536</v>
      </c>
      <c r="D6888" s="3" t="inlineStr">
        <is>
          <t>Человек со стороны</t>
        </is>
      </c>
      <c r="E6888" s="2" t="n">
        <v>1973</v>
      </c>
      <c r="F6888" s="2" t="inlineStr">
        <is>
          <t>фильм-спектакль</t>
        </is>
      </c>
      <c r="G6888" s="2" t="inlineStr">
        <is>
          <t>Гл. ред. лит-драм программ</t>
        </is>
      </c>
      <c r="H6888" s="2" t="n">
        <v>1474</v>
      </c>
      <c r="I6888" s="2" t="inlineStr"/>
      <c r="J6888" s="2" t="inlineStr"/>
      <c r="K6888" s="3" t="inlineStr">
        <is>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
На новом месте он будет крупным начальником, "человеком со стороны". На него возлагают большие надежды, однако не спешат сразу открывать все особенности и скрытые проблемы производства. "6 гигантских корпусов, каждый по версте длинной, вот какой завод в заводе доверяют тридцатилетнему человеку". В подчинение ему дают 5 заместителей, 200 человек инженерно-технического персонала. "Легкой жизни не ждите", предупреждают его на первой встрече с руководством нового предприятия. Правда и он сразу показывает себя человеком с жесткими позициями, обещаете 280 оклад и 3-х комнатную квартиру к Октябрьским? Пишите в документ.
С самого начала он берет очень жестко, строго и даже резко. Вскоре пригласивший его уже интересуется "А не зарываетесь ли Вы?". С предприятия уходят люди, обстановка накаляется, но "человек со стороны" непреклонно продолжает переламывать существующие порядки. Что же это за человек, что скрывается за образом современного руководителя громадного предприятия? Сломает ли он систему или система сломает его?</t>
        </is>
      </c>
      <c r="L6888" s="2" t="inlineStr">
        <is>
          <t>https://www.kino-teatr.ru/teatr/movie/11373/annot/</t>
        </is>
      </c>
      <c r="M6888" s="2">
        <f>HYPERLINK("https://ru.wikipedia.org/w/index.php?search=%D0%A7%D0%B5%D0%BB%D0%BE%D0%B2%D0%B5%D0%BA%20%D1%81%D0%BE%20%D1%81%D1%82%D0%BE%D1%80%D0%BE%D0%BD%D1%8B%201973%20%D1%84%D0%B8%D0%BB%D1%8C%D0%BC","искать")</f>
        <v/>
      </c>
      <c r="N6888" s="3" t="n"/>
      <c r="O6888" s="2" t="n"/>
      <c r="P6888" s="2" t="n"/>
    </row>
    <row r="6889">
      <c r="A6889" s="2" t="n">
        <v>6888</v>
      </c>
      <c r="B6889" s="2" t="inlineStr"/>
      <c r="C6889" s="2" t="n">
        <v>9213</v>
      </c>
      <c r="D6889" s="3" t="inlineStr">
        <is>
          <t>Аэлита, не приставай к мужчинам</t>
        </is>
      </c>
      <c r="E6889" s="2" t="n">
        <v>1988</v>
      </c>
      <c r="F6889" s="2" t="inlineStr">
        <is>
          <t>кинофильм</t>
        </is>
      </c>
      <c r="G6889" s="2" t="n"/>
      <c r="H6889" s="2" t="n">
        <v>1476</v>
      </c>
      <c r="I6889" s="2" t="inlineStr"/>
      <c r="J6889" s="2" t="inlineStr"/>
      <c r="K6889" s="3" t="inlineStr">
        <is>
          <t>По мотивам пьесы-фарса Э. Радзинского "Приятная женщина с цветком и окнами на север..." Личная жизнь одинокой женщины со странным именем Аэлита никак не складывается. Из-за своей доверчивости она постоянно оказывается в нелепых ситуациях. Только закончился ее трехлетний роман с Апокиным, который сбежал к двадцатидвухлетней певице, как тут же в канун Нового года она попадает в одно купе с брачным аферистом Василием Скамейкиным, представившимся генерал-майором Андреем Андреевичем. Тонкое понимание психологии одиноких женщин позволяет Василию быстро завоевать ее сердце. Аэлита сама отдает ему деньги, которые долгое время откладывала для покупки цветного телевизора. Лишь в кабинете у следователя женщине становится известна вся горькая правда. Спустя время Аэлита получает из тюрьмы письмо от Василия, полное раскаяния в содеянном. Проходит несколько лет. Аэлита готовится к встрече Нового года, ждет Скамейкина, обещавшего вернуться к ней. Но вместо него на пороге появляется Федя, его сокамерник, купивший фотографию и адрес Аэлиты и, как оказалось, писавший
ей все это время. Хотя она и указывает ему на дверь, ее сердце дрогнуло, когда услышала от Федора, что для того, чтобы жизнь задалась, нужно Новый год встретить с добрым человеком... Но вскоре освободившийся Скамейкин втягивает парня в очередную авантюру. Новое «дело» с треском проваливается. Федор добровольно отправляется в милицию с явкой с повинной. Он отбывает срок и снова шлет Аэлите задушевные письма.</t>
        </is>
      </c>
      <c r="L6889" s="2" t="inlineStr">
        <is>
          <t>https://gosfilmofond.ru/films/240241/</t>
        </is>
      </c>
      <c r="M6889" s="2">
        <f>HYPERLINK("https://ru.wikipedia.org/w/index.php?search=%D0%90%D1%8D%D0%BB%D0%B8%D1%82%D0%B0%2C%20%D0%BD%D0%B5%20%D0%BF%D1%80%D0%B8%D1%81%D1%82%D0%B0%D0%B2%D0%B0%D0%B9%20%D0%BA%20%D0%BC%D1%83%D0%B6%D1%87%D0%B8%D0%BD%D0%B0%D0%BC%201988%20%D1%84%D0%B8%D0%BB%D1%8C%D0%BC","искать")</f>
        <v/>
      </c>
      <c r="N6889" s="3" t="n"/>
      <c r="O6889" s="2" t="n"/>
      <c r="P6889" s="2" t="n"/>
    </row>
    <row r="6890">
      <c r="A6890" s="2" t="n">
        <v>6889</v>
      </c>
      <c r="B6890" s="2" t="inlineStr"/>
      <c r="C6890" s="2" t="n">
        <v>10343</v>
      </c>
      <c r="D6890" s="3" t="inlineStr">
        <is>
          <t>Цветы запоздалые</t>
        </is>
      </c>
      <c r="E6890" s="2" t="n">
        <v>1969</v>
      </c>
      <c r="F6890" s="2" t="inlineStr">
        <is>
          <t>фильм-спектакль</t>
        </is>
      </c>
      <c r="G6890" s="2" t="inlineStr">
        <is>
          <t>ТО "Экран"</t>
        </is>
      </c>
      <c r="H6890" s="2" t="n">
        <v>1487</v>
      </c>
      <c r="I6890" s="2" t="inlineStr"/>
      <c r="J6890" s="2" t="inlineStr"/>
      <c r="K6890" s="3" t="inlineStr">
        <is>
          <t>В фильме изображена жизнь семьи князей Приклонских. Главная героиня княжна Мария, приятная и благоразумная девушка, любит мать и брата Егорушку. Брат — порочный человек, не желающий избавляться от вредных привычек.
Болезнь детей вынуждает Приклонскую обратиться за помощью к Топоркову, их бывшему крепостному, выучившемуся и ставшему известным врачом. Маруся влюбляется в доктора, приписывая ему благородные черты, о которых она читала в романах. Вскоре Топорков через сваху просит руки Маруси, однако при этом он требует от княгини приданого в шестьдесят тысяч рублей. Эта просьба оскорбляет княгиню Приклонскую, и доктор получает отказ. Топорков вскоре женится на богатой купчихе.
Финансовые дела семьи терпят крах, и от глубоких переживаний за судьбу детей княгиня умирает. Егор всё больше опускается, приводит в дом продажную женщину и забирает у Маруси последние деньги. Маруся, страдая от душевных терзаний, постепенно заболевает чахоткой. Она приходит к доктору Топоркову на очередной приём и признаётся ему в любви. Её сильное чувство затрагивает его зачерствелое сердце, доктор раскаивается в своём браке по расчёту и том, что он наживался на горе людей. Он отправляется с Марусей на лечение за границу, но поздно. В Южной Франции девушка умирает на его руках, не прожив и трёх дней. Топорков возвращается в Россию, возобновляет докторскую практику и содержит непутёвого брата Маруси Егорушку, прекратившего общение с Калерией Ивановной, но продолжающего вести разгульную жизнь.</t>
        </is>
      </c>
      <c r="L6890" s="2" t="inlineStr">
        <is>
          <t>https://ru.wikipedia.org/w/index.php?title=%D0%A6%D0%B2%D0%B5%D1%82%D1%8B_%D0%B7%D0%B0%D0%BF%D0%BE%D0%B7%D0%B4%D0%B0%D0%BB%D1%8B%D0%B5_%28%D1%84%D0%B8%D0%BB%D1%8C%D0%BC%29&amp;oldid=143541213</t>
        </is>
      </c>
      <c r="M6890" s="2">
        <f>HYPERLINK("https://ru.wikipedia.org/w/index.php?search=%D0%A6%D0%B2%D0%B5%D1%82%D1%8B%20%D0%B7%D0%B0%D0%BF%D0%BE%D0%B7%D0%B4%D0%B0%D0%BB%D1%8B%D0%B5%201969%20%D1%84%D0%B8%D0%BB%D1%8C%D0%BC","искать")</f>
        <v/>
      </c>
      <c r="N6890" s="3" t="n"/>
      <c r="O6890" s="2" t="n"/>
      <c r="P6890" s="2" t="n"/>
    </row>
    <row r="6891">
      <c r="A6891" s="2" t="n">
        <v>6890</v>
      </c>
      <c r="B6891" s="2" t="inlineStr"/>
      <c r="C6891" s="2" t="n">
        <v>7781</v>
      </c>
      <c r="D6891" s="3" t="inlineStr">
        <is>
          <t>Куда исчез Фоменко?</t>
        </is>
      </c>
      <c r="E6891" s="2" t="n">
        <v>1981</v>
      </c>
      <c r="F6891" s="2" t="inlineStr">
        <is>
          <t>телефильм</t>
        </is>
      </c>
      <c r="G6891" s="2" t="n"/>
      <c r="H6891" s="2" t="n">
        <v>1489</v>
      </c>
      <c r="I6891" s="2" t="inlineStr"/>
      <c r="J6891" s="2" t="inlineStr"/>
      <c r="K6891" s="3" t="inlineStr">
        <is>
          <t>Дмитрий Фоменко, инженер аэродромной службы авиаремонтного завода, незаменимый на производстве работник, отличный семьянин и любитель лошадей, внезапно исчез. Он не был ночью дома, а утром отметился на работе (на проходной оставлен пропуск, и его видели несколько человек), но его не могут найти. Обратившись во все места, где он мог бы быть, в том числе и на производство, жена Алина (Лия Ахеджакова), по совету подруги, обращается к знакомому следователю (Армен Джигарханян). Тот рекомендует ей написать заявление о пропаже человека, а сам приступает к расследованию, опрашивая сослуживцев и родственников пропавшего.
На работе по указанию начальника цеха Манечкина (Ролан Быков) обыскивают все производственные помещения, где мог бы находиться Фоменко, и даже прилежащий к заводу пруд. Его не могут найти в течение 9 дней, за это время отец Алины (Сергей Филиппов) даже успевает найти ей нового жениха. Как выясняется, Фоменко до смерти надоели все: равнодушные сослуживцы, кудахтающая жена и дочь, беспричинно накричавшая на него (переходный возраст), бестолковые приятели. Герой решил заняться, наконец, любимой верховой ездой и, ничего никому не сказав, уехал на горную спортивную базу. Когда на производстве и дома поняли, что Фоменко сбежал от жизни и надоевших обстоятельств, то семья и дружный товарищеский коллектив, осознав недостатки и согласовав действия двух сторон, приходят на помощь друг другу. Милиция же пытается разыскать его в горах, используя для этой цели вертолёт.</t>
        </is>
      </c>
      <c r="L6891" s="2" t="inlineStr">
        <is>
          <t>https://ru.wikipedia.org/w/index.php?title=%D0%9A%D1%83%D0%B4%D0%B0_%D0%B8%D1%81%D1%87%D0%B5%D0%B7_%D0%A4%D0%BE%D0%BC%D0%B5%D0%BD%D0%BA%D0%BE%3F&amp;oldid=153882419</t>
        </is>
      </c>
      <c r="M6891" s="2">
        <f>HYPERLINK("https://ru.wikipedia.org/w/index.php?search=%D0%9A%D1%83%D0%B4%D0%B0%20%D0%B8%D1%81%D1%87%D0%B5%D0%B7%20%D0%A4%D0%BE%D0%BC%D0%B5%D0%BD%D0%BA%D0%BE%3F%201981%20%D1%84%D0%B8%D0%BB%D1%8C%D0%BC","искать")</f>
        <v/>
      </c>
      <c r="N6891" s="3" t="n"/>
      <c r="O6891" s="2" t="n"/>
      <c r="P6891" s="2" t="n"/>
    </row>
    <row r="6892">
      <c r="A6892" s="2" t="n">
        <v>6891</v>
      </c>
      <c r="B6892" s="2" t="inlineStr"/>
      <c r="C6892" s="2" t="n">
        <v>11049</v>
      </c>
      <c r="D6892" s="3" t="inlineStr">
        <is>
          <t>Без вины виноватые</t>
        </is>
      </c>
      <c r="E6892" s="2" t="n">
        <v>1985</v>
      </c>
      <c r="F6892" s="2" t="inlineStr">
        <is>
          <t>фильм-спектакль</t>
        </is>
      </c>
      <c r="G6892" s="2" t="inlineStr">
        <is>
          <t>ТО "Экран"</t>
        </is>
      </c>
      <c r="H6892" s="2" t="n">
        <v>1489</v>
      </c>
      <c r="I6892" s="2" t="inlineStr"/>
      <c r="J6892" s="2" t="inlineStr"/>
      <c r="K6892" s="3" t="inlineStr">
        <is>
          <t>Пьеса А.Н.Островского в постановке Малого театра (Москва).
Главная героиня прошла нелегкий жизненный путь. Любовь Отрадина, обманутая и преданная бессердечным эгоистом Муровым, становится знаменитой провинциальной актрисой Еленой Ивановной Кручининой.
Она милостиво соглашается гастролировать в городе, с которым у нее связаны тяжелые воспоминания, и там находит сына, оставленного ею в силу обстоятельств много лет назад. Он актер в местном провинциальном театре, он стал озлобленным от тяжелого детства, юношества и молодости.
Чрезвычайно интересен жанр этой пьесы, названной самим автором комедией. Комедиями во времена Островского назывались вообще пьесы, где не происходило в финале смертей. И поэтому слово "комедия" не означает здесь, естественно, жанра: о какой комедии в страшной истории ребенка, объявленного в условиях царской России незаконнорожденным, могла идти речь.
"От счастья не умирают" - такой фразой завершается пьеса "Без вины виноватые". Но есть ли счастье в пределах этой пьесы? Оно призрачно. Нашедшие друг друга мать и сын окружены пошлой, сытой, презирающей труд толпой.
В пьесе "Без вины виноватые" Островский обращается к проблеме актерской среды, к волновавшей его теме - художник и общество. Нисколько не идеализируя современный ему провинциальный театр, показывая зависимость "талантов" от "поклонников", драматург с глубоким уважением и искренним сочувствием рисует образы истинных художников сцены, видевших в своем служении искусству - служение обществу.</t>
        </is>
      </c>
      <c r="L6892" s="2" t="inlineStr">
        <is>
          <t>https://www.kino-teatr.ru/teatr/movie/78853/annot/</t>
        </is>
      </c>
      <c r="M6892" s="2">
        <f>HYPERLINK("https://ru.wikipedia.org/w/index.php?search=%D0%91%D0%B5%D0%B7%20%D0%B2%D0%B8%D0%BD%D1%8B%20%D0%B2%D0%B8%D0%BD%D0%BE%D0%B2%D0%B0%D1%82%D1%8B%D0%B5%201985%20%D1%84%D0%B8%D0%BB%D1%8C%D0%BC","искать")</f>
        <v/>
      </c>
      <c r="N6892" s="3" t="n"/>
      <c r="O6892" s="2" t="n"/>
      <c r="P6892" s="2" t="n"/>
    </row>
    <row r="6893">
      <c r="A6893" s="2" t="n">
        <v>6892</v>
      </c>
      <c r="B6893" s="2" t="inlineStr"/>
      <c r="C6893" s="2" t="n">
        <v>7857</v>
      </c>
      <c r="D6893" s="3" t="inlineStr">
        <is>
          <t>Матч состоится в любую погоду</t>
        </is>
      </c>
      <c r="E6893" s="2" t="n">
        <v>1985</v>
      </c>
      <c r="F6893" s="2" t="inlineStr">
        <is>
          <t>телефильм</t>
        </is>
      </c>
      <c r="G6893" s="2" t="n"/>
      <c r="H6893" s="2" t="n">
        <v>1492</v>
      </c>
      <c r="I6893" s="2" t="inlineStr"/>
      <c r="J6893" s="2" t="inlineStr"/>
      <c r="K6893" s="3" t="inlineStr">
        <is>
          <t>В Прагу на ответную игру прилетает футбольный клуб из Западной Германии. Во время тренировки основной игрок команды Франц Пихлер потерял сознание и скончался по дороге в больницу. Было установлено, что причиной смерти послужил яд, попавший в организм после укола отравленной иглой, прикреплённой к бутсе футболиста. Тренер команды в ультимативной форме заявил, что если накануне матча не будет найден виновный в убийстве, они будут вынуждены отказаться от игры.
Раскрытие преступления было поручено следственной группе под руководством капитана госбезопасности Иржи Паточки. Отбросив версию о неудавшемся шантаже, сыщики обнаружили связь между пропажей в институте автомобильной промышленности секретной документации и интересом к ней немецких промышленников. Отец жены Пихлера — владелец крупного автопредприятия — был заинтересован в тайной покупке украденных документов.
В гостинице, где жили футболисты, были обнаружены две группы промышленных шпионов, наблюдавших за Пихлером. После проведения оперативного задержания одного из подозреваемых был арестован работник института, выкравший документы и передавший их футболисту. Кассета с микрофильмом была украдена у Пихлера конкурентами, но никто из них не был заинтересован в его смерти.
Буквально в последний час перед матчем выяснилось, что убийство на совести вратаря команды, молодого и честолюбивого спортсмена, имевшего любовную связь с женой Пихлера и убившего соперника в надежде получить состояние после брака с бывшей любовницей.</t>
        </is>
      </c>
      <c r="L6893" s="2" t="inlineStr">
        <is>
          <t>https://ru.wikipedia.org/w/index.php?title=%D0%9C%D0%B0%D1%82%D1%87_%D1%81%D0%BE%D1%81%D1%82%D0%BE%D0%B8%D1%82%D1%81%D1%8F_%D0%B2_%D0%BB%D1%8E%D0%B1%D1%83%D1%8E_%D0%BF%D0%BE%D0%B3%D0%BE%D0%B4%D1%83&amp;oldid=154094398</t>
        </is>
      </c>
      <c r="M6893" s="2">
        <f>HYPERLINK("https://ru.wikipedia.org/w/index.php?search=%D0%9C%D0%B0%D1%82%D1%87%20%D1%81%D0%BE%D1%81%D1%82%D0%BE%D0%B8%D1%82%D1%81%D1%8F%20%D0%B2%20%D0%BB%D1%8E%D0%B1%D1%83%D1%8E%20%D0%BF%D0%BE%D0%B3%D0%BE%D0%B4%D1%83%201985%20%D1%84%D0%B8%D0%BB%D1%8C%D0%BC","искать")</f>
        <v/>
      </c>
      <c r="N6893" s="3" t="n"/>
      <c r="O6893" s="2" t="n"/>
      <c r="P6893" s="2" t="n"/>
    </row>
    <row r="6894">
      <c r="A6894" s="2" t="n">
        <v>6893</v>
      </c>
      <c r="B6894" s="2" t="inlineStr"/>
      <c r="C6894" s="2" t="n">
        <v>10571</v>
      </c>
      <c r="D6894" s="3" t="inlineStr">
        <is>
          <t>Миллионерша</t>
        </is>
      </c>
      <c r="E6894" s="2" t="n">
        <v>1974</v>
      </c>
      <c r="F6894" s="2" t="inlineStr">
        <is>
          <t>фильм-спектакль</t>
        </is>
      </c>
      <c r="G6894" s="2" t="inlineStr">
        <is>
          <t>творческое объединение «Экран»</t>
        </is>
      </c>
      <c r="H6894" s="2" t="n">
        <v>1493</v>
      </c>
      <c r="I6894" s="2" t="inlineStr"/>
      <c r="J6894" s="2" t="inlineStr"/>
      <c r="K6894" s="3" t="inlineStr">
        <is>
          <t>Спектакль театра им.Вахтангова по одноименной пьесе Б.Шоу.
Одна из лучших постановок пьесы Б.Шоу с изумительными актерскими работами Борисовой, Осенева, Этуша, Яковлева - легкими, динамичными, с неповторимой пластикой и интонацией. Спектакль сыгранный с невероятным азартом и изящной иронией.
Действие разворачивается в английском обществе первой половины ХХ века. Главная героиня — Эпифания - красивая и богатая наследница — относится к людям по принципу «без денег никто и ничего из себя не представляет». Она стала наследницей 30 миллионов фунтов и по настоянию своего отца она должна выйти замуж за человека, который за полгода сможет сделать из 150 фунтов 50 тысяч. Местный адвокат готов цинично зарабатывать на прихотях своей клиентки. Так, при написании завещания он с улыбкой предлагает миллионерше яд.
Любовник также пытается паразитировать на состоянии богатой леди. Ее жених прошел это испытание, но надежд в браке не оправдал, хотя был высоким красивым мужчиной и спортсменом. Муж не вынес жуткого характера беспринципной жены и находит утешение в «шалаше» нежной и романтичной возлюбленной. Той, которая способна получать наслаждение от пения птиц и завтрака на траве, а не только от мыслей о деньгах. Однажды Эпифания встречает человека, которому в свое время тоже поставили условие: невеста должна полгода прожить на деньги, которые заработает сама. Интрига завязывается на том, что миллионерша влюбляется в мужчину, чьи карманы пусты, а сердце открыто для помощи и сострадания.</t>
        </is>
      </c>
      <c r="L6894" s="2" t="inlineStr">
        <is>
          <t>https://www.kino-teatr.ru/teatr/movie/8692/annot/</t>
        </is>
      </c>
      <c r="M6894" s="2">
        <f>HYPERLINK("https://ru.wikipedia.org/w/index.php?search=%D0%9C%D0%B8%D0%BB%D0%BB%D0%B8%D0%BE%D0%BD%D0%B5%D1%80%D1%88%D0%B0%201974%20%D1%84%D0%B8%D0%BB%D1%8C%D0%BC","искать")</f>
        <v/>
      </c>
      <c r="N6894" s="3" t="n"/>
      <c r="O6894" s="2" t="n"/>
      <c r="P6894" s="2" t="n"/>
    </row>
    <row r="6895">
      <c r="A6895" s="2" t="n">
        <v>6894</v>
      </c>
      <c r="B6895" s="2" t="inlineStr"/>
      <c r="C6895" s="2" t="n">
        <v>7322</v>
      </c>
      <c r="D6895" s="3" t="inlineStr">
        <is>
          <t>Весёлая хроника опасного путешествия</t>
        </is>
      </c>
      <c r="E6895" s="2" t="n">
        <v>1986</v>
      </c>
      <c r="F6895" s="2" t="inlineStr">
        <is>
          <t>телефильм</t>
        </is>
      </c>
      <c r="G6895" s="2" t="inlineStr">
        <is>
          <t>ТО «Экран»</t>
        </is>
      </c>
      <c r="H6895" s="2" t="n">
        <v>1497</v>
      </c>
      <c r="I6895" s="2" t="inlineStr"/>
      <c r="J6895" s="2" t="inlineStr"/>
      <c r="K6895" s="3" t="inlineStr">
        <is>
          <t>Убив своего брата, царём Иолка становится Пелий. Когда в город возвращается Язон, сын убитого царя, и хочет занять трон, Пелий предлагает ему завоевать народное признание тем, что Язон добудет Золотое руно, которое хранится как сокровище в Колхиде. Язон решается пуститься в опасный путь. Он набирает команду аргонавтов, которые плывут в Колхиду на корабле под названием «Арго».
Среди аргонавтов братья-близнецы Кастор и Поллукс, силач Геракл, певец Орфей, разорившийся колхидский купец Шалом и другие. По дороге путешественники останавливаются у острова, где они должны рассмешить детей, но им это не удаётся. Затем они попадают в страну, где правит Амик. Он вызывает Геракла на поединок, который заключается в музыкальном соревновании с игрой на пианино. Далее аргонавты приплывают в страну амазонок, где остаётся Геракл, влюбившийся в предводительницу амазонок Лидию. Также они встречают птицу-прорицательницу, которая говорит Язону, что он завоюет Руно страшной ценой, погубив всех своих спутников. В море аргонавты видят сирен, так что им приходится привязать себя к мачтам, чтобы те не уволокли их в океан.
Наконец, аргонавты достигают Колхиды. Язон видит, что висящее на священном дереве Руно почитается колхами и его не удастся украсть. Шалом подсказывает ему выход: Язон должен взять в жёны Медею, дочь Аэта, царя Колхиды. Так и получается: Язон и Медея влюбляются друг в друга, и Язон отправляется в обратный путь с Медеей.
Фильм заканчивается сценой съёмок прибытия аргонавтов в Элладу.</t>
        </is>
      </c>
      <c r="L6895" s="2" t="inlineStr">
        <is>
          <t>https://ru.wikipedia.org/w/index.php?title=%D0%92%D0%B5%D1%81%D1%91%D0%BB%D0%B0%D1%8F_%D1%85%D1%80%D0%BE%D0%BD%D0%B8%D0%BA%D0%B0_%D0%BE%D0%BF%D0%B0%D1%81%D0%BD%D0%BE%D0%B3%D0%BE_%D0%BF%D1%83%D1%82%D0%B5%D1%88%D0%B5%D1%81%D1%82%D0%B2%D0%B8%D1%8F&amp;oldid=152737027</t>
        </is>
      </c>
      <c r="M6895" s="2">
        <f>HYPERLINK("https://ru.wikipedia.org/w/index.php?search=%D0%92%D0%B5%D1%81%D1%91%D0%BB%D0%B0%D1%8F%20%D1%85%D1%80%D0%BE%D0%BD%D0%B8%D0%BA%D0%B0%20%D0%BE%D0%BF%D0%B0%D1%81%D0%BD%D0%BE%D0%B3%D0%BE%20%D0%BF%D1%83%D1%82%D0%B5%D1%88%D0%B5%D1%81%D1%82%D0%B2%D0%B8%D1%8F%201986%20%D1%84%D0%B8%D0%BB%D1%8C%D0%BC","искать")</f>
        <v/>
      </c>
      <c r="N6895" s="3" t="n"/>
      <c r="O6895" s="2" t="n"/>
      <c r="P6895" s="2" t="n"/>
    </row>
    <row r="6896">
      <c r="A6896" s="2" t="n">
        <v>6895</v>
      </c>
      <c r="B6896" s="2" t="inlineStr"/>
      <c r="C6896" s="2" t="n">
        <v>8419</v>
      </c>
      <c r="D6896" s="3" t="inlineStr">
        <is>
          <t>Султан Бейбарс</t>
        </is>
      </c>
      <c r="E6896" s="2" t="n">
        <v>1989</v>
      </c>
      <c r="F6896" s="2" t="inlineStr">
        <is>
          <t>телефильм</t>
        </is>
      </c>
      <c r="G6896" s="2" t="n"/>
      <c r="H6896" s="2" t="n">
        <v>1498</v>
      </c>
      <c r="I6896" s="2" t="inlineStr"/>
      <c r="J6896" s="2" t="inlineStr"/>
      <c r="K6896" s="3" t="inlineStr">
        <is>
          <t>XIII век. На Ближнем Востоке — завоевания крестоносцев и вторжение татаро-монголов. Бейбарс — реальная личность, султан Египта, кипчакского происхождения, который был рабом, а затем сумел достичь вершин власти, вспоминает весь свой жизненный путь. Только сейчас, находясь в зените своей славы, он понимает, что какой бы великой власть ни была, она тленна, даже среди его приближённых есть те, кто выбрал дорогу измены.
Науку править и вершить Бейбарс постигал с азов, коими были византийская школа фехтования Анонима, потом рабство и галеры. Но проданный в рабство Бейбарс впоследствии возглавил восстание против завоевателей и был куплен вице-султаном Кутузом, начальником мамлюков. Благодаря физической выносливости, редкой силе, врождённой осторожности, правильному усвоению опыта окружающих и личной гениальности бывший раб и отважный мамлюк становится начальником личной охраны султана Айбека, а после того, как Кутуз свергает султана Айбека и берёт власть в свои руки, становится вице-султаном. В 1260 году Кутуз и его полководец Бейбарс выступают из Каира, пересекают Иерусалимское королевство и в решающей битве при Айн-Джалуте побеждают тюрко-монгольскую армию под командованием Кит-Буги. Сирия вскоре возвращается под контроль мамлюков.
При возвращении в Каир Бейбарс вступает в сговор с эмирами и свергает Кутуза (который не сумел удержать баланс между гением и соблазном, чересчур увлекшись женщинами), а затем занимает место султана Египта, став великим воином и государственным мужем.</t>
        </is>
      </c>
      <c r="L6896" s="2" t="inlineStr">
        <is>
          <t>https://ru.wikipedia.org/w/index.php?title=%D0%A1%D1%83%D0%BB%D1%82%D0%B0%D0%BD_%D0%91%D0%B5%D0%B9%D0%B1%D0%B0%D1%80%D1%81_%28%D1%84%D0%B8%D0%BB%D1%8C%D0%BC%29&amp;oldid=152608498</t>
        </is>
      </c>
      <c r="M6896" s="2">
        <f>HYPERLINK("https://ru.wikipedia.org/w/index.php?search=%D0%A1%D1%83%D0%BB%D1%82%D0%B0%D0%BD%20%D0%91%D0%B5%D0%B9%D0%B1%D0%B0%D1%80%D1%81%201989%20%D1%84%D0%B8%D0%BB%D1%8C%D0%BC","искать")</f>
        <v/>
      </c>
      <c r="N6896" s="3" t="n"/>
      <c r="O6896" s="2" t="n"/>
      <c r="P6896" s="2" t="n"/>
    </row>
    <row r="6897">
      <c r="A6897" s="2" t="n">
        <v>6896</v>
      </c>
      <c r="B6897" s="2" t="inlineStr"/>
      <c r="C6897" s="2" t="n">
        <v>11236</v>
      </c>
      <c r="D6897" s="3" t="inlineStr">
        <is>
          <t>Эмма</t>
        </is>
      </c>
      <c r="E6897" s="2" t="n">
        <v>1988</v>
      </c>
      <c r="F6897" s="2" t="inlineStr">
        <is>
          <t>фильм-спектакль</t>
        </is>
      </c>
      <c r="G6897" s="2" t="inlineStr">
        <is>
          <t>Ленинградское ТВ</t>
        </is>
      </c>
      <c r="H6897" s="2" t="n">
        <v>1498</v>
      </c>
      <c r="I6897" s="2" t="inlineStr"/>
      <c r="J6897" s="2" t="inlineStr"/>
      <c r="K6897" s="3" t="inlineStr">
        <is>
          <t>По мотивам романа Гюстава Флобера "Мадам Бовари". Расцвет творчества Флобера приходится на мрачное время после разгрома революции 1848 года и установления режима Второй империи. Он писал: "...где найти человека... Преклонение перед прекрасным утрачено. Неужели же у всех грудь переполнена всемирной грязью?"
За роман "Мадам Бовари" Флобера судили, обвиняя его в безнравственности. "Какая сила, - отмечал Флобер, - таится в социальном лицемерии! По нынешнему времени всякое изображение становится сатирой, а история является обвинением!".
Современник Флобера - поэт Шарль Бодлер писал:
"И племя пауков
бесшумных и поганых,
В мозгу моем свои густые сети вьет".
Эти трагические и язвительные слова поэта взяты эпиграфом к телеспектаклю, поскольку роман "Госпожа Бовари" создан Г. Флобером как раз в то же время. Г. Флобер в романе показал "безобразную эпоху", частицей которой и является судьба его самой любимой героини - Эммы Бовари...
В образе Эммы предстает драматическая судьба женщины, судьба, понятная во все времена, драма женской души, трагедия между мечтой и реальностью.
Воспитанная в монастыре, начитавшаяся романтических историй о прекрасном принце, Эмма попадает в мещанское болото провинциального города Ионвиля, встречается с лицемерием, пошлостью, пустотой и предательством.
Наталья Данилова, исполнительница роли Эммы, по-своему, необычно сыграла свою героиню: это не слабая и мягкая, а всепонимающая, даже где-то сильная женщина, и тем, вероятно, масштабнее должна быть ее трагедия.</t>
        </is>
      </c>
      <c r="L6897" s="2" t="inlineStr">
        <is>
          <t>https://www.kino-teatr.ru/teatr/movie/79770/annot/</t>
        </is>
      </c>
      <c r="M6897" s="2">
        <f>HYPERLINK("https://ru.wikipedia.org/w/index.php?search=%D0%AD%D0%BC%D0%BC%D0%B0%201988%20%D1%84%D0%B8%D0%BB%D1%8C%D0%BC","искать")</f>
        <v/>
      </c>
      <c r="N6897" s="3" t="n"/>
      <c r="O6897" s="2" t="n"/>
      <c r="P6897" s="2" t="n"/>
    </row>
    <row r="6898">
      <c r="A6898" s="2" t="n">
        <v>6897</v>
      </c>
      <c r="B6898" s="2" t="inlineStr"/>
      <c r="C6898" s="2" t="n">
        <v>8869</v>
      </c>
      <c r="D6898" s="3" t="inlineStr">
        <is>
          <t>Невероятный случай</t>
        </is>
      </c>
      <c r="E6898" s="2" t="n">
        <v>1989</v>
      </c>
      <c r="F6898" s="2" t="inlineStr">
        <is>
          <t>кинофильм</t>
        </is>
      </c>
      <c r="G6898" s="2" t="n"/>
      <c r="H6898" s="2" t="n">
        <v>1501</v>
      </c>
      <c r="I6898" s="2" t="inlineStr"/>
      <c r="J6898" s="2" t="inlineStr"/>
      <c r="K6898" s="3" t="inlineStr">
        <is>
          <t>1980-е годы. На небольшой горе, недалеко от таджикского селения, бывший учитель астрономии Абдулло замечает туристическую палатку. Но туристы ведут себя странно — не жгут костры, не поют песен, их не видно и не слышно. И тогда Абдулло, уверенный в существовании иноземных цивилизаций, решает, что в палатке находятся прибывшие на Землю инопланетяне. И на самом деле он прав. Трое инопланетян — прелестная блондинка и двое мужчин, которые в селе получили клички Картуз и Бородач, — прибыли с далекой планеты, чтобы установить контакт с Землей. Но так как их закон разрешает вступать в контакт только с цивилизацией, КПД которой должен быть не ниже 50%, то они выбирают из сельчан молодого Батура, ученика Абдулло, и решают проверить его КПД. Итог первоначального тестирования Батура датчиками неутешителен — всего 7%. Инопланетяне решают перепроверить эти данные специальным прибором, но находчивый Батур выводит его из строя. И тогда чужеземцы испытывают его способности простым земным способом. Сначала проверяют его физические качества. Батур с помощью симпатизирующей ему инопланетянки прыгает в высоту с результатом 2 метра. Потом проверяют его математические способности. С помощью калькулятора Батуру удается дать правильные ответы. Инопланетяне приходят к выводу, что земляне, хотя и не достигли еще нужных процентов КПД, но близки к ним. Палатка-корабль улетает в космическую даль. А перед самым взлетом влюбленные друг в друга Батыр и инопланетянка нежно прощаются, надеясь на скорую встречу.</t>
        </is>
      </c>
      <c r="L6898" s="2" t="inlineStr">
        <is>
          <t>https://gosfilmofond.ru/films/240553/</t>
        </is>
      </c>
      <c r="M6898" s="2">
        <f>HYPERLINK("https://ru.wikipedia.org/w/index.php?search=%D0%9D%D0%B5%D0%B2%D0%B5%D1%80%D0%BE%D1%8F%D1%82%D0%BD%D1%8B%D0%B9%20%D1%81%D0%BB%D1%83%D1%87%D0%B0%D0%B9%201989%20%D1%84%D0%B8%D0%BB%D1%8C%D0%BC","искать")</f>
        <v/>
      </c>
      <c r="N6898" s="3" t="n"/>
      <c r="O6898" s="2" t="n"/>
      <c r="P6898" s="2" t="n"/>
    </row>
    <row r="6899">
      <c r="A6899" s="2" t="n">
        <v>6898</v>
      </c>
      <c r="B6899" s="2" t="inlineStr"/>
      <c r="C6899" s="2" t="n">
        <v>8590</v>
      </c>
      <c r="D6899" s="3" t="inlineStr">
        <is>
          <t>Эксперимент</t>
        </is>
      </c>
      <c r="E6899" s="2" t="n">
        <v>1970</v>
      </c>
      <c r="F6899" s="2" t="inlineStr">
        <is>
          <t>телефильм</t>
        </is>
      </c>
      <c r="G6899" s="2" t="n"/>
      <c r="H6899" s="2" t="n">
        <v>1503</v>
      </c>
      <c r="I6899" s="2" t="inlineStr"/>
      <c r="J6899" s="2" t="inlineStr"/>
      <c r="K6899" s="3" t="inlineStr">
        <is>
          <t>Главная героиня фильма — научный работник Лидия Николаевна, изобретатель гипнопедического метода "исправления" людей. Ее метод позволяет превращать злых и хулиганистых детей в послушных и трудолюбивых граждан. Лидия Николаевна рассказывает о своем методе по телевидению, и вскоре получает множество предложений от родителей, желающих исправить своих детей.
Одним из таких запросов становится предложение от сотрудников колонии для работы с трудными детьми. Также к ней на воспитание попадают три семейные пары, которые "подсовывают" своих детей Лидии Николаевне на год. Среди детей: пятиклассник Юра, который хулиганит и не желает учиться; десятиклассница Лена, увлеченная глупыми идеями и не желающая заниматься учебой; и студент Литературного института Валерий, которого родители называют хиппи из-за его необычного внешнего вида и длинных волос.
Весь год Лидия Николаевна работает с детьми, используя свой метод гипнотерапии, однако большую часть времени их воспитывает сестра Лидии, Валентина, парикмахер с глубокими познаниями в мировой поэзии. В течение этого времени дети изменяются, становятся послушными, учат этикет и демонстрируют сознание "истинных строителей коммунизма". Однако результат не оправдывает ожиданий родителей, которые замечают странности в поведении детей, перестроившихся до неузнаваемости.
Фильм раскрывает абсурдность социальной реальности через образ Лидии Николаевны и ее гипнопедического метода, поднимая вопросы о манипуляции сознанием и изменении человеческой природы.</t>
        </is>
      </c>
      <c r="L6899" s="2" t="inlineStr">
        <is>
          <t>https://ru.wikipedia.org/w/index.php?title=%D0%AD%D0%BA%D1%81%D0%BF%D0%B5%D1%80%D0%B8%D0%BC%D0%B5%D0%BD%D1%82_%28%D1%84%D0%B8%D0%BB%D1%8C%D0%BC%2C_1970%29&amp;oldid=154505122</t>
        </is>
      </c>
      <c r="M6899" s="2">
        <f>HYPERLINK("https://ru.wikipedia.org/w/index.php?search=%D0%AD%D0%BA%D1%81%D0%BF%D0%B5%D1%80%D0%B8%D0%BC%D0%B5%D0%BD%D1%82%201970%20%D1%84%D0%B8%D0%BB%D1%8C%D0%BC","искать")</f>
        <v/>
      </c>
      <c r="N6899" s="3" t="n"/>
      <c r="O6899" s="2" t="n"/>
      <c r="P6899" s="2" t="n"/>
    </row>
    <row r="6900">
      <c r="A6900" s="2" t="n">
        <v>6899</v>
      </c>
      <c r="B6900" s="2" t="inlineStr"/>
      <c r="C6900" s="2" t="n">
        <v>9159</v>
      </c>
      <c r="D6900" s="3" t="inlineStr">
        <is>
          <t>Чертов пьяница</t>
        </is>
      </c>
      <c r="E6900" s="2" t="n">
        <v>1991</v>
      </c>
      <c r="F6900" s="2" t="inlineStr">
        <is>
          <t>кинофильм</t>
        </is>
      </c>
      <c r="G6900" s="2" t="n"/>
      <c r="H6900" s="2" t="n">
        <v>1507</v>
      </c>
      <c r="I6900" s="2" t="inlineStr"/>
      <c r="J6900" s="2" t="inlineStr"/>
      <c r="K6900" s="3" t="inlineStr">
        <is>
          <t>Южный город раннего периода перестройки. Проснувшись утром после очередной попойки, Степан обнаруживает записку, где жена Дуся сообщает, что она ушла от него, чертова пьяницы. Степе не до переживаний, его занимает одна мысль, где бы похмелиться. В ужасном состоянии он отправляется на завод и совершенно неожиданно находит в укромной части своего станка непочатую бутылку водки. Он зовет коллегу по цеху и делится с ним неожиданной находкой, и они вместе похмеляются. На следующий день история повторяется. Информация о чуде доходит до директора завода, и он сам начинает участвовать в эксперименте. После почти 4-х тысяч бутылок водки, извлеченных из станка за час, он принимает решение эксплуатировать водочный станок с полной нагрузкой. Но обнаруживается, чудо имеет объяснимую причину: на соседнем ликероводочном заводе стали тысячами исчезать бутылки с продукцией. Степан становится известной личностью в городке, которому не прочь составить компанию городские выпивохи. Всё чаще Степе, пьющему «до чертиков» грезится сам черт, который заявляет, что это он облагодетельствовал Степана. Однажды в редкие часы трезвости Степе удается выиграть большую сумму денег у наперсточника. Тут же рядом с ним оказывается его жена Дуся, которой он дарит цветы и мороженое. Вечером он ведет супругу в ресторан. Ночью он видит сон, в котором Дуся в образе соблазнительной колдуньи танцует с чертом. Утром Степа видит рядом с собой простую земную, домашнюю супругу, которая вернулась к нему. Жизнь вошла в новую колею.</t>
        </is>
      </c>
      <c r="L6900" s="2" t="inlineStr">
        <is>
          <t>https://gosfilmofond.ru/films/232571/</t>
        </is>
      </c>
      <c r="M6900" s="2">
        <f>HYPERLINK("https://ru.wikipedia.org/w/index.php?search=%D0%A7%D0%B5%D1%80%D1%82%D0%BE%D0%B2%20%D0%BF%D1%8C%D1%8F%D0%BD%D0%B8%D1%86%D0%B0%201991%20%D1%84%D0%B8%D0%BB%D1%8C%D0%BC","искать")</f>
        <v/>
      </c>
      <c r="N6900" s="3" t="n"/>
      <c r="O6900" s="2" t="n"/>
      <c r="P6900" s="2" t="n"/>
    </row>
    <row r="6901">
      <c r="A6901" s="2" t="n">
        <v>6900</v>
      </c>
      <c r="B6901" s="2" t="inlineStr"/>
      <c r="C6901" s="2" t="n">
        <v>10795</v>
      </c>
      <c r="D6901" s="3" t="inlineStr">
        <is>
          <t>Влияние гамма-лучей на бледно-желтые ноготки</t>
        </is>
      </c>
      <c r="E6901" s="2" t="n">
        <v>1979</v>
      </c>
      <c r="F6901" s="2" t="inlineStr">
        <is>
          <t>фильм-спектакль</t>
        </is>
      </c>
      <c r="G6901" s="2" t="inlineStr">
        <is>
          <t>Лентелефильм</t>
        </is>
      </c>
      <c r="H6901" s="2" t="n">
        <v>1512</v>
      </c>
      <c r="I6901" s="2" t="inlineStr"/>
      <c r="J6901" s="2" t="inlineStr"/>
      <c r="K6901" s="3" t="inlineStr">
        <is>
          <t>Спектакль БДТ по одноименной пьесе Поля Зинделя (перевод с английского В.Хазанов).
Премьера состоялась 6 февраля 1977 года.
В маленьком доме, который раньше был овощной лавкой, живет мать с двумя дочерьми и взятой на попечение старой больной женщиной. Не сложилась у матери жизнь. По просьбе своего отца она вышла замуж за нелюбимого человека. Отец умирал и надеялся, что о дочери позаботятся. Муж ушел, оставив ее с двумя детьми, которые тоже не радуют ее. Старшая дочь - никчемная, пустая, полусумасшедшая; другая учится в школе и до самозабвения увлечена биологией. Матери это кажется тоже, своего рода, безумием. Ей кажется, что дочь ничего не видит вокруг себя, ничего не понимает, все ее внимание сосредоточено на кролике, который для нее самое близкое существо, гораздо более близкое, чем ее родные. Все, что остается матери - это тоска по несбывшимся мечтам и сны. Ей совершенно безразлично, что дочь выигрывает Первый приз в школе по естествознанию. Они так бедны, что ей не в чем идти на торжество дочери. Поэтому-то она и взяла в дом старуху, чтобы получать за уход за ней жалкие гроши.Из всевозможного старого тряпья она все-таки сооружает себе туалет, чтобы пойти на вечер в школу, но старшая дочь нарушает эту идилию. Матери не за чем идти туда, где все ее помнят по прозвищу Бетти-дурочка. Для матери это становится последней каплей. Она напивается, убивает кролика и настаивает, чтобы младшая дочь бросила школу и пошла работать. “Я ненавижу этот мир” - подводит она итог своей неудавшейся жизни.</t>
        </is>
      </c>
      <c r="L6901" s="2" t="inlineStr">
        <is>
          <t>https://www.kino-teatr.ru/teatr/movie/984/annot/</t>
        </is>
      </c>
      <c r="M6901" s="2">
        <f>HYPERLINK("https://ru.wikipedia.org/w/index.php?search=%D0%92%D0%BB%D0%B8%D1%8F%D0%BD%D0%B8%D0%B5%20%D0%B3%D0%B0%D0%BC%D0%BC%D0%B0-%D0%BB%D1%83%D1%87%D0%B5%D0%B9%20%D0%BD%D0%B0%20%D0%B1%D0%BB%D0%B5%D0%B4%D0%BD%D0%BE-%D0%B6%D0%B5%D0%BB%D1%82%D1%8B%D0%B5%20%D0%BD%D0%BE%D0%B3%D0%BE%D1%82%D0%BA%D0%B8%201979%20%D1%84%D0%B8%D0%BB%D1%8C%D0%BC","искать")</f>
        <v/>
      </c>
      <c r="N6901" s="3" t="n"/>
      <c r="O6901" s="2" t="n"/>
      <c r="P6901" s="2" t="n"/>
    </row>
    <row r="6902">
      <c r="A6902" s="2" t="n">
        <v>6901</v>
      </c>
      <c r="B6902" s="2" t="inlineStr"/>
      <c r="C6902" s="2" t="n">
        <v>9303</v>
      </c>
      <c r="D6902" s="3" t="inlineStr">
        <is>
          <t>Гениальная идея</t>
        </is>
      </c>
      <c r="E6902" s="2" t="n">
        <v>1991</v>
      </c>
      <c r="F6902" s="2" t="inlineStr">
        <is>
          <t>кинофильм</t>
        </is>
      </c>
      <c r="G6902" s="2" t="n"/>
      <c r="H6902" s="2" t="n">
        <v>1533</v>
      </c>
      <c r="I6902" s="2" t="inlineStr"/>
      <c r="J6902" s="2" t="inlineStr"/>
      <c r="K6902" s="3" t="inlineStr">
        <is>
          <t>Татьяна и Александр встретились случайно за скудным завтраком в гостинице провинциального южного городка. Саша – жертва денежной реформы 90-х годов, а Таня сбежала от мужа. Голодные, они решают объединиться, чтобы ловить на удочку мужчин, готовых накормить симпатичную девушку в обмен на секс. Саша берётся исполнять роль мужа, внезапно вернувшегося из поездки.
Несколько коротких встреч с мужчинами проходят по сценарию, когда в комнату с накрытым столом врывается «муж», и гостю приходится спасаться бегством, а молодые люди утоляют голод «чем бог послал».
Но вскоре удача покидает парочку. Горничная угрожает выселить Таню, местные путаны жалуются шефу-мафиози, что она отбивает у них клиентов, и девушка чуть не попадает в переделку с очередным сладострастным гостем, когда Саша, застряв в лифте, едва успевает прийти ей на помощь.
Кажется, есть выход, чтобы поправить финансовое положение, если Александр согласится уступить девушку местному мафиози за большие деньги. Но Саша тайно влюблён в Таню и ищет путь к её сердцу. Вскоре ему повезло выиграть деньги в автомате. И вот он с розами и шампанским является к Татьяне в номер. Но, как назло, появляется настоящий муж девушки, и теперь Александр - жертва ситуации и рассерженного законного супруга.
Наутро Саша берёт стакан кофе на завтрак, не имея денег на большее. Неожиданно он видит за столом Таню с таким же стаканом кофе. Несмотря на невесёлую перспективу опять голодать, они не расстроены, а разражаются заразительным смехом. Влюблённые счастливы, ведь они снова вместе.</t>
        </is>
      </c>
      <c r="L6902" s="2" t="inlineStr">
        <is>
          <t>https://gosfilmofond.ru/films/232257/</t>
        </is>
      </c>
      <c r="M6902" s="2">
        <f>HYPERLINK("https://ru.wikipedia.org/w/index.php?search=%D0%93%D0%B5%D0%BD%D0%B8%D0%B0%D0%BB%D1%8C%D0%BD%D0%B0%D1%8F%20%D0%B8%D0%B4%D0%B5%D1%8F%201991%20%D1%84%D0%B8%D0%BB%D1%8C%D0%BC","искать")</f>
        <v/>
      </c>
      <c r="N6902" s="3" t="n"/>
      <c r="O6902" s="2" t="n"/>
      <c r="P6902" s="2" t="n"/>
    </row>
    <row r="6903">
      <c r="A6903" s="2" t="n">
        <v>6902</v>
      </c>
      <c r="B6903" s="2" t="inlineStr"/>
      <c r="C6903" s="2" t="n">
        <v>8330</v>
      </c>
      <c r="D6903" s="3" t="inlineStr">
        <is>
          <t>Семь стариков и одна девушка</t>
        </is>
      </c>
      <c r="E6903" s="2" t="n">
        <v>1968</v>
      </c>
      <c r="F6903" s="2" t="inlineStr">
        <is>
          <t>телефильм</t>
        </is>
      </c>
      <c r="G6903" s="2" t="n"/>
      <c r="H6903" s="2" t="n">
        <v>1543</v>
      </c>
      <c r="I6903" s="2" t="inlineStr"/>
      <c r="J6903" s="2" t="inlineStr"/>
      <c r="K6903" s="3" t="inlineStr">
        <is>
          <t>Молодую выпускницу физкультурного института Елену Величко направляют работать тренером в спортивный клуб. Она полна энергии и радужных надежд. Однако вместо перспективных спортсменов ей дают «группу здоровья» — шестерых мужчин не первой молодости, не отличающихся ни здоровьем, ни покладистым характером.
Елена пытается всячески избавиться от своих подопечных. Она даёт им то смехотворно лёгкие, то непосильные нагрузки, кричит, грубит, словом, пытается сделать так, чтобы её уволили, а это сложно — по советскому законодательству уволить молодого специалиста можно было только за очень серьёзный проступок.
Скоро к группе из шести стариков присоединяется седьмой — студент Володя Тюпин. Ему нравится Елена и он пытается добиться её расположения. Володя всячески старается помочь девушке осуществить её план, как может разваливает группу изнутри и дискредитирует тренера. Но на деле всё получается наоборот: старики проникаются искренней симпатией к своему инструктору и изо всех сил стараются быть на высоте.
Когда же все семеро попадают в экстремальную ситуацию (на их глазах грабят ), оказывается, что Леночкины занятия не прошли даром, старики не только физически окрепли, но и сплотились в дружную команду.
В финале все «старики» получают то, к чему стремились: большой начальник — бодрость, начальник поменьше — стройность, оперный певец возвращается в профессию, пьяница-сантехник бросает пить, вечный холостяк женится на ослепительной красотке, инкассатора не отправляют на пенсию, а Володя Тюпин, похоже, завоёвывает симпатии Леночки.</t>
        </is>
      </c>
      <c r="L6903" s="2" t="inlineStr">
        <is>
          <t>https://ru.wikipedia.org/w/index.php?title=%D0%A1%D0%B5%D0%BC%D1%8C_%D1%81%D1%82%D0%B0%D1%80%D0%B8%D0%BA%D0%BE%D0%B2_%D0%B8_%D0%BE%D0%B4%D0%BD%D0%B0_%D0%B4%D0%B5%D0%B2%D1%83%D1%88%D0%BA%D0%B0&amp;oldid=152356471</t>
        </is>
      </c>
      <c r="M6903" s="2">
        <f>HYPERLINK("https://ru.wikipedia.org/w/index.php?search=%D0%A1%D0%B5%D0%BC%D1%8C%20%D1%81%D1%82%D0%B0%D1%80%D0%B8%D0%BA%D0%BE%D0%B2%20%D0%B8%20%D0%BE%D0%B4%D0%BD%D0%B0%20%D0%B4%D0%B5%D0%B2%D1%83%D1%88%D0%BA%D0%B0%201968%20%D1%84%D0%B8%D0%BB%D1%8C%D0%BC","искать")</f>
        <v/>
      </c>
      <c r="N6903" s="3" t="n"/>
      <c r="O6903" s="2" t="n"/>
      <c r="P6903" s="2" t="n"/>
    </row>
    <row r="6904">
      <c r="A6904" s="2" t="n">
        <v>6903</v>
      </c>
      <c r="B6904" s="2" t="inlineStr"/>
      <c r="C6904" s="2" t="n">
        <v>9293</v>
      </c>
      <c r="D6904" s="3" t="inlineStr">
        <is>
          <t>Вы чьё, старичьё?</t>
        </is>
      </c>
      <c r="E6904" s="2" t="n">
        <v>1988</v>
      </c>
      <c r="F6904" s="2" t="inlineStr">
        <is>
          <t>кинофильм</t>
        </is>
      </c>
      <c r="G6904" s="2" t="n"/>
      <c r="H6904" s="2" t="n">
        <v>1543</v>
      </c>
      <c r="I6904" s="2" t="inlineStr"/>
      <c r="J6904" s="2" t="inlineStr"/>
      <c r="K6904" s="3" t="inlineStr">
        <is>
          <t>В центре сюжета — судьба двух одиноких стариков, заброшенных и забытых всеми в будничной суете…
У деревенского жителя Касьяна Нефёдовича Глушкова умирает жена, и он переезжает жить к невестке в город (его сын умер несколько лет назад). Та живёт в коммуналке с маленьким сыном и мечтает устроиться на денежную работу, чтобы купить квартиру и снова выйти замуж. Потеряв надежду найти работу в городе, она вынуждена уехать на заработки на север. Касьян Нефёдович остаётся с внуком, однако вскоре того забирают к матери. Соседи по коммуналке, у которых рождается ребёнок, намекают на то, что Касьяну хорошо бы освободить для них жилплощадь.
Тем временем Касьян, собирая бутылки, случайно знакомится с Багорычем, местным пенсионером, который живёт в однокомнатной квартире с взрослой внучкой Валентиной. После четырёх лет, проведённых в колонии, возвращается Андрей, жених Валентины. Касьян с Багорычем чувствуют себя лишними и планируют поехать в деревню Касьяна, где его подруга детства Нюра (Анна Семёновна) подыскала им работу и приглашает жить у себя. Но на этом пути их ждёт препятствие: в последний день Касьян получает телеграмму из деревни о том, что Нюра умерла.
Касьян с Багорычем уходят в никуда вдоль железнодорожных путей. Они не знают, что это одинокая дочка Нюры, работница почты, послала эту телеграмму, потому что не нужны ей в доме два старика.
Композиция фильма зациклена: в начале и в конце показано, как в деревне Касьяна пастух гонит коров на выпас, слушая на ходу магнитофон, из которого доносится песня Владимира Высоцкого.</t>
        </is>
      </c>
      <c r="L6904" s="2" t="inlineStr">
        <is>
          <t>https://ru.wikipedia.org/w/index.php?title=%D0%92%D1%8B_%D1%87%D1%8C%D1%91%2C_%D1%81%D1%82%D0%B0%D1%80%D0%B8%D1%87%D1%8C%D1%91%3F_%28%D1%84%D0%B8%D0%BB%D1%8C%D0%BC%2C_1988%29&amp;oldid=146192923</t>
        </is>
      </c>
      <c r="M6904" s="2">
        <f>HYPERLINK("https://ru.wikipedia.org/w/index.php?search=%D0%92%D1%8B%20%D1%87%D1%8C%D1%91%2C%20%D1%81%D1%82%D0%B0%D1%80%D0%B8%D1%87%D1%8C%D1%91%3F%201988%20%D1%84%D0%B8%D0%BB%D1%8C%D0%BC","искать")</f>
        <v/>
      </c>
      <c r="N6904" s="3" t="n"/>
      <c r="O6904" s="2" t="n"/>
      <c r="P6904" s="2" t="n"/>
    </row>
    <row r="6905">
      <c r="A6905" s="2" t="n">
        <v>6904</v>
      </c>
      <c r="B6905" s="2" t="inlineStr"/>
      <c r="C6905" s="2" t="n">
        <v>9554</v>
      </c>
      <c r="D6905" s="3" t="inlineStr">
        <is>
          <t>По прозвищу Зверь</t>
        </is>
      </c>
      <c r="E6905" s="2" t="n">
        <v>1990</v>
      </c>
      <c r="F6905" s="2" t="inlineStr">
        <is>
          <t>кинофильм</t>
        </is>
      </c>
      <c r="G6905" s="2" t="n"/>
      <c r="H6905" s="2" t="n">
        <v>1558</v>
      </c>
      <c r="I6905" s="2" t="inlineStr"/>
      <c r="J6905" s="2" t="inlineStr"/>
      <c r="K6905" s="3" t="inlineStr">
        <is>
          <t>Савелий Говорков возвращается с военной службы из Афганистана и устраивается телохранителем Ларисы — содержанки Алика, советского коммерсанта первой волны, к тому же работающего на бандитов. Всё складывается благополучно, у Савелия есть почти всё, что нужно «среднему человеку» в перестроечном СССР. У него завязывается любовь с Ларисой. Однако Савелий стал требовать от Алика свободу своему другу Варламову в обмен на деньги, которые он перевозил. Алик со своими бойцами перехватывает их и фабрикует против Савелия обвинения в незаконных валютных операциях, а Ларису помещает в психиатрическую больницу. Савелий берёт всю вину на себя и отправляется в исправительную колонию.
Попав туда и получив прозвище «Зверь», Говорков не склоняется перед охраной и заключёнными. Это не всем нравится, тем более что по уголовным каналам пришло указание устранить Савелия. Однако криминальный авторитет, вор в законе по кличке «Король» помогает Говоркову. Узнав об освобождении «Короля» и едва не став жертвой очередного покушения, Савелий совершает побег с двумя преступниками, которые должны были его убить. При побеге один из заключённых погибает, а другого серьёзно ранят. Савелий выносит раненого на спине, но тот умирает, однако перед смертью признаётся, что приказ на устранение отдал некто по кличке «Кореец».
Выбравшись из тайги, где располагается зона, Говорков возвращается в Москву, разоблачает главарей ОПГ и свершает над ними правосудие.
Заканчивается фильм сценой, в которой сотрудница психиатрической больницы выводит Ларису к пришедшему к ней Говоркову.</t>
        </is>
      </c>
      <c r="L6905" s="2" t="inlineStr">
        <is>
          <t>https://ru.wikipedia.org/w/index.php?title=%E2%80%A6%D0%9F%D0%BE_%D0%BF%D1%80%D0%BE%D0%B7%D0%B2%D0%B8%D1%89%D1%83_%C2%AB%D0%97%D0%B2%D0%B5%D1%80%D1%8C%C2%BB&amp;oldid=155245119</t>
        </is>
      </c>
      <c r="M6905" s="2">
        <f>HYPERLINK("https://ru.wikipedia.org/w/index.php?search=%D0%9F%D0%BE%20%D0%BF%D1%80%D0%BE%D0%B7%D0%B2%D0%B8%D1%89%D1%83%20%D0%97%D0%B2%D0%B5%D1%80%D1%8C%201990%20%D1%84%D0%B8%D0%BB%D1%8C%D0%BC","искать")</f>
        <v/>
      </c>
      <c r="N6905" s="3" t="n"/>
      <c r="O6905" s="2" t="n"/>
      <c r="P6905" s="2" t="n"/>
    </row>
    <row r="6906">
      <c r="A6906" s="2" t="n">
        <v>6905</v>
      </c>
      <c r="B6906" s="2" t="inlineStr"/>
      <c r="C6906" s="2" t="n">
        <v>9700</v>
      </c>
      <c r="D6906" s="3" t="inlineStr">
        <is>
          <t>Трудно быть богом</t>
        </is>
      </c>
      <c r="E6906" s="2" t="n">
        <v>1989</v>
      </c>
      <c r="F6906" s="2" t="inlineStr">
        <is>
          <t>кинофильм</t>
        </is>
      </c>
      <c r="G6906" s="2" t="n"/>
      <c r="H6906" s="2" t="n">
        <v>1558</v>
      </c>
      <c r="I6906" s="2" t="inlineStr"/>
      <c r="J6906" s="2" t="inlineStr"/>
      <c r="K6906" s="3" t="inlineStr">
        <is>
          <t>По одноименной повести А. Стругацкого и Б. Стругацкого. На далекую планету, где находится королевство Арканар, прибывает земная космическая станция. Основная группа космонавтов остается на станции, а часть во главе с Антоном, принявшим имя умершего феодала Руматы Эсторского, спускается на планету. Задача землян — наблюдать за естественным ходом развития местной цивилизации, не вмешиваясь в него. Правда, они могут помогать угнетаемым и защищаться, но без применения оружия. Обстоятельства вынуждают Румату пересмотреть поставленную перед ним задачу. Власть в королевстве захватывает вероломный министр дон Рэба. Он убивает короля и устанавливает диктатуру. Его гвардия жестоко расправляется с учеными, врачами, поэтами и вообще со всеми грамотными жителями Арканара. Румата до определенного времени сдерживает себя, умудряясь без кровопролития разгонять гвардейцев и военных монахов Рэба. Но после того как казнили одного из землян и похитили, чтобы казнить, возлюбленную Руматы Киру, он начинает настоящие военные действия. По его плану крестьяне под руководством бродячего певца Сурэна окружают и уничтожают гвардию министра. Потом Румата освобождает из заключения врача Будаха и Киру. Убив Рэбу, он начинает уничтожать его армию, состоящую из вооруженных монахов. Все это время наверху, на станции, идут жаркие споры: стоит ли вмешиваться и дальше в ход исторического развития цивилизации этой планеты? Но дело уже сделано, земляне все-таки изменили ход исторического развития Арканара. Они улетают. Дальнейшая судьба планеты теперь в руках ее жителей.</t>
        </is>
      </c>
      <c r="L6906" s="2" t="inlineStr">
        <is>
          <t>https://gosfilmofond.ru/films/241049/</t>
        </is>
      </c>
      <c r="M6906" s="2">
        <f>HYPERLINK("https://ru.wikipedia.org/w/index.php?search=%D0%A2%D1%80%D1%83%D0%B4%D0%BD%D0%BE%20%D0%B1%D1%8B%D1%82%D1%8C%20%D0%B1%D0%BE%D0%B3%D0%BE%D0%BC%201989%20%D1%84%D0%B8%D0%BB%D1%8C%D0%BC","искать")</f>
        <v/>
      </c>
      <c r="N6906" s="3" t="n"/>
      <c r="O6906" s="2" t="n"/>
      <c r="P6906" s="2" t="n"/>
    </row>
    <row r="6907">
      <c r="A6907" s="2" t="n">
        <v>6906</v>
      </c>
      <c r="B6907" s="2" t="inlineStr"/>
      <c r="C6907" s="2" t="n">
        <v>9991</v>
      </c>
      <c r="D6907" s="3" t="inlineStr">
        <is>
          <t>Молодожёны</t>
        </is>
      </c>
      <c r="E6907" s="2" t="n">
        <v>1983</v>
      </c>
      <c r="F6907" s="2" t="inlineStr">
        <is>
          <t>кинофильм</t>
        </is>
      </c>
      <c r="G6907" s="2" t="inlineStr">
        <is>
          <t>Азербайджанфильм(Дебют)</t>
        </is>
      </c>
      <c r="H6907" s="2" t="n">
        <v>1559</v>
      </c>
      <c r="I6907" s="2" t="inlineStr"/>
      <c r="J6907" s="2" t="inlineStr"/>
      <c r="K6907" s="3" t="inlineStr">
        <is>
          <t>Конец 20 века. Село в Азербайджане. Утром летнего солнечного дня девушка с парнем идут по селу, держась за руки. Прохожие провожают их одобрительными взглядами: хорошая пара. Молодые люди приходят в сельсовет, чтобы подать заявление на брак. В помещении за рабочими столами сидят двое мужчин: председатель сельского Совета и заведующий ЗАГС. Открыв тетрадь с записями о брачующихся, чиновник видит, что предстоит сделать запись под номером 1000. Он подзывает председателя и делает знаки, обращая его внимание на предстоящую юбилейную запись. Председатель задает вопрос молодым, хорошо ли они знают друг друга? Да, хорошо: выросли на одной улице, учились в одной школе, работают в одном колхозе. Но заяваление у них не принимают и отправляют подумать. Девушка в слезах убегает. парень за ней. Вечером "Совет трех", включая директора школы, обсуждают, кто может быть женихом молодой невесте. Нынешний жених работает в отстающей бригаде и не может быть достойным кандидатом. Но достойные, по мнению администрации, кандидаты далеко не юного возраста. На следующий день в сельсовет приходит старик со своей старухой и возмущается, почему у его внука не приняли заявление. В ходе разговора выясняется, что старик со старухой вот уже 50 лет счастливо живут вместе. Тогда председатель сельсовета предлагает им стать молодоженами, еще раз зарегистрировать их брак тысячным номером. Старик просит оставить их со старухой в покое. Через некоторое время свадьба гуляет на улице. Танцуют счастливые молодые жених и невеста, здесь же их дедушка и бабушка и все жители села.</t>
        </is>
      </c>
      <c r="L6907" s="2" t="inlineStr">
        <is>
          <t>https://gosfilmofond.ru/films/278810/</t>
        </is>
      </c>
      <c r="M6907" s="2">
        <f>HYPERLINK("https://ru.wikipedia.org/w/index.php?search=%D0%9C%D0%BE%D0%BB%D0%BE%D0%B4%D0%BE%D0%B6%D1%91%D0%BD%D1%8B%201983%20%D1%84%D0%B8%D0%BB%D1%8C%D0%BC","искать")</f>
        <v/>
      </c>
      <c r="N6907" s="3" t="n"/>
      <c r="O6907" s="2" t="n"/>
      <c r="P6907" s="2" t="n"/>
    </row>
    <row r="6908">
      <c r="A6908" s="2" t="n">
        <v>6907</v>
      </c>
      <c r="B6908" s="2" t="inlineStr"/>
      <c r="C6908" s="2" t="n">
        <v>7670</v>
      </c>
      <c r="D6908" s="3" t="inlineStr">
        <is>
          <t>Иван Павлов. Поиски истины</t>
        </is>
      </c>
      <c r="E6908" s="2" t="n">
        <v>1984</v>
      </c>
      <c r="F6908" s="2" t="inlineStr">
        <is>
          <t>телефильм</t>
        </is>
      </c>
      <c r="G6908" s="2" t="n"/>
      <c r="H6908" s="2" t="n">
        <v>1565</v>
      </c>
      <c r="I6908" s="2" t="inlineStr"/>
      <c r="J6908" s="2" t="inlineStr"/>
      <c r="K6908" s="3" t="inlineStr">
        <is>
          <t>1-я серия «Родился я в Рязани». Иван Петрович Павлов родился 14 сентября 1849 года в Рязани в семье священника. Однажды он тяжело заболел, и родители отправили его лечиться в монастырь. Начальное образование будущий учёный получил в церковно-приходской школе.
2-я серия «Нерешённый вопрос». Иван Павлов пошёл по стопам отца-священника. Он поступил в духовную семинарию, после окончания которой мечтал построить школу для крестьянских детей, но в 1870 году решил уйти из семинарии. После долгих размышлений отец благословил сына на учёбу в университете.
3-я серия «Реалисты». В 1870 году Иван Павлов стал студентом факультета химии и физиологии Санкт-Петербургского университета. Он не разделял революционных убеждений своих сверстников, поддерживающих идеи террора, поскольку верил, что счастье в России нельзя построить на крови, а лишь на разумном труде каждого. В 1881 году Иван Павлов познакомился с Серафимой, своей будущей женой.
4-я серия «Господин Факт». В 1890 году Иван Павлов стал профессором Императорской медицинской академии, где работал до 1924 года. В Институте экспериментальной медицины Павлов положил начало исследованиям желёз внутренней секреции. Эти исследования заняли у учёного более десяти лет. На эти годы пришелся расцвет его научного дарования.
5-я серия «Ессе Homo. Человек». Организация для великого учёного биологической станции в Колтушах под Ленинградом. В этом месте он и его ученики продолжили проводить опыты. В 1935 году Иван Павлов выступил на XV Международном конгрессе физиологов, где был признан старейшиной физиологов мира.</t>
        </is>
      </c>
      <c r="L6908" s="2" t="inlineStr">
        <is>
          <t>https://ru.wikipedia.org/w/index.php?title=%D0%98%D0%B2%D0%B0%D0%BD_%D0%9F%D0%B0%D0%B2%D0%BB%D0%BE%D0%B2._%D0%9F%D0%BE%D0%B8%D1%81%D0%BA%D0%B8_%D0%B8%D1%81%D1%82%D0%B8%D0%BD%D1%8B&amp;oldid=153810509</t>
        </is>
      </c>
      <c r="M6908" s="2">
        <f>HYPERLINK("https://ru.wikipedia.org/w/index.php?search=%D0%98%D0%B2%D0%B0%D0%BD%20%D0%9F%D0%B0%D0%B2%D0%BB%D0%BE%D0%B2.%20%D0%9F%D0%BE%D0%B8%D1%81%D0%BA%D0%B8%20%D0%B8%D1%81%D1%82%D0%B8%D0%BD%D1%8B%201984%20%D1%84%D0%B8%D0%BB%D1%8C%D0%BC","искать")</f>
        <v/>
      </c>
      <c r="N6908" s="3" t="n"/>
      <c r="O6908" s="2" t="n"/>
      <c r="P6908" s="2" t="n"/>
    </row>
    <row r="6909">
      <c r="A6909" s="2" t="n">
        <v>6908</v>
      </c>
      <c r="B6909" s="2" t="inlineStr"/>
      <c r="C6909" s="2" t="n">
        <v>8377</v>
      </c>
      <c r="D6909" s="3" t="inlineStr">
        <is>
          <t>Сократ</t>
        </is>
      </c>
      <c r="E6909" s="2" t="n">
        <v>1991</v>
      </c>
      <c r="F6909" s="2" t="inlineStr">
        <is>
          <t>телефильм</t>
        </is>
      </c>
      <c r="G6909" s="2" t="n"/>
      <c r="H6909" s="2" t="n">
        <v>1565</v>
      </c>
      <c r="I6909" s="2" t="inlineStr"/>
      <c r="J6909" s="2" t="inlineStr"/>
      <c r="K6909" s="3" t="inlineStr">
        <is>
          <t>События фильма развиваются в период с 404 по 399 год до н. э. Место действия — Древняя Греция.
После неудачно закончившейся для Афин Пелопоннесской войны завоеватели-спартанцы перекраивают на собственный лад устоявшуюся афинскую жизнь. Демократия рухнула, власть отдана в руки олигархов, среди которых — жестокий и скорый на расправу Критий. Сократа обвиняют в том, что в поражении Афин есть немалая доля его вины. Философ Ликон не устаёт говорить об этом прилюдно, требуя привлечь Сократа к ответу. У Крития тоже есть повод желать смерти своего бывшего учителя, Сократа спасает только расположение спартанского царя Павсания.
После ухода войск неприятеля и низложения власти тиранов, Ликон находит союзников для обвинения Сократа: посредственного поэта Мелета и богатого кожевника Анита. У них обоих есть личные счёты к мудрецу, упрекавшего первого в бездарности, а второго — в сребролюбии. Мелет подаёт жалобу на Сократа, обвиняя его в непризнании государственных богов и порче нравов юношества, и требует сурового наказания. Сократу вменяют в вину и то, что Алкивиад, Хармид и Критий, виновные в унижении Афин, были его учениками.
Сократ в ответной речи отвергает все обвинения, но большинство граждан — против него. После голосования становится ясно, что суровый приговор неизбежен. Ученики предлагают ему покаяться. Кроме того, имеется возможность заменить смертный приговор большим штрафом, просить изгнания, наконец бежать. Но Сократ не соглашается ни на одно из этих предложений и покорно принимает смерть, как послушный гражданин, исполняющий решение суда.</t>
        </is>
      </c>
      <c r="L6909" s="2" t="inlineStr">
        <is>
          <t>https://ru.wikipedia.org/w/index.php?title=%D0%A1%D0%BE%D0%BA%D1%80%D0%B0%D1%82_%28%D1%84%D0%B8%D0%BB%D1%8C%D0%BC%2C_1991%29&amp;oldid=155577405</t>
        </is>
      </c>
      <c r="M6909" s="2">
        <f>HYPERLINK("https://ru.wikipedia.org/w/index.php?search=%D0%A1%D0%BE%D0%BA%D1%80%D0%B0%D1%82%201991%20%D1%84%D0%B8%D0%BB%D1%8C%D0%BC","искать")</f>
        <v/>
      </c>
      <c r="N6909" s="3" t="n"/>
      <c r="O6909" s="2" t="n"/>
      <c r="P6909" s="2" t="n"/>
    </row>
    <row r="6910">
      <c r="A6910" s="2" t="n">
        <v>6909</v>
      </c>
      <c r="B6910" s="2" t="inlineStr"/>
      <c r="C6910" s="2" t="n">
        <v>13745</v>
      </c>
      <c r="D6910" s="3" t="inlineStr">
        <is>
          <t>Крошка Енот</t>
        </is>
      </c>
      <c r="E6910" s="2" t="n">
        <v>1974</v>
      </c>
      <c r="F6910" s="2" t="inlineStr">
        <is>
          <t>мультфильм</t>
        </is>
      </c>
      <c r="G6910" s="2" t="inlineStr">
        <is>
          <t>ЭКРАН</t>
        </is>
      </c>
      <c r="H6910" s="2" t="n">
        <v>1566</v>
      </c>
      <c r="I6910" s="2" t="inlineStr"/>
      <c r="J6910" s="2" t="inlineStr"/>
      <c r="K6910" s="3" t="inlineStr">
        <is>
          <t>У Крошки Енота — день рождения. Мама-Енот дает ему задание: «одному, в темноте, сходить на пруд и нарвать сладкой осоки к ужину». Крошка с энтузиазмом бросается по тропинке, указанной мамой, но, чем дальше он удаляется от дома, тем страшнее ему становится. Наконец, он буквально натыкается на Обезьянку, и та запугивает его рассказом о «Том-Кто-Сидит-В-Пруду», но Крошка самоуверенно шагает дальше.Дойдя до пруда, испуганный Крошка пытается поговорить с «Тем-Кто…», но в ответ ему — тишина. Нагнувшись над гладью воды, он видит «Его», принимает устрашающую позу и, испугавшись своего отражения, в панике убегает обратно. На полпути он опять встречается с Обезьянкой, и выясняется, что Крошка Енот видел в пруду «скверного енота», а Обезьянка — «злую обезьяну». Приятели делают вывод, что «они», значит, сидят в пруду вдвоем. Обезьяна советует Еноту взять палку, чтобы запугать «Того-Кто…» В итоге, естественно, Крошка пугается ещё сильнее и бежит на этот раз до самого дома.Изложив свои страхи и впечатления Маме, Крошка получает от неё совет: улыбнуться «Тому-Кто…» Перебарывая недоверие, Енот так и поступает. Само собой, теперь он не пугается собственного отражения, спокойно нарывает осоки и идет домой. По пути он опять встречает Обезьянку и рассказывает ей секрет, как подружиться с «Тем-Кто…»; и та немедленно убегает к пруду.Ночь превращается в день, приятели идут вместе, весело напевая песенку.От улыбки хмурый день светлей,От улыбки в небе радуга проснется,Поделись улыбкою своей,И она еще не раз к тебе вернется...Музыка из мультфильма:От улыбки(2.63 Мб)</t>
        </is>
      </c>
      <c r="L6910" s="2" t="inlineStr">
        <is>
          <t>2026-10_мультфильмы_список_владельца.xlsx; https://animator.ru/db/?p=show_film&amp;fid=5138</t>
        </is>
      </c>
      <c r="M6910" s="2">
        <f>HYPERLINK("https://ru.wikipedia.org/w/index.php?search=%D0%9A%D1%80%D0%BE%D1%88%D0%BA%D0%B0%20%D0%95%D0%BD%D0%BE%D1%82%201974%20%D1%84%D0%B8%D0%BB%D1%8C%D0%BC","искать")</f>
        <v/>
      </c>
      <c r="N6910" s="3" t="n"/>
      <c r="O6910" s="2" t="n"/>
      <c r="P6910" s="2" t="n"/>
    </row>
    <row r="6911">
      <c r="A6911" s="2" t="n">
        <v>6910</v>
      </c>
      <c r="B6911" s="2" t="inlineStr"/>
      <c r="C6911" s="2" t="n">
        <v>9651</v>
      </c>
      <c r="D6911" s="3" t="inlineStr">
        <is>
          <t>Слуга</t>
        </is>
      </c>
      <c r="E6911" s="2" t="n">
        <v>1988</v>
      </c>
      <c r="F6911" s="2" t="inlineStr">
        <is>
          <t>кинофильм</t>
        </is>
      </c>
      <c r="G6911" s="2" t="n"/>
      <c r="H6911" s="2" t="n">
        <v>1581</v>
      </c>
      <c r="I6911" s="2" t="inlineStr"/>
      <c r="J6911" s="2" t="inlineStr"/>
      <c r="K6911" s="3" t="inlineStr">
        <is>
          <t>Сюжет развивается в двух временных планах, с многочисленными флешбэками. В дом к известному провинциальному руководителю хора, «без двух минут заслуженному артисту» Павлу Клюеву, приходит Андрей Андреевич Гудионов, пожилой человек, который когда-то устроил судьбу Клюева.
Много лет назад Клюев, бывший десантник, недавно демобилизовавшийся, устроился работать личным водителем к Гудионову, высокопоставленному чиновнику, начальнику областного масштаба. Подчинённый преданно служит своему господину, терпя его весьма странный характер. Проходят годы, и хозяин облагодетельствует водителя, подарив ему дом, жену Марию и даже назначив дирижёром хора. Затем Гудионов получает повышение по службе, и его переводят в центр.
Спустя много лет Клюев, у которого есть уже взрослый сын и маленький внук, встретившись с бывшим начальником (который, как кажется, почти не постарел), остаётся верным ему и готов выполнить любой приказ. Гудионов намекает Клюеву, что его давнишний враг Брызгин по-прежнему жив и доставляет ему проблемы. Когда-то на Брызгина уже было совершено покушение, он попал в автомобильную аварию из-за того, что дорогу ему преградил «КамАЗ» (по всей видимости, за рулём грузовика тогда находился Клюев). Сейчас же Брызгин находится в санатории. Клюев забирает его оттуда и везёт к своему бывшему хозяину. Однако по дороге Брызгин умирает, и Гудионов, плача о погибшем враге, говорит Клюеву, что тот снова перестарался.
Вернувшись в город и выйдя на сцену, Клюев начинает дирижировать хором, замечая, что с разных сторон в зал входят люди в штатском, явно пришедшие за ним.</t>
        </is>
      </c>
      <c r="L6911" s="2" t="inlineStr">
        <is>
          <t>https://ru.wikipedia.org/w/index.php?title=%D0%A1%D0%BB%D1%83%D0%B3%D0%B0_%28%D1%84%D0%B8%D0%BB%D1%8C%D0%BC%2C_1988%29&amp;oldid=154704759</t>
        </is>
      </c>
      <c r="M6911" s="2">
        <f>HYPERLINK("https://ru.wikipedia.org/w/index.php?search=%D0%A1%D0%BB%D1%83%D0%B3%D0%B0%201988%20%D1%84%D0%B8%D0%BB%D1%8C%D0%BC","искать")</f>
        <v/>
      </c>
      <c r="N6911" s="3" t="n"/>
      <c r="O6911" s="2" t="n"/>
      <c r="P6911" s="2" t="n"/>
    </row>
    <row r="6912">
      <c r="A6912" s="2" t="n">
        <v>6911</v>
      </c>
      <c r="B6912" s="2" t="inlineStr"/>
      <c r="C6912" s="2" t="n">
        <v>8844</v>
      </c>
      <c r="D6912" s="3" t="inlineStr">
        <is>
          <t>Мордашка</t>
        </is>
      </c>
      <c r="E6912" s="2" t="n">
        <v>1990</v>
      </c>
      <c r="F6912" s="2" t="inlineStr">
        <is>
          <t>кинофильм</t>
        </is>
      </c>
      <c r="G6912" s="2" t="n"/>
      <c r="H6912" s="2" t="n">
        <v>1584</v>
      </c>
      <c r="I6912" s="2" t="inlineStr"/>
      <c r="J6912" s="2" t="inlineStr"/>
      <c r="K6912" s="3" t="inlineStr">
        <is>
          <t>Фильм рассказывает историю молодого человека, сделавшего жизненную ставку на свою привлекательную внешность. Внешность эта обворожительна настолько, что у героя возникает идея использовать её для социального и финансового роста.
Работая на станции техобслуживания, Гена внимательно наблюдает за своими клиентками. Каждый день он видит у них дорогие и красивые машины и мечтает сам ездить на подобных автомобилях, а не чинить их. Поняв, что кроме смазливой мордашки, у него нет больше никаких достоинств, Гена начинает подыскивать себе состоятельную невесту. Вскоре к нему в руки попадает объявление некой Светланы, желающей познакомиться с мужчиной для серьёзных отношений. Они встречаются и проводят совместный вечер, а затем Светлана знакомит Гену со своей подругой Юлей. Последняя — дочь покойного знаменитого академика, владелица большой квартиры, огромной дачи и, вероятно, приличной суммы на счету, доставшейся в наследство от отца — становится в итоге невестой Гены.
Однако женившись, Гена не оставляет привычных ему любовных похождений, и в конечном счёте Юля ловит его с поличным. Осознав безнадёжность мужа, она с матерью уезжает жить на дачу, оставив супругу квартиру, в которую тот теперь водит своих подружек. Однажды одна из пассий Гены — состоятельная девушка Маша — припоминает, что ранее видела его работающим в автосервисе, и начинает над ним насмехаться. Он даёт ей пощёчину, и в отместку Маша организует избиение Гены. Тот с разбитым лицом прибывает к Юле, и она принимает его обратно. Тем не менее, едва залечив раны, Гена возвращается к прежней разгульной жизни.</t>
        </is>
      </c>
      <c r="L6912" s="2" t="inlineStr">
        <is>
          <t>https://ru.wikipedia.org/w/index.php?title=%D0%9C%D0%BE%D1%80%D0%B4%D0%B0%D1%88%D0%BA%D0%B0_%28%D1%84%D0%B8%D0%BB%D1%8C%D0%BC%2C_1990%29&amp;oldid=148262432</t>
        </is>
      </c>
      <c r="M6912" s="2">
        <f>HYPERLINK("https://ru.wikipedia.org/w/index.php?search=%D0%9C%D0%BE%D1%80%D0%B4%D0%B0%D1%88%D0%BA%D0%B0%201990%20%D1%84%D0%B8%D0%BB%D1%8C%D0%BC","искать")</f>
        <v/>
      </c>
      <c r="N6912" s="3" t="n"/>
      <c r="O6912" s="2" t="n"/>
      <c r="P6912" s="2" t="n"/>
    </row>
    <row r="6913">
      <c r="A6913" s="2" t="n">
        <v>6912</v>
      </c>
      <c r="B6913" s="2" t="inlineStr"/>
      <c r="C6913" s="2" t="n">
        <v>10981</v>
      </c>
      <c r="D6913" s="3" t="inlineStr">
        <is>
          <t>Ванина Ванини</t>
        </is>
      </c>
      <c r="E6913" s="2" t="n">
        <v>1983</v>
      </c>
      <c r="F6913" s="2" t="inlineStr">
        <is>
          <t>фильм-спектакль</t>
        </is>
      </c>
      <c r="G6913" s="2" t="inlineStr">
        <is>
          <t>Главная редакция литературно-драматических программ ЦТ</t>
        </is>
      </c>
      <c r="H6913" s="2" t="n">
        <v>1587</v>
      </c>
      <c r="I6913" s="2" t="inlineStr"/>
      <c r="J6913" s="2" t="inlineStr"/>
      <c r="K6913" s="3" t="inlineStr">
        <is>
          <t>Молодой карбонарий Пьетро Миссирильи сбегает из тюрьмы, переодевшись в женское платье. Он укрывается в доме богатого аристократа, чтобы залечить раны. Его дочь, Ванина, ничего не подозревая, навещает гостью, но позже узнаёт её тайну. Пьетро и Ванина влюбляются и признаются друг другу в своих чувствах. Через четыре месяца Пьетро поправляется и решает отправиться в Романью, чтобы отомстить за себя. Ванина, не желая расставаться с возлюбленным, предлагает ему пожениться, а когда тот отказывается, решает ехать за ним, оставив отчий дом. Она надеялась, что любовь Пьетро к ней пересилит его любовь к родине. В Романье Пьетро стал во главе венты, и вместе с товарищами готовил заговор. Ванина, чувствуя, что Пьетро отдаляется от неё, в порыве ревности решается на отчаянный шаг — она выдаёт легату заговор и поименно всех его участников, кроме Пьетро, и уговорила Пьетро покинуть город. Когда Миссирильи узнал, что его товарищей арестовали, он сам сдался властям, не желая считаться предателем.
Отец Ванины в это время договаривается о её браке с князем Ливио Савелли. Она соглашается, надеясь использовать его связи, чтобы помочь Миссирильи.
На суде карбонариям вынесли смертный приговор, который потом заменили на длительное тюремное заключение, всем, кроме Миссирильи. Ванина хитростью уговорила кардинала пощадить Пьетро. А узнав, что узников будут перевозить, решила встретиться с Миссирильи. На свидании Пьетро отказывается от Ванины, а она признаётся ему в предательстве. Пьетро хотел задушить её цепями, но был остановлен тюремщиком. Отвергнутая, Ванина возвращается домой в Рим.</t>
        </is>
      </c>
      <c r="L6913" s="2" t="inlineStr">
        <is>
          <t>https://ru.wikipedia.org/w/index.php?title=%D0%92%D0%B0%D0%BD%D0%B8%D0%BD%D0%B0_%D0%92%D0%B0%D0%BD%D0%B8%D0%BD%D0%B8_%28%D1%82%D0%B5%D0%BB%D0%B5%D1%81%D0%BF%D0%B5%D0%BA%D1%82%D0%B0%D0%BA%D0%BB%D1%8C%29&amp;oldid=155008312</t>
        </is>
      </c>
      <c r="M6913" s="2">
        <f>HYPERLINK("https://ru.wikipedia.org/w/index.php?search=%D0%92%D0%B0%D0%BD%D0%B8%D0%BD%D0%B0%20%D0%92%D0%B0%D0%BD%D0%B8%D0%BD%D0%B8%201983%20%D1%84%D0%B8%D0%BB%D1%8C%D0%BC","искать")</f>
        <v/>
      </c>
      <c r="N6913" s="3" t="n"/>
      <c r="O6913" s="2" t="n"/>
      <c r="P6913" s="2" t="n"/>
    </row>
    <row r="6914">
      <c r="A6914" s="2" t="n">
        <v>6913</v>
      </c>
      <c r="B6914" s="2" t="inlineStr"/>
      <c r="C6914" s="2" t="n">
        <v>8846</v>
      </c>
      <c r="D6914" s="3" t="inlineStr">
        <is>
          <t>Московские красавицы</t>
        </is>
      </c>
      <c r="E6914" s="2" t="n">
        <v>1991</v>
      </c>
      <c r="F6914" s="2" t="inlineStr">
        <is>
          <t>кинофильм</t>
        </is>
      </c>
      <c r="G6914" s="2" t="n"/>
      <c r="H6914" s="2" t="n">
        <v>1592</v>
      </c>
      <c r="I6914" s="2" t="inlineStr"/>
      <c r="J6914" s="2" t="inlineStr"/>
      <c r="K6914" s="3" t="inlineStr">
        <is>
          <t>Маша Малинина, студентка пединститута, становится участницей одного из первых конкурсов красоты в СССР. Здесь с ней знакомится журналист Сергей Каюмов, ведущий журналистское расследование. По его просьбе она соглашается на предложение сняться в рекламе от некой фирмы-спонсора конкурса.
Придя на фирму она видит, что тут ведётся эротическая съемка, в которой снимается и её подруга Ольга, тоже конкурсантка. Маша рассказывает об этом Сергею, который всё-таки настаивает, чтобы она поработала там. Сергей сходится с Ольгой, и на вопрос, правда ли что на фирме снимают порнографию узнаёт, что эта фирма поставляет за валюту девочек фирмачам, которых девчонки обслуживают на снятых квартирах, а фотографии девушек в рекламе — это реклама их самих, как фотокаталог для клиентов. Сергея, вышедшего на руководителей фирмы, убивают.
На конкурсе Маша даже не выходит в финал, а победительницей становится Ольга. Машу спонсор конкурса привозит на шикарную квартиру, где говорит, что это её квартира, и она будет тут принимать мужчин, которых он будет присылать и которые очень хорошо за это платят. Маша пытается уйти, но её заводят в спальню, где насилуют. Через месяц из этой самой квартиры Маша звонит домой, говоря, что с ней всё нормально.
Главная героиня — Маша Малинина. Кто-то, возможно, вспомнит победительницу конкурса «Московская красавица» Машу Калинину, которая сейчас обучается в Голливуде. Судьба героини фильма сложилось несколько иначе… Создателям фильма захотелось показать не только красивый фасад этого конкурса, но и его изнанку… подпольный «бизнес» вокруг этого конкурса красоты.</t>
        </is>
      </c>
      <c r="L6914" s="2" t="inlineStr">
        <is>
          <t>https://ru.wikipedia.org/w/index.php?title=%D0%9C%D0%BE%D1%81%D0%BA%D0%BE%D0%B2%D1%81%D0%BA%D0%B8%D0%B5_%D0%BA%D1%80%D0%B0%D1%81%D0%B0%D0%B2%D0%B8%D1%86%D1%8B&amp;oldid=142601091</t>
        </is>
      </c>
      <c r="M6914" s="2">
        <f>HYPERLINK("https://ru.wikipedia.org/w/index.php?search=%D0%9C%D0%BE%D1%81%D0%BA%D0%BE%D0%B2%D1%81%D0%BA%D0%B8%D0%B5%20%D0%BA%D1%80%D0%B0%D1%81%D0%B0%D0%B2%D0%B8%D1%86%D1%8B%201991%20%D1%84%D0%B8%D0%BB%D1%8C%D0%BC","искать")</f>
        <v/>
      </c>
      <c r="N6914" s="3" t="n"/>
      <c r="O6914" s="2" t="n"/>
      <c r="P6914" s="2" t="n"/>
    </row>
    <row r="6915">
      <c r="A6915" s="2" t="n">
        <v>6914</v>
      </c>
      <c r="B6915" s="2" t="inlineStr"/>
      <c r="C6915" s="2" t="n">
        <v>9194</v>
      </c>
      <c r="D6915" s="3" t="inlineStr">
        <is>
          <t>1000 долларов в одну сторону</t>
        </is>
      </c>
      <c r="E6915" s="2" t="n">
        <v>1991</v>
      </c>
      <c r="F6915" s="2" t="inlineStr">
        <is>
          <t>кинофильм</t>
        </is>
      </c>
      <c r="G6915" s="2" t="n"/>
      <c r="H6915" s="2" t="n">
        <v>1593</v>
      </c>
      <c r="I6915" s="2" t="inlineStr"/>
      <c r="J6915" s="2" t="inlineStr"/>
      <c r="K6915" s="3" t="inlineStr">
        <is>
          <t>Город невест Иваново 90-х годов. На телефонном переговорном пункте Наташа Алексашкина разговаривает с сестрой из Чикаго. Та зовёт её приехать в Америку. Воодушевлённая приглашением девушка вынуждена спуститься с небес на землю, в повседневную жизнь, где её ждёт горячая работа на хлебокомбинате и неблагодарный любовник Слава Речкин, который забыл поздравить её в день рождения. Выясняя отношения со Славкой, она опаздывает на работу. Её подвозят на машине кавказцы Тельман и Харек, которым она назначает встречу в клубе. На хлебокомбинате нищенская зарплата, и Наташка, как многие работницы, выносит с предприятия продукты и продает их. Её останавливают на проходной за хищение. Это грозит серьезными последствиями на работе. Но Наташа нисколько не озабочена. Вечером в клубе она весело проводит время с Тельманом на глазах у Славки, который работает ударником в музыкальной группе. Утром Речкин является в квартиру подруги. Там он застает одного Тельмана. Мирно выяснить отношения помогает водка. Вернувшись домой, Наташка выпроваживает из дома двух пьяных приятелей. Она серьезно настроена на отъезд в Америку, и не стремится сохранять отношения с любовником. Вскоре она получает письмо из Чикаго с приглашением на ПМЖ. На заседании женсовета комбината она заявляет, что уезжает в Америку навсегда и воровала продукты для того, чтобы собрать 1000 долларов на билет в один конец. Администрация строит планы создать совместное советско-американское предприятие с Алексашкиной. Но в результате путаницы в Америку отправляют другую. Славка возвращается к Наташе: «Я ведь люблю тебя, булочница!»</t>
        </is>
      </c>
      <c r="L6915" s="2" t="inlineStr">
        <is>
          <t>https://gosfilmofond.ru/films/226088/</t>
        </is>
      </c>
      <c r="M6915" s="2">
        <f>HYPERLINK("https://ru.wikipedia.org/w/index.php?search=1000%20%D0%B4%D0%BE%D0%BB%D0%BB%D0%B0%D1%80%D0%BE%D0%B2%20%D0%B2%20%D0%BE%D0%B4%D0%BD%D1%83%20%D1%81%D1%82%D0%BE%D1%80%D0%BE%D0%BD%D1%83%201991%20%D1%84%D0%B8%D0%BB%D1%8C%D0%BC","искать")</f>
        <v/>
      </c>
      <c r="N6915" s="3" t="n"/>
      <c r="O6915" s="2" t="n"/>
      <c r="P6915" s="2" t="n"/>
    </row>
    <row r="6916">
      <c r="A6916" s="2" t="n">
        <v>6915</v>
      </c>
      <c r="B6916" s="2" t="inlineStr"/>
      <c r="C6916" s="2" t="n">
        <v>7368</v>
      </c>
      <c r="D6916" s="3" t="inlineStr">
        <is>
          <t>Волшебный голос Джельсомино</t>
        </is>
      </c>
      <c r="E6916" s="2" t="n">
        <v>1977</v>
      </c>
      <c r="F6916" s="2" t="inlineStr">
        <is>
          <t>телефильм</t>
        </is>
      </c>
      <c r="G6916" s="2" t="inlineStr">
        <is>
          <t>Одесская киностудия</t>
        </is>
      </c>
      <c r="H6916" s="2" t="n">
        <v>1594</v>
      </c>
      <c r="I6916" s="2" t="inlineStr"/>
      <c r="J6916" s="2" t="inlineStr"/>
      <c r="K6916" s="3" t="inlineStr">
        <is>
          <t>Рыжий Джельсомино обладает удивительным голосом, который может разбивать стёкла и стряхивать груши с веток дерева, но приносит своему хозяину только неприятности: соседи объявляют его то колдуном, то святым. Тогда герой уходит из своей деревни.
Скитаясь по свету, юноша попадает в Страну лжецов, власть в которой когда-то захватили пираты во главе с атаманом Джакомоном. Для того, чтобы обеспечить легитимность власти своей банды, Джакомон вводит законы, обязывающие всех лгать: вместо «доброе утро» — «спокойной ночи», хлеб называть чернилами, тюрьму — пансионатом, психиатрическую больницу — санаторием, лошадей — коровами; кошек принудили лаять, а собак — мяукать; вместо настоящих денег в ходу только фальшивые. Даже художник вынужден врать в своём творчестве, рисуя портреты людей с тремя носами, шестью глазами и тому подобные. При этом сам король и его приближённые не подчиняются новым законам и могут говорить как им угодно. Соответственно, банду пиратов Джакомона называют героями, а лысого Джакомона — златокудрым.
Вместе с новыми друзьями — нарисованной и ожившей благодаря воздействию голоса Джельсомино Кошкой-Хромоножкой, тётушкой Кукурузой, её племянницей Ромолеттой и художником Бананито — Джельсомино поднимает народ на борьбу против узурпатора. Простые горожане, читая правдивые надписи на стенах (их тайком оставляет Хромоножка), начинают чаще называть вещи своими именами. Короля выводят на чистую воду: на самом деле он лысый и носит парик. Не выдержав натиска взбунтовавшихся подданных, Джакомон сбегает, а его министры и жандармы предстают перед судом. Правда побеждает.</t>
        </is>
      </c>
      <c r="L6916" s="2" t="inlineStr">
        <is>
          <t>https://ru.wikipedia.org/w/index.php?title=%D0%92%D0%BE%D0%BB%D1%88%D0%B5%D0%B1%D0%BD%D1%8B%D0%B9_%D0%B3%D0%BE%D0%BB%D0%BE%D1%81_%D0%94%D0%B6%D0%B5%D0%BB%D1%8C%D1%81%D0%BE%D0%BC%D0%B8%D0%BD%D0%BE&amp;oldid=146219175</t>
        </is>
      </c>
      <c r="M6916" s="2">
        <f>HYPERLINK("https://ru.wikipedia.org/w/index.php?search=%D0%92%D0%BE%D0%BB%D1%88%D0%B5%D0%B1%D0%BD%D1%8B%D0%B9%20%D0%B3%D0%BE%D0%BB%D0%BE%D1%81%20%D0%94%D0%B6%D0%B5%D0%BB%D1%8C%D1%81%D0%BE%D0%BC%D0%B8%D0%BD%D0%BE%201977%20%D1%84%D0%B8%D0%BB%D1%8C%D0%BC","искать")</f>
        <v/>
      </c>
      <c r="N6916" s="3" t="n"/>
      <c r="O6916" s="2" t="n"/>
      <c r="P6916" s="2" t="n"/>
    </row>
    <row r="6917">
      <c r="A6917" s="2" t="n">
        <v>6916</v>
      </c>
      <c r="B6917" s="2" t="inlineStr"/>
      <c r="C6917" s="2" t="n">
        <v>9448</v>
      </c>
      <c r="D6917" s="3" t="inlineStr">
        <is>
          <t>Кумир</t>
        </is>
      </c>
      <c r="E6917" s="2" t="n">
        <v>1988</v>
      </c>
      <c r="F6917" s="2" t="inlineStr">
        <is>
          <t>кинофильм</t>
        </is>
      </c>
      <c r="G6917" s="2" t="n"/>
      <c r="H6917" s="2" t="n">
        <v>1596</v>
      </c>
      <c r="I6917" s="2" t="inlineStr"/>
      <c r="J6917" s="2" t="inlineStr"/>
      <c r="K6917" s="3" t="inlineStr">
        <is>
          <t>Певец-эстрадник Хуршед с первых своих творческих шагов обласкан капризной фортуной, он готов и далее не сбавлять темпа. Поэтому, когда ему предлагает покровительство могущественный Мир Алимович, юноша принимает его условия. Хуршед еще многого не понимает в жизни, тем более в законах шоу-бизнеса. Его
не настораживает судьба предшественника, которого в свое время также опекал Мир Алимович, а теперь тот потерял все — славу, деньги, голос. Время от времени он является в роскошный особняк Мира Алимовича и клянчит деньги. Не скрывая брезгливости, делец дает парню пятерку на опохмел... Постепенно Хуршед
попадает в жесткую зависимость от Мира. Тот диктует ему манеру поведения на сцене и в жизни, подбор репертуара. Хуршед обязан по первому требованию хозяина ехать на бесконечные застолья толстосумов и петь для них. А еще время от времени покровитель приглашает певца в некий облюбованный «отцами города» райский уголок, попасть в который могут немногие избранные — через прорубленный в скале тоннель, закрытый тяжелыми тщательно охраняемыми воротами. «Сладкая» жизнь быстро превращает
Хуршеда в законченного негодяя: он пускается в пьянство и разврат, порывает с друзьями и женой. Когда же наступает отрезвление, и он хочет порвать отношения с покровителем, то терпит провал — Хуршед сам обрубил все прежние связи, а без разрешения Мира Алимовича он не может даже получить деньги за выступление. Мир Алимович жестоко мстит за намерения Хуршеда отвоевать свободу: однажды сгорает мастерская жены Хуршеда, а сам делец берет под свое покровительство новое дарование. Хуршед начинает пить горькую.</t>
        </is>
      </c>
      <c r="L6917" s="2" t="inlineStr">
        <is>
          <t>https://gosfilmofond.ru/films/239908/</t>
        </is>
      </c>
      <c r="M6917" s="2">
        <f>HYPERLINK("https://ru.wikipedia.org/w/index.php?search=%D0%9A%D1%83%D0%BC%D0%B8%D1%80%201988%20%D1%84%D0%B8%D0%BB%D1%8C%D0%BC","искать")</f>
        <v/>
      </c>
      <c r="N6917" s="3" t="n"/>
      <c r="O6917" s="2" t="n"/>
      <c r="P6917" s="2" t="n"/>
    </row>
    <row r="6918">
      <c r="A6918" s="2" t="n">
        <v>6917</v>
      </c>
      <c r="B6918" s="2" t="inlineStr"/>
      <c r="C6918" s="2" t="n">
        <v>8478</v>
      </c>
      <c r="D6918" s="3" t="inlineStr">
        <is>
          <t>Три дня на размышление</t>
        </is>
      </c>
      <c r="E6918" s="2" t="n">
        <v>1980</v>
      </c>
      <c r="F6918" s="2" t="inlineStr">
        <is>
          <t>телефильм</t>
        </is>
      </c>
      <c r="G6918" s="2" t="n"/>
      <c r="H6918" s="2" t="n">
        <v>1598</v>
      </c>
      <c r="I6918" s="2" t="inlineStr"/>
      <c r="J6918" s="2" t="inlineStr"/>
      <c r="K6918" s="3" t="inlineStr">
        <is>
          <t>В Риге совершено нападение на инкассаторов. Милиция, опросив очевидцев, быстро вышла на след предполагаемых преступников. Ими оказались некий Дуршис, недавно освободившийся из мест заключения, и шофёр такси Римша.
Возглавляющий расследование преступления полковник Ульф не разделяет уверенности коллег в виновности этих людей. Он также обнаруживает, что следует присмотреться к свидетелю, опознавшему в нападавшем Дуршиса. Как выяснилось, свидетель направил следствие по ложному следу.
После обнаружения трупа таксиста Римши подозреваемым становится молодой повеса Хуго Лингерманис, любовник жены Римши.
Скоро полковник Ульф воссоздает картину преступления.
Отец Хуго, крупный валютчик, завещал сыну взыскать большой долг со своего сообщника Козинда, а тот, не имея возможности отдать деньги, придумал хитроумный план нападения на инкассаторов.
Для перевозки инкассаторами денег банк арендовал у таксопарка автомобиль. Козинд убил таксиста Римшу, своего соседа, а затем, надев куртку и кепку Римши, приклеив себе «бакенбарды» (став, таким образом, похожим на него), сел за руль его машины и повёз двух инкассаторов за выручкой промтоварного магазина.
Согласившийся участвовать в преступлении Хуго Лингерманис ударил по голове инкассатора в торговом зале магазина и завладел инкассаторскими сумками, после чего Козинд оглушил инкассатора, остававшегося в машине.
Козинд не хочет отдавать Хуго причитающиеся тому деньги и в конце концов убивает его. Теперь, как он считает, чтобы окончательно замести следы, ему остаётся найти письмо старого Лингерманиса сыну, поскольку из письма ясно, кто он такой.</t>
        </is>
      </c>
      <c r="L6918" s="2" t="inlineStr">
        <is>
          <t>https://ru.wikipedia.org/w/index.php?title=%D0%A2%D1%80%D0%B8_%D0%B4%D0%BD%D1%8F_%D0%BD%D0%B0_%D1%80%D0%B0%D0%B7%D0%BC%D1%8B%D1%88%D0%BB%D0%B5%D0%BD%D0%B8%D0%B5&amp;oldid=154708768</t>
        </is>
      </c>
      <c r="M6918" s="2">
        <f>HYPERLINK("https://ru.wikipedia.org/w/index.php?search=%D0%A2%D1%80%D0%B8%20%D0%B4%D0%BD%D1%8F%20%D0%BD%D0%B0%20%D1%80%D0%B0%D0%B7%D0%BC%D1%8B%D1%88%D0%BB%D0%B5%D0%BD%D0%B8%D0%B5%201980%20%D1%84%D0%B8%D0%BB%D1%8C%D0%BC","искать")</f>
        <v/>
      </c>
      <c r="N6918" s="3" t="n"/>
      <c r="O6918" s="2" t="n"/>
      <c r="P6918" s="2" t="n"/>
    </row>
    <row r="6919">
      <c r="A6919" s="2" t="n">
        <v>6918</v>
      </c>
      <c r="B6919" s="2" t="inlineStr"/>
      <c r="C6919" s="2" t="n">
        <v>9737</v>
      </c>
      <c r="D6919" s="3" t="inlineStr">
        <is>
          <t>Храм воздуха</t>
        </is>
      </c>
      <c r="E6919" s="2" t="n">
        <v>1989</v>
      </c>
      <c r="F6919" s="2" t="inlineStr">
        <is>
          <t>кинофильм</t>
        </is>
      </c>
      <c r="G6919" s="2" t="n"/>
      <c r="H6919" s="2" t="n">
        <v>1602</v>
      </c>
      <c r="I6919" s="2" t="inlineStr"/>
      <c r="J6919" s="2" t="inlineStr"/>
      <c r="K6919" s="3" t="inlineStr">
        <is>
          <t>Азербайджан. Баку второй половины 1940-х годов. Тяжело складывается послевоенная жизнь недавнего солдата Юсифа. Сначала он попадает в тюрьму за то, что после 9-го мая без приказа покинул свою часть и поехал на родину. Освободившись, Юсиф приезжает в Баку. Ему сообщают, что его отец умер в тюрьме, куда его посадили за кражу государственного хлеба во время войны, а невеста Гюля вышла замуж. Из-за судимости и полученной на фронте контузии Юсифа нигде не берут на работу. Тогда он решает съездить в Кисловодск, чтобы подыскать себе дом. Вместе с приятелем Эльдаром он подбирает там хороший дом. Вернувшись в Баку, Юсиф узнает, что его соседа, доктора Агамирова, арестовали за клеветнические слухи о неготовности СССР к войне. Юсифа вызывают к следователю, но он наотрез отказывается подписать донос на доктора, хотя тот уже сам во всем признался. Фируз рассказывает Юсифу, что его отец попал в тюрьму по ложному обвинению, которое состряпал Сеид-рза, руководитель хлебной торговли в городе. Юсиф достает пистолет, приходит к Сеид-рза и забирает у жулика не только нужную ему для покупки дома сумму денег, но
и письменное признание в том, что он оклеветал отца и других людей, а подлинным преступником является он сам. Вечером Юсиф уезжает в Кисловодск. К нему присоединяется Гюля, решившая после долгих уговоров оставить мужа. Покупку дома Юсиф отмечает в местном ресторане «Храм воздуха». Но веселье омрачает группа местных блатных — хозяев этого района. Между ними и Юсифом происходит стычка, в которой он дает хулиганам отпор. Блатные обещают отомстить. Ночью бандиты приходят к Юсифу и убивают его.</t>
        </is>
      </c>
      <c r="L6919" s="2" t="inlineStr">
        <is>
          <t>https://gosfilmofond.ru/films/240549/</t>
        </is>
      </c>
      <c r="M6919" s="2">
        <f>HYPERLINK("https://ru.wikipedia.org/w/index.php?search=%D0%A5%D1%80%D0%B0%D0%BC%20%D0%B2%D0%BE%D0%B7%D0%B4%D1%83%D1%85%D0%B0%201989%20%D1%84%D0%B8%D0%BB%D1%8C%D0%BC","искать")</f>
        <v/>
      </c>
      <c r="N6919" s="3" t="n"/>
      <c r="O6919" s="2" t="n"/>
      <c r="P6919" s="2" t="n"/>
    </row>
    <row r="6920">
      <c r="A6920" s="2" t="n">
        <v>6919</v>
      </c>
      <c r="B6920" s="2" t="inlineStr"/>
      <c r="C6920" s="2" t="n">
        <v>10458</v>
      </c>
      <c r="D6920" s="3" t="inlineStr">
        <is>
          <t>Обломов</t>
        </is>
      </c>
      <c r="E6920" s="2" t="n">
        <v>1972</v>
      </c>
      <c r="F6920" s="2" t="inlineStr">
        <is>
          <t>фильм-спектакль</t>
        </is>
      </c>
      <c r="G6920" s="2" t="inlineStr">
        <is>
          <t>Центральное телевидение</t>
        </is>
      </c>
      <c r="H6920" s="2" t="n">
        <v>1603</v>
      </c>
      <c r="I6920" s="2" t="inlineStr"/>
      <c r="J6920" s="2" t="inlineStr"/>
      <c r="K6920" s="3" t="inlineStr">
        <is>
          <t>По одноименному роману И.А. Гончарова в постановке Московского драматического театра имени А.С. Пушкина.
Илья Ильич вместе со своим слугой Захаром живёт в Петербурге, на Гороховой улице, практически не выходя из дома и даже не поднимаясь с дивана. Он не занимается никакой деятельностью, не выходит в свет, лишь предаётся мыслям о том, как надо жить, и мечтам об уютной безмятежной жизни в родной Обломовке. Никакие проблемы — упадок хозяйства, угрозы выселения из квартиры — не могут сдвинуть его с места.
Его друг детства Штольц, полная противоположность вялому мечтательному Илье, заставляет героя на какое-то время очнуться, окунуться в жизнь. Обломов влюбляется в Ольгу Ильинскую и впоследствии после долгих раздумий и отступлений предлагает ей жениться.
Однако поддавшись интригам Тарантьева, Обломов переезжает в квартиру, нанятую ему, на Выборгскую сторону, попадая в дом Агафьи Матвеевны Пшеницыной. Постепенно все хозяйство Ильи Ильича переходит в руки Пшеницыной, а сам он окончательно угасает в «обломовщине». По Петербургу ходят слухи о скорой свадьбе Обломова и Ильинской, узнав об этом, Илья Ильич ужасается: ничего ещё, по его мнению, не решено. К нему в дом приходит Ильинская и убеждается, что ничто уже не пробудит Обломова от медленного погружения в окончательный сон, и их отношения прекращаются. В то же время дела Обломова прибирает к рукам брат Пшеницыной Иван Мухояров, который запутывает Илью Ильича в своих махинациях. В этот же момент Агафья Матвеевна чинит халат Обломова, который, казалось бы, починить уже никому не по силам. От всего этого Илья Ильич заболевает горячкой.</t>
        </is>
      </c>
      <c r="L6920" s="2" t="inlineStr">
        <is>
          <t>https://www.kino-teatr.ru/teatr/movie/93016/annot/</t>
        </is>
      </c>
      <c r="M6920" s="2">
        <f>HYPERLINK("https://ru.wikipedia.org/w/index.php?search=%D0%9E%D0%B1%D0%BB%D0%BE%D0%BC%D0%BE%D0%B2%201972%20%D1%84%D0%B8%D0%BB%D1%8C%D0%BC","искать")</f>
        <v/>
      </c>
      <c r="N6920" s="3" t="n"/>
      <c r="O6920" s="2" t="n"/>
      <c r="P6920" s="2" t="n"/>
    </row>
    <row r="6921">
      <c r="A6921" s="2" t="n">
        <v>6920</v>
      </c>
      <c r="B6921" s="2" t="inlineStr"/>
      <c r="C6921" s="2" t="n">
        <v>7600</v>
      </c>
      <c r="D6921" s="3" t="inlineStr">
        <is>
          <t>Жизнь и смерть дворянина Чертопханова</t>
        </is>
      </c>
      <c r="E6921" s="2" t="n">
        <v>1971</v>
      </c>
      <c r="F6921" s="2" t="inlineStr">
        <is>
          <t>телефильм</t>
        </is>
      </c>
      <c r="G6921" s="2" t="n"/>
      <c r="H6921" s="2" t="n">
        <v>1605</v>
      </c>
      <c r="I6921" s="2" t="inlineStr"/>
      <c r="J6921" s="2" t="inlineStr"/>
      <c r="K6921" s="3" t="inlineStr">
        <is>
          <t>Главный герой фильма — дворянин Пантелей Еремеевич Чертопханов, небогатый помещик из обедневшего старинного рода, отличающийся гордым и неуживчивым характером.
На похоронах своего дальнего родственника, богатого барина, Чертопханов заступился за Тихона Ивановича Недопюскина, получившего по завещанию барина небольшую деревню Бесселендеевку с 22 крестьянами, над которым издевались другие наследники умершего. После этого происшествия Чертопханов и Недопюскин, скромный и нерешительный человек, становятся близкими друзьями. Также в доме Чертопханова живёт молодая женщина Маша, которую Чертопханов считает неофициальной женой.
Однажды на ярмарке Чертопханов спасает Мошеля Лейбу от избивавших его крестьян. В благодарность Лейба недорого продаёт Чертопханову отличного коня, которого Чертопханов называет Малек-Аделем.
Однако счастливая жизнь Чертопханова продолжалась недолго. Сначала от Чертопханова, несмотря на его уговоры, уходит Маша, а затем, тяжело заболев, умирает единственный друг Чертопханова, Недопюскин. Отправившись в трактир после смерти друга, Чертопханов становится свидетелем замечательного соревнования двух певцов – Якова Турка и Рядчика.
Вскоре Чертопханов лишается и своего любимого коня, которого ночью крадут из стойла. Чертопханов вместе с Мошелем Лейбой отправляются на поиски первого хозяина коня, который, по мнению Чертопханова, и украл его.
Вернувшись через некоторое время с конём, Чертопханов ненадолго обретает душевный покой, но, обнаружив, что он ошибся и что приведённый им конь не Малек-Адель, окончательно теряет волю к жизни, начинает горько пить и вскоре умирает.</t>
        </is>
      </c>
      <c r="L6921" s="2" t="inlineStr">
        <is>
          <t>https://ru.wikipedia.org/w/index.php?title=%D0%96%D0%B8%D0%B7%D0%BD%D1%8C_%D0%B8_%D1%81%D0%BC%D0%B5%D1%80%D1%82%D1%8C_%D0%B4%D0%B2%D0%BE%D1%80%D1%8F%D0%BD%D0%B8%D0%BD%D0%B0_%D0%A7%D0%B5%D1%80%D1%82%D0%BE%D0%BF%D1%85%D0%B0%D0%BD%D0%BE%D0%B2%D0%B0&amp;oldid=152967475</t>
        </is>
      </c>
      <c r="M6921" s="2">
        <f>HYPERLINK("https://ru.wikipedia.org/w/index.php?search=%D0%96%D0%B8%D0%B7%D0%BD%D1%8C%20%D0%B8%20%D1%81%D0%BC%D0%B5%D1%80%D1%82%D1%8C%20%D0%B4%D0%B2%D0%BE%D1%80%D1%8F%D0%BD%D0%B8%D0%BD%D0%B0%20%D0%A7%D0%B5%D1%80%D1%82%D0%BE%D0%BF%D1%85%D0%B0%D0%BD%D0%BE%D0%B2%D0%B0%201971%20%D1%84%D0%B8%D0%BB%D1%8C%D0%BC","искать")</f>
        <v/>
      </c>
      <c r="N6921" s="3" t="n"/>
      <c r="O6921" s="2" t="n"/>
      <c r="P6921" s="2" t="n"/>
    </row>
    <row r="6922">
      <c r="A6922" s="2" t="n">
        <v>6921</v>
      </c>
      <c r="B6922" s="2" t="inlineStr"/>
      <c r="C6922" s="2" t="n">
        <v>9602</v>
      </c>
      <c r="D6922" s="3" t="inlineStr">
        <is>
          <t>Процесс</t>
        </is>
      </c>
      <c r="E6922" s="2" t="n">
        <v>1989</v>
      </c>
      <c r="F6922" s="2" t="inlineStr">
        <is>
          <t>кинофильм</t>
        </is>
      </c>
      <c r="G6922" s="2" t="inlineStr">
        <is>
          <t>Мосфильм</t>
        </is>
      </c>
      <c r="H6922" s="2" t="n">
        <v>1609</v>
      </c>
      <c r="I6922" s="2" t="inlineStr"/>
      <c r="J6922" s="2" t="inlineStr"/>
      <c r="K6922" s="3" t="inlineStr">
        <is>
          <t>В одном из советских городов идёт судебный процесс. На скамье подсудимых пятеро руководителей от директора магазина Ломакиной до руководителя пищеторга Рунича, которые обвиняются в злоупотреблениях и хищениях, даче и получении взяток. Ломакина сообщает суду о фактах злоупотреблений с разбавлением молочных продуктов, с естественной убылью, хищений. Тем не менее, когда нужно доказывать факты взяток, свидетели и подсудимые начинают путаться и отказываться от показаний. Следствию удаётся доказать лишь небольшие суммы, и неясно, куда уходили деньги. Фигуранты ссылаются на то, что явление было массовым. Рунич не признаёт вину. На представителей суда давят высшие инстанции, процесс становится показательным, заседания транслируются по телевидению. Судья Постников отчитывается начальству, что доказательная база слаба, пока всё сыро.
Следователь Амелин продолжает сбор улик. Свидетель Ахтырский умирает в ходе процесса. Тем не менее Амелин не останавливается. Полученные данные выводят его наверх в Москву, на покровителя Рунича Четвергова. Руководитель Амелина Удальцов устно, без формального приказа, просит не трогать Четвергова. Однако, через некоторое время, он забирает все материалы по Четвергову себе и даёт добро на продолжение следственных действий. Перед объявлением приговора представители судебной коллегии в комнате обсуждений сомневаются, Постников даже предлагает народному заседателю высказать особое мнение, но все трое подписывают приговор. Все подозреваемые осуждены и получают сроки, Рунич осуждён на 13 лет. Коллега Амелина следователь Корытов отправляется в Москву «брать» Четвергова.</t>
        </is>
      </c>
      <c r="L6922" s="2" t="inlineStr">
        <is>
          <t>https://ru.wikipedia.org/w/index.php?title=%D0%9F%D1%80%D0%BE%D1%86%D0%B5%D1%81%D1%81_%28%D1%84%D0%B8%D0%BB%D1%8C%D0%BC%2C_1990%29&amp;oldid=155634610</t>
        </is>
      </c>
      <c r="M6922" s="2">
        <f>HYPERLINK("https://ru.wikipedia.org/w/index.php?search=%D0%9F%D1%80%D0%BE%D1%86%D0%B5%D1%81%D1%81%201989%20%D1%84%D0%B8%D0%BB%D1%8C%D0%BC","искать")</f>
        <v/>
      </c>
      <c r="N6922" s="3" t="n"/>
      <c r="O6922" s="2" t="n"/>
      <c r="P6922" s="2" t="n"/>
    </row>
    <row r="6923">
      <c r="A6923" s="2" t="n">
        <v>6922</v>
      </c>
      <c r="B6923" s="2" t="inlineStr"/>
      <c r="C6923" s="2" t="n">
        <v>9569</v>
      </c>
      <c r="D6923" s="3" t="inlineStr">
        <is>
          <t>Полуночный блюз</t>
        </is>
      </c>
      <c r="E6923" s="2" t="n">
        <v>1991</v>
      </c>
      <c r="F6923" s="2" t="inlineStr">
        <is>
          <t>кинофильм</t>
        </is>
      </c>
      <c r="G6923" s="2" t="n"/>
      <c r="H6923" s="2" t="n">
        <v>1611</v>
      </c>
      <c r="I6923" s="2" t="inlineStr"/>
      <c r="J6923" s="2" t="inlineStr"/>
      <c r="K6923" s="3" t="inlineStr">
        <is>
          <t>Канун новогодних праздников в Ташкенте начала 90-х годов. В многонациональном городе люди ещё не потеряли ощущение, что они живут в единой семье народов, но все процессы, связанные с большими деньгами, уже контролируют представители коренной национальности. В преуспевающем Джаване трудно заподозрить бандита, ведь он оказывает моральную и материальную поддержку, как местному детскому саду, так и русским девушкам из рабочего общежития, и еврею-музыканту из подземного перехода. Но неписаные правила бандитской группировки жёстки. Джавана направляют в Самарканд с заданием расстрелять свидетеля преступления бандитов. Свидетель преступления – миловидная блондинка. Поджидая жертву в её квартире, он перелистывает фотоальбом, и понимает, что он давно знает эту девушку. Светлана была его ученицей в школе, когда он работал учителем физкультуры. Проникнувшись к девушке сочувствием, Джаван принимает решение попытаться спасти её. Умело обходя ловушки, расставленные бандитами на пути, Джаван со Светланой добираются до Ташкента, где их уже поджидают местные бандиты для расправы. Понимая, что он один не сможет оторваться от преследователей, Джаван просит музыканта Алика подключиться к осуществлению плана побега. Вместе они успешно преодолевают все препятствия на пути. Ночь застаёт их в дороге к Чимкенту, и они решают отпраздновать наступление Нового года в заброшенном строении. В разгар застолья в помещение врываются бандиты, но слаженными действиями троице удаётся расправиться с ними. Теперь Джавану и Светлане ничто не угрожает, и Алик играет по просьбе Джавана на саксофоне его любимый полночный блюз.</t>
        </is>
      </c>
      <c r="L6923" s="2" t="inlineStr">
        <is>
          <t>https://gosfilmofond.ru/films/232410/</t>
        </is>
      </c>
      <c r="M6923" s="2">
        <f>HYPERLINK("https://ru.wikipedia.org/w/index.php?search=%D0%9F%D0%BE%D0%BB%D1%83%D0%BD%D0%BE%D1%87%D0%BD%D1%8B%D0%B9%20%D0%B1%D0%BB%D1%8E%D0%B7%201991%20%D1%84%D0%B8%D0%BB%D1%8C%D0%BC","искать")</f>
        <v/>
      </c>
      <c r="N6923" s="3" t="n"/>
      <c r="O6923" s="2" t="n"/>
      <c r="P6923" s="2" t="n"/>
    </row>
    <row r="6924">
      <c r="A6924" s="2" t="n">
        <v>6923</v>
      </c>
      <c r="B6924" s="2" t="inlineStr"/>
      <c r="C6924" s="2" t="n">
        <v>10468</v>
      </c>
      <c r="D6924" s="3" t="inlineStr">
        <is>
          <t>Светит, да не греет</t>
        </is>
      </c>
      <c r="E6924" s="2" t="n">
        <v>1972</v>
      </c>
      <c r="F6924" s="2" t="inlineStr">
        <is>
          <t>фильм-спектакль</t>
        </is>
      </c>
      <c r="G6924" s="2" t="n"/>
      <c r="H6924" s="2" t="n">
        <v>1631</v>
      </c>
      <c r="I6924" s="2" t="inlineStr"/>
      <c r="J6924" s="2" t="inlineStr"/>
      <c r="K6924" s="3" t="inlineStr">
        <is>
          <t>По одноименной пьесе А.Островского и Н.Соловьева в постановке Государственного академического Малого театра Союза ССР.
В старой усадьбе, уже давно не посещавшейся его владелицей помещицей Реневой, живет управляющий Васильков со своей единственной дочерью — молоденькой Олей. В глуши деревенской жизни выросла хорошенькая Оля с ее нетронутой натурой, чуждой кокетства и ломания, всем пылом своей первой любви полюбила она соседа помещика Робачева, и тот, по-видимому, отвечает ей взаимностью. Светлые и радостные летят дни — молодые люди наслаждаются счастьем взаимной любви, как вдруг в усадьбу приезжает сама Ренева, которой надоели скитания за границей и захотелось пожить в тишине. Светская красавица, избалованная победами и всеобщим поклонением, скучает в одиночестве: случайно ей удается увидеть нежную сцену между Робачевым и Олей — и шаловливая мысль увлечь этого юношу, влюбленного в деревенскую простушку, мелькает в голове хорошенькой вдовушки. Она начинает правильную атаку и с удовольствием замечает, что Робачев мало-помалу совершенно забывает Олю и отдается во власть чар красавицы Реневой. И происходит молчаливая, незаметная, но потрясающая именно своею незаметностью драма — драма разбитого сердца, разбитых мечтаний, увядание первого нежного цветка любви, смятого безжалостной рукой. Когда Ренева и Робачев еду кататься на лодке и крадущаяся за ними Оля видит, как их губы сливаются в страстном поцелуе, — бедняжка бросается в реку и тонет… Лишь при виде вытащенного из воды трупа когда-то любимой девушки Робачев сознает, какую ужасную непоправимую ошибку он совершил, и вместе с отцом Оли рыдает над ее трупом.</t>
        </is>
      </c>
      <c r="L6924" s="2" t="inlineStr">
        <is>
          <t>https://www.kino-teatr.ru/teatr/movie/80984/annot/</t>
        </is>
      </c>
      <c r="M6924" s="2">
        <f>HYPERLINK("https://ru.wikipedia.org/w/index.php?search=%D0%A1%D0%B2%D0%B5%D1%82%D0%B8%D1%82%2C%20%D0%B4%D0%B0%20%D0%BD%D0%B5%20%D0%B3%D1%80%D0%B5%D0%B5%D1%82%201972%20%D1%84%D0%B8%D0%BB%D1%8C%D0%BC","искать")</f>
        <v/>
      </c>
      <c r="N6924" s="3" t="n"/>
      <c r="O6924" s="2" t="n"/>
      <c r="P6924" s="2" t="n"/>
    </row>
    <row r="6925">
      <c r="A6925" s="2" t="n">
        <v>6924</v>
      </c>
      <c r="B6925" s="2" t="inlineStr"/>
      <c r="C6925" s="2" t="n">
        <v>9273</v>
      </c>
      <c r="D6925" s="3" t="inlineStr">
        <is>
          <t>Влюблённый манекен</t>
        </is>
      </c>
      <c r="E6925" s="2" t="n">
        <v>1991</v>
      </c>
      <c r="F6925" s="2" t="inlineStr">
        <is>
          <t>кинофильм</t>
        </is>
      </c>
      <c r="G6925" s="2" t="n"/>
      <c r="H6925" s="2" t="n">
        <v>1637</v>
      </c>
      <c r="I6925" s="2" t="inlineStr"/>
      <c r="J6925" s="2" t="inlineStr"/>
      <c r="K6925" s="3" t="inlineStr">
        <is>
          <t>Ялта, конец 80-х годов 20 века. В южном городе живет с отцом Женя Петров, мечтает поступить в мореходку и стать капитаном круизного теплохода. Однажды его отцу вручают в почтовом отделении по ошибке телеграмму, предназначенную его однофамильцу. В телеграмме какая-то Наташа просит встретить её на вокзале. Подошедшему позже однофамильцу сообщают, что его телеграмма попала к другому человеку. Назначенное время почти подошло, и Женька берет на себя инициативу встретить незнакомку и помочь найти нужного ей Петрова. Молодые люди знакомятся. Наташа – финалистка конкурса красоты, и приехала в Ялту, чтобы совершить круиз по Средиземному морю со своим импресарио Петровым. Трое людей, завязанных в этой ситуации, перемещаются по кругу между станцией, почтой, квартирой, где живёт Женя и милицией. В милицию обратились досужий фотограф с привокзальной площади, который нашел сходство импресарио Петрова с фото преступника на информационном стенде. Дворничиха дома, где жил Женя, также обратила внимание на постороннюю девушку, пытающуюся войти в дом, и сообщила о ней в милицию. После проверки документов отпускают и импресарио, и Женю с Наташей. Молодые люди, поколесив по городу в безуспешных попытках встретиться с Петровым, прячутся от настигшего их дождя в хижине у моря, где Наташа всячески пытается дать понять Жене, что он ей нравится. Но Женю любовь пока не настигла. Близится время отплытия теплохода, и Женя отвозит девушку в порт, где она, наконец, встречается со своим сопровождающим в круизе. Прощаясь, Наташа признается юноше, что любит его и обещает вернуться к нему. Корабль отплывает, а Женя мечтательно смотрит вслед ему.</t>
        </is>
      </c>
      <c r="L6925" s="2" t="inlineStr">
        <is>
          <t>https://gosfilmofond.ru/films/232629/</t>
        </is>
      </c>
      <c r="M6925" s="2">
        <f>HYPERLINK("https://ru.wikipedia.org/w/index.php?search=%D0%92%D0%BB%D1%8E%D0%B1%D0%BB%D1%91%D0%BD%D0%BD%D1%8B%D0%B9%20%D0%BC%D0%B0%D0%BD%D0%B5%D0%BA%D0%B5%D0%BD%201991%20%D1%84%D0%B8%D0%BB%D1%8C%D0%BC","искать")</f>
        <v/>
      </c>
      <c r="N6925" s="3" t="n"/>
      <c r="O6925" s="2" t="n"/>
      <c r="P6925" s="2" t="n"/>
    </row>
    <row r="6926">
      <c r="A6926" s="2" t="n">
        <v>6925</v>
      </c>
      <c r="B6926" s="2" t="inlineStr"/>
      <c r="C6926" s="2" t="n">
        <v>9432</v>
      </c>
      <c r="D6926" s="3" t="inlineStr">
        <is>
          <t>Корабль</t>
        </is>
      </c>
      <c r="E6926" s="2" t="n">
        <v>1988</v>
      </c>
      <c r="F6926" s="2" t="inlineStr">
        <is>
          <t>кинофильм</t>
        </is>
      </c>
      <c r="G6926" s="2" t="n"/>
      <c r="H6926" s="2" t="n">
        <v>1638</v>
      </c>
      <c r="I6926" s="2" t="inlineStr"/>
      <c r="J6926" s="2" t="inlineStr"/>
      <c r="K6926" s="3" t="inlineStr">
        <is>
          <t>Группа молодых людей и девушек: Лёня, Лев, Юшка, Ромка, Мика, Нора, Лена, Ксения, известная как «золотая молодежь», находится в дачном поселке, где один из них имеет свой дом. Родители отсутствуют, и подростки остались без присмотра. У этих молодых героев есть все, о чем только можно мечтать. Они проводили время, купаясь в реке, загорая на песчаном пляже и устраивая вечерние посиделки у костра. Однако, помимо всего этого, они также уделяли особое внимание заботе о Лёне, который страдал от психического заболевания.
В солнечные дни, наслаждаясь свободой, юноши и девушки устраивают долгие и захватывающие разговоры о смысле жизни, философии и взаимоотношениях. Они подшучивают друг над другом в дружеской и веселой обстановке. В то же время, они постоянно устраивали различные розыгрыши и шутки над сверстниками не принадлежащими к их компании.
Герои настойчиво защищали свою индивидуальность и независимость. Желание контролировать свои собственные судьбы и свободно принимать решения было типичным для их возраста, и они готовы бороться за это со всей мощью и страстностью, которые только могут дать юные сердца. Однако, в поисках острых ощущений и развлечений, они стали играть с опасностью, доводя себя до крайних пределов. Один из парней решил доказать свою смелость и вызвать внимание окружающих, сделав неудачную попытку самоубийства. Его намерение было понять и принять вызов смерти и доказать себе и другим, что он способен на подобные экстремальные поступки. Однако, это был очень опасный и необдуманный шаг, который мог привести к серьезным последствиям. В это же время ведётся постройка корабля, который никуда не уплывёт.</t>
        </is>
      </c>
      <c r="L6926" s="2" t="inlineStr">
        <is>
          <t>https://ru.wikipedia.org/w/index.php?title=%D0%9A%D0%BE%D1%80%D0%B0%D0%B1%D0%BB%D1%8C_%28%D1%84%D0%B8%D0%BB%D1%8C%D0%BC%2C_1988%29&amp;oldid=154639400</t>
        </is>
      </c>
      <c r="M6926" s="2">
        <f>HYPERLINK("https://ru.wikipedia.org/w/index.php?search=%D0%9A%D0%BE%D1%80%D0%B0%D0%B1%D0%BB%D1%8C%201988%20%D1%84%D0%B8%D0%BB%D1%8C%D0%BC","искать")</f>
        <v/>
      </c>
      <c r="N6926" s="3" t="n"/>
      <c r="O6926" s="2" t="n"/>
      <c r="P6926" s="2" t="n"/>
    </row>
    <row r="6927">
      <c r="A6927" s="2" t="n">
        <v>6926</v>
      </c>
      <c r="B6927" s="2" t="inlineStr"/>
      <c r="C6927" s="2" t="n">
        <v>9587</v>
      </c>
      <c r="D6927" s="3" t="inlineStr">
        <is>
          <t>Приключения Квентина Дорварда, стрелка королевской гвардии</t>
        </is>
      </c>
      <c r="E6927" s="2" t="n">
        <v>1988</v>
      </c>
      <c r="F6927" s="2" t="inlineStr">
        <is>
          <t>кинофильм</t>
        </is>
      </c>
      <c r="G6927" s="2" t="n"/>
      <c r="H6927" s="2" t="n">
        <v>1643</v>
      </c>
      <c r="I6927" s="2" t="inlineStr"/>
      <c r="J6927" s="2" t="inlineStr"/>
      <c r="K6927" s="3" t="inlineStr">
        <is>
          <t>По мотивам романа В. Скотта «Квентин Дорвард». Франция XV века. Герцог Бургундский Карл приезжает в замок графини Изабеллы де Круа. Он хочет выдать ее замуж за графа Кампо-Боссо и таким образом присоединить к Бургундии ее земли, лежащие на границе с Францией. Графиня бежит во владения французского короля Людовика XI, надеясь найти там защиту и поддержку. Завладеть вожделенными землями стремится и Людовик XI. Поэтому он не выдает графиню приехавшему бургундскому послу графу де Кревкеру, тайно выслав Изабеллу под защиту епископа Льежского, родственника бургундского герцога, с намерением выдать потом ее замуж за своего вассала, графа Де Ла Марка, известного бандита и убийцу. Сопровождает Изабеллу в этой поездке стрелок королевской гвардии Квентин Дорвард. Поначалу Изабелла настороженно относится к Квентину, но постепенно между ними возникает симпатия. Доставив Изабеллу к епископу, Квентин собирается в обратный путь. Но, узнав, что замок епископа захватил Де Ла Марк, возвращается. По указанию Де Ла Марка епископа убивают, а сам граф собирается насильно овладеть Изабеллой. Квентин спасает графиню, они бегут из замка и скрываются в стане Кревкера. В это самое время в замке графини встречаются и договариваются о перемирии Людовик XI и герцог Бургундии. Приехавший
Кревкер сообщает герцогу об убийстве епископа, между герцогом и королем вновь вспыхивает ссора. Потом герцог соглашается наказать убийцу, и они вновь мирятся. Герцог предлагает условие: должен состояться поединок, тот, кто победит, получит руку и владения Изабеллы. В ожесточенном поединке Квентин убивает Де Ла Марка, Изабелла дает согласие на брак с Дорвардом.
***</t>
        </is>
      </c>
      <c r="L6927" s="2" t="inlineStr">
        <is>
          <t>https://gosfilmofond.ru/films/240365/</t>
        </is>
      </c>
      <c r="M6927" s="2">
        <f>HYPERLINK("https://ru.wikipedia.org/w/index.php?search=%D0%9F%D1%80%D0%B8%D0%BA%D0%BB%D1%8E%D1%87%D0%B5%D0%BD%D0%B8%D1%8F%20%D0%9A%D0%B2%D0%B5%D0%BD%D1%82%D0%B8%D0%BD%D0%B0%20%D0%94%D0%BE%D1%80%D0%B2%D0%B0%D1%80%D0%B4%D0%B0%2C%20%D1%81%D1%82%D1%80%D0%B5%D0%BB%D0%BA%D0%B0%20%D0%BA%D0%BE%D1%80%D0%BE%D0%BB%D0%B5%D0%B2%D1%81%D0%BA%D0%BE%D0%B9%20%D0%B3%D0%B2%D0%B0%D1%80%D0%B4%D0%B8%D0%B8%201988%20%D1%84%D0%B8%D0%BB%D1%8C%D0%BC","искать")</f>
        <v/>
      </c>
      <c r="N6927" s="3" t="n"/>
      <c r="O6927" s="2" t="n"/>
      <c r="P6927" s="2" t="n"/>
    </row>
    <row r="6928">
      <c r="A6928" s="2" t="n">
        <v>6927</v>
      </c>
      <c r="B6928" s="2" t="inlineStr"/>
      <c r="C6928" s="2" t="n">
        <v>9387</v>
      </c>
      <c r="D6928" s="3" t="inlineStr">
        <is>
          <t>Игла</t>
        </is>
      </c>
      <c r="E6928" s="2" t="n">
        <v>1988</v>
      </c>
      <c r="F6928" s="2" t="inlineStr">
        <is>
          <t>кинофильм</t>
        </is>
      </c>
      <c r="G6928" s="2" t="n"/>
      <c r="H6928" s="2" t="n">
        <v>1655</v>
      </c>
      <c r="I6928" s="2" t="inlineStr"/>
      <c r="J6928" s="2" t="inlineStr"/>
      <c r="K6928" s="3" t="inlineStr">
        <is>
          <t>Мо́ро (Виктор Цой) приезжает в Алма-Ату с целью вернуть деньги, которые ему должен знакомый по имени Спартак (Александр Баширов). Моро останавливается у своей старой подруги Дины (Марина Смирнова). Наблюдая за её поведением и странными знакомыми, он понимает, что она стала наркоманкой.
Моро знакомится с товарищами-неформалами Спартака и завоёвывает авторитет, разобравшись с двумя рэкетирами Эпштейном и Маратом, пришедшими рэкетнуть Спартака, но с тех пор главного героя станут преследовать.
Главный герой увозит Дину в свой дом в вымирающей деревне у пересыхающего Аральского моря. Он прячет ампулы с морфином, которые привезла тайком Дина и та, пройдя «ломку», приходит в себя. Моро и Дина отправляются к берегу моря и оказываются в бескрайней пустыне.
Трое мужчин останавливают Моро на улице и просят его отойти поговорить в сторонку, где уже ожидает целая шайка наркоманов. Они по-хорошему требуют в течение 10 минут вернуть им «стекло» (т.е. ампулы), а иначе «будем разговаривать по-другому», поскольку Моро раздкраконил их. Затем они бросаются на Моро, но он побеждает всех. Придя домой, Моро снова замечает резиновое кольцо на руке Дины – девушка снова принимает наркотики. Моро и его люди являются к хирургу Артуру: сначала тот пытается утопиться, но потом уверяет Моро, что пытается помочь Дине избавиться от наркозависимости. Окончив свою речь, Артур замечает, что Моро и его люди исчезли.
Поздним зимним вечером в безлюдном парке к Моро подходит прохожий (Ернар Абилев) и, под предлогом дать прикурить сигарету, дважды бьёт его ножом в живот. Моро с трудом поднимается, закуривает и уходит в другую сторону. Дальнейшая его судьба неизвестна.</t>
        </is>
      </c>
      <c r="L6928" s="2" t="inlineStr">
        <is>
          <t>https://ru.wikipedia.org/w/index.php?title=%D0%98%D0%B3%D0%BB%D0%B0_%28%D1%84%D0%B8%D0%BB%D1%8C%D0%BC%29&amp;oldid=155475181</t>
        </is>
      </c>
      <c r="M6928" s="2">
        <f>HYPERLINK("https://ru.wikipedia.org/w/index.php?search=%D0%98%D0%B3%D0%BB%D0%B0%201988%20%D1%84%D0%B8%D0%BB%D1%8C%D0%BC","искать")</f>
        <v/>
      </c>
      <c r="N6928" s="3" t="n"/>
      <c r="O6928" s="2" t="n"/>
      <c r="P6928" s="2" t="n"/>
    </row>
    <row r="6929">
      <c r="A6929" s="2" t="n">
        <v>6928</v>
      </c>
      <c r="B6929" s="2" t="inlineStr"/>
      <c r="C6929" s="2" t="n">
        <v>8695</v>
      </c>
      <c r="D6929" s="3" t="inlineStr">
        <is>
          <t>Действуй, Маня!</t>
        </is>
      </c>
      <c r="E6929" s="2" t="n">
        <v>1991</v>
      </c>
      <c r="F6929" s="2" t="inlineStr">
        <is>
          <t>кинофильм</t>
        </is>
      </c>
      <c r="G6929" s="2" t="n"/>
      <c r="H6929" s="2" t="n">
        <v>1657</v>
      </c>
      <c r="I6929" s="2" t="inlineStr"/>
      <c r="J6929" s="2" t="inlineStr"/>
      <c r="K6929" s="3" t="inlineStr">
        <is>
          <t>Российский город времён перестройки и создания кооперативов. Евгений Данилович, учёный-биолог, знакомится с молодым талантливым программистом в трудное для него время. Константин потерял работу, а деньги, полученные за разгрузку вагонов, отняли рэкетиры. Учёный решает привлечь программиста к работе над биологическим роботом-суперменом для борьбы с мафией и рэкетом. В процесс закрадывается невольная ошибка Кости, который, мечтая о блондинке с эротического плаката, закладывает её образ в программу. В результате из пены катализатора появляется привлекательная девушка-биоробот, которую называют Супер-Маня. Костя, как новейший Пигмалион, берётся за обучение Мани и её адаптацию. После успешного боевого крещения робота партнёры создают кооператив «Супер-Маня». Маню внедряют на городской рынок, где орудуют рэкетиры. Увидев её решимость в наведении порядка на рынке, и опасаясь, что Маня доберётся до них, бандиты выманивают её за город, чтобы уничтожить. Но девушка-биоробот легко расправляется с верзилами. Теперь задача по уничтожению робота стоит перед мафиози Аликом. Он разыскивает девушку лёгкого поведения - прообраз супер-Мани, которая должна отвлечь Константина от биоробота, чтобы бандиты могли расправиться с ними поодиночке. Маня проявляет бдительность и разрушает планы мафии. Супер-Маня и её создатели попадают в поле зрения коррумпированных чиновников на высоком государственном уровне. Люди, находящиеся у власти, ставят перед военными и академией наук задачу уничтожить робота. Лазерная атака учёных разрушает программу биоробота. Константин поцелуем оживляет Маню, и теперь влюблённые вместе готовы покинуть город, погрязший в пороках.</t>
        </is>
      </c>
      <c r="L6929" s="2" t="inlineStr">
        <is>
          <t>https://gosfilmofond.ru/films/232271/</t>
        </is>
      </c>
      <c r="M6929" s="2">
        <f>HYPERLINK("https://ru.wikipedia.org/w/index.php?search=%D0%94%D0%B5%D0%B9%D1%81%D1%82%D0%B2%D1%83%D0%B9%2C%20%D0%9C%D0%B0%D0%BD%D1%8F%21%201991%20%D1%84%D0%B8%D0%BB%D1%8C%D0%BC","искать")</f>
        <v/>
      </c>
      <c r="N6929" s="3" t="n"/>
      <c r="O6929" s="2" t="n"/>
      <c r="P6929" s="2" t="n"/>
    </row>
    <row r="6930">
      <c r="A6930" s="2" t="n">
        <v>6929</v>
      </c>
      <c r="B6930" s="2" t="inlineStr"/>
      <c r="C6930" s="2" t="n">
        <v>7942</v>
      </c>
      <c r="D6930" s="3" t="inlineStr">
        <is>
          <t>Назначение</t>
        </is>
      </c>
      <c r="E6930" s="2" t="n">
        <v>1980</v>
      </c>
      <c r="F6930" s="2" t="inlineStr">
        <is>
          <t>телефильм</t>
        </is>
      </c>
      <c r="G6930" s="2" t="n"/>
      <c r="H6930" s="2" t="n">
        <v>1663</v>
      </c>
      <c r="I6930" s="2" t="inlineStr"/>
      <c r="J6930" s="2" t="inlineStr"/>
      <c r="K6930" s="3" t="inlineStr">
        <is>
          <t>Алексей Лямин — умный, талантливый, интеллигентный и скромный человек, совершенно не умеющий управлять людьми и принимать жёсткие решения. Он скорее рядовой, чем главнокомандующий. Несмотря на это качество, его назначают на должность начальника в учреждении, где он работал раньше в коллективе людей, которыми теперь должен командовать, и в подчинении у своего «друга» Николая Куропеева, человека корыстного и преследующего исключительно личные интересы. Так, он использует Алексея для написания научных статей, которые потом публикует от своего имени. Он и порекомендовал Алексея на своё место, чтобы потом требовать от него «дружеских» услуг, как вознаграждение.
На новом месте Алексей влюбляется в свою секретаршу Нюту и неожиданно для своих родителей женится на ней. Подчинённые начинают использовать мягкий характер бывшего коллеги и нынешнего начальника, отпрашиваясь пораньше с работы или внезапно требуя отпуск. Пытаясь справиться с новой должностью, а также под влиянием прямолинейной жены, Алексей вынужден показать себя на работе с несвойственной ему стороны и подчас проявлять жёсткость. Однажды дело чуть не доходит до трагического случая: коллега Лямина, Люба, из-за измен мужа попыталась покончить с собой. После этого Лямин собирается уйти с поста руководителя, считая, что он не тот человек, который может распоряжаться чужими судьбами.
На место Лямина назначают некоего Муравеева, как две капли воды похожего на Куропеева не только внешне, но и по стилю руководства. Алексей понимает, что ему нельзя уходить, если новый начальник не будет считаться с личными особенностями подчинённых и входить в их положение. Он прогоняет Муравеева и остаётся.</t>
        </is>
      </c>
      <c r="L6930" s="2" t="inlineStr">
        <is>
          <t>https://ru.wikipedia.org/w/index.php?title=%D0%9D%D0%B0%D0%B7%D0%BD%D0%B0%D1%87%D0%B5%D0%BD%D0%B8%D0%B5_%28%D1%84%D0%B8%D0%BB%D1%8C%D0%BC%29&amp;oldid=149108216</t>
        </is>
      </c>
      <c r="M6930" s="2">
        <f>HYPERLINK("https://ru.wikipedia.org/w/index.php?search=%D0%9D%D0%B0%D0%B7%D0%BD%D0%B0%D1%87%D0%B5%D0%BD%D0%B8%D0%B5%201980%20%D1%84%D0%B8%D0%BB%D1%8C%D0%BC","искать")</f>
        <v/>
      </c>
      <c r="N6930" s="3" t="n"/>
      <c r="O6930" s="2" t="n"/>
      <c r="P6930" s="2" t="n"/>
    </row>
    <row r="6931">
      <c r="A6931" s="2" t="n">
        <v>6930</v>
      </c>
      <c r="B6931" s="2" t="inlineStr"/>
      <c r="C6931" s="2" t="n">
        <v>9029</v>
      </c>
      <c r="D6931" s="3" t="inlineStr">
        <is>
          <t>СВ. Спальный вагон</t>
        </is>
      </c>
      <c r="E6931" s="2" t="n">
        <v>1989</v>
      </c>
      <c r="F6931" s="2" t="inlineStr">
        <is>
          <t>кинофильм</t>
        </is>
      </c>
      <c r="G6931" s="2" t="n"/>
      <c r="H6931" s="2" t="n">
        <v>1666</v>
      </c>
      <c r="I6931" s="2" t="inlineStr"/>
      <c r="J6931" s="2" t="inlineStr"/>
      <c r="K6931" s="3" t="inlineStr">
        <is>
          <t>Телефонный звонок будит проводника спального вагона. Неизвестный заказчик поручает проводнику (у которого хобби — делать чучела из рептилий) препарировать четырех лягушек. Проводник отправляется в очередной рейс, прихватив с собой банку с подопытными. На этот раз его спальный вагон оказывается
почему-то полупустым, в нем едут всего четверо: двое мужчин и две женщины. Проводник запирается в своем купе, чтобы подготовиться к предстоящим опытам. Тем временем пассажиры выясняют, что они, так или иначе, уже знакомы друг с другом, причем доставили когда-то друг другу немало неприятностей. Петков, бывший когда-то дружинником, не пустил в институт Галину Степанову, опоздавшую на экзамен. Девушка стала работать в торговле, проворовалась и угодила в тюрьму, откуда сейчас и возвращается. Воробьева, познакомившись с Иваном Сидоровым и найдя у того любовные письма к какой-то девушке (Иван писал роман и письма были вымыслом), отправила их его жене. В результате семья Сидорова распалась. Сам Сидоров когда-то соблазнил жену Петкова и теперь простодушно рассказывает тому, как это
было. Разъяренный Петков лупит Сидорова. В вагоне начинается настоящая кутерьма. Неожиданно поезд останавливается. Сидоров выходит и оказывается в фантастическом райском месте. Теперь это не робкий служащий, а элегантный, задумчивый господин. Он просит Высшие силы освободить его от тех экспериментов, которые вынужден проводить над людьми. Похоже, что это именно он велел проводнику препарировать лягушек и собрал четырех «подопытных» пассажиров в одном вагоне... А в коммунальной квартире проводника снова раздается звонок телефона... Быть может, все, что произошло, было только сном?</t>
        </is>
      </c>
      <c r="L6931" s="2" t="inlineStr">
        <is>
          <t>https://gosfilmofond.ru/films/250201/</t>
        </is>
      </c>
      <c r="M6931" s="2">
        <f>HYPERLINK("https://ru.wikipedia.org/w/index.php?search=%D0%A1%D0%92.%20%D0%A1%D0%BF%D0%B0%D0%BB%D1%8C%D0%BD%D1%8B%D0%B9%20%D0%B2%D0%B0%D0%B3%D0%BE%D0%BD%201989%20%D1%84%D0%B8%D0%BB%D1%8C%D0%BC","искать")</f>
        <v/>
      </c>
      <c r="N6931" s="3" t="n"/>
      <c r="O6931" s="2" t="n"/>
      <c r="P6931" s="2" t="n"/>
    </row>
    <row r="6932">
      <c r="A6932" s="2" t="n">
        <v>6931</v>
      </c>
      <c r="B6932" s="2" t="inlineStr"/>
      <c r="C6932" s="2" t="n">
        <v>7912</v>
      </c>
      <c r="D6932" s="3" t="inlineStr">
        <is>
          <t>Мужчины не плачут</t>
        </is>
      </c>
      <c r="E6932" s="2" t="n">
        <v>1968</v>
      </c>
      <c r="F6932" s="2" t="inlineStr">
        <is>
          <t>телефильм</t>
        </is>
      </c>
      <c r="G6932" s="2" t="n"/>
      <c r="H6932" s="2" t="n">
        <v>1673</v>
      </c>
      <c r="I6932" s="2" t="inlineStr"/>
      <c r="J6932" s="2" t="inlineStr"/>
      <c r="K6932" s="3" t="inlineStr">
        <is>
          <t>Фильм основан на реальных, хоть и печальных событиях, произошедших в истории эстонской медицины
По радио звучит объявление, что для страдающих бессонницей открыт специальный новейший санаторий, и любой желающий может получить направление обратившись в поликлинику. Собирается группа мужчин, но у каждого из них есть своя, часто довольно странная причина бессонницы…
Санаторий… Санаторий — это отдых, бар, женщины, музыка! Я абсолютно здоровый человек и хочу иметь все это!
Медсёстры, видя, что мужчины на самом деле здоровее всех, решают проучить этих симулянтов — и полдюжины «страдающих бессонницей» отправляют на необитаемый остров с полуразрушенным рыбачьим домиком, который представляют как новое отделение санатория.
«Больные бессонницей» понимают, что три медсестры собираются дать им единственное полезное лекарство в котором они нуждаются — жёсткую терапию — свежий воздух и работу.
Дарвин, знаменитый ученый, который, как вы знаете, изобрел Дарвинизм, он сказал: Труд превращает обезьяну в Человека — с большой Буквы
Пациенты решают не подчиняться. Пережив первый испуг и осознав, что их возмущение таким поворотом дел ни к чему не приведёт, они начинают планировать безумные планы побега с острова.
Каждый находит для себя активную деятельность, которая должна в конечном итоге спасти себя и своих «бессонных» товарищей с острова. События разворачиваются во фантазийных ситуациях, таких как эпизод со строительством плота, попытка певца убраться с острова вплавь, ипохондрик решается соблазнить медсестру, что выливается в романтические чувства обоих, и она раскрывает ему тайну — это не остров, а полуостров, и настоящий санаторий всего в нескольких километрах.</t>
        </is>
      </c>
      <c r="L6932" s="2" t="inlineStr">
        <is>
          <t>https://ru.wikipedia.org/w/index.php?title=%D0%9C%D1%83%D0%B6%D1%87%D0%B8%D0%BD%D1%8B_%D0%BD%D0%B5_%D0%BF%D0%BB%D0%B0%D1%87%D1%83%D1%82_%28%D1%84%D0%B8%D0%BB%D1%8C%D0%BC%2C_1968%29&amp;oldid=154700063</t>
        </is>
      </c>
      <c r="M6932" s="2">
        <f>HYPERLINK("https://ru.wikipedia.org/w/index.php?search=%D0%9C%D1%83%D0%B6%D1%87%D0%B8%D0%BD%D1%8B%20%D0%BD%D0%B5%20%D0%BF%D0%BB%D0%B0%D1%87%D1%83%D1%82%201968%20%D1%84%D0%B8%D0%BB%D1%8C%D0%BC","искать")</f>
        <v/>
      </c>
      <c r="N6932" s="3" t="n"/>
      <c r="O6932" s="2" t="n"/>
      <c r="P6932" s="2" t="n"/>
    </row>
    <row r="6933">
      <c r="A6933" s="2" t="n">
        <v>6932</v>
      </c>
      <c r="B6933" s="2" t="inlineStr"/>
      <c r="C6933" s="2" t="n">
        <v>9796</v>
      </c>
      <c r="D6933" s="3" t="inlineStr">
        <is>
          <t>Корона Российской Империи, или Снова Неуловимые (1970-1971)</t>
        </is>
      </c>
      <c r="E6933" s="2" t="n">
        <v>1970</v>
      </c>
      <c r="F6933" s="2" t="inlineStr">
        <is>
          <t>кинофильм</t>
        </is>
      </c>
      <c r="G6933" s="2" t="inlineStr">
        <is>
          <t>Мосфильм</t>
        </is>
      </c>
      <c r="H6933" s="2" t="n">
        <v>1673</v>
      </c>
      <c r="I6933" s="2" t="inlineStr"/>
      <c r="J6933" s="2" t="inlineStr"/>
      <c r="K6933" s="3" t="inlineStr">
        <is>
          <t>1 серия: Корона Российской империи. Отполыхала Гражданская война. Четверка неуловимых мстителей - Данька, Валерка, Ксанка и Яшка-цыган - сменила красногвардейские шинели на тужурки чекистов. Недобитый враг, уйдя за кордон, вынашивает планы реставрации в России монархии, имеются даже два претендента на престол. Но для коронации необходима императорская корона, а ее предварительно нужно выкрасть из советского музея. Врангелевец Овечкин и белый полковник Кудасов, пробравшись в Россию, привлекают к делу бывшего специалиста по дворцовым кражам Нарышкина. Тот случайно попадает в милицию, и к нему в камеру подсаживают Яшку, который помогает ему бежать. Нарышкин берет Яшку "на дело", но когда они проникают ночью в музей, витрина оказывается пустой.
2 серия: Снова неуловимые. Корону украл Овечкин, он спешно выезжает в Одессу. В погоню за ним устремляется Ксанка, но матерый преступник скрывается в одесских катакомбах. Нарышкин, доставленный чекистами в Одессу, заявляет, что Овечкин будет ждать прихода иностранного корабля. Чтобы выяснить название корабля, в Париж, в самое логово эмигрантов, отправляются Данька и Валерка. Они узнают, что в Россию пойдет корабль "Глория" и проникают на судно. В Одессе Овечкин проносит корону в саквояже на прибывший корабль, однако четверка неуловимых вместе с Нарышкиным настигает врага в каюте. Поняв, что его дело проиграно, Овечкин выбрасывает саквояж в иллюминатор. Все потрясены. И тут в дело вступает Нарышкин: он извлекает корону из-под стола - оказывается, он сумел обмануть Овечкина и осуществить мечту своей жизни - выкрасть большую императорскую корону. Теперь она снова вернется в музей и будет принадлежать Республике.</t>
        </is>
      </c>
      <c r="L6933" s="2" t="inlineStr">
        <is>
          <t>https://gosfilmofond.ru/films/146820/</t>
        </is>
      </c>
      <c r="M6933" s="2">
        <f>HYPERLINK("https://ru.wikipedia.org/w/index.php?search=%D0%9A%D0%BE%D1%80%D0%BE%D0%BD%D0%B0%20%D0%A0%D0%BE%D1%81%D1%81%D0%B8%D0%B9%D1%81%D0%BA%D0%BE%D0%B9%20%D0%98%D0%BC%D0%BF%D0%B5%D1%80%D0%B8%D0%B8%2C%20%D0%B8%D0%BB%D0%B8%20%D0%A1%D0%BD%D0%BE%D0%B2%D0%B0%20%D0%9D%D0%B5%D1%83%D0%BB%D0%BE%D0%B2%D0%B8%D0%BC%D1%8B%D0%B5%20%281970-1971%29%201970%20%D1%84%D0%B8%D0%BB%D1%8C%D0%BC","искать")</f>
        <v/>
      </c>
      <c r="N6933" s="3" t="n"/>
      <c r="O6933" s="2" t="n"/>
      <c r="P6933" s="2" t="n"/>
    </row>
    <row r="6934">
      <c r="A6934" s="2" t="n">
        <v>6933</v>
      </c>
      <c r="B6934" s="2" t="inlineStr"/>
      <c r="C6934" s="2" t="n">
        <v>9837</v>
      </c>
      <c r="D6934" s="3" t="inlineStr">
        <is>
          <t>Шуточка</t>
        </is>
      </c>
      <c r="E6934" s="2" t="n">
        <v>1966</v>
      </c>
      <c r="F6934" s="2" t="inlineStr">
        <is>
          <t>телефильм</t>
        </is>
      </c>
      <c r="G6934" s="2" t="inlineStr">
        <is>
          <t>Мосфильм</t>
        </is>
      </c>
      <c r="H6934" s="2" t="n">
        <v>1676</v>
      </c>
      <c r="I6934" s="2" t="inlineStr"/>
      <c r="J6934" s="2" t="inlineStr"/>
      <c r="K6934" s="3" t="inlineStr">
        <is>
          <t>Закадровое повествование в фильме ведётся от лица пожилого человека, который вспоминает свою молодость. Он вспоминает, как, будучи молодым, пошёл кататься зимой на санках и позвал с собой свою девушку Надю. Та сначала колебалась, но потом согласилась. Во время катания, когда в ушах девушки, чрезвычайно напуганной, свистит ветер, повествователь решает пошутить и шепчет ей на ухо: «Я люблю Вас, Наденька!». У подножия горки, после спуска, парень изображает полное равнодушие. В результате этого Наденька начинает сомневаться в том, что ей признались в любви, и решает прокатиться ещё раз. Шутка повторяется. Возлюбленные начинают кататься каждый день, и повествователь продолжает повторять свою «шуточку», а Наденька всё сомневается, что это — настоящее признание или завывание ветра? Она пытается понять это, но из-за напуганности во время спуска не может сконцентрироваться. Однажды Наденька сама приходит к горке, садится на санки и пытается разгадать свою загадку. Это наблюдает с эстрады повествователь, пришедший раньше её.
Наступает весна. Горка тает, а Наденька всё пытается разгадать ту зимнюю тайну. Повествователь уезжает в Санкт-Петербург. Об этом он сообщает ей в письме. Перед отъездом, подкравшись к дому Наденьки, повествователь, дождавшись порыва ветра и спрятавшись так, чтобы его не было видно, снова говорит: «Я люблю Вас, Наденька!». Та разочаровывается в своих надеждах.
Прошло много лет. Наденька вышла замуж за секретаря дворянской опеки, у неё подрастает трое детей. Для неё юность, проведённая с повествователем — самое трогательное и прекрасное воспоминание в жизни. А сам повествователь, уже постаревший, теперь сам не понимает, зачем тогда шутил.</t>
        </is>
      </c>
      <c r="L6934" s="2" t="inlineStr">
        <is>
          <t>https://ru.wikipedia.org/w/index.php?title=%D0%A8%D1%83%D1%82%D0%BE%D1%87%D0%BA%D0%B0_%28%D1%84%D0%B8%D0%BB%D1%8C%D0%BC%29&amp;oldid=154233566</t>
        </is>
      </c>
      <c r="M6934" s="2">
        <f>HYPERLINK("https://ru.wikipedia.org/w/index.php?search=%D0%A8%D1%83%D1%82%D0%BE%D1%87%D0%BA%D0%B0%201966%20%D1%84%D0%B8%D0%BB%D1%8C%D0%BC","искать")</f>
        <v/>
      </c>
      <c r="N6934" s="3" t="n"/>
      <c r="O6934" s="2" t="n"/>
      <c r="P6934" s="2" t="n"/>
    </row>
    <row r="6935">
      <c r="A6935" s="2" t="n">
        <v>6934</v>
      </c>
      <c r="B6935" s="2" t="inlineStr"/>
      <c r="C6935" s="2" t="n">
        <v>7517</v>
      </c>
      <c r="D6935" s="3" t="inlineStr">
        <is>
          <t>Дневной поезд</t>
        </is>
      </c>
      <c r="E6935" s="2" t="n">
        <v>1976</v>
      </c>
      <c r="F6935" s="2" t="inlineStr">
        <is>
          <t>телефильм</t>
        </is>
      </c>
      <c r="G6935" s="2" t="n"/>
      <c r="H6935" s="2" t="n">
        <v>1677</v>
      </c>
      <c r="I6935" s="2" t="inlineStr"/>
      <c r="J6935" s="2" t="inlineStr"/>
      <c r="K6935" s="3" t="inlineStr">
        <is>
          <t>Две старые подруги Люба и Лиза, в прошлом — театральные актрисы, давно живущие в разных городах (в Ленинграде и Москве), пытаются устроить личную жизнь своих уже взрослых детей.
Игорь (Валентин Гафт), сорокадвухлетний холостяк, приезжает в Ленинград на выходные и останавливается у Елизаветы Михайловны Карцевой (Римма Быкова). Её дочери патентоведу Вере (Маргарита Терехова) предстоит в эту слякотную, почти зимнюю погоду «выгуливать» столичного гостя и показывать достопримечательности Ленинграда.
Взрослые люди, вполне разгадавшие «заговор» матерей, почти не пытаются произвести впечатление друг на друга, но эти два-три дня так или иначе будут вынуждены провести вместе. В пятницу вечером Вере приходится взять с собой Игоря на свадьбу своей подруги Полины (Алла Мещерякова); в субботу Игорь, не сумев выстоять многочасовую очередь в Эрмитаж, набирается смелости нанести в сопровождении Веры визит старинным своим друзьям (Алла Покровская и Виктор Борцов), которые даже своего первенца назвали Игорем. По возвращении из гостей Вера упрекает Игоря в зависти к старому приятелю. В ответ Игорь парирует, что ей не о чем беспокоиться и, если он ей не нравится, то он скоро уедет. Между ними возникает отчуждение.
Игорю, которому Вера откровенно симпатична, «по старой привычке хочется нравиться». Но он сам чувствует, что, вероятно, действовал по привычному шаблону и несколько перестарался. Он сворачивает своё пребывание в Ленинграде, меняет купленный ранее билет на «Красную стрелу» и уезжает в воскресенье дневным поездом. А Вера вдруг столь же неожиданно ощущает, что внезапно появившееся желание проводить Игоря на вокзал — возможно, нечто большее, чем просто вежливость.</t>
        </is>
      </c>
      <c r="L6935" s="2" t="inlineStr">
        <is>
          <t>https://ru.wikipedia.org/w/index.php?title=%D0%94%D0%BD%D0%B5%D0%B2%D0%BD%D0%BE%D0%B9_%D0%BF%D0%BE%D0%B5%D0%B7%D0%B4&amp;oldid=149320498</t>
        </is>
      </c>
      <c r="M6935" s="2">
        <f>HYPERLINK("https://ru.wikipedia.org/w/index.php?search=%D0%94%D0%BD%D0%B5%D0%B2%D0%BD%D0%BE%D0%B9%20%D0%BF%D0%BE%D0%B5%D0%B7%D0%B4%201976%20%D1%84%D0%B8%D0%BB%D1%8C%D0%BC","искать")</f>
        <v/>
      </c>
      <c r="N6935" s="3" t="n"/>
      <c r="O6935" s="2" t="n"/>
      <c r="P6935" s="2" t="n"/>
    </row>
    <row r="6936">
      <c r="A6936" s="2" t="n">
        <v>6935</v>
      </c>
      <c r="B6936" s="2" t="inlineStr"/>
      <c r="C6936" s="2" t="n">
        <v>7935</v>
      </c>
      <c r="D6936" s="3" t="inlineStr">
        <is>
          <t>На привязи у взлетной полосы</t>
        </is>
      </c>
      <c r="E6936" s="2" t="n">
        <v>1989</v>
      </c>
      <c r="F6936" s="2" t="inlineStr">
        <is>
          <t>телефильм</t>
        </is>
      </c>
      <c r="G6936" s="2" t="n"/>
      <c r="H6936" s="2" t="n">
        <v>1683</v>
      </c>
      <c r="I6936" s="2" t="inlineStr"/>
      <c r="J6936" s="2" t="inlineStr"/>
      <c r="K6936" s="3" t="inlineStr">
        <is>
          <t>Фильм основан на реальных событиях, произошедших в 1974 году во Внуковском аэропорту. Спецкор КП Юрий Рост в 1976 опубликовал в «Комсомольской правде» фото верной овчарки Пальмы и её историю в заметке «Два года ждет».
Не успев оформить ветеринарную справку, хозяин оставляет собаку у трапа улетающего самолёта. Брошенная собака остаётся верной своему хозяину. Теперь она с надеждой встречает каждый самолёт.
Во время очередного прилёта ТУ-134 собака прибегает встречать своего хозяина. Её, по иронии судьбы, встречает стюардесса, когда-то не разрешившая взять животное на борт без справки. Стюардесса чувствует за собой вину и пытается помочь собаке, которую она называла Найда.
Юрий Рост:
«На самом деле, это была довольно любопытная история. Я хочу рассказать о человеке, который вывел меня на эту собаку. Это был такой замечательный лётчик, Валентей, который был в лагерях в концентрационных немецких, потом он бежал оттуда, потом он стал лётчиком. И он летал на самолёте ИЛ-18. И он увидел эту собаку. И я написал: эта собака два года приходила на аэродром и ждала своего хозяина, который улетел и её бросил. Потом написал и хозяин. Заметку я написал, написал тихенько себе, и всё. Потом пошли письма. Пошли переводы денежные на содержание этой собаки. Сняли фильм про эту собаку. В общем, была целая собачья история. Её взяла к себе, приучила, приезжала из Киева такая Вера Котляревская. И собака эта жила очень долго у неё, причем очень сложно, потому что собака была своенравная, и она успокоилась только после того, как ощенилась, и у неё появился свой дом и своя семья в этом доме, у Котляревской. Ну, в общем, можно считать, что она почти со счастливым концом, эта история»</t>
        </is>
      </c>
      <c r="L6936" s="2" t="inlineStr">
        <is>
          <t>https://ru.wikipedia.org/w/index.php?title=%D0%9D%D0%B0_%D0%BF%D1%80%D0%B8%D0%B2%D1%8F%D0%B7%D0%B8_%D1%83_%D0%B2%D0%B7%D0%BB%D1%91%D1%82%D0%BD%D0%BE%D0%B9_%D0%BF%D0%BE%D0%BB%D0%BE%D1%81%D1%8B&amp;oldid=154700225</t>
        </is>
      </c>
      <c r="M6936" s="2">
        <f>HYPERLINK("https://ru.wikipedia.org/w/index.php?search=%D0%9D%D0%B0%20%D0%BF%D1%80%D0%B8%D0%B2%D1%8F%D0%B7%D0%B8%20%D1%83%20%D0%B2%D0%B7%D0%BB%D0%B5%D1%82%D0%BD%D0%BE%D0%B9%20%D0%BF%D0%BE%D0%BB%D0%BE%D1%81%D1%8B%201989%20%D1%84%D0%B8%D0%BB%D1%8C%D0%BC","искать")</f>
        <v/>
      </c>
      <c r="N6936" s="3" t="n"/>
      <c r="O6936" s="2" t="n"/>
      <c r="P6936" s="2" t="n"/>
    </row>
    <row r="6937">
      <c r="A6937" s="2" t="n">
        <v>6936</v>
      </c>
      <c r="B6937" s="2" t="inlineStr"/>
      <c r="C6937" s="2" t="n">
        <v>8076</v>
      </c>
      <c r="D6937" s="3" t="inlineStr">
        <is>
          <t>Пакет</t>
        </is>
      </c>
      <c r="E6937" s="2" t="n">
        <v>1965</v>
      </c>
      <c r="F6937" s="2" t="inlineStr">
        <is>
          <t>телефильм</t>
        </is>
      </c>
      <c r="G6937" s="2" t="n"/>
      <c r="H6937" s="2" t="n">
        <v>1689</v>
      </c>
      <c r="I6937" s="2" t="inlineStr"/>
      <c r="J6937" s="2" t="inlineStr"/>
      <c r="K6937" s="3" t="inlineStr">
        <is>
          <t>Действие происходит в годы Гражданской войны. Герой фильма, 19-летний Петя Трофимов, служит в особом отряде комиссара Заварухина. Обстановка вокруг сложная: слева напирает генерал Шкуро, справа — генерал Мамонтов.
В один из дней Заварухин вызывает Петю к себе и передаёт пакет, который необходимо доставить лично командарму Будённому. Пытаясь преодолеть реку, Трофимов теряет и коня, и пакет, а позже попадает в белогвардейский плен. В штабе он просит разрешения снять сапоги и обнаруживает, что пакет находится под голенищем. Помня, что в письме — секретные данные, Петя решает его съесть. Часовой Зыков, наблюдая за Петиными действиями, не произносит ни слова.
Во время допроса Петя, не успевший дожевать пакет, отмалчивается. Белогвардейцы, решив, что он сам себе откусил язык, отправляют пленного в амбулаторию к сельскому доктору. После недолгого медицинского обследования Петя в сопровождении Зыкова движется обратно. При этом Зыков выбирает странный путь: они выходят за пределы села. Когда белогвардейский штаб остаётся далеко позади, Зыков вынимает из кармана золотые погоны и пришпиливает их Пете — для маскировки. Позже, во время отдыха на сеновале, Зыков рассказывает, что служил у белых не по своей воле — его мобилизовали.
Эти погоны играют свою роль в тот момент, когда Петя и Зыков натыкаются на отряд красногвардейцев. В то, что они — «свои», никто не верит. Зыкова ранят. Петю решают расстрелять. Перед смертью он опять снимает сапоги. Из-под портянки выпадает кусок бумаги. Взглянув на обрывок письма, комиссар Белопольский узнаёт почерк Заварухина и отменяет приговор.
Петю и раненого Зыкова укладывают на тачанку, и они в сопровождении красноармейцев едут к Будённому.</t>
        </is>
      </c>
      <c r="L6937" s="2" t="inlineStr">
        <is>
          <t>https://ru.wikipedia.org/w/index.php?title=%D0%9F%D0%B0%D0%BA%D0%B5%D1%82_%28%D1%84%D0%B8%D0%BB%D1%8C%D0%BC%29&amp;oldid=149104392</t>
        </is>
      </c>
      <c r="M6937" s="2">
        <f>HYPERLINK("https://ru.wikipedia.org/w/index.php?search=%D0%9F%D0%B0%D0%BA%D0%B5%D1%82%201965%20%D1%84%D0%B8%D0%BB%D1%8C%D0%BC","искать")</f>
        <v/>
      </c>
      <c r="N6937" s="3" t="n"/>
      <c r="O6937" s="2" t="n"/>
      <c r="P6937" s="2" t="n"/>
    </row>
    <row r="6938">
      <c r="A6938" s="2" t="n">
        <v>6937</v>
      </c>
      <c r="B6938" s="2" t="inlineStr"/>
      <c r="C6938" s="2" t="n">
        <v>9572</v>
      </c>
      <c r="D6938" s="3" t="inlineStr">
        <is>
          <t>Посетитель музея</t>
        </is>
      </c>
      <c r="E6938" s="2" t="n">
        <v>1989</v>
      </c>
      <c r="F6938" s="2" t="inlineStr">
        <is>
          <t>кинофильм</t>
        </is>
      </c>
      <c r="G6938" s="2" t="n"/>
      <c r="H6938" s="2" t="n">
        <v>1692</v>
      </c>
      <c r="I6938" s="2" t="inlineStr"/>
      <c r="J6938" s="2" t="inlineStr"/>
      <c r="K6938" s="3" t="inlineStr">
        <is>
          <t>Действие происходит в постапокалиптическом мире после глобальной экологической катастрофы. Остатки человечества доживают свой век, безразличные к судьбе планеты, и никак не пытаются остановить катастрофу. Среди людей выделилась каста мутантов — «дебилов», уродливых и глупых, но невинных, как дети.
Главный герой приезжает к морю, которое периодически то разливается, то высыхает. Он хочет посмотреть на древний затонувший город, который окажется на поверхности, когда море снова расступится. Ожидая этого момента, он общается с местными жителями. Он обнаруживает, что «обычные» люди — управляющие гостиницы утратили остатки духовности и глушат духовный голод развлечениями. Они отговаривают его ходить к заброшенному городу, подбивают остаться с ними, слушать музыку, смотреть телевидение, пировать, танцевать. Домохозяйка соблазняет его, и они занимаются сексом.
В то же время «дебилы» сохранили религию и подобие духовности. Одна из «дебилов», служанка хозяев гостиницы, верит, что Посетитель — спаситель, посланный Богом, и умоляет его не уезжать, не отказываться от своего похода. Герой по её приглашению посещает ночное богослужение «дебилов», на котором толпа молит Бога забрать их из постапокалиптического мира в рай. Это приводит его к духовному озарению. Обычные люди начинают побаиваться его, считая замаскированным мутантом. Когда море наконец расступается, он приходит в затонувший город, чтобы, рыдая, замолить перед Богом грехи человечества.
В финале домохозяйка, доселе с презрением относившаяся к религии и мутантам, под влиянием Посетителя тоже испытывает озарение. Посетитель же окончательно впадает в религиозное исступление и может лишь метаться и кричать, взывая к Богу.</t>
        </is>
      </c>
      <c r="L6938" s="2" t="inlineStr">
        <is>
          <t>https://ru.wikipedia.org/w/index.php?title=%D0%9F%D0%BE%D1%81%D0%B5%D1%82%D0%B8%D1%82%D0%B5%D0%BB%D1%8C_%D0%BC%D1%83%D0%B7%D0%B5%D1%8F&amp;oldid=153864833</t>
        </is>
      </c>
      <c r="M6938" s="2">
        <f>HYPERLINK("https://ru.wikipedia.org/w/index.php?search=%D0%9F%D0%BE%D1%81%D0%B5%D1%82%D0%B8%D1%82%D0%B5%D0%BB%D1%8C%20%D0%BC%D1%83%D0%B7%D0%B5%D1%8F%201989%20%D1%84%D0%B8%D0%BB%D1%8C%D0%BC","искать")</f>
        <v/>
      </c>
      <c r="N6938" s="3" t="n"/>
      <c r="O6938" s="2" t="n"/>
      <c r="P6938" s="2" t="n"/>
    </row>
    <row r="6939">
      <c r="A6939" s="2" t="n">
        <v>6938</v>
      </c>
      <c r="B6939" s="2" t="inlineStr"/>
      <c r="C6939" s="2" t="n">
        <v>7668</v>
      </c>
      <c r="D6939" s="3" t="inlineStr">
        <is>
          <t>Иван</t>
        </is>
      </c>
      <c r="E6939" s="2" t="n">
        <v>1982</v>
      </c>
      <c r="F6939" s="2" t="inlineStr">
        <is>
          <t>телефильм</t>
        </is>
      </c>
      <c r="G6939" s="2" t="n"/>
      <c r="H6939" s="2" t="n">
        <v>1695</v>
      </c>
      <c r="I6939" s="2" t="inlineStr"/>
      <c r="J6939" s="2" t="inlineStr"/>
      <c r="K6939" s="3" t="inlineStr">
        <is>
          <t>Ивана Ивановича Климовича в деревне по отчеству никто не называет — просто Иван — всю жизнь проработав в колхозе плотником, он для всех обычный простой добрый дед, который везде и всем помогает, и ни в чем не отказывает, а иногда и проявляет в подпитии свои чувства к бывшему полицаю-односельчанину, в результате чего получает «нагоняй» от своей жены-ворчуньи Марьи.
Как-то приходит загадочная повестка из военкомата, и жена, думая, что это из-за оформления пенсии, собирает мужа Ивана в город.
Во время Великой Отечественной войны Иван был на фронте, но после тяжёлого ранения и излечения в госпитале признан негодным и комиссован, вернулся в родной колхоз. И только теперь, спустя тридцать лет, выяснилось, что тогда награждён он был орденом Красного Знамени…
Спустя много лет в канун праздника Дня Победы вспомнили о его давних подвигах и вызвали в военкомат — награда нашла своего героя. Ивану Ивановичу торжественно вручает орден первый секретарь райкома, он выступает с рассказами о войне, пионеры ему дарят модель парусника, о нём пишут в газете.
Когда же он возвращается в деревню, ему не верят, что там он получал свою награду, ни жена, ни односельчане, ни даже участковый… Доходит все до насмешек и шуток и нагоняя от жены за то, что пропадал долго в райцентре. Иван Иванович не обижается, и не собирается что-то доказывать. И лишь некоторое время спустя Марья случайно находит в серванте орденскую книжку.
Лично мне видится герой — прежде всего совестливый, потому что совесть — самая большая преграда мещанству, демагогии, изворотливости. Мой Иван — человек предельно искренний, чистый. Это кряжистый мужик, хороший плотник, который ни от какой работы не откажется. Человек скромный.</t>
        </is>
      </c>
      <c r="L6939" s="2" t="inlineStr">
        <is>
          <t>https://ru.wikipedia.org/w/index.php?title=%D0%98%D0%B2%D0%B0%D0%BD_%28%D1%84%D0%B8%D0%BB%D1%8C%D0%BC%2C_1982%29&amp;oldid=154696274</t>
        </is>
      </c>
      <c r="M6939" s="2">
        <f>HYPERLINK("https://ru.wikipedia.org/w/index.php?search=%D0%98%D0%B2%D0%B0%D0%BD%201982%20%D1%84%D0%B8%D0%BB%D1%8C%D0%BC","искать")</f>
        <v/>
      </c>
      <c r="N6939" s="3" t="n"/>
      <c r="O6939" s="2" t="n"/>
      <c r="P6939" s="2" t="n"/>
    </row>
    <row r="6940">
      <c r="A6940" s="2" t="n">
        <v>6939</v>
      </c>
      <c r="B6940" s="2" t="inlineStr"/>
      <c r="C6940" s="2" t="n">
        <v>8791</v>
      </c>
      <c r="D6940" s="3" t="inlineStr">
        <is>
          <t>Ласточки и воробьи</t>
        </is>
      </c>
      <c r="E6940" s="2" t="n">
        <v>1991</v>
      </c>
      <c r="F6940" s="2" t="inlineStr">
        <is>
          <t>кинофильм</t>
        </is>
      </c>
      <c r="G6940" s="2" t="n"/>
      <c r="H6940" s="2" t="n">
        <v>1701</v>
      </c>
      <c r="I6940" s="2" t="inlineStr"/>
      <c r="J6940" s="2" t="inlineStr"/>
      <c r="K6940" s="3" t="inlineStr">
        <is>
          <t>Конец 80-х годов 20 века. В приморском грузинском городе готовятся к приезду курортников. Мужчины собрались на заседание в старом полуразрушенном особняке чтобы обсудить, как им принимать отдыхающих. На территории дома отдыха выставляются плакаты с традиционными советскими лозунгами, составляется план лекций о преимуществах социализма и экскурсий для отдыхающих. Местные мужчины, собравшись за столом в ожидании гостей, пьют за красивейшую родину. Прибывает большая группа отдыхающих, которых тут же просят присоединиться к трем слушателям уже идущей лекции. Начинается отдых с переполненным пляжем; с грузинами, которые берут под своё «покровительство» молодых одиноких женщин, обещая жениться; с экскурсиями на чайную плантацию и нефтеперерабатывающий завод невдалеке от неё. Лектор «отстёгивает» деньги за лекцию администрации. Семейные отдыхающие тайком от жен забегают в местный буфет выпить водки. Какой-то подвыпивший чудак протестует против всех и призывает бессовестных людей стрелять в него, что кто-то незамедлительно делает из рогатки. В конце дня повар дома отдыха нагружает сумку родственника горой «сэкономленных» продуктов. Отдыхающие ночью воруют фрукты в садах. Привычная всем отпускная пора. На вечере для отдыхающих представитель дома отдыха говорит гостям, что и в следующем году их будут ждать, как воробьи ждут ласточек. Осень. Хмурое утро. Большие волны бьются о берег. Сильно захламлённый пляж… На пороге 90-ый год. Бой кремлёвских курантов. Администрация дома отдыха ждёт звонка сверху. После него плакат «Слава КПСС» меняют на «Слава труду», а затем заменяют его на лозунг на грузинском языке. Местные мужчины, в ожидании отдыхающих, все так же пьют за красивейшую родину.</t>
        </is>
      </c>
      <c r="L6940" s="2" t="inlineStr">
        <is>
          <t>https://gosfilmofond.ru/films/274219/</t>
        </is>
      </c>
      <c r="M6940" s="2">
        <f>HYPERLINK("https://ru.wikipedia.org/w/index.php?search=%D0%9B%D0%B0%D1%81%D1%82%D0%BE%D1%87%D0%BA%D0%B8%20%D0%B8%20%D0%B2%D0%BE%D1%80%D0%BE%D0%B1%D1%8C%D0%B8%201991%20%D1%84%D0%B8%D0%BB%D1%8C%D0%BC","искать")</f>
        <v/>
      </c>
      <c r="N6940" s="3" t="n"/>
      <c r="O6940" s="2" t="n"/>
      <c r="P6940" s="2" t="n"/>
    </row>
    <row r="6941">
      <c r="A6941" s="2" t="n">
        <v>6940</v>
      </c>
      <c r="B6941" s="2" t="inlineStr"/>
      <c r="C6941" s="2" t="n">
        <v>9576</v>
      </c>
      <c r="D6941" s="3" t="inlineStr">
        <is>
          <t>Последняя ночь Шахерезады</t>
        </is>
      </c>
      <c r="E6941" s="2" t="n">
        <v>1987</v>
      </c>
      <c r="F6941" s="2" t="inlineStr">
        <is>
          <t>кинофильм</t>
        </is>
      </c>
      <c r="G6941" s="2" t="n"/>
      <c r="H6941" s="2" t="n">
        <v>1702</v>
      </c>
      <c r="I6941" s="2" t="inlineStr"/>
      <c r="J6941" s="2" t="inlineStr"/>
      <c r="K6941" s="3" t="inlineStr">
        <is>
          <t>Калиф Шахрияр, насладившийся танцами своих наложниц, просит Шахерезаду рассказать ему историю о Маруфе-башмачнике.
Когда наступило утро, и исчез тёмный покров ночи и тайны, Маруф вдруг увидел, как рассеялась в пустыне пыль, и его караван, как ни в чём не бывало, продолжал свой путь. На утро третьего дня караван вошёл в город нашего Всемилостивейшего Калифа. Встретившись с калифом, Маруф доложил ему о сообщении от гонца о нападении двух тысяч всадников-кочевников на караван. Как только Маруф появился во главе своих пятисот воинов, кочевники разбежались во все стороны, и теперь их можно было переловить в пустыне по одному. Калиф сдерживает обещание отдать Маруфу в жёны свою дочь Эсмэгюль, но при условии, что у него не появится причины для внезапного исчезновения из дворца.
Эсмэгюль напевает песню о своём избраннике-садовнике, который ворвётся в её персиковый сад, а в это время первый визирь калифа Джаффар пытается уверить своего повелителя, что Маруф — фокусник и плут, и он выведет башмачника на чистую воду. Калифу же требуется купец, который пополнит казну.
Джаффар встречается с купцом Али. Али под пытками рассказывает визирю, что Маруф — башмачник из Мисра, его выгнала злая жена, ему помогает джинн.
Маруфу не терпится справить свадьбу с Эсмэгюль, он приходит к калифу, и тут во дворец прибегает жена Маруфа, требуя вернуть своего мужа и судить его за то, что он избивал, унижал и выгнал её из дома, и что теперь она испытывает постоянные унижения. Маруф вызывает джинна, загадывает желание заткнуть жене рот, тот исполняет, все поняли, что Маруф — колдун. Но теперь Маруф просит джинна, чтобы и ему, и ей было хорошо. Джинн переносит её в райский уголок, сделав её Царицей джунглей.</t>
        </is>
      </c>
      <c r="L6941" s="2" t="inlineStr">
        <is>
          <t>https://ru.wikipedia.org/w/index.php?title=%D0%9F%D0%BE%D1%81%D0%BB%D0%B5%D0%B4%D0%BD%D1%8F%D1%8F_%D0%BD%D0%BE%D1%87%D1%8C_%D0%A8%D0%B0%D1%85%D0%B5%D1%80%D0%B5%D0%B7%D0%B0%D0%B4%D1%8B&amp;oldid=154005922</t>
        </is>
      </c>
      <c r="M6941" s="2">
        <f>HYPERLINK("https://ru.wikipedia.org/w/index.php?search=%D0%9F%D0%BE%D1%81%D0%BB%D0%B5%D0%B4%D0%BD%D1%8F%D1%8F%20%D0%BD%D0%BE%D1%87%D1%8C%20%D0%A8%D0%B0%D1%85%D0%B5%D1%80%D0%B5%D0%B7%D0%B0%D0%B4%D1%8B%201987%20%D1%84%D0%B8%D0%BB%D1%8C%D0%BC","искать")</f>
        <v/>
      </c>
      <c r="N6941" s="3" t="n"/>
      <c r="O6941" s="2" t="n"/>
      <c r="P6941" s="2" t="n"/>
    </row>
    <row r="6942">
      <c r="A6942" s="2" t="n">
        <v>6941</v>
      </c>
      <c r="B6942" s="2" t="inlineStr"/>
      <c r="C6942" s="2" t="n">
        <v>10365</v>
      </c>
      <c r="D6942" s="3" t="inlineStr">
        <is>
          <t>Обыкновенная история</t>
        </is>
      </c>
      <c r="E6942" s="2" t="n">
        <v>1970</v>
      </c>
      <c r="F6942" s="2" t="inlineStr">
        <is>
          <t>фильм-спектакль</t>
        </is>
      </c>
      <c r="G6942" s="2" t="inlineStr">
        <is>
          <t>ТО «Экран»</t>
        </is>
      </c>
      <c r="H6942" s="2" t="n">
        <v>1705</v>
      </c>
      <c r="I6942" s="2" t="inlineStr"/>
      <c r="J6942" s="2" t="inlineStr"/>
      <c r="K6942" s="3" t="inlineStr">
        <is>
          <t>Фильм-спектакль в постановке Московского театра "Современник".
Мудрая, остроумная, глубоко трогательная, очень человечная и прекрасно сыгранная картина. Александр Адуев (Табаков), молодой человек из провинции, приезжает в Петербург к своему дяде, Петру Ивановичу Адуеву (может быть, лучшая роль Козакова), полный радужных надежд на служение отечеству. Он готов перевернуть весь мир. Дядя сразу же начинает ставить юношу на землю, убеждая не говорить "диким языком", заниматься делом. Козаков потрясающе сыграл умного, кажущегося циничным, но доброжелательного человека, сделавшего очень много для своего племянника. Не его вина, что уроки юный племянник воспринял не так, как хотелось дядюшке. Испытав несчастье юной любви (был оставлен ради графа), разочаровавшись в дружбе с Поспеловым, потерпев крах на литературном поприще, Александр не смог, поумнев, сохранить в себе доброту к людям, не приобрел умения видеть и ценить в них то хорошее, что в них есть, а не только глупость, пошлость. Он не умел прощать и быть снисходительным. Возможно, с самого начала он умел любить только себя, и разочарование в людях, цинизм, черствость на грани бездушия и жестокости, скука были вызваны душевной неполноценностью, эгоизмом, обыкновенной заурядностью. Мудрым нельзя стать по чужим советам. Трагедия же Адуева-старшего в том, что даже близкие не могут увидеть добрые и мудрые пожелания под кольчугой иронии. Дядя и племянник с разными результатами прошли один и тот же жизненный путь. Посмотрите этот спектакль. В нем нет хрестоматийной пыли, он будет современен всегда. Эта обыкновенная история случается в любой век. Я открыл для себя много нового — наверное, повзрослел. Текст читает Игорь Кваша. (М. Иванов)</t>
        </is>
      </c>
      <c r="L6942" s="2" t="inlineStr">
        <is>
          <t>https://www.kino-teatr.ru/teatr/movie/4635/annot/</t>
        </is>
      </c>
      <c r="M6942" s="2">
        <f>HYPERLINK("https://ru.wikipedia.org/w/index.php?search=%D0%9E%D0%B1%D1%8B%D0%BA%D0%BD%D0%BE%D0%B2%D0%B5%D0%BD%D0%BD%D0%B0%D1%8F%20%D0%B8%D1%81%D1%82%D0%BE%D1%80%D0%B8%D1%8F%201970%20%D1%84%D0%B8%D0%BB%D1%8C%D0%BC","искать")</f>
        <v/>
      </c>
      <c r="N6942" s="3" t="n"/>
      <c r="O6942" s="2" t="n"/>
      <c r="P6942" s="2" t="n"/>
    </row>
    <row r="6943">
      <c r="A6943" s="2" t="n">
        <v>6942</v>
      </c>
      <c r="B6943" s="2" t="inlineStr"/>
      <c r="C6943" s="2" t="n">
        <v>9412</v>
      </c>
      <c r="D6943" s="3" t="inlineStr">
        <is>
          <t>Катала</t>
        </is>
      </c>
      <c r="E6943" s="2" t="n">
        <v>1989</v>
      </c>
      <c r="F6943" s="2" t="inlineStr">
        <is>
          <t>кинофильм</t>
        </is>
      </c>
      <c r="G6943" s="2" t="n"/>
      <c r="H6943" s="2" t="n">
        <v>1709</v>
      </c>
      <c r="I6943" s="2" t="inlineStr"/>
      <c r="J6943" s="2" t="inlineStr"/>
      <c r="K6943" s="3" t="inlineStr">
        <is>
          <t>Карточный шулер Алексей, известный по кличке Грек, после конфликта с Директором, главой подпольного синдиката, оставляет свой бизнес. Алексей отделывается проломленной головой и, подлечившись, едет на юг, где при помощи дружка Шоты обзаводится катером. Бывший катала перевозит пассажиров, тайно вздыхая по красавице Анне — подружке Шоты. Однажды Шота проигрывается по-крупному и то ли не хочет, то ли не может отдать долг Директору. Шота исчезает из города, передав Алексею ключ от московской квартиры и попросив позаботиться об Анне и ее маленькой дочери. Грека находят подручные Директора. Алексею верят, что он не встречался с Шотой. Самого Шоту все же убивают. Затем бандиты решают взяться за Анну, но Грек прячет перепуганную женщину с дочкой на квартире, о которой никто не знает, и обращается за помощью к бывшим партнерам Карасю и Лоле. Его принимают в игру. Грек виртуозно обыгрывает «лохов», приехавших развлечься в столице, пачки денег доставляют Директору но тот все равно не отменяет свой приговор, который вынес Анне. Тогда Грек предлагает Директору сыграть партию на долг Шоты. Он обзаводится контактными линзами, просвечивающими карты партнера насквозь, и выигрывает. Директор разгадывает секрет каталы и заставляет его играть несколько партий подряд, не выходя из-за стола, поняв, что с такими линзами надо часто промывать глаза. После этого Грек навсегда теряет зрение, но Анна спасена. Она привозит избавителя в родительский дом и предлагает разделить с ней сокровище Шоты — огромный картонный ящик с деньгами. Грек потрясен, рискуя жизнью и зрением, он думал, что делает это ради спасения жизни Анны, а не ее денег. Он уходит. Вскоре подручные Директора зверски расправляются и с Алексеем.</t>
        </is>
      </c>
      <c r="L6943" s="2" t="inlineStr">
        <is>
          <t>https://gosfilmofond.ru/films/240950/</t>
        </is>
      </c>
      <c r="M6943" s="2">
        <f>HYPERLINK("https://ru.wikipedia.org/w/index.php?search=%D0%9A%D0%B0%D1%82%D0%B0%D0%BB%D0%B0%201989%20%D1%84%D0%B8%D0%BB%D1%8C%D0%BC","искать")</f>
        <v/>
      </c>
      <c r="N6943" s="3" t="n"/>
      <c r="O6943" s="2" t="n"/>
      <c r="P6943" s="2" t="n"/>
    </row>
    <row r="6944">
      <c r="A6944" s="2" t="n">
        <v>6943</v>
      </c>
      <c r="B6944" s="2" t="inlineStr"/>
      <c r="C6944" s="2" t="n">
        <v>8362</v>
      </c>
      <c r="D6944" s="3" t="inlineStr">
        <is>
          <t>Смерть под парусом</t>
        </is>
      </c>
      <c r="E6944" s="2" t="n">
        <v>1976</v>
      </c>
      <c r="F6944" s="2" t="inlineStr">
        <is>
          <t>телефильм</t>
        </is>
      </c>
      <c r="G6944" s="2" t="n"/>
      <c r="H6944" s="2" t="n">
        <v>1714</v>
      </c>
      <c r="I6944" s="2" t="inlineStr"/>
      <c r="J6944" s="2" t="inlineStr"/>
      <c r="K6944" s="3" t="inlineStr">
        <is>
          <t>Преуспевающий врач-онколог, доктор Роджер Миллз, пригласил компанию своих друзей провести время на его яхте. Гостями Миллза были: молодой врач Уильям Гарнет, работающий в клинике Миллза, клубный завсегдатай Иен Кейпл, Филипп Уэйд — сын судостроительного магната, со своей подругой Тони Гилмор, мисс Эвис Лоринг со своим женихом Кристофером Тэрентом.
Через несколько дней Миллз найден убитым выстрелом в сердце. За расследование принимается местный полицейский сержант Берелл и спешно вызванный на подмогу приятель Иена Кейпла мистер Финбоу. В ходе следствия Финбоу выясняет, что пятеро из шести гостей на яхте имели возможность совершить убийство, причём у каждого были на то свои причины. Из числа подозреваемых исключён лишь Иен Кейпл, он прибыл на яхту последним, вечером, накануне убийства, и не мог знать распорядка дня на яхте, а убийца должен был обладать этой информацией. Сержант Берелл ведёт следствие своим путём, он строго следует инструкциям и держит в страхе всю компанию. По его мнению, главный подозреваемый — Иен Кейпл, но основано это подозрение лишь на том, что Кейпл значительно старше остальных. Для установления истины Финбоу также собирает информацию и об убитом. Выясняется, что личность Роджера Миллза не достойна никаких симпатий и причиной его убийства могло стать то, что он шантажировал своего будущего убийцу, использовав при этом врачебную тайну. Тем временем приходит неожиданная новость: сержант Берелл достаёт со дна реки орудие убийства — пистолет, который привязан верёвкой к судовому журналу. На основании этого Берелл заключает: Миллз не убит, а покончил с собой. Вся компания решает отпраздновать такое удачное разрешение дела, но Финбоу портит «праздник», разоблачая убийцу.</t>
        </is>
      </c>
      <c r="L6944" s="2" t="inlineStr">
        <is>
          <t>https://ru.wikipedia.org/w/index.php?title=%D0%A1%D0%BC%D0%B5%D1%80%D1%82%D1%8C_%D0%BF%D0%BE%D0%B4_%D0%BF%D0%B0%D1%80%D1%83%D1%81%D0%BE%D0%BC_%28%D1%84%D0%B8%D0%BB%D1%8C%D0%BC%29&amp;oldid=151150145</t>
        </is>
      </c>
      <c r="M6944" s="2">
        <f>HYPERLINK("https://ru.wikipedia.org/w/index.php?search=%D0%A1%D0%BC%D0%B5%D1%80%D1%82%D1%8C%20%D0%BF%D0%BE%D0%B4%20%D0%BF%D0%B0%D1%80%D1%83%D1%81%D0%BE%D0%BC%201976%20%D1%84%D0%B8%D0%BB%D1%8C%D0%BC","искать")</f>
        <v/>
      </c>
      <c r="N6944" s="3" t="n"/>
      <c r="O6944" s="2" t="n"/>
      <c r="P6944" s="2" t="n"/>
    </row>
    <row r="6945">
      <c r="A6945" s="2" t="n">
        <v>6944</v>
      </c>
      <c r="B6945" s="2" t="inlineStr"/>
      <c r="C6945" s="2" t="n">
        <v>9396</v>
      </c>
      <c r="D6945" s="3" t="inlineStr">
        <is>
          <t>Искусство жить в Одессе</t>
        </is>
      </c>
      <c r="E6945" s="2" t="n">
        <v>1989</v>
      </c>
      <c r="F6945" s="2" t="inlineStr">
        <is>
          <t>кинофильм</t>
        </is>
      </c>
      <c r="G6945" s="2" t="n"/>
      <c r="H6945" s="2" t="n">
        <v>1720</v>
      </c>
      <c r="I6945" s="2" t="inlineStr"/>
      <c r="J6945" s="2" t="inlineStr"/>
      <c r="K6945" s="3" t="inlineStr">
        <is>
          <t>По мотивам рассказов И. Бабеля. Молодой писатель Саша Боровой вселяется в дом наводчика Цудечкиса. Однажды к Саше приходит Беня Крик и просит заняться образованием своей любовницы Катерины. Писатель читает Катерине французские романы. Вскоре он влюбляется в девушку. Цудечкис, обремененный голодными детьми и сварливой женой Хавой, мечтает заработать. Он сообщает Бене Крику о том, что некий мануфактурный склад ночью практически не охраняется. Беня готовится к ограблению. Но на складе его люди сталкиваются с бандитской группировкой Фроима Грача. Поначалу бандиты пытаются разобраться, как делить трофеи, но в ходе спора им становится понятно, что Цудечкис навел обе банды на один и тот же склад. Той же ночью Беня и его подручные врываются в дом старика и зверски его избивают. Саша Боровой заступается за хозяина, говоря: «Зачем мне воспитывать вашу Катю, если вы сам невоспитанный?» Проходит время. Неожиданно для всех Беня Крик женится на дочери Фроима Грача, некрасивой Баське. Катерина в отчаянии. Саша Боровой пытается ее успокоить. Сообщение о том, что на центральной площади горит здание полиции, заставляет всех покинуть свадьбу и отправиться поглазеть на полыхающее здание. После революции Боровой снова приезжает к Цудечкису, чтобы разыскать Катю. Цудечкис говорит, что Катя, наверняка, с Беней, однако, где тот скрывается, старик не знает. Боровой поступает на службу в милицию, надеясь, что, участвуя в облавах на бандитов, он сможет найти Беню, но Бене всегда удается скрыться от преследований и слежек. Влюбленному писателю помогает случай: на центральной площади снова происходит пожар. Среди зевак Саша замечает Катерину. Девушка радуется встрече, но, заметив у писателя пистолет, скрывается в толпе.</t>
        </is>
      </c>
      <c r="L6945" s="2" t="inlineStr">
        <is>
          <t>https://gosfilmofond.ru/films/249100/</t>
        </is>
      </c>
      <c r="M6945" s="2">
        <f>HYPERLINK("https://ru.wikipedia.org/w/index.php?search=%D0%98%D1%81%D0%BA%D1%83%D1%81%D1%81%D1%82%D0%B2%D0%BE%20%D0%B6%D0%B8%D1%82%D1%8C%20%D0%B2%20%D0%9E%D0%B4%D0%B5%D1%81%D1%81%D0%B5%201989%20%D1%84%D0%B8%D0%BB%D1%8C%D0%BC","искать")</f>
        <v/>
      </c>
      <c r="N6945" s="3" t="n"/>
      <c r="O6945" s="2" t="n"/>
      <c r="P6945" s="2" t="n"/>
    </row>
    <row r="6946">
      <c r="A6946" s="2" t="n">
        <v>6945</v>
      </c>
      <c r="B6946" s="2" t="inlineStr"/>
      <c r="C6946" s="2" t="n">
        <v>11183</v>
      </c>
      <c r="D6946" s="3" t="inlineStr">
        <is>
          <t>Подъезд с атлантами</t>
        </is>
      </c>
      <c r="E6946" s="2" t="n">
        <v>1987</v>
      </c>
      <c r="F6946" s="2" t="inlineStr">
        <is>
          <t>фильм-спектакль</t>
        </is>
      </c>
      <c r="G6946" s="2" t="inlineStr">
        <is>
          <t>Ленинградское ТВ</t>
        </is>
      </c>
      <c r="H6946" s="2" t="n">
        <v>1722</v>
      </c>
      <c r="I6946" s="2" t="inlineStr"/>
      <c r="J6946" s="2" t="inlineStr"/>
      <c r="K6946" s="3" t="inlineStr">
        <is>
          <t>Ленинградский Эрмитаж, который все мы любим и которым гордимся, издавна вошел в историю отечественной культуры.
Старые друзья Эрмитажа, его литературные летописцы С. Варшавский и Б. Рест написали несколько книг по истории музея, хорошо известных читателям. Среди них - художественно-документальное повествование - "Билет на всю вечность". Жизнь Эрмитажа с первых же часов Октябрьского восстания воссоздана в книге в неразрывной связи с историческими событиями, которые всколыхнули всю Россию, потрясли весь мир.
По мотивам произведения С. Варшавского и Б. Реста Главная редакция художественных передач создала двухсерийный спектакль "Подъезд с атлантами", посвященный 70-летию Октября. Из большого материала книги, созданной на основе архивных документов, авторы спектакля взяли небольшой период времени: события начинаются в ночь с 25 на 26 октября 1917 года и заканчиваются в апреле 1918 года, когда Эрмитаж (не весь, разумеется, а лишь отдельные залы) был открыт для посещения как Государственный музей.
Наверное, можно говорить о двух главенствующих темах этого спектакля: забота большевистской партии и рабоче-крестьянского правительства о сохранении культуры, национального духовного достояния молодой республики; и вторая тема - судьбы людей, в частности, служителей Эрмитажа, которые эту культуру для нас сберегали и сохранили.
Сложный путь пришлось пройти представителям научной и художественной интеллигенции старой формации, прежде чем они осознали свой долг и нашли свое место в строительстве социалистической культуры.
Решение спектакля несколько условно, в нем действует и наш с вами современник, который пытается представить и понять, как и с чего начинался советский Эрмитаж, ныне всемирно известный музей.</t>
        </is>
      </c>
      <c r="L6946" s="2" t="inlineStr">
        <is>
          <t>https://www.kino-teatr.ru/teatr/movie/79771/annot/</t>
        </is>
      </c>
      <c r="M6946" s="2">
        <f>HYPERLINK("https://ru.wikipedia.org/w/index.php?search=%D0%9F%D0%BE%D0%B4%D1%8A%D0%B5%D0%B7%D0%B4%20%D1%81%20%D0%B0%D1%82%D0%BB%D0%B0%D0%BD%D1%82%D0%B0%D0%BC%D0%B8%201987%20%D1%84%D0%B8%D0%BB%D1%8C%D0%BC","искать")</f>
        <v/>
      </c>
      <c r="N6946" s="3" t="n"/>
      <c r="O6946" s="2" t="n"/>
      <c r="P6946" s="2" t="n"/>
    </row>
    <row r="6947">
      <c r="A6947" s="2" t="n">
        <v>6946</v>
      </c>
      <c r="B6947" s="2" t="inlineStr"/>
      <c r="C6947" s="2" t="n">
        <v>7457</v>
      </c>
      <c r="D6947" s="3" t="inlineStr">
        <is>
          <t>Горя бояться - счастья не видать</t>
        </is>
      </c>
      <c r="E6947" s="2" t="n">
        <v>1973</v>
      </c>
      <c r="F6947" s="2" t="inlineStr">
        <is>
          <t>телефильм</t>
        </is>
      </c>
      <c r="G6947" s="2" t="inlineStr">
        <is>
          <t>Беларусьфильм</t>
        </is>
      </c>
      <c r="H6947" s="2" t="n">
        <v>1724</v>
      </c>
      <c r="I6947" s="2" t="inlineStr"/>
      <c r="J6947" s="2" t="inlineStr"/>
      <c r="K6947" s="3" t="inlineStr">
        <is>
          <t>Горе-Злосчастье в человеческом облике бродит по свету, поочерёдно сопровождая невезучих людей. Они и рады бы отвязаться, да просто так прогнать Горе нельзя. Избавиться от него можно лишь обманом, отдав в придачу к любой проданной вещи. Само Горе-Злосчастье, обретя нового хозяина, тут же охотно рассказывает об этом способе. Заметив, что дела пошли вразлад, каждый обладатель Злосчастья спешит избавиться от него.
В скором времени Горе от купца Поцелуева доходит до Царя Дормидонта. Казна пустеет, соседние королевства объявляют войну, слуги, войско и даже царская дочь покидают дворец. Недолго думая, Царь решает передать Горе солдату Ивану — единственному, кто остался на службе. Ивану предлагают купить перстень, шпагу, даже корону, но добросовестный солдат от всего отказывается. Наконец, Царь находит предмет, который может заинтересовать Ивана — это табакерка.
Солдат уходит на войну, и в дороге обнаруживает рядом с собой Горе. Однако Иван не кручинится, да и некогда — в поход идёт. Горе понимает, что тут ему поживиться нечем, и учит Ивана, как от него, Горя, избавиться. Но тот не хочет действовать обманом, а решает отделаться от царского «подарка» честно. Солдат спорит с Горем, что оно не сможет залезть в табакерку и обманув Горе, закрывает крышку. Завершив поход Иван возвращается к своей невесте Насте. Девушка признается, что дядя-мельник насильно выдает её замуж за купца Поцелуева. Во время сватовства Поцелуева, Иван напоминает о себе, что он не бедный солдат, у него есть драгоценная царская табакерка. Дядя Насти и Поцелуев не верят в рассказ о том, что табакерка досталась за пятак и доставляют солдата во дворец для суда. Солдат соглашается вернуть табакерку царю назад: «И Горе-Злосчастье впридачу».</t>
        </is>
      </c>
      <c r="L6947" s="2" t="inlineStr">
        <is>
          <t>https://ru.wikipedia.org/w/index.php?title=%D0%93%D0%BE%D1%80%D1%8F_%D0%B1%D0%BE%D1%8F%D1%82%D1%8C%D1%81%D1%8F_%E2%80%94_%D1%81%D1%87%D0%B0%D1%81%D1%82%D1%8C%D1%8F_%D0%BD%D0%B5_%D0%B2%D0%B8%D0%B4%D0%B0%D1%82%D1%8C&amp;oldid=149107816</t>
        </is>
      </c>
      <c r="M6947" s="2">
        <f>HYPERLINK("https://ru.wikipedia.org/w/index.php?search=%D0%93%D0%BE%D1%80%D1%8F%20%D0%B1%D0%BE%D1%8F%D1%82%D1%8C%D1%81%D1%8F%20-%20%D1%81%D1%87%D0%B0%D1%81%D1%82%D1%8C%D1%8F%20%D0%BD%D0%B5%20%D0%B2%D0%B8%D0%B4%D0%B0%D1%82%D1%8C%201973%20%D1%84%D0%B8%D0%BB%D1%8C%D0%BC","искать")</f>
        <v/>
      </c>
      <c r="N6947" s="3" t="n"/>
      <c r="O6947" s="2" t="n"/>
      <c r="P6947" s="2" t="n"/>
    </row>
    <row r="6948">
      <c r="A6948" s="2" t="n">
        <v>6947</v>
      </c>
      <c r="B6948" s="2" t="inlineStr"/>
      <c r="C6948" s="2" t="n">
        <v>8918</v>
      </c>
      <c r="D6948" s="3" t="inlineStr">
        <is>
          <t>Партийные бега, или Дребедень на мартовских сугробах</t>
        </is>
      </c>
      <c r="E6948" s="2" t="n">
        <v>1991</v>
      </c>
      <c r="F6948" s="2" t="inlineStr">
        <is>
          <t>кинофильм</t>
        </is>
      </c>
      <c r="G6948" s="2" t="n"/>
      <c r="H6948" s="2" t="n">
        <v>1727</v>
      </c>
      <c r="I6948" s="2" t="inlineStr"/>
      <c r="J6948" s="2" t="inlineStr"/>
      <c r="K6948" s="3" t="inlineStr">
        <is>
          <t>Конец 80-х годов. В СССР происходит департизация. Закрыты парткомы, горкомы и обкомы. Тысячи партийных функционеров остаются без работы. В городах открываются БТПРы – бюро по трудоустройству бывших партийных работников. Но рабочих мест для них явно недостаточно. Тогда некая коммерческая фирма устраивает для них соревнования, так называемую партакиаду, где партийцам предоставлен шанс заработать право на труд в честной партийной борьбе. К финалу приходят пять команд: «Чекисты», партком завода «Красный болт», партком винсовхоза «Красный портвейн», обком КПСС г.Великие Потуги и команда ученых института марксизма-ленинизма. Им предстоит сражаться за вакантное место водителя грузовика. Команда победителя получит большегрузный КамАЗ. Неожиданно для участников им выдают туристское снаряжение и забрасывают команды в тайгу, где им предстоит гонка длиной 1200 километров по пересеченной местности. Не привыкшие сражаться честно и делать усилия для достижения цели, они строят друг другу козни, пьянствуют на привале, попадают в экстремальные ситуации, после которых команды одна за другой выбывают из соревнования. За происходящим наблюдает «снежный человек», бывший когда-то Иваном Ивановичем Ивановым, который покинул человеческое сообщество, обиженный на партком завода, уличивший его в махинации при получении квартиры. Когда все команды покидают соревнование, «снежный человек» становится на лыжи и первым приходит к финишу, где его торжественно усаживают в КамАЗ. Он едет по снежной пустыне и вдруг слышит пение патриотических песен, которое доносится из закрытого кузова машины. Заглянув туда, Иван Иванович видит, что автомобиль полон партийными функционерами. Он бросает свою награду и убегает прочь от людей в тайгу.</t>
        </is>
      </c>
      <c r="L6948" s="2" t="inlineStr">
        <is>
          <t>https://gosfilmofond.ru/films/274229/</t>
        </is>
      </c>
      <c r="M6948" s="2">
        <f>HYPERLINK("https://ru.wikipedia.org/w/index.php?search=%D0%9F%D0%B0%D1%80%D1%82%D0%B8%D0%B9%D0%BD%D1%8B%D0%B5%20%D0%B1%D0%B5%D0%B3%D0%B0%2C%20%D0%B8%D0%BB%D0%B8%20%D0%94%D1%80%D0%B5%D0%B1%D0%B5%D0%B4%D0%B5%D0%BD%D1%8C%20%D0%BD%D0%B0%20%D0%BC%D0%B0%D1%80%D1%82%D0%BE%D0%B2%D1%81%D0%BA%D0%B8%D1%85%20%D1%81%D1%83%D0%B3%D1%80%D0%BE%D0%B1%D0%B0%D1%85%201991%20%D1%84%D0%B8%D0%BB%D1%8C%D0%BC","искать")</f>
        <v/>
      </c>
      <c r="N6948" s="3" t="n"/>
      <c r="O6948" s="2" t="n"/>
      <c r="P6948" s="2" t="n"/>
    </row>
    <row r="6949">
      <c r="A6949" s="2" t="n">
        <v>6948</v>
      </c>
      <c r="B6949" s="2" t="inlineStr"/>
      <c r="C6949" s="2" t="n">
        <v>9656</v>
      </c>
      <c r="D6949" s="3" t="inlineStr">
        <is>
          <t>Собачий пир</t>
        </is>
      </c>
      <c r="E6949" s="2" t="n">
        <v>1990</v>
      </c>
      <c r="F6949" s="2" t="inlineStr">
        <is>
          <t>кинофильм</t>
        </is>
      </c>
      <c r="G6949" s="2" t="n"/>
      <c r="H6949" s="2" t="n">
        <v>1731</v>
      </c>
      <c r="I6949" s="2" t="inlineStr"/>
      <c r="J6949" s="2" t="inlineStr"/>
      <c r="K6949" s="3" t="inlineStr">
        <is>
          <t>Героиня фильма, спившаяся, опустившаяся Жанна, мечтает найти принца, начать новую жизнь. Под новый год, на вокзале, где она работает уборщицей, знакомится с Аркадием, понуро сидящим на вокзале. От скуки приводит его домой, и тут выясняется, что Аркадий не пьёт. Не пьёт, и причина — в его прошлом. Далее следуют привычные для Жанны картины перманентного алкоголизма. Аркадий во всех этих сценах проявляет черты таинственного человека из ниоткуда, держась с невиданным достоинством и отказываясь от спиртного. Жанна также сохраняет в глазах что-то человеческое, несмотря на постоянную ругань и пьянство. Всё проясняется, когда они вместе побывали в Ленинграде. Там Аркадий — бывший алкоголик и работяга, сидел в тюрьме за драку — узнаёт, что жена и дети от него отказались. Он напивается, а Жанна заботливо везёт его обратно и начинает выхаживать.
Бросив пить, она возвращается на работу. Аркадия она даже приодела — так тоскливо одиночество, и хочется, чтобы рядом был мужчина. Тот в свою очередь, почувствовав себя новым человеком, поддаётся недвусмысленным предложениям миловидной и соблазнительной соседки-парикмахерши Саши, закрутившей с ним роман от скуки и однообразия. Он думает, что влюбился в Сашу, предлагает уехать и начать всё с чистого листа, а та отвечает ему, чтобы он «не вёл себя, как ребёнок». Жанна об этом узнаёт и… всё прощает.
Аркадий бьёт её, говорит, что любит другую, что она ему не пара, что они совсем разные, но по-женски мудрая Жанна наливает ему стакан, потом другой, и оба ложатся на жалкое своё ложе…
В конце концов, отчаявшись и поняв, что Аркадий так и не открыл для себя её внутренний мир, не увидел в ней человека, способного любить и сострадать, включила газ перед тем, как прилечь рядом с ним.</t>
        </is>
      </c>
      <c r="L6949" s="2" t="inlineStr">
        <is>
          <t>https://ru.wikipedia.org/w/index.php?title=%D0%A1%D0%BE%D0%B1%D0%B0%D1%87%D0%B8%D0%B9_%D0%BF%D0%B8%D1%80&amp;oldid=154938808</t>
        </is>
      </c>
      <c r="M6949" s="2">
        <f>HYPERLINK("https://ru.wikipedia.org/w/index.php?search=%D0%A1%D0%BE%D0%B1%D0%B0%D1%87%D0%B8%D0%B9%20%D0%BF%D0%B8%D1%80%201990%20%D1%84%D0%B8%D0%BB%D1%8C%D0%BC","искать")</f>
        <v/>
      </c>
      <c r="N6949" s="3" t="n"/>
      <c r="O6949" s="2" t="n"/>
      <c r="P6949" s="2" t="n"/>
    </row>
    <row r="6950">
      <c r="A6950" s="2" t="n">
        <v>6949</v>
      </c>
      <c r="B6950" s="2" t="inlineStr"/>
      <c r="C6950" s="2" t="n">
        <v>8845</v>
      </c>
      <c r="D6950" s="3" t="inlineStr">
        <is>
          <t>Московская любовь</t>
        </is>
      </c>
      <c r="E6950" s="2" t="n">
        <v>1991</v>
      </c>
      <c r="F6950" s="2" t="inlineStr">
        <is>
          <t>кинофильм</t>
        </is>
      </c>
      <c r="G6950" s="2" t="n"/>
      <c r="H6950" s="2" t="n">
        <v>1733</v>
      </c>
      <c r="I6950" s="2" t="inlineStr"/>
      <c r="J6950" s="2" t="inlineStr"/>
      <c r="K6950" s="3" t="inlineStr">
        <is>
          <t>Лихие 90-ые годы в России. Двое друзей Сергей и Вадим стремятся воспользоваться разделом собственности и завладеть всем, что подвернётся под руки, будь то песчаный карьер или банк. Контрольным пакетом акций солидного коммерческого банка «Россия» владеет бизнесмен Андрей. Друзья решаются на хитрый ход, перекупить пакет акций за деньги, взятые в кредит у этого же банка. Для удачи дела привлекают коррумпированного чиновника – референта министра, который уже успел купить машину Тойота при невысокой зарплате. Решив лучше узнать хозяина банка, Сергей и Вадим наблюдают за ним в местах, где тот любит бывать: в ресторанах и казино. Андрея часто сопровождает красивая стройная девушка Катя, которая приглянулась Сергею. Улучив момент, он назначает ей свидание. После некоторого раздумья Катя соглашается, хотя ей есть, что терять. Андрей содержит девушку и снисходительно смотрит на её частые проигрыши в казино. Настойчивые ухаживания Сергея приносят результат: Катя ответила на его чувства и сообщила Андрею, что она расстаётся с ним. Вадим видит, что Сергей потерял голову от любви и решает отстранить от дел друга, чтобы тот не сорвал сделку. Вадиму удаётся завладеть акциями банка, и он требует от Андрея и его людей освободить кабинеты. Андрей заявляет Вадиму, что главное не взять банк, а удержать его. Пользуясь своими связями в министерстве, банкир добивается отмены сделки. Однако он понимает, что удержать банк одному будет трудно. Андрей предлагает Вадиму совместно взять контроль над банком. Таким образом, Вадим становится совладельцем банка. Референта министра, который знал слишком много, убивают люди Вадима. Сергея же оставляют вне бизнеса, но с любимой девушкой Катей. Они счастливы вместе и строят планы на будущее.</t>
        </is>
      </c>
      <c r="L6950" s="2" t="inlineStr">
        <is>
          <t>https://gosfilmofond.ru/films/232388/</t>
        </is>
      </c>
      <c r="M6950" s="2">
        <f>HYPERLINK("https://ru.wikipedia.org/w/index.php?search=%D0%9C%D0%BE%D1%81%D0%BA%D0%BE%D0%B2%D1%81%D0%BA%D0%B0%D1%8F%20%D0%BB%D1%8E%D0%B1%D0%BE%D0%B2%D1%8C%201991%20%D1%84%D0%B8%D0%BB%D1%8C%D0%BC","искать")</f>
        <v/>
      </c>
      <c r="N6950" s="3" t="n"/>
      <c r="O6950" s="2" t="n"/>
      <c r="P6950" s="2" t="n"/>
    </row>
    <row r="6951">
      <c r="A6951" s="2" t="n">
        <v>6950</v>
      </c>
      <c r="B6951" s="2" t="inlineStr"/>
      <c r="C6951" s="2" t="n">
        <v>10732</v>
      </c>
      <c r="D6951" s="3" t="inlineStr">
        <is>
          <t>Вечер старинных русских водевилей</t>
        </is>
      </c>
      <c r="E6951" s="2" t="n">
        <v>1978</v>
      </c>
      <c r="F6951" s="2" t="inlineStr">
        <is>
          <t>фильм-спектакль</t>
        </is>
      </c>
      <c r="G6951" s="2" t="n"/>
      <c r="H6951" s="2" t="n">
        <v>1736</v>
      </c>
      <c r="I6951" s="2" t="inlineStr"/>
      <c r="J6951" s="2" t="inlineStr"/>
      <c r="K6951" s="3" t="inlineStr">
        <is>
          <t>Фильм начинается с повествования провинциального актёра Льва Гурыча Синичкина из водевиля Ленского (Григорий Абрикосов) и его дочери Лизаньки (Людмила Дребнёва), которые переносят зрителя в зал старого провинциального театра середины XIX века.
«Дайте мне старуху» — Заезжий антрепренёр, в прошлом гусар Логин Осипович Пустернак, который решил в Ковылках «поправить свои делишки и свой балаган открыть», разыскивает актрису на роль старухи, предыдущая просто сбежала; — «Пьесу выставил на Афишу, билетов продал два десятка, а старухи нет». В поисках ему помогает актёр, декоратор и на все руки мастер Карп Силыч Полуда. Но всё безуспешно. И вот Логин получает письмо от своей старой возлюбленной (имени её он не помнит), которая возмущена его поведением… И вдруг на пороге появляется старуха, но Пустернак и Полуда смеются — не представляя её в качестве актрисы, прогоняют. Затем появляется Экономка, к которой пристаёт её помещик — и тоже хочет стать актрисой, но вот беда — «язык не по нашему устроен».
«Девушка-гусар» — События происходят в Штутгарте 9 июля 1815 года, из России возвращается капитан Роланд, где с 1812 года находился в плену, с тем, чтобы забрать у владельца пансиона «для благородных детей мужского пола» — Карла Лермана, своего «сына» — ребёнка, спасённого из сожжённой дачи ещё в октябре 1805 года. Но вот неожиданность — «сын» оказывается прелестной девицей Габриэль, которая, чтобы не расстраивать своего покровителя («отца»), переодевается в гусара, отказываясь с ним уезжать в Париж сообщает, что обручена с Лорой (племянницей Лермана), к которой сватается сын первого пивовара трёх округов — Фрейтаг. Фрейтаг застаёт вначале Лору с Габриэль, а потом Лору с Роландом за поцелуем и готовится к дуэли с Габриэль.</t>
        </is>
      </c>
      <c r="L6951" s="2" t="inlineStr">
        <is>
          <t>https://ru.wikipedia.org/w/index.php?title=%D0%92%D0%B5%D1%87%D0%B5%D1%80_%D1%81%D1%82%D0%B0%D1%80%D0%B8%D0%BD%D0%BD%D1%8B%D1%85_%D1%80%D1%83%D1%81%D1%81%D0%BA%D0%B8%D1%85_%D0%B2%D0%BE%D0%B4%D0%B5%D0%B2%D0%B8%D0%BB%D0%B5%D0%B9&amp;oldid=149109004</t>
        </is>
      </c>
      <c r="M6951" s="2">
        <f>HYPERLINK("https://ru.wikipedia.org/w/index.php?search=%D0%92%D0%B5%D1%87%D0%B5%D1%80%20%D1%81%D1%82%D0%B0%D1%80%D0%B8%D0%BD%D0%BD%D1%8B%D1%85%20%D1%80%D1%83%D1%81%D1%81%D0%BA%D0%B8%D1%85%20%D0%B2%D0%BE%D0%B4%D0%B5%D0%B2%D0%B8%D0%BB%D0%B5%D0%B9%201978%20%D1%84%D0%B8%D0%BB%D1%8C%D0%BC","искать")</f>
        <v/>
      </c>
      <c r="N6951" s="3" t="n"/>
      <c r="O6951" s="2" t="n"/>
      <c r="P6951" s="2" t="n"/>
    </row>
    <row r="6952">
      <c r="A6952" s="2" t="n">
        <v>6951</v>
      </c>
      <c r="B6952" s="2" t="inlineStr"/>
      <c r="C6952" s="2" t="n">
        <v>7723</v>
      </c>
      <c r="D6952" s="3" t="inlineStr">
        <is>
          <t>Кафедра</t>
        </is>
      </c>
      <c r="E6952" s="2" t="n">
        <v>1982</v>
      </c>
      <c r="F6952" s="2" t="inlineStr">
        <is>
          <t>телефильм</t>
        </is>
      </c>
      <c r="G6952" s="2" t="n"/>
      <c r="H6952" s="2" t="n">
        <v>1739</v>
      </c>
      <c r="I6952" s="2" t="inlineStr"/>
      <c r="J6952" s="2" t="inlineStr"/>
      <c r="K6952" s="3" t="inlineStr">
        <is>
          <t>Профессор Завалишин, крупный учёный, доктор технических наук, автор огромного количества научных трудов и великолепный преподаватель, много лет был главой Кафедры кибернетики в институте.
После смерти Завалишина на его место назначается профессор Флягин, не хватающий звезд с неба как деятель науки, но ярый поборник порядка и дисциплины. Новый заведующий искренне хочет улучшить работу кафедры. Однако он лишён дара руководить людьми, любить их. Действуя методами, больше пригодными для армейской казармы, Флягин получает от подчиненных обидное прозвище «Аракчеев», а с одним из них, доцентом Спиваком, вступает в открытый конфликт. Осознав свою неспособность быть руководителем научного коллектива, Флягин отказывается от занимаемой должности, несмотря на то, что большинство сотрудников кафедры не против его руководства.
В это же время доцент кафедры Нина Игнатьевна Асташова непримиримо борется с псевдоучёными, которые недостойны становиться на один уровень с Завалишиным, Спиваком и другими заслуженными работниками института, но открыто и напролом лезут на тёплое место. В частности, во время защиты докторской диссертации доцента смежной кафедры Яковкина она, не стесняясь, открыто обвиняет диссертанта в плагиате (использовании результатов, полученных его подчинёнными, без ссылки на авторов), а также в использовании для построения модели взаимоисключающих допущений.
Разбирая бумаги Завалишина, оставшиеся после его смерти, Асташова обнаруживает, что в последние годы профессор, тяжело переживший смерть любимой супруги, отошёл от научной деятельности и ничего существенного не создал. Чтобы поддержать его доброе имя в научных кругах, Асташова включает в посмертный сборник трудов профессора собственную работу под его именем.</t>
        </is>
      </c>
      <c r="L6952" s="2" t="inlineStr">
        <is>
          <t>https://ru.wikipedia.org/w/index.php?title=%D0%9A%D0%B0%D1%84%D0%B5%D0%B4%D1%80%D0%B0_%28%D1%84%D0%B8%D0%BB%D1%8C%D0%BC%29&amp;oldid=152225777</t>
        </is>
      </c>
      <c r="M6952" s="2">
        <f>HYPERLINK("https://ru.wikipedia.org/w/index.php?search=%D0%9A%D0%B0%D1%84%D0%B5%D0%B4%D1%80%D0%B0%201982%20%D1%84%D0%B8%D0%BB%D1%8C%D0%BC","искать")</f>
        <v/>
      </c>
      <c r="N6952" s="3" t="n"/>
      <c r="O6952" s="2" t="n"/>
      <c r="P6952" s="2" t="n"/>
    </row>
    <row r="6953">
      <c r="A6953" s="2" t="n">
        <v>6952</v>
      </c>
      <c r="B6953" s="2" t="inlineStr"/>
      <c r="C6953" s="2" t="n">
        <v>8828</v>
      </c>
      <c r="D6953" s="3" t="inlineStr">
        <is>
          <t>Между воскресеньем и субботой</t>
        </is>
      </c>
      <c r="E6953" s="2" t="n">
        <v>1991</v>
      </c>
      <c r="F6953" s="2" t="inlineStr">
        <is>
          <t>кинофильм</t>
        </is>
      </c>
      <c r="G6953" s="2" t="n"/>
      <c r="H6953" s="2" t="n">
        <v>1743</v>
      </c>
      <c r="I6953" s="2" t="inlineStr"/>
      <c r="J6953" s="2" t="inlineStr"/>
      <c r="K6953" s="3" t="inlineStr">
        <is>
          <t>Москва конца 20-го века. Возле клиники разговаривают две женщины. Медичка спрашивает у молодой привлекательной собеседницы, собирается ли Рита отправиться со своим мужем Виктором в Мексику, куда его направляют на работу на 3 года. Та отвечает, что готова отложить свою артистическую карьеру и поехать с ним… Режиссер снимает сцену фильма, где девушку преследует и убивает жгучий брюнет. К отдыхающим между съемками артистам Рите и Альберту подходит Виктор, жених девушки, и приглашает партнера Риты на свою скорую свадьбу. Кирилл Эдуардович, режиссер фильма и отец Виктора принимает в своем доме будущую невестку и её отца. Режиссер делится с окружающими, что Рита очень талантлива, и её ждёт большое будущее. Он сожалеет, что сын не пошёл по его стопам, а стал журналистом. А Маргарита ведёт двойную жизнь. Она не отказывает в близости своему жениху и тайно встречается со страстным партнером по фильму. Альберт женат. Его супруга успешная писательница, и их совместная жизнь благополучна. Для Альберта дела и просьбы жены - первоочередные. Поэтому он время от времени отказывает во встречах молодой актрисе. Рита ревнует возлюбленного и строит коварные планы избавиться от соперницы. Для этой цели она крадёт музейный экспонат – пистолет. Она ведет слежку за соперницей, но убить её не представляется случай. Однажды она подкарауливает жену Альберта. Виктор, оказавшийся поблизости, предотвращает убийство. Рита устраивает истерику и кричит Виктору, что ненавидит его. Виктор увозит невесту за город и пытается образумить её. Рита признается Виктору, что ей скучно с ним. Нервы Виктора не выдерживают, и он стреляет в Маргариту. Клиника. На осциллографе неровно движется линия жизни. Возле клиники в томительном ожидании отцы Виктора и Риты.</t>
        </is>
      </c>
      <c r="L6953" s="2" t="inlineStr">
        <is>
          <t>https://gosfilmofond.ru/films/232383/</t>
        </is>
      </c>
      <c r="M6953" s="2">
        <f>HYPERLINK("https://ru.wikipedia.org/w/index.php?search=%D0%9C%D0%B5%D0%B6%D0%B4%D1%83%20%D0%B2%D0%BE%D1%81%D0%BA%D1%80%D0%B5%D1%81%D0%B5%D0%BD%D1%8C%D0%B5%D0%BC%20%D0%B8%20%D1%81%D1%83%D0%B1%D0%B1%D0%BE%D1%82%D0%BE%D0%B9%201991%20%D1%84%D0%B8%D0%BB%D1%8C%D0%BC","искать")</f>
        <v/>
      </c>
      <c r="N6953" s="3" t="n"/>
      <c r="O6953" s="2" t="n"/>
      <c r="P6953" s="2" t="n"/>
    </row>
    <row r="6954">
      <c r="A6954" s="2" t="n">
        <v>6953</v>
      </c>
      <c r="B6954" s="2" t="inlineStr"/>
      <c r="C6954" s="2" t="n">
        <v>9340</v>
      </c>
      <c r="D6954" s="3" t="inlineStr">
        <is>
          <t>Дни затмения</t>
        </is>
      </c>
      <c r="E6954" s="2" t="n">
        <v>1988</v>
      </c>
      <c r="F6954" s="2" t="inlineStr">
        <is>
          <t>кинофильм</t>
        </is>
      </c>
      <c r="G6954" s="2" t="n"/>
      <c r="H6954" s="2" t="n">
        <v>1744</v>
      </c>
      <c r="I6954" s="2" t="inlineStr"/>
      <c r="J6954" s="2" t="inlineStr"/>
      <c r="K6954" s="3" t="inlineStr">
        <is>
          <t>Действующие лица: геолог Вечеровский, военный инженер Снеговой и главный герой, врач Дмитрий Малянов, попавший в крайне чуждую для него среду, в чужой, враждебно настроенный к нему захолустный туркменский город, почти деревню. Будучи доктором, он ежедневно сталкивается с множеством людей и непонятной для него, почти «варварской» азиатской действительностью. Вокруг халупы, развалины, убогие дома из глины и фанеры, пыльные просёлочные дороги, лица без выражений и смысла.
Повествование ведётся в полудокументальной манере, где смешаны чёрно-белые (в тоне сепии) и цветные кадры, иногда плавно меняющие цвет, показана жизнь захолустного полузаброшенного городка в Туркмении (съёмки происходили в городе отрочества Сокурова, Красноводске) на берегу Каспийского моря. Вокруг главного героя десятки больных детей, кошмарные картины психиатрической клиники посреди выжженной пустыни: человеческой и реальной. Действие происходит на фоне густого смешения звуков (характерного для ранних работ Сокурова), постоянно в действие картины вторгается ретрансляция радио, симфоническая музыка, народные туркменские инструменты и многоголосная речь на самых разных и неожиданных языках мира.
Временами доктор ещё порывается что-то писать и как будто даже практикует, лечит детей, но похоже, что смысл жизни для него утерян, а конец света в этом заброшенном углу уже давно наступил. Наподобие стоп-кадра, в течение фильма постоянно вторгаются длинные монологи героев, останавливающие развитие сюжета. Затем следует появление больного мальчика (то ли ангела-хранителя, то ли призрака), задающего недетские вопросы, и его вознесение.
В титрах фильма указано, что фильм «Дни затмения» Александр Сокуров посвятил ленинградскому врачу Людмиле Яковлевне Русиновой.</t>
        </is>
      </c>
      <c r="L6954" s="2" t="inlineStr">
        <is>
          <t>https://ru.wikipedia.org/w/index.php?title=%D0%94%D0%BD%D0%B8_%D0%B7%D0%B0%D1%82%D0%BC%D0%B5%D0%BD%D0%B8%D1%8F&amp;oldid=152712808</t>
        </is>
      </c>
      <c r="M6954" s="2">
        <f>HYPERLINK("https://ru.wikipedia.org/w/index.php?search=%D0%94%D0%BD%D0%B8%20%D0%B7%D0%B0%D1%82%D0%BC%D0%B5%D0%BD%D0%B8%D1%8F%201988%20%D1%84%D0%B8%D0%BB%D1%8C%D0%BC","искать")</f>
        <v/>
      </c>
      <c r="N6954" s="3" t="n"/>
      <c r="O6954" s="2" t="n"/>
      <c r="P6954" s="2" t="n"/>
    </row>
    <row r="6955">
      <c r="A6955" s="2" t="n">
        <v>6954</v>
      </c>
      <c r="B6955" s="2" t="inlineStr"/>
      <c r="C6955" s="2" t="n">
        <v>9594</v>
      </c>
      <c r="D6955" s="3" t="inlineStr">
        <is>
          <t>Проверка на дорогах</t>
        </is>
      </c>
      <c r="E6955" s="2" t="n">
        <v>1971</v>
      </c>
      <c r="F6955" s="2" t="inlineStr">
        <is>
          <t>кинофильм</t>
        </is>
      </c>
      <c r="G6955" s="2" t="inlineStr">
        <is>
          <t>Ленфильм</t>
        </is>
      </c>
      <c r="H6955" s="2" t="n">
        <v>1752</v>
      </c>
      <c r="I6955" s="2" t="inlineStr"/>
      <c r="J6955" s="2" t="inlineStr"/>
      <c r="K6955" s="3" t="inlineStr">
        <is>
          <t>События фильма происходят в декабре 1942 года в оккупированной вермахтом Псковской области. В тылу немецких войск действует партизанский отряд под командованием бывшего сельского участкового милиционера Ивана Локоткова. В отряд добровольно переходит бывший сержант Красной армии Александр Лазарев, ранее побывавший в плену у немцев и добровольно перешедший к ним на службу в качестве хиви. Теперь он готов кровью искупить измену Родине, если ему поверят.
Отряд в тяжёлом положении — людям нечего есть. Командование решается на рискованную операцию по захвату эшелона с продовольствием на железнодорожной станции, охраняемой фашистами. Помочь может только Лазарев, которого охрана станции знает в лицо. Локотков верит Лазареву, хотя предупреждает:
Политрук отряда — майор Петушков — считает, что при любых обстоятельствах единожды оступившемуся доверия нет. Операция становится последней проверкой человека, который готов пойти на всё ради того, чтобы сохранить свою честь.
Группа переодетых в немцев партизан проникает на станцию. Лазарев видит на пулемётной вышке своего знакомого и поднимается к нему. Один из полицаев узнаёт партизана и поднимает тревогу. Партизаны угоняют поезд, Лазарев закалывает ножом пулемётчика на вышке и затем прикрывает угон огнём из пулемёта, не давая немцам ни остановить партизан, ни перевести стрелку. Подъехавший немецкий БТР очередью прошивает вышку с находившимся там Лазаревым. Смертельно раненый, он с трудом спускается с вышки и сколько есть сил бежит за поездом...
В последней сцене фильма в одном из городов Германии весной 1945 года бывшего партизана Локоткова, уже в армейской форме, встречают советские воины, которых он когда-то вывел из окружения. А он не может их вспомнить, настолько много их тогда было.</t>
        </is>
      </c>
      <c r="L6955" s="2" t="inlineStr">
        <is>
          <t>https://ru.wikipedia.org/w/index.php?title=%D0%9F%D1%80%D0%BE%D0%B2%D0%B5%D1%80%D0%BA%D0%B0_%D0%BD%D0%B0_%D0%B4%D0%BE%D1%80%D0%BE%D0%B3%D0%B0%D1%85&amp;oldid=153647819</t>
        </is>
      </c>
      <c r="M6955" s="2">
        <f>HYPERLINK("https://ru.wikipedia.org/w/index.php?search=%D0%9F%D1%80%D0%BE%D0%B2%D0%B5%D1%80%D0%BA%D0%B0%20%D0%BD%D0%B0%20%D0%B4%D0%BE%D1%80%D0%BE%D0%B3%D0%B0%D1%85%201971%20%D1%84%D0%B8%D0%BB%D1%8C%D0%BC","искать")</f>
        <v/>
      </c>
      <c r="N6955" s="3" t="n"/>
      <c r="O6955" s="2" t="n"/>
      <c r="P6955" s="2" t="n"/>
    </row>
    <row r="6956">
      <c r="A6956" s="2" t="n">
        <v>6955</v>
      </c>
      <c r="B6956" s="2" t="inlineStr"/>
      <c r="C6956" s="2" t="n">
        <v>8016</v>
      </c>
      <c r="D6956" s="3" t="inlineStr">
        <is>
          <t>О бедном гусаре замолвите слово</t>
        </is>
      </c>
      <c r="E6956" s="2" t="n">
        <v>1980</v>
      </c>
      <c r="F6956" s="2" t="inlineStr">
        <is>
          <t>телефильм</t>
        </is>
      </c>
      <c r="G6956" s="2" t="inlineStr">
        <is>
          <t>Мосфильм</t>
        </is>
      </c>
      <c r="H6956" s="2" t="n">
        <v>1753</v>
      </c>
      <c r="I6956" s="2" t="inlineStr"/>
      <c r="J6956" s="2" t="inlineStr"/>
      <c r="K6956" s="3" t="inlineStr">
        <is>
          <t>Действие картины происходит в николаевские времена, примерно через 30 лет после Отечественной войны 1812 года (Александра Пушкина уже нет в живых, но бунтовщиков по старой памяти ещё именуют «карбонариями»). Небольшой город Губернск взбудоражен вступлением гусарского полка. В это же время в город прибывает граф Мерзляев — чиновник из Санкт-Петербурга, имеющий поручение проверить нескольких офицеров этого полка на благонадёжность.
В местной тюрьме сидит попавший туда за скандальный поступок провинциальный актёр Афанасий Петрович Бубенцов, в дочь которого — Настю — влюбляется подозреваемый в неблагонадёжности корнет Алексей Васильевич Плетнёв. Мерзляев привлекает Бубенцова для своей операции, заставив его разыгрывать роль опасного бунтовщика, которого под конвоем должен перевезти к месту казни Плетнёв (расстрельную команду должны заменить его товарищи, чтобы доказать свою лояльность). Однако из чувства чести и сострадания Плетнёв отпускает Бубенцова на свободу, после чего на актёра начинается уже подлинная охота.
В итоге Бубенцова ловит продавец попугаев Перцовский, принявший его за мужика, который продал Перцовскому попугая, кричащего: «Долой царя!», и доставляет к Мерзляеву. Чтобы не подставлять Плетнёва, актёр говорит, что на самом деле является карбонарием. После этого Бубенцова везут уже на настоящий расстрел. Гусары, узнав, что расстреливать будут будущего тестя Плетнёва, готовы расправиться с Мерзляевым и его свитой. Кровопролитие останавливает Бубенцов, сообщая, что патроны холостые. Он показательно стреляет в себя, доказывая, что это инсценировка. Но от напряжения сил с ним случается инфаркт. Афанасий Петрович умирает. На следующий день гусары покидают Губернск.
В эпилоге герои рассказывают о своей дальнейшей судьбе.</t>
        </is>
      </c>
      <c r="L6956" s="2" t="inlineStr">
        <is>
          <t>https://ru.wikipedia.org/w/index.php?title=%D0%9E_%D0%B1%D0%B5%D0%B4%D0%BD%D0%BE%D0%BC_%D0%B3%D1%83%D1%81%D0%B0%D1%80%D0%B5_%D0%B7%D0%B0%D0%BC%D0%BE%D0%BB%D0%B2%D0%B8%D1%82%D0%B5_%D1%81%D0%BB%D0%BE%D0%B2%D0%BE&amp;oldid=153878566</t>
        </is>
      </c>
      <c r="M6956" s="2">
        <f>HYPERLINK("https://ru.wikipedia.org/w/index.php?search=%D0%9E%20%D0%B1%D0%B5%D0%B4%D0%BD%D0%BE%D0%BC%20%D0%B3%D1%83%D1%81%D0%B0%D1%80%D0%B5%20%D0%B7%D0%B0%D0%BC%D0%BE%D0%BB%D0%B2%D0%B8%D1%82%D0%B5%20%D1%81%D0%BB%D0%BE%D0%B2%D0%BE%201980%20%D1%84%D0%B8%D0%BB%D1%8C%D0%BC","искать")</f>
        <v/>
      </c>
      <c r="N6956" s="3" t="n"/>
      <c r="O6956" s="2" t="n"/>
      <c r="P6956" s="2" t="n"/>
    </row>
    <row r="6957">
      <c r="A6957" s="2" t="n">
        <v>6956</v>
      </c>
      <c r="B6957" s="2" t="inlineStr"/>
      <c r="C6957" s="2" t="n">
        <v>9689</v>
      </c>
      <c r="D6957" s="3" t="inlineStr">
        <is>
          <t>Тёмные аллеи</t>
        </is>
      </c>
      <c r="E6957" s="2" t="n">
        <v>1991</v>
      </c>
      <c r="F6957" s="2" t="inlineStr">
        <is>
          <t>кинофильм</t>
        </is>
      </c>
      <c r="G6957" s="2" t="n"/>
      <c r="H6957" s="2" t="n">
        <v>1753</v>
      </c>
      <c r="I6957" s="2" t="inlineStr"/>
      <c r="J6957" s="2" t="inlineStr"/>
      <c r="K6957" s="3" t="inlineStr">
        <is>
          <t>Россия дореволюционная. Пассажирский поезд останавливается на полустанке. Один из пассажиров Дмитрий Алексеевич делится со своей спутницей, что когда-то давно в юности был репетитором в одном из домов этого скучного места и имел романтические отношения с девушкой, которую звали Руся. Спутница интересуется, чем закончился тот давний роман. Мужчина, не настроенный изливать ей душу, отшучивается: «Ничем, уехала, и делу конец». Но воспоминания не отпускают его. Той весной ему было 23 года, а девушке 20. Дмитрий занимался с маленьким братом Руси, а она отдыхала в деревне и увлечённо занималась живописью. Дмитрию нравилась Руся, но он скрывал это. Девушки тоже тайно заглядывалась на студента. Однажды отец сообщает Марусе, что через неделю приедет солидный мужчина свататься. Но она ненавидит будущего жениха и решается пригласить Дмитрия на прогулку. Руся спрашивает юношу, любит ли он её. Выясняется, что они любят друг друга с первого дня знакомства. Русю беспокоит, чтобы мать не узнала об отношениях, возникших между ними. Она назначает Дмитрию новое тайное свидание вечером и молодые люди становятся любовниками. Честный Дмитрий хочет просить благословения на брак у родителей Руси. Но она понимает, что это может кончиться скандалом и изгнанием возлюбленного. Они продолжают встречаться тайно. Однажды мать Маруси застает дома их любовную сцену, хватает револьвер и стреляет в Дмитрия. Юноша ранен. Руся, защищая возлюбленного, нечаянно душит мать. И судьба разлучает возлюбленных. Мысли Дмитрия возвращаются в настоящее, и он с брезгливостью взирает на разврат, творящийся в соседних купе. Утром же все чинно встречаются за столиками вагона-ресторана. Спутница Дмитрия, заметив грусть в его глазах, понимает, что он всё ещё грустит о дачнице.</t>
        </is>
      </c>
      <c r="L6957" s="2" t="inlineStr">
        <is>
          <t>https://gosfilmofond.ru/films/232513/</t>
        </is>
      </c>
      <c r="M6957" s="2">
        <f>HYPERLINK("https://ru.wikipedia.org/w/index.php?search=%D0%A2%D1%91%D0%BC%D0%BD%D1%8B%D0%B5%20%D0%B0%D0%BB%D0%BB%D0%B5%D0%B8%201991%20%D1%84%D0%B8%D0%BB%D1%8C%D0%BC","искать")</f>
        <v/>
      </c>
      <c r="N6957" s="3" t="n"/>
      <c r="O6957" s="2" t="n"/>
      <c r="P6957" s="2" t="n"/>
    </row>
    <row r="6958">
      <c r="A6958" s="2" t="n">
        <v>6957</v>
      </c>
      <c r="B6958" s="2" t="inlineStr"/>
      <c r="C6958" s="2" t="n">
        <v>7665</v>
      </c>
      <c r="D6958" s="3" t="inlineStr">
        <is>
          <t>И снова Анискин</t>
        </is>
      </c>
      <c r="E6958" s="2" t="n">
        <v>1977</v>
      </c>
      <c r="F6958" s="2" t="inlineStr">
        <is>
          <t>телефильм</t>
        </is>
      </c>
      <c r="G6958" s="2" t="n"/>
      <c r="H6958" s="2" t="n">
        <v>1755</v>
      </c>
      <c r="I6958" s="2" t="inlineStr"/>
      <c r="J6958" s="2" t="inlineStr"/>
      <c r="K6958" s="3" t="inlineStr">
        <is>
          <t>Действие фильма «И снова Анискин» разворачивается в советской деревне, где участковый милиционер Фёдор Иванович Анискин расследует кражу ценных экспонатов из местного музея прикладного искусства. Директор музея, Егор Венедиктович Бережков, обращается к Анискину с заявлением об ограблении.
Осматривая место преступления, Анискин обнаруживает следы обуви большого размера и понимает, что преступник высокого роста. Примечательно, что похититель выбрал только самые ценные экспонаты, что указывает на его осведомлённость. В ходе расследования Анискин опрашивает различных подозреваемых, включая местных шабашников, строящих силосную башню, и тракториста Жору Сидорова. Участковый также посещает местный притон, где знакомится с несколькими колоритными персонажами, среди которых доярка Ольга Пешева и матрос Иван Макарович Григорьев. Расследование усложняется, когда происходит ещё одна кража — на этот раз из дома самого Бережкова, где хранились экспонаты для реставрации. Анискин привлекает к делу следователя Орлова из районного отдела.
В ходе следствия выясняется, что в преступлении замешаны матрос Григорьев и местная жительница Верка Косая, которые являются частью преступной цепочки. Они передают награбленное некоему «Филину», личность которого предстоит установить. Анискин постепенно распутывает сложный клубок улик и подозрений. Он выясняет, что под именем фотографа Ивана Чулымского скрывается «Филин» — главарь преступной группы.
В итоге участковому удаётся организовать засаду и задержать преступников, вернув похищенные ценности музею. Фильм не только рассказывает о расследовании, но и показывает быт советской деревни, раскрывая характеры местных жителей и демонстрируя профессионализм и человечность главного героя — участкового Анискина.</t>
        </is>
      </c>
      <c r="L6958" s="2" t="inlineStr">
        <is>
          <t>https://ru.wikipedia.org/w/index.php?title=%D0%98_%D1%81%D0%BD%D0%BE%D0%B2%D0%B0_%D0%90%D0%BD%D0%B8%D1%81%D0%BA%D0%B8%D0%BD&amp;oldid=154747597</t>
        </is>
      </c>
      <c r="M6958" s="2">
        <f>HYPERLINK("https://ru.wikipedia.org/w/index.php?search=%D0%98%20%D1%81%D0%BD%D0%BE%D0%B2%D0%B0%20%D0%90%D0%BD%D0%B8%D1%81%D0%BA%D0%B8%D0%BD%201977%20%D1%84%D0%B8%D0%BB%D1%8C%D0%BC","искать")</f>
        <v/>
      </c>
      <c r="N6958" s="3" t="n"/>
      <c r="O6958" s="2" t="n"/>
      <c r="P6958" s="2" t="n"/>
    </row>
    <row r="6959">
      <c r="A6959" s="2" t="n">
        <v>6958</v>
      </c>
      <c r="B6959" s="2" t="inlineStr"/>
      <c r="C6959" s="2" t="n">
        <v>8957</v>
      </c>
      <c r="D6959" s="3" t="inlineStr">
        <is>
          <t>Посвященный</t>
        </is>
      </c>
      <c r="E6959" s="2" t="n">
        <v>1989</v>
      </c>
      <c r="F6959" s="2" t="inlineStr">
        <is>
          <t>кинофильм</t>
        </is>
      </c>
      <c r="G6959" s="2" t="n"/>
      <c r="H6959" s="2" t="n">
        <v>1762</v>
      </c>
      <c r="I6959" s="2" t="inlineStr"/>
      <c r="J6959" s="2" t="inlineStr"/>
      <c r="K6959" s="3" t="inlineStr">
        <is>
          <t>Володя живет вместе с матерью в подвальной комнате. Кто был его отцом, он не знает. Парнишка вырос совсем непохожим на русского: может быть, цыган, может, еврей или кавказец. Но на окраине большого города, где проходит жизнь подростка, его друзей не интересуют национальные различия. И все же Володя смутно ощущает, что он не такой как все: его тревожат странные фантастические сны, у него актерские способности, и поэтому он посещает драмкружок. В спектакле «Фауст» ему достается роль Мефистофеля. Режиссер ставит авангардистское представление — декорациями служит пустынный завод. Даже сам Фролов, знаменитый актер местного театра (с его сыном дружит Володя), приходит на премьеру... Как-то мать Володи приводит в подвал глухонемого мужчину, немногим старше Володи. И однажды (Володя так и не понимает — было то наяву или в смутных видениях) на обрывистом берегу глухонемой вдруг приближается к Володе и приникает к его губам. Когда он уходит, Володя чувствует на своих губах кровь. С того времени юноша чувствует в себе необыкновенный дар и считает, что он теперь вправе судить и карать людей. При этом Володя осознает, что его дар может принести и разрушения (он вспоминает войны и их лидеров, катастрофы и их последствия). А вскоре замечает, что его дар перешел к Фролову, карьера которого стремительно пошла вверх. Володя пытается предупредить Фролова о возможных последствиях, однако, мужчина, упоенный успехом, говорит юноше, что поколение Володи — поколение незаконнорожденных и обреченных. Смысл сказанного открывается Володе, когда он находит старый семейный альбом, а в нем фотографию юной матери в обнимку с Фроловым. Выпив горсть снотворных таблеток, Володя засыпает. От раскаленного рефлектора загорается одеяло, пламя охватывает и спящего Володю.</t>
        </is>
      </c>
      <c r="L6959" s="2" t="inlineStr">
        <is>
          <t>https://gosfilmofond.ru/films/240728/</t>
        </is>
      </c>
      <c r="M6959" s="2">
        <f>HYPERLINK("https://ru.wikipedia.org/w/index.php?search=%D0%9F%D0%BE%D1%81%D0%B2%D1%8F%D1%89%D0%B5%D0%BD%D0%BD%D1%8B%D0%B9%201989%20%D1%84%D0%B8%D0%BB%D1%8C%D0%BC","искать")</f>
        <v/>
      </c>
      <c r="N6959" s="3" t="n"/>
      <c r="O6959" s="2" t="n"/>
      <c r="P6959" s="2" t="n"/>
    </row>
    <row r="6960">
      <c r="A6960" s="2" t="n">
        <v>6959</v>
      </c>
      <c r="B6960" s="2" t="inlineStr"/>
      <c r="C6960" s="2" t="n">
        <v>7579</v>
      </c>
      <c r="D6960" s="3" t="inlineStr">
        <is>
          <t>Ещё до войны</t>
        </is>
      </c>
      <c r="E6960" s="2" t="n">
        <v>1982</v>
      </c>
      <c r="F6960" s="2" t="inlineStr">
        <is>
          <t>телефильм</t>
        </is>
      </c>
      <c r="G6960" s="2" t="n"/>
      <c r="H6960" s="2" t="n">
        <v>1776</v>
      </c>
      <c r="I6960" s="2" t="inlineStr"/>
      <c r="J6960" s="2" t="inlineStr"/>
      <c r="K6960" s="3" t="inlineStr">
        <is>
          <t>Лето 1939 года. В далёкую сибирскую деревню Улым на реке Кеть из города после смерти отца приезжает Рая Колотовкина. Она поселяется в доме своего дяди, председателя колхоза, живущего с женой и тремя сыновьями, двоюродными братьями Раи. Постепенно она знакомится с жизнью деревни, приобретает здесь новых друзей и подруг среди сверстников, хотя старшее поколение прозвало её «стерлядкой» из-за её худощавой фигуры. Деревня живёт тихой довоенной жизнью: в клубе показывают фильм «Если завтра война», ставят самодеятельные спектакли, вечерами устраивают танцы, а новости приносит пароход «Смелый», поскольку в деревне нет ни почты, ни телеграфа, ни телефона.
Заменив во время репетиции спектакля свою подругу Граню, Рая близко знакомится с деревенским парнем Анатолием Трифоновым, недавно отслужившим в армии. По сюжету пьесы им приходится играть влюблённых, а вскоре сильное чувство возникает у них и в реальной жизни. Молодые люди решают пожениться, Рая готова остаться в деревне и работать учительницей, несмотря на то, что собиралась учиться в городе на инженера, как того хотел её отец. Однако родители Анатолия против их брака, поскольку видят в невестках работящую Валю Капу, а не какую-то приезжую «стерлядку».
Во время концерта в клубе выясняется, что Анатолий на дальней заимке, Рая с Граней отправляются к нему. Встретившись с Анатолием, Рая понимает, что он не может пойти против воли отца, да и дядя Раи против их брака, считая, что ей нужно учиться. Рая уезжает в город, Анатолий скачет верхом с заимки на пристань, но не успевает к отправлению парохода.
В финальной сцене рассказывается о дальнейшей судьбе героев во время предстоящей Великой Отечественной войны: погибнут Анатолий, дядя и два Раиных брата, другие улымчане, потеряет руку ставшая медсестрой Граня.</t>
        </is>
      </c>
      <c r="L6960" s="2" t="inlineStr">
        <is>
          <t>https://ru.wikipedia.org/w/index.php?title=%D0%95%D1%89%D1%91_%D0%B4%D0%BE_%D0%B2%D0%BE%D0%B9%D0%BD%D1%8B_%28%D1%84%D0%B8%D0%BB%D1%8C%D0%BC%29&amp;oldid=146641343</t>
        </is>
      </c>
      <c r="M6960" s="2">
        <f>HYPERLINK("https://ru.wikipedia.org/w/index.php?search=%D0%95%D1%89%D1%91%20%D0%B4%D0%BE%20%D0%B2%D0%BE%D0%B9%D0%BD%D1%8B%201982%20%D1%84%D0%B8%D0%BB%D1%8C%D0%BC","искать")</f>
        <v/>
      </c>
      <c r="N6960" s="3" t="n"/>
      <c r="O6960" s="2" t="n"/>
      <c r="P6960" s="2" t="n"/>
    </row>
    <row r="6961">
      <c r="A6961" s="2" t="n">
        <v>6960</v>
      </c>
      <c r="B6961" s="2" t="inlineStr"/>
      <c r="C6961" s="2" t="n">
        <v>10776</v>
      </c>
      <c r="D6961" s="3" t="inlineStr">
        <is>
          <t>Старомодная комедия</t>
        </is>
      </c>
      <c r="E6961" s="2" t="n">
        <v>1978</v>
      </c>
      <c r="F6961" s="2" t="inlineStr">
        <is>
          <t>фильм-спектакль</t>
        </is>
      </c>
      <c r="G6961" s="2" t="inlineStr">
        <is>
          <t>Гл. ред. литературно-драматических программ</t>
        </is>
      </c>
      <c r="H6961" s="2" t="n">
        <v>1792</v>
      </c>
      <c r="I6961" s="2" t="inlineStr"/>
      <c r="J6961" s="2" t="inlineStr"/>
      <c r="K6961" s="3" t="inlineStr">
        <is>
          <t>Санаторий где-то на Рижском взморье. Герои фильма — одинокие немолодые люди, каждому из них около шестидесяти. Он — Родион Николаевич Семёнов, главврач санатория, она — Лидия Васильевна Жербер, пациентка, приехавшая на лечение. Их первая встреча заканчивается конфликтом. Он вызывает её к себе по поводу нарушения санаторного режима, однако дамочка оказывается непростая, с характером.
Поначалу это задевает доктора, но вскоре их отношения начинают меняться. Они встречаются в Домском соборе на органном концерте и после долго гуляют по Старой Риге, вспоминая довоенную молодость и разговаривая обо всём на свете. В таких встречах и разговорах проходит оставшееся время, близится день отъезда Лидии Васильевны, что несомненно печалит их, так как эти два одиноких человека успели привязаться друг к другу.
Родион Николаевич, узнав, что приезд дочери из Японии откладывается, как минимум, на год, приглашает свою новую знакомую провести ещё несколько дней на берегу Балтийского моря, но уже в его доме, в комнате дочери, обещая не докучать своим присутствием. Пока Лидия Васильевна раздумывала над его приглашением, он уже сам сделал за неё выбор, быстро унеся её чемоданы в свой дом.
Но подошёл к концу и этот дополнительный срок, настаёт день окончательного отъезда Жербер, уже собраны вещи и вызвано такси. Доктор пытается высказать то, о чём давно уже решил — попросить её остаться с ним. Но у него не хватает решительности, да и она старательно изображает независимую даму, понимая его чувства. Казалось бы, всё уже действительно заканчивается — пришло такси, она уходит с вещами, доктор мечется по дому из-за бессильной обиды на самого себя и на неё, уехавшую… Но история заканчивается тем, что Лидия Васильевна возвращается, поняв, что не в силах уехать из этого дома, от этого человека.</t>
        </is>
      </c>
      <c r="L6961" s="2" t="inlineStr">
        <is>
          <t>https://ru.wikipedia.org/w/index.php?title=%D0%A1%D1%82%D0%B0%D1%80%D0%BE%D0%BC%D0%BE%D0%B4%D0%BD%D0%B0%D1%8F_%D0%BA%D0%BE%D0%BC%D0%B5%D0%B4%D0%B8%D1%8F_%28%D1%84%D0%B8%D0%BB%D1%8C%D0%BC%29&amp;oldid=154456036</t>
        </is>
      </c>
      <c r="M6961" s="2">
        <f>HYPERLINK("https://ru.wikipedia.org/w/index.php?search=%D0%A1%D1%82%D0%B0%D1%80%D0%BE%D0%BC%D0%BE%D0%B4%D0%BD%D0%B0%D1%8F%20%D0%BA%D0%BE%D0%BC%D0%B5%D0%B4%D0%B8%D1%8F%201978%20%D1%84%D0%B8%D0%BB%D1%8C%D0%BC","искать")</f>
        <v/>
      </c>
      <c r="N6961" s="3" t="n"/>
      <c r="O6961" s="2" t="n"/>
      <c r="P6961" s="2" t="n"/>
    </row>
    <row r="6962">
      <c r="A6962" s="2" t="n">
        <v>6961</v>
      </c>
      <c r="B6962" s="2" t="inlineStr"/>
      <c r="C6962" s="2" t="n">
        <v>7468</v>
      </c>
      <c r="D6962" s="3" t="inlineStr">
        <is>
          <t>Гу-га</t>
        </is>
      </c>
      <c r="E6962" s="2" t="n">
        <v>1989</v>
      </c>
      <c r="F6962" s="2" t="inlineStr">
        <is>
          <t>телефильм</t>
        </is>
      </c>
      <c r="G6962" s="2" t="n"/>
      <c r="H6962" s="2" t="n">
        <v>1795</v>
      </c>
      <c r="I6962" s="2" t="inlineStr"/>
      <c r="J6962" s="2" t="inlineStr"/>
      <c r="K6962" s="3" t="inlineStr">
        <is>
          <t>Действие фильма происходит в годы Великой Отечественной войны. В глубоком советском тылу, под Ташкентом готовятся новые офицерские кадры для Красной армии. Молодые курсанты лётной школы прямо во время учёбы находят время и для встреч с девушками, и для потасовок с танкистами. Однажды курсант Борис Тираспольский отправляется на свидание к своей подруге Тамаре на учебном самолёте. Пока влюблённые занимаются любовью в колхозном саду, самолёт обнаруживает наряд НКВД. Борис и ещё двое курсантов приговором военного трибунала этапируются в тыловой штрафбат. Впрочем, первоначально они здесь не чувствуют себя сильно обездоленными — командир подразделения капитан Владимир Правоторов благоволит к провинившимся курсантам, а «блатные» ничего не могут сделать с юношами, которые уже поняли силу солдатской солидарности. Единственная проблема Тираспольского — постоянные ссоры со старшиной роты Кравцом.
Ситуация резко меняется, когда часть офицеров перебрасывают на запад, на линию фронта. Штрафников посылают в плотно заминированное болото, а с тыла расположился заградотряд. В роту добавляют солдата Даньковца, который выдаёт себя за одессита и даже показательно обижается на Тираспольского, который отказывается признать в новом сослуживце земляка. Даньковец постоянно даёт как солдатам, так и командирам, ценные советы, а однажды даже берёт «языка», но отказывается покидать роту.
Получив от командования приказ — силами роты захватить немецкий дот, Правоторов поднимает своих людей в атаку. Штрафники захватывают дот и в ожесточённом бою отбивают две контратаки немцев. Тираспольский заменяет тяжело раненого Правоторова. После боя командир заградотряда приказывает штрафникам сдать оружие, и те в бессильной ярости расстреливают оставшийся боезапас в воздух, как бы устроив салют своей победе.</t>
        </is>
      </c>
      <c r="L6962" s="2" t="inlineStr">
        <is>
          <t>https://ru.wikipedia.org/w/index.php?title=%D0%93%D1%83-%D0%B3%D0%B0&amp;oldid=155430005</t>
        </is>
      </c>
      <c r="M6962" s="2">
        <f>HYPERLINK("https://ru.wikipedia.org/w/index.php?search=%D0%93%D1%83-%D0%B3%D0%B0%201989%20%D1%84%D0%B8%D0%BB%D1%8C%D0%BC","искать")</f>
        <v/>
      </c>
      <c r="N6962" s="3" t="n"/>
      <c r="O6962" s="2" t="n"/>
      <c r="P6962" s="2" t="n"/>
    </row>
    <row r="6963">
      <c r="A6963" s="2" t="n">
        <v>6962</v>
      </c>
      <c r="B6963" s="2" t="inlineStr"/>
      <c r="C6963" s="2" t="n">
        <v>9609</v>
      </c>
      <c r="D6963" s="3" t="inlineStr">
        <is>
          <t>Работа над ошибками</t>
        </is>
      </c>
      <c r="E6963" s="2" t="n">
        <v>1988</v>
      </c>
      <c r="F6963" s="2" t="inlineStr">
        <is>
          <t>кинофильм</t>
        </is>
      </c>
      <c r="G6963" s="2" t="n"/>
      <c r="H6963" s="2" t="n">
        <v>1800</v>
      </c>
      <c r="I6963" s="2" t="inlineStr"/>
      <c r="J6963" s="2" t="inlineStr"/>
      <c r="K6963" s="3" t="inlineStr">
        <is>
          <t>По мотивам одноименной повести Ю. Полякова. Молодой журналист Андрей Михайлович Петрушов временно устраивается учителем литературы в 9 «Б» класс. По словам классного руководителя Лебедева, класс сложный и требует особого внимания. Однако мысли Петрушова заняты не школьными проблемами, а
поиском рукописей писателя Пустырева, репрессированного в 1930-е годы. Найденные материалы Петрушов носит с собой в «дипломате». Однажды ученик Виктор Кирибеев приносит в школу порножурнал,
который попадает в руки классного руководителя. Это грозит Вите исключением из школы. Пятерка лидеров класса во главе с отличницей Викой Челышевой решает выкрасть злополучный журнал. Да вот беда, добытый ими «дипломат», оказывается, принадлежит не Лебедеву, а Петрушову, в нем находится диктофон и материалы романа. Портфель ребята выбрасывают в реку за ненадобностью. Осознав ошибку, ученики во главе с Викой втайне от Петрушова бросаются на поиски пропавшего романа Пустырева. Им удается найти бывших учеников писателя и даже его возлюбленную. А Рита Короткова, влюбленная в Андрея Михайловича, умудряется в новогоднюю ночь выловить шестом утопленный «дипломат»... Вскоре на уроке Петрушов публично ставит отличницу Вику в неловкое положение, заметив, что ее любимые стихи принадлежат перу Сологуба, а не Бальмонта, как сказала девочка. В отмщение за нанесенное оскорбление Вика на спор с Ритой решает соблазнить учителя. Но Андрей Михайлович не поддается на провокацию. Во избежание огласки влиятельный папа Вики предлагает Петрушову свое содействие при устройстве его в редакцию журнала. Отказавшись от предложения Челышева, уходя из школы, Петрушов дает классу последнее задание: написать сочинение на тему «Работа над ошибками». Злополучный «дипломат», который вернули ему ребята, он бросает в костер во дворе школы.</t>
        </is>
      </c>
      <c r="L6963" s="2" t="inlineStr">
        <is>
          <t>https://gosfilmofond.ru/films/240330/</t>
        </is>
      </c>
      <c r="M6963" s="2">
        <f>HYPERLINK("https://ru.wikipedia.org/w/index.php?search=%D0%A0%D0%B0%D0%B1%D0%BE%D1%82%D0%B0%20%D0%BD%D0%B0%D0%B4%20%D0%BE%D1%88%D0%B8%D0%B1%D0%BA%D0%B0%D0%BC%D0%B8%201988%20%D1%84%D0%B8%D0%BB%D1%8C%D0%BC","искать")</f>
        <v/>
      </c>
      <c r="N6963" s="3" t="n"/>
      <c r="O6963" s="2" t="n"/>
      <c r="P6963" s="2" t="n"/>
    </row>
    <row r="6964">
      <c r="A6964" s="2" t="n">
        <v>6963</v>
      </c>
      <c r="B6964" s="2" t="inlineStr"/>
      <c r="C6964" s="2" t="n">
        <v>8624</v>
      </c>
      <c r="D6964" s="3" t="inlineStr">
        <is>
          <t>Американский шпион</t>
        </is>
      </c>
      <c r="E6964" s="2" t="n">
        <v>1991</v>
      </c>
      <c r="F6964" s="2" t="inlineStr">
        <is>
          <t>кинофильм</t>
        </is>
      </c>
      <c r="G6964" s="2" t="n"/>
      <c r="H6964" s="2" t="n">
        <v>1803</v>
      </c>
      <c r="I6964" s="2" t="inlineStr"/>
      <c r="J6964" s="2" t="inlineStr"/>
      <c r="K6964" s="3" t="inlineStr">
        <is>
          <t>Сентябрь 1945 года. Советский корабль пришвартован у американского берега. Молодые офицеры наблюдают за купающейся девушкой. Услышав крики о помощи, лейтенант Николай Королёв бросается в море и спасает тонущую. Благодарный отец американки приглашает в свой дом русских офицеров. Мэри влюбляется в молодого лейтенанта. Узнав о свиданиях Николая, начальство запрещает ему покидать корабль. Девушка добивается встречи с любимым, уговаривает его бежать и искать убежище в Америке. Моряк не видит своей жизни вне России и отказывается от побега. По возвращению на Родину его арестовывают, обвиняя в предательстве.
За недоказанностью измены Королёв получает в качестве «смягчённого» наказания десять лет лагерей. Николаю выпадают тяжёлые испытания, но он остаётся несломленным. Воспоминания о Мэри поддерживают его, а талант художника даёт ему шанс выжить: портреты, написанные Королёвым, хочет иметь лагерное начальство. Однажды несколько заключённых совершают побег, но в живых остаётся только Королёв. Измождённый скитаниями, он попадает к эскимосам, где его выхаживают и предлагают остаться. Николай не может забыть Мэри, и тогда глава семьи снаряжает лодку, чтобы он уплыл на Аляску. Доплыть до Америки Королёву не удаётся, его захватывают военные с советского сторожевого корабля и избивают так, что Николай становится калекой.
…Спустя сорок лет на оживлённой городской улице убогий старик зарабатывает на жизнь, рисуя портреты прохожих. На одной из картин американский турист узнаёт мать времён её юности. Поняв, что художник – его отец, он рассказывает историю жизни матери, которая пронесла любовь к русскому мужчине через всю жизнь. Юноша уговаривает отца поехать с ним в Америку. Жизнь в очередной раз ставит бывшего моряка перед выбором и, кажется, впервые Николай Королёв не знает, как поступить.</t>
        </is>
      </c>
      <c r="L6964" s="2" t="inlineStr">
        <is>
          <t>https://gosfilmofond.ru/films/226090/</t>
        </is>
      </c>
      <c r="M6964" s="2">
        <f>HYPERLINK("https://ru.wikipedia.org/w/index.php?search=%D0%90%D0%BC%D0%B5%D1%80%D0%B8%D0%BA%D0%B0%D0%BD%D1%81%D0%BA%D0%B8%D0%B9%20%D1%88%D0%BF%D0%B8%D0%BE%D0%BD%201991%20%D1%84%D0%B8%D0%BB%D1%8C%D0%BC","искать")</f>
        <v/>
      </c>
      <c r="N6964" s="3" t="n"/>
      <c r="O6964" s="2" t="n"/>
      <c r="P6964" s="2" t="n"/>
    </row>
    <row r="6965">
      <c r="A6965" s="2" t="n">
        <v>6964</v>
      </c>
      <c r="B6965" s="2" t="inlineStr"/>
      <c r="C6965" s="2" t="n">
        <v>8841</v>
      </c>
      <c r="D6965" s="3" t="inlineStr">
        <is>
          <t>Мой лучший друг - генерал Василий, сын Иосифа</t>
        </is>
      </c>
      <c r="E6965" s="2" t="n">
        <v>1991</v>
      </c>
      <c r="F6965" s="2" t="inlineStr">
        <is>
          <t>кинофильм</t>
        </is>
      </c>
      <c r="G6965" s="2" t="inlineStr">
        <is>
          <t>Ленфильм</t>
        </is>
      </c>
      <c r="H6965" s="2" t="n">
        <v>1806</v>
      </c>
      <c r="I6965" s="2" t="inlineStr"/>
      <c r="J6965" s="2" t="inlineStr"/>
      <c r="K6965" s="3" t="inlineStr">
        <is>
          <t>Сюжет фильма развивается на фоне истории СССР в конце правления Иосифа Сталина и после его смерти. Это воспоминания спортсмена-ветерана Всеволода Багрова во время футбольного товарищеского матча ветеранов москвичей с командой из Казани.
Большой любитель спорта генерал-лейтенант Василий Сталин положил глаз на молодого спортсмена Всеволода Багрова (Боброва). Талант и дерзость подающего надежды спортсмена полюбились тщеславному сыну Иосифа Сталина. Вскоре под покровительством сына диктатора, Всеволод стал величайшим советским футболистом и хоккеистом, его имя было на устах и в новостях, а рядом всегда оставался человек, считавший себя его другом и веривший в его силы - генерал Василий Сталин. Генерал Василий со свитой послушных полковников и генералов постепенно превратил свою жизнь в регулярное пьянство и гулянки в лучших ресторанах и гостиницах Москвы, отмечая спортивные успехи своего любимчика в компании полуголых девиц и готовых на что угодно адъютантов в погонах. Генерал Василий не смог удержаться от соблазнов безграничной власти и вседозволенности и постепенно превратился в циничного и наглого пьяницу в погонах, который играет судьбами людей безжалостно вмешиваясь в их личную жизнь и жестоко расправляясь с непокорными. Никого, кроме любимца Багрова, не пощадил гневный генерал Василий. Но co смертью его отца Иосифа Сталина наступает и закат карьеры сына, а новые власти от него отворачиваются. Униженный Василий Сталин встречается с иностранцами и ругает новые власти СССР, но постоянно следившие за ним агенты госбезопасности арестовывают и изолируют его в Казанской тюрьме. Спившийся генерал Василий Сталин уже никак не сможет помешать новым властям СССР, которые его убрали и предали забвению, но его страшное имя и навязанную дружбу продолжает помнить спортсмен Всеволод Багров.</t>
        </is>
      </c>
      <c r="L6965" s="2" t="inlineStr">
        <is>
          <t>https://ru.wikipedia.org/w/index.php?title=%D0%9C%D0%BE%D0%B9_%D0%BB%D1%83%D1%87%D1%88%D0%B8%D0%B9_%D0%B4%D1%80%D1%83%D0%B3_%E2%80%94_%D0%B3%D0%B5%D0%BD%D0%B5%D1%80%D0%B0%D0%BB_%D0%92%D0%B0%D1%81%D0%B8%D0%BB%D0%B8%D0%B9%2C_%D1%81%D1%8B%D0%BD_%D0%98%D0%BE%D1%81%D0%B8%D1%84%D0%B0&amp;oldid=149104027</t>
        </is>
      </c>
      <c r="M6965" s="2">
        <f>HYPERLINK("https://ru.wikipedia.org/w/index.php?search=%D0%9C%D0%BE%D0%B9%20%D0%BB%D1%83%D1%87%D1%88%D0%B8%D0%B9%20%D0%B4%D1%80%D1%83%D0%B3%20-%20%D0%B3%D0%B5%D0%BD%D0%B5%D1%80%D0%B0%D0%BB%20%D0%92%D0%B0%D1%81%D0%B8%D0%BB%D0%B8%D0%B9%2C%20%D1%81%D1%8B%D0%BD%20%D0%98%D0%BE%D1%81%D0%B8%D1%84%D0%B0%201991%20%D1%84%D0%B8%D0%BB%D1%8C%D0%BC","искать")</f>
        <v/>
      </c>
      <c r="N6965" s="3" t="n"/>
      <c r="O6965" s="2" t="n"/>
      <c r="P6965" s="2" t="n"/>
    </row>
    <row r="6966">
      <c r="A6966" s="2" t="n">
        <v>6965</v>
      </c>
      <c r="B6966" s="2" t="inlineStr"/>
      <c r="C6966" s="2" t="n">
        <v>9399</v>
      </c>
      <c r="D6966" s="3" t="inlineStr">
        <is>
          <t>Исповедь. Хроника отчуждения</t>
        </is>
      </c>
      <c r="E6966" s="2" t="n">
        <v>1988</v>
      </c>
      <c r="F6966" s="2" t="inlineStr">
        <is>
          <t>не игровое</t>
        </is>
      </c>
      <c r="G6966" s="2" t="n"/>
      <c r="H6966" s="2" t="n">
        <v>1806</v>
      </c>
      <c r="I6966" s="2" t="inlineStr"/>
      <c r="J6966" s="2" t="inlineStr"/>
      <c r="K6966" s="3" t="inlineStr">
        <is>
          <t>Содержание
Лёша-Гриф. Осень 1986 — 0:05
Света-Земляника — 0:08
Вера — 0:11
Из семейного альбома — 0:20
Весенний праздник Казюкас — 0:31
Света. Смертельная доза — 0:3
Наркологическая больница. Ломки — 0:39
Демонстрация хиппи. 10 мая 1987 г. — 0:52
Перспективы — 0:54
Осень 1987 — 1:00
Зима 1988. Анюта — 1:09
Эпилог — 1:19
«Исповедь» Георгия Гаврилова запечатлела подпольную наркотическую субкультуру, которая сложилась среди отделившейся советской молодёжи. Фильм показывает, чем живёт 23-летний московский наркоман отрезками в течение двух лет. Как намекает название, фильм — очень личное, как бы религиозное изучение русской души глазами человека страдающего. И этот человек желает, чтобы зритель стал свидетелем его падения. Внук заместителя начальника ГУЛага генерал-майора Завгороднего, Алексей Шубников ищет смысл в мистике, религии. Он несёт бремя своей зависимости, словно потерянную русскую идею и душу, через психиатрические больницы, распад семьи, притеснения и публичное осмеяние. Правдивое кино сопровождают комментарии Алексея о себе и социальных проблемах с наркотиками в Советском Союзе. Трагически чуждый, он выворачивает, опустошая, свою душу. Самые поражающие кадры Гаврилов снял скрытой камерой внутри психиатрической больницы. Это будто отбракованный рабочий материал для фильма «Пролетая над гнездом кукушки». Фильм был приглашен на различные крупные международные кинофестивали. Автор картины Георгий Гаврилов стал самым молодым Членом Союза Кинематографистов, позднее читал курс о кино в СССР и работал над следующим проектом в Берклийском Университете в Калифорнии. Картину горячо поддержали выдающиеся кинематографисты страны — Александр Згуриди, Ролан Быков, Андрей Кончаловский, который даже пригласил Гаврилова посетить свою съемочную площадку фильма «Танго и Кэш» в Голливуде,</t>
        </is>
      </c>
      <c r="L6966" s="2" t="inlineStr">
        <is>
          <t>https://ru.wikipedia.org/w/index.php?title=%D0%98%D1%81%D0%BF%D0%BE%D0%B2%D0%B5%D0%B4%D1%8C._%D0%A5%D1%80%D0%BE%D0%BD%D0%B8%D0%BA%D0%B0_%D0%BE%D1%82%D1%87%D1%83%D0%B6%D0%B4%D0%B5%D0%BD%D0%B8%D1%8F&amp;oldid=153243753</t>
        </is>
      </c>
      <c r="M6966" s="2">
        <f>HYPERLINK("https://ru.wikipedia.org/w/index.php?search=%D0%98%D1%81%D0%BF%D0%BE%D0%B2%D0%B5%D0%B4%D1%8C.%20%D0%A5%D1%80%D0%BE%D0%BD%D0%B8%D0%BA%D0%B0%20%D0%BE%D1%82%D1%87%D1%83%D0%B6%D0%B4%D0%B5%D0%BD%D0%B8%D1%8F%201988%20%D1%84%D0%B8%D0%BB%D1%8C%D0%BC","искать")</f>
        <v/>
      </c>
      <c r="N6966" s="3" t="n"/>
      <c r="O6966" s="2" t="n"/>
      <c r="P6966" s="2" t="n"/>
    </row>
    <row r="6967">
      <c r="A6967" s="2" t="n">
        <v>6966</v>
      </c>
      <c r="B6967" s="2" t="inlineStr"/>
      <c r="C6967" s="2" t="n">
        <v>8374</v>
      </c>
      <c r="D6967" s="3" t="inlineStr">
        <is>
          <t>Совесть</t>
        </is>
      </c>
      <c r="E6967" s="2" t="n">
        <v>1974</v>
      </c>
      <c r="F6967" s="2" t="inlineStr">
        <is>
          <t>телефильм</t>
        </is>
      </c>
      <c r="G6967" s="2" t="inlineStr">
        <is>
          <t>ТО «Экран»</t>
        </is>
      </c>
      <c r="H6967" s="2" t="n">
        <v>1811</v>
      </c>
      <c r="I6967" s="2" t="inlineStr"/>
      <c r="J6967" s="2" t="inlineStr"/>
      <c r="K6967" s="3" t="inlineStr">
        <is>
          <t>В доме на одной из улиц Москвы совершено загадочное убийство. В ходе расследования выясняется, что оно связано с событиями Великой Отечественной войны.
В 1944 году из фашистского концлагеря (шталага 113) накануне уничтожения заключённых бежали трое советских военнопленных. Вместе с ними четвёртым бежал один из надсмотрщиков и экзекуторов лагеря, предатель родины Фёдор Дросов, который и помог устроить им побег, чтобы скрыть свои преступления. При пересечении нейтральной полосы он был тяжело ранен, и остальные бежавшие посчитали его убитым. Трое беглецов удачно добрались до расположения передовых частей наступающей Красной армии и сообщили о планах уничтожения заключённых шталага 113. Для спасения узников в лагерь направили танковый батальон с десантом пехоты.
Во время проверки в особом отделе части все трое беглецов показали, будто бежавший с ними и погибший на «нейтралке» был тем не менее также одним из узников лагеря. Позже выяснилось, что Дросов выжил и с документами казнённого Леонида Уварова был отправлен в госпиталь. У беглецов возникает дилемма: сообщить смершевцам, что бежавший с ними четвёртый — предатель и палач, но тогда они лишатся оказанного им доверия и попадут под подозрение в сотрудничестве с нацистами, или на время оставить всё как есть, а с преступником разобраться позже? Дело осложняется предполагаемым наличием сфабрикованных Дросовым и спрятанных в укромном месте документов, которые в качестве фашистских пособников изобличают, наоборот, уже самих трёх беглецов…
Проходит много лет. Случайная встреча с одним из участников побега и страх перед разоблачением заставляют спокойно жившего до сего дня военного преступника пойти на убийство опасных свидетелей…
Фильм снимали в Москве в районе метро «Щёлковская» на улице Уральской, а также в Ялте, Риге, Киеве, Красноярске.</t>
        </is>
      </c>
      <c r="L6967" s="2" t="inlineStr">
        <is>
          <t>https://ru.wikipedia.org/w/index.php?title=%D0%A1%D0%BE%D0%B2%D0%B5%D1%81%D1%82%D1%8C_%28%D1%82%D0%B5%D0%BB%D0%B5%D1%81%D0%B5%D1%80%D0%B8%D0%B0%D0%BB%29&amp;oldid=154148989</t>
        </is>
      </c>
      <c r="M6967" s="2">
        <f>HYPERLINK("https://ru.wikipedia.org/w/index.php?search=%D0%A1%D0%BE%D0%B2%D0%B5%D1%81%D1%82%D1%8C%201974%20%D1%84%D0%B8%D0%BB%D1%8C%D0%BC","искать")</f>
        <v/>
      </c>
      <c r="N6967" s="3" t="n"/>
      <c r="O6967" s="2" t="n"/>
      <c r="P6967" s="2" t="n"/>
    </row>
    <row r="6968">
      <c r="A6968" s="2" t="n">
        <v>6967</v>
      </c>
      <c r="B6968" s="2" t="inlineStr"/>
      <c r="C6968" s="2" t="n">
        <v>9499</v>
      </c>
      <c r="D6968" s="3" t="inlineStr">
        <is>
          <t>Нежданно-негаданно</t>
        </is>
      </c>
      <c r="E6968" s="2" t="n">
        <v>1983</v>
      </c>
      <c r="F6968" s="2" t="inlineStr">
        <is>
          <t>кинофильм</t>
        </is>
      </c>
      <c r="G6968" s="2" t="n"/>
      <c r="H6968" s="2" t="n">
        <v>1811</v>
      </c>
      <c r="I6968" s="2" t="inlineStr"/>
      <c r="J6968" s="2" t="inlineStr"/>
      <c r="K6968" s="3" t="inlineStr">
        <is>
          <t>Скромная сотрудница сберкассы получает в наследство квартиру и ценнейшую коллекцию произведений искусства. Нежданно свалившееся богатство так меняет течение жизни героини, что она уже не знает, радоваться ей или огорчаться. И только лишившись всего, молодая женщина понимает, что же ей нужно для счастья на самом деле…
Сотруднице одной из московских сберкасс Жанне Капустиной (Татьяна Догилева) случайно встреченная подруга Света, вернувшаяся с гастролей артистка, сообщает, что после смерти её родного дяди ей может достаться в наследство шикарная квартира в Куйбышеве с большой коллекцией старинных картин и антиквариата.
Она обращается за юридической поддержкой к нотариусу Илье Петровичу (Юрий Богатырёв) и упрашивает его помочь в получении наследства, однако тот отсылает её саму ехать разбираться с вопросом в Куйбышев.
В итоге наследство достаётся Капустиной.
Нотариусу Илье Петровичу его бывшая жена Наташа объявляет, что венчается с его другом Батуриным. Он в сердцах уходит из дому и от нечего делать отправляется к Жанне (которая хоть и приглашала его, но на другой день). Илья Петрович с крайним интересом осматривает коллекцию, мало обращая внимания при этом на саму Жанну. Далее, когда они ужинают, заявляется её бывший жених Алексей (Леонид Ярмольник), который сразу начинает претендовать на неё. Илья Петрович выпроваживает его и уезжает к себе.
К Жанне начинают «косяком идти женихи», в основном подпольные антиквары, которых более интересует не она, а её коллекция. Жанна чувствует себя обманутой и несчастной. Она звонит Илье Петровичу, и тот немедленно приезжает. Однако между ними происходит размолвка по поводу материальных ценностей.
Спустя время Жанну, в её отсутствие, обворовывают, вынеся всё из квартиры. Становится ясно, что всё, что ей надо — это бескорыстная любовь Ильи Петровича.</t>
        </is>
      </c>
      <c r="L6968" s="2" t="inlineStr">
        <is>
          <t>https://ru.wikipedia.org/w/index.php?title=%D0%9D%D0%B5%D0%B6%D0%B4%D0%B0%D0%BD%D0%BD%D0%BE-%D0%BD%D0%B5%D0%B3%D0%B0%D0%B4%D0%B0%D0%BD%D0%BD%D0%BE&amp;oldid=145140025</t>
        </is>
      </c>
      <c r="M6968" s="2">
        <f>HYPERLINK("https://ru.wikipedia.org/w/index.php?search=%D0%9D%D0%B5%D0%B6%D0%B4%D0%B0%D0%BD%D0%BD%D0%BE-%D0%BD%D0%B5%D0%B3%D0%B0%D0%B4%D0%B0%D0%BD%D0%BD%D0%BE%201983%20%D1%84%D0%B8%D0%BB%D1%8C%D0%BC","искать")</f>
        <v/>
      </c>
      <c r="N6968" s="3" t="n"/>
      <c r="O6968" s="2" t="n"/>
      <c r="P6968" s="2" t="n"/>
    </row>
    <row r="6969">
      <c r="A6969" s="2" t="n">
        <v>6968</v>
      </c>
      <c r="B6969" s="2" t="inlineStr"/>
      <c r="C6969" s="2" t="n">
        <v>9307</v>
      </c>
      <c r="D6969" s="3" t="inlineStr">
        <is>
          <t>Говорящая обезьяна</t>
        </is>
      </c>
      <c r="E6969" s="2" t="n">
        <v>1991</v>
      </c>
      <c r="F6969" s="2" t="inlineStr">
        <is>
          <t>кинофильм</t>
        </is>
      </c>
      <c r="G6969" s="2" t="inlineStr">
        <is>
          <t>Феникс-фильм</t>
        </is>
      </c>
      <c r="H6969" s="2" t="n">
        <v>1818</v>
      </c>
      <c r="I6969" s="2" t="inlineStr"/>
      <c r="J6969" s="2" t="inlineStr"/>
      <c r="K6969" s="3" t="inlineStr">
        <is>
          <t>Нищий выпрашивает деньги возле церкви у прохожих. Через некоторое время он покидает своё место на паперти, убирает грим, снимает жалкое облачение и преображается в респектабельного мужчину. Он заказывает обед в ресторане, где его все знают, как постоянного клиента. За обедом он решает, что дальше попрошайничать унизительно, и надо зарабатывать деньги головой. Тут же он получает заказ найти живого медведя, чтобы привлекать в ресторан посетителей. Мнимый нищий дает задание своей подруге познакомиться со звериным доктором и через него найти медведя. Главный ветеринар города Иван Мишуткин заботливо опекает всех животных, как в местном зоопарке, так и любимцев жителей города. У самого доктора живет умная обезьянка Ной, которую он привез из Африки и воспитал, как человеческое дитя. Узнав, что дрессированный медведь живёт в квартире одного из жителей города, подельники главаря предъявляют владельцу медведя поддельную претензию по содержанию животного и изымают его, прикрываясь именем главного ветеринара. Медведя в клетке помещают перед рестораном. На этом бандиты не успокаиваются. Они похищают, обезьяну Мишуткина и других животных для коммерческих целей. С ними много хлопот и неудобств в доме шефа бандитов, а умная обезьянка в качестве протеста бьет посуду в доме и портит вещи. Тем временем подруга главного бандита очарована добрым и заботливым ветеринаром. Она готова выйти за него замуж. Но Ивану нравится молодая женщина-милиционер Наталья, которая подключилась к поискам его обезьянки. Чтобы завоевать доктора, подруга бандита обещает найти Ноя быстрей, чем милиция, и уже через час привозит обезьянку доктору. Однако бандиты спаивали Ноя и теперь у ветеринара задача вернуть обезьянке облик животного, а не пьяницы. Эту цель готова разделить с ним милиционер Наташа, на которой Иван готов жениться.</t>
        </is>
      </c>
      <c r="L6969" s="2" t="inlineStr">
        <is>
          <t>https://gosfilmofond.ru/films/232263/</t>
        </is>
      </c>
      <c r="M6969" s="2">
        <f>HYPERLINK("https://ru.wikipedia.org/w/index.php?search=%D0%93%D0%BE%D0%B2%D0%BE%D1%80%D1%8F%D1%89%D0%B0%D1%8F%20%D0%BE%D0%B1%D0%B5%D0%B7%D1%8C%D1%8F%D0%BD%D0%B0%201991%20%D1%84%D0%B8%D0%BB%D1%8C%D0%BC","искать")</f>
        <v/>
      </c>
      <c r="N6969" s="3" t="n"/>
      <c r="O6969" s="2" t="n"/>
      <c r="P6969" s="2" t="n"/>
    </row>
    <row r="6970">
      <c r="A6970" s="2" t="n">
        <v>6969</v>
      </c>
      <c r="B6970" s="2" t="inlineStr"/>
      <c r="C6970" s="2" t="n">
        <v>8421</v>
      </c>
      <c r="D6970" s="3" t="inlineStr">
        <is>
          <t>Сын</t>
        </is>
      </c>
      <c r="E6970" s="2" t="n">
        <v>1987</v>
      </c>
      <c r="F6970" s="2" t="inlineStr">
        <is>
          <t>телефильм</t>
        </is>
      </c>
      <c r="G6970" s="2" t="inlineStr">
        <is>
          <t>Творческое объединение «Экран»</t>
        </is>
      </c>
      <c r="H6970" s="2" t="n">
        <v>1822</v>
      </c>
      <c r="I6970" s="2" t="inlineStr"/>
      <c r="J6970" s="2" t="inlineStr"/>
      <c r="K6970" s="3" t="inlineStr">
        <is>
          <t>Ваня Погорелов учится в обычной провинциальной школе и сверстники не раз уже насмехались над его увлечением — он всё свободное время занимается рисованием. Ему помогает советами и наставлениями местный художник Костючко, человек чудаковатый, но честный и талантливый. Ванин отец верит в сына, он тоже понимает, что в жизни есть место искусству. Однажды в их городок приезжают тележурналисты снимать репортаж о сельской жизни, и режиссёр группы замечает талант мальчика. Вернувшись в Москву, он показывает рисунки Ивана своему знакомому, преподавателю художественной школы и тот соглашается, что мальчишке нужно серьёзно учиться. Приглашение в столичную спецшколу для одарённых художников становится сюрпризом для всей семьи, отец настаивает, чтоб Ваня поехал и постарался раскрыть свой талант.
Пока Ваня осваивается в Москве, его отец разрабатывает агрегат для уборки свёклы, за что удостаивается награды и едет для получения в Москву. Но так случается, что отец Ивана сталкивается с равнодушием к своему изобретению, которым гордился и искренне верил в его нужность и важность, — на деле оказывается, что награда и хвалебные слова не что иное, как обычная показуха. У отца наступает некий перелом в душе, он осознаёт, что его жизненные принципы и идеалы никому не нужны и не интересны. Встреча с сыном в Москве расставляет в их жизни всё по местам. Мальчик понимает, что отец может «сломаться», что он может потерять интерес к жизни, к изобретательству, ко всему тому, чем жил и горел. Иван осознаёт, что не может оставить отца в таком состоянии, что кроме него никто не поддержит его в достаточной степени. И мальчик принимает ответственное и трудное для себя решение — он отказывается от учёбы в московской школе, возвращается домой, понимая, что должен быть рядом с отцом, что это и есть для него сейчас самое главное.</t>
        </is>
      </c>
      <c r="L6970" s="2" t="inlineStr">
        <is>
          <t>https://ru.wikipedia.org/w/index.php?title=%D0%A1%D1%8B%D0%BD_%28%D1%84%D0%B8%D0%BB%D1%8C%D0%BC%2C_1987%29&amp;oldid=145561210</t>
        </is>
      </c>
      <c r="M6970" s="2">
        <f>HYPERLINK("https://ru.wikipedia.org/w/index.php?search=%D0%A1%D1%8B%D0%BD%201987%20%D1%84%D0%B8%D0%BB%D1%8C%D0%BC","искать")</f>
        <v/>
      </c>
      <c r="N6970" s="3" t="n"/>
      <c r="O6970" s="2" t="n"/>
      <c r="P6970" s="2" t="n"/>
    </row>
    <row r="6971">
      <c r="A6971" s="2" t="n">
        <v>6970</v>
      </c>
      <c r="B6971" s="2" t="inlineStr"/>
      <c r="C6971" s="2" t="n">
        <v>9568</v>
      </c>
      <c r="D6971" s="3" t="inlineStr">
        <is>
          <t>Поликушка</t>
        </is>
      </c>
      <c r="E6971" s="2" t="n">
        <v>1919</v>
      </c>
      <c r="F6971" s="2" t="inlineStr">
        <is>
          <t>кинофильм</t>
        </is>
      </c>
      <c r="G6971" s="2" t="n"/>
      <c r="H6971" s="2" t="n">
        <v>1822</v>
      </c>
      <c r="I6971" s="2" t="inlineStr"/>
      <c r="J6971" s="2" t="inlineStr"/>
      <c r="K6971" s="3" t="inlineStr">
        <is>
          <t>По одноименному рассказу Льва Толстого. Дворовый крестьянин Поликей служит у боярыни коновалом и со своей многодетной семьей живет в одном из углов небольшой избы, где живут еще несколько семей. Две пагубные страсти владеют Поликеем - страсть к выпивке и страсть к мелкому воровству. Последним его делом была кража поломанных конторских часов и продажа их в город. Узнав об этом, Барыня гневно распекает Поликея, а тот клянется бросить и пить и воровать, и на самом деле делает это. Через несколько месяцев начинается набор рекрутов. Приказчик хочет направить в армию и Поликея, но барыня, видя, что тот совершенно исправился, защищает его, и тот остается при дворе. Более того, оказывая Поликею полное доверие, она посылает его в город за деньгами, которые ей был должен местный купец. Поликей счастлив, что ему доверяют такое дело, и в прекрасном настроении отправляется в город. Получив деньги, потолкавшись на местном базаре и переночевав, Поликей отправляется обратно. По дороге домой Поликей теряет конверт с деньгами (они были спрятаны в шапку и незаметно выпали, когда Поликей задремал, едя на телеге и понукая лошадьми). Не найдя денег, Поликей приезжает домой, поднимается на чердак и там вешается. В избе поднимается шум, родные Поликея оплакивают отца. Тем временем крестьянин Семен Дутлов находит деньги на дороге и приносит их барыне. Та, узнав о самоубийстве Поликея, отдает деньги обратно Семену, которому потом по ночам снится Поликей, крадущийся к его дому. Ночью Дутлову снится страшный сон про Поликея, будто тот душит его и требует денег. Это так сильно подействовало на богатого, но очень скупого Семена, что он решает потратить "гореховные" деньги на выкупку из рекрутов своего племянника, что и было сделано в несколько ближайших дней. Этим действием он как бы очистился от своей греховной жадности</t>
        </is>
      </c>
      <c r="L6971" s="2" t="inlineStr">
        <is>
          <t>https://gosfilmofond.ru/films/252768/</t>
        </is>
      </c>
      <c r="M6971" s="2">
        <f>HYPERLINK("https://ru.wikipedia.org/w/index.php?search=%D0%9F%D0%BE%D0%BB%D0%B8%D0%BA%D1%83%D1%88%D0%BA%D0%B0%201919%20%D1%84%D0%B8%D0%BB%D1%8C%D0%BC","искать")</f>
        <v/>
      </c>
      <c r="N6971" s="3" t="n"/>
      <c r="O6971" s="2" t="n"/>
      <c r="P6971" s="2" t="n"/>
    </row>
    <row r="6972">
      <c r="A6972" s="2" t="n">
        <v>6971</v>
      </c>
      <c r="B6972" s="2" t="inlineStr"/>
      <c r="C6972" s="2" t="n">
        <v>11020</v>
      </c>
      <c r="D6972" s="3" t="inlineStr">
        <is>
          <t>Человек из страны Грин</t>
        </is>
      </c>
      <c r="E6972" s="2" t="n">
        <v>1983</v>
      </c>
      <c r="F6972" s="2" t="inlineStr">
        <is>
          <t>фильм-спектакль</t>
        </is>
      </c>
      <c r="G6972" s="2" t="inlineStr">
        <is>
          <t>Главная редакция программ для детей и юношества ЦТ</t>
        </is>
      </c>
      <c r="H6972" s="2" t="n">
        <v>1822</v>
      </c>
      <c r="I6972" s="2" t="inlineStr"/>
      <c r="J6972" s="2" t="inlineStr"/>
      <c r="K6972" s="3" t="inlineStr">
        <is>
          <t>Сирота Тиррей Давенант работает официантом в кафе «Отвращение». Владелец заведения Том Стомадор (в фильме его персонаж объединен с Адамом Кишлотом из повести) — хороший человек, большой фантазёр, однако обыватели не понимают его шуток, в результате кафе пустует. Но однажды здесь встречаются собиратель уличного фольклора Орт Галеран и дочери филантропа Футроза. Галеран просит девочек устроить судьбу мальчика, те соглашаются, и сам Футроз с энтузиазмом берётся за это. Однако, неожиданно появляется отец Тиррея Франк — опустившийся пьяница — который сперва пытается вымогать деньги у богача, а затем оскорбляет его. Тиррей исчезает из города, не в силах смотреть в глаза Футрозу.
Прошло несколько лет. Молодой человек Джемс Гравелот покупает у Тома Стомадора небольшой трактир на побережье. Однажды туда приезжает сын губернатора Георг Ван-Коннет со своими дружками и любовницей. Здесь он оскорбляет дочь мелкого торговца Баркета Марту, и Гравелот вызывает Ван-Коннета на дуэль. Однако Георгу, который собирается в скором времени вступить в брак с дочерью богатого торговца Консуэлой Хуарес, поединок вовсе не нужен. Его подручный Сногден берётся уладить дело — он устраивает нападение таможенников на заведение Гравелота, в ходе которого несколько человек погибают. Во всём обвиняют Гравелота, которого в ходе ускоренного судебного процесса приговаривают к смерти.
Галеран и Стомадор знают, что Гравелот — это Тиррей Давенант, и пытаются спасти юношу. Орт пытается убедить Баркетов сказать правду, однако торговец и его дочь, подкупленные Сногденом, упорно молчат. Стомадор пытается сделать подкоп в тюрьму. Галерану же удаётся уговорить Консуэлу убедить будущего тестя помиловать Тиррея. Неожиданно её поддерживает и губернатор, Георг Ван-Коннет, которому сообщили, что Давенант тяжело заболел. Юноша умирает в тюрьме.</t>
        </is>
      </c>
      <c r="L6972" s="2" t="inlineStr">
        <is>
          <t>https://ru.wikipedia.org/w/index.php?title=%D0%A7%D0%B5%D0%BB%D0%BE%D0%B2%D0%B5%D0%BA_%D0%B8%D0%B7_%D1%81%D1%82%D1%80%D0%B0%D0%BD%D1%8B_%D0%93%D1%80%D0%B8%D0%BD&amp;oldid=149103961</t>
        </is>
      </c>
      <c r="M6972" s="2">
        <f>HYPERLINK("https://ru.wikipedia.org/w/index.php?search=%D0%A7%D0%B5%D0%BB%D0%BE%D0%B2%D0%B5%D0%BA%20%D0%B8%D0%B7%20%D1%81%D1%82%D1%80%D0%B0%D0%BD%D1%8B%20%D0%93%D1%80%D0%B8%D0%BD%201983%20%D1%84%D0%B8%D0%BB%D1%8C%D0%BC","искать")</f>
        <v/>
      </c>
      <c r="N6972" s="3" t="n"/>
      <c r="O6972" s="2" t="n"/>
      <c r="P6972" s="2" t="n"/>
    </row>
    <row r="6973">
      <c r="A6973" s="2" t="n">
        <v>6972</v>
      </c>
      <c r="B6973" s="2" t="inlineStr"/>
      <c r="C6973" s="2" t="n">
        <v>7402</v>
      </c>
      <c r="D6973" s="3" t="inlineStr">
        <is>
          <t>Всем - спасибо!</t>
        </is>
      </c>
      <c r="E6973" s="2" t="n">
        <v>1981</v>
      </c>
      <c r="F6973" s="2" t="inlineStr">
        <is>
          <t>телефильм</t>
        </is>
      </c>
      <c r="G6973" s="2" t="inlineStr">
        <is>
          <t>ТО «Экран»</t>
        </is>
      </c>
      <c r="H6973" s="2" t="n">
        <v>1823</v>
      </c>
      <c r="I6973" s="2" t="inlineStr"/>
      <c r="J6973" s="2" t="inlineStr"/>
      <c r="K6973" s="3" t="inlineStr">
        <is>
          <t>Дмитрий Кузнецов, в прошлом — подававший надежды математик, живший не ради получения учёных степеней и высокого положения в научном сообществе, а ради решения фундаментальных проблем науки (Кузнецов занимался теорией простых чисел), сегодня перебивается случайными заработками и занимается тем, что для собственного удовольствия фотографирует уходящие виды старой Москвы.
Совершенно случайно его, грузчика в магазине «Хлеб», нанимают ночным сторожем (а затем — подсобным рабочим) на съёмки фильма. Оказывается, в соседнем доме, предназначенном под капремонт и почти расселённом, художниками-декораторами воссоздана большая и прилично обставленная квартира успешного учёного-математика, в интерьерах которой снимается история о встрече молодого учёного и студентки-биолога, желающей найти репетитора по математике, об их любви, семейной жизни, расставании и новой встрече много лет спустя.
Присутствуя на съёмках, Дмитрий со всё возрастающим удивлением наблюдает за тем, как сценарий фильма удивительным образом повторяет историю его собственной жизни, вплоть до отдельных деталей происходивших с ним событий, известных, казалось бы, только ему самому диалогов и реплик. Более того, и сама реальная жизнь Кузнецова начинает отчасти разворачиваться в направлении, предугаданном сценарием — его ожидает встреча с бывшей женой Женей, посчитавшей его успешным и состоявшимся учёным, а не ночным сторожем на съёмочной площадке. Постепенно выясняется, что именно она невольно оказалась причастна к написанию сценария фильма, на съёмках которого Кузнецов пересматривает заново всю свою прошлую жизнь.
В название телефильма вынесена фраза, которую произносит режиссёр Ирина Алексеевна по окончании съёмок последней сцены фильма о любви и неудавшейся семейной жизни математика и его жены, в создании которого участвует главный герой.</t>
        </is>
      </c>
      <c r="L6973" s="2" t="inlineStr">
        <is>
          <t>https://ru.wikipedia.org/w/index.php?title=%D0%92%D1%81%D0%B5%D0%BC_%E2%80%94_%D1%81%D0%BF%D0%B0%D1%81%D0%B8%D0%B1%D0%BE%21..&amp;oldid=149104677</t>
        </is>
      </c>
      <c r="M6973" s="2">
        <f>HYPERLINK("https://ru.wikipedia.org/w/index.php?search=%D0%92%D1%81%D0%B5%D0%BC%20-%20%D1%81%D0%BF%D0%B0%D1%81%D0%B8%D0%B1%D0%BE%21%201981%20%D1%84%D0%B8%D0%BB%D1%8C%D0%BC","искать")</f>
        <v/>
      </c>
      <c r="N6973" s="3" t="n"/>
      <c r="O6973" s="2" t="n"/>
      <c r="P6973" s="2" t="n"/>
    </row>
    <row r="6974">
      <c r="A6974" s="2" t="n">
        <v>6973</v>
      </c>
      <c r="B6974" s="2" t="inlineStr"/>
      <c r="C6974" s="2" t="n">
        <v>8722</v>
      </c>
      <c r="D6974" s="3" t="inlineStr">
        <is>
          <t>Жертва для императора</t>
        </is>
      </c>
      <c r="E6974" s="2" t="n">
        <v>1991</v>
      </c>
      <c r="F6974" s="2" t="inlineStr">
        <is>
          <t>кинофильм</t>
        </is>
      </c>
      <c r="G6974" s="2" t="n"/>
      <c r="H6974" s="2" t="n">
        <v>1824</v>
      </c>
      <c r="I6974" s="2" t="inlineStr"/>
      <c r="J6974" s="2" t="inlineStr"/>
      <c r="K6974" s="3" t="inlineStr">
        <is>
          <t>В 1905 году, в то время, когда на Дальнем Востоке идёт война с Японией, в Санкт-Петербурге в одном из каналов полицейские вылавливают труп молодого мужчины в форме офицера русской армии. При осмотре тела из карманов одежды извлекают колоды карт, деньги и ключи от номера дорогого отеля. Несколькими месяцами ранее штабс-капитан Алексей Васильевич Рыбников приезжает в северную столицу после тяжёлой контузии в боях с японцами. Получив материальную компенсацию за ранение, он снимает лучший номер в гостинице и идёт в казино. На удачливого офицера обращают внимание приятели Владимир Иванович Щавинский и Ленечка. Они начинают вымогать деньги у штабс-капитана под видом долга, которые тот раз от раза легко и безропотно отдаёт. Щавинский – писатель, и его привлекает загадочная личность офицера, который живёт с необъяснимым размахом. Он понимает, что здесь скрыта какая-то интригующая тайна, на материале которой он хочет написать книгу. Владимир Иванович подозревает, что Рыбников – офицер японского Генштаба, но не выдаёт его и старается построить с ним доверительные отношения. В то же время деятельностью штабс-капитана заинтересовалось третье сыскное отделение полиции. Везде, где бывает офицер, агенты и доносчики сопровождают его и сообщают в полицию о его стремлении установить контакты с влиятельными людьми. Понимая, что круг сжимается, и скоро его могут арестовать, Рыбников вместе с Щавинским едет в публичный дом, где намерен расслабиться после выполнения своего трудного задания. Русского флота больше не существует в открытых морях после Цусимского сражения. В дом врываются полицейские. Но офицер не готов сдаться. Сила воли и боевое оружие помогают ему самому уйти из жизни. В вагоне поезда Лёнечка говорит на японском с попутчиком о Рыбникове: «Его профессия – быть жертвой. Он слишком долго жил в России».</t>
        </is>
      </c>
      <c r="L6974" s="2" t="inlineStr">
        <is>
          <t>https://gosfilmofond.ru/films/232314/</t>
        </is>
      </c>
      <c r="M6974" s="2">
        <f>HYPERLINK("https://ru.wikipedia.org/w/index.php?search=%D0%96%D0%B5%D1%80%D1%82%D0%B2%D0%B0%20%D0%B4%D0%BB%D1%8F%20%D0%B8%D0%BC%D0%BF%D0%B5%D1%80%D0%B0%D1%82%D0%BE%D1%80%D0%B0%201991%20%D1%84%D0%B8%D0%BB%D1%8C%D0%BC","искать")</f>
        <v/>
      </c>
      <c r="N6974" s="3" t="n"/>
      <c r="O6974" s="2" t="n"/>
      <c r="P6974" s="2" t="n"/>
    </row>
    <row r="6975">
      <c r="A6975" s="2" t="n">
        <v>6974</v>
      </c>
      <c r="B6975" s="2" t="inlineStr"/>
      <c r="C6975" s="2" t="n">
        <v>8263</v>
      </c>
      <c r="D6975" s="3" t="inlineStr">
        <is>
          <t>Рассказ о простой вещи</t>
        </is>
      </c>
      <c r="E6975" s="2" t="n">
        <v>1975</v>
      </c>
      <c r="F6975" s="2" t="inlineStr">
        <is>
          <t>телефильм</t>
        </is>
      </c>
      <c r="G6975" s="2" t="n"/>
      <c r="H6975" s="2" t="n">
        <v>1830</v>
      </c>
      <c r="I6975" s="2" t="inlineStr"/>
      <c r="J6975" s="2" t="inlineStr"/>
      <c r="K6975" s="3" t="inlineStr">
        <is>
          <t>Лето 1919 года, неназванный губернский город России. Председатель местного отделения Чрезвычайной Комиссии Орлов (Джигарханян), понимая, что удержать губернию под напором Белой армии невозможно, готовит агентурную разведывательную сеть. Город занимают Вооружённые силы Юга России. Орлов остаётся там под видом французского коммерсанта Леона Кутюрье. На деньги, поставляемые ему большевистским подпольем, он устраивает разгульные кутежи для белых офицеров. В пьяном угаре те охотно откровенничают, и Орлов получает много ценной, часто совершенно секретной информации о перегруппировках войск, времени начала тех или иных операций. Благодаря передаваемым данным положение на фронте постепенно меняется в пользу Красной Армии. Для выявления успешного информатора контрразведка выделяет лучших офицеров — подполковника Тумановича (Глузский) и поручика Соболевского (Борисов).
Однажды на вокзале разведчик становится свидетелем задержания крестьянина, которого ошибочно принимают за него — чекиста Орлова. В контрразведке легко определяют, что забитый деревенский мужик с грубыми мозолистыми руками не может быть председателем губернской ЧК. Однако, поручик Соболевский отдаёт распоряжение опубликовать в газетах сообщение о поимке красного шпиона. Орлов переживает сложную внутреннюю борьбу между долгом перед товарищами, революционной идеей и жизнью невиновного крестьянина. Вопреки запрету партийной ячейки, он идёт на контакт с Соболевским и позволяет себя рассекретить. Орлов арестован. Вскоре поступает известие, что командование противостоящих сторон пришло к соглашению обменять разведчика на недавно попавшего в плен белого генерала Чернецова. Во время обмена Орлов выхватывает винтовку у конвоира и стреляет в Чернецова. Позже, ожидая в камере казни, он пишет предсмертную записку, в которой объясняет мотивы своих поступков.</t>
        </is>
      </c>
      <c r="L6975" s="2" t="inlineStr">
        <is>
          <t>https://ru.wikipedia.org/w/index.php?title=%D0%A0%D0%B0%D1%81%D1%81%D0%BA%D0%B0%D0%B7_%D0%BE_%D0%BF%D1%80%D0%BE%D1%81%D1%82%D0%BE%D0%B9_%D0%B2%D0%B5%D1%89%D0%B8&amp;oldid=146544058</t>
        </is>
      </c>
      <c r="M6975" s="2">
        <f>HYPERLINK("https://ru.wikipedia.org/w/index.php?search=%D0%A0%D0%B0%D1%81%D1%81%D0%BA%D0%B0%D0%B7%20%D0%BE%20%D0%BF%D1%80%D0%BE%D1%81%D1%82%D0%BE%D0%B9%20%D0%B2%D0%B5%D1%89%D0%B8%201975%20%D1%84%D0%B8%D0%BB%D1%8C%D0%BC","искать")</f>
        <v/>
      </c>
      <c r="N6975" s="3" t="n"/>
      <c r="O6975" s="2" t="n"/>
      <c r="P6975" s="2" t="n"/>
    </row>
    <row r="6976">
      <c r="A6976" s="2" t="n">
        <v>6975</v>
      </c>
      <c r="B6976" s="2" t="inlineStr"/>
      <c r="C6976" s="2" t="n">
        <v>9038</v>
      </c>
      <c r="D6976" s="3" t="inlineStr">
        <is>
          <t>Семья вурдалаков</t>
        </is>
      </c>
      <c r="E6976" s="2" t="n">
        <v>1990</v>
      </c>
      <c r="F6976" s="2" t="inlineStr">
        <is>
          <t>кинофильм</t>
        </is>
      </c>
      <c r="G6976" s="2" t="n"/>
      <c r="H6976" s="2" t="n">
        <v>1835</v>
      </c>
      <c r="I6976" s="2" t="inlineStr"/>
      <c r="J6976" s="2" t="inlineStr"/>
      <c r="K6976" s="3" t="inlineStr">
        <is>
          <t>Фильм начинается с того, что в некой глухой деревне Яков, глава семьи, раскапывает свежую могилу, в надежде поживиться драгоценностями, снятыми с мертвеца. Неожиданно труп оживает и нападает на старика. Как впоследствии становится понятно, Яков умирает от полученных травм (укусов вампира).
Тем временем московского журналиста Игоря, который готовится к свадьбе, отправляют в командировку, в глухую провинцию, где он поселяется в семье недавно умершего Якова. В доме об умершем все говорят вполголоса и никто не произносит его имя. Как узнает Игорь, в этих краях ходит поверие, что если назвать покойного по имени, до истечения девяти дней, то умерший превратится в вурдалака. Малолетний внук Якова нарушает старинную заповедь, произнося имя деда, и вскоре тот приходит домой. Все его молча встречают и делают вид, что рады возвращению. Но ночью Яков тайно выводит внука из дома и нападает на него, а сам скрывается. Игорь, став свидетелем этой картины, поднимает шум. Вскоре мальчик умирает, а его отец Георгий уходит из дома убить Якова.
Тем временем Игорь влюбляется в дочь Якова Марию. Она просит, чтобы он уехал, иначе его жизнь будет в опасности. Игорь соглашается и после долгих колебаний уезжает. Вернувшись домой, он обнаруживает, что отсутствовал не три дня, как считал, а больше десяти. Невеста не хочет с ним разговаривать. Его постоянно преследуют видения, связанные с домом Якова.
Через несколько месяцев, проводя время с друзьями на зимней охоте, Игорь случайно отстал от друзей и оказался в том самом посёлке. Там он обнаружил пустые, занесённые снегом дома. А в старой церкви Игорь встречает Марию, которая говорит, что любит его и просит остаться, но Игорь понимает, она уже вурдалак. Он убегает, но члены семьи не хотят его отпускать и нападают на него. Игорю с трудом удаётся отбиться от нападений и убежать от них.</t>
        </is>
      </c>
      <c r="L6976" s="2" t="inlineStr">
        <is>
          <t>https://ru.wikipedia.org/w/index.php?title=%D0%A1%D0%B5%D0%BC%D1%8C%D1%8F_%D0%B2%D1%83%D1%80%D0%B4%D0%B0%D0%BB%D0%B0%D0%BA%D0%BE%D0%B2&amp;oldid=154967817</t>
        </is>
      </c>
      <c r="M6976" s="2">
        <f>HYPERLINK("https://ru.wikipedia.org/w/index.php?search=%D0%A1%D0%B5%D0%BC%D1%8C%D1%8F%20%D0%B2%D1%83%D1%80%D0%B4%D0%B0%D0%BB%D0%B0%D0%BA%D0%BE%D0%B2%201990%20%D1%84%D0%B8%D0%BB%D1%8C%D0%BC","искать")</f>
        <v/>
      </c>
      <c r="N6976" s="3" t="n"/>
      <c r="O6976" s="2" t="n"/>
      <c r="P6976" s="2" t="n"/>
    </row>
    <row r="6977">
      <c r="A6977" s="2" t="n">
        <v>6976</v>
      </c>
      <c r="B6977" s="2" t="inlineStr"/>
      <c r="C6977" s="2" t="n">
        <v>8022</v>
      </c>
      <c r="D6977" s="3" t="inlineStr">
        <is>
          <t>Обратной дороги нет</t>
        </is>
      </c>
      <c r="E6977" s="2" t="n">
        <v>1970</v>
      </c>
      <c r="F6977" s="2" t="inlineStr">
        <is>
          <t>телефильм</t>
        </is>
      </c>
      <c r="G6977" s="2" t="inlineStr">
        <is>
          <t>к/с им. Довженко</t>
        </is>
      </c>
      <c r="H6977" s="2" t="n">
        <v>1851</v>
      </c>
      <c r="I6977" s="2" t="inlineStr"/>
      <c r="J6977" s="2" t="inlineStr"/>
      <c r="K6977" s="3" t="inlineStr">
        <is>
          <t>После побега из концлагеря майор Топорков пробирается в партизанский отряд для организации доставки оружия готовящим восстание заключённым. Чтобы отвлечь внимание немецких поисковых групп от основного конного обоза с настоящим оружием, а самое главное — определить предателя, передающего все сведения о планах партизан, в отряде создаётся дополнительный ложный обоз, идущий ложным путём и гружёный ящиками с камнями и песком. Но об этом знают только командир отряда и назначенный командиром обоза Топорков. Среди восьмерых бойцов, добровольно вызвавшихся сопровождать обоз, кто-то — враг, вокруг — непроходимые белорусские леса и болота, по пятам идут немцы, и пути назад нет. Топорков ведёт себя странно — обоз идет тихим ходом, днём, не обходя деревни и открытые места, нарочно привлекая внимание немцев. Бойцы недоумевают, пулемётчик Гонта даже начинает подозревать Топоркова. И лишь когда немецкий агент Митрохин выдаёт себя и убегает из отряда, майор раскрывает оставшимся товарищам тайну обоза. Обоз добирается до села Вербилки, где местные со старостой (в прошлом он участвовал в финской войне) укрывают всех, кто воюет против фашистов, и там майор встречается с капитаном Сыромягиным, который также бежал из плена два месяца назад. Топорков решает оставить Галю и раненого Степана в селе, а сам вместе с Андреевым, Бертолетом и Лёвушкиным отправиться дальше. В пути майор Топорков умирает от остановки сердца, а в последней стычке с немцами на переправе гибнет Андреев. Несмотря ни на что, задание выполнено, настоящий обоз дошёл до цели, и двое оставшихся в живых расходятся разными путями: подрывник Бертолет возвращается за Галей и Степаном с повозками и лошадьми, чтобы вернуться назад, в партизанский отряд, а Лёвушкин отправляется на поиски Митрохина. Для него заготовлен особый патрон, которым предателя хотел наказать погибший Андреев.</t>
        </is>
      </c>
      <c r="L6977" s="2" t="inlineStr">
        <is>
          <t>https://ru.wikipedia.org/w/index.php?title=%D0%9E%D0%B1%D1%80%D0%B0%D1%82%D0%BD%D0%BE%D0%B9_%D0%B4%D0%BE%D1%80%D0%BE%D0%B3%D0%B8_%D0%BD%D0%B5%D1%82_%28%D1%84%D0%B8%D0%BB%D1%8C%D0%BC%29&amp;oldid=153556851</t>
        </is>
      </c>
      <c r="M6977" s="2">
        <f>HYPERLINK("https://ru.wikipedia.org/w/index.php?search=%D0%9E%D0%B1%D1%80%D0%B0%D1%82%D0%BD%D0%BE%D0%B9%20%D0%B4%D0%BE%D1%80%D0%BE%D0%B3%D0%B8%20%D0%BD%D0%B5%D1%82%201970%20%D1%84%D0%B8%D0%BB%D1%8C%D0%BC","искать")</f>
        <v/>
      </c>
      <c r="N6977" s="3" t="n"/>
      <c r="O6977" s="2" t="n"/>
      <c r="P6977" s="2" t="n"/>
    </row>
    <row r="6978">
      <c r="A6978" s="2" t="n">
        <v>6977</v>
      </c>
      <c r="B6978" s="2" t="inlineStr"/>
      <c r="C6978" s="2" t="n">
        <v>8768</v>
      </c>
      <c r="D6978" s="3" t="inlineStr">
        <is>
          <t>Клятвы нашего детства</t>
        </is>
      </c>
      <c r="E6978" s="2" t="n">
        <v>1989</v>
      </c>
      <c r="F6978" s="2" t="inlineStr">
        <is>
          <t>кинофильм</t>
        </is>
      </c>
      <c r="G6978" s="2" t="n"/>
      <c r="H6978" s="2" t="n">
        <v>1861</v>
      </c>
      <c r="I6978" s="2" t="inlineStr"/>
      <c r="J6978" s="2" t="inlineStr"/>
      <c r="K6978" s="3" t="inlineStr">
        <is>
          <t>После сорокалетней разлуки трое бывших детдомовцев - Ораз, Кельте и Борис — встречаются на юбилее своей бывшей воспитательницы Изюмгуль. Однако Ораз соглашается приехать лишь после долгих уговоров друзей, причина — история, произошедшая в далеком детстве. Оразу не было и девяти лет, когда, спасая сына, его мать утонула в горной речке. От этого потрясения мальчик теряет дар речи. Вскоре на фронте погибает отец. Ораз бродяжничает, занимается воровством. Как-то он встречает Борьку, который приводит его в компанию беспризорников, возглавляемую дезертиром Султаном. Тот устраивает мальчика работать на почту. По требованию Султана Ораз ворует вещи из фронтовых посылок. За этим занятием его застает Довлет — молодой одноногий солдат. Султан и его беспризорники до полусмерти избивают Довлета. В драку вмешивается военный патруль, и Султан погибает в перестрелке. Детей отправляют в детский дом, сопровождать их поручают Довлету, он же становится воспитателем и директором детского дома. В поисках сына сюда приходит инвалид войны Байрам и остается тут работать. Особенно близкие отношения у него складываются с Оразом. Однажды Байрам обнаруживает, что повариха Изюмгуль крадет у детей продукты. В отместку она доносит на него как на изменника Родины. Байрам арестован. Пытаясь спасти его, Довлет сам оказывается в тюрьме. Изюмгуль становится директором детдома и избавляется от Ораза, отправив его в детскую колонию. После сильного землетрясения многие из детдомовцев погибают, оставшихся в живых распределяют по детдомам. Теперь они встречаются на юбилее Изюмгуль. В разгар торжества Ораз сообщает, что нашелся Довлет, которому они когда-то давали клятву жить по совести. Он в больнице. Но гости решают не омрачать торжество невеселыми воспоминаниями. Тогда Ораз обвиняет присутствующих в черствости и затевает драку. Его отправляют в психиатрическую клинику.</t>
        </is>
      </c>
      <c r="L6978" s="2" t="inlineStr">
        <is>
          <t>https://gosfilmofond.ru/films/240328/</t>
        </is>
      </c>
      <c r="M6978" s="2">
        <f>HYPERLINK("https://ru.wikipedia.org/w/index.php?search=%D0%9A%D0%BB%D1%8F%D1%82%D0%B2%D1%8B%20%D0%BD%D0%B0%D1%88%D0%B5%D0%B3%D0%BE%20%D0%B4%D0%B5%D1%82%D1%81%D1%82%D0%B2%D0%B0%201989%20%D1%84%D0%B8%D0%BB%D1%8C%D0%BC","искать")</f>
        <v/>
      </c>
      <c r="N6978" s="3" t="n"/>
      <c r="O6978" s="2" t="n"/>
      <c r="P6978" s="2" t="n"/>
    </row>
    <row r="6979">
      <c r="A6979" s="2" t="n">
        <v>6978</v>
      </c>
      <c r="B6979" s="2" t="inlineStr"/>
      <c r="C6979" s="2" t="n">
        <v>9758</v>
      </c>
      <c r="D6979" s="3" t="inlineStr">
        <is>
          <t>ЧП районного масштаба</t>
        </is>
      </c>
      <c r="E6979" s="2" t="n">
        <v>1988</v>
      </c>
      <c r="F6979" s="2" t="inlineStr">
        <is>
          <t>кинофильм</t>
        </is>
      </c>
      <c r="G6979" s="2" t="n"/>
      <c r="H6979" s="2" t="n">
        <v>1863</v>
      </c>
      <c r="I6979" s="2" t="inlineStr"/>
      <c r="J6979" s="2" t="inlineStr"/>
      <c r="K6979" s="3" t="inlineStr">
        <is>
          <t>Брежневская эпоха, Ленинград. Первый секретарь Краснопролетарского райкома комсомола Николай Петрович Шумилин должен пойти на повышение — секретарём горкома. Напоследок он отмечает это назначение со своими коллегами — в баньке, с алкоголем и девочками. Однако не всё складывается гладко — вернувшись домой после оргии, Николай неожиданно узнаёт от жены, что та собирается подать на развод.
А утром выясняется, что ночью в райком забрались подростки, которые устроили здесь распитие портвейна с последующим погромом. Кроме того, они похитили кубок спартакиады и знамя. И произошло это накануне юбилейного слёта районной комсомольской организации, который должен был пройти во Дворце спорта «Юбилейный». Секретарь райкома КПСС Ковалевский требует от Шумилина в течение двух дней разобраться с ситуацией.
Оказавшись в безвыходной ситуации, Николай пытается найти помощь у своей бывшей любовницы — секретаря обкома КПСС Королёвой, но тщетно: помочь в ситуации со знаменем она не берётся. Ковалевский, со своей стороны, намекает, что Николай отделается минимальным наказанием. И тогда во время заседания комсомольской организации завода Шумилин решается резать правду-матку.
После заседания Николай идёт к любовнице, занимается с ней сексом, потом они отправляются в молодёжное кафе на дискотеку. Там неожиданно в качестве вазы для цветов возникает похищенный из райкома кубок. После этого милиция достаточно быстро вычисляет похитителя знамени — подростка из неблагополучной семьи. Параллельно выясняется, что опасения по поводу пропажи знамени несколько преувеличены: райкому просто выделят новое, и конфликт будет исчерпан. Но тут возникает новая проблема — теперь Шумилину вменяют в вину его речь на заводе. И вот финал на грани фарса: Ковалевский сообщает, что принято решение считать выступление Николая новым почином под названием «Всесоюзный урок искренности».</t>
        </is>
      </c>
      <c r="L6979" s="2" t="inlineStr">
        <is>
          <t>https://ru.wikipedia.org/w/index.php?title=%D0%A7%D0%9F_%D1%80%D0%B0%D0%B9%D0%BE%D0%BD%D0%BD%D0%BE%D0%B3%D0%BE_%D0%BC%D0%B0%D1%81%D1%88%D1%82%D0%B0%D0%B1%D0%B0_%28%D1%84%D0%B8%D0%BB%D1%8C%D0%BC%29&amp;oldid=154799057</t>
        </is>
      </c>
      <c r="M6979" s="2">
        <f>HYPERLINK("https://ru.wikipedia.org/w/index.php?search=%D0%A7%D0%9F%20%D1%80%D0%B0%D0%B9%D0%BE%D0%BD%D0%BD%D0%BE%D0%B3%D0%BE%20%D0%BC%D0%B0%D1%81%D1%88%D1%82%D0%B0%D0%B1%D0%B0%201988%20%D1%84%D0%B8%D0%BB%D1%8C%D0%BC","искать")</f>
        <v/>
      </c>
      <c r="N6979" s="3" t="n"/>
      <c r="O6979" s="2" t="n"/>
      <c r="P6979" s="2" t="n"/>
    </row>
    <row r="6980">
      <c r="A6980" s="2" t="n">
        <v>6979</v>
      </c>
      <c r="B6980" s="2" t="inlineStr"/>
      <c r="C6980" s="2" t="n">
        <v>8325</v>
      </c>
      <c r="D6980" s="3" t="inlineStr">
        <is>
          <t>Семейные дела Гаюровых</t>
        </is>
      </c>
      <c r="E6980" s="2" t="n">
        <v>1975</v>
      </c>
      <c r="F6980" s="2" t="inlineStr">
        <is>
          <t>телефильм</t>
        </is>
      </c>
      <c r="G6980" s="2" t="n"/>
      <c r="H6980" s="2" t="n">
        <v>1866</v>
      </c>
      <c r="I6980" s="2" t="inlineStr"/>
      <c r="J6980" s="2" t="inlineStr"/>
      <c r="K6980" s="3" t="inlineStr">
        <is>
          <t>В горах Таджикистана идёт масштабное строительство гидроэлектростанции. Приостановлены стройки плановых объектов. На стройке текучка, проблемы с жильём, со снабжением. Неподалёку в горном кишлаке спокойно живёт семья Гаюровых.
Отец семьи Гаюровых Вахид уже два года как стал вдовцом, и переживает что младший сын Камил Вахидович до сих пор не женат. Отец идёт к старшему сыну начальнику строительства Боиру на работу, сообщить о приезде сестры Рукии, но увидев сложности на работе передаёт информацию через секретаря. Старший сын тоже до сих пор холост и не живёт дома из-за перегрузок на работе. Директор недостроенной школы Айша Сафаровна приходит на приём к Боиру Вахидовичу с претензиями, но он внезапно проникается к девушке с тёплыми чувствами. Камил ухаживает за дочерью парторга Галей. Парторг Андрей Сергеевич Горбунов предъявляет претензии начальнику стройки Боиру и снабженцу Халилу Шакирову. Галя работает в школе вместе с Айшой Сафаровной. Айша Сафаровна на своих уроках по литературе талантливо связывает поэзию Александра Пушкина с таджикским поэтом Фирдоуси. Боир решает жениться на Айше. Камил решает жениться на Гале. Галя оказывается не родной дочерью парторга… Айша сбежала от мужа со сложным характером и теперь боится властных мужчин. У Боира тоже личная жизнь в прошлом не сложилась — жена и ребёнок умерли в один день. В планах строительства снести кишлак в котором живёт семья Гаюровых и построить на его месте город. Камил и Галя запланировали свадьбу через неделю, но внезапная авария на строительном участке забирает жизнь Камила и вместо свадьбы все собираются на похороны. После смерти младшего брата средний сын Мансур принимает решение продолжить дело брата и устаивается на стройку в бригаду скалолазов. Галя уезжает на ЛИАЗе интуриста, отец Камила, провожая её, говорит, что у неё теперь есть ещё один дом, куда она может вернуться.</t>
        </is>
      </c>
      <c r="L6980" s="2" t="inlineStr">
        <is>
          <t>https://ru.wikipedia.org/w/index.php?title=%D0%A1%D0%B5%D0%BC%D0%B5%D0%B9%D0%BD%D1%8B%D0%B5_%D0%B4%D0%B5%D0%BB%D0%B0_%D0%93%D0%B0%D1%8E%D1%80%D0%BE%D0%B2%D1%8B%D1%85&amp;oldid=151753890</t>
        </is>
      </c>
      <c r="M6980" s="2">
        <f>HYPERLINK("https://ru.wikipedia.org/w/index.php?search=%D0%A1%D0%B5%D0%BC%D0%B5%D0%B9%D0%BD%D1%8B%D0%B5%20%D0%B4%D0%B5%D0%BB%D0%B0%20%D0%93%D0%B0%D1%8E%D1%80%D0%BE%D0%B2%D1%8B%D1%85%201975%20%D1%84%D0%B8%D0%BB%D1%8C%D0%BC","искать")</f>
        <v/>
      </c>
      <c r="N6980" s="3" t="n"/>
      <c r="O6980" s="2" t="n"/>
      <c r="P6980" s="2" t="n"/>
    </row>
    <row r="6981">
      <c r="A6981" s="2" t="n">
        <v>6980</v>
      </c>
      <c r="B6981" s="2" t="inlineStr"/>
      <c r="C6981" s="2" t="n">
        <v>9317</v>
      </c>
      <c r="D6981" s="3" t="inlineStr">
        <is>
          <t>Графиня</t>
        </is>
      </c>
      <c r="E6981" s="2" t="n">
        <v>1991</v>
      </c>
      <c r="F6981" s="2" t="inlineStr">
        <is>
          <t>кинофильм</t>
        </is>
      </c>
      <c r="G6981" s="2" t="inlineStr">
        <is>
          <t>ЛОГОС</t>
        </is>
      </c>
      <c r="H6981" s="2" t="n">
        <v>1866</v>
      </c>
      <c r="I6981" s="2" t="inlineStr"/>
      <c r="J6981" s="2" t="inlineStr"/>
      <c r="K6981" s="3" t="inlineStr">
        <is>
          <t>Старинная подмосковная усадьба превращена в наше время в музей. Рассказывают, что время от времени там появляется призрак её бывшей владелицы графини. Но не каждому посетителю усадьбы дано её увидеть. Однажды в музее молодой писатель Никита видит прекрасную женщину с двумя детьми, сидящими за обеденным столом. Он понимает, что это графиня. Спустя некоторое время в столовой санатория, располагающегося здесь же, он встречает молодую женщину – копию графини. Они знакомятся. Нина отдыхает здесь со своими детьми, очень похожими на детей графини. Ник увлекается Ниной и готов бросить свою возлюбленную ради неё. Нина прочла повесть Ника и восхищена его талантом, но боится бросаться в пучину страсти. Ей хочется любви этого мальчишки, но он странным образом напоминает ей бывшего мужа, тоже писателя, который использовал её и уничтожил. Графиня является Нине, и она просит подсказать, как ей быть. Графиня говорит, что это не любовь, а искушение. В санаторий приезжает маститый писатель Никифоров, чтобы провести с Никитой переговоры. Он скупает его талантливые произведения и печатает под своим именем. Никифоров – бывший муж Нины. Он намерен вернуть её, и привёз дорогое кольцо ей в подарок, но она не хочет к нему возвращаться. Ник получает очередной гонорар от Никифорова и решает своей щедростью завоевать любовь Нины. Та увлечена Никитой, но понимает, что для молоденького Никита она – мимолётная страсть. Нина признается Нику, что писатель, скупающий у Никиты его творения её бывший муж. Ник плачет. Нина обещает прийти к молодому писателю в номер: «Мы должны довести сказку до конца». Ник же радуется, что он, наконец, наставит Никифорову рога. На прогулке в парке к Нине является графиня. Она хочет предупредить её о грядущем разочаровании в возлюбленном. Опомнившись, рано утром Нина покидает вместе с детьми санаторий. Никита входит в её уже пустой номер.</t>
        </is>
      </c>
      <c r="L6981" s="2" t="inlineStr">
        <is>
          <t>https://gosfilmofond.ru/films/232266/</t>
        </is>
      </c>
      <c r="M6981" s="2">
        <f>HYPERLINK("https://ru.wikipedia.org/w/index.php?search=%D0%93%D1%80%D0%B0%D1%84%D0%B8%D0%BD%D1%8F%201991%20%D1%84%D0%B8%D0%BB%D1%8C%D0%BC","искать")</f>
        <v/>
      </c>
      <c r="N6981" s="3" t="n"/>
      <c r="O6981" s="2" t="n"/>
      <c r="P6981" s="2" t="n"/>
    </row>
    <row r="6982">
      <c r="A6982" s="2" t="n">
        <v>6981</v>
      </c>
      <c r="B6982" s="2" t="inlineStr"/>
      <c r="C6982" s="2" t="n">
        <v>9776</v>
      </c>
      <c r="D6982" s="3" t="inlineStr">
        <is>
          <t>Щен из созвездия Гончих псов</t>
        </is>
      </c>
      <c r="E6982" s="2" t="n">
        <v>1991</v>
      </c>
      <c r="F6982" s="2" t="inlineStr">
        <is>
          <t>кинофильм</t>
        </is>
      </c>
      <c r="G6982" s="2" t="n"/>
      <c r="H6982" s="2" t="n">
        <v>1867</v>
      </c>
      <c r="I6982" s="2" t="inlineStr"/>
      <c r="J6982" s="2" t="inlineStr"/>
      <c r="K6982" s="3" t="inlineStr">
        <is>
          <t>Действия разворачиваются в провинциальном советском городке второй половины 20 века. Молодой журналист местной газеты Игорь Солдатов подбирает на улице щенка, приносит его домой, кормит и дает ему имя Щен. Игорь берет щенка на работу, где коллеги натаскивают Щена на поиск интересных писем от читателей. Одно из писем - от продавщицы парфюмерного магазина, в котором она просила помочь ей восстановить своё честное имя, так как её обвиняют в похищении 25 флаконов импортного лосьона. Игорь едет в магазин с собакой, и Щен быстро находит пропажу во дворе у мальчишек. Благодарная продавщица Лида приглашает Игоря в гости. Девушка увлечена собаками и кроме породистого пса Цезаря подобрала и приютила беспородного пса, назвав его Дэзи. Игорь начинает общаться с собачниками и знакомится там с Люсей, девушкой избалованной и высокомерной. Он приглашает её к себе домой и тщательно готовится к встрече. Люся, войдя в дом, придирчиво осматривает квартиру, принимает, как должное, знаки внимания юноши. Щен насторожен. В это время в квартиру Игоря случайно заглядывает Лида. Он отправляет её прочь, упрекая, что она за ним бегает. Изгнан из квартиры и щенок, чтобы он не мешал общению с Люсей. Но Люсе не интересен простой паренек Игорь. Она начинает общаться с рокерами и встречаться с их вожаком, который называет себя «королём металла». Во время одной из их вечеринок Игорь приходит со щенком в квартиру Люси и развенчивает мнимого короля. Ребята дерутся. Вызванная соседями милиция разгоняет молодых людей. Рокер решает отомстить Игорю. Вместе с живодером он отлавливает гуляющих во дворе Щена и Дэзи, и увозит собак в фургоне. Игорь, находясь на работе, чувствует, что со щенком что-то случилось. Он бежит домой, где соседи сообщают ему, что собак увезли. Игорь и Лида пускаются в погоню и спасают собак. Игорь целует Лиду и говорит ей, что она замечательная девчонка.</t>
        </is>
      </c>
      <c r="L6982" s="2" t="inlineStr">
        <is>
          <t>https://gosfilmofond.ru/films/232580/</t>
        </is>
      </c>
      <c r="M6982" s="2">
        <f>HYPERLINK("https://ru.wikipedia.org/w/index.php?search=%D0%A9%D0%B5%D0%BD%20%D0%B8%D0%B7%20%D1%81%D0%BE%D0%B7%D0%B2%D0%B5%D0%B7%D0%B4%D0%B8%D1%8F%20%D0%93%D0%BE%D0%BD%D1%87%D0%B8%D1%85%20%D0%BF%D1%81%D0%BE%D0%B2%201991%20%D1%84%D0%B8%D0%BB%D1%8C%D0%BC","искать")</f>
        <v/>
      </c>
      <c r="N6982" s="3" t="n"/>
      <c r="O6982" s="2" t="n"/>
      <c r="P6982" s="2" t="n"/>
    </row>
    <row r="6983">
      <c r="A6983" s="2" t="n">
        <v>6982</v>
      </c>
      <c r="B6983" s="2" t="inlineStr"/>
      <c r="C6983" s="2" t="n">
        <v>7907</v>
      </c>
      <c r="D6983" s="3" t="inlineStr">
        <is>
          <t>Мужские тревоги</t>
        </is>
      </c>
      <c r="E6983" s="2" t="n">
        <v>1986</v>
      </c>
      <c r="F6983" s="2" t="inlineStr">
        <is>
          <t>телефильм</t>
        </is>
      </c>
      <c r="G6983" s="2" t="inlineStr">
        <is>
          <t>ТО «Экран»</t>
        </is>
      </c>
      <c r="H6983" s="2" t="n">
        <v>1884</v>
      </c>
      <c r="I6983" s="2" t="inlineStr"/>
      <c r="J6983" s="2" t="inlineStr"/>
      <c r="K6983" s="3" t="inlineStr">
        <is>
          <t>Молодой морской лейтенант Андрей Киселёв сразу после училища назначается командиром поста гидроакустиков противолодочного корабля «Ловкий» (прототип — сторожевой корабль «Сметливый»). Из-за своей юности и неопытности он совершает ошибки, некорректно обходится с подчинёнными, что приводит к пристальному вниманию со стороны командования, а также к отсутствию взаимопонимания с коллективом матросов. В один из коротких визитов на берег (действие происходит на главной военно-морской базе Черноморского флота Севастополе) лейтенант Киселёв знакомится с весьма строгой молодой женщиной Надей, которая несущественно старше его, и живёт в частном секторе Гагаринского района города Севастополя вблизи древнего города Херсонес. Непростые взаимоотношения с прохладно себя ведущей Надей и просчёты на службе не дают повода лейтенанту Киселёву отступать. Кроме того, выясняется, что Надя, которой, скорее всего, Киселёв нравится, не хочет начинать с ним серьёзные отношения и ведёт себя так потому, что уже была замужем за офицером-подводником и имеет двоих детей. Муж Нади погиб, но даже когда был жив, служба не позволяла ему уделять достаточно времени семье.
Тем временем командование противолодочного корабля, понимая все трудности молодого выпускника училища, даёт шанс Киселёву исправиться.
Однако на дворе рубеж 1970-х — 1980-х годов, идёт холодная война. В сложной обстановке учебного похода вдали от СССР, успешно выполняя задания, Киселёв набирается опыта, и это приводит к некоторым изменениям в его отношении к окружающим. После успешного завершения похода и возвращения в СССР дружеская обстановка в коллективе говорит о том, что Киселёв нашёл взаимопонимание с матросами, мичманом и командованием. Однако Надя, следуя своим убеждениям не повторять прошлых ошибок, а именно не влюбляться в морского офицера, уезжает с детьми в Ленинград, избегая таким образом встречи с Киселёвым.</t>
        </is>
      </c>
      <c r="L6983" s="2" t="inlineStr">
        <is>
          <t>https://ru.wikipedia.org/w/index.php?title=%D0%9C%D1%83%D0%B6%D1%81%D0%BA%D0%B8%D0%B5_%D1%82%D1%80%D0%B5%D0%B2%D0%BE%D0%B3%D0%B8&amp;oldid=153452594</t>
        </is>
      </c>
      <c r="M6983" s="2">
        <f>HYPERLINK("https://ru.wikipedia.org/w/index.php?search=%D0%9C%D1%83%D0%B6%D1%81%D0%BA%D0%B8%D0%B5%20%D1%82%D1%80%D0%B5%D0%B2%D0%BE%D0%B3%D0%B8%201986%20%D1%84%D0%B8%D0%BB%D1%8C%D0%BC","искать")</f>
        <v/>
      </c>
      <c r="N6983" s="3" t="n"/>
      <c r="O6983" s="2" t="n"/>
      <c r="P6983" s="2" t="n"/>
    </row>
    <row r="6984">
      <c r="A6984" s="2" t="n">
        <v>6983</v>
      </c>
      <c r="B6984" s="2" t="inlineStr"/>
      <c r="C6984" s="2" t="n">
        <v>8810</v>
      </c>
      <c r="D6984" s="3" t="inlineStr">
        <is>
          <t>Люми</t>
        </is>
      </c>
      <c r="E6984" s="2" t="n">
        <v>1991</v>
      </c>
      <c r="F6984" s="2" t="inlineStr">
        <is>
          <t>кинофильм</t>
        </is>
      </c>
      <c r="G6984" s="2" t="n"/>
      <c r="H6984" s="2" t="n">
        <v>1885</v>
      </c>
      <c r="I6984" s="2" t="inlineStr"/>
      <c r="J6984" s="2" t="inlineStr"/>
      <c r="K6984" s="3" t="inlineStr">
        <is>
          <t>На берегу реки встречаются двое мужчин. Один, представившись охотником, покупает у торговца оружием орудия убийства. На отдаленном хуторе живет молодая семья Янис и Инга с маленькой дочкой Марианной. Название их хутора Люми связано с легендой о том, что время от времени в этой местности появляется огромный волк. Переодевшись человеком, он нападает на людей, чтобы отомстить за своего пращура. Жертвами часто оказываются маленькие девочки. В доме ждут в гости друга хозяина писателя Валерия Гумперта, который расследует случаи появления загадочного существа Люми. До жителей доходят тревожные вести, что на днях огромный незнакомец, одетый в плащ-палатку, растерзал двух водителей на трассе и ушёл в лес. Маленькая Марианна испугана, что Люми придёт за ней. Приезжает Валерий, играет с Марианной и читает ей сказку про Красную шапочку. Он готовит девочку, как себя вести в подобной ситуации. Валерий остается в доме, чтобы охранять покой жильцов. Инга тайно влюблена в друга мужа и, наконец, признается ему в своих чувствах. Мужчина признателен девушке, но отвергает её любовь. Случайно увидев поцелуй двух близких людей, Янис считает жену и друга предателями. Но забыть о ревности всех заставляет реальная опасность: Люми бродит совсем рядом с хутором. События развиваются подобно сказке о Красной шапочке. В целях безопасности девочку отправляют к тётушке на соседний хутор. По дороге она теряется и после блуждания по лесу сама выходит к дому тётушки. Там её поджидает волк Люми. Смелая девочка направляет в лицо волку едкую струю из баллончика. Волк отпускает девочку. В дом врывается Валерий. Но ему не так просто справиться с огромным волком. Марианна бежит за помощью в родительский дом. Когда группа людей подоспела, то помощь уже не понадобилась. Поверженный волк лежит бездыханный. Восторженный взгляд Инги обращён на Валерия, но он заявляет: «Меня интересуют только волки».</t>
        </is>
      </c>
      <c r="L6984" s="2" t="inlineStr">
        <is>
          <t>https://gosfilmofond.ru/films/232373/</t>
        </is>
      </c>
      <c r="M6984" s="2">
        <f>HYPERLINK("https://ru.wikipedia.org/w/index.php?search=%D0%9B%D1%8E%D0%BC%D0%B8%201991%20%D1%84%D0%B8%D0%BB%D1%8C%D0%BC","искать")</f>
        <v/>
      </c>
      <c r="N6984" s="3" t="n"/>
      <c r="O6984" s="2" t="n"/>
      <c r="P6984" s="2" t="n"/>
    </row>
    <row r="6985">
      <c r="A6985" s="2" t="n">
        <v>6984</v>
      </c>
      <c r="B6985" s="2" t="inlineStr"/>
      <c r="C6985" s="2" t="n">
        <v>9546</v>
      </c>
      <c r="D6985" s="3" t="inlineStr">
        <is>
          <t>Первый этаж</t>
        </is>
      </c>
      <c r="E6985" s="2" t="n">
        <v>1990</v>
      </c>
      <c r="F6985" s="2" t="inlineStr">
        <is>
          <t>кинофильм</t>
        </is>
      </c>
      <c r="G6985" s="2" t="n"/>
      <c r="H6985" s="2" t="n">
        <v>1885</v>
      </c>
      <c r="I6985" s="2" t="inlineStr"/>
      <c r="J6985" s="2" t="inlineStr"/>
      <c r="K6985" s="3" t="inlineStr">
        <is>
          <t>Действие разворачивается в позднесоветскую эпоху, на протяжении года. Летом в милицейской машине 18-летний дружинник Сергей встречает 20-летнюю девушку Надю, которую арестовали за участие в драке на чьём-то дне рождения. Он заговаривает с ней в итоге отпускает, говоря милиционеру, что она сбежала, оттолкнув его. Осенью Надя видит Сергея возле клуба, где он дежурит, и предлагает ему пойти к ней, что он и делает. Сергей проводит ночь у Нади, которая живёт одна в комнате, которую она снимает у соседа дяди Коли. После этого Сергей ищет новой встречи с Надей, но не застаёт её дома, и лишь спустя некоторое время встречает её у квартиры, причём он видит, что Надю привёз на такси какой-то мужчина, которого она поцеловала. Сергей ревнует Надю, однако связь между ними продолжается. Мать Сергея даже звонит в парикмахерскую, где работает Надя, чтобы сказать ей, что она не должна встречаться с её сыном: Надя старше и из-за неё Сергей забросил техникум. Дядя Коля, с которым Сергей регулярно встречается на общей кухне, говорит ему, что Надя поменяла квартиру на комнату на первом этаже, когда после развода с мужем она рассталась с новым возлюбленным.
Весной во время празднования 8 марта между Сергеем и матерью снова происходит объяснение на улице, но Сергей отказывается бросать Надю. Однако отношения между ними становятся натянутыми: Сергею не нравится, что Надя курит, он ждёт её после танцев и выясняет, почему она долго танцевала с двумя парнями и не встречается ли она с кем-то из них. Вернувшись домой, Сергей продолжает допрашивать Надю, которая просит его уйти. Сергей понимает, что Надя больше не любит его, к тому же она признаётся, что встречается с другим парнем. Сергей угрожает убить Надю и в какой-то момент хватает лежащие на кровати ножницы и вонзает в грудь Нади. Она падает на пол и умирает, а Сергей ложится рядом, говоря, что он немного полежит с ней и уйдёт.</t>
        </is>
      </c>
      <c r="L6985" s="2" t="inlineStr">
        <is>
          <t>https://ru.wikipedia.org/w/index.php?title=%D0%9F%D0%B5%D1%80%D0%B2%D1%8B%D0%B9_%D1%8D%D1%82%D0%B0%D0%B6_%28%D1%84%D0%B8%D0%BB%D1%8C%D0%BC%29&amp;oldid=146934925</t>
        </is>
      </c>
      <c r="M6985" s="2">
        <f>HYPERLINK("https://ru.wikipedia.org/w/index.php?search=%D0%9F%D0%B5%D1%80%D0%B2%D1%8B%D0%B9%20%D1%8D%D1%82%D0%B0%D0%B6%201990%20%D1%84%D0%B8%D0%BB%D1%8C%D0%BC","искать")</f>
        <v/>
      </c>
      <c r="N6985" s="3" t="n"/>
      <c r="O6985" s="2" t="n"/>
      <c r="P6985" s="2" t="n"/>
    </row>
    <row r="6986">
      <c r="A6986" s="2" t="n">
        <v>6985</v>
      </c>
      <c r="B6986" s="2" t="inlineStr"/>
      <c r="C6986" s="2" t="n">
        <v>8352</v>
      </c>
      <c r="D6986" s="3" t="inlineStr">
        <is>
          <t>Сказки старого волшебника</t>
        </is>
      </c>
      <c r="E6986" s="2" t="n">
        <v>1984</v>
      </c>
      <c r="F6986" s="2" t="inlineStr">
        <is>
          <t>телефильм</t>
        </is>
      </c>
      <c r="G6986" s="2" t="n"/>
      <c r="H6986" s="2" t="n">
        <v>1891</v>
      </c>
      <c r="I6986" s="2" t="inlineStr"/>
      <c r="J6986" s="2" t="inlineStr"/>
      <c r="K6986" s="3" t="inlineStr">
        <is>
          <t>В каждой сказке есть свои законы. Фея видит в них только добро, колдунья — одно лишь зло. Хранитель сказок когда-то тоже обучался волшебству, потом бросил и начал сочинять сказки, но это всё в прошлом. Теперь он только охраняет сказки, написанные задолго до него и не позволяет себе вмешиваться.
В старые-старые времена жили-были король с королевой, и однажды у них родилась дочь. В честь этого события король созвал на бал всех жителей сказочного королевства: Золушку и её сестёр, Красную Шапочку, Людоеда, герцога Рауля Синюю Бороду с восьмой женой и конечно добрую фею и злую колдунью. Однако последняя в результате путаницы приглашения не получила и воспользовавшись поводом, прокляла принцессу: в день шестнадцатилетия она уколет палец веретеном, и заснёт вечным сном. Фея, следуя сказочным законам, не может отметить проклятие, но смягчает его: через сто лет должен появиться принц и разбудить принцессу поцелуем.
Король распоряжается уничтожить все прялки в королевстве, а число 16 изъять из употребления. Однако в королевстве появляется юный странствующий принц — мастер на все руки и очень добрый, готовый помочь каждому нуждающемуся. Он изготавливает ткацкий станок и учит принцессу считать. Безуспешно придворные пытаются помешать им сблизиться, лишь по просьбе короля принц соглашается уехать, обещая принцессе ждать её письма. Но сказка неотвратимо идёт своим чередом. Должно пройти ровно сто лет, прежде можно будет снять проклятие, и тогда, услышав от менестрелей балладу о спящей красавице, постаревший принц поймёт, что никто кроме него не в сможет это сделать. Но сможет ли принцесса выйти за него замуж и быть с ним счастлива, сможет ли она быть счастлива без него, если он не захочет обременять её своей старостью? Все старики хотели бы превратиться в юношей, только ни у кого не выходит. Но чтобы добро победило зло, нужно отдать хотя бы маленький кусочек своего сердца.</t>
        </is>
      </c>
      <c r="L6986" s="2" t="inlineStr">
        <is>
          <t>https://ru.wikipedia.org/w/index.php?title=%D0%A1%D0%BA%D0%B0%D0%B7%D0%BA%D0%B8_%D1%81%D1%82%D0%B0%D1%80%D0%BE%D0%B3%D0%BE_%D0%B2%D0%BE%D0%BB%D1%88%D0%B5%D0%B1%D0%BD%D0%B8%D0%BA%D0%B0&amp;oldid=154826424</t>
        </is>
      </c>
      <c r="M6986" s="2">
        <f>HYPERLINK("https://ru.wikipedia.org/w/index.php?search=%D0%A1%D0%BA%D0%B0%D0%B7%D0%BA%D0%B8%20%D1%81%D1%82%D0%B0%D1%80%D0%BE%D0%B3%D0%BE%20%D0%B2%D0%BE%D0%BB%D1%88%D0%B5%D0%B1%D0%BD%D0%B8%D0%BA%D0%B0%201984%20%D1%84%D0%B8%D0%BB%D1%8C%D0%BC","искать")</f>
        <v/>
      </c>
      <c r="N6986" s="3" t="n"/>
      <c r="O6986" s="2" t="n"/>
      <c r="P6986" s="2" t="n"/>
    </row>
    <row r="6987">
      <c r="A6987" s="2" t="n">
        <v>6986</v>
      </c>
      <c r="B6987" s="2" t="inlineStr"/>
      <c r="C6987" s="2" t="n">
        <v>8353</v>
      </c>
      <c r="D6987" s="3" t="inlineStr">
        <is>
          <t>Скандальное происшествие в Брикмилле</t>
        </is>
      </c>
      <c r="E6987" s="2" t="n">
        <v>1980</v>
      </c>
      <c r="F6987" s="2" t="inlineStr">
        <is>
          <t>телефильм</t>
        </is>
      </c>
      <c r="G6987" s="2" t="n"/>
      <c r="H6987" s="2" t="n">
        <v>1894</v>
      </c>
      <c r="I6987" s="2" t="inlineStr"/>
      <c r="J6987" s="2" t="inlineStr"/>
      <c r="K6987" s="3" t="inlineStr">
        <is>
          <t>Действие происходит в провинциальном британском городке Брикмилле, примерно в середине XX века. Мистер Джордж Кэттл — управляющий местного банка, строгий и скучный человек, который живёт по неукоснительному распорядку. Однажды дождливым осенним днём он как всегда, съев завтрак, собирается и уходит на работу, но по дороге на службу останавливается у витрины магазина игрушек и слышит свой внутренний голос, после чего его жизнь бесповоротно меняется. К удивлению экономки миссис Твигг, хозяин дома неожиданно возвращается домой с игрушками из детского магазина.
Вернувшись домой, Кэттл играет в охотника, затем с удовольствием исполняет партию большого барабана, аккомпанируя опере «Князь Игорь», пьёт виски и, наконец, признаётся в любви заглянувшей к нему Делии Мун, до этого общавшейся с ним исключительно по деловым вопросам. Джордж говорит ей, что решил отныне быть абсолютно честным с самим собой и окружающими. Делия, отношения которой с мужем далеки от взаимопонимания, неожиданно отвечает взаимностью.
Знакомые мистера Кэттла решают, что он ушёл в запой или впал в детство. Дома у мистера Кэттла появляются полицейский инспектор Стрит, клиент банка, господин Хардейкер и начальник Клинтон. Хозяин дома пытается выпроводить инспектора, но тот ударом по голове временно отключает его. Визитёры решают, что у хозяина дома странное помрачение рассудка и необходимо принять меры, чтобы вылечить добропорядочного гражданина. Они приглашают доктора Гренока, известного удачными опытами в области лечения гипнозом. Приёмы доктора дают ожидаемый эффект — Кэттл становится «нормальным». Делия с тревогой следит за тем, как меняется её возлюбленный, но когда непрошенные гости покидают дом, он даёт ей понять, что всего лишь притворялся, чтобы непрошенные гости поскорей покинули его дом. Нашедшие друг друга влюблённые собираются немедленно покинуть Брикмилль, чтобы ехать, «куда глаза глядят».</t>
        </is>
      </c>
      <c r="L6987" s="2" t="inlineStr">
        <is>
          <t>https://ru.wikipedia.org/w/index.php?title=%D0%A1%D0%BA%D0%B0%D0%BD%D0%B4%D0%B0%D0%BB%D1%8C%D0%BD%D0%BE%D0%B5_%D0%BF%D1%80%D0%BE%D0%B8%D1%81%D1%88%D0%B5%D1%81%D1%82%D0%B2%D0%B8%D0%B5_%D0%B2_%D0%91%D1%80%D0%B8%D0%BA%D0%BC%D0%B8%D0%BB%D0%BB%D0%B5&amp;oldid=142737090</t>
        </is>
      </c>
      <c r="M6987" s="2">
        <f>HYPERLINK("https://ru.wikipedia.org/w/index.php?search=%D0%A1%D0%BA%D0%B0%D0%BD%D0%B4%D0%B0%D0%BB%D1%8C%D0%BD%D0%BE%D0%B5%20%D0%BF%D1%80%D0%BE%D0%B8%D1%81%D1%88%D0%B5%D1%81%D1%82%D0%B2%D0%B8%D0%B5%20%D0%B2%20%D0%91%D1%80%D0%B8%D0%BA%D0%BC%D0%B8%D0%BB%D0%BB%D0%B5%201980%20%D1%84%D0%B8%D0%BB%D1%8C%D0%BC","искать")</f>
        <v/>
      </c>
      <c r="N6987" s="3" t="n"/>
      <c r="O6987" s="2" t="n"/>
      <c r="P6987" s="2" t="n"/>
    </row>
    <row r="6988">
      <c r="A6988" s="2" t="n">
        <v>6987</v>
      </c>
      <c r="B6988" s="2" t="inlineStr"/>
      <c r="C6988" s="2" t="n">
        <v>9420</v>
      </c>
      <c r="D6988" s="3" t="inlineStr">
        <is>
          <t>Когда опаздывают в ЗАГС</t>
        </is>
      </c>
      <c r="E6988" s="2" t="n">
        <v>1991</v>
      </c>
      <c r="F6988" s="2" t="inlineStr">
        <is>
          <t>кинофильм</t>
        </is>
      </c>
      <c r="G6988" s="2" t="n"/>
      <c r="H6988" s="2" t="n">
        <v>1895</v>
      </c>
      <c r="I6988" s="2" t="inlineStr"/>
      <c r="J6988" s="2" t="inlineStr"/>
      <c r="K6988" s="3" t="inlineStr">
        <is>
          <t>Наше время. В киноэкспедиции на юге Костя знакомится с Викой, отдыхающей у моря, и у них закручивается роман. Заканчиваются съемки, Константин возвращается в Москву и приглашает Викторию приехать в гости. Дома Костя застает незнакомую девушку. Его друг дал ключи от квартиры молодожёнам-студентам Тимофею и Светлане на время отсутствия хозяина дома. Но Света в квартире одна. Они с Тёмой успели поссориться, и он её бросил после того, как она опоздала в загс на 2 дня. Света боится признаться жениху, что было причиной опоздания. Против его воли накануне свадьбы она летала в Новосибирск к папе сообщить о предстоящем событии. Там она потеряла паспорт, и в Москву пришлось возвращаться на поезде. Костя не может выставить Свету за дверь, и в доме начинают пересекаться две любовные истории, которые создают большую путаницу. К тому же к Косте на один день прилетает Вика и начинает ревновать её к мнимой сопернице. Путаница усиливается благодаря вмешательству родителей двух пар. Папа Светы тоже прилетает в Москву в командировку, и все действующие лица пересекаются, встречаются, но каждый делает свои выводы об остальных и их родственных связях. Совсем запутавшись, родители Кости и Светы собираются отпраздновать их свадьбу в ресторане, не принимая никаких возражений и объяснений от детей. Тёма знакомится с Викой и почти влюбляется в неё, но узнав, что его бывшая невеста выходит замуж за друга Вики, спешит в ресторан вместе с ней. Здесь всё становится на свои места, и следуют признания в любви Кости – Вике, а Тёмы – Свете.
Костя отдает «навсегда» ключи от своей квартиры Виктории, но та, оставив ему записку: «Прощай!» незаметно покидает ресторан. Он спешит в аэропорт, чтобы остановить её, но самолёт улетел. Расстроенный, он останавливает такси, чтобы ехать домой. В машине он видит Вику. «Я просто забыла отдать ключи от твоей квартиры», - с улыбкой говорит она. Влюблённые целуются.</t>
        </is>
      </c>
      <c r="L6988" s="2" t="inlineStr">
        <is>
          <t>https://gosfilmofond.ru/films/232363/</t>
        </is>
      </c>
      <c r="M6988" s="2">
        <f>HYPERLINK("https://ru.wikipedia.org/w/index.php?search=%D0%9A%D0%BE%D0%B3%D0%B4%D0%B0%20%D0%BE%D0%BF%D0%B0%D0%B7%D0%B4%D1%8B%D0%B2%D0%B0%D1%8E%D1%82%20%D0%B2%20%D0%97%D0%90%D0%93%D0%A1%201991%20%D1%84%D0%B8%D0%BB%D1%8C%D0%BC","искать")</f>
        <v/>
      </c>
      <c r="N6988" s="3" t="n"/>
      <c r="O6988" s="2" t="n"/>
      <c r="P6988" s="2" t="n"/>
    </row>
    <row r="6989">
      <c r="A6989" s="2" t="n">
        <v>6988</v>
      </c>
      <c r="B6989" s="2" t="inlineStr"/>
      <c r="C6989" s="2" t="n">
        <v>9735</v>
      </c>
      <c r="D6989" s="3" t="inlineStr">
        <is>
          <t>Холод</t>
        </is>
      </c>
      <c r="E6989" s="2" t="n">
        <v>1991</v>
      </c>
      <c r="F6989" s="2" t="inlineStr">
        <is>
          <t>кинофильм</t>
        </is>
      </c>
      <c r="G6989" s="2" t="n"/>
      <c r="H6989" s="2" t="n">
        <v>1897</v>
      </c>
      <c r="I6989" s="2" t="inlineStr"/>
      <c r="J6989" s="2" t="inlineStr"/>
      <c r="K6989" s="3" t="inlineStr">
        <is>
          <t>Первая половина 20-го столетия. Склоны кавказских гор. Убегающего мужчину преследуют солдаты с автоматами в русских шинелях. С другой стороны к нему мчится всадник. Поняв, что ему не уйти, мужчина бросается с обрыва вниз. Всадник кричит вслед: «Я тебя и под землёй найду, Азамат!». Касым мстит за свою семью, которую уничтожили немцы с подачи предателя Азамата. Юноша сообщает своему юному другу, тщедушному болезненному подростку Теке, что он убил чёрную птицу. Добрый Теке не от мира сего. Он занят тем, что лепит из глины свистки-фигурки, которые дарит окружающим. В селении хозяйничают русские военные. Комендант Краснов влюблён в карачаровку Зюлю, медсестру местного госпиталя, и хочет на ней жениться. Однажды ночью его вызывают в город, в комендатуру, где он получает приказ срочно выселить местное население и отправить эшелонами на восток. Из домов выгоняют стариков, женщин, детей и под прикладами загоняют в вагоны для скота. Тащат и сопротивляющегося Касыма. Тех, кто пытается убежать, расстреливают. Зюля защищена от депортации своим русским почитателем, но она сбегает из госпиталя, чтобы спасти отца. Она прорывается в вагон к отцу и разделяет участь своих соплеменников. В вагоне и Теке, доделывающий свой последний свисток. В вагонах здоровые и больные. Умерших людей солдаты сбрасывают с моста в реку. Когда сочувствующий пленникам капитан из сопровождения останавливает поезд, чтобы люди набрали воды, получает приказ немедленно двигаться дальше. Капитан отказывается. Тогда начальник поезда приказывает отцепить паровоз. Людей бросают в пустынном месте, и они гибнут без воды и еды. Ещё не умершего Теке убивают военные, чтобы не оставить в живых свидетеля трагедии. Окончена война. Городская квартира. Молодой мужчина-карачаровец отходит от кошмара, который вернул его в тяжёлое прошлое. Он читает суру «Идущие ночью». Перед ним стоит фигурка-свисток, сделанная когда-то Теке.</t>
        </is>
      </c>
      <c r="L6989" s="2" t="inlineStr">
        <is>
          <t>https://gosfilmofond.ru/films/232602/</t>
        </is>
      </c>
      <c r="M6989" s="2">
        <f>HYPERLINK("https://ru.wikipedia.org/w/index.php?search=%D0%A5%D0%BE%D0%BB%D0%BE%D0%B4%201991%20%D1%84%D0%B8%D0%BB%D1%8C%D0%BC","искать")</f>
        <v/>
      </c>
      <c r="N6989" s="3" t="n"/>
      <c r="O6989" s="2" t="n"/>
      <c r="P6989" s="2" t="n"/>
    </row>
    <row r="6990">
      <c r="A6990" s="2" t="n">
        <v>6989</v>
      </c>
      <c r="B6990" s="2" t="inlineStr"/>
      <c r="C6990" s="2" t="n">
        <v>7243</v>
      </c>
      <c r="D6990" s="3" t="inlineStr">
        <is>
          <t>Безымянная звезда</t>
        </is>
      </c>
      <c r="E6990" s="2" t="n">
        <v>1978</v>
      </c>
      <c r="F6990" s="2" t="inlineStr">
        <is>
          <t>телефильм</t>
        </is>
      </c>
      <c r="G6990" s="2" t="inlineStr">
        <is>
          <t>Свердловская киностудия</t>
        </is>
      </c>
      <c r="H6990" s="2" t="n">
        <v>1903</v>
      </c>
      <c r="I6990" s="2" t="inlineStr"/>
      <c r="J6990" s="2" t="inlineStr"/>
      <c r="K6990" s="3" t="inlineStr">
        <is>
          <t>В гимназии провинциального румынского городка работает учителем космографии Марин Мирою. Горожане придают большое значение тому, что подумают о них соседи, а он ведёт себя не так, как все. Например, не ходит по выходным в кино, всецело поглощён своим увлечением астрономией. Марин полагает, что обнаружил новую звезду, и поэтому за огромную сумму в 22 тысячи леев приобрёл себе редкий каталог, чтобы убедиться в первенстве открытия. Через городок и его вокзал регулярно следует безостановочный дизель-электропоезд экспресс «Бухарест — Синая». Однажды ночью этот экспресс делает незапланированную остановку. Кондуктор высаживает безбилетную пассажирку. Красивая, роскошно одетая, она не имеет в карманах ничего, кроме фишек для игры в. В это же время случайно на вокзале оказывается Марин, чтобы забрать заказанный каталог.
Так как без документов и денег путешественницу в гостинице не поселят, Мирою предлагает незнакомке ночлег в своём доме — пристанище холостяка, а сам планирует переночевать у своего друга — учителя музыки Удри. Она соглашается. Однако, оставшись с ним наедине, Мона убеждается, что этот с первого взгляда заурядный учитель — интересный человек, и она ищет предлог не отпустить Марина. Мона узнаёт тайну Марина — он рассказывает об открытой им звезде, которой нет ни в одном каталоге звёздного неба. Они счастливы вместе этой ночью.
Тем временем Мону разыскивает её богатый любовник Григ и находит в убогом учительском доме. Мона высказывает желание остаться здесь навсегда. Марин считает, что после событий прошлой ночи он, как честный человек, обязан жениться на Моне. Однако Григ своими холодными, циничными аргументами убеждает избалованную Мону, что ей не место в провинции, в качестве «жены» неимущего учителя. Они вместе покидают городок.
Марин остаётся наедине с истиной, которую он постиг в своих астрономических наблюдениях: «Ни одна звезда не отклоняется от своего пути».</t>
        </is>
      </c>
      <c r="L6990" s="2" t="inlineStr">
        <is>
          <t>https://ru.wikipedia.org/w/index.php?title=%D0%91%D0%B5%D0%B7%D1%8B%D0%BC%D1%8F%D0%BD%D0%BD%D0%B0%D1%8F_%D0%B7%D0%B2%D0%B5%D0%B7%D0%B4%D0%B0_%28%D1%84%D0%B8%D0%BB%D1%8C%D0%BC%29&amp;oldid=154899692</t>
        </is>
      </c>
      <c r="M6990" s="2">
        <f>HYPERLINK("https://ru.wikipedia.org/w/index.php?search=%D0%91%D0%B5%D0%B7%D1%8B%D0%BC%D1%8F%D0%BD%D0%BD%D0%B0%D1%8F%20%D0%B7%D0%B2%D0%B5%D0%B7%D0%B4%D0%B0%201978%20%D1%84%D0%B8%D0%BB%D1%8C%D0%BC","искать")</f>
        <v/>
      </c>
      <c r="N6990" s="3" t="n"/>
      <c r="O6990" s="2" t="n"/>
      <c r="P6990" s="2" t="n"/>
    </row>
    <row r="6991">
      <c r="A6991" s="2" t="n">
        <v>6990</v>
      </c>
      <c r="B6991" s="2" t="inlineStr"/>
      <c r="C6991" s="2" t="n">
        <v>9694</v>
      </c>
      <c r="D6991" s="3" t="inlineStr">
        <is>
          <t>Торможение в небесах</t>
        </is>
      </c>
      <c r="E6991" s="2" t="n">
        <v>1989</v>
      </c>
      <c r="F6991" s="2" t="inlineStr">
        <is>
          <t>кинофильм</t>
        </is>
      </c>
      <c r="G6991" s="2" t="n"/>
      <c r="H6991" s="2" t="n">
        <v>1904</v>
      </c>
      <c r="I6991" s="2" t="inlineStr"/>
      <c r="J6991" s="2" t="inlineStr"/>
      <c r="K6991" s="3" t="inlineStr">
        <is>
          <t>Перестройка. Горбачёв совершает поездку по стране. Когда очередная местная партконференция заканчивается и генсек уезжает, первый секретарь обкома Махонин проводит беседу с членами партии. Он упрекает их, что на встрече они много говорили о местных проблемах, как то: плохое бетонное покрытие в аэропорту, заражённая ртутью рыба или дача в 3 этажа с вертолётной площадкой и арабской мебелью, найденная в тайге геологами. В зале поднимается шум, поскольку эти вопросы всё же заботят людей.
Съёмочная группа программы «Время», снимавшая в этом же помещении встречу с Горбачёвым, ещё не успела собрать всю аппаратуру и случайно сняла и этот эпизод «разбора полётов». Режиссёр программы «Время» считает, что это очень интересный материал и его нужно обязательно показать по ЦТ. Они садятся в самолёт до Москвы.
Секретарь обкома узнаёт об этом и принимает решение развернуть самолёт со 150 пассажирами, чтобы изъять плёнки. В самолёте появляются недовольные. Режиссёр программы «Время» догадывается, что скорее всего всё дело именно в её съёмочной группе. Она устраивает скандал и под её доводами и давлением командир экипажа решает развернуть самолёт обратно в Москву. Секретарь обкома на всякий случай отдаёт распоряжение сжечь дачу в тайге. Но вдруг оказывается, что второй пилот имеет хорошие отношения с одним из партийцев. Этот партиец налаживает связь с ним и обещает всевозможные награды. Пока командир экипажа спит, второй пилот снова меняет курс. Самолёт успешно приземляется. Все плёнки уничтожены.
Через какое-то время во время застолья секретарь обкома получает звонок с телевидения. Режиссёр объясняет ему, что хотя плёнки и уничтожены, телевизионщики всё же свои материалы всегда пишут сразу на две плёнки, чтобы не было брака. Не дожидаясь, когда сюжет о нём покажут по всесоюзной программе, секретарь Махонин созывает пленум, где заранее бичует себя и принимает всю вину за допущенные ошибки.</t>
        </is>
      </c>
      <c r="L6991" s="2" t="inlineStr">
        <is>
          <t>https://ru.wikipedia.org/w/index.php?title=%D0%A2%D0%BE%D1%80%D0%BC%D0%BE%D0%B6%D0%B5%D0%BD%D0%B8%D0%B5_%D0%B2_%D0%BD%D0%B5%D0%B1%D0%B5%D1%81%D0%B0%D1%85&amp;oldid=149475914</t>
        </is>
      </c>
      <c r="M6991" s="2">
        <f>HYPERLINK("https://ru.wikipedia.org/w/index.php?search=%D0%A2%D0%BE%D1%80%D0%BC%D0%BE%D0%B6%D0%B5%D0%BD%D0%B8%D0%B5%20%D0%B2%20%D0%BD%D0%B5%D0%B1%D0%B5%D1%81%D0%B0%D1%85%201989%20%D1%84%D0%B8%D0%BB%D1%8C%D0%BC","искать")</f>
        <v/>
      </c>
      <c r="N6991" s="3" t="n"/>
      <c r="O6991" s="2" t="n"/>
      <c r="P6991" s="2" t="n"/>
    </row>
    <row r="6992">
      <c r="A6992" s="2" t="n">
        <v>6991</v>
      </c>
      <c r="B6992" s="2" t="inlineStr"/>
      <c r="C6992" s="2" t="n">
        <v>8489</v>
      </c>
      <c r="D6992" s="3" t="inlineStr">
        <is>
          <t>Труффальдино из Бергамо</t>
        </is>
      </c>
      <c r="E6992" s="2" t="n">
        <v>1976</v>
      </c>
      <c r="F6992" s="2" t="inlineStr">
        <is>
          <t>телефильм</t>
        </is>
      </c>
      <c r="G6992" s="2" t="n"/>
      <c r="H6992" s="2" t="n">
        <v>1905</v>
      </c>
      <c r="I6992" s="2" t="inlineStr"/>
      <c r="J6992" s="2" t="inlineStr"/>
      <c r="K6992" s="3" t="inlineStr">
        <is>
          <t>Действие происходит в Венеции XVIII века. Жизнерадостный и весёлый плут Труффальдино, сбежавший из бедного Бергамо в богатую Венецию, нанимается слугой к одному синьору по имени Федерико Распони, который на самом деле является переодетой девушкой Беатриче, сестрой Федерико. Она под видом своего покойного брата пытается разыскать своего возлюбленного Флориндо Аретузи, который по ошибке был обвинён в убийстве Федерико на дуэли и поэтому бежал в Венецию.
Замаскированная Беатриче приходит в дом венецианского купца Панталоне, где все уверены в том, что синьор Распони умер. Именно это и объясняют бедняге Труффальдино, который по традиции первым поднялся в дом, чтобы объявить о визите хозяина. После этого визита, пока новый хозяин был занят делами, Труффальдино услужил ещё одному синьору и также нанялся к нему слугой. Однако вслед за этим возвращается первый хозяин, поселившийся в этой же гостинице, у Бригеллы, и Труффальдино решает служить обоим, чтобы получать двойное жалование. Вторым хозяином оказывается тот самый Флориндо.
Некоторое время, больше за счёт своей удачливости, чем находчивости, Труффальдино успешно служит обоим господам, попадая в комические ситуации (например, когда его попросили позвать хозяина, он позвал не того, кого надо было) и с ловкостью выходя из них. Беатриче (под именем Федерико) приходится делать вид, что она настаивает на свадьбе с Клариче, дочерью старого Панталоне, помолвленной с покойным Федерико. Но последняя любит Сильвио, сына доктора Ломбарди, которого приезд самозваного жениха лишает надежд на руку Клариче. Однако Сильвио не намерен уступать, из-за чего между ним и Беатриче даже происходит дуэль, в которой девушка одерживает победу с маленькой помощью Труффальдино.
В итоге всё кончается благополучно: Беатриче воссоединяется с Флориндо, Клариче выходит за Сильвио, и даже Труффальдино находит себе жену — Смеральдину, служанку в доме Панталоне.</t>
        </is>
      </c>
      <c r="L6992" s="2" t="inlineStr">
        <is>
          <t>https://ru.wikipedia.org/w/index.php?title=%D0%A2%D1%80%D1%83%D1%84%D1%84%D0%B0%D0%BB%D1%8C%D0%B4%D0%B8%D0%BD%D0%BE_%D0%B8%D0%B7_%D0%91%D0%B5%D1%80%D0%B3%D0%B0%D0%BC%D0%BE&amp;oldid=148777708</t>
        </is>
      </c>
      <c r="M6992" s="2">
        <f>HYPERLINK("https://ru.wikipedia.org/w/index.php?search=%D0%A2%D1%80%D1%83%D1%84%D1%84%D0%B0%D0%BB%D1%8C%D0%B4%D0%B8%D0%BD%D0%BE%20%D0%B8%D0%B7%20%D0%91%D0%B5%D1%80%D0%B3%D0%B0%D0%BC%D0%BE%201976%20%D1%84%D0%B8%D0%BB%D1%8C%D0%BC","искать")</f>
        <v/>
      </c>
      <c r="N6992" s="3" t="n"/>
      <c r="O6992" s="2" t="n"/>
      <c r="P6992" s="2" t="n"/>
    </row>
    <row r="6993">
      <c r="A6993" s="2" t="n">
        <v>6992</v>
      </c>
      <c r="B6993" s="2" t="inlineStr"/>
      <c r="C6993" s="2" t="n">
        <v>8002</v>
      </c>
      <c r="D6993" s="3" t="inlineStr">
        <is>
          <t>Новогодние приключения Маши и Вити</t>
        </is>
      </c>
      <c r="E6993" s="2" t="n">
        <v>1975</v>
      </c>
      <c r="F6993" s="2" t="inlineStr">
        <is>
          <t>телефильм</t>
        </is>
      </c>
      <c r="G6993" s="2" t="n"/>
      <c r="H6993" s="2" t="n">
        <v>1906</v>
      </c>
      <c r="I6993" s="2" t="inlineStr"/>
      <c r="J6993" s="2" t="inlineStr"/>
      <c r="K6993" s="3" t="inlineStr">
        <is>
          <t>Младшеклассник Витя верит только в науку и технику, а его подруга Маша верит и в чудеса. В школе во время оформления зала к Новому году Маша волшебным заклинанием оживляет ростовую куклу Деда Мороза, который отправляет их с Витей в сказку, на помощь Снегурочке: её похитил Кощей Бессмертный, чтобы устроить Новый год для своей нечисти.
Дед Мороз даёт детям три совета: не ждать ни от кого помощи, но самим помогать всем, кто в ней нуждается, не теряться в трудную минуту и держаться друг за друга, если придётся туго. Тем временем Кощей, узнав, что ребята отправились спасать Снегурочку, посылает им навстречу нечистую силу — вокально-инструментальное трио «Дикие гитары»: Бабу-Ягу, Лешего и дикого кота Матвея. Однако во всех случаях ребята выходят победителями: от Бабы-Яги улетают на ступе, Лешего Витя поражает током с помощью самодельного электрошокера, а дикого кота Матвея отвлекает механической мышкой.
По пути в Кощеево царство Маша и Витя встречают также Печку, Яблоньку, Старичка-Лесовичка и помогают им, в ответ те показывают детям дорогу с помощью уголька, яблочка и клубочка. Но в последний момент Кощей похищает Машу и опускает на лифте в своё подземелье. Вскоре выясняется, что у Кощея болит зуб, и Маша говорит, что снимет злодею зубную боль лечебным полосканием в обмен на то, что он отпустит Снегурочку. Сначала Кощей хитростью пытается заставить Машу вылечить его, но девочка сильно ударяет его по больному зубу, и, измученный ещё и обострившейся от удара зубной болью, он вынужден выпустить Снегурочку из плена. Однако, вылечившись, Кощей пленяет Машу; Витя вызывает Кощея на дуэль и побеждает его при помощи обыкновенного магнита.
«Дикие гитары» отправляются в погоню за детьми, но Печка, Яблонька и Старичок-Лесовичок помогают Вите и Маше, разделавшись с Бабой-Ягой, Лешим и диким котом Матвеем. Маша и Витя возвращаются вместе со Снегурочкой в школу, где их ждут ребята и Дед Мороз.</t>
        </is>
      </c>
      <c r="L6993" s="2" t="inlineStr">
        <is>
          <t>https://ru.wikipedia.org/w/index.php?title=%D0%9D%D0%BE%D0%B2%D0%BE%D0%B3%D0%BE%D0%B4%D0%BD%D0%B8%D0%B5_%D0%BF%D1%80%D0%B8%D0%BA%D0%BB%D1%8E%D1%87%D0%B5%D0%BD%D0%B8%D1%8F_%D0%9C%D0%B0%D1%88%D0%B8_%D0%B8_%D0%92%D0%B8%D1%82%D0%B8&amp;oldid=154957233</t>
        </is>
      </c>
      <c r="M6993" s="2">
        <f>HYPERLINK("https://ru.wikipedia.org/w/index.php?search=%D0%9D%D0%BE%D0%B2%D0%BE%D0%B3%D0%BE%D0%B4%D0%BD%D0%B8%D0%B5%20%D0%BF%D1%80%D0%B8%D0%BA%D0%BB%D1%8E%D1%87%D0%B5%D0%BD%D0%B8%D1%8F%20%D0%9C%D0%B0%D1%88%D0%B8%20%D0%B8%20%D0%92%D0%B8%D1%82%D0%B8%201975%20%D1%84%D0%B8%D0%BB%D1%8C%D0%BC","искать")</f>
        <v/>
      </c>
      <c r="N6993" s="3" t="n"/>
      <c r="O6993" s="2" t="n"/>
      <c r="P6993" s="2" t="n"/>
    </row>
    <row r="6994">
      <c r="A6994" s="2" t="n">
        <v>6993</v>
      </c>
      <c r="B6994" s="2" t="inlineStr"/>
      <c r="C6994" s="2" t="n">
        <v>9160</v>
      </c>
      <c r="D6994" s="3" t="inlineStr">
        <is>
          <t>Чича</t>
        </is>
      </c>
      <c r="E6994" s="2" t="n">
        <v>1991</v>
      </c>
      <c r="F6994" s="2" t="inlineStr">
        <is>
          <t>кинофильм</t>
        </is>
      </c>
      <c r="G6994" s="2" t="n"/>
      <c r="H6994" s="2" t="n">
        <v>1922</v>
      </c>
      <c r="I6994" s="2" t="inlineStr"/>
      <c r="J6994" s="2" t="inlineStr"/>
      <c r="K6994" s="3" t="inlineStr">
        <is>
          <t>Главный герой Степан Чичулин по прозвищу «Чича» поёт в провинциальном (в роли провинции использована натура Феодосии) военном хоре тенором. Однажды, когда хор отправили в помощь милиции на разгон митинга, за отставшим Чичулиным устремились в погоню разгорячённые демонстранты. Спасаясь от преследователей, Чичулин неожиданно заревел на них страшным басом (строчку из La calunnia Россини). Оказалось, что Чичулин уже давно тайком упражняется в басовом пении на некоем секретном объекте, и не собирается и в дальнейшем афишировать свой дар.
Однако дальше события развиваются независимо от его воли: о таланте узнают в ансамбле, и художественный руководитель-полковник увольняет его из хора, поскольку новый голос Чичи слишком хорош. Жена Степана предпринимает решительные действия и уезжает в Москву, чтобы «пристроить куда-нибудь» голос мужа.
Пока её нет, Чича пытается заработать, выступая на базаре с классическим репертуаром. Его бывший коллега по хору, давно занимающийся на том же базаре музыкальным промыслом, предлагает совместное дело. Только песни Чичи не годятся — нужно исполнять что-нибудь попроще, в духе Вилли Токарева. Чичулин согласен и на это — но только если басом. Ради нового бизнеса Чича отказывается от пения в церкви, куда было устроился.
Постепенно к партнёрам приходит финансовый успех. Чича поёт по ресторанам «под Челентано» и других популярных артистов, потихоньку отходя от своего «басового принципа». А ради того, чтобы наказать рэкетиров, разгромивших бизнес Чичи и его приятеля, ему приходится тоненьким голосом исполнять для их начальника, криминального авторитета, лежащего в больнице в полной неподвижности под слоем гипса, песни «Ласкового мая».
Вернувшись из столицы, жена Чичи сообщает, что нашлась одна зацепка — в Малом экспериментальном оперном театре заинтересовались его записями. Чичулины быстро собираются и едут в Москву. Однако по дороге выясняется, что голоса у Чичи уже нет.</t>
        </is>
      </c>
      <c r="L6994" s="2" t="inlineStr">
        <is>
          <t>https://ru.wikipedia.org/w/index.php?title=%D0%A7%D0%B8%D1%87%D0%B0&amp;oldid=154711748</t>
        </is>
      </c>
      <c r="M6994" s="2">
        <f>HYPERLINK("https://ru.wikipedia.org/w/index.php?search=%D0%A7%D0%B8%D1%87%D0%B0%201991%20%D1%84%D0%B8%D0%BB%D1%8C%D0%BC","искать")</f>
        <v/>
      </c>
      <c r="N6994" s="3" t="n"/>
      <c r="O6994" s="2" t="n"/>
      <c r="P6994" s="2" t="n"/>
    </row>
    <row r="6995">
      <c r="A6995" s="2" t="n">
        <v>6994</v>
      </c>
      <c r="B6995" s="2" t="inlineStr"/>
      <c r="C6995" s="2" t="n">
        <v>8620</v>
      </c>
      <c r="D6995" s="3" t="inlineStr">
        <is>
          <t>А в России опять окаянные дни</t>
        </is>
      </c>
      <c r="E6995" s="2" t="n">
        <v>1990</v>
      </c>
      <c r="F6995" s="2" t="inlineStr">
        <is>
          <t>кинофильм</t>
        </is>
      </c>
      <c r="G6995" s="2" t="n"/>
      <c r="H6995" s="2" t="n">
        <v>1925</v>
      </c>
      <c r="I6995" s="2" t="inlineStr"/>
      <c r="J6995" s="2" t="inlineStr"/>
      <c r="K6995" s="3" t="inlineStr">
        <is>
          <t>1-я серия
1990 год. Виктор Бурдин на Лубянке просит показать дело своего отца, погибшего в лагере. Ему позволяют ознакомиться с ним в течение 2-х часов. Внимание Бурдина привлекают карандашные рисунки, подшитые к делу, и он изымает их и фотографию отца. Дома жена сообщает Виктору, что подошла их очередь на машину. Он решает ехать к деду в Соликамск, чтобы попросить на нее денег. Дед Виктора, Ефим Бурдин, тепло встречает внука. За столом старик вспоминает события 1948 года. В лагере под Соликамском заключенные работают на лесоповале. Офицеры же пьют, играют в карты, однажды даже насилуют приехавшую к мужу «вольную» женщину, которая после этого сходит с ума. Начальник лагеря Феликс Либен устраивает «санацию» ? по его приказу собирают слабых зеков и ночью их расстреливают. Сашка, дочь одного из офицеров, Ефима Бурдина, обращает внимание на молодого заключенного из новой партии прибывших, Вадима Воинова, бывшего студента филфака МГУ, осужденного по 58-й статье за увлечение творчеством Бунина. Он нравится девушке, и она устраивает с ним свидание. Вспыльчивый Воинов затевает ссору со старшим лейтенантом Могильным из-за того, что тот назвал Бунина антисоветским буржуазным писателем. За бунт Воинову грозит большой дополнительный срок, и он в отчаянии режет себе вены, но его удается спасти.
2-я серия
Саша навещает Вадима в лазарете, она уже ждет от него ребенка. Вскоре Воинов снова оказывается на лесоповале. Товарищи по отряду предлагают ему бежать, но он отказывается. Майор Бабаханов шантажирует Бурдина, заставляя избавиться от зятя-зека и будущего внука. Ночью конвой при участии Бурдина забивает Воинова насмерть. Тройка ОСО приговаривает начальника лагеря Либена к 10 годам за творимые в лагере бесчинства. Саша Бурдина рожает сына и умирает сразу после родов... Виктор уезжает
от деда не попрощавшись, понимая, что он причастен к смерти его отца, и оставив ему несколько рисунков из дела Вадима Воинова.</t>
        </is>
      </c>
      <c r="L6995" s="2" t="inlineStr">
        <is>
          <t>https://gosfilmofond.ru/films/279361/</t>
        </is>
      </c>
      <c r="M6995" s="2">
        <f>HYPERLINK("https://ru.wikipedia.org/w/index.php?search=%D0%90%20%D0%B2%20%D0%A0%D0%BE%D1%81%D1%81%D0%B8%D0%B8%20%D0%BE%D0%BF%D1%8F%D1%82%D1%8C%20%D0%BE%D0%BA%D0%B0%D1%8F%D0%BD%D0%BD%D1%8B%D0%B5%20%D0%B4%D0%BD%D0%B8%201990%20%D1%84%D0%B8%D0%BB%D1%8C%D0%BC","искать")</f>
        <v/>
      </c>
      <c r="N6995" s="3" t="n"/>
      <c r="O6995" s="2" t="n"/>
      <c r="P6995" s="2" t="n"/>
    </row>
    <row r="6996">
      <c r="A6996" s="2" t="n">
        <v>6995</v>
      </c>
      <c r="B6996" s="2" t="inlineStr"/>
      <c r="C6996" s="2" t="n">
        <v>11080</v>
      </c>
      <c r="D6996" s="3" t="inlineStr">
        <is>
          <t>Серсо</t>
        </is>
      </c>
      <c r="E6996" s="2" t="n">
        <v>1985</v>
      </c>
      <c r="F6996" s="2" t="inlineStr">
        <is>
          <t>фильм-спектакль</t>
        </is>
      </c>
      <c r="G6996" s="2" t="n"/>
      <c r="H6996" s="2" t="n">
        <v>1926</v>
      </c>
      <c r="I6996" s="2" t="inlineStr"/>
      <c r="J6996" s="2" t="inlineStr"/>
      <c r="K6996" s="3" t="inlineStr">
        <is>
          <t>По пьесе Виктора Славкина.
Премьера «Серсо» состоялась в июне 1985 г., но спектакль остался едва ли не главным событием и последующего, 1986 г. «Серсо» - шедевр русского психологического театра, с магической проницательностью выявивший в героях, обыкновенных советских людях, их непреходящий душевный свет, - надолго становится эталоном режиссерского мастерства, преображающего актеров в долгом и трудном путешествии к сути драматического искусства. В понимании Васильева театр не может служить ни запросам государства, ни летучим настроениям общества. Это, скорее, секта, орден одиноких верующих пилигримов. Личность Васильева - могущественного колдуна, творителя своего художественного мира - явится главным прообразом следующего поколения режиссеров.
В дом приезжает на выходные компания сорокалетних людей, по-разному знакомых и незнакомых друг с другом. Соединенные Петушком (А.Филозов), нечаянно получившим дом в наследство, новые колонисты и присоединившийся к ним старик по имени Кока (А.Петренко) знакомятся ближе, что-то рассказывают, импровизируют за фортепьяно, танцуют, играют в забытую игру серсо. Вместе они совершают своеобразное путешествие во времени: надев найденные на чердаке старинные платья, читают письма начала прошлого века, и на белой стене проецируются лица иного душевного склада. Фотографии неизвестных людей, живших в эпоху Серебряного века. Но дом уже назначен к продаже. В третьем акте недолгая идиллия разрушается исподволь, сама собой. Уходит надежда на возможность другой, наполненной жизни, идет дождь, персонажи покидают дом навсегда. Но художественная реальность спектакля в каждый момент своего существования позволяла думать, что жизнь имеет одухотворяющий смысл. Эта реальность искрилась и переливалась всем спектром тончайших игровых, звуковых, пластических и световых созвучий. А.Васильев превратил пьесу, состоящую из монологов, где каждый персонаж одинок, в чудо ансамблевой игры.</t>
        </is>
      </c>
      <c r="L6996" s="2" t="inlineStr">
        <is>
          <t>https://www.kino-teatr.ru/teatr/movie/81533/annot/</t>
        </is>
      </c>
      <c r="M6996" s="2">
        <f>HYPERLINK("https://ru.wikipedia.org/w/index.php?search=%D0%A1%D0%B5%D1%80%D1%81%D0%BE%201985%20%D1%84%D0%B8%D0%BB%D1%8C%D0%BC","искать")</f>
        <v/>
      </c>
      <c r="N6996" s="3" t="n"/>
      <c r="O6996" s="2" t="n"/>
      <c r="P6996" s="2" t="n"/>
    </row>
    <row r="6997">
      <c r="A6997" s="2" t="n">
        <v>6996</v>
      </c>
      <c r="B6997" s="2" t="inlineStr"/>
      <c r="C6997" s="2" t="n">
        <v>8658</v>
      </c>
      <c r="D6997" s="3" t="inlineStr">
        <is>
          <t>Во бору брусника</t>
        </is>
      </c>
      <c r="E6997" s="2" t="n">
        <v>1989</v>
      </c>
      <c r="F6997" s="2" t="inlineStr">
        <is>
          <t>кинофильм</t>
        </is>
      </c>
      <c r="G6997" s="2" t="n"/>
      <c r="H6997" s="2" t="n">
        <v>1940</v>
      </c>
      <c r="I6997" s="2" t="inlineStr"/>
      <c r="J6997" s="2" t="inlineStr"/>
      <c r="K6997" s="3" t="inlineStr">
        <is>
          <t>Двухсерийный фильм поставлен по мотивам двух повестей Леонида Фролова и буквально противопоставляет две эпохи: тяжелое, трагическое, но наполненное чувством единения послевоенное время и озлобленный, одинокий излёт 1980-х и всей советской эпохи.
Серия 1 «Незамужняя жена». Александр Петрович Егоров вернулся в родную деревню с фронта инвалидом. Через год овдовел, и на его попечении осталось четверо малолетних детей.
Долгие годы Егоров жил один. Видя, как долго он вдовствует, односельчане ищут ему подходящую вдову. Но сам Александр Петрович заглядывается на тридцатилетнюю Ксению, ждущую с войны его брата Тихона. Однако, шутками и смехом она отклоняет все его предложения о замужестве. Поздней осенью корова Ксении убегает в лес. Хозяйка, отправившись её искать, заблудилась. Александр Петрович поднимает на поиски всю деревню, но трёхдневные поиски не увенчались успехом. Лишь Егоров продолжает поиски и находит умирающую Ксению на брусничной поляне, привозит её домой и долго выхаживает. Выздоровевшая Ксения соглашается войти хозяйкой в дом Александра Петровича, и через несколько лет родила ему сына Василия — «поскрёбыша».
Серия 2 «Егоровы». Прошло 38 лет, дети выросли и покинули родное гнездо. Ксения и Александр решили навестить своих чад и отправились в город.
Старшего сына, Алексея, не оказалось дома, он уехал в Африку на несколько лет в долгосрочную командировку. В доме младшего сына, Кирилла, родителей принимают радушно, но выясняется, что Кирилл стал злоупотреблять спиртным. Но, благодаря родителям он принимает решение исправить свою жизнь.
Приехав к среднему сыну, Геннадию, старики узнают, что у него новая жена, с которой он живёт в доме тёщи, оставив квартиру первой жене с дочерью. Затем Александр Петрович и Ксения Васильевна едут к дочери Наталье, вместе с внуком отдыхают на море.
Наконец, после своего долгого путешествия старики возвращаются домой. Они убедились, что воспитали честных и трудолюбивых детей.</t>
        </is>
      </c>
      <c r="L6997" s="2" t="inlineStr">
        <is>
          <t>https://ru.wikipedia.org/w/index.php?title=%D0%92%D0%BE_%D0%B1%D0%BE%D1%80%D1%83_%D0%B1%D1%80%D1%83%D1%81%D0%BD%D0%B8%D0%BA%D0%B0&amp;oldid=154676874</t>
        </is>
      </c>
      <c r="M6997" s="2">
        <f>HYPERLINK("https://ru.wikipedia.org/w/index.php?search=%D0%92%D0%BE%20%D0%B1%D0%BE%D1%80%D1%83%20%D0%B1%D1%80%D1%83%D1%81%D0%BD%D0%B8%D0%BA%D0%B0%201989%20%D1%84%D0%B8%D0%BB%D1%8C%D0%BC","искать")</f>
        <v/>
      </c>
      <c r="N6997" s="3" t="n"/>
      <c r="O6997" s="2" t="n"/>
      <c r="P6997" s="2" t="n"/>
    </row>
    <row r="6998">
      <c r="A6998" s="2" t="n">
        <v>6997</v>
      </c>
      <c r="B6998" s="2" t="inlineStr"/>
      <c r="C6998" s="2" t="n">
        <v>9120</v>
      </c>
      <c r="D6998" s="3" t="inlineStr">
        <is>
          <t>Убить "Шакала"</t>
        </is>
      </c>
      <c r="E6998" s="2" t="n">
        <v>1991</v>
      </c>
      <c r="F6998" s="2" t="inlineStr">
        <is>
          <t>кинофильм</t>
        </is>
      </c>
      <c r="G6998" s="2" t="n"/>
      <c r="H6998" s="2" t="n">
        <v>1956</v>
      </c>
      <c r="I6998" s="2" t="inlineStr"/>
      <c r="J6998" s="2" t="inlineStr"/>
      <c r="K6998" s="3" t="inlineStr">
        <is>
          <t>Конец двадцатого века. Бандитское нападение на инкассаторов в южном городе. Захватив мешок с деньгами, участники ограбления скрываются. В купейном вагоне поезда бандиты играют в карты. Главный в компании Рубин, его партнеры Жохов, Эрик и Роман Лисневский. Рубин, проигрывая, грубит партнерам, обзывает их жуликами и спекулянтами. Эрих, захватив лежащую на столе металлическую зажигалку, выходит из купе покурить. Он тайно проникает в соседнее купе, где его ждёт Татьяна, молодая жена Жохова. Любовник забывает в купе зажигалку, увидев которую на столике, Жохов устраивает жене сцену ревности и требует сказать, кто ей подарил зажигалку. Она не признается. Вечером мужчины идут в вагон-ресторан. Эрих, воспользовавшись тем, что Жохов пьян, возвращается к возлюбленной. А в купе Рубина происходит потасовка. Кто-то требует у Рубина отдать его долю, бьет его и, когда тот падает, роется вещах. Обнаружив в своем купе труп Рубина, Эрик поднимает шум. Приезжают милиционеры во главе с начальником уголовного розыска линейного отдела Николаем Петровым. Ему предстоит до прибытия поезда в Киев расследовать убийство. Начинается опрос пассажиров вагона. Ключом к убийству становится зажигалка. Серебряная вещица, принадлежавшая Рубину, подходила по стилю к портсигару одного из игроков Романа Лисневского. Он просил продать её, но Рубин отказал. Лисневский, заглянув в купе Жоховых, заметил, что Эрих оставил там зажигалку, и ждал удобного момента, чтобы похитить её. Распутывая клубок тайных свиданий, сцен ревности, охоты за желанной вещицей Петров раскрывает, что за всем этим скрывается серьезное преступление - грабёж. Половина награбленного в Ялте найдена в сумке Рубина. Напарника и убийцу Рубина, известного под именем Шакал, следователь распознает среди пассажиров поезда. На конечной станции в Киеве за преступником следует группа захвата. В заброшенном доме за городом бандитов арестовывают при делёжке награбленного после их вооруженного сопротивления.</t>
        </is>
      </c>
      <c r="L6998" s="2" t="inlineStr">
        <is>
          <t>https://gosfilmofond.ru/films/232518/</t>
        </is>
      </c>
      <c r="M6998" s="2">
        <f>HYPERLINK("https://ru.wikipedia.org/w/index.php?search=%D0%A3%D0%B1%D0%B8%D1%82%D1%8C%20%22%D0%A8%D0%B0%D0%BA%D0%B0%D0%BB%D0%B0%22%201991%20%D1%84%D0%B8%D0%BB%D1%8C%D0%BC","искать")</f>
        <v/>
      </c>
      <c r="N6998" s="3" t="n"/>
      <c r="O6998" s="2" t="n"/>
      <c r="P6998" s="2" t="n"/>
    </row>
    <row r="6999">
      <c r="A6999" s="2" t="n">
        <v>6998</v>
      </c>
      <c r="B6999" s="2" t="inlineStr"/>
      <c r="C6999" s="2" t="n">
        <v>9506</v>
      </c>
      <c r="D6999" s="3" t="inlineStr">
        <is>
          <t>Нечаянные радости</t>
        </is>
      </c>
      <c r="E6999" s="2" t="n">
        <v>1974</v>
      </c>
      <c r="F6999" s="2" t="inlineStr">
        <is>
          <t>кинофильм</t>
        </is>
      </c>
      <c r="G6999" s="2" t="n"/>
      <c r="H6999" s="2" t="n">
        <v>1956</v>
      </c>
      <c r="I6999" s="2" t="inlineStr"/>
      <c r="J6999" s="2" t="inlineStr"/>
      <c r="K6999" s="3" t="inlineStr">
        <is>
          <t>События Гражданской войны в России не позволяют участникам съёмочной группы из Москвы продолжить съёмки немого фильма «Раба любви», которые проходят в Крыму. Главную роль в фильме режиссёра Осипа Прокудина-Горского (Эммануил Виторган) должна сыграть кинозвезда Вера Николаевна (Елена Соловей), у которой есть двое детей-близнецов, и очень похожая на неё сестра Надежда (Наталья Лебле). Во время вынужденного перерыва актёры блуждают по студии в костюмах прошлых столетий. Режиссёр Прокудин-Горский коллекционирует ковры, интересуется мистикой, в частности, философией Георгия Гурджиева, и мечтает спасти Россию. Старик, занимающийся починкой ковров, рассказывает ему легенду про волшебный ковёр, который может подарить царству мир и благоденствие на сто лет, если на нём прольётся кровь невинного человека. Ковёр этот раньше принадлежал эмиру из Бухары, но сейчас находится в Крыму и его можно найти. Вместе с сёстрами Прокудин-Горский покупает ковёр у торговки рыбой (Татьяна Самойлова) и рассказывает о том, что он хочет постелить ковёр на поле битвы, чтобы остановить братоубийственную войну. Вера и Надежда сначала отказываются верить в поверье, но Прокудину-Горскому удаётся переубедить их и попросить знакомого белого генерала Гришина-Алмазова пронести ковёр на фронт. Там Прокудин-Горский погибает под ударами сабель и падает на ковёр, но война не останавливается. Во время похорон происходит ссора сестёр, у Веры Николаевны начинается нервная лихорадка и она вскоре тоже умирает. Надежда разрезает ковёр на две части и зарывает их в могилы Прокудина-Горского и Веры.
Надежда забирает детей и решает вернуться в Москву. Когда поезд проезжает по побережью мимо разрушенной кинофабрики, они видят женщину (Татьяна Самойлова), которая прокралась на студию и переоделась в костюм Дианы-охотницы. Женщина забирается на скалу и пускает стрелу в сторону солнца. Почти через двадцать лет с похожей сцены начнётся следующий фильм Хамдамова «Anna Karamazoff».</t>
        </is>
      </c>
      <c r="L6999" s="2" t="inlineStr">
        <is>
          <t>https://ru.wikipedia.org/w/index.php?title=%D0%9D%D0%B5%D1%87%D0%B0%D1%8F%D0%BD%D0%BD%D1%8B%D0%B5_%D1%80%D0%B0%D0%B4%D0%BE%D1%81%D1%82%D0%B8&amp;oldid=152174612</t>
        </is>
      </c>
      <c r="M6999" s="2">
        <f>HYPERLINK("https://ru.wikipedia.org/w/index.php?search=%D0%9D%D0%B5%D1%87%D0%B0%D1%8F%D0%BD%D0%BD%D1%8B%D0%B5%20%D1%80%D0%B0%D0%B4%D0%BE%D1%81%D1%82%D0%B8%201974%20%D1%84%D0%B8%D0%BB%D1%8C%D0%BC","искать")</f>
        <v/>
      </c>
      <c r="N6999" s="3" t="n"/>
      <c r="O6999" s="2" t="n"/>
      <c r="P6999" s="2" t="n"/>
    </row>
    <row r="7000">
      <c r="A7000" s="2" t="n">
        <v>6999</v>
      </c>
      <c r="B7000" s="2" t="inlineStr"/>
      <c r="C7000" s="2" t="n">
        <v>9212</v>
      </c>
      <c r="D7000" s="3" t="inlineStr">
        <is>
          <t>Ашик-Кериб</t>
        </is>
      </c>
      <c r="E7000" s="2" t="n">
        <v>1988</v>
      </c>
      <c r="F7000" s="2" t="inlineStr">
        <is>
          <t>кинофильм</t>
        </is>
      </c>
      <c r="G7000" s="2" t="n"/>
      <c r="H7000" s="2" t="n">
        <v>1960</v>
      </c>
      <c r="I7000" s="2" t="inlineStr"/>
      <c r="J7000" s="2" t="inlineStr"/>
      <c r="K7000" s="3" t="inlineStr">
        <is>
          <t>По мотивам одноименной поэмы М.Ю.Лермонтова. Ашик-Кериб беден, но у него - доброе сердце и прекрасный голос. Играя на саазе (турецкой балалайке), он ходил по свадьбам и веселил своими песнями богачей. На одной из свадеб он встретил дочь богатого турка, красавицу Магуль-Мегери, и сразу полюбил ее. Для того, чтобы богач выдал свою дочь за Ашик-Кериба, он тоже должен стать богатым. Ашик-Кериб поклялся, что будет странствовать семь лет, чтобы заработать состояние. Но если к назначенному сроку он не вернется, Магуль-Мегери выйдет замуж за другого. "В основе фильма лежит древний фольклорный мотив "мужа" на свадьбе своей жены, который давно интерпретирован сказаниями об Одиссее, русскими былинами о Добрыне и Алеше, в новейшей литературе, использовался в "Декамероне" Боккаччо, в рассказах Мопассана, Прево, Феваля. Не оценивая здесь самих исходных постулатов постмодернизма, - они, конечно, требуют специального исследования, - отметим, что снятие критериев качества, по всей вероятности, соответствует творческому темпераменту Параджанова, не только в его фильмах, но и в жизни. Тяготение к эксцентрическим эффектам, к коллекционированию древностей, к неортодоксальной манере поведения цементирует и делает чрезвычайно органичной изначально неорганичную структуру каждой из егокартин, а "Ашик-Кериба" в особенности. Экран как бы уподобляется восточному рынку, где вперемешку можно найти что угодно, от антиквариата до лубочной самодельной картинки, причем качественное различие между ними как бы снимается самим существом базара." - К.Разлогов. "...в фильме персонажи почти не приближаются к камере, любят оставаться на втором плане, словно для того, чтобы манить зрителя в свой чуть удаленный мир. Их призыв можно расценить как почесть, ибо в мире, куда зовут нас персонажи, сверкают и переливаются краски; он благодатен и радостен, невзгодам и горестям не удается тут прижиться, они выталкиваются из этого мира, будто непрошенные гости..." - В.Михалкович</t>
        </is>
      </c>
      <c r="L7000" s="2" t="inlineStr">
        <is>
          <t>https://gosfilmofond.ru/films/240671/</t>
        </is>
      </c>
      <c r="M7000" s="2">
        <f>HYPERLINK("https://ru.wikipedia.org/w/index.php?search=%D0%90%D1%88%D0%B8%D0%BA-%D0%9A%D0%B5%D1%80%D0%B8%D0%B1%201988%20%D1%84%D0%B8%D0%BB%D1%8C%D0%BC","искать")</f>
        <v/>
      </c>
      <c r="N7000" s="3" t="n"/>
      <c r="O7000" s="2" t="n"/>
      <c r="P7000" s="2" t="n"/>
    </row>
    <row r="7001">
      <c r="A7001" s="2" t="n">
        <v>7000</v>
      </c>
      <c r="B7001" s="2" t="inlineStr"/>
      <c r="C7001" s="2" t="n">
        <v>8379</v>
      </c>
      <c r="D7001" s="3" t="inlineStr">
        <is>
          <t>Солнечный ветер</t>
        </is>
      </c>
      <c r="E7001" s="2" t="n">
        <v>1982</v>
      </c>
      <c r="F7001" s="2" t="inlineStr">
        <is>
          <t>телефильм</t>
        </is>
      </c>
      <c r="G7001" s="2" t="n"/>
      <c r="H7001" s="2" t="n">
        <v>1962</v>
      </c>
      <c r="I7001" s="2" t="inlineStr"/>
      <c r="J7001" s="2" t="inlineStr"/>
      <c r="K7001" s="3" t="inlineStr">
        <is>
          <t>Действие фильма начинается в конце 1960-х годов и охватывает последующее десятилетие. Главная героиня — молодой учёный Надежда Петровская. С самого начала она выбрала трудную дорогу, занимаясь инновационными исследованиями на стыке физики, физиологии и медицины. Неизменной за все годы сомнений и разочарований останется только её вера в правильность поставленной перед собой цели.
После окончания учёбы в Ленинградском политехе Надежда с мужем Митей переезжают в Читу. Там им предлагают достойную, но малоинтересную работу в одном из конструкторских бюро. Случай сводит их с астрофизиком Чебышевым, который предлагает переезд в Иркутск. Спецификация Мити позволяет занять вакантное место в чебышевском Институте Солнца, а Надежда, разочарованная очередным рутинным НИИ, уходит на должность лаборантки к Званцеву, где есть возможность ставить опыты по интересующей её теме.
Званцев, опытный и мудрый руководитель, рекомендует Надежде опубликовать её работы в «соавторстве» с директором их института Кольцевой. Но после ряда публикаций Кольцевая, будучи напуганной новаторством темы, отказывает в покровительстве.
Уставшая от необходимости постоянной борьбы, Надежда едет в Ленинград на научную конференцию и читает свой доклад о поведении белковой молекулы в магнитном поле. Неожиданно высокую оценку докладу даёт Райснилс, авторитетный учёный.
Вернувшись домой, Надежда с новыми силами берётся за продолжение своей кандидатской работы, в которой материала, по словам Званцева, хватило бы и на докторскую. Успехи в работе совпали по времени с тяжёлым кризисом в семье. Невзирая на готовность Мити без всяких условий продолжать совместную жизнь, уважая и понимая его, Надежда всё же уходит из семьи.
Защита диссертации проходит успешно, но даётся огромным, порой неимоверным трудом. Надежде предлагают возглавить лабораторию, где она сможет самостоятельно работать по проблеме слабых магнитных полей. Она принимает предложение, и в её жизни начинается новый этап.</t>
        </is>
      </c>
      <c r="L7001" s="2" t="inlineStr">
        <is>
          <t>https://ru.wikipedia.org/w/index.php?title=%D0%A1%D0%BE%D0%BB%D0%BD%D0%B5%D1%87%D0%BD%D1%8B%D0%B9_%D0%B2%D0%B5%D1%82%D0%B5%D1%80_%28%D1%84%D0%B8%D0%BB%D1%8C%D0%BC%29&amp;oldid=149108495</t>
        </is>
      </c>
      <c r="M7001" s="2">
        <f>HYPERLINK("https://ru.wikipedia.org/w/index.php?search=%D0%A1%D0%BE%D0%BB%D0%BD%D0%B5%D1%87%D0%BD%D1%8B%D0%B9%20%D0%B2%D0%B5%D1%82%D0%B5%D1%80%201982%20%D1%84%D0%B8%D0%BB%D1%8C%D0%BC","искать")</f>
        <v/>
      </c>
      <c r="N7001" s="3" t="n"/>
      <c r="O7001" s="2" t="n"/>
      <c r="P7001" s="2" t="n"/>
    </row>
    <row r="7002">
      <c r="A7002" s="2" t="n">
        <v>7001</v>
      </c>
      <c r="B7002" s="2" t="inlineStr"/>
      <c r="C7002" s="2" t="n">
        <v>9201</v>
      </c>
      <c r="D7002" s="3" t="inlineStr">
        <is>
          <t>Азиат</t>
        </is>
      </c>
      <c r="E7002" s="2" t="n">
        <v>1991</v>
      </c>
      <c r="F7002" s="2" t="inlineStr">
        <is>
          <t>кинофильм</t>
        </is>
      </c>
      <c r="G7002" s="2" t="n"/>
      <c r="H7002" s="2" t="n">
        <v>1964</v>
      </c>
      <c r="I7002" s="2" t="inlineStr"/>
      <c r="J7002" s="2" t="inlineStr"/>
      <c r="K7002" s="3" t="inlineStr">
        <is>
          <t>Одна из южных республик Союза, конец 80-х годов 20 века. Крепкий мужчина азиатского типа в реанимации. Доктор настаивает, что ему нужен длительный больничный режим после проникающего ранения. Но друг легендарного афганского воина по кличке «Азиат» Болот, опасаясь за безопасность Рашида, тайно вывозит своего товарища из больницы и отправляет за пределы города. Узнав, что раненый исчез, бандиты пытаются взять в заложники его лечащего врача. Болот, вооружившись автоматом, не дает увезти доктора. Об этом сообщают главе преступного клана по кличке «Князь Исмаил». Он предупреждает Болота, что тот полез не в свое дело. Рашид - личный враг Исмаила, а врагов он в живых не оставляет. Тем временем Рашид восстанавливается и тренируется в одном из аулов Нагорного Карабаха, чтобы быть готовым продолжить борьбу с мафией, связанной с поставкой наркотиков и торговлей оружием. В окрестностях неспокойно: бандиты грабят селения, убивают людей. Они хорошо вооружены и получают поддержку от местных мафиози. В труднодоступной местности размещены склады оружия и лагерь бандитов, куда решает проникнуть Рашид со своими товарищами по афганской войне. Четверо друзей на конях добираются до лагеря, обезвреживают охранников и готовятся взорвать склад оружия. Рашида, пробирающегося к лагерю поближе, хватают бандиты и ведут к Исмаилу. Мафиози в порыве мести сообщает Азиату, что он сам убил родителей, жену и детей Рашида, и сейчас расправится с ним, своим главным врагом. Рашид, изловчившись, выхватывает из-за спины нож и швыряет в Исмаила. Тот падает замертво. Во время возникшей паники Рашид с друзьями взрывают склад боеприпасов и уезжают из лагеря на машине бандитов. Навстречу им - автомашина с местным прокурором. Он надевает на друзей наручники и требует оставаться на месте до того времени, когда он вернется из местности, где раздаются взрывы. Но и скованные одной цепью, друзья, не дожидаясь возвращения служителя власти, удаляются подальше от места встречи с ним.</t>
        </is>
      </c>
      <c r="L7002" s="2" t="inlineStr">
        <is>
          <t>https://gosfilmofond.ru/films/232630/</t>
        </is>
      </c>
      <c r="M7002" s="2">
        <f>HYPERLINK("https://ru.wikipedia.org/w/index.php?search=%D0%90%D0%B7%D0%B8%D0%B0%D1%82%201991%20%D1%84%D0%B8%D0%BB%D1%8C%D0%BC","искать")</f>
        <v/>
      </c>
      <c r="N7002" s="3" t="n"/>
      <c r="O7002" s="2" t="n"/>
      <c r="P7002" s="2" t="n"/>
    </row>
    <row r="7003">
      <c r="A7003" s="2" t="n">
        <v>7002</v>
      </c>
      <c r="B7003" s="2" t="inlineStr"/>
      <c r="C7003" s="2" t="n">
        <v>9332</v>
      </c>
      <c r="D7003" s="3" t="inlineStr">
        <is>
          <t>Десять лет без права переписки</t>
        </is>
      </c>
      <c r="E7003" s="2" t="n">
        <v>1990</v>
      </c>
      <c r="F7003" s="2" t="inlineStr">
        <is>
          <t>кинофильм</t>
        </is>
      </c>
      <c r="G7003" s="2" t="n"/>
      <c r="H7003" s="2" t="n">
        <v>1972</v>
      </c>
      <c r="I7003" s="2" t="inlineStr"/>
      <c r="J7003" s="2" t="inlineStr"/>
      <c r="K7003" s="3" t="inlineStr">
        <is>
          <t>Ночью приходят и арестовывают отца мальчика Михаила. Тот успевает надписать фотографию человека, который написал донос, и оставляет её сыну.
После окончания войны отставной капитан Михаил появляется в Москве и находит своих друзей. Он сообщает им, что собирается отомстить Завьялову — «Лысому», это именно тот высокопоставленный аппаратчик, по доносу которого в 1937 году был расстрелян его отец. Вскоре он выясняет, что подать на Завьялова в суд невозможно, и решает его убить. Завьялов живёт в «Доме правительства» в той самой квартире, в которой когда-то жила семья Михаила.
Михаил проводит время с подругой детства Ниной, которая работает певицей в небольшом ресторане. Другой друг детства Михаила — дворник и сын дворника Коля «Татарин» — живёт в небольшой квартире на крыше дома с молодой женщиной Фаей. Когда Михаил остаётся у него ночевать, они обсуждают возможность убийства Завьялова, и Коля отказывается в этом участвовать, но при этом обещает помочь. Завьялов чувствует какую-то опасность, и даёт указание приближённым припугнуть Михаила, не зная, чей тот сын. Они устраивают драку, но изменить его намерение не удаётся.
Во время похорон Калинина Фаю замечает Берия и даёт указание своему личному помощнику доставить её к нему. Тот похищает Фаю на катке, но та напивается и начинает оскорблять Берию, после чего тот приказывает вернуть её домой. Это похищение ускоряет события: друзья перехватывают машину с Фаей, разоружают и унижают помощников Берии. Сразу после этого Михаил и его друзья приходят домой к Завьялову. Он позволяет Завьялову вызвать сотрудников органов внутренних дел, убивает его и остаётся ждать сотрудников, которых тот успел вызвать по телефону. Коля уходит, но затем возвращается к другу.
Фильм содержит в себе элементы фантасмагории, в частности, часть событий происходит в обширных подземельях под «Домом правительства» и в метро. Там царит своя «подземная жизнь» с политическими демонстрациями, философами-отшельниками и тому подобным.</t>
        </is>
      </c>
      <c r="L7003" s="2" t="inlineStr">
        <is>
          <t>https://ru.wikipedia.org/w/index.php?title=%D0%94%D0%B5%D1%81%D1%8F%D1%82%D1%8C_%D0%BB%D0%B5%D1%82_%D0%B1%D0%B5%D0%B7_%D0%BF%D1%80%D0%B0%D0%B2%D0%B0_%D0%BF%D0%B5%D1%80%D0%B5%D0%BF%D0%B8%D1%81%D0%BA%D0%B8_%28%D1%84%D0%B8%D0%BB%D1%8C%D0%BC%29&amp;oldid=154737416</t>
        </is>
      </c>
      <c r="M7003" s="2">
        <f>HYPERLINK("https://ru.wikipedia.org/w/index.php?search=%D0%94%D0%B5%D1%81%D1%8F%D1%82%D1%8C%20%D0%BB%D0%B5%D1%82%20%D0%B1%D0%B5%D0%B7%20%D0%BF%D1%80%D0%B0%D0%B2%D0%B0%20%D0%BF%D0%B5%D1%80%D0%B5%D0%BF%D0%B8%D1%81%D0%BA%D0%B8%201990%20%D1%84%D0%B8%D0%BB%D1%8C%D0%BC","искать")</f>
        <v/>
      </c>
      <c r="N7003" s="3" t="n"/>
      <c r="O7003" s="2" t="n"/>
      <c r="P7003" s="2" t="n"/>
    </row>
    <row r="7004">
      <c r="A7004" s="2" t="n">
        <v>7003</v>
      </c>
      <c r="B7004" s="2" t="inlineStr"/>
      <c r="C7004" s="2" t="n">
        <v>7993</v>
      </c>
      <c r="D7004" s="3" t="inlineStr">
        <is>
          <t>Несрочная весна</t>
        </is>
      </c>
      <c r="E7004" s="2" t="n">
        <v>1989</v>
      </c>
      <c r="F7004" s="2" t="inlineStr">
        <is>
          <t>телефильм</t>
        </is>
      </c>
      <c r="G7004" s="2" t="n"/>
      <c r="H7004" s="2" t="n">
        <v>1975</v>
      </c>
      <c r="I7004" s="2" t="inlineStr"/>
      <c r="J7004" s="2" t="inlineStr"/>
      <c r="K7004" s="3" t="inlineStr">
        <is>
          <t>Действие происходит в 1914, 1917 и 1923 годах в России.
Фильм построен по трёхчастной структуре. Третья часть связывает остальные составляющие сюжета.
Действие начинается в 1923 году.
Главный герой — Алексей Дмитриевич — приезжает на забытую богом станцию Буяново. Понимая, что ему не удастся найти ночлег, он устраивается на крыльце ближайшего трактира и погружается в воспоминания.
Первая часть его воспоминаний относится к 1914 году. Именно тогда он впервые влюбился в дочь хозяев, у которых занимался репетиторством, — влюбился безоглядно и романтично, но оказался не готов к этой любви. Он покинул приютившую его усадьбу, не зная того, что в ту самую ночь, когда их отношения с Русей, кажется, полностью определились, был убит её отец.
Спустя три года Руся неожиданно появляется в холостяцкой квартире Алексея Дмитриевича и предлагает вернуться в усадьбу, где прошла их юность, в надежде возвратить прошлые чувства. Но он оказался не готов к такому повороту событий. Романтика ушла в прошлое. Ему приходится выбирать между любовью и действительностью. И человеческая философия отходит на второй план, уступая место философии практической. В тот момент Алексей Дмитриевич оказался не готов к возрождению чувств и малодушно отказался от своей любви. Теперь же, предчувствуя гибель, он, напротив, стремится ей навстречу, поскольку ничего более в его жизни не осталось. Именно об этом повествует третья часть фильма, уходящая окончательно из области реалий.
Своё последнее возвращение в усадьбу герой совершает на катафалке.
«Ушедший мир не есть мир мёртвых», — говорит он человеку, который через короткое время станет убийцей его и фантасмагорической Руси, которая снова возникает в жизни Алексея Дмитриевича. — «Напротив. С каждым днём он всё более воскресает для меня и становится единственной и всё более радостной обителью души».
Невозможная, полуреальная встреча с Русей оказывается последней.
И только природа с тоскою и радостью продолжает своё вечное существование.</t>
        </is>
      </c>
      <c r="L7004" s="2" t="inlineStr">
        <is>
          <t>https://ru.wikipedia.org/w/index.php?title=%D0%9D%D0%B5%D1%81%D1%80%D0%BE%D1%87%D0%BD%D0%B0%D1%8F_%D0%B2%D0%B5%D1%81%D0%BD%D0%B0_%28%D1%84%D0%B8%D0%BB%D1%8C%D0%BC%29&amp;oldid=151506638</t>
        </is>
      </c>
      <c r="M7004" s="2">
        <f>HYPERLINK("https://ru.wikipedia.org/w/index.php?search=%D0%9D%D0%B5%D1%81%D1%80%D0%BE%D1%87%D0%BD%D0%B0%D1%8F%20%D0%B2%D0%B5%D1%81%D0%BD%D0%B0%201989%20%D1%84%D0%B8%D0%BB%D1%8C%D0%BC","искать")</f>
        <v/>
      </c>
      <c r="N7004" s="3" t="n"/>
      <c r="O7004" s="2" t="n"/>
      <c r="P7004" s="2" t="n"/>
    </row>
    <row r="7005">
      <c r="A7005" s="2" t="n">
        <v>7004</v>
      </c>
      <c r="B7005" s="2" t="inlineStr"/>
      <c r="C7005" s="2" t="n">
        <v>8488</v>
      </c>
      <c r="D7005" s="3" t="inlineStr">
        <is>
          <t>Труженики моря</t>
        </is>
      </c>
      <c r="E7005" s="2" t="n">
        <v>1985</v>
      </c>
      <c r="F7005" s="2" t="inlineStr">
        <is>
          <t>телефильм</t>
        </is>
      </c>
      <c r="G7005" s="2" t="n"/>
      <c r="H7005" s="2" t="n">
        <v>1976</v>
      </c>
      <c r="I7005" s="2" t="inlineStr"/>
      <c r="J7005" s="2" t="inlineStr"/>
      <c r="K7005" s="3" t="inlineStr">
        <is>
          <t>Остров Гернси. Старый корабельщик Летьери лишается своего парового судна «Дюранда», которое его компаньон Клюбен злонамеренно направил на Дуврский утес во время начинающегося шторма. Паровая машина цела, но снять его со скал не представляется возможным.
Дерюшетта, племянница корабельщика, которую старик Летьери любил и воспитывал как родную дочь, видя отчаяние дяди, обещает выйти замуж за того, кто спасёт дорогостоящую машину хозяину. Спасти судно решается Жильят, молодой рыбак, пользующийся дурной славой из-за своей нелюдимости. Он полюбил Дерюшетту с первого взгляда, встретившись с ней неожиданно на улице городка незадолго до кораблекрушения.
На своей рыбацкой лодке он плывет к Дуврскому утесу. Начинается битва с природой, со стихиями. Здесь Жильят проявляет несокрушимую энергию и волю, огромную выдержку и настойчивость, редкое бесстрашие. И он побеждает. Венцом его победы становятся поединок с гигантским спрутом и морская буря.
Жильят, преодолев все препятствия, доставляет на лодке машину в порт. И возвращает Летьери деньги, которые присвоил Клюбен, благодаря чему налаженный бизнес можно будет легко восстановить. Старый корабельщик счастлив. Но сам Жильят не обретает счастья: Дерюшетта, любовью к которой был вдохновлён герой всё время, когда совершал свои подвиги, влюблена в молодого, романтичного и очаровательного приезжего священнослужителя.
Жильят смиряется с судьбой. Он освобождает Дерюшетту от данного ею обещания. И помогает в спешном порядке зарегистрировать брак уплывающим Эбенезеру и Дерюшетте.
Отплывающий корабль с новобрачными моряк Жильят провожает взглядом с кресла Гильд-Хольм-Ур, опасного тем, что море заливает его постепенно, убаюкивает, и спастись уже нет возможности. Именно здесь Жильят спас Эбенезера, когда тот приехал и осматривал окрестности. Жильят знает о подстерегающей его опасности, но провожает взглядом корабль, который уносит его любимую. Судно исчезает за горизонтом. Прилив медленно накрывает Жильята. Он погибает.</t>
        </is>
      </c>
      <c r="L7005" s="2" t="inlineStr">
        <is>
          <t>https://ru.wikipedia.org/w/index.php?title=%D0%A2%D1%80%D1%83%D0%B6%D0%B5%D0%BD%D0%B8%D0%BA%D0%B8_%D0%BC%D0%BE%D1%80%D1%8F_%28%D1%84%D0%B8%D0%BB%D1%8C%D0%BC%29&amp;oldid=149111986</t>
        </is>
      </c>
      <c r="M7005" s="2">
        <f>HYPERLINK("https://ru.wikipedia.org/w/index.php?search=%D0%A2%D1%80%D1%83%D0%B6%D0%B5%D0%BD%D0%B8%D0%BA%D0%B8%20%D0%BC%D0%BE%D1%80%D1%8F%201985%20%D1%84%D0%B8%D0%BB%D1%8C%D0%BC","искать")</f>
        <v/>
      </c>
      <c r="N7005" s="3" t="n"/>
      <c r="O7005" s="2" t="n"/>
      <c r="P7005" s="2" t="n"/>
    </row>
    <row r="7006">
      <c r="A7006" s="2" t="n">
        <v>7005</v>
      </c>
      <c r="B7006" s="2" t="inlineStr"/>
      <c r="C7006" s="2" t="n">
        <v>7625</v>
      </c>
      <c r="D7006" s="3" t="inlineStr">
        <is>
          <t>Замкнутый круг</t>
        </is>
      </c>
      <c r="E7006" s="2" t="n">
        <v>1983</v>
      </c>
      <c r="F7006" s="2" t="inlineStr">
        <is>
          <t>телефильм</t>
        </is>
      </c>
      <c r="G7006" s="2" t="n"/>
      <c r="H7006" s="2" t="n">
        <v>1977</v>
      </c>
      <c r="I7006" s="2" t="inlineStr"/>
      <c r="J7006" s="2" t="inlineStr"/>
      <c r="K7006" s="3" t="inlineStr">
        <is>
          <t>По роману шведского писателя К. Арне Блома «Кто-то даёт сдачи» (годом ранее изданного в СССР в антологии «Современный шведский детектив»).
В небольшом шведском городке происходит убийство Фрома — владельца фирмы по исследованию общественных отношений, — небольшой, но очень влиятельной. А в автомобильной аварии погибает сотрудница фирмы. На прибывшего из столицы для расследования дела комиссара Турена совершается покушение, и он оказывается в коме. Начальник полиции городка тоже оказывается в больнице — его находят бездыханным в каком-то притоне.
Местный следователь инспектор Холмберг, с приставшей к нему дочерью Турена, начинает распутывать клубок отношений, связанных с историей убийства. Интриги внутри фирмы, запутанные личные отношения, не очевидные интересы и финансовые связи, ведущие в большую политику. Выясняется, что комиссар Турен передавал фирме Фрома секретную информацию о политической благонадёжности конкурентов. Но отнюдь не все в фирме были готовы идти на сделку с совестью и давать результаты политических рейтингов по заказу правящих кругов.
«Замкнутый круг» — детектив, снятый очень профессионально. Сперва все идет обыкновенно, как и полагается в обыкновенном детективе. Странные обстоятельства, чувство тревоги и три трупа подряд…. Однако довольно скоро обнаруживается, что в картине происходит, как в жизни, где все не сходится, а не как в кино, где непременно и сразу все сходится. Обычные житейские подробности входили в картину, тесня «роковые» повороты фабулы.
Совершенно ни на что не был похож образ главного героя инспектора. Десятки опять-таки житейских, вполне человеческих деталей его поведения снимали малейший налет стандарта, делали его крайне живым человеком. Инспектор, сыгранный очень интересным актером эстонского кино Арво Кукумяги, просто такой, какой он есть. Не слишком ловкий, не слишком красивый, старающийся быть честным, шалеющий от количества политико-социальных связей, причин и следствий, постепенно ему открывающихся.</t>
        </is>
      </c>
      <c r="L7006" s="2" t="inlineStr">
        <is>
          <t>https://ru.wikipedia.org/w/index.php?title=%D0%97%D0%B0%D0%BC%D0%BA%D0%BD%D1%83%D1%82%D1%8B%D0%B9_%D0%BA%D1%80%D1%83%D0%B3_%28%D1%84%D0%B8%D0%BB%D1%8C%D0%BC%2C_1983%29&amp;oldid=154695886</t>
        </is>
      </c>
      <c r="M7006" s="2">
        <f>HYPERLINK("https://ru.wikipedia.org/w/index.php?search=%D0%97%D0%B0%D0%BC%D0%BA%D0%BD%D1%83%D1%82%D1%8B%D0%B9%20%D0%BA%D1%80%D1%83%D0%B3%201983%20%D1%84%D0%B8%D0%BB%D1%8C%D0%BC","искать")</f>
        <v/>
      </c>
      <c r="N7006" s="3" t="n"/>
      <c r="O7006" s="2" t="n"/>
      <c r="P7006" s="2" t="n"/>
    </row>
    <row r="7007">
      <c r="A7007" s="2" t="n">
        <v>7006</v>
      </c>
      <c r="B7007" s="2" t="inlineStr"/>
      <c r="C7007" s="2" t="n">
        <v>8356</v>
      </c>
      <c r="D7007" s="3" t="inlineStr">
        <is>
          <t>След дождя</t>
        </is>
      </c>
      <c r="E7007" s="2" t="n">
        <v>1991</v>
      </c>
      <c r="F7007" s="2" t="inlineStr">
        <is>
          <t>телефильм</t>
        </is>
      </c>
      <c r="G7007" s="2" t="n"/>
      <c r="H7007" s="2" t="n">
        <v>1997</v>
      </c>
      <c r="I7007" s="2" t="inlineStr"/>
      <c r="J7007" s="2" t="inlineStr"/>
      <c r="K7007" s="3" t="inlineStr">
        <is>
          <t>Знаменитый дирижёр и музыкант Андрей Бергер спустя 27 лет после окончания Московской консерватории приезжает в предперестроечный СССР на гастроли. Старый друг Павел встречает его в аэропорту и приглашает в гости. Андрей встречается со своей бывшей женой Татьяной, с которой расстался в юности. Она сообщает Андрею, что у них есть взрослая дочь, однако не может устроить встречу Бергера с дочерью, так как давно потеряла с нею связь. В доме Павла Андрей встречает очаровательную девушку Лизу, талантливую пианистку, студентку консерватории. Павел сообщает Андрею, что он - биологический отец девушки, о чём та не догадывается и считает его своим опекуном. Андрей приглашает Лизу на репетицию концерта, в котором он будет дирижировать оркестром. Лиза, которая знает партию рояля в концерте, выручает Андрея, сев за рояль взамен отсутствующего пианиста. После репетиции Бергер приглашает Лизу к себе в номер гостиницы, чтобы оттачивать исполнение партии. Отношения между ними становятся всё более тёплыми, но Андрей не смеет помышлять о большем, ведь Лиза по возрасту годится ему в дочери. Когда Андрей уезжает на концерты в Ленинград, Лиза находит повод, чтобы присоединиться к нему. В поездке разгораются их страстные чувства. По возвращению в Москву Андрей просматривает киноплёнку юношеских лет, где на экране мелькает его подруга Татьяна, и Лиза узнаёт в ней свою маму. Андрей в шоке, понимая, что он, возможно, совершил прелюбодеяние со своей дочерью. Андрей признаётся Лизе, что он её отец, что чуть не доводит девушку до самоубийства. О случившемся узнаёт Павел. Они с Андреем досконально вспоминают все детали прошлого и понимают, что отцом Лизы мог быть только Павел, с которым Татьяна изменяла Андрею. Спустя полгода Андрей вновь встречается с Лизой в доме Павла. Он окружает девушку любовью и вниманием. Перед отъездом в Германию он выражает надежду, что Лиза приедет к нему. И вот уже в Германии они идут по длинному коридору, держась за руки. Начинается новый период их взаимоотношений.</t>
        </is>
      </c>
      <c r="L7007" s="2" t="inlineStr">
        <is>
          <t>https://gosfilmofond.ru/films/232507/</t>
        </is>
      </c>
      <c r="M7007" s="2">
        <f>HYPERLINK("https://ru.wikipedia.org/w/index.php?search=%D0%A1%D0%BB%D0%B5%D0%B4%20%D0%B4%D0%BE%D0%B6%D0%B4%D1%8F%201991%20%D1%84%D0%B8%D0%BB%D1%8C%D0%BC","искать")</f>
        <v/>
      </c>
      <c r="N7007" s="3" t="n"/>
      <c r="O7007" s="2" t="n"/>
      <c r="P7007" s="2" t="n"/>
    </row>
    <row r="7008">
      <c r="A7008" s="2" t="n">
        <v>7007</v>
      </c>
      <c r="B7008" s="2" t="inlineStr"/>
      <c r="C7008" s="2" t="n">
        <v>9321</v>
      </c>
      <c r="D7008" s="3" t="inlineStr">
        <is>
          <t>Дама с попугаем</t>
        </is>
      </c>
      <c r="E7008" s="2" t="n">
        <v>1988</v>
      </c>
      <c r="F7008" s="2" t="inlineStr">
        <is>
          <t>кинофильм</t>
        </is>
      </c>
      <c r="G7008" s="2" t="n"/>
      <c r="H7008" s="2" t="n">
        <v>2016</v>
      </c>
      <c r="I7008" s="2" t="inlineStr"/>
      <c r="J7008" s="2" t="inlineStr"/>
      <c r="K7008" s="3" t="inlineStr">
        <is>
          <t>Сергей Алексеевич Зверев знакомится на море с девушками, что ему, якобы работающему по престижной профессии (то он представляется пилотом, летающим за рубеж, то работником Внешторга), легко удаётся. Хулиганистый Лёшка из лагеря узнаёт Сергея: их с классом водили на экскурсию в аэропорт. Чтобы скрыть обман, выполняет желания Лёшки: водит его гулять в парк развлечений, угощает в кафе, фотографирует. На пляже Сергея заинтересовывает женщина по имени Елена, одиноко сидящая на пляже с попугаем в клетке. Она не настроена знакомиться, но охотно рассказывает о своём муже и своём сыне — круглом отличнике, которого даже показывали профессору из Новосибирского Академгородка. Сергей безуспешно пытается затащить её в постель. В итоге Елена внезапно уезжает.
После отпуска Сергей, который на самом деле работает авиатехником в аэропорту, возвращается домой и пытается найти Елену, придя по адресу, который повторял попугай. Проживающие там люди рассказывают Сергею, что этого попугая им приносят не первый раз: прежние хозяева давно переехали. Мать Сергея не довольна холостой жизнью великовозрастного сына.
Лёшка хвастается в школе фотографиями с отпуска, но в его сказки об отце не все верят. Лёшка находит Сергея в Москве. Ему, живущему с матерью, не хватает отца и он постоянно втягивает Сергея в разные авантюры: в первый раз, Сергей ввязывается в разборку с хулиганами, и его избивают; во второй раз, Лёшка приводит Сергея на родительское собрание, заявив, что это его отец. Изрядно покраснев за «сына»-хулигана, Сергей бросается за Лёшкой с ремнём. Оба оказываются в отделении милиции, где Сергей устраивает драку с главарём хулиганов. Сергею грозит административный арест, но Лёшка объясняет милиционеру ситуацию, и тот отпускает Сергея. За Лёшкой приходит мать. В ней Сергей узнаёт Елену и смущённо говорит ей, что её попугай у него. Втроём они идут к остановке трамвая. Сергей переходит на свою сторону. Елена и Лёшка смотрят на Сергея, а он на них. На сторону Сергея приходит трамвай. У фильма открытый финал.</t>
        </is>
      </c>
      <c r="L7008" s="2" t="inlineStr">
        <is>
          <t>https://ru.wikipedia.org/w/index.php?title=%D0%94%D0%B0%D0%BC%D0%B0_%D1%81_%D0%BF%D0%BE%D0%BF%D1%83%D0%B3%D0%B0%D0%B5%D0%BC&amp;oldid=154941837</t>
        </is>
      </c>
      <c r="M7008" s="2">
        <f>HYPERLINK("https://ru.wikipedia.org/w/index.php?search=%D0%94%D0%B0%D0%BC%D0%B0%20%D1%81%20%D0%BF%D0%BE%D0%BF%D1%83%D0%B3%D0%B0%D0%B5%D0%BC%201988%20%D1%84%D0%B8%D0%BB%D1%8C%D0%BC","искать")</f>
        <v/>
      </c>
      <c r="N7008" s="3" t="n"/>
      <c r="O7008" s="2" t="n"/>
      <c r="P7008" s="2" t="n"/>
    </row>
    <row r="7009">
      <c r="A7009" s="2" t="n">
        <v>7008</v>
      </c>
      <c r="B7009" s="2" t="inlineStr"/>
      <c r="C7009" s="2" t="n">
        <v>9429</v>
      </c>
      <c r="D7009" s="3" t="inlineStr">
        <is>
          <t>Кому вверх, кому вниз</t>
        </is>
      </c>
      <c r="E7009" s="2" t="n">
        <v>1991</v>
      </c>
      <c r="F7009" s="2" t="inlineStr">
        <is>
          <t>кинофильм</t>
        </is>
      </c>
      <c r="G7009" s="2" t="n"/>
      <c r="H7009" s="2" t="n">
        <v>2020</v>
      </c>
      <c r="I7009" s="2" t="inlineStr"/>
      <c r="J7009" s="2" t="inlineStr"/>
      <c r="K7009" s="3" t="inlineStr">
        <is>
          <t>Сентябрь 1979 года. Над украинским городком появляются летающие тарелки. Одна из них приземляется вблизи стройки. Это видит местный сторож Петро Бублик и после исчезновения объекта ещё долгое время не может заснуть. Утром мужчина просыпается в незнакомом месте. Исчез вагончик, в котором он жил с женой и дочерью-подростком Женькой. Пригляделся, место вроде бы знакомое, но сильно изменившееся. Купил свежую газету и увидел на ней дату 16 июля 1991 года. Петро понял, что каким-то невероятным образом переместился во времени в своем городе. Он решает найти жену Машу и дочку. На производстве, где раньше работала Мария, ему дают её домашний адрес. Петро приходит к жене, но она замужем за другим человеком. Маша думает, что Петро бросил её, и отправляет его туда, откуда он явился. На вопрос, где его дочь, женщина сообщает, что Женя поехала в город к подруге. Она не знает, что её похорошевшую дочь обманным путем завлекли в свои сети сутенёры. Женя находится в притоне, и её стараются ввести в порок внушением и колдовством. Заправляет этим парапсихолог Ян Болсовский. Хозяину притона Фаусту нравится Женька, и он просит Яна внушить девушке благосклонность к нему. Разговор мужчин случайно слышит Петро и понимает, что речь идёт о его дочери. При благоприятных для него обстоятельствах Бублик получает работу у Фауста и находит там дочь. Он пытается обратить её память в детство, но Женя не помнит отца. Не видя другого пути, как освободить дочь, Петро устраивает дебош в притоне, чтобы привлечь внимание милиции. При этом его забирают в психбольницу. Тем временем Женя и Фауст начинают встречаться, но им мешает Ян, который соперничает с Фаустом. В конце концов Фауст устраняет противника. Фауст и Женя забирают Петро из психбольницы. Он решает вернуться в своё время, и просит влюбленных оставаться людьми в любой трудной ситуации. Спокойный за будущее любящих друг друга людей Бублик оставляет счастливых молодых в 90-х годах, а сам возвращается в 70-е. Следующую ночь он проводит спокойно в своем старом вагончике.</t>
        </is>
      </c>
      <c r="L7009" s="2" t="inlineStr">
        <is>
          <t>https://gosfilmofond.ru/films/232367/</t>
        </is>
      </c>
      <c r="M7009" s="2">
        <f>HYPERLINK("https://ru.wikipedia.org/w/index.php?search=%D0%9A%D0%BE%D0%BC%D1%83%20%D0%B2%D0%B2%D0%B5%D1%80%D1%85%2C%20%D0%BA%D0%BE%D0%BC%D1%83%20%D0%B2%D0%BD%D0%B8%D0%B7%201991%20%D1%84%D0%B8%D0%BB%D1%8C%D0%BC","искать")</f>
        <v/>
      </c>
      <c r="N7009" s="3" t="n"/>
      <c r="O7009" s="2" t="n"/>
      <c r="P7009" s="2" t="n"/>
    </row>
    <row r="7010">
      <c r="A7010" s="2" t="n">
        <v>7009</v>
      </c>
      <c r="B7010" s="2" t="inlineStr"/>
      <c r="C7010" s="2" t="n">
        <v>7775</v>
      </c>
      <c r="D7010" s="3" t="inlineStr">
        <is>
          <t>Криминальный талант</t>
        </is>
      </c>
      <c r="E7010" s="2" t="n">
        <v>1988</v>
      </c>
      <c r="F7010" s="2" t="inlineStr">
        <is>
          <t>телефильм</t>
        </is>
      </c>
      <c r="G7010" s="2" t="n"/>
      <c r="H7010" s="2" t="n">
        <v>2024</v>
      </c>
      <c r="I7010" s="2" t="inlineStr"/>
      <c r="J7010" s="2" t="inlineStr"/>
      <c r="K7010" s="3" t="inlineStr">
        <is>
          <t>В Ленинграде за определенный период совершаются ряд преступлений, очень разные по почерку, но объединенные лишь одним: их совершают женщины. Сопоставив факты, следователь Рябинин приходит к выводу, что, несмотря ни на что, во всех случаях действует одна аферистка: изображая девушку «лёгкого поведения», подсыпает снотворное мужчинам в ресторанах; обманом получает чужие переводы на почте; обворовывает чужую квартиру, но будучи застигнутой на месте преступления хозяйкой, ускользает с добычей... Когда оперативники практически настигают её, она и от них умудряется скрыться… Обнаружение преступницы осложняется тем, что она обладает даром перевоплощения, является отличной актрисой, обладает изворотливым, изобретательным умом, вызывая даже некоторое восхищение у тех, кто за ней охотится.
Именно эти её качества и были оценены сыщиками как «криминальный талант».
Наконец, её задерживают. Аферистка Александра Рукояткина — умная и красивая девушка из бедной многодетной семьи, иногородняя, «лимитчица» времён СССР, в большом городе учится в ПТУ и работает валяльщицей на суконной фабрике на тяжёлой работе за мизерную стипендию, а официально живёт в общежитии при фабрике. Пройдя через бедность, обиды и плохое к себе отношение, равнодушие позднесоветской общественной и государственной системы, она решает, что есть более лёгкий способ заработать хорошие деньги, не став при этом в полном смысле девушкой «лёгкого поведения». При этом она старается жить по своим принципам, «понятиям», выстроив свою философию на существующих в жизни несправедливостях эпохи «развитого социализма», таких как блат, тотальный дефицит и социальная несправедливость. Она старается помогать материально своим менее деятельным подругам-птушницам с суконной фабрики, чем заслуживает их поддержку и благодарность.
В ходе ведения расследования и при очных ставках следователю прокуратуры Рябинину приходится вести сложный психологический поединок с Александрой Рукояткиной, приводящий в итоге к неразрешимым этическим и нравственным противоречиям.</t>
        </is>
      </c>
      <c r="L7010" s="2" t="inlineStr">
        <is>
          <t>https://ru.wikipedia.org/w/index.php?title=%D0%9A%D1%80%D0%B8%D0%BC%D0%B8%D0%BD%D0%B0%D0%BB%D1%8C%D0%BD%D1%8B%D0%B9_%D1%82%D0%B0%D0%BB%D0%B0%D0%BD%D1%82_%28%D1%84%D0%B8%D0%BB%D1%8C%D0%BC%2C_1988%29&amp;oldid=148630012</t>
        </is>
      </c>
      <c r="M7010" s="2">
        <f>HYPERLINK("https://ru.wikipedia.org/w/index.php?search=%D0%9A%D1%80%D0%B8%D0%BC%D0%B8%D0%BD%D0%B0%D0%BB%D1%8C%D0%BD%D1%8B%D0%B9%20%D1%82%D0%B0%D0%BB%D0%B0%D0%BD%D1%82%201988%20%D1%84%D0%B8%D0%BB%D1%8C%D0%BC","искать")</f>
        <v/>
      </c>
      <c r="N7010" s="3" t="n"/>
      <c r="O7010" s="2" t="n"/>
      <c r="P7010" s="2" t="n"/>
    </row>
    <row r="7011">
      <c r="A7011" s="2" t="n">
        <v>7010</v>
      </c>
      <c r="B7011" s="2" t="inlineStr"/>
      <c r="C7011" s="2" t="n">
        <v>9336</v>
      </c>
      <c r="D7011" s="3" t="inlineStr">
        <is>
          <t>Дикое поле</t>
        </is>
      </c>
      <c r="E7011" s="2" t="n">
        <v>1991</v>
      </c>
      <c r="F7011" s="2" t="inlineStr">
        <is>
          <t>кинофильм</t>
        </is>
      </c>
      <c r="G7011" s="2" t="n"/>
      <c r="H7011" s="2" t="n">
        <v>2024</v>
      </c>
      <c r="I7011" s="2" t="inlineStr"/>
      <c r="J7011" s="2" t="inlineStr"/>
      <c r="K7011" s="3" t="inlineStr">
        <is>
          <t>1540 год. От рязанских земель до нагайских степей простирается русское степное заграничье. Здесь формируется ядро донского казачества, которое возникло из разбойной вольницы, промышлявшей в этих краях. Вольные люди, среди которых были беглые русские, крымские и астраханские татары, турки собираются в отряды и занимаются грабежом и разбоем. К одному из таких отрядов прибиваются зверогоны. Атаман Сидор принимает приблудных в отряд, несмотря на то, что в одном из них, Никите Сарычеве, боец Луп признал царского сотника. Тот объяснился, что он действительно служивый, но не сотник. Он бежал из турецкого плена, а сотник, которого там встретил, умер на его руках. Он успел сообщить Никите, что в этих краях запрятана рязанская казна, захваченная людьми паши Эльдара. Сотнику с отрядом предназначалось вернуть её городу. Никита был ранен при бегстве и спасен зверогонами, а его сподвижник Гугуля остался в плену у турок. Он один мог знать, где запрятан сундук. За казной охотятся турки. В чистом поле сходятся татары и казаки. Паша Эльдар не хочет воевать и предлагает атаману казаков выставить воина против его трёх. Если казак победит трех человек, то паша обещает отдать пленного Гугулю и в придачу семь коней. Казак побеждает, но татары не выполняют обещание и возвращаются на поле с подмогой. Начинается сражение, в котором смертельно ранен атаман казаков Сидор. В бою Сарычев не рубит татар, помня о добре, когда ему пленному татарин дал воды напиться, тем самым не дал умереть. Телохранитель паши во всеуслышание признает в Никите сотника. Сарычев объясняет казакам, что он христианин и хочет вернуть казну законным владельцам, а не присвоить, как того хотят казаки. Он готов уйти из отряда. Но казаки хотят видеть его своим атаманом. Никита назначает Лупа своим помощником, а сам пробирается в лагерь Эльдара, чтобы спасти Гугулю. Сундук достают со дна озера, но он пуст. Следом за сундуком поднимают икону Богородицы. Придет время, и её водрузят в часовенке посередине поля, которую мечтает построить Никита Сарычев.</t>
        </is>
      </c>
      <c r="L7011" s="2" t="inlineStr">
        <is>
          <t>https://gosfilmofond.ru/films/232658/</t>
        </is>
      </c>
      <c r="M7011" s="2">
        <f>HYPERLINK("https://ru.wikipedia.org/w/index.php?search=%D0%94%D0%B8%D0%BA%D0%BE%D0%B5%20%D0%BF%D0%BE%D0%BB%D0%B5%201991%20%D1%84%D0%B8%D0%BB%D1%8C%D0%BC","искать")</f>
        <v/>
      </c>
      <c r="N7011" s="3" t="n"/>
      <c r="O7011" s="2" t="n"/>
      <c r="P7011" s="2" t="n"/>
    </row>
    <row r="7012">
      <c r="A7012" s="2" t="n">
        <v>7011</v>
      </c>
      <c r="B7012" s="2" t="inlineStr"/>
      <c r="C7012" s="2" t="n">
        <v>9284</v>
      </c>
      <c r="D7012" s="3" t="inlineStr">
        <is>
          <t>Восхождение на Фудзияму</t>
        </is>
      </c>
      <c r="E7012" s="2" t="n">
        <v>1988</v>
      </c>
      <c r="F7012" s="2" t="inlineStr">
        <is>
          <t>кинофильм</t>
        </is>
      </c>
      <c r="G7012" s="2" t="n"/>
      <c r="H7012" s="2" t="n">
        <v>2026</v>
      </c>
      <c r="I7012" s="2" t="inlineStr"/>
      <c r="J7012" s="2" t="inlineStr"/>
      <c r="K7012" s="3" t="inlineStr">
        <is>
          <t>Пятеро друзей — Мамбет, Исабек, Досберген, Иосиф и Сабыр — когда-то учились вместе в школе, вместе ушли на фронт. Спустя много лет четверо из них собираются в день празднования Первомая на вершине горы Караульная, которую Алмагуль, жена Досбергена, со своими учениками назвала «Фудзияма» в честь священной горы в Японии. Встречу решено отпраздновать с женами и любимой старой учительницей Айшой-апа. Не позвали только Сабыра, может быть, потому, что один из них был виновен в том, что поэма Сабыра с невеселыми размышлениями о жизни попала в Особый отдел. Далее последовал арест, тюрьма. После освобождения Сабыр запил, и никто не оказал ему поддержки. Тяжело слушать Айше-апа исповеди ее учеников. Иосиф стал ученым, написав диссертацию, состоявшую, правда, из набора прописных истин. Исабек — знаменитый писатель, мемуары которого представляют на самом деле чистый вымысел, зато они угодны правительственным чиновникам. Агроном Досберген превратился в дельца и хапугу. Лишь Мамбет, не желая поступаться своими принципами, всегда привыкший говорить правду, стал простым сельским учителем, хотя когда-то обладал задатками ученого. Расстроенная услышанным учительница отправляется домой, но, передумав, решает вернуться и сказать своим ученикам что-то важное. Но в это время пирушка превращается в пьяный разгул. Мамбет становится объектом насмешек, приятели бросают в него камни, и чей-то камень случайно убивает старую учительницу. Потрясенная трагедией Гульджан, жена Исабека, погибает, бросившись вниз. Струсившие Иосиф и Исабек пытаются удрать до приезда милиции. Задерживавшему их Досбергену они рассказывают об отношениях его жены и Мамбета. Досберген приходит в ярость и бросается на учителя, вслед за ним кидаются с кулаками и остальные. Лишь начавшаяся в горах буря мешает озверевшим «героям» завершить месть. Бросив избитого до полусмерти Мамбета, Исабек, Иосиф и Досберген спешно спускаются вниз, договариваясь о том, как им следует «выбираться» из этой истории, какой общей версии случившегося всем придерживаться.</t>
        </is>
      </c>
      <c r="L7012" s="2" t="inlineStr">
        <is>
          <t>https://gosfilmofond.ru/films/240184/</t>
        </is>
      </c>
      <c r="M7012" s="2">
        <f>HYPERLINK("https://ru.wikipedia.org/w/index.php?search=%D0%92%D0%BE%D1%81%D1%85%D0%BE%D0%B6%D0%B4%D0%B5%D0%BD%D0%B8%D0%B5%20%D0%BD%D0%B0%20%D0%A4%D1%83%D0%B4%D0%B7%D0%B8%D1%8F%D0%BC%D1%83%201988%20%D1%84%D0%B8%D0%BB%D1%8C%D0%BC","искать")</f>
        <v/>
      </c>
      <c r="N7012" s="3" t="n"/>
      <c r="O7012" s="2" t="n"/>
      <c r="P7012" s="2" t="n"/>
    </row>
    <row r="7013">
      <c r="A7013" s="2" t="n">
        <v>7012</v>
      </c>
      <c r="B7013" s="2" t="inlineStr"/>
      <c r="C7013" s="2" t="n">
        <v>10673</v>
      </c>
      <c r="D7013" s="3" t="inlineStr">
        <is>
          <t>Театральные истории</t>
        </is>
      </c>
      <c r="E7013" s="2" t="n">
        <v>1976</v>
      </c>
      <c r="F7013" s="2" t="inlineStr">
        <is>
          <t>фильм-спектакль</t>
        </is>
      </c>
      <c r="G7013" s="2" t="inlineStr">
        <is>
          <t>Лентелефильм</t>
        </is>
      </c>
      <c r="H7013" s="2" t="n">
        <v>2026</v>
      </c>
      <c r="I7013" s="2" t="inlineStr"/>
      <c r="J7013" s="2" t="inlineStr"/>
      <c r="K7013" s="3" t="inlineStr">
        <is>
          <t>По рассказам А.П. Чехова.
Празднуется юбилей трагика. Одни критикуют, другие восхваляют юбиляра. Третьи беседуют между собой, четвертые - “моноложат”. “Благородный отец” рассказывает газетчику о комике Борщове. Однажды он “устроил” бенефис одной актрисе. Он попросил ее дать ему на спектакль халат ее бывшего любовника, но она отказала на том основании, что он ей дорог, как воспоминание о человеке, которого она любила, хотя он и бросил ее. В отместку он подговорил кассира вывесить объявление “Все билеты проданы”. В результате на ее бенефис было продано всего 5 билетов. На юбилее трагик держит речь перед гостями. Он создал много образов, его имя известно в 36 городах - вот счета из гостиниц. Но не было и дня, чтобы не было интриг, и он решил сказать об этом правду. Искусство пало, жалованье не выплачивают. Услышав о жалованье, антрепренер уходит. “Благородный отец” продолжает свои рассказы. Антрепренер не должен давать волю актеру. Антрепренер Индюков держал в кулаке всю труппу. Однажды он устроил бенефис актрисе Каучуковой. Он спрятался в ее гримерной, якобы от приехавшего зятя, и пообещал, если она его не выдаст, то получит прибавку к бенефисному “пирогу”. Когда закончился бенефис, он сказал ей, что ошибся, зять не приехал, поэтому и и не за чем давать ей прибавку. На юбилее трагика актриса исполняет песню в честь юбиляра. А “Благородный отец” продолжает сетовать - и ради денег работают. Напротив него за столом сидят музыканты - “Контрабас” и “Флейта”. Как-то они встретились у театра, и “Контрабас” предложил “Флейте” снять квартиру на двоих. “Флейта” согласился. Когда стало ясно, что жить вдвоем невыносимо, “Флейта” никак не мог признаться в этом своему приятелю. Тогда “Контрабас” не выдержал и сам сказал, что не может дождаться, когда тот уйдет.. Оба вздохнули с облегчением. “Благородный отец” продолжал сокрушаться, что нет настоящих талантов. А репортер пришел к выводу, что русский актер бывает бесконечно симпатичен, потому что не жалуется на интриги, а повествует об увиденном и услышанном.</t>
        </is>
      </c>
      <c r="L7013" s="2" t="inlineStr">
        <is>
          <t>https://www.kino-teatr.ru/teatr/movie/10071/annot/</t>
        </is>
      </c>
      <c r="M7013" s="2">
        <f>HYPERLINK("https://ru.wikipedia.org/w/index.php?search=%D0%A2%D0%B5%D0%B0%D1%82%D1%80%D0%B0%D0%BB%D1%8C%D0%BD%D1%8B%D0%B5%20%D0%B8%D1%81%D1%82%D0%BE%D1%80%D0%B8%D0%B8%201976%20%D1%84%D0%B8%D0%BB%D1%8C%D0%BC","искать")</f>
        <v/>
      </c>
      <c r="N7013" s="3" t="n"/>
      <c r="O7013" s="2" t="n"/>
      <c r="P7013" s="2" t="n"/>
    </row>
    <row r="7014">
      <c r="A7014" s="2" t="n">
        <v>7013</v>
      </c>
      <c r="B7014" s="2" t="inlineStr"/>
      <c r="C7014" s="2" t="n">
        <v>8861</v>
      </c>
      <c r="D7014" s="3" t="inlineStr">
        <is>
          <t>Нам колокола не играли, когда мы умирали</t>
        </is>
      </c>
      <c r="E7014" s="2" t="n">
        <v>1991</v>
      </c>
      <c r="F7014" s="2" t="inlineStr">
        <is>
          <t>кинофильм</t>
        </is>
      </c>
      <c r="G7014" s="2" t="n"/>
      <c r="H7014" s="2" t="n">
        <v>2033</v>
      </c>
      <c r="I7014" s="2" t="inlineStr"/>
      <c r="J7014" s="2" t="inlineStr"/>
      <c r="K7014" s="3" t="inlineStr">
        <is>
          <t>1947 год, Западная Украина. Против Украинской повстанческой армии (УПА) Красная Армия проводит боевую операцию. Повстанец Петро уводит раненого Иванко с поля боя. Они скрываются в ближайшей деревне, где жители предоставляют им убежище. К ним присоединяется Павло. Через несколько дней в деревню приезжают красноармейцы и устраивают облаву. Петро и Павло вынуждены оставить раненого Иванко, а сами убегают в лес. Друзья понимают, что их предал кто-то из жителей деревни. Военные расстреливают и вешают мирных жителей деревни за укрывательство повстанцев. Петро и Павло принимают решение разделиться и спасаться поодиночке. Военные, идущие по следам беглецов, захватывают Павло. Петро удается отбиться и скрыться в старой церкви. Здесь в катакомбах прячутся старики, женщины и дети. Обессилевший и безоружный Петро пробирается в деревушку где живет его мать. Парень возвращается к мирной жизни, хлопочет по хозяйству, помогает матери. Но и здесь ему не дают покоя. В один из дней предатель Андрей приводит во двор военных и Петро уводят под конвоем. Местные мужики пытаются отбить парня, но безуспешно. Андрей сам расстреливает односельчан. У военных нет улик против Петро, и его отпускают. Но мстительный Андрей не может успокоиться и вновь пытается заручиться поддержкой военных, чтобы уничтожить Петро. Однако они не вмешиваются в разборку сельчан. Петро выходит во двор на открытую схватку с Андреем, но тот, испугавшись, плачет. Петро не решается убить слабого и, как он думает, раскаивавшегося недруга. Он сам покидает родной дом, чтобы не подвергать опасности мать и односельчан. Но опасность не отступает от деревеньки. Солдаты грабят жителей, убивают мужчин, а женщин с детьми загоняют в вагоны для скота и отправляют на восток. Смерть находит Петро прицельным выстрелом в спину. Мирная картина: дети в национальных костюмах водят хоровод. К ним присоединяются взрослые. Круг сплоченных людей становится всё больше. Звучит «Ода к радости» Бетховена. Поодаль в одиночестве стоит, увешанный русскими наградами, предатель Андрей.</t>
        </is>
      </c>
      <c r="L7014" s="2" t="inlineStr">
        <is>
          <t>https://gosfilmofond.ru/films/232610/</t>
        </is>
      </c>
      <c r="M7014" s="2">
        <f>HYPERLINK("https://ru.wikipedia.org/w/index.php?search=%D0%9D%D0%B0%D0%BC%20%D0%BA%D0%BE%D0%BB%D0%BE%D0%BA%D0%BE%D0%BB%D0%B0%20%D0%BD%D0%B5%20%D0%B8%D0%B3%D1%80%D0%B0%D0%BB%D0%B8%2C%20%D0%BA%D0%BE%D0%B3%D0%B4%D0%B0%20%D0%BC%D1%8B%20%D1%83%D0%BC%D0%B8%D1%80%D0%B0%D0%BB%D0%B8%201991%20%D1%84%D0%B8%D0%BB%D1%8C%D0%BC","искать")</f>
        <v/>
      </c>
      <c r="N7014" s="3" t="n"/>
      <c r="O7014" s="2" t="n"/>
      <c r="P7014" s="2" t="n"/>
    </row>
    <row r="7015">
      <c r="A7015" s="2" t="n">
        <v>7014</v>
      </c>
      <c r="B7015" s="2" t="inlineStr"/>
      <c r="C7015" s="2" t="n">
        <v>9015</v>
      </c>
      <c r="D7015" s="3" t="inlineStr">
        <is>
          <t>Рогоносец</t>
        </is>
      </c>
      <c r="E7015" s="2" t="n">
        <v>1990</v>
      </c>
      <c r="F7015" s="2" t="inlineStr">
        <is>
          <t>кинофильм</t>
        </is>
      </c>
      <c r="G7015" s="2" t="n"/>
      <c r="H7015" s="2" t="n">
        <v>2039</v>
      </c>
      <c r="I7015" s="2" t="inlineStr"/>
      <c r="J7015" s="2" t="inlineStr"/>
      <c r="K7015" s="3" t="inlineStr">
        <is>
          <t>Мужчина приходит к врачу-психиатру за помощью, одолеваемый навязчивой идеей убить жену-изменницу. Врач сочувственно говорит ему, что ничто не может излечить одиночество и нелюбовь. Встретив жену в аэропорту, мужчина увозит её за город, где избивает, но убить не решается. На обратном пути он предлагает жене уехать с глаз долой вместе с любовником, а к наступлению зимы обещает что-либо придумать, как ему с женой разъехаться. Но изменница говорит, что не собирается разводиться и будет жить с ним. На следующем приеме психолог призывает мужчину быть осторожным и не принимать скоропалительных решений. Он рассказывает о том, что сам когда-то был неосторожен и потерял свою любимую жену. Он уехал на конгресс в Италию, зная, что у неё не в порядке с сердцем, и она умерла в его отсутствие. Мужчина навещает в больнице женщину, которую знает с юности. У неё тоже психологическое расстройство. Она не хочет жить, потому что её предал и бросил муж, с которым она прожила 20 лет. Спустя некоторое время на даче жена рогоносца пытается убедить его подругу, выписавшуюся из больницы, что нужно забыть о прошлом и жить сегодняшним днём. Оглядываться назад – значит чувствовать себя старухой. Та признается, что хочет простить мужа, но не может. После долгих раздумий рогоносец заявляет жене, что она ему нужна, но в ответ жена говорит, что это говорит его оскорблённое самолюбие, а не любовь. Жена уезжает в город. Мужчина остается на даче со своей старой подругой. Та признается в постели, что давно его любит. Но мужчина понимает, что у него нет любви к ней, и отсутствие гармонии с подругой может убить его душу. Старая городская танцплощадка. На сцене психолог вспоминает, как 40 лет назад он познакомился здесь со своей женой. Он не может забыть и простить себя, что предал её. Всю жизнь после смерти жены он живёт с ненавистью к себе. Прибрежное шоссе. Рогоносец гонит машину и на большой скорости направляет её навстречу грузовику. Видение, где все действующие лица вместе и счастливы. Реальность: пустая лодка плывёт в бескрайний простор.</t>
        </is>
      </c>
      <c r="L7015" s="2" t="inlineStr">
        <is>
          <t>https://gosfilmofond.ru/films/232274/</t>
        </is>
      </c>
      <c r="M7015" s="2">
        <f>HYPERLINK("https://ru.wikipedia.org/w/index.php?search=%D0%A0%D0%BE%D0%B3%D0%BE%D0%BD%D0%BE%D1%81%D0%B5%D1%86%201990%20%D1%84%D0%B8%D0%BB%D1%8C%D0%BC","искать")</f>
        <v/>
      </c>
      <c r="N7015" s="3" t="n"/>
      <c r="O7015" s="2" t="n"/>
      <c r="P7015" s="2" t="n"/>
    </row>
    <row r="7016">
      <c r="A7016" s="2" t="n">
        <v>7015</v>
      </c>
      <c r="B7016" s="2" t="inlineStr"/>
      <c r="C7016" s="2" t="n">
        <v>7507</v>
      </c>
      <c r="D7016" s="3" t="inlineStr">
        <is>
          <t>Дети греха</t>
        </is>
      </c>
      <c r="E7016" s="2" t="n">
        <v>1989</v>
      </c>
      <c r="F7016" s="2" t="inlineStr">
        <is>
          <t>телефильм</t>
        </is>
      </c>
      <c r="G7016" s="2" t="n"/>
      <c r="H7016" s="2" t="n">
        <v>2046</v>
      </c>
      <c r="I7016" s="2" t="inlineStr"/>
      <c r="J7016" s="2" t="inlineStr"/>
      <c r="K7016" s="3" t="inlineStr">
        <is>
          <t>Грузия прошлых веков. В высокогорном кистинском селе умирает женщина, её муж Корзо остаётся один с несколькими детьми. Утром он идёт в лес нарубить дров, и прямо во время намаза его захватывают в плен хевсуры из соседнего села. Мгелика, по инициативе которого взят пленный, приковывает его на цепь у себя во дворе и говорит, что будет просить за него выкуп у кистинов: двадцать овец, корову и коня с серебряным седлом. Пленный почти ничего не говорит, хотя понимает грузинскую речь. Если до снега выкуп не привезут, Мгелика обещает убить пленника: после того, как выпадет снег, кистинцы до весны не смогут добраться до села.
Сосед Мгелики, пожилой хевсур, ругает его, говоря, что не в традициях их народа брать пленных за выкуп и тем более убивать их. Приходит священник, который также уговаривает Мгелику отпустить пленного. Однако Мгелика неумолим: он говорит, что дал слово и сдержит его, а пленного он взял в отместку за нападения со стороны кистинов. Проходит несколько дней. Жена и сын Мгелики сочувствуют пленнику, но боятся Мгелики. Сам Мгелика не находит себе места, понимая, что совершил плохой поступок. Наконец, он не выдерживает и бросает ключ от цепи рядом с кистином. Однако тот не берёт его. Приходит пожилой хевсур, который предлагает пленному выпить с ним вина. Он замечает на земле ключ и спрашивает, почему же кистинец не хочет уйти, но тот показывает, что не верит Мгелике и уверен, что тот убьёт его, как только он освободится от цепей. Услышав, что пленный не поверил ему, Мгелика в бешенстве выбегает из дома и убивает его из ружья.
Горный перевал завален снегом, но Мгелика везёт сани с телом кистинца на хевсурское христианское кладбище, чтобы похоронить. Односельчане идут за ним, увещевая его, что так делать не стоит. Внезапно впереди со стороны кистинского села появляются четверо детей, ведущих корову. Они подходят к группе хевсуров и называют имя пленного кистинца: это выкуп за него. Мгелика в ужасе бежит от них по снегу, затем останавливается и закалывает себя кинжалом. Пожилой хевсур уводит кистинских детей.</t>
        </is>
      </c>
      <c r="L7016" s="2" t="inlineStr">
        <is>
          <t>https://ru.wikipedia.org/w/index.php?title=%D0%94%D0%B5%D1%82%D0%B8_%D0%B3%D1%80%D0%B5%D1%85%D0%B0_%28%D1%84%D0%B8%D0%BB%D1%8C%D0%BC%29&amp;oldid=152311429</t>
        </is>
      </c>
      <c r="M7016" s="2">
        <f>HYPERLINK("https://ru.wikipedia.org/w/index.php?search=%D0%94%D0%B5%D1%82%D0%B8%20%D0%B3%D1%80%D0%B5%D1%85%D0%B0%201989%20%D1%84%D0%B8%D0%BB%D1%8C%D0%BC","искать")</f>
        <v/>
      </c>
      <c r="N7016" s="3" t="n"/>
      <c r="O7016" s="2" t="n"/>
      <c r="P7016" s="2" t="n"/>
    </row>
    <row r="7017">
      <c r="A7017" s="2" t="n">
        <v>7016</v>
      </c>
      <c r="B7017" s="2" t="inlineStr"/>
      <c r="C7017" s="2" t="n">
        <v>9469</v>
      </c>
      <c r="D7017" s="3" t="inlineStr">
        <is>
          <t>Меня зовут Арлекино</t>
        </is>
      </c>
      <c r="E7017" s="2" t="n">
        <v>1988</v>
      </c>
      <c r="F7017" s="2" t="inlineStr">
        <is>
          <t>кинофильм</t>
        </is>
      </c>
      <c r="G7017" s="2" t="n"/>
      <c r="H7017" s="2" t="n">
        <v>2046</v>
      </c>
      <c r="I7017" s="2" t="inlineStr"/>
      <c r="J7017" s="2" t="inlineStr"/>
      <c r="K7017" s="3" t="inlineStr">
        <is>
          <t>Конец 1980-х годов. Молодой парень Андрей Савичев по прозвищу Арлекино (Олег Фомин) живёт на небольшом полустанке возле железной дороги, недалеко от города. Он является лидером небольшой группы парней из железнодорожного посёлка «Вагонка», которые зовут себя «Вагонка» и противостоят различным группам неформалов: хиппи, металлистам, а также просто богатеньким «мажорам» из города. Арлекино не в восторге от такой жизни, но он понимает, что другой у него быть не может.
Вместе со своей группировкой из 9 человек Арлекино отправляется в город на электричке. В одном из вагонов они встретили несколько парней, громко слушающих тяжёлую рок-музыку на магнитофоне. На просьбу выключить музыку рокеры никак не отреагировали. Тогда парень из «Вагонки» по имени Илья вынул их аудиокассету и предложил им взамен другую. Один из рокеров решил отобрать кассету назад, но был остановлен Арлекино и получил от него предупреждение: не попадаться больше на глаза, чтобы не быть побитым. В конце вагона парни подсели к трём девушкам. «Панцирь» начал расспрашивать их по пустякам, затем попросил своего приятеля «Джека» показать им декоративную крысу по кличке «Графиня», после чего девушки испугались и ушли в другой вагон. Парни запели гимн своей группировки «Вагонка». Арлекино отобрал у «Костыля» металлическую цепь и выкинул её в окно, добавив, что за такие цепи многих членов их банды посадили за решётку.
Девушка Арлекино по имени Лена (Светлана Копылова), в которую он по-настоящему был влюблён, уходит от него к обеспеченному молодому мажору Интеру (Игорь Кечаев), однако любит она только Арлекино и позже возвращается к нему. Оскорблённый Интер решает разобраться с Арлекино. Он с группой других мажоров увозит Лену и Арлекино за город и там насилует Лену на глазах у Арлекино. У фильма открытый финал. Мажоры уезжают, Лена плачет, кричит, что ненавидит всех, и уходит прочь, Арлекино тоже плачет и не знает как поступить. Последние кадры фильма, Стась, бездомный поэт, читает стихи с девочкой, сидя на вокзале, и титры на фоне уходящих вдаль ж/д путей.</t>
        </is>
      </c>
      <c r="L7017" s="2" t="inlineStr">
        <is>
          <t>https://ru.wikipedia.org/w/index.php?title=%D0%9C%D0%B5%D0%BD%D1%8F_%D0%B7%D0%BE%D0%B2%D1%83%D1%82_%D0%90%D1%80%D0%BB%D0%B5%D0%BA%D0%B8%D0%BD%D0%BE&amp;oldid=155607828</t>
        </is>
      </c>
      <c r="M7017" s="2">
        <f>HYPERLINK("https://ru.wikipedia.org/w/index.php?search=%D0%9C%D0%B5%D0%BD%D1%8F%20%D0%B7%D0%BE%D0%B2%D1%83%D1%82%20%D0%90%D1%80%D0%BB%D0%B5%D0%BA%D0%B8%D0%BD%D0%BE%201988%20%D1%84%D0%B8%D0%BB%D1%8C%D0%BC","искать")</f>
        <v/>
      </c>
      <c r="N7017" s="3" t="n"/>
      <c r="O7017" s="2" t="n"/>
      <c r="P7017" s="2" t="n"/>
    </row>
    <row r="7018">
      <c r="A7018" s="2" t="n">
        <v>7017</v>
      </c>
      <c r="B7018" s="2" t="inlineStr"/>
      <c r="C7018" s="2" t="n">
        <v>7813</v>
      </c>
      <c r="D7018" s="3" t="inlineStr">
        <is>
          <t>Личная жизнь директора</t>
        </is>
      </c>
      <c r="E7018" s="2" t="n">
        <v>1981</v>
      </c>
      <c r="F7018" s="2" t="inlineStr">
        <is>
          <t>телефильм</t>
        </is>
      </c>
      <c r="G7018" s="2" t="n"/>
      <c r="H7018" s="2" t="n">
        <v>2051</v>
      </c>
      <c r="I7018" s="2" t="inlineStr"/>
      <c r="J7018" s="2" t="inlineStr"/>
      <c r="K7018" s="3" t="inlineStr">
        <is>
          <t>Директор крупного целлюлозно-бумажного комбината в Карелии Игорь Сергеевич Новиков (Валерий Приёмыхов) озабочен загрязнением реки, которое происходит из-за деятельности комбината. Одновременно подходит время планового ремонта на предприятии, которое требует приостановки его работы. Директор принимает нелёгкое для себя решение — останавливает производство. Назревает конфликт в профильном министерстве, где ожидают перевыполнения комбинатом годового плана на 5 % и настоятельно рекомендуют отложить плановый ремонт на конец года.
Некоторые сотрудники станут союзниками директора, другие выступят против подобного решения. Супруга выступает с претензиями, что он из-за своей постоянной занятости отстает от неё в культурном развитии, а ей скучно жить вдали от культурных центров. В семейных отношениях назревает кризис. В итоге она бросает его и уезжает обратно в большой город, где возвращается к своей профессиональной деятельности и ожидает должности помощника режиссёра театра. После этого события на комбинат приходит новость, что деньги в размере трёх миллионов рублей, выделенные на строительство очистных сооружений, не были утверждены, и стройка не будет начата.
Телевидение и пресса выпускают критические материалы по теме загрязнения воды. Выход репортажа на ТВ приводит к скандалу в министерстве, куда вызывают Новикова. Он приезжает по вызову. Встречается с бывшей женой, но их встреча ничем не оканчивается, и воссоединения не происходит.
Институтские друзья, на которых он рассчитывал, прекращают поддерживать героя в его начинаниях, избегая под различными предлогами встречи с ним. Таким образом он остается без поддержки на совещании в министерстве. В итоге ему на помощь приходят местные партийные органы — деньги на очистные сооружения выделяются, и через год их строительство всё же начинается. В последних кадрах фильма автор проекта очистных сооружений и по совместительству бывшая возлюбленная директора, Ирина Румянцева, контролирует ход строительства на месте, где она ведёт активную полемику с директором по рабочим вопросам.</t>
        </is>
      </c>
      <c r="L7018" s="2" t="inlineStr">
        <is>
          <t>https://ru.wikipedia.org/w/index.php?title=%D0%9B%D0%B8%D1%87%D0%BD%D0%B0%D1%8F_%D0%B6%D0%B8%D0%B7%D0%BD%D1%8C_%D0%B4%D0%B8%D1%80%D0%B5%D0%BA%D1%82%D0%BE%D1%80%D0%B0&amp;oldid=155124841</t>
        </is>
      </c>
      <c r="M7018" s="2">
        <f>HYPERLINK("https://ru.wikipedia.org/w/index.php?search=%D0%9B%D0%B8%D1%87%D0%BD%D0%B0%D1%8F%20%D0%B6%D0%B8%D0%B7%D0%BD%D1%8C%20%D0%B4%D0%B8%D1%80%D0%B5%D0%BA%D1%82%D0%BE%D1%80%D0%B0%201981%20%D1%84%D0%B8%D0%BB%D1%8C%D0%BC","искать")</f>
        <v/>
      </c>
      <c r="N7018" s="3" t="n"/>
      <c r="O7018" s="2" t="n"/>
      <c r="P7018" s="2" t="n"/>
    </row>
    <row r="7019">
      <c r="A7019" s="2" t="n">
        <v>7018</v>
      </c>
      <c r="B7019" s="2" t="inlineStr"/>
      <c r="C7019" s="2" t="n">
        <v>8742</v>
      </c>
      <c r="D7019" s="3" t="inlineStr">
        <is>
          <t>Игра в смерть, или Посторонний</t>
        </is>
      </c>
      <c r="E7019" s="2" t="n">
        <v>1991</v>
      </c>
      <c r="F7019" s="2" t="inlineStr">
        <is>
          <t>кинофильм</t>
        </is>
      </c>
      <c r="G7019" s="2" t="n"/>
      <c r="H7019" s="2" t="n">
        <v>2051</v>
      </c>
      <c r="I7019" s="2" t="inlineStr"/>
      <c r="J7019" s="2" t="inlineStr"/>
      <c r="K7019" s="3" t="inlineStr">
        <is>
          <t>Конец 80-х годов. В парке молдавского города после потасовки местных подростков с бывшим афганцем находят раненого старшеклассника. В местной милиции не фиксируются провинности такого рода. Но капитан милиции Влад Войко, случайно оказавшийся неподалёку, берет на себя расследование происшествия. Несколько лет назад он расплатился смертью сына за то, что влез в логово бандитов. После этого он, майор и следователь по особо важным делам, был понижен в должности и отправлен из министерства в городской отдел милиции под начало полковника Митича. Здесь он быстро понял, что руководителю подразделения не до наведения порядка в городе. Митич встроен в коррупционную схему получения незаконных доходов с изделий местного мехового комбината. Он задействовал все основные силы отделения милиции в охране перевозки крупных партий мехов для незаконного сбыта. Войко пытается проследить перемещение товара и действия милиции, но газик, на котором едет он с коллегой, лейтенантом Иоанной, таранит КамАЗ, и они едва спасаются от гибели. Иоанна сообщает полковнику, что на них было покушение, но тот не предпринимает никаких действий. Она понимает, что рано или поздно станет жертвой своего бывшего любовника Митича и решает передать Войко документы, обличающие полковника. В ответ она просит его освободить афганца и признается, что тот - её сын, брошенный ею когда-то. Капитан добивается, чтобы Иоанну допустили в тюрьму к афганцу. Она предлагает парню помочь в розыске мамы. Тот жёстко отвечает, что мать нужна была ему, когда он жил в детдоме. Иоанна не решается признаться, что она его мать и уходит. На выходе из здания её убивают по поручению Митича, инсценировав самоубийство. Войко доставляет разоблачительные документы в министерство и предлагает предать гласности преступления милицейского чиновника. Генерал, узнав у капитана милиции, что копий компромата нет, заявляет, что преждевременно оглашать эту информацию. Вечером в городе праздник. Влад Войко выходит на площадь в парадной форме и поджигает себя на глазах у друзей, жены и гуляющих горожан.</t>
        </is>
      </c>
      <c r="L7019" s="2" t="inlineStr">
        <is>
          <t>https://gosfilmofond.ru/films/232323/</t>
        </is>
      </c>
      <c r="M7019" s="2">
        <f>HYPERLINK("https://ru.wikipedia.org/w/index.php?search=%D0%98%D0%B3%D1%80%D0%B0%20%D0%B2%20%D1%81%D0%BC%D0%B5%D1%80%D1%82%D1%8C%2C%20%D0%B8%D0%BB%D0%B8%20%D0%9F%D0%BE%D1%81%D1%82%D0%BE%D1%80%D0%BE%D0%BD%D0%BD%D0%B8%D0%B9%201991%20%D1%84%D0%B8%D0%BB%D1%8C%D0%BC","искать")</f>
        <v/>
      </c>
      <c r="N7019" s="3" t="n"/>
      <c r="O7019" s="2" t="n"/>
      <c r="P7019" s="2" t="n"/>
    </row>
    <row r="7020">
      <c r="A7020" s="2" t="n">
        <v>7019</v>
      </c>
      <c r="B7020" s="2" t="inlineStr"/>
      <c r="C7020" s="2" t="n">
        <v>9543</v>
      </c>
      <c r="D7020" s="3" t="inlineStr">
        <is>
          <t>Папа, умер Дед Мороз</t>
        </is>
      </c>
      <c r="E7020" s="2" t="n">
        <v>1991</v>
      </c>
      <c r="F7020" s="2" t="inlineStr">
        <is>
          <t>кинофильм</t>
        </is>
      </c>
      <c r="G7020" s="2" t="n"/>
      <c r="H7020" s="2" t="n">
        <v>2052</v>
      </c>
      <c r="I7020" s="2" t="inlineStr"/>
      <c r="J7020" s="2" t="inlineStr"/>
      <c r="K7020" s="3" t="inlineStr">
        <is>
          <t>По подвалу, залитому водой, пробирается сантехник с ящиком инструментов. С потолка свисает проволочная петля, в которую попадает голова поскользнувшегося сантехника. К трупу подходят старик на костылях и мальчик-подросток, который ловко лишает тело одежды и обуви. Тело погружают на тележку и сбрасывают в сток канализации. Мужчину в скромно обставленной квартире будит телефонный звонок. Он сообщает, что уезжает из города на десять дней, чтобы закончить свой рассказ. Он едет в старом допотопном вагоне, выходит с поезда в пустынной местности и пешком добирается до убогого домишки. На стук открывает женщина. Она игнорирует приветствие гостя и зовёт мужа. Писатель представляется, как двоюродный брат хозяина, и мужчины обнимаются. В дом входит мальчишка - спутник старика в подвале. Они втроем безучастно наблюдают за гостем, который задремал. В дом входит старик с ружьём. Его взгляд такой же отчуждённый, как и у остальных. Он принес мальчишке подарок: пустую бутылку облепленную спичками, которые тот начинает жечь. Дед ложится на скамью отдыхать и начинает стрелять в открытое окно. Внук засыпает в стоге сена и сквозь сон просит деда поцеловать его. Хозяин дома строгает кол. Потом он трясет жену с вопросом, где его кол. Детская кроватка завалена тряпками. Под ними лежит подросток в обнимку с бутылкой. Он же лежит в гробу из горбыля. Отец кладёт на него бутылку, закрывает гроб и укладывает его в основание горы брёвен. На брёвнах лежит старик с ружьем. Писатель выбегает на улицу и идёт туда, где маячит свет. Ему не удается убежать. Какие-то мужчины в костюмах ловят его и вяжут бинтами. Солнце заходит за горизонт. Болото с засохшим камышом. Писатель едет на комбайне и видит мальчика с дедом у догорающего костра. Писатель уезжает на поезде. Навстречу поезду бежит мальчишка, с развевающейся, как флаг, рубахой в поднятой руке. Стук колес затихает вдали. Мальчик ложится на рельсы. Дед лежит на лугу, рядом с ним костыль. По реке плывёт кол. Надпись на экране: «Вскоре похолодало». Мужчины в костюмах бредут среди редких голых деревьев.</t>
        </is>
      </c>
      <c r="L7020" s="2" t="inlineStr">
        <is>
          <t>https://gosfilmofond.ru/films/232403/</t>
        </is>
      </c>
      <c r="M7020" s="2">
        <f>HYPERLINK("https://ru.wikipedia.org/w/index.php?search=%D0%9F%D0%B0%D0%BF%D0%B0%2C%20%D1%83%D0%BC%D0%B5%D1%80%20%D0%94%D0%B5%D0%B4%20%D0%9C%D0%BE%D1%80%D0%BE%D0%B7%201991%20%D1%84%D0%B8%D0%BB%D1%8C%D0%BC","искать")</f>
        <v/>
      </c>
      <c r="N7020" s="3" t="n"/>
      <c r="O7020" s="2" t="n"/>
      <c r="P7020" s="2" t="n"/>
    </row>
    <row r="7021">
      <c r="A7021" s="2" t="n">
        <v>7020</v>
      </c>
      <c r="B7021" s="2" t="inlineStr"/>
      <c r="C7021" s="2" t="n">
        <v>9744</v>
      </c>
      <c r="D7021" s="3" t="inlineStr">
        <is>
          <t>Частный визит в немецкую клинику</t>
        </is>
      </c>
      <c r="E7021" s="2" t="n">
        <v>1988</v>
      </c>
      <c r="F7021" s="2" t="inlineStr">
        <is>
          <t>кинофильм</t>
        </is>
      </c>
      <c r="G7021" s="2" t="n"/>
      <c r="H7021" s="2" t="n">
        <v>2064</v>
      </c>
      <c r="I7021" s="2" t="inlineStr"/>
      <c r="J7021" s="2" t="inlineStr"/>
      <c r="K7021" s="3" t="inlineStr">
        <is>
          <t>1920-й год. В Баку на нефтепромыслах гремят взрывы, происходят убийства рабочих. Возглавляет местных контрреволюционеров бывший полковник царской армии Тишков, но нити антисоветского подполья тянутся в Париж, где организовано «Международное объединение нефтяных обществ России» во главе с промышленником Путиловым. Туда и нужно проникнуть чекистам, чтобы выяснить планы врага и узнать имена людей, которые тайно ведут борьбу против Советской власти. Арестовав одного из контрреволюционеров, Коврова, они убеждаются, что всей подрывной деятельностью руководит Путилов, который еще в конце 1917-го года предложил создавать группы по саботажу революционным
преобразованиям. Чекисты отправляют в Париж тайного сотрудника азербайджанского ЧК инженера-нефтяника Рустамова, который раньше служил у Путилова и которого и сейчас многие антисоветчики, тот же Тишков, считают своим человеком. Но сначала Рустамов едет в Берлин, чтобы подлечить в частной клинике своего семилетнего сына, больного полиомиелитом. В Берлине Рустамов встречает свою бывшую жену Таню, которая ненавидит советскую власть и поддерживает связи с людьми из того самого «Международного объединения...», куда так нужно попасть Рустамову. Рискуя жизнью, Рустамов добирается до Парижа. Там он входит в доверие к Путилову, присутствует на заседаниях нефтяных королей и узнает не только их замыслы, но и их агентуру. Он соглашается выполнить поручение Путилова — отвезти в Россию инструкции для бакинских контрреволюционеров. Рустамов собирается домой, но случайно встречает Тишкова, который начинает подозревать его. Чекист уезжает в Берлин. Тишков преследует его, заставляет Таню похитить сына Рустамова из клиники, чтобы сделать его заложником. Рустамов и его друзья-чекисты срывают эти планы. Инженер вовремя появляется на вокзале и забирает сына. Тишков стреляет в Рустамова, но раскаявшаяся Таня закрывает бывшего мужа своим телом. От пули молодого чекиста погибает и Тишков. Разведчик возвращается в Баку с выздоровевшим сыном, а также с информацией о планах контрреволюционеров, их фамилиях и явках.</t>
        </is>
      </c>
      <c r="L7021" s="2" t="inlineStr">
        <is>
          <t>https://gosfilmofond.ru/films/356488/</t>
        </is>
      </c>
      <c r="M7021" s="2">
        <f>HYPERLINK("https://ru.wikipedia.org/w/index.php?search=%D0%A7%D0%B0%D1%81%D1%82%D0%BD%D1%8B%D0%B9%20%D0%B2%D0%B8%D0%B7%D0%B8%D1%82%20%D0%B2%20%D0%BD%D0%B5%D0%BC%D0%B5%D1%86%D0%BA%D1%83%D1%8E%20%D0%BA%D0%BB%D0%B8%D0%BD%D0%B8%D0%BA%D1%83%201988%20%D1%84%D0%B8%D0%BB%D1%8C%D0%BC","искать")</f>
        <v/>
      </c>
      <c r="N7021" s="3" t="n"/>
      <c r="O7021" s="2" t="n"/>
      <c r="P7021" s="2" t="n"/>
    </row>
    <row r="7022">
      <c r="A7022" s="2" t="n">
        <v>7021</v>
      </c>
      <c r="B7022" s="2" t="inlineStr"/>
      <c r="C7022" s="2" t="n">
        <v>8638</v>
      </c>
      <c r="D7022" s="3" t="inlineStr">
        <is>
          <t>Бу нима бу, или хара-кири против Кинг-Конга</t>
        </is>
      </c>
      <c r="E7022" s="2" t="n">
        <v>1990</v>
      </c>
      <c r="F7022" s="2" t="inlineStr">
        <is>
          <t>кинофильм</t>
        </is>
      </c>
      <c r="G7022" s="2" t="n"/>
      <c r="H7022" s="2" t="n">
        <v>2071</v>
      </c>
      <c r="I7022" s="2" t="inlineStr"/>
      <c r="J7022" s="2" t="inlineStr"/>
      <c r="K7022" s="3" t="inlineStr">
        <is>
          <t>Одна из советских среднеазиатских республик. Годы перестройки и разгула бандитизма. Молодой человек Хасан требует крупную сумму денег у влиятельного человека, против которого у него имеется компромат. Босс отдает пачку денег Хасану и тут же дает команду убрать провокатора. В местную столицу за Хасаном, который решил развлечься в большом городе, отправляют киллера японца Хара-Кири. В одной из квартир этого города мать ожидает сына к обеду. Она вспоминает далекое прошлое, когда она не смогла уберечь одного из двух своих сыновей-близнецов, который пропал во время пожара. Её сын Хусейн – музыкант и певец в популярной группе. Старик-отец признается Хасану, что он – не родной его сын. Он нашел мальчика после пожара в развалинах и вырастил, как родного. В баре ресторана, где обычно поет Хусейн, Хасан знакомится с эффектной блондинкой и ведёт её в номер гостиницы. Девушка Хусейна Гуля видит это, расстраивается и плачет. На следующий день, встретившись с Хусейном в парке, Гуля обвиняет возлюбленного в измене и убегает. Юноша ничего не понимает. Убийца, приехавший расправиться с Хасаном, нападает на Хусейна и избивает его. Гуля проникает в номер, где находится связанный возлюбленный, и спасает его. Они признаются друг другу в любви. Блондинка, думая, что она встречается с популярным певцом, просит его спеть для неё на сцене. Хасан влюбляется в девушку и готов для неё спеть даже со сцены. Неразбериха продолжается. Хасан выступает на певческом конкурсе, а Хусейна вытаскивают на ринг вместо спортсмена Хасана на турнире бойцов. Его соперник в борцовском поединке Кинг-Конг сразу же нокаутирует юношу. Внезапно на сцену выбегает Гуля. Она помогает поверженному Хусейну подняться и вместе они покидают ринг. Влюбленные понимают, что стали участниками и жертвами какого-то недоразумения. Гуля и Хусейн спешат на музыкальный конкурс и видят на сцене поющего Хасана, которого тепло принимают зрители. После концерта в коридоре за сценой встречаются братья и их мать, которая пришла на концерт поболеть за одного сына, а обрела через много лет здесь и второго сына.</t>
        </is>
      </c>
      <c r="L7022" s="2" t="inlineStr">
        <is>
          <t>https://gosfilmofond.ru/films/232249/</t>
        </is>
      </c>
      <c r="M7022" s="2">
        <f>HYPERLINK("https://ru.wikipedia.org/w/index.php?search=%D0%91%D1%83%20%D0%BD%D0%B8%D0%BC%D0%B0%20%D0%B1%D1%83%2C%20%D0%B8%D0%BB%D0%B8%20%D1%85%D0%B0%D1%80%D0%B0-%D0%BA%D0%B8%D1%80%D0%B8%20%D0%BF%D1%80%D0%BE%D1%82%D0%B8%D0%B2%20%D0%9A%D0%B8%D0%BD%D0%B3-%D0%9A%D0%BE%D0%BD%D0%B3%D0%B0%201990%20%D1%84%D0%B8%D0%BB%D1%8C%D0%BC","искать")</f>
        <v/>
      </c>
      <c r="N7022" s="3" t="n"/>
      <c r="O7022" s="2" t="n"/>
      <c r="P7022" s="2" t="n"/>
    </row>
    <row r="7023">
      <c r="A7023" s="2" t="n">
        <v>7022</v>
      </c>
      <c r="B7023" s="2" t="inlineStr"/>
      <c r="C7023" s="2" t="n">
        <v>7717</v>
      </c>
      <c r="D7023" s="3" t="inlineStr">
        <is>
          <t>Карл Маркс. Молодые годы</t>
        </is>
      </c>
      <c r="E7023" s="2" t="n">
        <v>1980</v>
      </c>
      <c r="F7023" s="2" t="inlineStr">
        <is>
          <t>телефильм</t>
        </is>
      </c>
      <c r="G7023" s="2" t="inlineStr">
        <is>
          <t>к/с им. Горького</t>
        </is>
      </c>
      <c r="H7023" s="2" t="n">
        <v>2076</v>
      </c>
      <c r="I7023" s="2" t="inlineStr"/>
      <c r="J7023" s="2" t="inlineStr"/>
      <c r="K7023" s="3" t="inlineStr">
        <is>
          <t>Фильм рассказывает о политической ситуации в Европе XIX века, об идеях социализма, которые начали приобретать популярность на фоне монархического застоя и укрепления влияния капиталистов. Карл Маркс, молодой сын трирского адвоката, попадает в Берлин, где, помимо учёбы в Свободном университете, он, благодаря знакомству с Бруно Бауэром, начинает посещать Докторский клуб, где узнает о тех анархических идеях, которые витают в интеллектуальных кругах немецкого общества.
Маркс не питает интереса к юриспруденции и увлекается философией, что волнует его отца, переживающего за будущее своего слишком «беспечного» сына, который, к тому же, тайно обручился со своей возлюбленной Женни фон Вестфален, не имея никаких средств для будущей семейной жизни. Однако Маркс не может отступиться от желания разобраться в тех идеях, которые он встретил в Берлине, и продолжает изучение философии, получив, наконец, степень доктора. Однако из-за изгнания из университета преподававшего там Бауэра он не может согласиться на место доцента на кафедре философии.
Марксу удаётся найти работу редактора «Рейнской газеты», где он ближе знакомится с политической системой и экономической жизнью Германии и начинает писать острые социальные статьи. Далее следуют уход Маркса из газеты, которой императорским окружением приказано поменять курс, так давно желанная свадьба с Женни, переезд во Францию, где Маркс надеется на более благоприятные условия для дальнейшего изучения действительности. Во Франции начинается дружба и сотрудничество Маркса с Энгельсом, и благодаря их совместной работе им удаётся дойти до идеи диалектического материализма. Маркс и Энгельс, преодолевая идеи утопического социализма, приходят к необходимости изучения политэкономии для разработки науки о социализме, а также к необходимости организованной борьбы пролетариата. Претерпевая постоянную нехватку денег и давление властей как в Париже, так и в Брюсселе, куда Маркс, Женни и их маленькая дочь вынуждены были выехать, молодой революционер продолжает развитие коммунистической идеи, посвящая этой работе всю свою жизнь.</t>
        </is>
      </c>
      <c r="L7023" s="2" t="inlineStr">
        <is>
          <t>https://ru.wikipedia.org/w/index.php?title=%D0%9A%D0%B0%D1%80%D0%BB_%D0%9C%D0%B0%D1%80%D0%BA%D1%81._%D0%9C%D0%BE%D0%BB%D0%BE%D0%B4%D1%8B%D0%B5_%D0%B3%D0%BE%D0%B4%D1%8B&amp;oldid=155589297</t>
        </is>
      </c>
      <c r="M7023" s="2">
        <f>HYPERLINK("https://ru.wikipedia.org/w/index.php?search=%D0%9A%D0%B0%D1%80%D0%BB%20%D0%9C%D0%B0%D1%80%D0%BA%D1%81.%20%D0%9C%D0%BE%D0%BB%D0%BE%D0%B4%D1%8B%D0%B5%20%D0%B3%D0%BE%D0%B4%D1%8B%201980%20%D1%84%D0%B8%D0%BB%D1%8C%D0%BC","искать")</f>
        <v/>
      </c>
      <c r="N7023" s="3" t="n"/>
      <c r="O7023" s="2" t="n"/>
      <c r="P7023" s="2" t="n"/>
    </row>
    <row r="7024">
      <c r="A7024" s="2" t="n">
        <v>7023</v>
      </c>
      <c r="B7024" s="2" t="inlineStr"/>
      <c r="C7024" s="2" t="n">
        <v>9439</v>
      </c>
      <c r="D7024" s="3" t="inlineStr">
        <is>
          <t>Кремлёвские тайны шестнадцатого века</t>
        </is>
      </c>
      <c r="E7024" s="2" t="n">
        <v>1991</v>
      </c>
      <c r="F7024" s="2" t="inlineStr">
        <is>
          <t>кинофильм</t>
        </is>
      </c>
      <c r="G7024" s="2" t="n"/>
      <c r="H7024" s="2" t="n">
        <v>2079</v>
      </c>
      <c r="I7024" s="2" t="inlineStr"/>
      <c r="J7024" s="2" t="inlineStr"/>
      <c r="K7024" s="3" t="inlineStr">
        <is>
          <t>В конце весны 1584 года над Москвой вспыхнуло загадочное свечение. К царскому двору призвали волхвов, чтобы разгадать его. Волхвы сообщили Борису Годунову, что звезда на небе – по душу царя Иоанна, и он сегодня отдаст богу душу. И сам царь понимает, что звезда его не помилует, потому что он грешен. Иоанн мечется, то истязая себя плетью, пытаясь изгнать беса и исцелиться, то стараясь забыться в диких оргиях, призвав девок, самцов-мужиков и шутов. Тем временем в палатах созывают Думу, где бояре должны решить, кому перейдёт престол. Немощному царевичу Федору не справиться, царевич Дмитрий ещё младенец, представителей знатных российских родов не хотят видеть у власти сами бояре. Они обращаются к Борису Годунову, чтобы узнать его мнение. Тот предлагает идти к Иоанну всей Думой и просить царя, чтобы он не оставил престола и поддержал святую Русь. Когда бояре входят в царские покои, Иоанн пугается, думая, что его пришли сместить с престола. Он не доверяет никому, включая своего наследника. Но бояре заявляют, что Иоанн должен ими государить. Успокоившись Иоанн похваляется, что его на Руси будут помнить, а вот милостливого пастыря молва людская проклянет. Он требует в покои девок, музыку и вино, чтобы мудрейшие позабавились. Начинается новый виток оргий. Годунов понимает, что конец царя близок. Враждующие между собой бояре готовы объединиться против Бориса Годунова. Он стремится укрепить свою позицию влиятельного человека при дворе и играть на опережение своих противников. Борис заявляет царевичу Федору, что тот должен взойти на престол после смерти отца. Царевич пробует отказаться по той причине, что престол всегда в крови, а его тошнит от крови, а русский народ жаждет крови. Годунов же страшится только одного: не полной власти. Он готов занять царский престол и просит господа укрепить его веру и силу. На склоне дня Иоанн отдает богу душу. Послесловие к фильму: Борис Годунов занял престол, отправив бояр, творивших козни против него, в ссылку. Он правил семь лет и хотел сделать народ сытым и свободным, однако история Бориса прокляла, а народ не принял.</t>
        </is>
      </c>
      <c r="L7024" s="2" t="inlineStr">
        <is>
          <t>https://gosfilmofond.ru/films/274226/</t>
        </is>
      </c>
      <c r="M7024" s="2">
        <f>HYPERLINK("https://ru.wikipedia.org/w/index.php?search=%D0%9A%D1%80%D0%B5%D0%BC%D0%BB%D1%91%D0%B2%D1%81%D0%BA%D0%B8%D0%B5%20%D1%82%D0%B0%D0%B9%D0%BD%D1%8B%20%D1%88%D0%B5%D1%81%D1%82%D0%BD%D0%B0%D0%B4%D1%86%D0%B0%D1%82%D0%BE%D0%B3%D0%BE%20%D0%B2%D0%B5%D0%BA%D0%B0%201991%20%D1%84%D0%B8%D0%BB%D1%8C%D0%BC","искать")</f>
        <v/>
      </c>
      <c r="N7024" s="3" t="n"/>
      <c r="O7024" s="2" t="n"/>
      <c r="P7024" s="2" t="n"/>
    </row>
    <row r="7025">
      <c r="A7025" s="2" t="n">
        <v>7024</v>
      </c>
      <c r="B7025" s="2" t="inlineStr"/>
      <c r="C7025" s="2" t="n">
        <v>8412</v>
      </c>
      <c r="D7025" s="3" t="inlineStr">
        <is>
          <t>Стратегия риска</t>
        </is>
      </c>
      <c r="E7025" s="2" t="n">
        <v>1978</v>
      </c>
      <c r="F7025" s="2" t="inlineStr">
        <is>
          <t>телефильм</t>
        </is>
      </c>
      <c r="G7025" s="2" t="n"/>
      <c r="H7025" s="2" t="n">
        <v>2080</v>
      </c>
      <c r="I7025" s="2" t="inlineStr"/>
      <c r="J7025" s="2" t="inlineStr"/>
      <c r="K7025" s="3" t="inlineStr">
        <is>
          <t>Фильм повествует об истории открытия в Тюменской области богатейшей Западно-Сибирской нефтегазоносной провинции – события, имевшего колоссальное экономическое и историческое значение для Советского Союза и Российской Федерации.
Молодой бакинец Фарид Аскеров руководит маленькой нефтеразведочной экспедицией, ведущей поисковое бурение на севере Новосибирской области. Он убеждён, что работы на выделенной его экспедиции территории не имеют смысла, но геологическое начальство не желает его слушать — план, госзадание, премиальные, гнев обкома, весь букет «цветочков» плановой экономики. Где велено, там и бури…
Проанализировав все имеющиеся разрозненные геологические материалы, Аскеров решается на самоубийственный шаг – создавая видимость продолжения работ на старом месте, он самовольно «угоняет» оборудование и персонал экспедиции на баржах на тысячу километров вниз по Оби и забуривается в окрестностях малоизвестного посёлка Сургут, на «чужой» территории другого геологического управления.
Самое начало 1960-х. Ещё лет десять-пятнадцать назад за такое могли и расстрелять – ведь погонный метр бурения стоит несколько сотен рублей, а в скважине этих метров две-три тысячи. Однако именно на этом и строится расчёт Аскерова, его «стратегия риска». Когда всё выяснится, уже не будет никакого смысла останавливать бурение. Проще (и дешевле) позволить экспедиции завершить начатое – по крайней мере, в плохо изученном районе останется параметрическая скважина. А виновника можно примерно наказать и чуть позже.
Когда работы закончатся, Фарид Керимович почти наверняка пойдёт под суд. Единственное, что может его спасти – надежда на то, что победителей не судят. У взбунтовавшегося нефтеразведчика просто нет другого выхода.
И когда «подпольная» скважина наконец даёт стабильный высокодебитный фонтан – не только в судьбе «еретика от геологии», но и во всей истории страны начинается новая эпоха.
В основу сюжета положены некоторые факты биографии реального исторического лица — прославленного сибирского нефтяника Фармана Курбановича Салманова, легенды советской нефтяной геологии.</t>
        </is>
      </c>
      <c r="L7025" s="2" t="inlineStr">
        <is>
          <t>https://ru.wikipedia.org/w/index.php?title=%D0%A1%D1%82%D1%80%D0%B0%D1%82%D0%B5%D0%B3%D0%B8%D1%8F_%D1%80%D0%B8%D1%81%D0%BA%D0%B0&amp;oldid=152766151</t>
        </is>
      </c>
      <c r="M7025" s="2">
        <f>HYPERLINK("https://ru.wikipedia.org/w/index.php?search=%D0%A1%D1%82%D1%80%D0%B0%D1%82%D0%B5%D0%B3%D0%B8%D1%8F%20%D1%80%D0%B8%D1%81%D0%BA%D0%B0%201978%20%D1%84%D0%B8%D0%BB%D1%8C%D0%BC","искать")</f>
        <v/>
      </c>
      <c r="N7025" s="3" t="n"/>
      <c r="O7025" s="2" t="n"/>
      <c r="P7025" s="2" t="n"/>
    </row>
    <row r="7026">
      <c r="A7026" s="2" t="n">
        <v>7025</v>
      </c>
      <c r="B7026" s="2" t="inlineStr"/>
      <c r="C7026" s="2" t="n">
        <v>8735</v>
      </c>
      <c r="D7026" s="3" t="inlineStr">
        <is>
          <t>Здравия желаю! или Бешеный дембель</t>
        </is>
      </c>
      <c r="E7026" s="2" t="n">
        <v>1990</v>
      </c>
      <c r="F7026" s="2" t="inlineStr">
        <is>
          <t>кинофильм</t>
        </is>
      </c>
      <c r="G7026" s="2" t="n"/>
      <c r="H7026" s="2" t="n">
        <v>2092</v>
      </c>
      <c r="I7026" s="2" t="inlineStr"/>
      <c r="J7026" s="2" t="inlineStr"/>
      <c r="K7026" s="3" t="inlineStr">
        <is>
          <t>Юношу по имени Митя Агафонов (Антон Андросов) призывают на воинскую службу. Провожает юного призывника его наставник мастер по имени Палыч (Вячеслав Кириличев). По прибытии в часть старослужащие незамедлительно сообщают о порядках в части, чем вызывают недовольство у Мити, который намерен соблюдать устав. Старослужащий «Кока» (Олег Комаров) решает проучить нерадивого юношу и предлагает ему строго следовать букве устава.
Своим неординарным поведением Митя привлекает внимание руководства части капитана Бодрова (Михаил Кононов). Прапорщик Туча (Виктор Ильичёв) получает приказ заняться призывником. Он вручает Мите устав и уже через несколько часов начинает опрос. В то время, как Митя несёт караул и читает вслух устав, Кока вынужден наблюдать за сослуживцем и в результате получает обморожение. Следующей жертвой юного бойца становится старослужащий «Замотай» (Николай Гейко), который получает травму в отхожем месте, вычищенном Митей до блеска.
Во время ремонта телевизора командира части Митя знакомится с его дочерью Аней (Наталья Коркунова), и между молодыми людьми вспыхивают чувства. После ремонта телевизионный приёмник начинает показывать заграничные программы. Тем временем служба идёт, и Митя познаёт все тонкости её несения: ночные побудки и упражнения, внезапные тревоги, прохождение полосы препятствий, стояние на тумбочке.
Перед приездом в часть генерала (Юрий Катин-Ярцев), проводится тщательная подготовка. Борьба дембелей с Митей достигает пика во время несения им караульной службы ночью на вышке. Заступив в караул, Митя отказывается пропустить генерала, капитана и его сопровождение, не знающих пароль, в расположение части. В итоге все они проводят ночь в сугробе и лишь под утро попадают в часть, где отогревают генерала в бане.
Капитан Бодров обеспокоен отношениями Мити и Ани, а также ситуацией в части и просьбами убрать Митю с глаз долой. В воспитательных целях Митю отправляют в кросс на лыжах, его провожают как в последний путь. К изумлению капитана и старослужащих, которые опасаются, что юноша не вернётся, они находят юного бойца в избе в постели с Анной.</t>
        </is>
      </c>
      <c r="L7026" s="2" t="inlineStr">
        <is>
          <t>https://ru.wikipedia.org/w/index.php?title=%D0%97%D0%B4%D1%80%D0%B0%D0%B2%D0%B8%D1%8F_%D0%B6%D0%B5%D0%BB%D0%B0%D1%8E%21_%D0%B8%D0%BB%D0%B8_%D0%91%D0%B5%D1%88%D0%B5%D0%BD%D1%8B%D0%B9_%D0%B4%D0%B5%D0%BC%D0%B1%D0%B5%D0%BB%D1%8C&amp;oldid=149691531</t>
        </is>
      </c>
      <c r="M7026" s="2">
        <f>HYPERLINK("https://ru.wikipedia.org/w/index.php?search=%D0%97%D0%B4%D1%80%D0%B0%D0%B2%D0%B8%D1%8F%20%D0%B6%D0%B5%D0%BB%D0%B0%D1%8E%21%20%D0%B8%D0%BB%D0%B8%20%D0%91%D0%B5%D1%88%D0%B5%D0%BD%D1%8B%D0%B9%20%D0%B4%D0%B5%D0%BC%D0%B1%D0%B5%D0%BB%D1%8C%201990%20%D1%84%D0%B8%D0%BB%D1%8C%D0%BC","искать")</f>
        <v/>
      </c>
      <c r="N7026" s="3" t="n"/>
      <c r="O7026" s="2" t="n"/>
      <c r="P7026" s="2" t="n"/>
    </row>
    <row r="7027">
      <c r="A7027" s="2" t="n">
        <v>7026</v>
      </c>
      <c r="B7027" s="2" t="inlineStr"/>
      <c r="C7027" s="2" t="n">
        <v>8834</v>
      </c>
      <c r="D7027" s="3" t="inlineStr">
        <is>
          <t>Меченые</t>
        </is>
      </c>
      <c r="E7027" s="2" t="n">
        <v>1991</v>
      </c>
      <c r="F7027" s="2" t="inlineStr">
        <is>
          <t>кинофильм</t>
        </is>
      </c>
      <c r="G7027" s="2" t="n"/>
      <c r="H7027" s="2" t="n">
        <v>2102</v>
      </c>
      <c r="I7027" s="2" t="inlineStr"/>
      <c r="J7027" s="2" t="inlineStr"/>
      <c r="K7027" s="3" t="inlineStr">
        <is>
          <t>Действие фильма начинается в июле 1906 года в Крыму, где группа подпольщиков-революционеров пытается отправить доктора с экспроприированными деньгами и оружием — пистолетом Маузер К-96 — на станцию. Повозка доктора нарывается на патруль, который пытается выяснить, что у него в багаже. Доктор вынужден бежать. Спустившись с обрыва, он прячет саквояж с оружием и деньгами в скале, но затем его убивают.
Действие фильма переносится в 1989 год, месяц и место действия те же — июль, Крым.
Местная мафия собирается расправиться с членами оперативной группы МВД. Случайно узнавший об этом Неизвестный (Максим), представившийся «бывшим номенклатурщиком», выходит на связь с сотрудником силовых структур с целью помешать планам мафии. Однако спасти людей не удается. Уходя от бандитов, Неизвестный (Максим) спускается к той самой скале, где был спрятан саквояж, случайно его обнаруживает и забирает с собой. В тот же день Макс покидает город. Однако один из боевиков мафии садится ему на «хвост».
Далее события разворачиваются в Ярославле, где главный герой Максим (Нилов) занимается ремонтом обуви, а его напарник Георгий (Варчук) работает завхозом в школе. Мастерская — лишь прикрытие для друзей, которые, на самом деле, пытаются бороться с мафией своими способами, грабя местных воротил теневого бизнеса.
Несмотря на все меры предосторожности, бандиты с помощью коррумпированного сотрудника КГБ выходят на след друзей и, пытаясь взять в заложники Георгия, случайно убивают его. Преступники, считая, что Максим ничего не знает, назначают ему встречу, на которой требуют вернуть деньги в обмен на жизнь друга.
Во время скоротечного боя на даче директора крематория Максим, получивший тяжёлое ранение, убивает нескольких членов ОПГ и уходит. Он направляется домой к прокурору города, который является крёстным отцом местной мафии, и убивает его. Таким образом, оружие, спрятанное 83 года назад, стреляет в современных паразитов, живущих за счёт нетрудовых доходов.
После всего Макс приходит к своей бывшей жене и говорит ей, что Георгий погиб и теперь он остался один. Бывшая жена говорит ему, что она — с ним.</t>
        </is>
      </c>
      <c r="L7027" s="2" t="inlineStr">
        <is>
          <t>https://ru.wikipedia.org/w/index.php?title=%D0%9C%D0%B5%D1%87%D0%B5%D0%BD%D1%8B%D0%B5&amp;oldid=150974801</t>
        </is>
      </c>
      <c r="M7027" s="2">
        <f>HYPERLINK("https://ru.wikipedia.org/w/index.php?search=%D0%9C%D0%B5%D1%87%D0%B5%D0%BD%D1%8B%D0%B5%201991%20%D1%84%D0%B8%D0%BB%D1%8C%D0%BC","искать")</f>
        <v/>
      </c>
      <c r="N7027" s="3" t="n"/>
      <c r="O7027" s="2" t="n"/>
      <c r="P7027" s="2" t="n"/>
    </row>
    <row r="7028">
      <c r="A7028" s="2" t="n">
        <v>7027</v>
      </c>
      <c r="B7028" s="2" t="inlineStr"/>
      <c r="C7028" s="2" t="n">
        <v>8765</v>
      </c>
      <c r="D7028" s="3" t="inlineStr">
        <is>
          <t>Кислородный голод</t>
        </is>
      </c>
      <c r="E7028" s="2" t="n">
        <v>1991</v>
      </c>
      <c r="F7028" s="2" t="inlineStr">
        <is>
          <t>кинофильм</t>
        </is>
      </c>
      <c r="G7028" s="2" t="n"/>
      <c r="H7028" s="2" t="n">
        <v>2109</v>
      </c>
      <c r="I7028" s="2" t="inlineStr"/>
      <c r="J7028" s="2" t="inlineStr"/>
      <c r="K7028" s="3" t="inlineStr">
        <is>
          <t>В советской воинской части «деды», зачитав приказ о демобилизации, решили поиздеваться над молодыми военнослужащими. Все молодые покорно терпели, однако рядовой Билык не стал терпеть, на что сержант Кошачий, один из «дедов», сказал: «Я тебя трогать не буду, такие, как ты, здесь сами вешаются».
Старшина дивизиона прапорщик Гамалия вызывает к себе нескольких новобранцев, в том числе и Билыка, и предлагает им назвать имена обидчиков. Но никто из молодых не решается этого сделать, и тогда прапорщик разрешает им написать имена на бумаге и кинуть в ящик для жалоб и предложений. Обнаружив, что ящик для жалоб и предложений пуст, прапорщик пытается лично узнать у Билыка, кто избивает новобранцев, но Билык отмалчивается. Их разговор случайно подслушивает сержант Кошачий. Решив, что Билыку можно доверять, Кошачий приказывает ему покинуть часть и отправиться в магазин за водкой. Остапенко предупреждает Кошачего, что Билык его заложит, если попадётся. Билык приходит к магазину, но оказывается, что туда же приехал Гамалия. Билык пытается убежать, но тщетно. За самовольное оставление части рядовому Билыку объявлено 10 суток гауптвахты.
Спустя десять дней Билык возвращается с гауптвахты в часть. Гамалия пытается узнать у него, кто послал его за водкой. Не получив желаемого ответа, прапорщик объявляет сержанту Кошачему и Билыку наряд в караул, в то время как многие товарищи Кошачего демобилизовались в первой партии. Кошачий решает, что Билык его заложил. Во время следования к посту между ними опять возник конфликт. Кошачий приказывает Билыку выполнять отжимания в большой луже. Билык выполняет, сержант отдаёт приказ «Воздух!». Билык стреляет в небо, но потом направляет автомат на сержанта, «Стреляй!» — кричит Кошачий, затем выбивает автомат из рук Билыка. Они начинают драться в луже, при этом Кошачий обвиняет Билыка в том, что из-за него он все ещё находится в армии. В конце концов, Билык подтягивает к себе автомат и убивает сержанта. Затем он поднимается и бредёт в сторону части. В последних кадрах Билык наблюдает за строем только что прибывших новобранцев, которых ведёт прапорщик Гамалия.</t>
        </is>
      </c>
      <c r="L7028" s="2" t="inlineStr">
        <is>
          <t>https://ru.wikipedia.org/w/index.php?title=%D0%9A%D0%B8%D1%81%D0%BB%D0%BE%D1%80%D0%BE%D0%B4%D0%BD%D1%8B%D0%B9_%D0%B3%D0%BE%D0%BB%D0%BE%D0%B4&amp;oldid=138101619</t>
        </is>
      </c>
      <c r="M7028" s="2">
        <f>HYPERLINK("https://ru.wikipedia.org/w/index.php?search=%D0%9A%D0%B8%D1%81%D0%BB%D0%BE%D1%80%D0%BE%D0%B4%D0%BD%D1%8B%D0%B9%20%D0%B3%D0%BE%D0%BB%D0%BE%D0%B4%201991%20%D1%84%D0%B8%D0%BB%D1%8C%D0%BC","искать")</f>
        <v/>
      </c>
      <c r="N7028" s="3" t="n"/>
      <c r="O7028" s="2" t="n"/>
      <c r="P7028" s="2" t="n"/>
    </row>
    <row r="7029">
      <c r="A7029" s="2" t="n">
        <v>7028</v>
      </c>
      <c r="B7029" s="2" t="inlineStr"/>
      <c r="C7029" s="2" t="n">
        <v>9713</v>
      </c>
      <c r="D7029" s="3" t="inlineStr">
        <is>
          <t>Урга - территория любви</t>
        </is>
      </c>
      <c r="E7029" s="2" t="n">
        <v>1991</v>
      </c>
      <c r="F7029" s="2" t="inlineStr">
        <is>
          <t>кинофильм</t>
        </is>
      </c>
      <c r="G7029" s="2" t="n"/>
      <c r="H7029" s="2" t="n">
        <v>2109</v>
      </c>
      <c r="I7029" s="2" t="inlineStr"/>
      <c r="J7029" s="2" t="inlineStr"/>
      <c r="K7029" s="3" t="inlineStr">
        <is>
          <t>В монгольской степи в юрте вблизи границы с Китаем живёт молодая семья: муж Гомбо, жена Пагма, трое их детей и бабушка. Гомбо не прочь увеличить семью, но законы страны не позволяют им иметь больше детей. Однажды недалеко от юрты застревает грузовик водителя Сергея, и Гомбо помогает вытащить его на дорогу. Мужчины знакомятся, и Гомбо приглашает Сергея в гости. За ужином старшая дочь Гомбы Бурма, играет на аккордеоне классические произведения. Жена Гомбы - городская, поэтому для неё важно, чтобы дети не теряли связь с цивилизованным миром, и их дочь учится музыке в городе. К ночи разыгрывается гроза, и хозяева оставляют ночевать Сергея, а сами ложатся спать вместе. Пагма недавно родила ребенка и боится забеременеть вновь. Она ставит условие, что допустит близость тогда, когда Гомбо привезёт из города презервативы. Наутро в кузов грузовика Сергея грузят лошадь Гомбо, и мужчины отправляются в город. Там они расходятся по своим делам, договорившись встретиться в конце дня. Гомбо, зайдя в аптеку, стесняется спросить о презервативах и уходит. Сергей проводит день со своей женой и дочерью, которые живут в Китае. Вечером он приглашает Гомбо в ресторан, где с горечью рассказывает новому приятелю о том, что вынужден был перевести семью из заброшенной российской деревни в Китай, чтобы они жили нормально. Сергей напивается, и китайская полиция уводит его из ресторана. Гомбо не зная, как выручить приятеля, едет к учителю музыки своей дочери, и они забирают Сергея из полиции домой к музыканту, чтобы там он протрезвел. На следующий день Гомбо отправляется к ламе за советом о предохранении жены от беременности. Тот советует просто помолиться. Тогда Гомбо покупает в городе приглянувшиеся ему телевизор и велосипед, и отправляется домой. Дома на вопрос жены о презервативах заявляет, что они кончились. Выйдя из юрты, Гомбо втыкает в землю ургу - палку с петлей, которой заарканивает лошадей, что означает, сейчас здесь занимаются любовью. Вечером Бурма в который раз играет на аккордеоне вальс «На сопках Маньчжурии». Мелодию подхватывает голос Сергея, приехавшего навестить монгольского приятеля.</t>
        </is>
      </c>
      <c r="L7029" s="2" t="inlineStr">
        <is>
          <t>https://gosfilmofond.ru/films/232621/</t>
        </is>
      </c>
      <c r="M7029" s="2">
        <f>HYPERLINK("https://ru.wikipedia.org/w/index.php?search=%D0%A3%D1%80%D0%B3%D0%B0%20-%20%D1%82%D0%B5%D1%80%D1%80%D0%B8%D1%82%D0%BE%D1%80%D0%B8%D1%8F%20%D0%BB%D1%8E%D0%B1%D0%B2%D0%B8%201991%20%D1%84%D0%B8%D0%BB%D1%8C%D0%BC","искать")</f>
        <v/>
      </c>
      <c r="N7029" s="3" t="n"/>
      <c r="O7029" s="2" t="n"/>
      <c r="P7029" s="2" t="n"/>
    </row>
    <row r="7030">
      <c r="A7030" s="2" t="n">
        <v>7029</v>
      </c>
      <c r="B7030" s="2" t="inlineStr"/>
      <c r="C7030" s="2" t="n">
        <v>11201</v>
      </c>
      <c r="D7030" s="3" t="inlineStr">
        <is>
          <t>Зимняя сказка</t>
        </is>
      </c>
      <c r="E7030" s="2" t="n">
        <v>1988</v>
      </c>
      <c r="F7030" s="2" t="inlineStr">
        <is>
          <t>фильм-спектакль</t>
        </is>
      </c>
      <c r="G7030" s="2" t="inlineStr">
        <is>
          <t>Главная редакция программ для детей ЦТ</t>
        </is>
      </c>
      <c r="H7030" s="2" t="n">
        <v>2115</v>
      </c>
      <c r="I7030" s="2" t="inlineStr"/>
      <c r="J7030" s="2" t="inlineStr"/>
      <c r="K7030" s="3" t="inlineStr">
        <is>
          <t>По одноименной пьесе Уильяма Шекспира в постановке Государственного академического театра имени Моссовета.
Леонт, король Сицилии, подозревает свою беременную жену Гермиону в измене с его другом Поликсеном, королем Богемии. Он приказывает своему приближённому Камилло отравить Поликсена, как раз находящегося с визитом на Сицилии; Камилло обещает выполнить приказ, но потом предупреждает свою жертву, и оба они бегут в Богемию. Тем временем Леонт заточает свою жену в тюрьму. Чтобы окончательно убедиться в её вине, он посылает послов к дельфийскому оракулу. Через некоторое время Гермиона рождает девочку, но Леонт не признаёт её своей дочерью. Вместо этого он приказывает другому вельможе, Антигону, отвезти ее в глушь и бросить там. Леонт также начинает судебный процесс против своей жены, где обвиняет её в супружеской измене и участии в заговоре с Поликсеном и Камилло. В это время приходит ответ от оракула, который снимает вину с Гермионы, Камилло и Поликсена, а Леонта называет ревнивым тираном, который «будет жить без наследника, пока не найдёт потерянное». Сразу после оглашения прорицания приходит известие о смерти маленького сына Леонта, Мамиллия. При этой вести Гермиона падает бездыханной. Тем временем Антигон оставляет дочь Гермионы на богемском берегу, где её находит пастух. По пути к кораблю Антигон гибнет от клыков медведя.
Проходит шестнадцать лет.
Дочь Леонта и Гермионы растёт в семье богемских пастухов под именем Утрата. Юная девушка и сын Поликсена Флоризель влюблены друг в друга, но принц скрывает неподобающую любовную связь от своего отца. На празднике стрижки овец, где присутствует также весёлый карманник и бард Автолик, влюблённые встречаются вновь, и их видят переодетые Поликсен и Камилло. После того, как разгневанный король раскрывается перед Флоризелем, принц решается бежать с Утратой на Сицилию. За ними в погоню пускаются Поликсен и старый пастух, приёмный отец Утраты. И то, что он не настоящий её отец, выясняется при дворе Леонта. Леонт мирится с Поликсеном. Паулина, вдова Антигона, ведёт всех присутствующих к «мраморной статуе» Гермионы, которая внезапно «оживает».</t>
        </is>
      </c>
      <c r="L7030" s="2" t="inlineStr">
        <is>
          <t>https://www.kino-teatr.ru/teatr/movie/81573/annot/</t>
        </is>
      </c>
      <c r="M7030" s="2">
        <f>HYPERLINK("https://ru.wikipedia.org/w/index.php?search=%D0%97%D0%B8%D0%BC%D0%BD%D1%8F%D1%8F%20%D1%81%D0%BA%D0%B0%D0%B7%D0%BA%D0%B0%201988%20%D1%84%D0%B8%D0%BB%D1%8C%D0%BC","искать")</f>
        <v/>
      </c>
      <c r="N7030" s="3" t="n"/>
      <c r="O7030" s="2" t="n"/>
      <c r="P7030" s="2" t="n"/>
    </row>
    <row r="7031">
      <c r="A7031" s="2" t="n">
        <v>7030</v>
      </c>
      <c r="B7031" s="2" t="inlineStr"/>
      <c r="C7031" s="2" t="n">
        <v>9422</v>
      </c>
      <c r="D7031" s="3" t="inlineStr">
        <is>
          <t>Коктейль-мираж</t>
        </is>
      </c>
      <c r="E7031" s="2" t="n">
        <v>1991</v>
      </c>
      <c r="F7031" s="2" t="inlineStr">
        <is>
          <t>кинофильм</t>
        </is>
      </c>
      <c r="G7031" s="2" t="n"/>
      <c r="H7031" s="2" t="n">
        <v>2118</v>
      </c>
      <c r="I7031" s="2" t="inlineStr"/>
      <c r="J7031" s="2" t="inlineStr"/>
      <c r="K7031" s="3" t="inlineStr">
        <is>
          <t>Конец 20-го века. Время переоценки ценностей и безудержной экспансии как во всей в России, так и в городе, где происходит действие. На месте старого кладбища собираются построить многоэтажный дом, святого на иконе в храме художник пишет с пьянчужки, женщина собирает цветы с могил для перепродажи. Художник Иван знакомится с деловой женщиной Мариной во время похорон. Она берет безработного Ивана в свой ресторан барменом. Там же работает официанткой юная Ольга. Девушка провалилась на экзаменах в институт и подрабатывает тем, что предлагает купить цветы клиентам ресторана. Марина положила глаз на Ивана и старается подкупить его своей благосклонностью. Но Ивану нравится Оленька. Девушка приглянулась и бывшему любовнику Марины, состоятельному Василию Васильевичу. Чтобы угодить ему, Марина пытается втянуть Ольгу в свою компанию, где бывает Василий. Приближенные Марины занимаются продажей наркотиков на фоне свободы отношений, чревоугодия и спиритизма. «Думаешь, ты так и проживёшь, чистая и непорочная?» - пытается она поддеть девушку. Но Оля в мечтах видит себя с Иваном в цветущем саду своей любви. Знакомый Ивана художник Саша сообщает, что видный чиновник хочет заказать ему свой портрет. Иван отказывается выполнять дорогой заказ. В его голове созрела большая сложная композиция, которую он надеется вскоре написать. Нет только натуры для образа Пророка. В ресторане он приметил посетителя, которого и приглашает позировать Пророком. Цепочка происшествий в ресторане выбивает Ивана из творческой колеи. Его возлюбленную пытается взять силой Василий Васильевич, и Иван избивает любовника Марины. В ресторане внезапно умирает посетитель и Марина, опасаясь, что милиция выйдет на наркотики, которые продают в ресторане, перекладывает на Ивана ответственность за случившееся. Иван вынужден уволиться. Натурщик «Пророк» оказывается бандитом, который под угрозой оружия грабит ресторан. В завершение всего Василий овладевает Олей, о чем узнает Иван. Задавленный обстоятельствами и потерявший веру в людей, Иван кончает жизнь самоубийством. Из окна мастерской художника спускают на тротуар огромное пустое полотно.</t>
        </is>
      </c>
      <c r="L7031" s="2" t="inlineStr">
        <is>
          <t>https://gosfilmofond.ru/films/232365/</t>
        </is>
      </c>
      <c r="M7031" s="2">
        <f>HYPERLINK("https://ru.wikipedia.org/w/index.php?search=%D0%9A%D0%BE%D0%BA%D1%82%D0%B5%D0%B9%D0%BB%D1%8C-%D0%BC%D0%B8%D1%80%D0%B0%D0%B6%201991%20%D1%84%D0%B8%D0%BB%D1%8C%D0%BC","искать")</f>
        <v/>
      </c>
      <c r="N7031" s="3" t="n"/>
      <c r="O7031" s="2" t="n"/>
      <c r="P7031" s="2" t="n"/>
    </row>
    <row r="7032">
      <c r="A7032" s="2" t="n">
        <v>7031</v>
      </c>
      <c r="B7032" s="2" t="inlineStr"/>
      <c r="C7032" s="2" t="n">
        <v>9454</v>
      </c>
      <c r="D7032" s="3" t="inlineStr">
        <is>
          <t>Линия смерти</t>
        </is>
      </c>
      <c r="E7032" s="2" t="n">
        <v>1991</v>
      </c>
      <c r="F7032" s="2" t="inlineStr">
        <is>
          <t>кинофильм</t>
        </is>
      </c>
      <c r="G7032" s="2" t="n"/>
      <c r="H7032" s="2" t="n">
        <v>2128</v>
      </c>
      <c r="I7032" s="2" t="inlineStr"/>
      <c r="J7032" s="2" t="inlineStr"/>
      <c r="K7032" s="3" t="inlineStr">
        <is>
          <t>Москва, лихие девяностые. Художника по стеклу Сергея из мастерской срочно зовут к телефону. Он едет в дорогой ресторан, где седовласый мужчина передает ему пачку денег со словами: «Как всегда, только срок теперь 2 недели». Сергею поручено убрать Николая Стешко, человека с большими связями, которые он приобрёл, подкладывая молоденьких девушек под мужчин из номенклатуры и храня их секреты. Выставка художественного стекла. Молодая привлекательная женщина случайно разбивает любимое творение Сергея. Он рассматривает это, как символ, что их знакомство может быть судьбоносно. У них вспыхивает роман, и вскоре Эля переезжает в квартиру своего возлюбленного. Сергей начинает слежку за Стешко и подслушивает его разговор с женщиной по вызову. Елена отказывается работать на него, и хозяин грозит уничтожить её. Много лет назад Стешко вытащил девчонок Лену, Нину и Зою из грязной истории, устроил им сладкую жизнь в Москве, и теперь они были обязаны беспрекословно подчиняться «благодетелю». Сергей добывает адреса и телефоны подружек Лены и вступает с каждой из них в персональный сговор. Женщины ненавидят своего сутенера. Достигнув материального благополучия, обретя семьи, они хотят жить спокойно. Сергей обещает каждой из них за крупную сумму убрать ненавистного Стешко. Выполнив заказ, Сергей является к седовласому с отчётом и заявляет, что это была его последняя работа на него. Сергей собирается жениться на Эле, но, оказывается, это не секрет для седовласого заказчика. Сергей обнаруживает и другие знаки того, что знакомство с Элей не было случайным. Отношения с возлюбленной были настолько доверительные, что факт предательства может разрушить жизнь Сергея. Он спешит домой, чтобы выяснить ситуацию. Вслед ему седовласый мужчина язвительно замечает, что если бы не жадность Сергея к деньгам, то он мог бы спокойно уйти на покой. Эля просит у Сергея прощения, обещая всё объяснить, но он, не желая показывать свои эмоции, убегает из дома. В тёмном дворе ему всаживают в спину нож. Во время похорон Сергея, увидев Элю, седовласый замечает сопровождающим, что Сережа был мастер, но случилось с ним умопомрачение от женщины.</t>
        </is>
      </c>
      <c r="L7032" s="2" t="inlineStr">
        <is>
          <t>https://gosfilmofond.ru/films/232376/</t>
        </is>
      </c>
      <c r="M7032" s="2">
        <f>HYPERLINK("https://ru.wikipedia.org/w/index.php?search=%D0%9B%D0%B8%D0%BD%D0%B8%D1%8F%20%D1%81%D0%BC%D0%B5%D1%80%D1%82%D0%B8%201991%20%D1%84%D0%B8%D0%BB%D1%8C%D0%BC","искать")</f>
        <v/>
      </c>
      <c r="N7032" s="3" t="n"/>
      <c r="O7032" s="2" t="n"/>
      <c r="P7032" s="2" t="n"/>
    </row>
    <row r="7033">
      <c r="A7033" s="2" t="n">
        <v>7032</v>
      </c>
      <c r="B7033" s="2" t="inlineStr"/>
      <c r="C7033" s="2" t="n">
        <v>7296</v>
      </c>
      <c r="D7033" s="3" t="inlineStr">
        <is>
          <t>В поисках капитана Гранта</t>
        </is>
      </c>
      <c r="E7033" s="2" t="n">
        <v>1985</v>
      </c>
      <c r="F7033" s="2" t="inlineStr">
        <is>
          <t>телефильм</t>
        </is>
      </c>
      <c r="G7033" s="2" t="n"/>
      <c r="H7033" s="2" t="n">
        <v>2132</v>
      </c>
      <c r="I7033" s="2" t="inlineStr"/>
      <c r="J7033" s="2" t="inlineStr"/>
      <c r="K7033" s="3" t="inlineStr">
        <is>
          <t>Фильм состоит из двух сюжетных линий. Первая рассказывает о жизни писателя Жюля Верна и истории создания и публикации романа «Дети капитана Гранта». Вторая разворачивает сюжет романа так, как он постепенно рождался в воображении писателя.
Лорд Гленарван и его жена Элен совершают свадебное путешествие в шотландских водах на яхте «Дункан». Экипаж корабля вылавливает акулу, во внутренностях которой находят бутылку из-под шампанского. Внутри неё лежат разъеденные морской водой бумаги на трёх языках с просьбой о помощи: английское судно «Британия» потерпело крушение, спастись удалось лишь двум матросам и капитану Гранту. Прослышав о находке, к лорду приезжают дети капитана.
После отказа английского правительства вести поиски лорд Гленарван сам решает отправиться на помощь герою Шотландии. Точно известно, что крушение произошло на 37-й параллели Южного полушария, но долгота неизвестна. В поисках капитана отважные шотландцы совершают по 37-й параллели кругосветное путешествие. К поискам капитана Гранта присоединяется французский учёный-географ Жак Паганель. Также существенную помощь в розысках экипажа судна «Британии» оказывает индеец Талькав, встретившийся экспедиции в Южной Америке.
В Патагонии путешественники на стороне индейцев племени пойуче вступают в схватку с охотниками за сокровищами (банда Боба Дёгтя и предателя индейцев Раймундо Скорсы).
В Австралии путешественники вступают в смертельную схватку с бандой разбойника Бена Джойса (бывшего боцмана «Британии»), пытающейся захватить «Дункан».
На протяжении поисков путешественникам приходится сталкиваться с различными природными катаклизмами, такими как сход снежной лавины, засуха, ливневые дожди, наводнение, извержение вулкана, а также терпеть жару, холод, отсутствие пресной воды, преодолевать непроходимые леса и горы.
В Новой Зеландии путешественники попадают в плен к кровожадному племени туземцев-каннибалов маори. Сбежав из плена, путешественники находят капитана Гранта и одного матроса с «Британии» на острове Марии-Терезы.
В финале фильма обе сюжетные линии объединяются, корабль Жюля Верна и «Дункан» с персонажами его романа встречаются в море.</t>
        </is>
      </c>
      <c r="L7033" s="2" t="inlineStr">
        <is>
          <t>https://ru.wikipedia.org/w/index.php?title=%D0%92_%D0%BF%D0%BE%D0%B8%D1%81%D0%BA%D0%B0%D1%85_%D0%BA%D0%B0%D0%BF%D0%B8%D1%82%D0%B0%D0%BD%D0%B0_%D0%93%D1%80%D0%B0%D0%BD%D1%82%D0%B0&amp;oldid=154024230</t>
        </is>
      </c>
      <c r="M7033" s="2">
        <f>HYPERLINK("https://ru.wikipedia.org/w/index.php?search=%D0%92%20%D0%BF%D0%BE%D0%B8%D1%81%D0%BA%D0%B0%D1%85%20%D0%BA%D0%B0%D0%BF%D0%B8%D1%82%D0%B0%D0%BD%D0%B0%20%D0%93%D1%80%D0%B0%D0%BD%D1%82%D0%B0%201985%20%D1%84%D0%B8%D0%BB%D1%8C%D0%BC","искать")</f>
        <v/>
      </c>
      <c r="N7033" s="3" t="n"/>
      <c r="O7033" s="2" t="n"/>
      <c r="P7033" s="2" t="n"/>
    </row>
    <row r="7034">
      <c r="A7034" s="2" t="n">
        <v>7033</v>
      </c>
      <c r="B7034" s="2" t="inlineStr"/>
      <c r="C7034" s="2" t="n">
        <v>9458</v>
      </c>
      <c r="D7034" s="3" t="inlineStr">
        <is>
          <t>Любимчик</t>
        </is>
      </c>
      <c r="E7034" s="2" t="n">
        <v>1991</v>
      </c>
      <c r="F7034" s="2" t="inlineStr">
        <is>
          <t>кинофильм</t>
        </is>
      </c>
      <c r="G7034" s="2" t="n"/>
      <c r="H7034" s="2" t="n">
        <v>2136</v>
      </c>
      <c r="I7034" s="2" t="inlineStr"/>
      <c r="J7034" s="2" t="inlineStr"/>
      <c r="K7034" s="3" t="inlineStr">
        <is>
          <t>Уральский город Пермь, конец 90-х годов 20-го столетия. Павел Дроздов, закончивший университет, по семейным обстоятельствам работает в горячем цехе местного завода. Он слывёт любимчиком городского начальства и обаял дочь главы города Петра Степановича Григорьева Наталью. Павла прочат в депутаты. Григорьев предупреждает своего коллегу Михаила Марковича, что его подопечный не имеет права на малейшую ошибку: слишком большая ставка на него в борьбе за власть в городе. Паша часто бывает в доме Григорьевых и его отношения с Наташей близятся к браку. Но однажды он встречает в ресторане свою университетскую любовь Катю. Она сообщает другу, что развелась с мужем и растит сына. Вскоре Екатерина звонит Паше и просит защиты. Юноша приезжает к подруге и бойцовскими приемами выводит из строя обидчика. На следующий день ему звонит Михаил Маркович. Он выговаривает Павлу, что тот устроил потасовку с его приближённым «Крепышом» и что он строит из себя защитника одиноких женщин. К тому же молодой человек не явился в дом к Григорьевым, где его ждала Наташа. Михаил Маркович хочет примирить соперников, но Павел категорически отказывается заключить мир. Тогда ему указывают, что каждый должен знать своё место, и что он защищает проститутку, которая к тому же задолжала крупную сумму денег «Крепышу». «Мы тебе даже любовь предусмотрели, - говорит Михаил Маркович, - Наташа – настоящая богиня». Но у Павла вспыхнули прежние чувства, и он решил оградить Катю от мужчин, считающих себя вправе распоряжаться её телом и её судьбой. Паша тайно увозит возлюбленную с сыном за город. Но и здесь бандиты преследуют их. Екатерина сообщает Павлу, что расстается с ним. Она не хочет создавать ему проблемы. Катя понимает, что преследующие их люди сильны и ни перед чем не остановятся. Павел решает вступить в открытую схватку с бандитами, в которой он выходит победителем. Дроздов выступает перед избирателями и просит поддержать его в стремлении не допустить мафию к власти. На выборах Павел побеждает. Ему звонит Григорьев, поздравляет нового депутата и приглашает в гости. В уютной домашней обстановке мужчины ведут беседу о планах совместной работы.</t>
        </is>
      </c>
      <c r="L7034" s="2" t="inlineStr">
        <is>
          <t>https://gosfilmofond.ru/films/232377/</t>
        </is>
      </c>
      <c r="M7034" s="2">
        <f>HYPERLINK("https://ru.wikipedia.org/w/index.php?search=%D0%9B%D1%8E%D0%B1%D0%B8%D0%BC%D1%87%D0%B8%D0%BA%201991%20%D1%84%D0%B8%D0%BB%D1%8C%D0%BC","искать")</f>
        <v/>
      </c>
      <c r="N7034" s="3" t="n"/>
      <c r="O7034" s="2" t="n"/>
      <c r="P7034" s="2" t="n"/>
    </row>
    <row r="7035">
      <c r="A7035" s="2" t="n">
        <v>7034</v>
      </c>
      <c r="B7035" s="2" t="inlineStr"/>
      <c r="C7035" s="2" t="n">
        <v>8751</v>
      </c>
      <c r="D7035" s="3" t="inlineStr">
        <is>
          <t>Исчадье ада</t>
        </is>
      </c>
      <c r="E7035" s="2" t="n">
        <v>1991</v>
      </c>
      <c r="F7035" s="2" t="inlineStr">
        <is>
          <t>кинофильм</t>
        </is>
      </c>
      <c r="G7035" s="2" t="n"/>
      <c r="H7035" s="2" t="n">
        <v>2139</v>
      </c>
      <c r="I7035" s="2" t="inlineStr"/>
      <c r="J7035" s="2" t="inlineStr"/>
      <c r="K7035" s="3" t="inlineStr">
        <is>
          <t>Дореволюционный Санкт-Петербург. Семья губернатора города выходит после службы из церкви. За ними наблюдает мужчина. Позже он, Жорж, в разговоре со своим подельником по террористической деятельности Иваном говорит о том, что у него нет ни ненависти, ни жалости к губернатору, но «нужно рубить столбы, а забор сам упадет». Задача их террористической группы – уничтожить губернатора. Помощница Жоржа Эрна – химик. Она занята изготовлением бомб, с которыми члены группы дежурят на предполагаемых маршрутах следования экипажа губернатора. Жорж, расставив на постах взрывников Ивана, Федора и Генриха, наблюдает за ними из безопасного места. Увидев детей в карете губернатора, Генрих не решается бросить сверток с бомбой. Жорж одержим убийством и готов жертвовать всеми и всем, чтобы удовлетворить свою страсть к убийству, которое замещает ему любовь к людям. Он холоден и равнодушен к Эрне, с которой проводит ночи. Глубоко в его душе теплится только чувство к замужней даме Елене, с которой он познакомился когда-то на отдыхе. Во время второй попытки покушения губернатор ранен, а Фёдор схвачен. Нервы у всех напряжены до предела и Эрна заявляет Жоржу, что она не может больше жить убийством. Он отправляет её за город. Эрна, охваченная манией преследования, убивает кондуктора поезда и стреляется сама. Тем временем вторая попытка покушения доведена Иваном до убийства губернатора. Он схвачен и закован в кандалы. Жорж встречается с Еленой, без тени сожаления о содеянном. Теперь им овладела страсть обладания женщиной. Но она заявляет, что хочет только красоты и счастья любви, готова любить Жоржа сегодня, но его женой не будет никогда. Жорж вызывает на дуэль мужа Елены и убивает его. Он приходит в собор, где внутренний голос в образе губернатора призывает его покаяться в совершенных убийствах. Жорж уверен, в своем праве на убийства: вначале во имя идеи, а в последнем случае – для себя. Внутренний голос обвиняет Жоржа в том, что он расстрелял свою любовь. Затемнённая комната. Губернатор опять приходит к Жоржу: «Вы решили уйти из жизни? Это грех!». Но Жоржу не дорог это балаган жизни и он уходит из жизни без раскаяния и сожаления.</t>
        </is>
      </c>
      <c r="L7035" s="2" t="inlineStr">
        <is>
          <t>https://gosfilmofond.ru/films/232345/</t>
        </is>
      </c>
      <c r="M7035" s="2">
        <f>HYPERLINK("https://ru.wikipedia.org/w/index.php?search=%D0%98%D1%81%D1%87%D0%B0%D0%B4%D1%8C%D0%B5%20%D0%B0%D0%B4%D0%B0%201991%20%D1%84%D0%B8%D0%BB%D1%8C%D0%BC","искать")</f>
        <v/>
      </c>
      <c r="N7035" s="3" t="n"/>
      <c r="O7035" s="2" t="n"/>
      <c r="P7035" s="2" t="n"/>
    </row>
    <row r="7036">
      <c r="A7036" s="2" t="n">
        <v>7035</v>
      </c>
      <c r="B7036" s="2" t="inlineStr"/>
      <c r="C7036" s="2" t="n">
        <v>9642</v>
      </c>
      <c r="D7036" s="3" t="inlineStr">
        <is>
          <t>Сестрички Либерти</t>
        </is>
      </c>
      <c r="E7036" s="2" t="n">
        <v>1990</v>
      </c>
      <c r="F7036" s="2" t="inlineStr">
        <is>
          <t>кинофильм</t>
        </is>
      </c>
      <c r="G7036" s="2" t="n"/>
      <c r="H7036" s="2" t="n">
        <v>2139</v>
      </c>
      <c r="I7036" s="2" t="inlineStr"/>
      <c r="J7036" s="2" t="inlineStr"/>
      <c r="K7036" s="3" t="inlineStr">
        <is>
          <t>Две юные, простоватые сёстры-близнецы, швеи-мотористки из ПТУ, после смерти матери живущие отдельно от отца-алкоголика, очарованы художником-модернистом, который к ним снисходителен и даже вводит их в круг «избранных». Серж использует сестёр в роли натурщиц, знакомит со своими друзьями-фотографами. Вера, воодушевлённая романтическими отношениями с фотографом Вадимом, пытается покончить жизнь самоубийством после его откровенного признания о своих планах относительно другой девушки. Люба прибегает к совету деда и пытается спасти сестру с помощью клубка ниток, который мотает трое суток, сидя в больнице.
Долго пролежав в больнице и чудом избежав психиатрической лечебницы, Вера празднует новый день рождения. Дальнейшим её восстановлением занимается психоаналитик, друг Сержа. Люба же задумывается о мести, едет к деду за помощью в получении силы, на что дед требует, чтобы Люба задушила живого котенка в качестве доказательства её силы. Затем с помощью мистических действий Люба доводит Вадима, находящегося в Лондоне, до тяжелейшего инсульта без шансов выздоровления. Вера восстановилась, знакомство с итальянским художником Гвидо выводит её на новый виток романтических отношений, а заодно ссорит с сестрой. Во время регистрации брака Веры и Гвидо в дверях ЗАГСа появляется совершенно новая Люба, по просьбе сестры изменившая свою внешность. Вера из брачного номера звонит от имени сестры их бывшим друзьям — Генке и Куцому. Они приходят и насилуют Любу, обиженные на, как они думают, её шутку и на то, что Люба стала их избегать, считая людьми низшего сорта.
Раскол между сёстрами становится всё глубже. Изнасилованная Люба под видом (и с документами) своей сестры уезжает с Гвидо в Италию, пригрозив Вере применить свои магические чары к Гвидо и погубить его, если сестра не уступит ей своего мужа. Вера кончает жизнь самоубийством, выбросившись из окна, при этом увлекает с собой на тот свет и подростка Женю, которого Серж совратил и сделал своим любовником. Сообщение о смерти сестры Люба получает уже за границей и в отражении зеркала видит погибшую Веру, которая возвращает ей живого котенка как знак напрасности этой жертвы.</t>
        </is>
      </c>
      <c r="L7036" s="2" t="inlineStr">
        <is>
          <t>https://ru.wikipedia.org/w/index.php?title=%D0%A1%D0%B5%D1%81%D1%82%D1%80%D0%B8%D1%87%D0%BA%D0%B8_%D0%9B%D0%B8%D0%B1%D0%B5%D1%80%D1%82%D0%B8&amp;oldid=154425527</t>
        </is>
      </c>
      <c r="M7036" s="2">
        <f>HYPERLINK("https://ru.wikipedia.org/w/index.php?search=%D0%A1%D0%B5%D1%81%D1%82%D1%80%D0%B8%D1%87%D0%BA%D0%B8%20%D0%9B%D0%B8%D0%B1%D0%B5%D1%80%D1%82%D0%B8%201990%20%D1%84%D0%B8%D0%BB%D1%8C%D0%BC","искать")</f>
        <v/>
      </c>
      <c r="N7036" s="3" t="n"/>
      <c r="O7036" s="2" t="n"/>
      <c r="P7036" s="2" t="n"/>
    </row>
    <row r="7037">
      <c r="A7037" s="2" t="n">
        <v>7036</v>
      </c>
      <c r="B7037" s="2" t="inlineStr"/>
      <c r="C7037" s="2" t="n">
        <v>7926</v>
      </c>
      <c r="D7037" s="3" t="inlineStr">
        <is>
          <t>На всю оставшуюся жизнь</t>
        </is>
      </c>
      <c r="E7037" s="2" t="n">
        <v>1975</v>
      </c>
      <c r="F7037" s="2" t="inlineStr">
        <is>
          <t>телефильм</t>
        </is>
      </c>
      <c r="G7037" s="2" t="n"/>
      <c r="H7037" s="2" t="n">
        <v>2145</v>
      </c>
      <c r="I7037" s="2" t="inlineStr"/>
      <c r="J7037" s="2" t="inlineStr"/>
      <c r="K7037" s="3" t="inlineStr">
        <is>
          <t>В первой серии зрители знакомятся с героями, когда комиссар Данилов, проходя по санитарному поезду, заглядывает в купе. При этом проходят воспоминания комиссара Данилова, молодой и очаровательной Леночки Огородниковой, доктора Белова о мирной, спокойной и, главное, счастливой жизни. Когда появляется известие о начале войны, комиссар Данилов формирует поезд и подбирает персонал.
Во второй серии появляются новые герои — тяжелораненые солдаты, сохранившие после многочисленных операций и ампутаций надежду и оптимизм — их большинство, они не пришли в отчаяние и продолжают жить и радоваться жизни. На их фоне выделяется трагичный персонаж Жигалова — морской офицер, не желающий жить калекой. В купе оптимистов ярко выделяется парализованный младший лейтенант Крамин. Встреча Крамина с женой стала одной из самых ярких сцен картины.
Третья серия повествует о тяжёлых военных буднях медиков, которые разбавлены несколькими весёлыми и интересными эпизодами — о курятнике на колёсах, большими и небольшими романами (Юлии Дмитриевны, старшей медсестры, с доктором Супруговым, медсестры Фаины с монтёром Низвецким). Появляются новые лица - плотник дядя Саша, который похоронил всю свою семью из шести человек, убитых при бомбежке поезда. Появилась девочка-сирота Васка. Данилов разрешил ей остаться, чтобы она помогала ухаживать за птичником, который колесил вместе с санитарным поездом. Всё это дополняется трагическими вставками о печальных событиях в жизни многих героев и их семей, резких трагических поворотах в их судьбах. На этом фоне выделяется эпизод, когда доктор Белов узнаёт о гибели жены и дочери в осаждённом Ленинграде осенью 1941 года.
Четвёртая серия рассказывает о том, как горьки для главных героев оказались дни в преддверии Победы. Леночка Огородникова узнаёт, что Даня, которого она любила, женился на другой. Белов, оказавшись наконец в своём любимом Ленинграде, на месте своего дома видит одни развалины, но узнаёт, что его сын жив и воюет на фронте. Юлия Дмитриевна едет в поезде с любимым ею доктором Супруговым, полная надежд на дальнейшую совместную жизнь с ним, ведь у них даже общий паёк в дорогу, но он делит этот паёк.</t>
        </is>
      </c>
      <c r="L7037" s="2" t="inlineStr">
        <is>
          <t>https://ru.wikipedia.org/w/index.php?title=%D0%9D%D0%B0_%D0%B2%D1%81%D1%8E_%D0%BE%D1%81%D1%82%D0%B0%D0%B2%D1%88%D1%83%D1%8E%D1%81%D1%8F_%D0%B6%D0%B8%D0%B7%D0%BD%D1%8C%E2%80%A6&amp;oldid=155669764</t>
        </is>
      </c>
      <c r="M7037" s="2">
        <f>HYPERLINK("https://ru.wikipedia.org/w/index.php?search=%D0%9D%D0%B0%20%D0%B2%D1%81%D1%8E%20%D0%BE%D1%81%D1%82%D0%B0%D0%B2%D1%88%D1%83%D1%8E%D1%81%D1%8F%20%D0%B6%D0%B8%D0%B7%D0%BD%D1%8C%201975%20%D1%84%D0%B8%D0%BB%D1%8C%D0%BC","искать")</f>
        <v/>
      </c>
      <c r="N7037" s="3" t="n"/>
      <c r="O7037" s="2" t="n"/>
      <c r="P7037" s="2" t="n"/>
    </row>
    <row r="7038">
      <c r="A7038" s="2" t="n">
        <v>7037</v>
      </c>
      <c r="B7038" s="2" t="inlineStr"/>
      <c r="C7038" s="2" t="n">
        <v>7956</v>
      </c>
      <c r="D7038" s="3" t="inlineStr">
        <is>
          <t>Наше призвание</t>
        </is>
      </c>
      <c r="E7038" s="2" t="n">
        <v>1981</v>
      </c>
      <c r="F7038" s="2" t="inlineStr">
        <is>
          <t>телефильм</t>
        </is>
      </c>
      <c r="G7038" s="2" t="n"/>
      <c r="H7038" s="2" t="n">
        <v>2161</v>
      </c>
      <c r="I7038" s="2" t="inlineStr"/>
      <c r="J7038" s="2" t="inlineStr"/>
      <c r="K7038" s="3" t="inlineStr">
        <is>
          <t>В фильме показаны воспоминания заслуженного учителя Николая Гудкова о годах его юности, о школе 1920-х годов. Свои воспоминания учитель рассказывает молодой журналистке Варе в течение трёх вечеров. Он ведёт речь о своих друзьях, недругах, учителе, который был для него примером, и первой юношеской любви.
Действие фильма происходит в течение 1923/24 учебного года в одной из московских школ. Фильм повествует о том, как в спорах, муках, рождалась новая, советская школа. На дворе — непростая, во многом противоречивая эпоха НЭПа. Все преподаватели школы во главе с заведующей Маргаритой Анатольевной — учителя старой закалки, успевшие поработать ещё в старой, царской школе, хотя и принявшие (кто — по убеждениям, кто — вынужденно) новую власть. А большинство учеников школы являются выходцами из рабочих семей, полностью разделяют руководящие идеалы эпохи и полны желания и энтузиазма построить не только новую школу, но и новую жизнь. Это предопределяет наличие конфликтогенной ситуации.
Кроме того, большинству учеников приходится не по душе новая методика обучения под названием карпантер, которую администрация школы пытается ввести с начала нового учебного года.
Однако и ученики в школе — разные. Сообщество учеников старших классов школы во главе с учкомом разделилось на два лагеря. С одной стороны — Сашка Гундобин, бывший председатель учкома, юноша не без лидерских качеств, но в то же время крикливый демагог, ненавидящий всех «шкрабов», и те, кто его поддерживает. Им противостоит партия более «умеренных» во главе с Колей Гудковым (в оригинале, у М. Розанова, — Костя Рябцев). Кипят нешуточные страсти, собрания и митинги идут сплошной чередой.
В недавно вышедшем фильме «Наше призвание» в интересной форме раскрывается диалектика развития некоторых идей советской педагогики. Нам показывают интересные поиски, порой наивные заблуждения педагогической практики 20-х гг. Но здесь важно другое. Замечательные педагоги, образ которых предстает на экране, стремились к тому же, что актуально и сегодня, к развитию общественной активности, коллективизма, в условиях которого только и может сформироваться самостоятельно мыслящая и действующая личность.</t>
        </is>
      </c>
      <c r="L7038" s="2" t="inlineStr">
        <is>
          <t>https://ru.wikipedia.org/w/index.php?title=%D0%9D%D0%B0%D1%88%D0%B5_%D0%BF%D1%80%D0%B8%D0%B7%D0%B2%D0%B0%D0%BD%D0%B8%D0%B5&amp;oldid=154448281</t>
        </is>
      </c>
      <c r="M7038" s="2">
        <f>HYPERLINK("https://ru.wikipedia.org/w/index.php?search=%D0%9D%D0%B0%D1%88%D0%B5%20%D0%BF%D1%80%D0%B8%D0%B7%D0%B2%D0%B0%D0%BD%D0%B8%D0%B5%201981%20%D1%84%D0%B8%D0%BB%D1%8C%D0%BC","искать")</f>
        <v/>
      </c>
      <c r="N7038" s="3" t="n"/>
      <c r="O7038" s="2" t="n"/>
      <c r="P7038" s="2" t="n"/>
    </row>
    <row r="7039">
      <c r="A7039" s="2" t="n">
        <v>7038</v>
      </c>
      <c r="B7039" s="2" t="inlineStr"/>
      <c r="C7039" s="2" t="n">
        <v>7184</v>
      </c>
      <c r="D7039" s="3" t="inlineStr">
        <is>
          <t>А ну-ка, дедушки!</t>
        </is>
      </c>
      <c r="E7039" s="2" t="n">
        <v>1981</v>
      </c>
      <c r="F7039" s="2" t="inlineStr">
        <is>
          <t>телефильм</t>
        </is>
      </c>
      <c r="G7039" s="2" t="n"/>
      <c r="H7039" s="2" t="n">
        <v>2164</v>
      </c>
      <c r="I7039" s="2" t="inlineStr"/>
      <c r="J7039" s="2" t="inlineStr"/>
      <c r="K7039" s="3" t="inlineStr">
        <is>
          <t>Студенту и боксеру-любителю из Батуми Бичико Тохадзе очень нужно в Болгарию — там у него подруга по переписке Красимира, в которую он влюбился и на фотографию которой он не может налюбоваться.
Но желание поехать в Болгарию сопряжено с большими трудностями. Сначала в университете Бичико отказывают в путевке потому, что он уже был в Венгрии и чуть не остался там. Затем Бичико пытается победить в соревновании по боксу, чтобы поехать на турнир в Болгарию, но терпит поражение от конкурента. После проигрыша боксерского поединка друзья рассказывают Бичико, что университетский оркестр едет на 10 дней в Болгарию, но это оказывается розыгрышем, на самом деле музыканты едут в Армению и Азербайджан. Он предлагает декану как художественную самодеятельность отправить в Болгарию на фестиваль народных песен грузинский «хор долгожителей» — четвёрку неунывающих старичков из отдалённого грузинского села, кавалеров боевых и трудовых наград, среди которых будет и прадед Бичико.
Приехав в Варну, Бичико отправляется на поиски невесты, но и «хор долгожителей» время зря не теряет, сбежав от импресарио. Они идут в казино, знакомятся с болгарскими долгожителями, участвуют в банкете, понимая толк в болгарском вине, да так, что их потом приходится искать с вертолётом.
Бичико же, с трудом добравшись до адреса Красимиры, узнаёт, что писала ему, вложив фотографию какой-то девушки из газеты, обычная школьница, которой было грустно от того, что у неё нет друзей. Затем ему нужно срочно возвращаться в концертный зал, так как он должен выступать вместе с танцевальным ансамблем. Бичико останавливает первую попавшуюся машину, водителем которой и оказывается та самая Красимира, чью фотографию он хранил. Старики приглашают ее посмотреть концерт танцоров, на который они уже успели взять с собой болгарских долгожителей. Окрыленный успехом, Бичико бежит после выступления купить Красимире цветы, но девушка уже исчезла. В аэропорту перед вылетом огорченный Бичико дарит цветы болгарской девочке, которая переписывалась с ним вместо Красимиры и пришла попрощаться с гостями из Грузии. Сев в самолёт на обратный рейс в Батуми, Бичико видит стюардессу — ею оказывается Красимира.</t>
        </is>
      </c>
      <c r="L7039" s="2" t="inlineStr">
        <is>
          <t>https://ru.wikipedia.org/w/index.php?title=%D0%90_%D0%BD%D1%83-%D0%BA%D0%B0%2C_%D0%B4%D0%B5%D0%B4%D1%83%D1%88%D0%BA%D0%B8%21&amp;oldid=154690589</t>
        </is>
      </c>
      <c r="M7039" s="2">
        <f>HYPERLINK("https://ru.wikipedia.org/w/index.php?search=%D0%90%20%D0%BD%D1%83-%D0%BA%D0%B0%2C%20%D0%B4%D0%B5%D0%B4%D1%83%D1%88%D0%BA%D0%B8%21%201981%20%D1%84%D0%B8%D0%BB%D1%8C%D0%BC","искать")</f>
        <v/>
      </c>
      <c r="N7039" s="3" t="n"/>
      <c r="O7039" s="2" t="n"/>
      <c r="P7039" s="2" t="n"/>
    </row>
    <row r="7040">
      <c r="A7040" s="2" t="n">
        <v>7039</v>
      </c>
      <c r="B7040" s="2" t="inlineStr"/>
      <c r="C7040" s="2" t="n">
        <v>8781</v>
      </c>
      <c r="D7040" s="3" t="inlineStr">
        <is>
          <t>Круг обречённых</t>
        </is>
      </c>
      <c r="E7040" s="2" t="n">
        <v>1991</v>
      </c>
      <c r="F7040" s="2" t="inlineStr">
        <is>
          <t>кинофильм</t>
        </is>
      </c>
      <c r="G7040" s="2" t="n"/>
      <c r="H7040" s="2" t="n">
        <v>2165</v>
      </c>
      <c r="I7040" s="2" t="inlineStr"/>
      <c r="J7040" s="2" t="inlineStr"/>
      <c r="K7040" s="3" t="inlineStr">
        <is>
          <t>Ирина с весьма пожилым мужем Юликом едут за город в гости к молодой семейной паре Ларисе и Сергею. Юлик предупреждает жену, что он собирается жениться на красивой и избалованной Ларисе, и просит супругу уйти с его дороги за несколько предстоящих месяцев. Состоятельная Лариса когда-то взяла себе в мужья провинциального журналиста, который тихо ненавидит её, купившую его за квартиру, машину, дачу и московскую прописку. Отдушина в его жизни – любовные отношения с женщиной не первой свежести Ириной, женой Юлика. Она живёт со своим супругом только потому, что тот обеспечивает её жизнь, но любовь к нему давно прошла. Фармацевт Ирина придумала, как избавиться от Ларисы, тем самым сделать своего любовника состоятельным и независимым. Она добавляет в вино солидную порцию снотворного, а Сергей угощает им Ларису. Соучастники преступления погружают спящую девушку в ванну и через некоторое время увозят бездыханное тело за город. Там они сбрасывают его с моста в заводь и оставляют на видном месте одежду Ларисы, имитируя, что девушка утонула, отправившись купаться. Любовники расстаются, и Ирина обещает сама выйти на связь с Сергеем. Мужчина нервничает в страхе, что они будут уличены, и не может сосредоточиться на работе. К тому же то и дело звонит телефон, но на том конце провода молчат. В его квартире вещи меняют положение, и происходит другая «чертовщина». Его благоверная начинает его доставать с того света. Из милиции нет сообщения о найденном трупе. Сергей едет к месту преступления, но там нет следов происшествия, а сосед по даче говорит, что разговаривал с его женой вчера, и она уехала в город. Это ещё больше пугает Сергея, так как он уверен, что Лариса мертва. В городе подруга его жены рассказывает Сергею, что накануне встречалась с Ларисой. Наконец, он видит за рельефным стеклом двери ванной своей квартиры расплывчатый женский силуэт, и в состоянии аффекта выбрасывается из окна. Вскоре в квартире появляются довольные Лариса с Юликом и Ирина. Парочка вручает соучастнице своего смертельного розыгрыша дарственные на квартиру, где жили Лариса с Сергеем, и на машину. Лишний человек в этой игре устранен, а участники сделки получили желаемое.</t>
        </is>
      </c>
      <c r="L7040" s="2" t="inlineStr">
        <is>
          <t>https://gosfilmofond.ru/films/232657/</t>
        </is>
      </c>
      <c r="M7040" s="2">
        <f>HYPERLINK("https://ru.wikipedia.org/w/index.php?search=%D0%9A%D1%80%D1%83%D0%B3%20%D0%BE%D0%B1%D1%80%D0%B5%D1%87%D1%91%D0%BD%D0%BD%D1%8B%D1%85%201991%20%D1%84%D0%B8%D0%BB%D1%8C%D0%BC","искать")</f>
        <v/>
      </c>
      <c r="N7040" s="3" t="n"/>
      <c r="O7040" s="2" t="n"/>
      <c r="P7040" s="2" t="n"/>
    </row>
    <row r="7041">
      <c r="A7041" s="2" t="n">
        <v>7040</v>
      </c>
      <c r="B7041" s="2" t="inlineStr"/>
      <c r="C7041" s="2" t="n">
        <v>8816</v>
      </c>
      <c r="D7041" s="3" t="inlineStr">
        <is>
          <t>Мама Роза</t>
        </is>
      </c>
      <c r="E7041" s="2" t="n">
        <v>1991</v>
      </c>
      <c r="F7041" s="2" t="inlineStr">
        <is>
          <t>кинофильм</t>
        </is>
      </c>
      <c r="G7041" s="2" t="n"/>
      <c r="H7041" s="2" t="n">
        <v>2166</v>
      </c>
      <c r="I7041" s="2" t="inlineStr"/>
      <c r="J7041" s="2" t="inlineStr"/>
      <c r="K7041" s="3" t="inlineStr">
        <is>
          <t>По городу идет счастливый и хорошо одетый молодой человек африканской наружности. Лет десять тому назад он подростком наблюдал с участием и сочувствием за грустным клоуном в цирке. После представления Аман, как он представился, просит приглянувшуюся ему артистку взять его в цирк работать. В ответ она дарит ему «счастливый» зонтик. Аман возвращается домой, где его ждёт экзальтированная старая женщина, которую мальчик называет «мама Роза». Она напоминает ему того грустного клоуна. Полная и обрюзгшая, излишне пользующаяся косметикой и наряжающаяся с претензией на моду, она - посмешище для окружающих. Но мама Роза не унывающий человек: любит петь, танцевать, кокетничать со стариками и рассказывать Аману байки о том, что в молодости она была артисткой. Время от времени она поносит руганью отца мальчика - африканца, который, по её словам, удрал в Африку, и с горечью вспоминает умершую мать Амана. Роза любит мальчишку и жалеет его, сироту. Он тоже любит её и в то же время стесняется, но понимает, что кроме мамы Розы у него никого нет, поэтому принимает её такой, какая она есть. На улице Амана дразнят и под случай бьют, а сочувствующий ему подросток советует уезжать в Африку. Мальчик живет мечтой о цирке и надеется дождаться весной цирк-шапито. Аман пробует свои силы на улице, танцуя со счастливым зонтиком перед зрителями. На первые заработанные деньги он покупает духи для бабушки. Мальчик часто застает её дома пьяной, и однажды, выпив, Роза в сердцах сожалеет, что взяла чёрного малыша на воспитание, а не сдала в детдом. Мальчик убегает из дома, но поняв, что ему некуда деваться, через некоторое время возвращается. На лестнице дома он видит врача скорой помощи и обеспокоенный вбегает в квартиру. Роза лежит с закрытыми глазами. Аман плачет и умоляет её не умирать. Открыв глаза, она успокаивает его и говорит: «Артистка из меня не вышла, но вот ты обязательно будешь артистом». Она обещает рассказать всё о родителях мальчика, но умирает, не успев это сделать. Аман в слезах заботливо накрывает бабушку самым красивым её платком, поливает духами, накладывает на лицо грим и зажигает свечи. Вечер. Он совсем один на свете. Что его ждёт в будущем?</t>
        </is>
      </c>
      <c r="L7041" s="2" t="inlineStr">
        <is>
          <t>https://gosfilmofond.ru/films/232382/</t>
        </is>
      </c>
      <c r="M7041" s="2">
        <f>HYPERLINK("https://ru.wikipedia.org/w/index.php?search=%D0%9C%D0%B0%D0%BC%D0%B0%20%D0%A0%D0%BE%D0%B7%D0%B0%201991%20%D1%84%D0%B8%D0%BB%D1%8C%D0%BC","искать")</f>
        <v/>
      </c>
      <c r="N7041" s="3" t="n"/>
      <c r="O7041" s="2" t="n"/>
      <c r="P7041" s="2" t="n"/>
    </row>
    <row r="7042">
      <c r="A7042" s="2" t="n">
        <v>7041</v>
      </c>
      <c r="B7042" s="2" t="inlineStr"/>
      <c r="C7042" s="2" t="n">
        <v>9768</v>
      </c>
      <c r="D7042" s="3" t="inlineStr">
        <is>
          <t>Шок</t>
        </is>
      </c>
      <c r="E7042" s="2" t="n">
        <v>1989</v>
      </c>
      <c r="F7042" s="2" t="inlineStr">
        <is>
          <t>кинофильм</t>
        </is>
      </c>
      <c r="G7042" s="2" t="n"/>
      <c r="H7042" s="2" t="n">
        <v>2167</v>
      </c>
      <c r="I7042" s="2" t="inlineStr"/>
      <c r="J7042" s="2" t="inlineStr"/>
      <c r="K7042" s="3" t="inlineStr">
        <is>
          <t>Узбекская ССР, конец 1970-х—начало 1980-х. Воспользовавшись материалами республиканской партийной комиссии, молодой ташкентский журналист Мурад Якубов пишет фельетон о взяточнике и клеветнике преподавателе Нуриеве. Встретившись с героем своего фельетона, Мурад неожиданно получает от него пощёчину. Якубов находит в себе силы ещё раз встретиться с Нуриевым и обстоятельно обсудить с ним происшедшее. Их разговор длится всю ночь, перед Мурадом раскрывается цепь преступных деяний властной верхушки в республике. Журналист испытывает настоящий шок, узнавая шаг за шагом о том, что творится вокруг (семилетние дети и в зной, и в непогоду собирают на полях хлопок, а в это время на них сыплется с самолёта яд). Пытаясь в очередной раз встретиться с Нуриевым, Якубов узнаёт об аресте преподавателя. Мурад отправляется в милицию, где ему сообщают, что Нуриева отправили в Бишкент. Тут же в милиции Якубов становится свидетелем того, как капитан милиции по звонку министра вынужден не только отпустить задержанного за езду в состоянии алкогольного опьянения сына секретаря ЦК, но и вымыть оболтусу его машину. Не сдержавшись, Якубов хватает парня за волосы и заставляет извиниться.
К Якубову приходит следователь и ставит его в известность, что он нарушил ряд законов. Сынки же партийных тузов чувствуют себя будущими хозяевами жизни, считая, что им позволительно всё. Из-за одного из таких молодых негодяев сжигает себя девушка. Нуриевым собран обширный обличительный материал, однако власти не дремлют — начинается охота за папкой Нуриева. Он успевает передать материалы сестре перед арестом. Сестра доставляет папку журналисту. Но телохранители хлопкового магната Бахрамова находят Якубова и отбирают компромат (на самом деле он был пуст, Якубов успел передать бумаги с компроматом встретившемуся по пути тому самому капитану милиции, пониженному до звания лейтенанта). Секретарь обкома Назиров пытается уговорить Мурада перейти на его сторону. Журналист непреклонен, и его убивают. Проходит несколько лет. Нуриев выходит на свободу. С экрана телевизора о «врагах перестройки» и «негативных явлениях в жизни республики», о коррупции, взятках, местничестве вещает Назиров.</t>
        </is>
      </c>
      <c r="L7042" s="2" t="inlineStr">
        <is>
          <t>https://ru.wikipedia.org/w/index.php?title=%D0%A8%D0%BE%D0%BA_%28%D1%84%D0%B8%D0%BB%D1%8C%D0%BC%2C_1989%29&amp;oldid=155102555</t>
        </is>
      </c>
      <c r="M7042" s="2">
        <f>HYPERLINK("https://ru.wikipedia.org/w/index.php?search=%D0%A8%D0%BE%D0%BA%201989%20%D1%84%D0%B8%D0%BB%D1%8C%D0%BC","искать")</f>
        <v/>
      </c>
      <c r="N7042" s="3" t="n"/>
      <c r="O7042" s="2" t="n"/>
      <c r="P7042" s="2" t="n"/>
    </row>
    <row r="7043">
      <c r="A7043" s="2" t="n">
        <v>7042</v>
      </c>
      <c r="B7043" s="2" t="inlineStr"/>
      <c r="C7043" s="2" t="n">
        <v>10763</v>
      </c>
      <c r="D7043" s="3" t="inlineStr">
        <is>
          <t>Ограбление в полночь</t>
        </is>
      </c>
      <c r="E7043" s="2" t="n">
        <v>1978</v>
      </c>
      <c r="F7043" s="2" t="inlineStr">
        <is>
          <t>фильм-спектакль</t>
        </is>
      </c>
      <c r="G7043" s="2" t="inlineStr">
        <is>
          <t>Лентелефильм</t>
        </is>
      </c>
      <c r="H7043" s="2" t="n">
        <v>2171</v>
      </c>
      <c r="I7043" s="2" t="inlineStr"/>
      <c r="J7043" s="2" t="inlineStr"/>
      <c r="K7043" s="3" t="inlineStr">
        <is>
          <t>Комедия по водевилю югославского драматурга Мирослава Мировича
"Вор в положении, или ограбление в полночь".
Детективно-эротическая история с разоблачением и стриптизом грабителя, столкнувшегося с вороватым заместителем директора универмага.
Зам. директора большого универсама остается на работе на ночь - на следующий день предстоит ревизия. В дверях появляется грабитель. Направив на зам. директора пистолет, он ставит его к стенке, и интересуется, все ли деньги на месте. Оказывается, он принял зам. директора за другого грабителя. А тот принял грабителя за инспектора милиции. Оба вздыхают с облегчением. У зам. директора все время звонит телефон. Позвонившей жене, он говорит, что придет утром; любовнице - что скоро придет. Вместе с грабителем он инсценирует взлом кассы, и вдобавок предлагает грабителю любые товары в магазине. Тот удивлен - впервые он встречает такого любезного зам. директора. Эту идиллию нарушают своим приходом сначала любовница, потом жена. Услышав голос жены, любовница прячется в туалет, где уже сидит спрятавшийся грабитель. Жена решает подождать мужа. Он пытается выпроводить жену. Она подозревает, что в туалете прячется любовница, но оттуда выходит грабитель, вынужденный представиться ей “директором”, как, наверное, он представился в туалете любовнице зам. директора. Сначала уходит жена, получив в подарок шубу любовницы. Потом уходит любовница, получив в подарок новую шубу. Наконец-то зам. директора и грабитель остаются одни. Зам. директора признается, что он весь в долгах и хочет списать их под грабеж. Грабитель собирается уходить - он ничем не может помочь ему. Зам. директора предупреждает, что утром вызовет милицию - кругом отпечатки пальцев, касса взломана. Грабитель решает не ждать до утра и свистит в свисток. Появляется инспектор. Грабитель заявляет ему, что была попытка ограбления, а грабитель - он. Прибегает любовница, которая узнает, что “директор”, на самом деле грабитель. Она тут же возвращается к зам. директору. Затем прибегает жена. Она возмущена, что застукала мужа с любовницей. Инспектор совершенно запутан. Он вопрошает, кто же все-таки виноват? Все убеждают его, что виноват автор, написавший эту пьесу.</t>
        </is>
      </c>
      <c r="L7043" s="2" t="inlineStr">
        <is>
          <t>https://www.kino-teatr.ru/teatr/movie/4665/annot/</t>
        </is>
      </c>
      <c r="M7043" s="2">
        <f>HYPERLINK("https://ru.wikipedia.org/w/index.php?search=%D0%9E%D0%B3%D1%80%D0%B0%D0%B1%D0%BB%D0%B5%D0%BD%D0%B8%D0%B5%20%D0%B2%20%D0%BF%D0%BE%D0%BB%D0%BD%D0%BE%D1%87%D1%8C%201978%20%D1%84%D0%B8%D0%BB%D1%8C%D0%BC","искать")</f>
        <v/>
      </c>
      <c r="N7043" s="3" t="n"/>
      <c r="O7043" s="2" t="n"/>
      <c r="P7043" s="2" t="n"/>
    </row>
    <row r="7044">
      <c r="A7044" s="2" t="n">
        <v>7043</v>
      </c>
      <c r="B7044" s="2" t="inlineStr"/>
      <c r="C7044" s="2" t="n">
        <v>7342</v>
      </c>
      <c r="D7044" s="3" t="inlineStr">
        <is>
          <t>Визит к Минотавру</t>
        </is>
      </c>
      <c r="E7044" s="2" t="n">
        <v>1987</v>
      </c>
      <c r="F7044" s="2" t="inlineStr">
        <is>
          <t>телефильм</t>
        </is>
      </c>
      <c r="G7044" s="2" t="inlineStr">
        <is>
          <t>Центральная киностудия детских и юношеских фильмов имени М. Горького; Первое творческое объединение</t>
        </is>
      </c>
      <c r="H7044" s="2" t="n">
        <v>2173</v>
      </c>
      <c r="I7044" s="2" t="inlineStr"/>
      <c r="J7044" s="2" t="inlineStr"/>
      <c r="K7044" s="3" t="inlineStr">
        <is>
          <t>В сериале две сюжетные линии. Одна из них протекает в СССР в 1986 году, другая — в Италии XVII—XVIII веков, во времена, когда жил и творил выдающийся скрипичный мастер Антонио Страдивари.
Следователю прокуратуры Станиславу Павловичу Тихонову поручают расследовать кражу в квартире прославленного музыканта — скрипача, народного артиста СССР Льва Иосифовича Полякова. Преступление выглядело бы банальной кражей со взломом, если бы не пропажа легендарной скрипки Страдивари «Санта-Мария». В ходе расследования выясняется, что похищение скрипки и было главной целью злоумышленников, а личные вещи хозяина квартиры «прихватил» один из второстепенных участников преступления. Теперь уникальная скрипка может покинуть пределы СССР.
В ходе следствия Тихонов наталкивается на активное сопротивление преступников. Расследование постоянно пытаются сбить с верного пути, бросая тень подозрения на бывшего друга Полякова, когда-то подававшего надежды скрипача, а ныне сотрудника серпентария Павла Петровича Иконникова. Давняя история дружбы и соперничества Иконникова и Полякова становится ключом к разгадке преступления.
Параллельным сюжетом изложена жизнь Антонио Страдивари. Годы юности и ученичества у великого Николо Амати в Кремоне. Затем Антонио женится, открывает собственную мастерскую. Талантом, но прежде всего своим тяжёлым ежедневным трудом, мастер добился признания своих инструментов во всей Европе. По сюжету, похищенную у Полякова скрипку «Санта-Мария» с её мощным и радостным звучанием, Страдивари создал к собственной свадьбе. В фильме показана драма Страдивари-отца и Страдивари-мастера, который пытался передать сыновьям секреты мастерства и привить любовь к делу своей жизни, но не преуспел в этом. Духовным преемником Страдивари становится Джузеппе Гварнери (Дель-Джезу́).
Название сериала отсылает к древнегреческому мифу о Минотавре — чудовище с телом человека и головой быка, обитающем в подземном лабиринте острова Крит. Философско-психологический подтекст фильма построен на идее сопротивления человека своему «внутреннему Минотавру» — жадности, зависти, злобе. «Минотавр» зависти к гению, пожирающий преступника, толкает его на похищение бесценной скрипки.</t>
        </is>
      </c>
      <c r="L7044" s="2" t="inlineStr">
        <is>
          <t>https://ru.wikipedia.org/w/index.php?title=%D0%92%D0%B8%D0%B7%D0%B8%D1%82_%D0%BA_%D0%9C%D0%B8%D0%BD%D0%BE%D1%82%D0%B0%D0%B2%D1%80%D1%83&amp;oldid=155195096</t>
        </is>
      </c>
      <c r="M7044" s="2">
        <f>HYPERLINK("https://ru.wikipedia.org/w/index.php?search=%D0%92%D0%B8%D0%B7%D0%B8%D1%82%20%D0%BA%20%D0%9C%D0%B8%D0%BD%D0%BE%D1%82%D0%B0%D0%B2%D1%80%D1%83%201987%20%D1%84%D0%B8%D0%BB%D1%8C%D0%BC","искать")</f>
        <v/>
      </c>
      <c r="N7044" s="3" t="n"/>
      <c r="O7044" s="2" t="n"/>
      <c r="P7044" s="2" t="n"/>
    </row>
    <row r="7045">
      <c r="A7045" s="2" t="n">
        <v>7044</v>
      </c>
      <c r="B7045" s="2" t="inlineStr"/>
      <c r="C7045" s="2" t="n">
        <v>7352</v>
      </c>
      <c r="D7045" s="3" t="inlineStr">
        <is>
          <t>Водитель автобуса</t>
        </is>
      </c>
      <c r="E7045" s="2" t="n">
        <v>1983</v>
      </c>
      <c r="F7045" s="2" t="inlineStr">
        <is>
          <t>телефильм</t>
        </is>
      </c>
      <c r="G7045" s="2" t="n"/>
      <c r="H7045" s="2" t="n">
        <v>2178</v>
      </c>
      <c r="I7045" s="2" t="inlineStr"/>
      <c r="J7045" s="2" t="inlineStr"/>
      <c r="K7045" s="3" t="inlineStr">
        <is>
          <t>Действие происходит в Белорусской ССР 22 июня 1982 года. Водитель междугородного автобуса, сорокасемилетний мужчина, ведёт свой «Икарус-250.58» с пассажирами по маршруту Минск — Брест. По пути он предаётся воспоминаниям о своём детстве, которое проходило во время войны. Он вспоминает, как погиб его отец — батальонный комиссар, как немецкие солдаты забрали и убили его мать, как колонны с беженцами и отступающими красноармейцами шли на Восток, как их бомбили немецкие самолёты. Вспоминает он и своего деда Кирилла, который, будучи старостой при немцах, выполнял задания партизан, но потом, не вынеся издевательств немцев над мирным населением, геройски погиб в стычке с карательным отрядом. Автобус при этом едет по местам, где водитель провёл всю войну, а потом долгое время жил.
Один из пассажиров, будучи рабочим на Севере, везёт в багажном отделении чемодан с заработанной немалой суммой (38 тысяч рублей). В связи с этим за автобусом следят бандиты на белой «Волге», а один из них является пассажиром этого автобуса. Вскоре сюжет фильма начинает разворачиваться в духе настоящего детектива.
Поздно вечером во время следования одному из пассажиров автобуса (профессору в возрасте, которого играет А. Масюлис) становится плохо — у него случается прободная язва. Его отвозят в ближайшую больницу. Водитель автобуса после этого узнаёт в одной из пассажирок Ядвигу Яновну, медсестру партизанского отряда (а ныне — врача крупной больницы, в которой он находился после смерти своей матери). Кроме того, в войну он спас её от смерти, когда убил немецкого солдата. Автобус едет далее, через некоторое время один из бандитов, ехавший в автобусе, выходит из салона, и вскоре бандиты под видом контрольно-ревизорской службы останавливают автобус, после чего отбирают чемодан с деньгами у пассажира с Севера и, оглушив водителя, уезжают.
Водитель с помощью одного из пассажиров — молодого лейтенанта-танкиста, только что окончившего училище и получившего отпуск перед отправкой на службу на Крайний Север, — догоняет «Волгу» с преступниками, таранит и опрокидывает её автобусом, и вместе они обезвреживают банду.
Виктор Тарасов исполнил в фильме две роли: водителя и его деда Кирилла.</t>
        </is>
      </c>
      <c r="L7045" s="2" t="inlineStr">
        <is>
          <t>https://ru.wikipedia.org/w/index.php?title=%D0%92%D0%BE%D0%B4%D0%B8%D1%82%D0%B5%D0%BB%D1%8C_%D0%B0%D0%B2%D1%82%D0%BE%D0%B1%D1%83%D1%81%D0%B0_%28%D1%84%D0%B8%D0%BB%D1%8C%D0%BC%29&amp;oldid=150350888</t>
        </is>
      </c>
      <c r="M7045" s="2">
        <f>HYPERLINK("https://ru.wikipedia.org/w/index.php?search=%D0%92%D0%BE%D0%B4%D0%B8%D1%82%D0%B5%D0%BB%D1%8C%20%D0%B0%D0%B2%D1%82%D0%BE%D0%B1%D1%83%D1%81%D0%B0%201983%20%D1%84%D0%B8%D0%BB%D1%8C%D0%BC","искать")</f>
        <v/>
      </c>
      <c r="N7045" s="3" t="n"/>
      <c r="O7045" s="2" t="n"/>
      <c r="P7045" s="2" t="n"/>
    </row>
    <row r="7046">
      <c r="A7046" s="2" t="n">
        <v>7045</v>
      </c>
      <c r="B7046" s="2" t="inlineStr"/>
      <c r="C7046" s="2" t="n">
        <v>9467</v>
      </c>
      <c r="D7046" s="3" t="inlineStr">
        <is>
          <t>Мёд осы</t>
        </is>
      </c>
      <c r="E7046" s="2" t="n">
        <v>1991</v>
      </c>
      <c r="F7046" s="2" t="inlineStr">
        <is>
          <t>кинофильм</t>
        </is>
      </c>
      <c r="G7046" s="2" t="n"/>
      <c r="H7046" s="2" t="n">
        <v>2179</v>
      </c>
      <c r="I7046" s="2" t="inlineStr"/>
      <c r="J7046" s="2" t="inlineStr"/>
      <c r="K7046" s="3" t="inlineStr">
        <is>
          <t>Первые воспоминания Бориса относятся к марту 1948 года, когда он с братом Глебом, гуляя по окрестностям маленького белорусского городка, угодил головой в осиный рой. Прибежал отец, подхватил его на руки и отнёс домой. Доктор прописал постельный режим и пожелал быстрей поправляться. Всплывают ранние воспоминания: два маленьких мальчика в пальто и валенках, закутанные платками, перед заколачиваемой людьми в форме дверью их дома. Отец пьет в одиночестве и как может, старается прокормить двух сыновей. Однажды они едут на базар в соседний город на машине папиного друга Ростика. По пути на них нападают бандиты из близлежащего леса. Подстрелив водителя, вдоволь поиздевавшись над отцом и сильно напугав мальчишек, они убрались восвояси. С тех пор дядя Ростик стал инвалидом и передвигался на костылях. Праздничный звон колоколов, принарядившиеся отец и мальчики идут к городской тюрьме. Женщину выпускают за ворота тюрьмы. Мальчики бросаются к ней: «Мама!». Начинается счастливая жизнь. Отец перестает пить. Шумные праздники в семье вместе с друзьями родителей, походы в цирк всей семьей, игры во дворе, походы на речку. Время от времени жизнь омрачается, и печальные события врезаются в память: гибель птицы от рогатки жестоких мальчишек, разделка овцы соседом, похороны папиного друга Ростика. «Это смерть»,- говорит отец. Боря пугается и сбегает в собор, где видит ангела, сочувствующего, что жизнь повернулась к мальчишке темной стороной. Боря с мамой и братом уезжают из родного городка. Смерть Сталина. Слезы простых людей, а из рупора слова восхваления вождя народов. Потом первый класс и учительская муштра: встать, сесть, руки на стол. Боря, как пленный, поднимает ручонки. Все смеются. Он сжимает кулачки и из них вылетают воображаемые осы. Учительница пугается. Борис уже взрослый. На железнодорожной платформе грузят вещи. Он уезжает из Минска навсегда, и перед окнами вагона проплывают фигуры людей из его детства. А вот он и сам маленький с родителями и братом стоит на платформе. Взрослеет человек в пути…Париж, Монмартр. Борис разговаривает с другом-художником, а вокруг привычная толпа туристов. Но его мысли продолжают возвращаться на далёкую и любимую Родину.</t>
        </is>
      </c>
      <c r="L7046" s="2" t="inlineStr">
        <is>
          <t>https://gosfilmofond.ru/films/232384/</t>
        </is>
      </c>
      <c r="M7046" s="2">
        <f>HYPERLINK("https://ru.wikipedia.org/w/index.php?search=%D0%9C%D1%91%D0%B4%20%D0%BE%D1%81%D1%8B%201991%20%D1%84%D0%B8%D0%BB%D1%8C%D0%BC","искать")</f>
        <v/>
      </c>
      <c r="N7046" s="3" t="n"/>
      <c r="O7046" s="2" t="n"/>
      <c r="P7046" s="2" t="n"/>
    </row>
    <row r="7047">
      <c r="A7047" s="2" t="n">
        <v>7046</v>
      </c>
      <c r="B7047" s="2" t="inlineStr"/>
      <c r="C7047" s="2" t="n">
        <v>8936</v>
      </c>
      <c r="D7047" s="3" t="inlineStr">
        <is>
          <t>По ком тюрьма плачет...</t>
        </is>
      </c>
      <c r="E7047" s="2" t="n">
        <v>1991</v>
      </c>
      <c r="F7047" s="2" t="inlineStr">
        <is>
          <t>кинофильм</t>
        </is>
      </c>
      <c r="G7047" s="2" t="n"/>
      <c r="H7047" s="2" t="n">
        <v>2183</v>
      </c>
      <c r="I7047" s="2" t="inlineStr"/>
      <c r="J7047" s="2" t="inlineStr"/>
      <c r="K7047" s="3" t="inlineStr">
        <is>
          <t>1961 год, заседание советского суда в маленьком городке. Судят двоих воров, которые похищали вещи с использованием громоздкого чемодана. Их просят показать, как они действовали. Тщедушный вор забирается в чемодан. Его подельник, разбив окно, выбрасывает чемодан на улицу и сам выпрыгивает вслед со второго этажа. 1991 год. Развалины музыкальной школы, на ремонт которой нет денег. Учителя-музыканты трудятся на тарной фабрике вместе со своим директором. Директор школы Гия Бабурин получает телеграмму с сообщением, что его двоюродный дедушка умер и оставил ему дом на Лазурном берегу. Музыканты коллективно решают дом продать, а деньги направить на ремонт школы. Гия отправляется в указанное в телеграмме место. Оказывается, «Лазурный берег» - название местечка на крайнем севере, а его дед, бывший вор Ефрем Ефремович, оставил ему чум и огромный пустой чемодан. Именно в чемодане все богатство Гии, утверждают местные жители. Вслед за Гией увязалась молоденькая северянка Маша, которая просит его увезти её с севера в чемодане. В самолете в багажном отделении она заполняет свой большой чемодан вещами пассажиров и на материке преображается в нарядную городскую дамочку. Случайно услышав, что одни из богатых пассажиров братья Хасабы перевозят в Одессу ворованные на приисках слитки золота, Маша уговаривает Гию лететь с ними самолетом. У неё план изъять золото из багажа бандитов, спрятавшись в чемодане, что она с успехом делает. В Одессе бандиты с пристрастием допрашивают служащих аэропорта, и один из них вспоминает о подозрительном огромном чемодане, который при посадке Гия упорно проталкивали вслед за чемоданом бандитов. Разговор слышит Пудов – бывший вор-напарник Ефрема Ефреемовича. Он понимает, что Гия – внук его компаньона и прячет Гию и Машу в своей лачуге на берегу моря. Но бандиты выслеживают их и приезжают к домику Пудова. Здесь их и Гию захватывает милиция. Маша, спрятавшись в чемодане, избегает ареста. Через несколько лет Гия выходит из тюрьмы. Его ждёт Маша. Они возвращаются в город Гии. Музыкальную школу, наконец, отремонтировали, но для бывшего заключенного нет места в штате. Маша зовёт Гию на Север, и они летят туда открывать новую музыкальную школу.</t>
        </is>
      </c>
      <c r="L7047" s="2" t="inlineStr">
        <is>
          <t>https://gosfilmofond.ru/films/232404/</t>
        </is>
      </c>
      <c r="M7047" s="2">
        <f>HYPERLINK("https://ru.wikipedia.org/w/index.php?search=%D0%9F%D0%BE%20%D0%BA%D0%BE%D0%BC%20%D1%82%D1%8E%D1%80%D1%8C%D0%BC%D0%B0%20%D0%BF%D0%BB%D0%B0%D1%87%D0%B5%D1%82...%201991%20%D1%84%D0%B8%D0%BB%D1%8C%D0%BC","искать")</f>
        <v/>
      </c>
      <c r="N7047" s="3" t="n"/>
      <c r="O7047" s="2" t="n"/>
      <c r="P7047" s="2" t="n"/>
    </row>
    <row r="7048">
      <c r="A7048" s="2" t="n">
        <v>7047</v>
      </c>
      <c r="B7048" s="2" t="inlineStr"/>
      <c r="C7048" s="2" t="n">
        <v>7531</v>
      </c>
      <c r="D7048" s="3" t="inlineStr">
        <is>
          <t>Долгие вёрсты войны</t>
        </is>
      </c>
      <c r="E7048" s="2" t="n">
        <v>1975</v>
      </c>
      <c r="F7048" s="2" t="inlineStr">
        <is>
          <t>телефильм</t>
        </is>
      </c>
      <c r="G7048" s="2" t="inlineStr">
        <is>
          <t>Беларусьфильм. Творческое объединение «Телефильм»</t>
        </is>
      </c>
      <c r="H7048" s="2" t="n">
        <v>2184</v>
      </c>
      <c r="I7048" s="2" t="inlineStr"/>
      <c r="J7048" s="2" t="inlineStr"/>
      <c r="K7048" s="3" t="inlineStr">
        <is>
          <t>Фильм рассказывает о трёх боевых эпизодах в ходе Великой Отечественной войны: в первые месяцы войны 1941 года, в 1943 году, в завершающей фазе войны 1945.
Фильм 1: «Журавлиный крик».
Лето 1941 года. По дороге идут остатки батальона РККА. На «Эмке» им встречается командир дивизии. Он ставит батальону непосильную задачу: занять оборону на станции и удержать её. Чтобы выполнить этот приказ, командир батальона отправляет второй взвод, состоящий только из четырёх бойцов и командира, прикрывать фланг. В усиление им он даёт бойца по фамилии Свист спротивотанковым ружьём (Александр Вдовин). Бойцы должны продержаться у железнодорожного полотна сутки.
Взвод окапывается на выбранной позиции. Вскоре в их тылу завязывается бой, затем звуки боя удаляются. Бойцы понимают, что их батальон отошёл или полностью уничтожен. Теперь они остались одни, всего шестеро, и должны продержаться целые сутки. После отражения двух немецких атак в живых остался только Климчук, который готовится к очередному, возможно, своему последнему бою под журавлиный крик.
Фильм 2: «Атака с ходу».
Март 1943 года. На марше рота РККА старшего лейтенанта Ананьева. Солдат Кривошеев докладывает, что недалеко на горке немцы роют укрепления. Ананьев решает взять эту высоту с ходу, пока немцы там не укрепились. В результате короткого ночного боя рота РККА занимает немецкие окопы, но утром гитлеровцы неожиданно атакуют, и роте приходится отступить — но уже послано донесение советскому командованию о взятии высоты, тогда рота снова и снова идёт в самоубийственную атаку.
Фильм 3: «На восходе солнца».
Май 1945 года. Берлин уже взят. Происходит невероятное: Климчук и Ананьев встречаются и узнают друг друга. Они вместе с несколькими офицерами вынуждены задержаться и заночевать на немецкой вилле. Здесь они узнают о конце войны и капитуляции Германии. Утром старший лейтенант Петров у реки замечает автоколонну немцев. Он пытается сообщить им о капитуляции, но они его убивают. На вилле слышат выстрелы. Сержант Орлов предлагает пропустить колонну немцев, видимо направляющихся к американцам, но Климчук возражает: «А если они нашим в тыл ударят?». Тогда начинается бой — в живых остаются только Ананьев и Климчук.</t>
        </is>
      </c>
      <c r="L7048" s="2" t="inlineStr">
        <is>
          <t>https://ru.wikipedia.org/w/index.php?title=%D0%94%D0%BE%D0%BB%D0%B3%D0%B8%D0%B5_%D0%B2%D1%91%D1%80%D1%81%D1%82%D1%8B_%D0%B2%D0%BE%D0%B9%D0%BD%D1%8B&amp;oldid=153967090</t>
        </is>
      </c>
      <c r="M7048" s="2">
        <f>HYPERLINK("https://ru.wikipedia.org/w/index.php?search=%D0%94%D0%BE%D0%BB%D0%B3%D0%B8%D0%B5%20%D0%B2%D1%91%D1%80%D1%81%D1%82%D1%8B%20%D0%B2%D0%BE%D0%B9%D0%BD%D1%8B%201975%20%D1%84%D0%B8%D0%BB%D1%8C%D0%BC","искать")</f>
        <v/>
      </c>
      <c r="N7048" s="3" t="n"/>
      <c r="O7048" s="2" t="n"/>
      <c r="P7048" s="2" t="n"/>
    </row>
    <row r="7049">
      <c r="A7049" s="2" t="n">
        <v>7048</v>
      </c>
      <c r="B7049" s="2" t="inlineStr"/>
      <c r="C7049" s="2" t="n">
        <v>7667</v>
      </c>
      <c r="D7049" s="3" t="inlineStr">
        <is>
          <t>И это всё о нём</t>
        </is>
      </c>
      <c r="E7049" s="2" t="n">
        <v>1977</v>
      </c>
      <c r="F7049" s="2" t="inlineStr">
        <is>
          <t>телефильм</t>
        </is>
      </c>
      <c r="G7049" s="2" t="n"/>
      <c r="H7049" s="2" t="n">
        <v>2185</v>
      </c>
      <c r="I7049" s="2" t="inlineStr"/>
      <c r="J7049" s="2" t="inlineStr"/>
      <c r="K7049" s="3" t="inlineStr">
        <is>
          <t>В сибирском посёлке лесозаготовителей при неясных обстоятельствах погибает работник лесопункта, комсомольский активист Евгений Столетов. Смерть предположительно могла наступить в результате неудачного прыжка с железнодорожной платформы, на которой ехал Столетов. Также не исключается, что он был сброшен недавно освободившимся из мест заключения Аркадием Заварзиным, с которым у Столетова были конфликтные отношения.
Столетов был яркой, неординарной личностью, его смерть не даёт покоя обитателям посёлка. Старший инспектор уголовного розыска, капитан милиции Александр Матвеевич Прохоров (Евгений Леонов), командированный в Кедровку из областного уголовного розыска для расследования этого происшествия, выясняет, что мастер лесозаготовок Гасилов организовал махинации с нормами выработки, что давало лесорубам возможность значительно перевыполнять норму и, соответственно, получать неоправданно высокую зарплату. Столетов, как честный человек и как секретарь местной первичной комсомольской организации, при поддержке своих друзей, решил выяснить суть махинаций, когда комсомольцы бригады во главе со Столетовым объявили «забастовку наоборот» — выполняя план на 250—300 %, они наглядно показали, насколько искусственно занижены сменные задания.
Ситуация осложнилась тем, что Евгений влюблён в дочь Гасилова Людмилу. Отец Людмилы, понимая, что с мужем-правдолюбцем семейная жизнь будет неустроенной, фактически запретил дочери связывать судьбу с Евгением, убедительно объяснив, сколь тяжёлой будет совместная с ним жизнь. Гасилов пытается убедить дочь в том, что замужество с Петуховым, бесконфликтным и покладистым человеком, будет лучшим выбором.
Разобравшись во всех подробностях последних месяцев жизни Столетова, капитан Прохоров полностью восстанавливает последовательность событий. Заварзин и Столетов возвращались с работы на одной платформе. Гасилов ненароком сообщил Заварзину, что его дочь выходит замуж за Петухова. Заварзин передал новость о предстоящем замужестве Столетову, парень в отчаянии решил срочно встретиться с Людмилой и прыгнул на ходу. Формально произошёл несчастный случай. Тем не менее Прохоров привлекает внимание местных партийных органов к происшествию.</t>
        </is>
      </c>
      <c r="L7049" s="2" t="inlineStr">
        <is>
          <t>https://ru.wikipedia.org/w/index.php?title=%D0%98_%D1%8D%D1%82%D0%BE_%D0%B2%D1%81%D1%91_%D0%BE_%D0%BD%D1%91%D0%BC_%28%D1%84%D0%B8%D0%BB%D1%8C%D0%BC%29&amp;oldid=154061343</t>
        </is>
      </c>
      <c r="M7049" s="2">
        <f>HYPERLINK("https://ru.wikipedia.org/w/index.php?search=%D0%98%20%D1%8D%D1%82%D0%BE%20%D0%B2%D1%81%D1%91%20%D0%BE%20%D0%BD%D1%91%D0%BC%201977%20%D1%84%D0%B8%D0%BB%D1%8C%D0%BC","искать")</f>
        <v/>
      </c>
      <c r="N7049" s="3" t="n"/>
      <c r="O7049" s="2" t="n"/>
      <c r="P7049" s="2" t="n"/>
    </row>
    <row r="7050">
      <c r="A7050" s="2" t="n">
        <v>7049</v>
      </c>
      <c r="B7050" s="2" t="inlineStr"/>
      <c r="C7050" s="2" t="n">
        <v>8991</v>
      </c>
      <c r="D7050" s="3" t="inlineStr">
        <is>
          <t>Прощай, Америка!</t>
        </is>
      </c>
      <c r="E7050" s="2" t="n">
        <v>1951</v>
      </c>
      <c r="F7050" s="2" t="inlineStr">
        <is>
          <t>кинофильм</t>
        </is>
      </c>
      <c r="G7050" s="2" t="n"/>
      <c r="H7050" s="2" t="n">
        <v>2188</v>
      </c>
      <c r="I7050" s="2" t="inlineStr"/>
      <c r="J7050" s="2" t="inlineStr"/>
      <c r="K7050" s="3" t="inlineStr">
        <is>
          <t>Действие начинается в 1945 году. Молодая американская журналистка Анна Бэдфорд, родившаяся в фермерской семье из Пенсильвании, получает направление на работу в посольстве США в СССР. Она приезжает в Москву в дни празднования победы во Второй мировой войне. Во время торжеств на Красной площади Анна знакомится с профессором Громовым, который приглашает её к себе домой. Руководство посольства требует, чтобы она использовала это знакомство для сбора разведывательной информации.
Проходит год. Начинается новое мирное время. В посольство приезжает новый посол, генерал разведки Уолтер Скотт. Его первый же приказ гласит, что отныне весь персонал посольства должен быть занят разведкой и антисоветской деятельностью:
Мир — это небольшое время, отпущенное нам в связи с проведением подготовки к новой войне, которая должна утвердить во всём мире американский образ жизни.
Методы работы коллег с первого дня не нравятся Анне. Собранные ею в ходе поездки сведения об Армении и Украине переиначиваются и перевираются. В атмосфере лжи и подозрительности она находит только одного единомышленника — Арманда Хауорда, начальника отдела информации посольства. Честного и неподкупного Хауорда, не желающего искажать действительность в угоду пропагандистским интересам, отзывают из Москвы в Вашингтон. В этот же момент Бэдфорд узнаёт о смерти матери и вместе с Армандом возвращается домой. Хауорд вызван в суд, но его оправдывают. Сразу после оправдательного приговора в баре его убивают неизвестные.
Бэдфорд вызывают обратно в Москву и поручают написать книгу по заранее сфабрикованному материалу о несвободе в СССР и о том, что Хауорд был убит коммунистами. Бэдфорд не возвращается в посольство и становится перебежчицей. В посольстве из-за её исчезновения начинается настоящая паника.
На этом отснятые материалы заканчиваются. В дальнейшем, согласно сценарию, Анна Бэдфорд становится гражданкой СССР и пишет совершенно иную книгу, разоблачающую деятельность американских дипломатов. В Советском Союзе она находит новую родину, где может спокойно трудиться и творить. Финал должен был перекликаться с картиной «Цирк» — Анна идет по Красной площади в колонне демонстрантов, в день большого праздника.</t>
        </is>
      </c>
      <c r="L7050" s="2" t="inlineStr">
        <is>
          <t>https://ru.wikipedia.org/w/index.php?title=%D0%9F%D1%80%D0%BE%D1%89%D0%B0%D0%B9%2C_%D0%90%D0%BC%D0%B5%D1%80%D0%B8%D0%BA%D0%B0%21&amp;oldid=154869903</t>
        </is>
      </c>
      <c r="M7050" s="2">
        <f>HYPERLINK("https://ru.wikipedia.org/w/index.php?search=%D0%9F%D1%80%D0%BE%D1%89%D0%B0%D0%B9%2C%20%D0%90%D0%BC%D0%B5%D1%80%D0%B8%D0%BA%D0%B0%21%201951%20%D1%84%D0%B8%D0%BB%D1%8C%D0%BC","искать")</f>
        <v/>
      </c>
      <c r="N7050" s="3" t="n"/>
      <c r="O7050" s="2" t="n"/>
      <c r="P7050" s="2" t="n"/>
    </row>
    <row r="7051">
      <c r="A7051" s="2" t="n">
        <v>7050</v>
      </c>
      <c r="B7051" s="2" t="inlineStr"/>
      <c r="C7051" s="2" t="n">
        <v>9480</v>
      </c>
      <c r="D7051" s="3" t="inlineStr">
        <is>
          <t>Муж и дочь Тамары Александровны</t>
        </is>
      </c>
      <c r="E7051" s="2" t="n">
        <v>1988</v>
      </c>
      <c r="F7051" s="2" t="inlineStr">
        <is>
          <t>кинофильм</t>
        </is>
      </c>
      <c r="G7051" s="2" t="n"/>
      <c r="H7051" s="2" t="n">
        <v>2191</v>
      </c>
      <c r="I7051" s="2" t="inlineStr"/>
      <c r="J7051" s="2" t="inlineStr"/>
      <c r="K7051" s="3" t="inlineStr">
        <is>
          <t>Тамара Александровна и её муж Валерий разошлись и живут на разных этажах одного подъезда. Тамару Александровну увозят в больницу с диагнозом перитонит, их тринадцатилетней дочери Кате приходится жить у отца. Отец заходит в школу, чтобы помочь Кате решить проблемы с учительницей физкультуры. Выясняется, что они бывшие одноклассники, и что Тамара Александровна была у них учителем французского. Валерий и Тамара поженились, когда он учился в 10-м классе.
Катя влюблена в старшеклассника Федю. У Феди уже есть ребёнок от цыганки, которая его за мужчину не считает и к ребёнку не допускает. Кате приходят анонимные письма, от Е. Е.: «Здравствуй, мой незнакомый друг…». Катя устраивает вечеринку в квартире отца со своими одноклассниками, куда на час принопят ребёнка Феди.
Соседка Тамары Александровны по коммуналке сообщает Валере и Кате, что никакого перитонита у Тамары Александровны нет, она просто устала и притворилась, чтобы отдохнуть от семьи. Скоро выписка. Катя с отцом ждут маму, встречая Новый год, назло ей стараясь показать, как им без неё хорошо. Мать выходит из больницы, но не приходит к ним. Катя по-прежнему живёт у отца, ей продолжают приходить письма от Е. Е., теперь в них уже объяснения в любви.
Федя клянчит у цыганки продолжения романа. Катя готова на всё ради Феди. Он требует доказательств и назначает ей интимное свидание. Вечером этого дня отец просит Катю идти жить к матери, он устал, Катя ему мешает. Теперь Кате больше не с кем поделиться своим решением и предстоящим событием, она всю ночь плачет. На следующий день Катя, сомневаясь и переживая, в последний момент всё-таки сбегает со свидания, не зная, что Федя едет к ней с двумя друзьями. Валера по пути с работы высказывает своему другу мысль (про Катю): «Почему же, чтобы понять, как сильно любишь человека, нужно его обидеть». Его встречают Федя с друзьями. Обозлённые, что Катя их обманула, они мстят ему, как отцу, и избивают почти до смерти.
Катя едет с незнакомцем на фуре к Е. Е. Приехав, она знакомится с местным одиноким мальчишкой, и они вместе сидят под проходящим поездом и орут, что есть сил. Мальчик мимоходом рассказывает Кате, что Е. Е., оказывается, «всем пишет». Валера лежит в больнице.</t>
        </is>
      </c>
      <c r="L7051" s="2" t="inlineStr">
        <is>
          <t>https://ru.wikipedia.org/w/index.php?title=%D0%9C%D1%83%D0%B6_%D0%B8_%D0%B4%D0%BE%D1%87%D1%8C_%D0%A2%D0%B0%D0%BC%D0%B0%D1%80%D1%8B_%D0%90%D0%BB%D0%B5%D0%BA%D1%81%D0%B0%D0%BD%D0%B4%D1%80%D0%BE%D0%B2%D0%BD%D1%8B&amp;oldid=154557780</t>
        </is>
      </c>
      <c r="M7051" s="2">
        <f>HYPERLINK("https://ru.wikipedia.org/w/index.php?search=%D0%9C%D1%83%D0%B6%20%D0%B8%20%D0%B4%D0%BE%D1%87%D1%8C%20%D0%A2%D0%B0%D0%BC%D0%B0%D1%80%D1%8B%20%D0%90%D0%BB%D0%B5%D0%BA%D1%81%D0%B0%D0%BD%D0%B4%D1%80%D0%BE%D0%B2%D0%BD%D1%8B%201988%20%D1%84%D0%B8%D0%BB%D1%8C%D0%BC","искать")</f>
        <v/>
      </c>
      <c r="N7051" s="3" t="n"/>
      <c r="O7051" s="2" t="n"/>
      <c r="P7051" s="2" t="n"/>
    </row>
    <row r="7052">
      <c r="A7052" s="2" t="n">
        <v>7051</v>
      </c>
      <c r="B7052" s="2" t="inlineStr"/>
      <c r="C7052" s="2" t="n">
        <v>8708</v>
      </c>
      <c r="D7052" s="3" t="inlineStr">
        <is>
          <t>Дом под звёздным небом</t>
        </is>
      </c>
      <c r="E7052" s="2" t="n">
        <v>1991</v>
      </c>
      <c r="F7052" s="2" t="inlineStr">
        <is>
          <t>кинофильм</t>
        </is>
      </c>
      <c r="G7052" s="2" t="inlineStr">
        <is>
          <t>Мосфильм; киностудия «Круг»</t>
        </is>
      </c>
      <c r="H7052" s="2" t="n">
        <v>2194</v>
      </c>
      <c r="I7052" s="2" t="inlineStr"/>
      <c r="J7052" s="2" t="inlineStr"/>
      <c r="K7052" s="3" t="inlineStr">
        <is>
          <t>В центре сюжета — семья крупного советского академика Башкирцева (Михаил Ульянов) (параллель с главным героем фильма «Укрощение огня»), преуспевающего учёного. Вернувшись из заграничной командировки, он обнаруживает за собой слежку. На его юбилей муж его дочери Константин приводит своего «товарища по Москонцерту» Валентина Компостерова (Александр Баширов), который ведёт себя крайне вызывающе. Взявшись показать фокус, он перепиливает супругу Константина, а затем, напившись, падает без чувств. На следующий день он заявляет, что не в состоянии теперь, когда «всё зарубцевалось», срастить две половины её тела. В дальнейшем Компостеров ведёт себя как настоящая «нечистая сила», принося в дом Башкирцева смерти и разорение. Башкирцев просит снабдить его охраной, и в его доме появляется всё больше милиционеров.
Дочь Башкирцева Ника (Мария Аниканова) встречает на Арбате юношу Тимофея, который играет на флейте и живёт в пустом ангаре, где строит из ворованных материалов воздушный шар. У них начинается роман.
После смерти и похорон академика, похищенного и замученного странными людьми (их действия пародируют стереотипы о тайных спецоперациях КГБ), его семья улетает в США, где живёт старший сын академика Борис. Ника остаётся, чтобы сделать какие-то дела. Компостеров появляется опять и, пригрозив Константину, оставшемуся в России, смертью, приезжает в дом. Тем не менее, о присутствии Ники Компостеров не знает. Когда он отъезжает за водкой, Константин, Ника и Тимофей сбегают на «Победе», и за ними тут же начинается погоня. Под перекрёстный огонь попадают умственно отсталый сантехник Жора и сам Компостеров, чей труп беглецы видят в изуродованной машине. Тем не менее, вскоре троица вновь сталкивается с Компостеровым, живым и невредимым; на этот раз его застрелил Константин, и якобы погибший монстр растворяется в воде. Когда Константин, Тимофей и Ника начинают подниматься на воздушном шаре, то вновь воскресший Компостеров убивает Костю лазерным лучом, но в конце концов Тимофею и Нике удаётся окончательно убить мерзавца, пристрелив его снова, спалив труп и помочившись на него. Они улетают на воздушном шаре как раз в тот момент, когда подъезжают КГБшники с целью захвата ребят.</t>
        </is>
      </c>
      <c r="L7052" s="2" t="inlineStr">
        <is>
          <t>https://ru.wikipedia.org/w/index.php?title=%D0%94%D0%BE%D0%BC_%D0%BF%D0%BE%D0%B4_%D0%B7%D0%B2%D1%91%D0%B7%D0%B4%D0%BD%D1%8B%D0%BC_%D0%BD%D0%B5%D0%B1%D0%BE%D0%BC&amp;oldid=151824806</t>
        </is>
      </c>
      <c r="M7052" s="2">
        <f>HYPERLINK("https://ru.wikipedia.org/w/index.php?search=%D0%94%D0%BE%D0%BC%20%D0%BF%D0%BE%D0%B4%20%D0%B7%D0%B2%D1%91%D0%B7%D0%B4%D0%BD%D1%8B%D0%BC%20%D0%BD%D0%B5%D0%B1%D0%BE%D0%BC%201991%20%D1%84%D0%B8%D0%BB%D1%8C%D0%BC","искать")</f>
        <v/>
      </c>
      <c r="N7052" s="3" t="n"/>
      <c r="O7052" s="2" t="n"/>
      <c r="P7052" s="2" t="n"/>
    </row>
    <row r="7053">
      <c r="A7053" s="2" t="n">
        <v>7052</v>
      </c>
      <c r="B7053" s="2" t="inlineStr"/>
      <c r="C7053" s="2" t="n">
        <v>7449</v>
      </c>
      <c r="D7053" s="3" t="inlineStr">
        <is>
          <t>Гончарный круг</t>
        </is>
      </c>
      <c r="E7053" s="2" t="n">
        <v>1973</v>
      </c>
      <c r="F7053" s="2" t="inlineStr">
        <is>
          <t>телефильм</t>
        </is>
      </c>
      <c r="G7053" s="2" t="n"/>
      <c r="H7053" s="2" t="n">
        <v>2201</v>
      </c>
      <c r="I7053" s="2" t="inlineStr"/>
      <c r="J7053" s="2" t="inlineStr"/>
      <c r="K7053" s="3" t="inlineStr">
        <is>
          <t>Тележурналисты, снимая репортажи из деревень Ярославской области, заезжают в деревню Пеньки снять сюжет о местном мастере-гончаре.
Этот мастер — простой русский крестьянин, колхозник Михаил Лукич Болотников, которому пошёл восьмой десяток. Переняв по наследству от деда и отца гончарное дело, он всю жизнь «ляпает горшки», с нежностью относится к своим изделиям, но даже не думает о том, что это произведения искусства. Известность пришла случайно, когда его кринки, молочники, глечики и кандейки каким-то образом попадали на выставки предметов художественного народного промысла.
Киноэкспедиция в отдалённой деревне, куда легковые машины-то никогда не заезжали, вызывает ажиотаж среди жителей. Михаил Лукич растерян вниманием к нему со стороны столичного телевидения. Первый съёмочный день оканчивается полной неудачей: перед объективом киноаппарата натруженные рабочие руки Лукича теряют свою уверенность.
И причина этому не страх кинокамеры: он много повидал на своём веку, совсем не просидел всю жизнь за гончарным кругом в своей деревне. Участник Гражданской войны, затем прошёл всю Великую Отечественную войну. Много тяжёлого, трудного, страшного выпало на его долю. Он смущён вниманием, оказанным лично ему. Человеку удивительной скромности, чистой и нежной души, это пристальное внимание кажется незаслуженным.
Молодой режиссёр понимает, что в его руках драгоценный материал, он отлично понимает и волнение старика, и со всей возможной чуткостью подводит его к съёмкам. Киноэкспедиция, рассчитывавшая лишь мимоходом заехать снять репортаж, на три дня остаётся в деревне.
На помощь Лукичу приходит и его друг дед Макар, рассказами о пережитых вместе трудностях доказывающий, что Лукича любят и ценят земляки, и он достоин быть героем телесюжета.
казалось бы, нехитрый сюжет фильма. Но именно эта простота сюжета и сделала работу над картиной крайне сложной. В фильме нет «самоигральных» моментов, которые смотрятся зрителями с захватывающим интересом даже при несовершенной работе актёров и режиссёра. Нет и сложной интриги, увлекающей зрителей. Три человека — старый мастер Лукич А. Файт, его друг Макар (С. Тихонов) и кинорежиссёр (Э. Марцевич). На их простых взаимоотношениях держится фильм.</t>
        </is>
      </c>
      <c r="L7053" s="2" t="inlineStr">
        <is>
          <t>https://ru.wikipedia.org/w/index.php?title=%D0%93%D0%BE%D0%BD%D1%87%D0%B0%D1%80%D0%BD%D1%8B%D0%B9_%D0%BA%D1%80%D1%83%D0%B3_%28%D1%84%D0%B8%D0%BB%D1%8C%D0%BC%29&amp;oldid=154693865</t>
        </is>
      </c>
      <c r="M7053" s="2">
        <f>HYPERLINK("https://ru.wikipedia.org/w/index.php?search=%D0%93%D0%BE%D0%BD%D1%87%D0%B0%D1%80%D0%BD%D1%8B%D0%B9%20%D0%BA%D1%80%D1%83%D0%B3%201973%20%D1%84%D0%B8%D0%BB%D1%8C%D0%BC","искать")</f>
        <v/>
      </c>
      <c r="N7053" s="3" t="n"/>
      <c r="O7053" s="2" t="n"/>
      <c r="P7053" s="2" t="n"/>
    </row>
    <row r="7054">
      <c r="A7054" s="2" t="n">
        <v>7053</v>
      </c>
      <c r="B7054" s="2" t="inlineStr"/>
      <c r="C7054" s="2" t="n">
        <v>9139</v>
      </c>
      <c r="D7054" s="3" t="inlineStr">
        <is>
          <t>Феофания, рисующая смерть</t>
        </is>
      </c>
      <c r="E7054" s="2" t="n">
        <v>1991</v>
      </c>
      <c r="F7054" s="2" t="inlineStr">
        <is>
          <t>кинофильм</t>
        </is>
      </c>
      <c r="G7054" s="2" t="n"/>
      <c r="H7054" s="2" t="n">
        <v>2205</v>
      </c>
      <c r="I7054" s="2" t="inlineStr"/>
      <c r="J7054" s="2" t="inlineStr"/>
      <c r="K7054" s="3" t="inlineStr">
        <is>
          <t>XI век. Деревня, часть жителей которой — язычники, а часть — уже христиане. Отношения между двумя частями общины нельзя назвать спокойными. Староста деревни язычник Григорий всячески насмехается над священником отцом Агафангелом, заявляет, что священник не мужчина, требует от него вступить в близкие отношения с женщинами. С другой стороны, Агафангел пытается обличать языческие обычаи жителей деревни.
Летом наступает пора языческого праздника во славу Перуна, сопровождающегося игрищами и сексуальной оргией. В это время прихожане собираются в церквушке. Одна из жительниц деревни, Анна, отказывается принимать участие в плотских утехах, и на следующей день её находят в лесу мёртвой. Девушка изнасилована, на её теле следы укусов. Жители деревни решают, что виновник смерти девушки — оборотень. Деревенская знахарка Феофания, с одной стороны, успешно готовит тело к погребению, скрывая раны (что вызывает у жителей деревни подозрение в колдовстве), с другой стороны — с помощью обрядов пытается узнать, что же произошло ночью. Григорий же решает, что пришествие оборотня связано с тем, что священник разозлил Перуна, и препятствует тому, чтобы Анну похоронили по христианскому обряду.
Следующей жертвой убийцы становится Людмила, родственница Григория. Григорий просит Феофанию подготовить тело к погребению, при этом не улучшать её внешность. Однако Феофания не прислушивается к совету старосты. В результате отец Агафангел обвиняет знахарку в колдовстве и требует расправы над ней. Сын Феофании Нестор находит на месте убийства оберег, который, скорее всего, принадлежит убийце. Знахарка просит у старосты помощи, при этом показывая ему оберег. Староста остаётся безмолвен — тогда Феофания понимает, что староста и есть убийца. Ради спасения своей шкуры Григорий встаёт на сторону священника и соглашается с тем, что Феофанию нужно сжечь. Толпа поджигает избу Феофании. Однако Нестору удается помочь матери выбраться через тайный лаз.
Нестор показывает Григорию оберег, который староста пытается отобрать у мальчика. В погоне за Нестором Григорий приходит в лес, где встречает живую Феофанию. От неожиданности он падает в волчью яму и погибает, пронзённый колом.
Феофания и Нестор уходят из посёлка.</t>
        </is>
      </c>
      <c r="L7054" s="2" t="inlineStr">
        <is>
          <t>https://ru.wikipedia.org/w/index.php?title=%D0%A4%D0%B5%D0%BE%D1%84%D0%B0%D0%BD%D0%B8%D1%8F%2C_%D1%80%D0%B8%D1%81%D1%83%D1%8E%D1%89%D0%B0%D1%8F_%D1%81%D0%BC%D0%B5%D1%80%D1%82%D1%8C&amp;oldid=155624420</t>
        </is>
      </c>
      <c r="M7054" s="2">
        <f>HYPERLINK("https://ru.wikipedia.org/w/index.php?search=%D0%A4%D0%B5%D0%BE%D1%84%D0%B0%D0%BD%D0%B8%D1%8F%2C%20%D1%80%D0%B8%D1%81%D1%83%D1%8E%D1%89%D0%B0%D1%8F%20%D1%81%D0%BC%D0%B5%D1%80%D1%82%D1%8C%201991%20%D1%84%D0%B8%D0%BB%D1%8C%D0%BC","искать")</f>
        <v/>
      </c>
      <c r="N7054" s="3" t="n"/>
      <c r="O7054" s="2" t="n"/>
      <c r="P7054" s="2" t="n"/>
    </row>
    <row r="7055">
      <c r="A7055" s="2" t="n">
        <v>7054</v>
      </c>
      <c r="B7055" s="2" t="inlineStr"/>
      <c r="C7055" s="2" t="n">
        <v>8349</v>
      </c>
      <c r="D7055" s="3" t="inlineStr">
        <is>
          <t>Сказка о Звёздном мальчике</t>
        </is>
      </c>
      <c r="E7055" s="2" t="n">
        <v>1983</v>
      </c>
      <c r="F7055" s="2" t="inlineStr">
        <is>
          <t>телефильм</t>
        </is>
      </c>
      <c r="G7055" s="2" t="inlineStr">
        <is>
          <t>Беларусьфильм</t>
        </is>
      </c>
      <c r="H7055" s="2" t="n">
        <v>2210</v>
      </c>
      <c r="I7055" s="2" t="inlineStr"/>
      <c r="J7055" s="2" t="inlineStr"/>
      <c r="K7055" s="3" t="inlineStr">
        <is>
          <t>Инопланетяне из далёкого созвездия, давно живущие рациональной жизнью и «освободившие» себя от чувств и эмоций, испытывают странное влияние неизвестной энергии. Этой энергией оказывается свет любви, исходящий от егеря с планеты Земля, наблюдающего за созвездием. Принимается решение послать на Землю ребёнка «последней модели» — будущего человека с холодным сердцем, ведь даже один такой человек может существенно ослабить излучение, тревожащее жителей мира без чувств.
Но, как оказалось, любовь матери мальчика к её сыну не угасла окончательно, и она отправляется вслед за ним на Землю. В этот момент егерь, всё ещё наблюдающий за небом, видит, как оттуда падает звезда, и на месте её падения находит мальчика и берёт к себе на воспитание.
Проходит 10 лет. Мать Звёздного мальчика, скитаясь в бесплодных поисках, превращается в нищенку. За это время мальчик вырастает очень красивым и способным, но чересчур самоуверенным и эгоистичным. Его называют Звездой, но вовсе не по происхождению, о котором долгое время никто не знает, кроме егеря и его друга, а из-за сияния его талантов и, конечно, удивительной красоты. Однажды гадалка прямо говорит ему, что он родился под другим солнцем и что мать ищет его.
Наконец, встретившись с матерью и увидев, что она — оборванная нищенка, Звезда отвергает её, а затем уходит из деревни, где вырос, чтобы найти свою настоящую мать. Однако тяготы пути, а более всего, новый друг Звезды — весёлый карлик — и история его жизни без матери, в лесу, вдали от людей, заставляют Звёздного мальчика по-новому взглянуть на то, что он совершил, раскаяться в своём поступке и теперь уже искать пусть нищенку, но именно ту, что искала его и приходила за ним.
В конце концов Звёздный мальчик отвергает красоту Инфанты ради своего неказистого друга, находит мать и даже готов пожертвовать собой, чтобы защитить её. Справедливый король, узнав о плохом поведении своей дочери, вмешивается в происходящее. Он приговаривает дочку к порке розгами, назначая ей 25 ударов, чтобы дать ей побывать на месте тех, кого унижала она. Инопланетяне, наблюдавшие за всем, что происходит со Звездой, уже настолько проникнуты живыми настоящими чувствами, что искренне плачут и радуются счастливому финалу.</t>
        </is>
      </c>
      <c r="L7055" s="2" t="inlineStr">
        <is>
          <t>https://ru.wikipedia.org/w/index.php?title=%D0%A1%D0%BA%D0%B0%D0%B7%D0%BA%D0%B0_%D0%BE_%D0%97%D0%B2%D1%91%D0%B7%D0%B4%D0%BD%D0%BE%D0%BC_%D0%BC%D0%B0%D0%BB%D1%8C%D1%87%D0%B8%D0%BA%D0%B5&amp;oldid=149187821</t>
        </is>
      </c>
      <c r="M7055" s="2">
        <f>HYPERLINK("https://ru.wikipedia.org/w/index.php?search=%D0%A1%D0%BA%D0%B0%D0%B7%D0%BA%D0%B0%20%D0%BE%20%D0%97%D0%B2%D1%91%D0%B7%D0%B4%D0%BD%D0%BE%D0%BC%20%D0%BC%D0%B0%D0%BB%D1%8C%D1%87%D0%B8%D0%BA%D0%B5%201983%20%D1%84%D0%B8%D0%BB%D1%8C%D0%BC","искать")</f>
        <v/>
      </c>
      <c r="N7055" s="3" t="n"/>
      <c r="O7055" s="2" t="n"/>
      <c r="P7055" s="2" t="n"/>
    </row>
    <row r="7056">
      <c r="A7056" s="2" t="n">
        <v>7055</v>
      </c>
      <c r="B7056" s="2" t="inlineStr"/>
      <c r="C7056" s="2" t="n">
        <v>8687</v>
      </c>
      <c r="D7056" s="3" t="inlineStr">
        <is>
          <t>Губернаторъ</t>
        </is>
      </c>
      <c r="E7056" s="2" t="n">
        <v>1991</v>
      </c>
      <c r="F7056" s="2" t="inlineStr">
        <is>
          <t>кинофильм</t>
        </is>
      </c>
      <c r="G7056" s="2" t="n"/>
      <c r="H7056" s="2" t="n">
        <v>2218</v>
      </c>
      <c r="I7056" s="2" t="inlineStr"/>
      <c r="J7056" s="2" t="inlineStr"/>
      <c r="K7056" s="3" t="inlineStr">
        <is>
          <t>В городе N на Урале в начале 20-го века забастовали около тысячи рабочих местной фабрики. Губернатору доложили, что люди ведут себя крайне вызывающе, и он приехал, чтобы умиротворить бастующих. Он честно признался, что не может ничего для них сделать и призвал всех вернуться на работу, обещая сообщить в столицу о бедственном положении рабочих. Возбужденная толпа не хотела слушать губернатора и забросала представителей местной власти камнями. Тогда последовал приказ разогнать толпу с помощью винтовок. Было убито 47 человек, среди них женщины и дети, а остальные в панике разбежались. Губернатор Петр Ильич глубоко переживает, что пришлось применить жестокие меры к бастующим и дает команду похоронить каждого персонально, а архирею советует отслужить панихиду по убитым. По городу поползли слухи, что в отместку губернатора убьют в ближайшее время. Приехавший в гости из Питера сын-офицер Алексей предупреждает отца, что весь город трубит о покушении на него, и ему не стоит отказываться от охраны, которую приставил к губернатору полицмейстер. Петр Ильич заходит в оранжерею к своему садовнику и спрашивает его мнение, убьют ли его, губернатора. «Пожалуй, убьют», - рассуждает Егор. Петр Ильич видит бессмысленность предстоящего убийства: «Они убьют, а потом пожалеют». Он спокойно рассуждает, что такая судьба ждёт тех, кто берёт на себя ответственность в трудные времена: «Меня убьют из револьвера, а Алешу, когда он станет губернатором, убьют бомбой. Но я прятаться не стану». Мысли о том, что произошло, не оставляют губернатора в покое. Сын перед возвращением в столицу говорит отцу, что хотел бы видеть его успокоившимся. Он поддерживает отца в том, что тот правильно действовал во имя восстановления порядка. Но отец не может простись себя за то, что расправу чинил над своим же народом, доведённым до отчаяния голодом. Он уже чувствует смерть и ничего не хочет делать для своего спасения. Петр Ильич принимает решение возобновить свои утренние прогулки по городу, хотя выходить одному ему не советовал полицмейстер. Как бы ни старались приближённые оградить губернатора от опасности, которая нависла над ним, на одной из прогулок он замертво падает на мостовую, сражённый пулями преследовавших его убийц.</t>
        </is>
      </c>
      <c r="L7056" s="2" t="inlineStr">
        <is>
          <t>https://gosfilmofond.ru/films/232265/</t>
        </is>
      </c>
      <c r="M7056" s="2">
        <f>HYPERLINK("https://ru.wikipedia.org/w/index.php?search=%D0%93%D1%83%D0%B1%D0%B5%D1%80%D0%BD%D0%B0%D1%82%D0%BE%D1%80%D1%8A%201991%20%D1%84%D0%B8%D0%BB%D1%8C%D0%BC","искать")</f>
        <v/>
      </c>
      <c r="N7056" s="3" t="n"/>
      <c r="O7056" s="2" t="n"/>
      <c r="P7056" s="2" t="n"/>
    </row>
    <row r="7057">
      <c r="A7057" s="2" t="n">
        <v>7056</v>
      </c>
      <c r="B7057" s="2" t="inlineStr"/>
      <c r="C7057" s="2" t="n">
        <v>8881</v>
      </c>
      <c r="D7057" s="3" t="inlineStr">
        <is>
          <t>Ночь грешников</t>
        </is>
      </c>
      <c r="E7057" s="2" t="n">
        <v>1991</v>
      </c>
      <c r="F7057" s="2" t="inlineStr">
        <is>
          <t>кинофильм</t>
        </is>
      </c>
      <c r="G7057" s="2" t="n"/>
      <c r="H7057" s="2" t="n">
        <v>2218</v>
      </c>
      <c r="I7057" s="2" t="inlineStr"/>
      <c r="J7057" s="2" t="inlineStr"/>
      <c r="K7057" s="3" t="inlineStr">
        <is>
          <t>Дореволюционная Россия времен народовольцев. Молодой красавец интеллигентного вида убегает от полицейских. Его поджидает в условленном месте соратник по борьбе с режимом и подбадривает Алексея словами, что завтра вся Россия ждёт его выстрела в царя-самодержца. Алексей полон решимости и не боится расправы. Революционеры несут свои идеи, и даже казнь продвигает их дальше. Но в последнюю ночь перед покушением измотанному погоней юноше придётся нелегко. Все явочные квартиры провалены и везде по городу снуют наряды полицейских. Зазывала публичного дома приглашает Алексея зайти, и он решается провести там ночь. Услужливая хозяйка предлагает нескольких женщин на выбор. Алексей уходит в номер с красавицей Любой. Юноше не до утех, единственное его желание – немного поспать. Когда Люба отвлекается, чтобы заказать вино и фрукты для клиента, Алексей прячет револьвер. Потом он запирает дверь, просит Любу вести себя тихо и не покидать комнату, а сам тот час засыпает. Со словами «тут тебе не ночлежка» девушка будит Алексея. Она догадалась, что он революционер, о котором говорили полицейские чины – её сегодняшние клиенты. Но Алексей так приглянулся Любе, что она обещает его не выдавать полиции. Единственное, что она ждёт от него – это ночь любви. Вином, поцелуями, объятиями ей удаётся пробудить в Алексее чувственность, которую он не знал доныне. Доверившись девушке, революционер рассказывает ей, что утром он должен убить царя. Она умоляет его остаться, обещая любить по-настоящему. Растроганный, он плачет. «Поплачь по душе своей», - говорит девушка, - «Я спасу тебя, я сама стану твоей душой!» Алексей остаётся у неё до утра. А утром она зовёт своих подруг, и они устраивают пиршество, как отсчёт начала их новой жизни с Алексеем. В помещение врываются полицейские, которые напали на след революционера и вычислили его путь. Алексея арестовывают, несмотря на мольбы Любы, оставить его ей. По пути в участок революционер пытается бежать, и его убивают на глазах у Любы. Она возвращается в свой номер и находит там револьвер Алексея. Не мысля больше своей жизни без возлюбленного, она выбегает на улицу и первым выстрелом убивает полицейского офицера, арестовавшего Алексея, а вторым заканчивает счёты с жизнью.</t>
        </is>
      </c>
      <c r="L7057" s="2" t="inlineStr">
        <is>
          <t>https://gosfilmofond.ru/films/232396/</t>
        </is>
      </c>
      <c r="M7057" s="2">
        <f>HYPERLINK("https://ru.wikipedia.org/w/index.php?search=%D0%9D%D0%BE%D1%87%D1%8C%20%D0%B3%D1%80%D0%B5%D1%88%D0%BD%D0%B8%D0%BA%D0%BE%D0%B2%201991%20%D1%84%D0%B8%D0%BB%D1%8C%D0%BC","искать")</f>
        <v/>
      </c>
      <c r="N7057" s="3" t="n"/>
      <c r="O7057" s="2" t="n"/>
      <c r="P7057" s="2" t="n"/>
    </row>
    <row r="7058">
      <c r="A7058" s="2" t="n">
        <v>7057</v>
      </c>
      <c r="B7058" s="2" t="inlineStr"/>
      <c r="C7058" s="2" t="n">
        <v>9764</v>
      </c>
      <c r="D7058" s="3" t="inlineStr">
        <is>
          <t>Шапка</t>
        </is>
      </c>
      <c r="E7058" s="2" t="n">
        <v>1990</v>
      </c>
      <c r="F7058" s="2" t="inlineStr">
        <is>
          <t>кинофильм</t>
        </is>
      </c>
      <c r="G7058" s="2" t="n"/>
      <c r="H7058" s="2" t="n">
        <v>2221</v>
      </c>
      <c r="I7058" s="2" t="inlineStr"/>
      <c r="J7058" s="2" t="inlineStr"/>
      <c r="K7058" s="3" t="inlineStr">
        <is>
          <t>Действие фильма происходит в Москве в 1980-е годы.
Однажды писатель Ефим (Фима) Рахлин узнаёт, что по решению правления Литфонда среди писателей распределяют зимние меховые шапки. Причём, по негласной табели о рангах, «выдающимся» писателям полагаются пыжиковые шапки, «известным» — ондатровые, «видным» — из сурка, а рядовым — из кролика. Когда же Рахлин приходит заказать шапку для себя, то обнаруживает, что его не включили ни в одну из этих категорий и ему могут предоставить лишь головной убор из «кота домашнего, средней пушистости».
Ефим Рахлин — тихий, но честолюбивый человек. Он гордится тем, что уже 18 лет является членом союза писателей и написал 11 книг. Но при этом он еврей (сам о себе он говорит, что с «пятым пунктом» у него не всё в порядке), не состоит в коммунистической партии и старательно избегает формальных политических обязанностей советского писателя. Поэтому Рахлин довольствуется статусом автора приключенческих произведений «о хороших людях». Теперь же, судя по предложенному ему головному убору из «кота домашнего, средней пушистости», Рахлин обнаруживает, что литературное начальство фактически вовсе не считает его писателем, даже рядовым.
Подстрекаемый женой, Рахлин пытается убедить своё литературное начальство, что он всё же является писателем, заслуживающим шапку «из приличного меха». Тем самым он хочет утвердиться в более высоком статусе. Это становится его навязчивой идеей. Спохватившись, жена уговаривает его прекратить погоню за шапкой, но уже поздно: это стало для Фимы делом принципа. Испробовав все способы получения шапки и везде натолкнувшись на отказ, Фима портит отношения с руководством союза писателей, зарабатывает репутацию диссидента и попадает в больницу с инсультом.
Но даже на больничной койке, почти потеряв речь, он требует для себя шапку. Поняв, что ему нужна именно «официальная» шапка, его жена через своего знакомого маршала Побратимова добывает для Фимы требуемое. «Официальную» шапку из «приличного» меха приносят Рахлину в больничную палату, когда он уже при смерти, но ещё в сознании, и он успевает порадоваться своей «победе над системой». Заканчивается фильм похоронами Рахлина, на которые съезжаются писатели в меховых шапках из «приличного» меха.</t>
        </is>
      </c>
      <c r="L7058" s="2" t="inlineStr">
        <is>
          <t>https://ru.wikipedia.org/w/index.php?title=%D0%A8%D0%B0%D0%BF%D0%BA%D0%B0_%28%D1%84%D0%B8%D0%BB%D1%8C%D0%BC%29&amp;oldid=148322718</t>
        </is>
      </c>
      <c r="M7058" s="2">
        <f>HYPERLINK("https://ru.wikipedia.org/w/index.php?search=%D0%A8%D0%B0%D0%BF%D0%BA%D0%B0%201990%20%D1%84%D0%B8%D0%BB%D1%8C%D0%BC","искать")</f>
        <v/>
      </c>
      <c r="N7058" s="3" t="n"/>
      <c r="O7058" s="2" t="n"/>
      <c r="P7058" s="2" t="n"/>
    </row>
    <row r="7059">
      <c r="A7059" s="2" t="n">
        <v>7058</v>
      </c>
      <c r="B7059" s="2" t="inlineStr"/>
      <c r="C7059" s="2" t="n">
        <v>8121</v>
      </c>
      <c r="D7059" s="3" t="inlineStr">
        <is>
          <t>По секрету всему свету</t>
        </is>
      </c>
      <c r="E7059" s="2" t="n">
        <v>1976</v>
      </c>
      <c r="F7059" s="2" t="inlineStr">
        <is>
          <t>телефильм</t>
        </is>
      </c>
      <c r="G7059" s="2" t="inlineStr">
        <is>
          <t>Беларусьфильм</t>
        </is>
      </c>
      <c r="H7059" s="2" t="n">
        <v>2227</v>
      </c>
      <c r="I7059" s="2" t="inlineStr"/>
      <c r="J7059" s="2" t="inlineStr"/>
      <c r="K7059" s="3" t="inlineStr">
        <is>
          <t>Первая серия.
Секрет первый.
Включает пять рассказов:
«Синий кинжал» (1964);
«Главные реки» (1965);
«Тиха украинская ночь…» (1966);
«Что я люблю» (1960);
«Что любит Мишка» (1965).
Денис Кораблёв должен рассчитаться с Лёвкой Буриным за то, что тот ударил его пеналом по голове. Но рассказы Лёвки о вещах, которые Денис любит, и подаренная Дениске гильза для телескопа смягчили злость, и они расстались добрыми друзьями.
Секрет второй.
Включает три рассказа:
«Здоровая мысль» (1968);
«Куриный бульон» (1964);
«Старый Мореход» (1962).
Мамина знакомая Марья Петровна обещала Денису взять его на дачу, но не сдержала своё слово. Пытаясь примириться с обиженным мальчиком, она не нашла ничего лучше, как повторить обман, обещая на этот раз настоящую будённовскую саблю.
Вторая серия.
Секрет третий.
Включает три рассказа:
«Заколдованная буква» (1964);
«Фантомас» (1968);
«На Садовой большое движение» (1964).
Ваня Дыхов построил самый настоящий двухместный велосипед. Ему помогали все ребята, но больше всех Денис. Вдвоём с Ваней они и поехали опробовать машину. Когда они отдыхали в парке, к ним подошёл незнакомый парень старше их и попросил велосипед якобы для поездки в аптеку за лекарством для тяжело больной бабушки. Ребята хотели съездить сами, но парень настоял на своём, уверяя, что ездить на велосипеде по проспекту очень опасно, а они ещё недостаточно взрослые.
В конце концов Ваня и Денис согласились. Они ждали его до самого вечера, пока не поняли, что ждут напрасно. Ваня догадался, что парень их обманул и украл велосипед, а Денис ничего не понял и искренне беспокоился за судьбу вора: «Ведь на проспекте такое движение…». По сценарию тот действительно попал в аварию.
Секрет четвёртый.
Включает три рассказа:
«Поют колёса — тра-та-та» (1964);
«Рабочие дробят камень» (1972);
«Человек с голубым лицом» (1961).
Денис с папой поехали на выходные в деревню, куда их давно звал папин друг, дядя Саша. У него было важное дело, и он попросил Виктора Кораблёва сесть за руль. На просёлочной дороге под колёса их машины выскочила девочка, и папа Дениса, не раздумывая, резко вывернул руль. Машина перевернулась, но дядя Саша и Денис отделались ушибами. Папа сломал руку, но был очень рад тому, что девочка осталась невредимой.</t>
        </is>
      </c>
      <c r="L7059" s="2" t="inlineStr">
        <is>
          <t>https://ru.wikipedia.org/w/index.php?title=%D0%9F%D0%BE_%D1%81%D0%B5%D0%BA%D1%80%D0%B5%D1%82%D1%83_%D0%B2%D1%81%D0%B5%D0%BC%D1%83_%D1%81%D0%B2%D0%B5%D1%82%D1%83_%28%D1%84%D0%B8%D0%BB%D1%8C%D0%BC%29&amp;oldid=153711191</t>
        </is>
      </c>
      <c r="M7059" s="2">
        <f>HYPERLINK("https://ru.wikipedia.org/w/index.php?search=%D0%9F%D0%BE%20%D1%81%D0%B5%D0%BA%D1%80%D0%B5%D1%82%D1%83%20%D0%B2%D1%81%D0%B5%D0%BC%D1%83%20%D1%81%D0%B2%D0%B5%D1%82%D1%83%201976%20%D1%84%D0%B8%D0%BB%D1%8C%D0%BC","искать")</f>
        <v/>
      </c>
      <c r="N7059" s="3" t="n"/>
      <c r="O7059" s="2" t="n"/>
      <c r="P7059" s="2" t="n"/>
    </row>
    <row r="7060">
      <c r="A7060" s="2" t="n">
        <v>7059</v>
      </c>
      <c r="B7060" s="2" t="inlineStr"/>
      <c r="C7060" s="2" t="n">
        <v>9183</v>
      </c>
      <c r="D7060" s="3" t="inlineStr">
        <is>
          <t>Это было у моря</t>
        </is>
      </c>
      <c r="E7060" s="2" t="n">
        <v>1989</v>
      </c>
      <c r="F7060" s="2" t="inlineStr">
        <is>
          <t>кинофильм</t>
        </is>
      </c>
      <c r="G7060" s="2" t="n"/>
      <c r="H7060" s="2" t="n">
        <v>2231</v>
      </c>
      <c r="I7060" s="2" t="inlineStr"/>
      <c r="J7060" s="2" t="inlineStr"/>
      <c r="K7060" s="3" t="inlineStr">
        <is>
          <t>Илону (в её роли Екатерина Политова) везут в «Волге» по опустевшим дорогам южного курортного города в интернат для детей с проблемами спины. Она сидит на переднем сиденье рядом с водителем. У Илоны модная необычная причёска, заграничная одежда, в ушах наушники плейера, где звучит песня The Beatles «I Feel Fine». Сзади сидят её родители. Папа производит впечатление большого начальника, имеет солидный вид, мама — видная, ухоженная, дорого и со вкусом одетая. Они ведут очень спокойную беседу. До дочери им нет дела. Девочка совершенно одна, один на один с предстоящей неизвестностью. Родители же не выказывают никакой обеспокоенности и нервозности.
Родители вылезают из машины, Илона продолжает сидеть в машине, вместо родителей воспитательница зовёт её вылезти и тут же увлекает её в толпу детей, которая отсекает Илону от папы и мамы, но те не особо и пытаются последовать за дочерью, помочь ей обустроиться и посмотреть на бытовые условия. Нет и сцены их прощания. У Илоны вроде бы всё для счастья: материальные ценности, солидные родители. Но своей семье Илона не нужна. Её родители не попытались сами решать вопросы её здоровья, а ведь мы видим, что в начале истории патологических изменений у неё нет, и она даже не носит корсет; им намного проще и удобнее оказалось разместить девочку, вероятнее всего, за взятку, в интернате, передав заботу о её здоровье в руки советской государственной медицинской машины.
Илона попадает в круговорот жизни интерната. Здесь верховодит Света Дзугутова (Ника Турбина), свободолюбивый и жёсткий подросток. На фоне интернатовской рутины происходят конфликты Светы как с соседками по палате, так и с воспитателем Зоей Григорьевной (Нина Русланова). Эти конфликты разрастаются до фактически бунта воспитанниц против порядков, заведённых в интернате.
Рядом с Илоной сразу возникает Миша. Он говорит, что Илона — самая красивая девочка в интернате. Однако в конце фильма мы видим, что под этим Миша понимает не внешность, не таланты, не душевные качества девочки, а то, что она — без корсета с «ошейником» (так называемый корсет Блаунта). И как только на неё надевают такой заметный корсет, вся её привлекательность для Миши исчезает. Он переключается на Свету, с которой этот корсет уже сняли.</t>
        </is>
      </c>
      <c r="L7060" s="2" t="inlineStr">
        <is>
          <t>https://ru.wikipedia.org/w/index.php?title=%D0%AD%D1%82%D0%BE_%D0%B1%D1%8B%D0%BB%D0%BE_%D1%83_%D0%BC%D0%BE%D1%80%D1%8F&amp;oldid=154545072</t>
        </is>
      </c>
      <c r="M7060" s="2">
        <f>HYPERLINK("https://ru.wikipedia.org/w/index.php?search=%D0%AD%D1%82%D0%BE%20%D0%B1%D1%8B%D0%BB%D0%BE%20%D1%83%20%D0%BC%D0%BE%D1%80%D1%8F%201989%20%D1%84%D0%B8%D0%BB%D1%8C%D0%BC","искать")</f>
        <v/>
      </c>
      <c r="N7060" s="3" t="n"/>
      <c r="O7060" s="2" t="n"/>
      <c r="P7060" s="2" t="n"/>
    </row>
    <row r="7061">
      <c r="A7061" s="2" t="n">
        <v>7060</v>
      </c>
      <c r="B7061" s="2" t="inlineStr"/>
      <c r="C7061" s="2" t="n">
        <v>9364</v>
      </c>
      <c r="D7061" s="3" t="inlineStr">
        <is>
          <t>За последней чертой</t>
        </is>
      </c>
      <c r="E7061" s="2" t="n">
        <v>1991</v>
      </c>
      <c r="F7061" s="2" t="inlineStr">
        <is>
          <t>кинофильм</t>
        </is>
      </c>
      <c r="G7061" s="2" t="inlineStr">
        <is>
          <t>Мосфильм</t>
        </is>
      </c>
      <c r="H7061" s="2" t="n">
        <v>2232</v>
      </c>
      <c r="I7061" s="2" t="inlineStr"/>
      <c r="J7061" s="2" t="inlineStr"/>
      <c r="K7061" s="3" t="inlineStr">
        <is>
          <t>Титулованный боксёр, заслуженный мастер спорта СССР Виктор Дрёмов (Евгений Сидихин), выйдя из мест заключения, где он отбывал три года за избиение, оказывается в сложном положении — любимая женщина ушла к старому антиквару, нет денег и работы. В связи с отбытием срока у него нет на руках паспорта, поэтому его отказываются брать на работу, а ввиду нетрудоустроенности отказываются восстанавливать прописку, отправляют в милицию за паспортом. В милиции от него требуют устроиться на работу и оформить прописку, паспорт возвращать отказываются.
Он попадает в замкнутый круг, выход из которого забрезжил после того, как западногерманские спортивные менеджеры, памятуя о его выступлениях на международных соревнованиях в Дюссельдорфе, приглашают его на постоянное место жительства в ФРГ, работать по контракту тренером по боксу. Министр туризма и спорта Баварии обращается к советским спортивным властям с запросом на предоставление Дрёмову выездной визы на работу за рубежом. Но бывший тренер сборной СССР по боксу, ныне являющийся высокопоставленным чиновником Федерации бокса при Спорткомитете СССР, пишет на Дрёмова отрицательную характеристику, в которой рекомендует обратившемуся к нему немецкому министру не связываться с Дрёмовым, поскольку тот является уголовным элементом. Последняя надежда Дрёмова начать нормальную жизнь после выхода из колонии терпит крах.
Вскоре Дрёмов оказывается под пристальным вниманием рэкетиров, которые с помощью провокации и связей в милиции пытаются втянуть бывшего боксёра-чемпиона в преступный бизнес. Бандиты начали давить на него, и под угрозами он согласился сотрудничать с ними. Сначала с помощью банды Дрёмов грабит квартиру бывшего тренера, тем самым отомстив ему за сломанную жизнь. Но затем вынужденно оказывается вовлечённым в налёт на кафе «Кавказская кухня», где работает его друг. После этого Виктор всё равно отказывается продолжать заниматься рэкетом, и в результате бандиты и коррумпированный начальник районного отдела милиции фабрикуют против него убийство участкового с показаниями лжесвидетелей. Дрёмова задерживает милиция, но он не дожидается предъявления обвинений. Сбежав из отделения милиции, Дрёмов принимает решение действовать и в одиночку расправляется с бандитами.</t>
        </is>
      </c>
      <c r="L7061" s="2" t="inlineStr">
        <is>
          <t>https://ru.wikipedia.org/w/index.php?title=%D0%97%D0%B0_%D0%BF%D0%BE%D1%81%D0%BB%D0%B5%D0%B4%D0%BD%D0%B5%D0%B9_%D1%87%D0%B5%D1%80%D1%82%D0%BE%D0%B9&amp;oldid=155355333</t>
        </is>
      </c>
      <c r="M7061" s="2">
        <f>HYPERLINK("https://ru.wikipedia.org/w/index.php?search=%D0%97%D0%B0%20%D0%BF%D0%BE%D1%81%D0%BB%D0%B5%D0%B4%D0%BD%D0%B5%D0%B9%20%D1%87%D0%B5%D1%80%D1%82%D0%BE%D0%B9%201991%20%D1%84%D0%B8%D0%BB%D1%8C%D0%BC","искать")</f>
        <v/>
      </c>
      <c r="N7061" s="3" t="n"/>
      <c r="O7061" s="2" t="n"/>
      <c r="P7061" s="2" t="n"/>
    </row>
    <row r="7062">
      <c r="A7062" s="2" t="n">
        <v>7061</v>
      </c>
      <c r="B7062" s="2" t="inlineStr"/>
      <c r="C7062" s="2" t="n">
        <v>8830</v>
      </c>
      <c r="D7062" s="3" t="inlineStr">
        <is>
          <t>Мементо мори</t>
        </is>
      </c>
      <c r="E7062" s="2" t="n">
        <v>1991</v>
      </c>
      <c r="F7062" s="2" t="inlineStr">
        <is>
          <t>кинофильм</t>
        </is>
      </c>
      <c r="G7062" s="2" t="n"/>
      <c r="H7062" s="2" t="n">
        <v>2237</v>
      </c>
      <c r="I7062" s="2" t="inlineStr"/>
      <c r="J7062" s="2" t="inlineStr"/>
      <c r="K7062" s="3" t="inlineStr">
        <is>
          <t>Пристанционный городок на Украине в год, когда умер Генеральный секретарь Брежнев. Трое подростков Димка, Степа и Мишуня под предводительством взрослого парня Витьки по прозвищу «Дикий» проводят свои летние каникулы за ловлей птиц и бегают по крышам вагонов идущих поездов, демонстрируя друг другу смелость. Однообразная скучная жизнь провинциального городка. Родители Степы мечтают уехать отсюда и фантазируют, каким образом к ним на голову свалится большая пятикомнатная квартира в большом городе. Мать Димки бегает к соседу, когда муж уезжает на заработки. Интеллигентные родители Мишуни время от времени организуют концерты самодеятельности во дворе, вовлекая в творчество местную молодёжь. В одном из походов во время перебежек по крышам вагонов мальчишки теряют из виду Дикого и возвращаются домой одни. Вечером встревоженная мать Витьки расспрашивает соседей, но никто не видел её сына. Утром мальчишки отправляются по следам своего путешествия и натыкаются на труп Дикого в высокой траве возле железнодорожного полотна. Боясь признаться взрослым о страшной находке, они решают похоронить Витю в поле возле железной дороги. После похорон впечатлительный Мишуня часто видит Дикого. Привидение не дает ему покоя и родители, не понимая, в чем дело, вынуждены положить его на лечение в психиатрическую больницу. Степа предлагает Димке рассказать взрослым о случившемся. Но Димка не думает признаваться. Он занят вопросом, как обустроить свою жизнь после развода родителей. По его словам, он не хочет жить с матерью-шлюхой. Нервы у Степы тоже не выдерживают. Он кричит на весь двор, что Дикий мертв. Мишуню выпускают из психбольницы. Вскрытие устанавливает, что причиной смерти стала неосторожность парня. Витьку перезахоранивают на кладбище. Стёпа не находит себе места. Он отправляется к железной дороге, забирается на крышу проходящего поезда, но уже не решается прыгать. Он приходит на кладбище к Дикому. Там группа чужих ребят ловят птиц. Стёпка выпускает птицу из их клетки, как бы освобождая душу Витьки. Компания ребят начинает его жестоко избивать. От увечий Стёпку спасает подоспевший смотритель железной дороги. Кабина машиниста поезда. Машинист говорит своему помощнику: «Сколько лет езжу здесь, ничего не меняется: степь!»</t>
        </is>
      </c>
      <c r="L7062" s="2" t="inlineStr">
        <is>
          <t>https://gosfilmofond.ru/films/232385/</t>
        </is>
      </c>
      <c r="M7062" s="2">
        <f>HYPERLINK("https://ru.wikipedia.org/w/index.php?search=%D0%9C%D0%B5%D0%BC%D0%B5%D0%BD%D1%82%D0%BE%20%D0%BC%D0%BE%D1%80%D0%B8%201991%20%D1%84%D0%B8%D0%BB%D1%8C%D0%BC","искать")</f>
        <v/>
      </c>
      <c r="N7062" s="3" t="n"/>
      <c r="O7062" s="2" t="n"/>
      <c r="P7062" s="2" t="n"/>
    </row>
    <row r="7063">
      <c r="A7063" s="2" t="n">
        <v>7062</v>
      </c>
      <c r="B7063" s="2" t="inlineStr"/>
      <c r="C7063" s="2" t="n">
        <v>8195</v>
      </c>
      <c r="D7063" s="3" t="inlineStr">
        <is>
          <t>Привал странников</t>
        </is>
      </c>
      <c r="E7063" s="2" t="n">
        <v>1990</v>
      </c>
      <c r="F7063" s="2" t="inlineStr">
        <is>
          <t>телефильм</t>
        </is>
      </c>
      <c r="G7063" s="2" t="n"/>
      <c r="H7063" s="2" t="n">
        <v>2256</v>
      </c>
      <c r="I7063" s="2" t="inlineStr"/>
      <c r="J7063" s="2" t="inlineStr"/>
      <c r="K7063" s="3" t="inlineStr">
        <is>
          <t>90-е годы, разгул бандитизма. В Москву приезжает бывший офицер угрозыска Александр Смирнов решать вопросы с пенсией. В молодые годы в столице был грозой преступников. Последние годы он служил в милиции в Средней Азии, а когда «копнул» под местную власть, его отправили в отставку. Саню с радостью встречают и принимают у себя бывшие коллеги Леонид и Гиви. Грузин ведёт друзей вечером в кафе «Привал странников», а наутро никаких признаков, что на этом месте было кафе, нет. Странное исчезновение привлекает внимание Смирнова. Он узнает, что «Привал странников» просуществовал всего 9 дней, и хочет выяснить, прикрытием каких дел было кафе. Пенсионер Шакин, на документы которого оформлено кафе, признается, что продал свой паспорт через официанта ресторана. Городские власти разрешение на открытие заведения не давали. Когда Александр пытается выяснить у официанта, кому понадобился паспорт Шакина, его берёт «в оборот» лысый незнакомец. На Саню нападают бандиты. Бывшему офицеру удается отбиться от них. Дома его подкарауливают и пытаются убить. Друзья предупреждают Сашу, что его или шпана достанет, или милиция арестует за незаконное вмешательство. Александр не отступает, и его друзьям приходится включиться в расследование. На месте разрушенного кафе находят труп мужчины, залитый бетоном, а затем несколько захоронений местных подпольных миллионеров-цеховиков. Прослеживая связи бандитов, Смирнов выясняет, что высокие чины московской милиции в сговоре с бандитами, которые занимаются вымогательством денег у бизнесменов. Милиционеры в штатском с оружием охраняют главарей и участвуют в разборках. Смирнову удается наладить контакт в милиции с теми, кто не завязан с бандитами, и передать им под охрану немногочисленных свидетелей преступлений, а преступников из милицейской среды отправить под арест. Трое друзей едут к высокопоставленному милицейскому начальнику и дают ему знать, что его пособники арестованы. Александр заявляет чиновнику, что подчиненные сдадут его, на что тот сообщает, что есть команда людей сверху, кто не допустит дальнейших разоблачений. После разговора в кабинете начальника раздается телефонный звонок. Голос в трубке сообщает, что у него есть только один выход. Хозяин кабинета стреляется. Цепочка разоблачений разорвана.</t>
        </is>
      </c>
      <c r="L7063" s="2" t="inlineStr">
        <is>
          <t>https://gosfilmofond.ru/films/232411/</t>
        </is>
      </c>
      <c r="M7063" s="2">
        <f>HYPERLINK("https://ru.wikipedia.org/w/index.php?search=%D0%9F%D1%80%D0%B8%D0%B2%D0%B0%D0%BB%20%D1%81%D1%82%D1%80%D0%B0%D0%BD%D0%BD%D0%B8%D0%BA%D0%BE%D0%B2%201990%20%D1%84%D0%B8%D0%BB%D1%8C%D0%BC","искать")</f>
        <v/>
      </c>
      <c r="N7063" s="3" t="n"/>
      <c r="O7063" s="2" t="n"/>
      <c r="P7063" s="2" t="n"/>
    </row>
    <row r="7064">
      <c r="A7064" s="2" t="n">
        <v>7063</v>
      </c>
      <c r="B7064" s="2" t="inlineStr"/>
      <c r="C7064" s="2" t="n">
        <v>9358</v>
      </c>
      <c r="D7064" s="3" t="inlineStr">
        <is>
          <t>Женщина для всех</t>
        </is>
      </c>
      <c r="E7064" s="2" t="n">
        <v>1991</v>
      </c>
      <c r="F7064" s="2" t="inlineStr">
        <is>
          <t>кинофильм</t>
        </is>
      </c>
      <c r="G7064" s="2" t="n"/>
      <c r="H7064" s="2" t="n">
        <v>2259</v>
      </c>
      <c r="I7064" s="2" t="inlineStr"/>
      <c r="J7064" s="2" t="inlineStr"/>
      <c r="K7064" s="3" t="inlineStr">
        <is>
          <t>Россия конца 80-х. В портовом городе живут по соседству две молодые женщины Мария и Анна. Обе они без мужей. Маша воспитывает сына-школьника Володю и маленькую дочку Леночку. К гостеприимной и заботливой Маше постоянно наведываются мужчины- водители из таксопарка, где она работает таксистом, моряки и командированные. Она не обходит их вниманием, заботой, а порой дарит и близость. Мужчины в благодарность за поддержку помогают Марии деньгами, приносят игрушки и одежду детям. Аня занята собой: соблюдает диету, делает гимнастику, изучает французский. Аня живёт одна. Несколько лет назад развелась с мужем. По его заявлению Анна всегда была «правильной». Она не любила мужа, что привело к его измене, а потом и к разводу. Аня – библиотекарь и приносит соседскому мальчику интересные книги, поддерживая его любовь к чтению. Она любит тишину, покой, но частые застолья и шум у соседки заставляют её искать обмен квартиры. К Маше часто наведывается её старый друг Николай, у которого не всё ладно в семье: дочь, которую он любит, - инвалид, и жена хочет сдать девочку в дом для инвалидов, поэтому отношения с женой напряжённые. В один из вечеров к Ане прибегает взволнованный и испуганный Володя. Их маме стало плохо, и её увезла в больницу скорая помощь. Вскоре она умирает, и дети остаются одни. На похороны приезжает сестра Маши из Норильска. Она хочет забрать к себе подростка Володю, а Леночку сдать в интернат. Мальчик не хочет расставаться с сестрой. Дети скрываются у друзей мамы до отъезда тёти. Володя чувствует себя повзрослевшим и ответственным. Он принимает решение остаться жить с сестрой в квартире и самостоятельно вести хозяйство. Аня хочет забрать детей к себе, но ей приходится принять решение мальчика и начать жить на два дома. Знакомые мужчины Марии продолжают навещать детей и пробуют найти подход к Ане, но признают, что она – «заковыристая штучка», и оставляют её в покое. Николай узнаёт, что Маша умерла и в один из дней является и заявляет, что он приехал сюда жить: «Мне Мария в наследство детей оставила». Аня видит заботу Коли о детях, основательность и серьёзность намерений Николая к ней. Анна принимает его, как нового хозяина в доме, а потом у них завязываются романтические отношения. Похоже, сложилась новая счастливая семья.</t>
        </is>
      </c>
      <c r="L7064" s="2" t="inlineStr">
        <is>
          <t>https://gosfilmofond.ru/films/232315/</t>
        </is>
      </c>
      <c r="M7064" s="2">
        <f>HYPERLINK("https://ru.wikipedia.org/w/index.php?search=%D0%96%D0%B5%D0%BD%D1%89%D0%B8%D0%BD%D0%B0%20%D0%B4%D0%BB%D1%8F%20%D0%B2%D1%81%D0%B5%D1%85%201991%20%D1%84%D0%B8%D0%BB%D1%8C%D0%BC","искать")</f>
        <v/>
      </c>
      <c r="N7064" s="3" t="n"/>
      <c r="O7064" s="2" t="n"/>
      <c r="P7064" s="2" t="n"/>
    </row>
    <row r="7065">
      <c r="A7065" s="2" t="n">
        <v>7064</v>
      </c>
      <c r="B7065" s="2" t="inlineStr"/>
      <c r="C7065" s="2" t="n">
        <v>8214</v>
      </c>
      <c r="D7065" s="3" t="inlineStr">
        <is>
          <t>Приморский бульвар</t>
        </is>
      </c>
      <c r="E7065" s="2" t="n">
        <v>1988</v>
      </c>
      <c r="F7065" s="2" t="inlineStr">
        <is>
          <t>телефильм</t>
        </is>
      </c>
      <c r="G7065" s="2" t="n"/>
      <c r="H7065" s="2" t="n">
        <v>2260</v>
      </c>
      <c r="I7065" s="2" t="inlineStr"/>
      <c r="J7065" s="2" t="inlineStr"/>
      <c r="K7065" s="3" t="inlineStr">
        <is>
          <t>Действие происходит в Одессе летом 1987 года. Главный герой фильма Саша только что вернулся в родной город, отслужив срочную службу. В очереди перед универмагом у него и у его случайной знакомой девушки Лены оказываются совершенно одинаковые сумки. Она уходит с его сумкой, а ему остается её. Довольно быстро обнаружив подмену, Саша пытается получить свою сумку, но лишь видит Лену в окне отъезжающего автобуса. Попытка догнать автобус приводит к дорожно-транспортному происшествию. В результате Илья Петрович, водитель машины, попал в больницу, а машине потребовался капитальный ремонт.
Саша готов оплатить Илье Петровичу ремонт машины, но он тоже пострадавший, и Илья Петрович предлагает ему «сделку» — тот не берёт с Саши денег на ремонт машины, а он должен докладывать Илье Петровичу о дальнейшем развитии начавшихся его отношений с Леной. Может быть, это поможет Илье Петровичу преодолеть творческий кризис и создать сценарий.
После недолгих поисков Саша встречает Лену на Приморском бульваре, у памятника Дюку — Лена работает экскурсоводом, но у Лены свадьба через неделю.
Саша показывает Илье Петровичу фотографию, где он узнаёт свою дочь. В палату приходит Даша — младшая дочь Ильи Петровича, которая тоже включается в разработку сценария.
Она организует свидание Саши с Леной, но из-за ревности прекращает с ним общение. При попытке Саши наладить с ней отношения Даша устраивает ему проверку: нужно уговорить её маму отпустить Дашу в танцевальную секцию. Саша справляется, выдав себя за руководителя студии и заслуженного артиста Чечено-Ингушской АССР.
Наконец, когда Саша намекнул на то, что Даша ему нравится, она пользуется возможностью увидеть его реакцию на неожиданное известие: якобы у неё есть любимый парень (его роль сыграл Дашин друг Денис). Тут же, потеряв Сашу из виду, Даша понимает, что шутка была неуместной. В огорчении, не обращая внимания на окружающих, она перебирает в мыслях варианты дальнейшего развития событий. Но поток размышлений прерывается, Даша смиряется с непоправимостью положения и внезапно обнаруживает Сашу за деревом.
Выручает Дашино признание в собственных недостатках при первой беседе. Саша моментально понимает смысл её взгляда и, уточнив, не являлось ли произошедшее розыгрышем, просит больше так не поступать.</t>
        </is>
      </c>
      <c r="L7065" s="2" t="inlineStr">
        <is>
          <t>https://ru.wikipedia.org/w/index.php?title=%D0%9F%D1%80%D0%B8%D0%BC%D0%BE%D1%80%D1%81%D0%BA%D0%B8%D0%B9_%D0%B1%D1%83%D0%BB%D1%8C%D0%B2%D0%B0%D1%80_%28%D1%84%D0%B8%D0%BB%D1%8C%D0%BC%29&amp;oldid=154236254</t>
        </is>
      </c>
      <c r="M7065" s="2">
        <f>HYPERLINK("https://ru.wikipedia.org/w/index.php?search=%D0%9F%D1%80%D0%B8%D0%BC%D0%BE%D1%80%D1%81%D0%BA%D0%B8%D0%B9%20%D0%B1%D1%83%D0%BB%D1%8C%D0%B2%D0%B0%D1%80%201988%20%D1%84%D0%B8%D0%BB%D1%8C%D0%BC","искать")</f>
        <v/>
      </c>
      <c r="N7065" s="3" t="n"/>
      <c r="O7065" s="2" t="n"/>
      <c r="P7065" s="2" t="n"/>
    </row>
    <row r="7066">
      <c r="A7066" s="2" t="n">
        <v>7065</v>
      </c>
      <c r="B7066" s="2" t="inlineStr"/>
      <c r="C7066" s="2" t="n">
        <v>9093</v>
      </c>
      <c r="D7066" s="3" t="inlineStr">
        <is>
          <t>Танго смерти</t>
        </is>
      </c>
      <c r="E7066" s="2" t="n">
        <v>1991</v>
      </c>
      <c r="F7066" s="2" t="inlineStr">
        <is>
          <t>кинофильм</t>
        </is>
      </c>
      <c r="G7066" s="2" t="n"/>
      <c r="H7066" s="2" t="n">
        <v>2260</v>
      </c>
      <c r="I7066" s="2" t="inlineStr"/>
      <c r="J7066" s="2" t="inlineStr"/>
      <c r="K7066" s="3" t="inlineStr">
        <is>
          <t>Начало 30-х годов двадцатого века. Советский санаторий на Украине. Молодые отдыхающие Майя и её друг по прозвищу Анарх часто нарушают установленный режим: покидают территорию и предаются любви на природе. Майя, раскрепощённая от всех условностей и моралей женщина, ненасытна в наслаждениях и не боится нарушения санаторного режима. В санаторий «революционным путём» вселяется Метранпаж, как он представляется. Он теснит Анарха в его одноместном номере. Анарх считает, что новоявленный жилец не тот, за кого себя выдает. Настоящие метранпажи трудятся в типографии, а не подслушивают разговоры и не ведут слежку за отдыхающими. Майю привлекают загадочные мужчины, и она хочет пофлиртовать с Метранпажем, но ещё больше её привлекает Анарх. Он попал в санаторий с сильно расстроенной психикой, с мучительными кошмарами, как следствием гражданской войны, когда командовал расстрелами мирных граждан. Анарх, прозванный так за слишком свободные высказывания, занимает руководящую должность. В городе начинаются аресты, и в санатории неспокойно: «воронок» увозит доктора. Анарх предполагает, что Метранпаж собирает компромат на него и советует ему убраться из санатория, что тот неожиданно делает. Молодая медсестра, симпатизирующая Анарху, подметила что Майя слишком надменна для машинистки, за которую себя выдает, и её пребывание в санатории непременно закончится скандалом. Майя в разговорах с Анархом пытается вызвать его на смелые высказывания против режима, но он не поддается на провокации. Кончается санаторная смена. Вечером Майя прощается с Анархом и признается, что была послана следить за ним. Анарха считали настоящим анархистом, и её задача была развязать его язык. Зная о любви Анарха к ней, Майя просит забыть всё, что было между ними. Она признается, что спала со многими мужчинами за идею и отправляла их на смерть, а теперь все превратилось в привычку без идей. В стране раскручивается маховик репрессий. Анарх раскаивается, что участием в расправах он тоже положил начало террору в стране. Анарх не хочет жить и предлагает Майе сделку. Она должна дать ему револьвер, а своему начальству доложить, что он застрелился после её разоблачения. Анарх реализует своё намерение, а Майя с похвалой за содеянное получает новое задание в кабинете на Лубянке.</t>
        </is>
      </c>
      <c r="L7066" s="2" t="inlineStr">
        <is>
          <t>https://gosfilmofond.ru/films/232515/</t>
        </is>
      </c>
      <c r="M7066" s="2">
        <f>HYPERLINK("https://ru.wikipedia.org/w/index.php?search=%D0%A2%D0%B0%D0%BD%D0%B3%D0%BE%20%D1%81%D0%BC%D0%B5%D1%80%D1%82%D0%B8%201991%20%D1%84%D0%B8%D0%BB%D1%8C%D0%BC","искать")</f>
        <v/>
      </c>
      <c r="N7066" s="3" t="n"/>
      <c r="O7066" s="2" t="n"/>
      <c r="P7066" s="2" t="n"/>
    </row>
    <row r="7067">
      <c r="A7067" s="2" t="n">
        <v>7066</v>
      </c>
      <c r="B7067" s="2" t="inlineStr"/>
      <c r="C7067" s="2" t="n">
        <v>8913</v>
      </c>
      <c r="D7067" s="3" t="inlineStr">
        <is>
          <t>Очарованный странник</t>
        </is>
      </c>
      <c r="E7067" s="2" t="n">
        <v>1990</v>
      </c>
      <c r="F7067" s="2" t="inlineStr">
        <is>
          <t>кинофильм</t>
        </is>
      </c>
      <c r="G7067" s="2" t="inlineStr">
        <is>
          <t>Мосфильм</t>
        </is>
      </c>
      <c r="H7067" s="2" t="n">
        <v>2262</v>
      </c>
      <c r="I7067" s="2" t="inlineStr"/>
      <c r="J7067" s="2" t="inlineStr"/>
      <c r="K7067" s="3" t="inlineStr">
        <is>
          <t>Среди пассажиров парохода зашёл разговор о подвижниках и праведниках. Один из пассажиров, Иван Северьянович Флягин, считая себя большим грешником, «для покаяния и очищения души» рассказывает пассажирам про свою жизнь.
После трагической гибели отца Иван стал служить конюхом и кучером у графа. Как-то раз, желая отомстить хозяйской кошке, съевшей голубят у него на конюшне, он отрубает ей хвост. Об этом становится известно господам, в наказание Иван был жестоко выпорот и изгнан с конюшни и из графских кучеров. Отлучённый от любимого дела, Иван переживает душевный кризис и даже совершает неудачную попытку самоубийства. Решив сбежать от хозяев, по наущению цыгана он уводит из конюшни двух лучших лошадей.
Убив в ходе состязания «наперепор» (попеременные удары друг друга камчой (кнутом) по спине) своего соперника, Иван прячется от полиции у кочевников, становясь их пленником на 11 лет. Заезжие русские миссионеры оставляют мольбу Ивана об освобождении из плена без внимания. Наконец во время степного пожара ему удаётся сбежать от кочевников, без сожаления оставив несколько своих жён и детей. По возвращении в имение местный священник отлучает его от церкви, как прожившего много лет у басурман и вынужденного многоженца. Старый набожный граф не желает видеть отлучённого от церкви возле себя.
Покинув имение, однажды на ярмарке Иван поражает своим знанием лошадей одного князя, и тот принимает его на службу конюхом. Во время пьяного загула у цыган, прельстившись красотой цыганки Груши, Иван тратит большую сумму казённых денег, но князь прощает его, поскольку сам влюблён в красавицу Грушу и потратил на неё куда как больше. Поддавшись уговорам князя, Груша поселяется у него, но вскоре наскучивает князю, и тот её оставляет. Покинутая и униженная Груша берёт с Ивана клятву исполнить её просьбу и требует убить её. Иван исполняет свою клятву.
Опустошённый и потерявший смысл жизни Иван соглашается идти в солдаты вместо первого встречного. Он прослужил 15 лет, воевал на Кавказе, дослужился до офицера и вышел в отставку. Когда-то в молодости Иван убил монаха по неосторожности, монах явился ему после смерти и предсказал судьбу, что его жизнь обещана его матерью Богу. После всех своих скитаний Иван исполняет предсказание монаха — уходит в монастырь.</t>
        </is>
      </c>
      <c r="L7067" s="2" t="inlineStr">
        <is>
          <t>https://ru.wikipedia.org/w/index.php?title=%D0%9E%D1%87%D0%B0%D1%80%D0%BE%D0%B2%D0%B0%D0%BD%D0%BD%D1%8B%D0%B9_%D1%81%D1%82%D1%80%D0%B0%D0%BD%D0%BD%D0%B8%D0%BA_%28%D1%84%D0%B8%D0%BB%D1%8C%D0%BC%2C_1990%29&amp;oldid=155694579</t>
        </is>
      </c>
      <c r="M7067" s="2">
        <f>HYPERLINK("https://ru.wikipedia.org/w/index.php?search=%D0%9E%D1%87%D0%B0%D1%80%D0%BE%D0%B2%D0%B0%D0%BD%D0%BD%D1%8B%D0%B9%20%D1%81%D1%82%D1%80%D0%B0%D0%BD%D0%BD%D0%B8%D0%BA%201990%20%D1%84%D0%B8%D0%BB%D1%8C%D0%BC","искать")</f>
        <v/>
      </c>
      <c r="N7067" s="3" t="n"/>
      <c r="O7067" s="2" t="n"/>
      <c r="P7067" s="2" t="n"/>
    </row>
    <row r="7068">
      <c r="A7068" s="2" t="n">
        <v>7067</v>
      </c>
      <c r="B7068" s="2" t="inlineStr"/>
      <c r="C7068" s="2" t="n">
        <v>9724</v>
      </c>
      <c r="D7068" s="3" t="inlineStr">
        <is>
          <t>Фонтан</t>
        </is>
      </c>
      <c r="E7068" s="2" t="n">
        <v>1988</v>
      </c>
      <c r="F7068" s="2" t="inlineStr">
        <is>
          <t>кинофильм</t>
        </is>
      </c>
      <c r="G7068" s="2" t="n"/>
      <c r="H7068" s="2" t="n">
        <v>2262</v>
      </c>
      <c r="I7068" s="2" t="inlineStr"/>
      <c r="J7068" s="2" t="inlineStr"/>
      <c r="K7068" s="3" t="inlineStr">
        <is>
          <t>В картине несколько сюжетных линий. Действие фильма происходит во времена перестройки в СССР в большом городе (Ленинграде), холодной зимой. Герои фильма — жильцы обычного дома, который вот-вот развалится, если бы не героические усилия главного инженера ЖЭК Лагутина. Лифт давно не работает, через капитальную стену проходит опасная трещина, крыша просела под тяжестью снега, но дом продолжает держаться, буквально на плечах подвижника Лагутина.
К его жене Майе приезжает её отец Сатыбалды Кербабаевич Кербабаев из сельской глубинки Средней Азии. Первое, на что он обращает внимание Лагутина, — это фонтанчик воды во дворе от повреждённой трубы отопления. Старому мелиоратору, участнику строительства Каракумского канала, всю жизнь прожившему в пустыне, невдомёк, почему в этом странном городе так равнодушно относятся к утечке воды. Объяснить это старику некому, потому что он почти не понимает и не говорит по-русски. Лагутин устраивает Кербабаева работать к себе в ЖЭК. В его несложные обязанности входит несколько раз в день спускаться в подвал дома и проверять не текут ли трубы, а о наличии утечки немедленно сообщать зятю. Однако, как только старик получает в руки власть над водой, чтобы устранить течь, он немедленно перекрывает трубы и запирается в подвале дома, отказываясь включить воду. В результате перестаёт работать отопление. Защищая Лагутина от начальства, его помощник объявляет отключение горячей воды «экономическим экспериментом», после чего к Лагутину приходит слава. Желая расширить «эксперимент», электрик обесточивает дом.
Концовка фильма — сплошная фантасмагория. Жильцы дома выходят на улицу, жгут костры, греются, пляшут и развлекаются как могут. Сами пытаются починить электричество и неожиданно запускают мёртвый лифт в зимнее ночное небо, как ракету. Внутри лифта сидит виновник событий — Сатыбалды Кербабаев. Лифт уносит его в неизвестность.
Всё происходящее в фильме как бы лежит в музыкальной основе симфонии, которую одновременно с событиями сочиняет один из жильцов дома — композитор Шестопалов. Его не трогает то, что дом вот-вот рухнет и все бытовые удобства отключаются одно за другим. Композитора наконец посетило вдохновение и он творит. Фантастическая концовка с улетающим лифтом совпадает с апофеозом безумной симфонии.</t>
        </is>
      </c>
      <c r="L7068" s="2" t="inlineStr">
        <is>
          <t>https://ru.wikipedia.org/w/index.php?title=%D0%A4%D0%BE%D0%BD%D1%82%D0%B0%D0%BD_%28%D1%84%D0%B8%D0%BB%D1%8C%D0%BC%2C_1988%29&amp;oldid=152872673</t>
        </is>
      </c>
      <c r="M7068" s="2">
        <f>HYPERLINK("https://ru.wikipedia.org/w/index.php?search=%D0%A4%D0%BE%D0%BD%D1%82%D0%B0%D0%BD%201988%20%D1%84%D0%B8%D0%BB%D1%8C%D0%BC","искать")</f>
        <v/>
      </c>
      <c r="N7068" s="3" t="n"/>
      <c r="O7068" s="2" t="n"/>
      <c r="P7068" s="2" t="n"/>
    </row>
    <row r="7069">
      <c r="A7069" s="2" t="n">
        <v>7068</v>
      </c>
      <c r="B7069" s="2" t="inlineStr"/>
      <c r="C7069" s="2" t="n">
        <v>9670</v>
      </c>
      <c r="D7069" s="3" t="inlineStr">
        <is>
          <t>Стару-ха-рмса</t>
        </is>
      </c>
      <c r="E7069" s="2" t="n">
        <v>1991</v>
      </c>
      <c r="F7069" s="2" t="inlineStr">
        <is>
          <t>кинофильм</t>
        </is>
      </c>
      <c r="G7069" s="2" t="n"/>
      <c r="H7069" s="2" t="n">
        <v>2281</v>
      </c>
      <c r="I7069" s="2" t="inlineStr"/>
      <c r="J7069" s="2" t="inlineStr"/>
      <c r="K7069" s="3" t="inlineStr">
        <is>
          <t>Первые послереволюционные годы. Грязные, мрачные окраины города. Поэт отрешённо повторяет на все лады фразу: «Чудотворец был высокого роста». Он наблюдает, как врачи в грязных халатах делают операцию. Они рьяно орудуют молотками, топорами и гвоздями. Снизу раздаются истошные крики, и из разбитого черепа льётся кровь, которую пьёт мышь. Группа бродяг роется в кучах мусора, твердя «Пятнадцать рук, пятнадцать рук». За ними гонится толпа, и бродяжки прячутся во рве, зарываясь в ворох осыпавшихся листьев. Поэт просыпается в постели, испуганно шарахается и начинает декламировать стихи на немецком языке. Потом он жалуется, что мальчишки на улице раздражают его шумом. Поэт мечтает наслать на них болезни, чтобы дети околели от столбняка. Он заявляет, что чувствует в себе огромную силу и будет писать о современном чудотворце, который ничего не делает. Старуха, похожая на крысу, маргинальные персонажи, оттесняя друг друга, стремится отразить свои образы в глазах поэта. Крики, плач, вой - и одинокий чистый женский голос исполняет классическую арию. Разношёрстная плотная очередь. Интеллигентного вида дамочка из очереди сочувствует поэту: «Мне вас жалко, мужчины не должны стоять в очередях за хлебом». Поэт воображает эту даму в бальном платье, танцующую в зале. Она нравится ему, и мужчина хочет пригласить её к себе домой выпить водки, но вспоминает, что дома у него безумная старуха. Поэт расстаётся с новой знакомой, лелея надежду позже разыскать дамочку. Для этого есть хороший повод, ведь он должен ей 48 копеек за хлеб. Дома старуха то исчезает, то появляется вновь. Поэт мечтает её убить, ведь она мешает ему работать. Но останавливает его то, что он терпеть не может не только детей, но и покойников, ведь они беспокойники. Старуха лежит на пороге, уткнувшись лицом в пол, она умерла. Поэт в растерянности. Возмездие неотвратимо, ведь он убил её силой своего желания. Он воображает, что его расстреливают у красной заводской стены, и тело его распято на этой же стене. Мысли, как расправиться со старухой-символом прошлого, не оставляет его в покое. Поэт топит старуху в болоте, потом сбрасывает её с башенного крана вниз. Но прошлое не покидает его, а тема новой поэзии «Мы наш, мы новый мир построим» оборачивается для поэта горьким разочарованием и безысходностью.</t>
        </is>
      </c>
      <c r="L7069" s="2" t="inlineStr">
        <is>
          <t>https://gosfilmofond.ru/films/232509/</t>
        </is>
      </c>
      <c r="M7069" s="2">
        <f>HYPERLINK("https://ru.wikipedia.org/w/index.php?search=%D0%A1%D1%82%D0%B0%D1%80%D1%83-%D1%85%D0%B0-%D1%80%D0%BC%D1%81%D0%B0%201991%20%D1%84%D0%B8%D0%BB%D1%8C%D0%BC","искать")</f>
        <v/>
      </c>
      <c r="N7069" s="3" t="n"/>
      <c r="O7069" s="2" t="n"/>
      <c r="P7069" s="2" t="n"/>
    </row>
    <row r="7070">
      <c r="A7070" s="2" t="n">
        <v>7069</v>
      </c>
      <c r="B7070" s="2" t="inlineStr"/>
      <c r="C7070" s="2" t="n">
        <v>7782</v>
      </c>
      <c r="D7070" s="3" t="inlineStr">
        <is>
          <t>Кукушкины дети</t>
        </is>
      </c>
      <c r="E7070" s="2" t="n">
        <v>1991</v>
      </c>
      <c r="F7070" s="2" t="inlineStr">
        <is>
          <t>телефильм</t>
        </is>
      </c>
      <c r="G7070" s="2" t="n"/>
      <c r="H7070" s="2" t="n">
        <v>2293</v>
      </c>
      <c r="I7070" s="2" t="inlineStr"/>
      <c r="J7070" s="2" t="inlineStr"/>
      <c r="K7070" s="3" t="inlineStr">
        <is>
          <t>Великая Отечественная война. В захваченном белорусском городке немцы отбирают среди детдомовских детей подростков. Их одевают в немецкую форму и в сопровождении белоруса-надзирателя отправляют в Германию. «Все мы кукушкины дети», - говорит он, глядя на мальчишек. Учеба в разведшколе в немецком городке. Дядька Игнат по-прежнему за старшего у мальчишек, к которым он относится, как к родным, ведь у него никого больше нет. После окончания школы троих ребят забрасывают в расположение советских войск. Митя пытается устроить диверсию, подбросить взрывчатку в топку поезда и его арестовывают. Ваню тоже захватывают. Витя сам приходит в СМЕРШ и признается, что он немецкий диверсант поневоле. Допрашивающий его майор говорит, что он своим никогда не будет, ведь он сын врагов народа, арестованных в 38-м году. Мальчик узнает в офицере человека, который приходил арестовывать его родителей. На вопрос, где они, он не получает ответа. Мальчишек запирают в подвале, а на следующий день везут на расстрел. Их заставляют рыть могилу под надзором пьяного могильщика. На обратном пути майор на машине подрывается на мосту. Ребята улучают момент и разбегаются. Витя и Митя видят раненого майора и хотят ему помочь, но тот стреляет и тяжело ранит Митю. Младший из мальчиков отправляется в ближайшую деревню за помощью. Раненого Митю забирает старик. Вместе с внучкой он выхаживает юношу. Витя отправляется на поиски Вани, и вскоре они возвращаются в деревню. Но они не застают Митю, который ушел в город в надежде найти друзей. Там юноша встречает дядьку Игната, который сообщает ему, что перешел на сторону русских, захватив с собой картотеку немецкой школы разведчиков. На Родине встретили с недоверием, но после проверки направили на фронт. Он искупил своей кровью вину и теперь направляется домой. Митька верит ему, но вскоре понимает, что ошибся. Игнат пытается убить юношу, оправдываясь, что его работа такая. Обороняясь, Митька тяжело ранит Игната. Перед смертью тот сообщает, что ночью за ним должен прилететь самолет из Германии. «Улетай, Митька, чтобы хорошо пожить там вместо меня». Митька объясняет своим друзьям, что им невозможно без самолёта вернуться в родные края. Ночью ребята захватывают самолёт и летят прочь от фронта на родной аэродром. Зенитная установка русских сбивает их самолёт.</t>
        </is>
      </c>
      <c r="L7070" s="2" t="inlineStr">
        <is>
          <t>https://gosfilmofond.ru/films/232378/</t>
        </is>
      </c>
      <c r="M7070" s="2">
        <f>HYPERLINK("https://ru.wikipedia.org/w/index.php?search=%D0%9A%D1%83%D0%BA%D1%83%D1%88%D0%BA%D0%B8%D0%BD%D1%8B%20%D0%B4%D0%B5%D1%82%D0%B8%201991%20%D1%84%D0%B8%D0%BB%D1%8C%D0%BC","искать")</f>
        <v/>
      </c>
      <c r="N7070" s="3" t="n"/>
      <c r="O7070" s="2" t="n"/>
      <c r="P7070" s="2" t="n"/>
    </row>
    <row r="7071">
      <c r="A7071" s="2" t="n">
        <v>7070</v>
      </c>
      <c r="B7071" s="2" t="inlineStr"/>
      <c r="C7071" s="2" t="n">
        <v>9134</v>
      </c>
      <c r="D7071" s="3" t="inlineStr">
        <is>
          <t>Ущелье "Духов"</t>
        </is>
      </c>
      <c r="E7071" s="2" t="n">
        <v>1991</v>
      </c>
      <c r="F7071" s="2" t="inlineStr">
        <is>
          <t>кинофильм</t>
        </is>
      </c>
      <c r="G7071" s="2" t="n"/>
      <c r="H7071" s="2" t="n">
        <v>2310</v>
      </c>
      <c r="I7071" s="2" t="inlineStr"/>
      <c r="J7071" s="2" t="inlineStr"/>
      <c r="K7071" s="3" t="inlineStr">
        <is>
          <t>На Кандагарской заставе в Афганистане военные ждут скорого возвращения на Родину. Но им предстоит последняя операция. Губернатор просит приструнить душманов, которые устраивают поджоги и хотят посеять панику среди населения. Он опасается, что когда войска уйдут, начнется резня, голод, народ побежит, сметут его, губернатора, и партийных. Пришла информация о передвижении каравана с оружием для местных банд и наркотиками для Союза. Задача, как её ставит полковник из штаба, «пошерстить немного по-умному, и назад». Накануне возвращения войск цинковые гробы ему не нужны. Полковник обещает, что если военные хорошо отработают, то все вернутся домой с наградами. Две группы военных отправляются на задание. Разведротой командует капитан Грачев. По его началом пять человек, в том числе опытный ст. лейтенант Кологривко и выпускник военного училища лейтенант Молдованов, который рад возможности применить на практике то, чему его учили. Ночью разведчики прощупывают местность и натыкаются на душманов. Завязывается бой, и военные захватывают четверых афганцев. Остальные душманы уходят. В разведроте есть потери. Грачев понимает, что душманы вернутся с подкреплением, и дает команду преследовать афганцев. На рассвете военные настигают и уничтожают их без выстрелов. Последний душман открывает стрельбу и убивает солдата. Силы разведроты на исходе. Группа ждёт в укрытии подкрепления, но помощь не идёт. Грачев приказывает расстрелять пленных. Молдованов отказывается, мотивируя это тем, что он не мясник. У молодого офицера начинается паника. Он понимает, что стал заложником в этой безумной войне. 10 лет войны не принесли победы, офицеры пьют и заботятся лишь о том, как обеспечить своё будущее после возвращения на Родину. Он бросает Грачеву обвинение, что тот на их костях хочет получить орден. К развалинам строения, где затаились военные, подтягиваются многочисленные группы душманов. Начинается перестрелка. Потери с обеих сторон. Живых осталось двое: Грачев и контуженный Кологривко. Грачев просит прощения у погибших: «Сынки мои, видит бог, я не виноват!», и сам расстреливает пленных душманов. Когда Кологривко приходит в себя, душманы уже покинули место сражения. Капитан Грачев мертв. Собрав все силы, старший лейтенант бредёт по пустынной местности. Над горами эхом раздается мусульманская молитва.</t>
        </is>
      </c>
      <c r="L7071" s="2" t="inlineStr">
        <is>
          <t>https://gosfilmofond.ru/films/232543/</t>
        </is>
      </c>
      <c r="M7071" s="2">
        <f>HYPERLINK("https://ru.wikipedia.org/w/index.php?search=%D0%A3%D1%89%D0%B5%D0%BB%D1%8C%D0%B5%20%22%D0%94%D1%83%D1%85%D0%BE%D0%B2%22%201991%20%D1%84%D0%B8%D0%BB%D1%8C%D0%BC","искать")</f>
        <v/>
      </c>
      <c r="N7071" s="3" t="n"/>
      <c r="O7071" s="2" t="n"/>
      <c r="P7071" s="2" t="n"/>
    </row>
    <row r="7072">
      <c r="A7072" s="2" t="n">
        <v>7071</v>
      </c>
      <c r="B7072" s="2" t="inlineStr"/>
      <c r="C7072" s="2" t="n">
        <v>9176</v>
      </c>
      <c r="D7072" s="3" t="inlineStr">
        <is>
          <t>Шоу-бой</t>
        </is>
      </c>
      <c r="E7072" s="2" t="n">
        <v>1991</v>
      </c>
      <c r="F7072" s="2" t="inlineStr">
        <is>
          <t>кинофильм</t>
        </is>
      </c>
      <c r="G7072" s="2" t="n"/>
      <c r="H7072" s="2" t="n">
        <v>2314</v>
      </c>
      <c r="I7072" s="2" t="inlineStr"/>
      <c r="J7072" s="2" t="inlineStr"/>
      <c r="K7072" s="3" t="inlineStr">
        <is>
          <t>Конец двадцатого века. Новоявленный продюсер Горелов создает в Москве группу «Каникулы» из старшеклассников. Группа становится популярной с приходом в неё солиста Андрея, романтичного юноши, который сочиняет и поет лирические песни. На одном из концертов он обращает внимание на очаровательную большеглазую девушку. Неожиданно он встречает её в офисе своего продюсера и знакомится с ней. Молодые люди начинают встречаться. Андрей приглашает Машу вместе съездить в Питер, где находит вдохновение для новых песен. На обратном пути в купе на двоих он позволяет себе только поцеловать Машу. Продюсер Горелов имеет далеко идущие планы распространить свой бизнес за пределы страны. В Москву прилетают шведский бизнесмен Томас Андерсен. Бывший комсомольский функционер Горелов планирует создать со шведом совместное предприятие. Он устраивает вечеринку для гостя с размахом: шикарный стол, девочки, музыка. Горелов требует присутствия Маши на вечеринке, и она вынуждена согласиться, так как работает моделью в его агентстве. Её представляют Андерсену, и они проводят вечер вместе. На следующий день продюсер отправляет Машу в Крым, давая задание вскружить голову Томасу. Маша не хочет уезжать, потому что ждёт встречу с Андреем. Понимая, что Горелов не даст ей жить спокойно, она летит с гостем на юг. Андрей звонит Маше домой, а завистливая соседка объявляет ему, что Маша целую ночь где-то шлялась с иностранцами. Андрей шокирован. Он по-настоящему влюблен в Машу и не хочет верить услышанному. Но шеф подливает масла в огонь. Он сообщает юноше, что Маша – опытная шлюха, и показывает фото обнаженной девушки. Андрей шокирован. После возвращения из Крыма Андерсена и Маши Горелов подписывает желанный договор. Тогда помощник Горелова просит Андрея не обижаться на Машу и объясняет ему, что снимки ню девушки имеют право быть, потому что она фотомодель. Андрей поджидает Машу, просит у неё прощения и предлагает возобновить отношения. Она отвечает, что поздно что-то исправлять. Андрей выбит из колеи, перестает писать новые песни, отказывается от участия в гастролях. Проходит полгода. Андрей узнает, что Маша выходит замуж за Андерсена и через 2 часа у неё вылет в Швецию. Андрей не может выехать в аэропорт из-за сломавшейся машины. Маша напрасно ищет глазами возлюбленного среди провожающих. Пора пересекать границу.</t>
        </is>
      </c>
      <c r="L7072" s="2" t="inlineStr">
        <is>
          <t>https://gosfilmofond.ru/films/232569/</t>
        </is>
      </c>
      <c r="M7072" s="2">
        <f>HYPERLINK("https://ru.wikipedia.org/w/index.php?search=%D0%A8%D0%BE%D1%83-%D0%B1%D0%BE%D0%B9%201991%20%D1%84%D0%B8%D0%BB%D1%8C%D0%BC","искать")</f>
        <v/>
      </c>
      <c r="N7072" s="3" t="n"/>
      <c r="O7072" s="2" t="n"/>
      <c r="P7072" s="2" t="n"/>
    </row>
    <row r="7073">
      <c r="A7073" s="2" t="n">
        <v>7072</v>
      </c>
      <c r="B7073" s="2" t="inlineStr"/>
      <c r="C7073" s="2" t="n">
        <v>9258</v>
      </c>
      <c r="D7073" s="3" t="inlineStr">
        <is>
          <t>Бухта смерти</t>
        </is>
      </c>
      <c r="E7073" s="2" t="n">
        <v>1991</v>
      </c>
      <c r="F7073" s="2" t="inlineStr">
        <is>
          <t>кинофильм</t>
        </is>
      </c>
      <c r="G7073" s="2" t="n"/>
      <c r="H7073" s="2" t="n">
        <v>2314</v>
      </c>
      <c r="I7073" s="2" t="inlineStr"/>
      <c r="J7073" s="2" t="inlineStr"/>
      <c r="K7073" s="3" t="inlineStr">
        <is>
          <t>Юг России начала 90-х годов 20 столетия. После службы в армии молодой искатель приключений Юра Медунов едет к другу на море подзаработать денег и отдохнуть. По пути он отбивает от бандитов цыгана Романа, и тот предлагает устроить его спасателем на турбазе, где сам он работает музыкантом в «кабаке». До бухты у Золотой балки их берется подвести странная женщина-водитель в темных очках, которая спешит туда с каким-то заказом. Вернувшись после посещения придорожного кафе, мужчины находят в фургоне труп мужчины. Рядом лежит женский парик. Обыскав труп, парни находят ключи от камеры хранения и какую-то карту. Боясь нарваться на неприятности, они покидают место преступления и добираются до бухты. Хозяин турбазы Александр Михайлович, он же местный «крестный отец» Сосо, берет крепкого и сильного Юру на работу, несмотря на то, что он не понравился его подруге Нане. В бухте пропали 3 человек и лодка. Один из них по кличке Лысый был убит в фургоне. Два трупа милиционеры вскоре вытащили с мелководья. Расследованием убийств занимается капитан милиции Анатолий Ленский. Он предлагает Юре сотрудничать с милицией, но тот демонстративно выбрасывает визитку с координатами капитана. Ленский допрашивает подругу Лысого Майю. Та сообщает, что Лысый кого-то боялся и беспокоился о лодке. Он уехал, чтобы отвезти какие-то вещи в камеру хранения. Майю вскоре убивают, осложняя расследование. Юра пытается разгадать загадку с ключем и картой самостоятельно, и получает предупреждение не лезть в чужие проблемы и не путаться под ногами. Но вскоре его берет «в дело» Нана, которая признается Юре, что влюбилась в него, как только увидела. Она рассказывает, что возле Бухты Смерти на Золотой балке Сосо прячет свои сокровища. Их обнаружили трое местных и решили завладеть находкой. Когда они погрузили сокровища в лодку, один из них, Лысый, решил не делиться с приятелями и утопил их в море. Но и его самого настигла смерть, когда он пытался перепрятать часть награбленного. Нана предлагает Юре вместе с нею добраться до старой лодки с иконами и наркотиками, спрятанной возле Золотой балки, и переправить её в Одессу, где товар ждет клиент. Когда они поднялись на лодку и увлеченно рассматривали добычу, Нану убивает выстрел из засады. Юра в растерянности стоит на лодке, а к Золотой балке на катере приближаются милиционеры.</t>
        </is>
      </c>
      <c r="L7073" s="2" t="inlineStr">
        <is>
          <t>https://gosfilmofond.ru/films/232628/</t>
        </is>
      </c>
      <c r="M7073" s="2">
        <f>HYPERLINK("https://ru.wikipedia.org/w/index.php?search=%D0%91%D1%83%D1%85%D1%82%D0%B0%20%D1%81%D0%BC%D0%B5%D1%80%D1%82%D0%B8%201991%20%D1%84%D0%B8%D0%BB%D1%8C%D0%BC","искать")</f>
        <v/>
      </c>
      <c r="N7073" s="3" t="n"/>
      <c r="O7073" s="2" t="n"/>
      <c r="P7073" s="2" t="n"/>
    </row>
    <row r="7074">
      <c r="A7074" s="2" t="n">
        <v>7073</v>
      </c>
      <c r="B7074" s="2" t="inlineStr"/>
      <c r="C7074" s="2" t="n">
        <v>8757</v>
      </c>
      <c r="D7074" s="3" t="inlineStr">
        <is>
          <t>Камми</t>
        </is>
      </c>
      <c r="E7074" s="2" t="n">
        <v>1991</v>
      </c>
      <c r="F7074" s="2" t="inlineStr">
        <is>
          <t>кинофильм</t>
        </is>
      </c>
      <c r="G7074" s="2" t="n"/>
      <c r="H7074" s="2" t="n">
        <v>2315</v>
      </c>
      <c r="I7074" s="2" t="inlineStr"/>
      <c r="J7074" s="2" t="inlineStr"/>
      <c r="K7074" s="3" t="inlineStr">
        <is>
          <t>Конец 80-х, Ташкент. Камилла –образованная привлекательная еврейская девушка из состоятельной семьи от скуки развлекается тем, что создает провокационные ситуации: то садится в случайную машину, то провоцирует драку, то устраивает в ресторане показательную сцену ревности и выяснения отношений с прежней своей любовью. Камми позволяет себе все, что захочет. Она пресыщена жизнью и хочет лишь одного, чтобы все окружающие жили, как хотят и как могут, и не обманывали её. Это доставляет ей страдания. Её брат пытается вразумить Камми, что все люди-шакалы, и на этом построены взаимоотношения. Камилла собирается уехать в Америку, но боится, что там её чувствительной натуре не будет хватать духовности, которая подвигает её делать маленькие подвиги ради друзей и любимых. Зная, что она уезжает, её первый мужчина приходит мириться, но она не хочет простить его за прошлые обманы. Он пытается убедить её, что жизнь – это просто акт искусства, а сам пришел забрать свои телевизор и холодильник. Камилла встречает его с подушкой на животе, имитируя глубокую беременность. Но она не видит ни его радости, ни его участия, а слышит колкие предположения о предполагаемом отце ребенка из числа её поклонников. Её мужчина уходит, оставляя наедине с безысходностью, ведь она действительно беременна от него. Она ощущает себя, как в заключении, из которого стремится любым способом вырваться. Камми обращается к своему приятелю-гинекологу, чтобы сделать аборт, но он отказывается прерывать беременность, ведь это может навсегда испортить ей жизнь. Она пытается покончить с собой, но мама успевает спасти её. Камилла просит её о помощи. Она чувствует себя загнанной лошадью и не видит выхода. Мама объясняет дочери, что любовь – это то, что после постели и указывает Камми на её давнего почитателя-гинеколога. И Камилла выходит за него замуж. Муж признается ей, что он циник-девственник и женился, потому что почувствовал себя её спасителем. Он хочет с ней близости, но стесняется её, стесняется своих желаний и своего тела. Раскрепощенная Камилла просит прощения у мужа, что не может с ним таким, не от мира сего, вступить в любовную связь. Тогда он рассказывает ей притчу о терпеливом японце, который вывел аистов из яиц и научил их летать, и просит Камиллу не сдаваться. Она плачет и обнимает его ноги, спрятанные под одеялом.</t>
        </is>
      </c>
      <c r="L7074" s="2" t="inlineStr">
        <is>
          <t>https://gosfilmofond.ru/films/232325/</t>
        </is>
      </c>
      <c r="M7074" s="2">
        <f>HYPERLINK("https://ru.wikipedia.org/w/index.php?search=%D0%9A%D0%B0%D0%BC%D0%BC%D0%B8%201991%20%D1%84%D0%B8%D0%BB%D1%8C%D0%BC","искать")</f>
        <v/>
      </c>
      <c r="N7074" s="3" t="n"/>
      <c r="O7074" s="2" t="n"/>
      <c r="P7074" s="2" t="n"/>
    </row>
    <row r="7075">
      <c r="A7075" s="2" t="n">
        <v>7074</v>
      </c>
      <c r="B7075" s="2" t="inlineStr"/>
      <c r="C7075" s="2" t="n">
        <v>8787</v>
      </c>
      <c r="D7075" s="3" t="inlineStr">
        <is>
          <t>Курица</t>
        </is>
      </c>
      <c r="E7075" s="2" t="n">
        <v>1991</v>
      </c>
      <c r="F7075" s="2" t="inlineStr">
        <is>
          <t>кинофильм</t>
        </is>
      </c>
      <c r="G7075" s="2" t="n"/>
      <c r="H7075" s="2" t="n">
        <v>2318</v>
      </c>
      <c r="I7075" s="2" t="inlineStr"/>
      <c r="J7075" s="2" t="inlineStr"/>
      <c r="K7075" s="3" t="inlineStr">
        <is>
          <t>Провинциальный городишко Дощатово. Прима местного театра Алла рано утром пробирается в комнату общежития, где живёт юная смазливая Нонна – начинающая актриса. Алла готова к тому, что застанет в постели девицы своего мужа Василия, администратора театра, и с позором выгонит её из города. Накануне Вася объявил ей, что разводится, потому что у них с Нонной неземная любовь. Однако в постели «курицы», как она называет соперницу, Алла обнаруживает режиссера театра Федора Ильича. Тот с гордостью заявляет, что сделал Нонне предложение вступить с ним в брак, и она согласилась. Однако Алла сообщает ему, что когда она уезжала из города неделю назад, её муж сожительствовал с курицей. На вопрос Федора, правда ли это, Нонна признается, что любит Василия. Алла театрально разыгрывает обморок, а любовники умоляют её не умирать. На упрек женщины, что «гадина» ей в минуту всю жизнь сломала, Нонна сообщает, что идёт топиться, а Федор бежит за ней, спасать. Масла в огонь подливает подружка Аллы, жена режиссера Диана – обрюзгшая вульгарная дамочка. Она приносит заговоренные соль и сахар, чтобы отвести Василия от курицы и 3-х литровую банку зеленки, чтобы испортить лицо сопернице. Но планы не удается осуществить. Нонну, случайно свалившуюся в прорубь, мокрую и продрогшую, привозит на тележке Василий. Сопровождает его растерянный Федор Ильич. В комнате Нонны они пытаются выяснить, кого же из них любит Нонночки, но та, придя в себя, издевательски смеется над обоими и сообщает, что она покидает театр уезжает в другой город. Там её ждет режиссер местного театра, который обещает ей гастроли по всему миру. Она желает присутствующим загнивать в Дощатове, забирает чемодан, в который Алла и Диана в отсутствие Нонны успели затолкать её вещи, и уходит. Федор и Василий наперебой бросаются вешаться, но крюк вырывается, и мужчины падают. Жены бросаются их утешать, и вскоре намечавшаяся трагедия перерастает в семейную идиллия. Люди из соседних комнат общежития, собравшиеся на шум, аплодируют мизансцене, думая, что здесь репетиция. Дружные и довольные супружеские пары покидают общежитие. А Нонна, расположившись на скамейке недалеко от дома, достает из чемодана театральные атрибуты, шляпу и шпагу, и, танцуя, движется по улице. Оказавшийся поблизости гаишник погружает её чемодан на свой мотоцикл и медленно едет за ней.</t>
        </is>
      </c>
      <c r="L7075" s="2" t="inlineStr">
        <is>
          <t>https://gosfilmofond.ru/films/274169/</t>
        </is>
      </c>
      <c r="M7075" s="2">
        <f>HYPERLINK("https://ru.wikipedia.org/w/index.php?search=%D0%9A%D1%83%D1%80%D0%B8%D1%86%D0%B0%201991%20%D1%84%D0%B8%D0%BB%D1%8C%D0%BC","искать")</f>
        <v/>
      </c>
      <c r="N7075" s="3" t="n"/>
      <c r="O7075" s="2" t="n"/>
      <c r="P7075" s="2" t="n"/>
    </row>
    <row r="7076">
      <c r="A7076" s="2" t="n">
        <v>7075</v>
      </c>
      <c r="B7076" s="2" t="inlineStr"/>
      <c r="C7076" s="2" t="n">
        <v>7493</v>
      </c>
      <c r="D7076" s="3" t="inlineStr">
        <is>
          <t>Дело</t>
        </is>
      </c>
      <c r="E7076" s="2" t="n">
        <v>1991</v>
      </c>
      <c r="F7076" s="2" t="inlineStr">
        <is>
          <t>телефильм</t>
        </is>
      </c>
      <c r="G7076" s="2" t="n"/>
      <c r="H7076" s="2" t="n">
        <v>2321</v>
      </c>
      <c r="I7076" s="2" t="inlineStr"/>
      <c r="J7076" s="2" t="inlineStr"/>
      <c r="K7076" s="3" t="inlineStr">
        <is>
          <t>Отставной капитан, помещик Муромский берётся отстаивать в суде честь своей дочери Лидочки — пять лет назад её жених Кречинский совершил мошенничество, и дело не прекращается по сей день. Как считает следователь, в деле была замешана и сама Лидочка, потому что при появлении полиции произнесла фразу «Это была моя ошибка» (в действительности же, как утверждает Муромский, она сказала просто «Это была ошибка»). Муромскому настойчиво советуют решить все проблемы с помощью взятки, и отчаявшийся помещик вынужден последовать этому совету.
Через чиновника Тарелкина Муромский просит аудиенции у его начальника Варравина, который намекает ему, что дело можно будет закрыть благоприятно для Муромских, если он даст взятку в тридцать тысяч рублей серебром. Это огромная сумма для и так уже почти разорённого Муромского. Он пытается искать защиты у Князя, начальника Варравина, однако тому не нравится попытка помещика уличить чиновников в бездушии и формализме. Неожиданно для Варравина, который хотел уже спустить дело «на тормозах», Князь просит Варравина направить дело на переследование «и построже».
В результате беседы с Тарелкиным, однако, Варравину приходит в голову другой план. Муромский с трудом собирает деньги, причём управляющий его имением Иван Сидоров также вкладывает свою долю. Придя к Варравину и отдав ему сумму, Муромский уходит успокоенный тем, что его дело будет решено, однако Варравин возвращает его. При других чиновниках он возвращает Муромскому пакет с деньгами, заявляя, что Муромский пытался дать ему взятку. Ничего не понимающий Муромский берёт пакет и понимает, что оттуда вытащили почти все деньги. Поняв, что его обманули, он обвиняет Варравина и призывает на помощь, а затем падает в обморок. Представив его как сумасшедшего и пьяного, появившийся на месте событий Князь и Важное лицо приказывают выволочь помещика из кабинета.
Через некоторое время Тарелкин заходит к Варравину и сообщает, что Муромский скончался. Тарелкин пытается убедить Варравина, что ему теперь принадлежит часть денег из взятки, на что Варравин отвечает, что никакой взятки не было, так как он отдал все деньги в пакете Муромскому. Тарелкин, давно погрязший в долгах и рассчитывавший на эти деньги, плачет, собирая на полу рассыпавшиеся бумаги. Тем временем Варравин перепрятывает деньги Муромского в ящик своего стола.</t>
        </is>
      </c>
      <c r="L7076" s="2" t="inlineStr">
        <is>
          <t>https://ru.wikipedia.org/w/index.php?title=%D0%94%D0%B5%D0%BB%D0%BE_%28%D1%84%D0%B8%D0%BB%D1%8C%D0%BC%2C_1991%29&amp;oldid=148321934</t>
        </is>
      </c>
      <c r="M7076" s="2">
        <f>HYPERLINK("https://ru.wikipedia.org/w/index.php?search=%D0%94%D0%B5%D0%BB%D0%BE%201991%20%D1%84%D0%B8%D0%BB%D1%8C%D0%BC","искать")</f>
        <v/>
      </c>
      <c r="N7076" s="3" t="n"/>
      <c r="O7076" s="2" t="n"/>
      <c r="P7076" s="2" t="n"/>
    </row>
    <row r="7077">
      <c r="A7077" s="2" t="n">
        <v>7076</v>
      </c>
      <c r="B7077" s="2" t="inlineStr"/>
      <c r="C7077" s="2" t="n">
        <v>8418</v>
      </c>
      <c r="D7077" s="3" t="inlineStr">
        <is>
          <t>Судьба барабанщика</t>
        </is>
      </c>
      <c r="E7077" s="2" t="n">
        <v>1976</v>
      </c>
      <c r="F7077" s="2" t="inlineStr">
        <is>
          <t>телефильм</t>
        </is>
      </c>
      <c r="G7077" s="2" t="n"/>
      <c r="H7077" s="2" t="n">
        <v>2328</v>
      </c>
      <c r="I7077" s="2" t="inlineStr"/>
      <c r="J7077" s="2" t="inlineStr"/>
      <c r="K7077" s="3" t="inlineStr">
        <is>
          <t>Действие происходит в 1930-е годы. Пионер Серёжа Щербачов живет с отцом-фронтовиком и мачехой Валентиной. Однажды, когда отца не было дома, в квартиру приходит неизвестный в костюме и шляпе и передаёт Валентине пакет. Вскоре в доме Щербачовых происходит обыск, Серёжиного отца арестовывают за хищение крупной суммы, а Валентина уезжает на Кавказ с неким Лобачовым.
Оставшись один, Серёжа находит в квартире наградной пистолет Лобачова без патронов. Вскоре в квартиру приходит человек, называющий себя братом мачехи Сергея, а соответственно, Серёжиным дядей, в компании какого-то старика по имени Яков, и вместе с ними Серёжа уезжает из Москвы.
По дороге под предлогом плохого самочувствия Яков пересаживается из плацкарта в купе, где похищает у соседа-военного планшет, который «дядя», не найдя ничего важного, выбрасывает в окно. Серёжа, «дядя» и старик Яков добираются до Киева, где останавливаются у полусумасшедшей старухи, а Сережа знакомится со Славкой — сыном военного инженера.
Умело манипулируя Сергеем, «дядюшка» внушает ему, что он должен бывать в доме Славки и узнавать, чем занимается его отец. Так он узнаёт, что Славка с отцом уезжают в деревню, но отец потом должен вернуться в Киев. Тогда «дядюшка» говорит Серёже, что Якову нужно уехать в Чернигов к «больной бабушке», а его самого он отправит в Одессу учиться в школу мичманов.
Такая спешка кажется Сереже подозрительной, и на всякий случай он обращается в бюро справок, где и раскрывается обман — никакой мичманской школы в Одессе нет и в помине (к тому же, в ВМФ СССР с 1922 по 1940 год не было звания мичман, а действие происходит в 1938 году). Серёжа бежит домой и случайно подслушивает разговор «дяди» и старика Якова, из которого узнает правду: «дядюшка» и Яков — это двое опасных бандитов и шпионов, не знакомых с его мачехой.
Серёжа решает противостоять преступникам. Зная, что старуха частенько ходит в дядину комнату, он устраивает там погром, чтобы «дядя» подумал на старуху. В панике бандиты тратят время на старуху, но когда они, уже собравшись, собираются бежать, Серёжа выходит им наперерез с ранее найденным в комнате браунингом, но выстрелить не успевает, получая от «дядюшки» пулевое ранение в шею. Но бандитам некуда бежать: в сад уже врывается группа захвата, а раненого Серёжу доставляют в больницу, где он встречает Славку и своего отца.</t>
        </is>
      </c>
      <c r="L7077" s="2" t="inlineStr">
        <is>
          <t>https://ru.wikipedia.org/w/index.php?title=%D0%A1%D1%83%D0%B4%D1%8C%D0%B1%D0%B0_%D0%B1%D0%B0%D1%80%D0%B0%D0%B1%D0%B0%D0%BD%D1%89%D0%B8%D0%BA%D0%B0_%28%D1%84%D0%B8%D0%BB%D1%8C%D0%BC%2C_1976%29&amp;oldid=154167485</t>
        </is>
      </c>
      <c r="M7077" s="2">
        <f>HYPERLINK("https://ru.wikipedia.org/w/index.php?search=%D0%A1%D1%83%D0%B4%D1%8C%D0%B1%D0%B0%20%D0%B1%D0%B0%D1%80%D0%B0%D0%B1%D0%B0%D0%BD%D1%89%D0%B8%D0%BA%D0%B0%201976%20%D1%84%D0%B8%D0%BB%D1%8C%D0%BC","искать")</f>
        <v/>
      </c>
      <c r="N7077" s="3" t="n"/>
      <c r="O7077" s="2" t="n"/>
      <c r="P7077" s="2" t="n"/>
    </row>
    <row r="7078">
      <c r="A7078" s="2" t="n">
        <v>7077</v>
      </c>
      <c r="B7078" s="2" t="inlineStr"/>
      <c r="C7078" s="2" t="n">
        <v>10949</v>
      </c>
      <c r="D7078" s="3" t="inlineStr">
        <is>
          <t>Монт-Ориоль</t>
        </is>
      </c>
      <c r="E7078" s="2" t="n">
        <v>1982</v>
      </c>
      <c r="F7078" s="2" t="inlineStr">
        <is>
          <t>фильм-спектакль</t>
        </is>
      </c>
      <c r="G7078" s="2" t="inlineStr">
        <is>
          <t>Ленинградское ТВ</t>
        </is>
      </c>
      <c r="H7078" s="2" t="n">
        <v>2334</v>
      </c>
      <c r="I7078" s="2" t="inlineStr"/>
      <c r="J7078" s="2" t="inlineStr"/>
      <c r="K7078" s="3" t="inlineStr">
        <is>
          <t>По мотивам романа французского писателя Ги де Мопассана.
Христиана, 21-летняя девушка — дочь маркиза де Равенеля, замужем за богатым еврейским банкиром Вильямом Андерматом.
Андермат женился на ней, чтобы проникнуть в высшие круги общества. С помощью денег ему удалось преодолеть предубеждения
семьи Равенелей против брака Христианы с евреем. Однако около трёх лет у супругов нет детей, и Андермат привозит жену
на курорт в надежде, что врачи и минеральные воды помогут зачатию ребёнка. Внимание Андермата привлекает минеральный
источник, открывшийся после взрыва утёса, который мешал возделывать почву виноградника крестьянина Ориоля.
У Андермата появляется идея строительства нового крупного курорта, и он предлагает Ориолю продать ему большой участок земли. Отец и сын Ориоли решаются на хитрость, чтобы увеличить цену. Они подкупают старого бродягу, считающегося паралитиком (но в действительности здорового), чтобы тот принимал ванны в источнике и затем объявил об улучшении здоровья. Андермат укрепляется в своей уверенности и начинает оказывать знаки внимания дочерям Ориоля, чтобы вызвать его расположение. Христиана знакомится с другом своего брата Гонтрана по имени Поль Бретиньи и в отсутствие мужа, проводящего время в деловых поездках между курортом и Парижем, начинает сближаться с ним. Взаимная симпатия Христианы и Поля перерастает в более сильное чувство, и они становятся любовниками. Христиана беременеет, однако ничего не подозревающий муж приписывает это действию курорта. Ориоль, войдя в состав созданного акционерного общества и передав как вклад часть земли, лучшие участки оставил
в приданое дочерям. Андермат советует Гонтрану начать ухаживание за Шарлоттой, одной из дочерей Ориоля, чтобы жениться на ней и получить в качестве приданого нужный ему участок земли для курорта. Сам Гонтран, не имеющий своего дохода и живущий на деньги Андермата, вынужден согласиться. Луиза, сестра Шарлотты, начинает ревновать к ней. Однако Андермат узнаёт, что Ориоль намерен дать в приданое за Шарлоттой ненужные банкиру участки. Поэтому банкир рекомендует Гонтрану переключить внимание на Луизу, которой Ориоль предназначил свои лучшие земли. Недовольный Гонтран, которому больше нравится Шарлотта, вновь подчиняется. Между сёстрами начинается молчаливая вражда, Шарлотта старается не подавать вида, что она очень страдает.</t>
        </is>
      </c>
      <c r="L7078" s="2" t="inlineStr">
        <is>
          <t>https://www.kino-teatr.ru/teatr/movie/88432/annot/</t>
        </is>
      </c>
      <c r="M7078" s="2">
        <f>HYPERLINK("https://ru.wikipedia.org/w/index.php?search=%D0%9C%D0%BE%D0%BD%D1%82-%D0%9E%D1%80%D0%B8%D0%BE%D0%BB%D1%8C%201982%20%D1%84%D0%B8%D0%BB%D1%8C%D0%BC","искать")</f>
        <v/>
      </c>
      <c r="N7078" s="3" t="n"/>
      <c r="O7078" s="2" t="n"/>
      <c r="P7078" s="2" t="n"/>
    </row>
    <row r="7079">
      <c r="A7079" s="2" t="n">
        <v>7078</v>
      </c>
      <c r="B7079" s="2" t="inlineStr"/>
      <c r="C7079" s="2" t="n">
        <v>9757</v>
      </c>
      <c r="D7079" s="3" t="inlineStr">
        <is>
          <t>Чокнутые</t>
        </is>
      </c>
      <c r="E7079" s="2" t="n">
        <v>1991</v>
      </c>
      <c r="F7079" s="2" t="inlineStr">
        <is>
          <t>кинофильм</t>
        </is>
      </c>
      <c r="G7079" s="2" t="n"/>
      <c r="H7079" s="2" t="n">
        <v>2338</v>
      </c>
      <c r="I7079" s="2" t="inlineStr"/>
      <c r="J7079" s="2" t="inlineStr"/>
      <c r="K7079" s="3" t="inlineStr">
        <is>
          <t>Вторая половина 19-го столетия. Немецкий инженер Антон Францевич Геншлер едет из Вены в Петербург, чтобы воплотить в жизнь свою мечту: построить первую в России железную дорогу. Окружающие отговаривают его. Россия – страна бесконечных формальностей и велика вероятность, что планы инженера не реализуются. В пути к российской столице, Геншлер встречает множество препятствий, но и приобретает друзей: отставного поручика Родиона Кирюхина, тайного агента Тихона Зайцева, мужика Федора и неизвестно откуда появившуюся девицу-красу Машу. Все они помогают Геншлеру преодолевать нелёгкую дорогу. Тем временем в столице графиня Отрешкова, одна из совладельцев компании гужевых перевозок, строит коварные планы. Строительство железной дороги грозит лишить её и партнёров значительной доли прибыли. Навстречу Антону Францевичу направляют гонца, который должен за крупную взятку развернуть немца обратно в Европу. Геншлер отказывается. Не помогают и угрозы. Компания друзей добирается до Петербурга. Инженер встречается с русским царём и представляет ему проект соединения российских городов паровой силой. Царь дает указание создать комиссии, и пустить проект по ним. Отрешкова не теряет время. Она нанимает иностранца, натурализовавшегося в России, как Иванов Иван Иванович, чтобы тот любым способом остановил Геншлера. Иванов считает, что только террор возымеет действие. Тем временем друзья создают акционерное общество, в которое люди с готовностью вносят деньги, но комиссии не дают одобрение на строительство дороги. Маша проникает на территорию царской усадьбы, где её видит государь. Он очарован девушкой и предлагает сделать её главной фрейлиной. Маша просит отложить решение и уговаривает царя принять немецкого инженера. Царь разрешает Геншлеру построить пробную железную дорогу от Петербурга до Царского Села. Никакие козни Иванова не могут остановить строительство. Наконец Антон Францевич, Родион и Маша едут в Англию, где покупают паровозы. На торжественное открытие дороги прибывает царь со свитой. Компания друзей устраивается на открытой площадке поезда, чтобы совершить первую поездку. Когда паровоз трогается, Маша говорит: «Пора!», и растворяется в воздухе легким облачком. Друзья, каждый из которых не чаял души в девушке, клянутся, что найдут её на небесах. Для этого они решают осуществить проект создания летающей машины.</t>
        </is>
      </c>
      <c r="L7079" s="2" t="inlineStr">
        <is>
          <t>https://gosfilmofond.ru/films/232566/</t>
        </is>
      </c>
      <c r="M7079" s="2">
        <f>HYPERLINK("https://ru.wikipedia.org/w/index.php?search=%D0%A7%D0%BE%D0%BA%D0%BD%D1%83%D1%82%D1%8B%D0%B5%201991%20%D1%84%D0%B8%D0%BB%D1%8C%D0%BC","искать")</f>
        <v/>
      </c>
      <c r="N7079" s="3" t="n"/>
      <c r="O7079" s="2" t="n"/>
      <c r="P7079" s="2" t="n"/>
    </row>
    <row r="7080">
      <c r="A7080" s="2" t="n">
        <v>7079</v>
      </c>
      <c r="B7080" s="2" t="inlineStr"/>
      <c r="C7080" s="2" t="n">
        <v>11770</v>
      </c>
      <c r="D7080" s="3" t="inlineStr">
        <is>
          <t>Ежик в тумане</t>
        </is>
      </c>
      <c r="E7080" s="2" t="n">
        <v>1975</v>
      </c>
      <c r="F7080" s="2" t="inlineStr">
        <is>
          <t>мультфильм</t>
        </is>
      </c>
      <c r="G7080" s="2" t="inlineStr">
        <is>
          <t>Союзмультфильм</t>
        </is>
      </c>
      <c r="H7080" s="2" t="n">
        <v>2344</v>
      </c>
      <c r="I7080" s="2" t="inlineStr"/>
      <c r="J7080" s="2" t="inlineStr"/>
      <c r="K7080" s="3" t="inlineStr">
        <is>
          <t>Тридцать комариков выбежали на поляну и заиграли на своих писклявых скрипках. Из-за туч вышла луна и, улыбаясь, поплыла по небу. "Ммм-у!.." - вздохнула корова за рекой. Залаяла собака, и сорок лунных зайцев побежали по дорожке. Над рекой поднялся туман, и грустная белая лошадь утонула в нем по грудь, и теперь казалось - большая белая утка плывет в тумане и, отфыркиваясь, опускает в него голову. Ежик сидел на горке под сосной и смотрел на освещенную лунным светом долину, затопленную туманом. Красиво было так, что он время от времени вздрагивал: не снится ли ему все это? А комарики не уставали играть на своих скрипочках, лунные зайцы плясали, а собака выла. "Расскажу - не поверят!" - подумал Ежик, и стал смотреть еще внимательнее, чтобы запомнить до последней травинки всю красоту. "Вот и звезда упала, - заметил он, - и трава наклонились влево, и от елки осталась одна вершина, и теперь она плывет рядом с лошадью... А интересно, - думал Ежик, - если лошадь ляжет спать, она захлебнется в тумане?" И он стал медленно спускаться с горы, чтобы тоже попасть в туман и посмотреть, как там внутри. - Вот, - сказал Ежик. - Ничего не видно. И даже лапы не видно. - Лошадь! - позвал он. Но лошадь ничего не сказала. "Где же лошадь?" - подумал Ежик. И пополз прямо. Вокруг было глухо, темно и мокро, лишь высоко сверху сумрак слабо светился. Полз он долго-долго и вдруг почувствовал, что земли под ним нет, и он куда-то летит. Бултых!.. "Я в реке!" - сообразил Ежик, похолодев от страха. И стал бить лапами во все стороны. Когда он вынырнул, было по-прежнему темно, и Ежик даже не знал, где берег. "Пускай река сама несет меня!" - решил он. Как мог, глубоко вздохнул, и его понесло вниз по течению. Река шуршала камышами, бурлила на перекатах, и Ежик чувствовал, что совсем промок и скоро утонет. Вдруг кто-то дотронулся до его задней лапы. - Извините, - беззвучно сказал кто-то, кто вы и как сюда попали? - Я - Ежик, - тоже беззвучно ответил Ежик. - Я упал в реку. - Тогда садитесь ко мне на спину, - беззвучно проговорил кто-то. - Я отвезу вас на берег. Ежик сел на чью-то узкую скользкую спину и через минуту оказался на берегу. - Спасибо! - вслух сказал он. - Не за что! - беззвучно выговорил кто-то, кого Ежик даже не видел, и пропал в волнах. "Вот так история... - размышлял Ежик, отряхиваясь. - Разве кто поверит?!" И заковылял в тумане.</t>
        </is>
      </c>
      <c r="L7080" s="2" t="inlineStr">
        <is>
          <t>2026-10_мультфильмы_список_владельца.xlsx; https://animator.ru/db/?p=show_film&amp;fid=2684</t>
        </is>
      </c>
      <c r="M7080" s="2">
        <f>HYPERLINK("https://ru.wikipedia.org/w/index.php?search=%D0%95%D0%B6%D0%B8%D0%BA%20%D0%B2%20%D1%82%D1%83%D0%BC%D0%B0%D0%BD%D0%B5%201975%20%D1%84%D0%B8%D0%BB%D1%8C%D0%BC","искать")</f>
        <v/>
      </c>
      <c r="N7080" s="3" t="n"/>
      <c r="O7080" s="2" t="n"/>
      <c r="P7080" s="2" t="n"/>
    </row>
    <row r="7081">
      <c r="A7081" s="2" t="n">
        <v>7080</v>
      </c>
      <c r="B7081" s="2" t="inlineStr"/>
      <c r="C7081" s="2" t="n">
        <v>8449</v>
      </c>
      <c r="D7081" s="3" t="inlineStr">
        <is>
          <t>Тень, или Может быть, всё обойдётся</t>
        </is>
      </c>
      <c r="E7081" s="2" t="n">
        <v>1991</v>
      </c>
      <c r="F7081" s="2" t="inlineStr">
        <is>
          <t>телефильм</t>
        </is>
      </c>
      <c r="G7081" s="2" t="n"/>
      <c r="H7081" s="2" t="n">
        <v>2361</v>
      </c>
      <c r="I7081" s="2" t="inlineStr"/>
      <c r="J7081" s="2" t="inlineStr"/>
      <c r="K7081" s="3" t="inlineStr">
        <is>
          <t>В сказочный город приезжает молодой ученый-иностранец изучать историю страны. Дочь хозяина гостиницы Аннунциата сообщает Христиану-Теодору, что их страна особенная и в ней происходит всё, что есть в сказках. Она предупреждает гостя быть осторожным, ведь сказки кончаются печально. Покойный король страны мечтал святыми идеями одолеть дураков и прохиндеев и завещал своей дочери найти стране хорошего и умного короля. Принцесса живет в городе инкогнито, чтобы выбрать достойного мужа из средних слоев населения. Христиан встречает миловидную девушку и влюбляется в неё. Внезапно с ним случается невероятное: его собственная тень отделяется от ученого и начинает жить самостоятельной жизнью. Тень, назвавшуюся Теодором, берут на службу во дворец, в тайную канцелярию первого министра советником по особо важным делам. Ему поручают вести дело о замужестве принцессы. Во дворце знают, что Христиан влюбился в истинную принцессу, и она отвечает ему взаимностью. Тень назначает ученому встречу в парке. Теодор обещает Христиану славу, почет и богатство, если он откажется от принцессы, но тот не идёт на предательство. Тогда Тень представляется принцессе лучшим другом Христиана и сообщает ей, что юноша предал её и за деньги подписал отказ от неё. Теодор завоевывает внимание принцессы напором, и девушка идёт с Тенью слушать его удивительные рассказы. Зачарованная принцесса соглашается выйти замуж за Теодора. Он закрывает дело о замужестве принцессы и своим приказом присваивает себе звание «Ваше Высокопревосходительство». Христиан проникает во дворец и требует у Тени отказаться от принцессы. Чтобы избавиться от человека, Тень произносит волшебные слова и превращает Христиана в свою тень. Идёт непримиримая схватка Христиана и Теодора за принцессу. Но она отвернулась от бывшего возлюбленного. И только дочь хозяина гостиницы, где жил Христиан, влюбленная в ученого Аннунциата, знает, кто из двоих человек. Между тем власть в стране спешат захватить придворные министры. Христиану отрубают голову, но отвалилась она у Теодора. Только сейчас Тень понимает, что она не может существовать без человека. Королевство на то и сказочное, что там есть живая вода. Добрые люди возвращают Христиану жизнь. Вместе с ним оживает тень. Теодор умоляет Христиана не покидать его, ведь они - одно целое. Но ученый уезжает из королевства и увозит с собой преданную Аннунциату.</t>
        </is>
      </c>
      <c r="L7081" s="2" t="inlineStr">
        <is>
          <t>https://gosfilmofond.ru/films/232517/</t>
        </is>
      </c>
      <c r="M7081" s="2">
        <f>HYPERLINK("https://ru.wikipedia.org/w/index.php?search=%D0%A2%D0%B5%D0%BD%D1%8C%2C%20%D0%B8%D0%BB%D0%B8%20%D0%9C%D0%BE%D0%B6%D0%B5%D1%82%20%D0%B1%D1%8B%D1%82%D1%8C%2C%20%D0%B2%D1%81%D1%91%20%D0%BE%D0%B1%D0%BE%D0%B9%D0%B4%D1%91%D1%82%D1%81%D1%8F%201991%20%D1%84%D0%B8%D0%BB%D1%8C%D0%BC","искать")</f>
        <v/>
      </c>
      <c r="N7081" s="3" t="n"/>
      <c r="O7081" s="2" t="n"/>
      <c r="P7081" s="2" t="n"/>
    </row>
    <row r="7082">
      <c r="A7082" s="2" t="n">
        <v>7081</v>
      </c>
      <c r="B7082" s="2" t="inlineStr"/>
      <c r="C7082" s="2" t="n">
        <v>9155</v>
      </c>
      <c r="D7082" s="3" t="inlineStr">
        <is>
          <t>Человек в зеленом кимоно</t>
        </is>
      </c>
      <c r="E7082" s="2" t="n">
        <v>1991</v>
      </c>
      <c r="F7082" s="2" t="inlineStr">
        <is>
          <t>кинофильм</t>
        </is>
      </c>
      <c r="G7082" s="2" t="n"/>
      <c r="H7082" s="2" t="n">
        <v>2362</v>
      </c>
      <c r="I7082" s="2" t="inlineStr"/>
      <c r="J7082" s="2" t="inlineStr"/>
      <c r="K7082" s="3" t="inlineStr">
        <is>
          <t>Город 80-ых годов 20 века в одной из южных республик. В школе боевых искусств идёт экзамен на получение дана. Строгое жюри снимает с экзамена своевольную девчонку Жанну, которая хочет выступить с собственной программой. Юноша в зелёном кимоно Тамму отлично выполняет упражнения. Ему вручают чёрный пояс с предупреждением, что его нужно завязывать на традиционном белом кимоно. 90-ые годы, тот же город. Группа молодёжи с навыками боевых искусств совершают налёт на рынок и грабят продавцов. Происходит это по команде Феликса – отца здешнего каратэ. Им, в свою очередь, управляет местный мафиози Седой - «крыша» клуба каратэ. В город после учебы в Москве возвращается Таму. Он решил открыть свою школу каратэ. Его предупреждают, что Феликс не потерпит конкурента. Сестра Феликса Жанна пытается убедить брата, что Таму – неплохой парень и мог бы поднять уровень подготовки и в школе Феликса. Но Феликс непреклонен. Открытию новой школы мешают и люди Седого, от протекции которого Таму отказался. В пустой спортзал приходит только Жанна, которую Таму начинает тренировать. Феликс, узнав, что Жанна приходила к Таму, выставляет ему претензию, что Таму не имеет права на основание своей школы в городе, потому что сбежал отсюда в самые тяжёлые года преследования боевых искусств. В свою очередь Таму пытается убедить Феликса, что связь с мафией и использование спортсменов в криминальных разборках – это тупик. В конце концов, они достигают соглашения, что выставят свои команды друг против друга, и если команда Таму победит, он сможет остаться в городе. После встречи с Таму Феликс возвращает Седому задаток за назначенную разборку. Тем временем Таму собирает команду из друзей своей юности по спортивной школе. В день, когда должна была состояться встреча спортменов двух школ, Таму избивают люди Седого. Вовремя подоспевшая Жанна перевязывает ему голову, и они вместе устремляются к месту соревнований. Один из спортсменов в группе Таму травмирован, и Жанна заменяет его. Она побеждает соперника из команды брата. Неожиданно для всех является Седой. Он хватает Жанну и приставляет к её виску пистолет, требуя, чтобы спортсмены выполнили его криминальный заказ. Таму выбивает из руки Седого пистолет и освобождает Жанну. Седой понимает, что его власть над спортсменами закончилась, и отступает. Две группы спортсменов объединяются и начинают совместную тренировку.</t>
        </is>
      </c>
      <c r="L7082" s="2" t="inlineStr">
        <is>
          <t>https://gosfilmofond.ru/films/232607/</t>
        </is>
      </c>
      <c r="M7082" s="2">
        <f>HYPERLINK("https://ru.wikipedia.org/w/index.php?search=%D0%A7%D0%B5%D0%BB%D0%BE%D0%B2%D0%B5%D0%BA%20%D0%B2%20%D0%B7%D0%B5%D0%BB%D0%B5%D0%BD%D0%BE%D0%BC%20%D0%BA%D0%B8%D0%BC%D0%BE%D0%BD%D0%BE%201991%20%D1%84%D0%B8%D0%BB%D1%8C%D0%BC","искать")</f>
        <v/>
      </c>
      <c r="N7082" s="3" t="n"/>
      <c r="O7082" s="2" t="n"/>
      <c r="P7082" s="2" t="n"/>
    </row>
    <row r="7083">
      <c r="A7083" s="2" t="n">
        <v>7082</v>
      </c>
      <c r="B7083" s="2" t="inlineStr"/>
      <c r="C7083" s="2" t="n">
        <v>8313</v>
      </c>
      <c r="D7083" s="3" t="inlineStr">
        <is>
          <t>Свидетель</t>
        </is>
      </c>
      <c r="E7083" s="2" t="n">
        <v>1985</v>
      </c>
      <c r="F7083" s="2" t="inlineStr">
        <is>
          <t>телефильм</t>
        </is>
      </c>
      <c r="G7083" s="2" t="n"/>
      <c r="H7083" s="2" t="n">
        <v>2366</v>
      </c>
      <c r="I7083" s="2" t="inlineStr"/>
      <c r="J7083" s="2" t="inlineStr"/>
      <c r="K7083" s="3" t="inlineStr">
        <is>
          <t>1950-е годы, Белоруссия. Весна. В обычном детском доме готовится выпуск выпускников, среди которых и Коля Летечка — простой, но справедливый мальчишка, вступающий в возраст зрелости, надежд и любви — он влюблён в одноклассницу Лену Лозу и мечтает о танце с ней на выпускном.
Он не знает своего настоящего имени, не помнит родных, и не знает даже сколько ему точно лет. Его фамилия происходит от слова «лето» — времени когда в первые послевоенные годы его привезли в детдом. Его и ещё нескольких привезённых тогда вместе с ним воспитанников отличают лишь частые ночные кошмары и наличие какой-то непонятной болезни, от которой некоторые уже умерли.
В историю любви, протекающую в сложных детдомовских буднях, стычках с одноклассниками и руководством детдома, вплетается эхо войны.
О войне он не помнит, но спустя годы война догоняет его — приезд военного следователя, просящего рассказать о том, что с ним было в войну, наводит Летечку на мысль, что он имеет отношение к проводимому в городе суду над карателями. Он начинает ходить на заседания суда.
На очередном заседании суда бывший полицай из белорусских коллаборационистов даёт показания об одной из рядовых «акций» карателей с массовым расстрелом жителей деревни, но с одной особенностью — тогда в мае 1944-го оккупанты оставили в живых детей, отобрав их у матерей: «Родителей, матерей в яме постреляли. А детей в грузовую сажали…».
И Коле Летечке приходит осознание реальности кошмарных видений… он вспоминает концлагерь для детей — «киндерхайм», где оккупанты брали у детей кровь для солдат райха и проводили над детьми медицинские исследования, держа их в тёмной избе-сарае с кучами грязной соломы — которую тайком голодные дети и ели.
А когда одна из свидетельниц на вопрос судьи сколько было детей, говорит, что около пятидесяти и начинает перечислять фамилии — Летечка понимает, что свои настоящие имя и фамилию он уже никогда не узнает и живых родных у него нет… оккупанты отняли у него не только запасы крови, а с ней и здоровье, но и кровное родство.
Взрослым он даже в воспоминаниях не может пройти то нечеловечески страшное, что довелось ему пережить не понимавшим происходящего малышом. Выйдя из суда, он падает в обморок.
Титры в конце: «Коля Летечка умер осенью. Лена окончила пединститут, живёт на Севере, вышла замуж, у неё двое детей». Последние кадры фильма — не случившийся танец Коли и Лены.</t>
        </is>
      </c>
      <c r="L7083" s="2" t="inlineStr">
        <is>
          <t>https://ru.wikipedia.org/w/index.php?title=%D0%A1%D0%B2%D0%B8%D0%B4%D0%B5%D1%82%D0%B5%D0%BB%D1%8C_%28%D1%82%D0%B5%D0%BB%D0%B5%D1%84%D0%B8%D0%BB%D1%8C%D0%BC%29&amp;oldid=152174822</t>
        </is>
      </c>
      <c r="M7083" s="2">
        <f>HYPERLINK("https://ru.wikipedia.org/w/index.php?search=%D0%A1%D0%B2%D0%B8%D0%B4%D0%B5%D1%82%D0%B5%D0%BB%D1%8C%201985%20%D1%84%D0%B8%D0%BB%D1%8C%D0%BC","искать")</f>
        <v/>
      </c>
      <c r="N7083" s="3" t="n"/>
      <c r="O7083" s="2" t="n"/>
      <c r="P7083" s="2" t="n"/>
    </row>
    <row r="7084">
      <c r="A7084" s="2" t="n">
        <v>7083</v>
      </c>
      <c r="B7084" s="2" t="inlineStr"/>
      <c r="C7084" s="2" t="n">
        <v>8867</v>
      </c>
      <c r="D7084" s="3" t="inlineStr">
        <is>
          <t>Не стреляйте в меня, пожалуйста</t>
        </is>
      </c>
      <c r="E7084" s="2" t="n">
        <v>1991</v>
      </c>
      <c r="F7084" s="2" t="inlineStr">
        <is>
          <t>кинофильм</t>
        </is>
      </c>
      <c r="G7084" s="2" t="n"/>
      <c r="H7084" s="2" t="n">
        <v>2366</v>
      </c>
      <c r="I7084" s="2" t="inlineStr"/>
      <c r="J7084" s="2" t="inlineStr"/>
      <c r="K7084" s="3" t="inlineStr">
        <is>
          <t>Приморский городок начала 90-х годов 20-го столетия. Духом перемен и неопределенности наполнено все вокруг. Одни люди возлагают цветы к памятнику Ленина, другие слушают лекцию о потребности народа в сильном государстве, о защите государственности новой властью. Утро. В постели молодые мужчина и женщина. Сергей – модный репортёр, Рита – жена преуспевающего главаря местной бандитской группировки Альгиса. Сергей снимает для истории бурные события 90-х: захваты заложников, скандальные вернисажи, асоциальных персон. Он имеет свой взгляд на вещи и не хочет вступать в сделки ни с властью, ни с бандитами, контролирующими город. Альгис был влюблен в Риту с ранней юности и теперь, женившись на ней, исполняет все прихоти любимой женщины. Альгис знает, что в жизни Риты есть Сергей, но не смеет тронуть его, боясь потерять строптивую жену. В конце концов, оценив благородство мужа и видя его страдания, Рита решает порвать с Сергеем. Но тот не оставляет свою возлюбленную в покое и приходит в дом Альгиса с цветами для Риты. Альгис рассержен, но зовёт Риту. Сергей, вручает ей букет цветов в знак расставания и уходит. Спустя несколько дней Рита тайно возвращается к репортёру и говорит, что хочет ребёнка от него, но мужа не может оставить. Раздосадованный Сергей обвиняет возлюбленную, что она продалась богатому мужчине за новую машину, которую тот подарил ей и другие жизненные блага. Они расстаются, но Сергей не может забыть Риту. Тайные встречи любовников возобновляются. Через некоторое время Альгис является к Сергей, надеясь найти там свою жену, но Сергей в одиночестве. Вскоре Сергей приходит к Альгису, решив, наконец, развязать узел отношений. Здесь он узнает, что Рита бросила Альгиса и ушла из дома. Церковь. Рита ставит свечи за здравие обоих мужчин. Сергей уезжает в дальнюю командировку. Когда он вернулся домой, звонит телефон. Взволнованный голос Риты сообщает, что она едет к нему, и просит его побыстрее спуститься к её машине и быть готовым уехать с нею. Девушку уже ничто не может напугать: ни слежка людей Альгиса, ни угроза расправы. На машине они отрываются от преследователей и едут не берег моря. Там стоит на приколе готовая к бегству лодка. Любовники пускают машину с дороги под откос, поспешно садятся в лодку и уплывают. К берегу подъезжает машина с преследователями. Альгис выскакивает из автомобиля и видит внизу горящую машину жены.</t>
        </is>
      </c>
      <c r="L7084" s="2" t="inlineStr">
        <is>
          <t>https://gosfilmofond.ru/films/232392/</t>
        </is>
      </c>
      <c r="M7084" s="2">
        <f>HYPERLINK("https://ru.wikipedia.org/w/index.php?search=%D0%9D%D0%B5%20%D1%81%D1%82%D1%80%D0%B5%D0%BB%D1%8F%D0%B9%D1%82%D0%B5%20%D0%B2%20%D0%BC%D0%B5%D0%BD%D1%8F%2C%20%D0%BF%D0%BE%D0%B6%D0%B0%D0%BB%D1%83%D0%B9%D1%81%D1%82%D0%B0%201991%20%D1%84%D0%B8%D0%BB%D1%8C%D0%BC","искать")</f>
        <v/>
      </c>
      <c r="N7084" s="3" t="n"/>
      <c r="O7084" s="2" t="n"/>
      <c r="P7084" s="2" t="n"/>
    </row>
    <row r="7085">
      <c r="A7085" s="2" t="n">
        <v>7084</v>
      </c>
      <c r="B7085" s="2" t="inlineStr"/>
      <c r="C7085" s="2" t="n">
        <v>8815</v>
      </c>
      <c r="D7085" s="3" t="inlineStr">
        <is>
          <t>Мальчики из Танги</t>
        </is>
      </c>
      <c r="E7085" s="2" t="n">
        <v>1990</v>
      </c>
      <c r="F7085" s="2" t="inlineStr">
        <is>
          <t>кинофильм</t>
        </is>
      </c>
      <c r="G7085" s="2" t="n"/>
      <c r="H7085" s="2" t="n">
        <v>2368</v>
      </c>
      <c r="I7085" s="2" t="inlineStr"/>
      <c r="J7085" s="2" t="inlineStr"/>
      <c r="K7085" s="3" t="inlineStr">
        <is>
          <t>В узбекском кишлаке Танга в советское время живет с бабушкой маленький мальчик Достон. По словам бабушки, его мать убежала с ухажёром в город, оставив ей внука. Он всем хорош, только упрямый. Утром Достон отправляется пасти коз и по дороге узнает, что в местной газете напечатаны стихи его приятеля-подростка Зокира, и несет ему эту весть. Вместе с Зокиром о первом маленьком успехе поэта узнает его друг Нортой. Он активный, деловой и энергичный подросток. У Зокира есть целая тетрадь, написанных им стихов, и Нортой уговаривает друга поехать в Ташкент, чтобы предложить в редакции его стихи для печати. Он уверен, что поэты – уважаемые люди и живут в больших городах, и такая же участь ждёт его друга-поэта. Маленький Достан очень хочет, чтобы его любила и гордилась им мама, поэтому решил в будущем тоже стать поэтом. А пока он мечтает найти свою маму. Когда его старшие товарищи едут в город, Достан незаметно увязывается за ними. Они обнаруживают своего маленького приятеля в городе возле метро. Теперь трое юных сельчан вместе путешествуют по городу. В редакции, куда в первую очередь приходит Зокир, редактор грубо обзывает поэта кишлачной тварью и отвергает его лирические стихи о природе, как не формат. Поэт расстроен, но ещё больше он переживает за маленького друга. Достан внимательно присматривается к каждой встречной женщине, надеясь найти маму, но безрезультатно. Потеряв надежду, расстроенный мальчик вопрошает: «Разве я плохой мальчик? Почему меня бросила мама?» Зокир обещает обязательно найти маму Достана. Он старается обнаружить хоть какие-то следы пропавшей мамы мальчика, но ему это не удается. Однако ребята не напрасно проводят время в городе. Они попали на городской праздник, где Нортой блеснул своими певческими способностями, познакомились с местными студентами и приняли участие в их митинге за спасение Арала. Наблюдая за жизнью города и общаясь с людьми, Зокир понял, о чем он теперь будет писать стихи. Пришло время уезжать в родной кишлак. И вот на автостанции произошло неожиданное. Достан узнал в женщине, торгующей здесь пирожками, свою маму и бросился к ней в объятия. Жизнь в городе у женщины не сложилась, а возвращаться в кишлак было стыдно. Сын вселил в неё уверенность, что дома её любят и ждут. Ребята с лёгкими сердцем вернулись домой, неся в душе надежду, что мама их маленького друга скоро воссоединится со своей семьей.</t>
        </is>
      </c>
      <c r="L7085" s="2" t="inlineStr">
        <is>
          <t>https://gosfilmofond.ru/films/232381/</t>
        </is>
      </c>
      <c r="M7085" s="2">
        <f>HYPERLINK("https://ru.wikipedia.org/w/index.php?search=%D0%9C%D0%B0%D0%BB%D1%8C%D1%87%D0%B8%D0%BA%D0%B8%20%D0%B8%D0%B7%20%D0%A2%D0%B0%D0%BD%D0%B3%D0%B8%201990%20%D1%84%D0%B8%D0%BB%D1%8C%D0%BC","искать")</f>
        <v/>
      </c>
      <c r="N7085" s="3" t="n"/>
      <c r="O7085" s="2" t="n"/>
      <c r="P7085" s="2" t="n"/>
    </row>
    <row r="7086">
      <c r="A7086" s="2" t="n">
        <v>7085</v>
      </c>
      <c r="B7086" s="2" t="inlineStr"/>
      <c r="C7086" s="2" t="n">
        <v>9193</v>
      </c>
      <c r="D7086" s="3" t="inlineStr">
        <is>
          <t>Veniks. Половые щетки</t>
        </is>
      </c>
      <c r="E7086" s="2" t="n">
        <v>1991</v>
      </c>
      <c r="F7086" s="2" t="inlineStr">
        <is>
          <t>кинофильм</t>
        </is>
      </c>
      <c r="G7086" s="2" t="n"/>
      <c r="H7086" s="2" t="n">
        <v>2378</v>
      </c>
      <c r="I7086" s="2" t="inlineStr"/>
      <c r="J7086" s="2" t="inlineStr"/>
      <c r="K7086" s="3" t="inlineStr">
        <is>
          <t>Блэз — молодой парижский художник, он беден, его картины не продаются, и он вынужден зарабатывать на жизнь продажей половых щёток, предлагая их от двери к двери. Его любовница Женевьева втягивает его в аферу, которая поможет решить его материальные затруднения. Блэз должен арендовать на две недели богатую виллу в 16 квартале Парижа, чтобы произвести впечатление на состоятельного коммерсанта Карлье (чьей любовницей Женевьева также является) и жениться на его умственно отсталой дочери.
Выпроводив Ариану, коллегу Женевьевы по цеху и хозяйку виллы, Блэз начинает приготовления к визиту богатых гостей. Присланная из бюро по найму симпатичная, но глупая служанка Мария помогает ему в этом таким образом, что больше мешает. Через череду курьёзов и нелепостей Блэз находит одобрение и понимание Карлье и получает заказ на картину с изображением обнажённой натуры. Пока Блэз выпроваживает важных гостей, Мария находит краски и холст и как бы случайно пишет прекрасное полотно.
Чтобы выполнить заказ Карлье, Блэз убеждает Марию позировать ему. Возвращается Карлье и убеждает Блэза сдать ему в аренду виллу в течение следующего дня, чтобы использовать её в качестве места для свидания. Художнику необходимы деньги, и он соглашается. Карлье забирает картину, написанную Марией, приняв её за картину Блэза. Последний понимает, что служанка более талантлива, чем он сам.
Весь следующий день Марии приходится бок о бок помогать Блэзу распутывать сложную ситуацию, в которой он оказывается. Сначала появляется Ариана, которая вернулась с лыжного курорта в гипсе и инвалидной коляске. Её приходится удалить из дома. Потом возникает Женевьева, чтобы провести время с Блэзом. Потом приходит китаянка, разговаривающая только по-китайски. Потом является Карлье, который собирался развлекаться с китаянкой, в связи с чем необходимо скрыть голую Женевьеву, чтобы Карлье не догадался о её связи с Блэзом. Потом является дочь Карлье, которая в грубой форме пытается загнать Блэза в постель. Пока он сопротивляется, приходит жена Карлье, от которой приходится прятать не только Женевьеву, но и её мужа и дочь. По ходу дела Мария не теряет времени даром и проводит аферу с продажей крупной партии половых щёток Карлье, в результате чего становится миллионершей.
В конце концов художнику приходится раскрыть все карты, от чего он чуть не сходит с ума. Осознав всё, он предлагает руку и сердце Марии.</t>
        </is>
      </c>
      <c r="L7086" s="2" t="inlineStr">
        <is>
          <t>https://ru.wikipedia.org/w/index.php?title=Veniks._%D0%9F%D0%BE%D0%BB%D0%BE%D0%B2%D1%8B%D0%B5_%D1%89%D1%91%D1%82%D0%BA%D0%B8&amp;oldid=150950597</t>
        </is>
      </c>
      <c r="M7086" s="2">
        <f>HYPERLINK("https://ru.wikipedia.org/w/index.php?search=Veniks.%20%D0%9F%D0%BE%D0%BB%D0%BE%D0%B2%D1%8B%D0%B5%20%D1%89%D0%B5%D1%82%D0%BA%D0%B8%201991%20%D1%84%D0%B8%D0%BB%D1%8C%D0%BC","искать")</f>
        <v/>
      </c>
      <c r="N7086" s="3" t="n"/>
      <c r="O7086" s="2" t="n"/>
      <c r="P7086" s="2" t="n"/>
    </row>
    <row r="7087">
      <c r="A7087" s="2" t="n">
        <v>7086</v>
      </c>
      <c r="B7087" s="2" t="inlineStr"/>
      <c r="C7087" s="2" t="n">
        <v>8716</v>
      </c>
      <c r="D7087" s="3" t="inlineStr">
        <is>
          <t>Жажда страсти</t>
        </is>
      </c>
      <c r="E7087" s="2" t="n">
        <v>1991</v>
      </c>
      <c r="F7087" s="2" t="inlineStr">
        <is>
          <t>кинофильм</t>
        </is>
      </c>
      <c r="G7087" s="2" t="inlineStr">
        <is>
          <t>Арт-Паритет</t>
        </is>
      </c>
      <c r="H7087" s="2" t="n">
        <v>2382</v>
      </c>
      <c r="I7087" s="2" t="inlineStr"/>
      <c r="J7087" s="2" t="inlineStr"/>
      <c r="K7087" s="3" t="inlineStr">
        <is>
          <t>19-ый век. Экзальтированная молодая дама в ресторане слушает романс о вечной истине любви, о том, что любовь чаще всего не находит отклика у другого человека. Выпив шампанское и выкурив сигарету, аристократка покидает зал и возвращается в свой пустой замок. Здесь она разговаривает со своим двойником-фантомом, а утром приходящая горничная находит её труп и вызывает полицию. Приезжают инспектор и доктор. После загадочной смерти её мужа дама стала посещать доктора, но не приглашала его к себе. Она уволила всю прислугу, оставив только приходящую. Дама была психически нездоровым человеком, её мучили галлюцинации. Она стала бояться большого зеркала и, наконец, приказала убрать его в подвал. В своем больном воображении она, воплощение страсти, реализовывала свои сексуальные фантазии со своим тёмным двойником, который выходил к ней из большого зеркала. Привидение, ревновавшее её к влюбленному в неё доктору, устраивало ей сцены ревности. А она для успокоения пила морфий и вела дневник, в котором описывала всё происходящее. Вокруг инспектора, расследующего смерть мадам, начинают происходить мистические вещи. Кто-то хочет напугать его и отказаться от расследования. Доктор сообщает инспектору о существовании дневника убитой, откуда тот узнает, что в день смерти мужа аристократки, супруг устроил ей сцену ревности и насильно заставил исполнять супружеский долг. В момент акта она видела, как её двойник вонзает в спину мужа кинжал. Когда женщина опомнилась, то увидела в крови свои руки. Инспектор узнает о том, что доктор воспользовался слабостью больной и овладел ею. На вопрос инспектора, зачем он это сделал, доктор объясняет, что это была не она, а дьявол, а он боялся спугнуть его. Но когда она приказала убрать зеркало, то он понял, что она полностью во власти дьявола. Внезапно в замке появляется Дьявол. Инспектор и доктор, спасаясь от Сатаны, бегут на кладбище, надеясь найти разгадку, и видят там пустой открытый гроб. Они возвращаются в замок и спускаются в подвал. Перед ними предстает то дама в белом одеянии, то её двойник в чёрном. Инспектор стреляет в призрак в черном, а кровь из раны растекается на белой рубахе умершей. Доктор крестом отгоняет призрак в черном, восклицая, что он не даст Сатане завладеть человеком. Посланец Сатаны исчезает, а доктор несет на руках бездыханное женское тело. Бессмертная душа женщины спасена ими и отправляется на небеса.</t>
        </is>
      </c>
      <c r="L7087" s="2" t="inlineStr">
        <is>
          <t>https://gosfilmofond.ru/films/226081/</t>
        </is>
      </c>
      <c r="M7087" s="2">
        <f>HYPERLINK("https://ru.wikipedia.org/w/index.php?search=%D0%96%D0%B0%D0%B6%D0%B4%D0%B0%20%D1%81%D1%82%D1%80%D0%B0%D1%81%D1%82%D0%B8%201991%20%D1%84%D0%B8%D0%BB%D1%8C%D0%BC","искать")</f>
        <v/>
      </c>
      <c r="N7087" s="3" t="n"/>
      <c r="O7087" s="2" t="n"/>
      <c r="P7087" s="2" t="n"/>
    </row>
    <row r="7088">
      <c r="A7088" s="2" t="n">
        <v>7087</v>
      </c>
      <c r="B7088" s="2" t="inlineStr"/>
      <c r="C7088" s="2" t="n">
        <v>8122</v>
      </c>
      <c r="D7088" s="3" t="inlineStr">
        <is>
          <t>По семейным обстоятельствам</t>
        </is>
      </c>
      <c r="E7088" s="2" t="n">
        <v>1977</v>
      </c>
      <c r="F7088" s="2" t="inlineStr">
        <is>
          <t>телефильм</t>
        </is>
      </c>
      <c r="G7088" s="2" t="inlineStr">
        <is>
          <t>Мосфильм</t>
        </is>
      </c>
      <c r="H7088" s="2" t="n">
        <v>2388</v>
      </c>
      <c r="I7088" s="2" t="inlineStr"/>
      <c r="J7088" s="2" t="inlineStr"/>
      <c r="K7088" s="3" t="inlineStr">
        <is>
          <t>Молодые супруги Лида (Марина Дюжева) и Игорь (Евгений Стеблов) собираются обзавестись ребёнком. Мать Лиды — Галина Аркадьевна (Галина Польских) — работающая женщина, жёсткий и суровый начальник на своём рабочем месте. Она одна воспитала дочь и теперь не хочет помогать молодым заботиться о ребёнке. Кроме того, Галина Аркадьевна — сама ещё женщина относительно молодая, она хочет жить полной жизнью и не планирует посвящать всё своё время сидению с внучкой. Лида и Игорь пытаются найти выход из ситуации. Оказывается, что дома Лида работать не может — она пианист-аккомпаниатор, и череда певцов раздражает Галину Аркадьевну. Попытки найти няню тоже терпят неудачу: то ребёнок не подходит няням, то няни оказываются неподходящими: чрезмерно кокетливая барышня (Наталья Мартинсон) или старик, который не хочет сидеть с собственным внуком (Анатолий Папанов). Наконец, молодые супруги и тёща решают разменять квартиру. Они обращаются к работающему нелегально агенту по обмену (Владимир Басов): в попытках подыскать жильё герои встречаются с разными людьми, узнают забавные и трагические истории.
Через какое-то время семья приходит к согласию и решает отказаться от обмена. Но Галина Аркадьевна встречает немолодого художника Николая Павловича (Евгений Евстигнеев), с которым уже познакомилась во время поисков квартиры (хотя и благодаря недоразумению). Галина выходит замуж и теперь она понимает, что все эти годы испытывал её зять: мать мужа — надменная Изольда Тихоновна (Евгения Ханаева) всячески третирует невестку и придирается к ней. Свекрови не нравится, что вместо того, чтобы создавать коммерчески выгодные работы (виды старой Москвы), Николай рисует портреты любимой жены. В то же время Изольда Тихоновна привязывается к дочери Лиды и Игоря Лене, занимается с огромной собакой, которую завели молодые супруги. Ради Лены Изольда Тихоновна обращается к логопеду (Ролан Быков), который должен скорректировать речь ребёнка, хотя при этом сам не выговаривает половину букв алфавита.
Изольда Тихоновна, как когда-то сама Галина, считает себя уже бабушкой, у которой вся жизнь прожита. Но вдруг она находит своё семейное счастье: ей делает предложение давний поклонник из Грузии; единственная проблема — его маме-долгожительнице Изольда никогда не нравилась. Вся семья — Игорь, Лида (которая ждёт второго ребёнка), Галина и Николай — провожают Изольду на вокзале (поезд Москва — Тбилиси).</t>
        </is>
      </c>
      <c r="L7088" s="2" t="inlineStr">
        <is>
          <t>https://ru.wikipedia.org/w/index.php?title=%D0%9F%D0%BE_%D1%81%D0%B5%D0%BC%D0%B5%D0%B9%D0%BD%D1%8B%D0%BC_%D0%BE%D0%B1%D1%81%D1%82%D0%BE%D1%8F%D1%82%D0%B5%D0%BB%D1%8C%D1%81%D1%82%D0%B2%D0%B0%D0%BC&amp;oldid=155206856</t>
        </is>
      </c>
      <c r="M7088" s="2">
        <f>HYPERLINK("https://ru.wikipedia.org/w/index.php?search=%D0%9F%D0%BE%20%D1%81%D0%B5%D0%BC%D0%B5%D0%B9%D0%BD%D1%8B%D0%BC%20%D0%BE%D0%B1%D1%81%D1%82%D0%BE%D1%8F%D1%82%D0%B5%D0%BB%D1%8C%D1%81%D1%82%D0%B2%D0%B0%D0%BC%201977%20%D1%84%D0%B8%D0%BB%D1%8C%D0%BC","искать")</f>
        <v/>
      </c>
      <c r="N7088" s="3" t="n"/>
      <c r="O7088" s="2" t="n"/>
      <c r="P7088" s="2" t="n"/>
    </row>
    <row r="7089">
      <c r="A7089" s="2" t="n">
        <v>7088</v>
      </c>
      <c r="B7089" s="2" t="inlineStr"/>
      <c r="C7089" s="2" t="n">
        <v>9196</v>
      </c>
      <c r="D7089" s="3" t="inlineStr">
        <is>
          <t>Абдулладжан, или Посвящается Стивену Спилбергу</t>
        </is>
      </c>
      <c r="E7089" s="2" t="n">
        <v>1991</v>
      </c>
      <c r="F7089" s="2" t="inlineStr">
        <is>
          <t>кинофильм</t>
        </is>
      </c>
      <c r="G7089" s="2" t="n"/>
      <c r="H7089" s="2" t="n">
        <v>2394</v>
      </c>
      <c r="I7089" s="2" t="inlineStr"/>
      <c r="J7089" s="2" t="inlineStr"/>
      <c r="K7089" s="3" t="inlineStr">
        <is>
          <t>В далеком селении в Средней Азии в конце 20-го века колхозник Базарбай после просмотра фантастического фильма в местном клубе пишет письмо Стивену Спилбергу: «У нас тарелка прилетала по-настоящему …». Как-то на имя председателя колхоза пришла из Москвы телеграмма с сообщением, что на днях к ним ожидается прилёт неизвестного летающего объекта с инопланетянами. В телеграмме содержался категорический запрет на вступление в контакт с иноземными существами. Базарбай отправился на поиск своей пропавшей коровы и видит, что на поле опускается летающая тарелка, с которой что-то неладно. Из неё выходит маленькое существо зеленого цвета. Колхозник отнес раненого пришельца в шалаш, одел, накормил и решил сообщить о нем в правление, но бухгалтер посоветовал не лезть в дела, которыми занимается председатель. Тогда селянин решил привести инопланетянина домой. Чтобы не привлекать внимания посторонних, инопланетянин принял облик симпатичного подростка-блондина. Покорная жена Базарбая приняла внебрачного, как она считала, сына Базарбая, как родного. «На нем вины нет, выращу и седьмого», - решила она. Мальчика назвали Абдулладжаном. Базарбай забрал у сына какой-то маленький аппаратик и припрятал его подальше. Когда мальчик попросил вернуть прибор, отец не смог его найти. Аппаратик куда-то исчез. На том и успокоились. Семья жила в бедности. Абдулладжан решил помочь отцу и сделал ему «большие деньги» - огромный металлический рубль. Когда отец не принял монету, он взамен растиражировал увиденную купюру. Отец испугался наказания за подделку денег и сжёг их. Тогда младшенький, чтобы поддержать семью, стал творить другие чудеса. В колхозе стало происходить невероятное: то дождь лил только над высохшим отцовским полем, то дыни и арбузы вырастали величиной с автобус, то куры несли немыслимое количество яиц, то у коровы родилось 40 телят. По небу стали летать мотыги, на которых селяне отправлялись в город. Вести о чудесах стали доходить до московских военных. Они поняли, что это неспроста. По боевой тревоге в воздух подняты самолёты и вертолёты, к отправке в селение готовятся танки. Чтобы не осложнять жизнь людей, Абдулладжан принимает решение покинуть Землю, но сделать это он может только при помощи аппаратика. Мать возвращает сыну перепрятанный ею приборчик с пожеланием, чтобы он вернулся домой, когда всё успокоится. Инопланетянин вызывает тарелку и улетает, пообещав вернуться.</t>
        </is>
      </c>
      <c r="L7089" s="2" t="inlineStr">
        <is>
          <t>https://gosfilmofond.ru/films/226087/</t>
        </is>
      </c>
      <c r="M7089" s="2">
        <f>HYPERLINK("https://ru.wikipedia.org/w/index.php?search=%D0%90%D0%B1%D0%B4%D1%83%D0%BB%D0%BB%D0%B0%D0%B4%D0%B6%D0%B0%D0%BD%2C%20%D0%B8%D0%BB%D0%B8%20%D0%9F%D0%BE%D1%81%D0%B2%D1%8F%D1%89%D0%B0%D0%B5%D1%82%D1%81%D1%8F%20%D0%A1%D1%82%D0%B8%D0%B2%D0%B5%D0%BD%D1%83%20%D0%A1%D0%BF%D0%B8%D0%BB%D0%B1%D0%B5%D1%80%D0%B3%D1%83%201991%20%D1%84%D0%B8%D0%BB%D1%8C%D0%BC","искать")</f>
        <v/>
      </c>
      <c r="N7089" s="3" t="n"/>
      <c r="O7089" s="2" t="n"/>
      <c r="P7089" s="2" t="n"/>
    </row>
    <row r="7090">
      <c r="A7090" s="2" t="n">
        <v>7089</v>
      </c>
      <c r="B7090" s="2" t="inlineStr"/>
      <c r="C7090" s="2" t="n">
        <v>7837</v>
      </c>
      <c r="D7090" s="3" t="inlineStr">
        <is>
          <t>Лялька-Руслан и его друг Санька</t>
        </is>
      </c>
      <c r="E7090" s="2" t="n">
        <v>1980</v>
      </c>
      <c r="F7090" s="2" t="inlineStr">
        <is>
          <t>телефильм</t>
        </is>
      </c>
      <c r="G7090" s="2" t="n"/>
      <c r="H7090" s="2" t="n">
        <v>2400</v>
      </c>
      <c r="I7090" s="2" t="inlineStr"/>
      <c r="J7090" s="2" t="inlineStr"/>
      <c r="K7090" s="3" t="inlineStr">
        <is>
          <t>Добрый и общительный, но очень застенчивый мальчик Руслан приехал с мамой на дачу на грузовике ГАЗ-52. Первым делом он принялся искать друга, но кругом только малыши, а местные ребята подняли на смех, узнав, что дома его зовут Лялька.
Но вдруг Руслан слышит вопли мальчика Миши, который хочет черпалку. Мальчик говорит, что хочет взять у Руслана черпалку, но бабушка всячески успокаивала его, а потом рассказывала Ляльке-Руслану о случившемся и спрашивает, знает ли он, что такое черпалка. На это мальчик отвечает отрицательно, а потом говорил, что видел подобное в Детском мире, и стоит это шесть рублей.
Потом Лялька-Руслан просит рыболова взять его с собой на лодку, но рыболов говорит, что из-за шума он может рыбу распугать. Тогда загрустивший Лялька-Руслан приходит к мальчику Вите и знакомится с ним. Витя показывает Руслану свой новый велосипед. Руслан хотел, чтобы Витя повёз его на улицу, но у Вити болела нога. Витина мама угощает Руслана и Витю яблоками, однако Руслан отказался и ушёл, распрощавшись с Витей.
Вновь Руслан видит бабушку и Мишу, который всё ещё вопит, что хочет черпалку, и даже пускает песок в бабушку. Руслан говорит Мишиной бабушке, чтобы ему лучше друга нашли вместо черпалки. В лесу Руслан находит пионера Саньку — его полную противоположность, и он становится самым лучшим и преданным другом. Никогда не унывая, он старается, чтобы и Лялька стал более уверенным в себе.
Несмотря на запрет, Санька продолжает при каждом удобном случае приглашать своего нового знакомого в лагерь и постепенно привлекает к жизни отряда. Вместе с Санькой Руслан находит для Миши черпалку, и он перестал вопить. К концу первой смены Санька назначает Ляльке-Руслану встречу в городском парке в 12:00 и уезжает с другими пионерами на автобусе «Икарус».
Лялька-Руслан сильно загрустил, что Саня уехал на Икарусе. От скуки он приходит к лагерю, где становится своим даже для строгой старшей пионервожатой, которая ранее пыталась прогнать его, как постороннего. Вожатая говорит, что дети приедут только на следующий день. Так и не встретив Саньку, Руслан обращается за помощью к Михаилу Ивановичу, хозяину дачи. Вскоре мимо прогуливающихся по улице Руслана и Михаила Ивановича начала проезжать колонна из автобусов «Икарус» и «Кубань», в котором находился Санька, отправленный на вторую смену.
В финале Санька с Русланом (которого Санька называл «Валькой» вместо «Ляльки») встречаются в поле.</t>
        </is>
      </c>
      <c r="L7090" s="2" t="inlineStr">
        <is>
          <t>https://ru.wikipedia.org/w/index.php?title=%D0%9B%D1%8F%D0%BB%D1%8C%D0%BA%D0%B0-%D0%A0%D1%83%D1%81%D0%BB%D0%B0%D0%BD_%D0%B8_%D0%B5%D0%B3%D0%BE_%D0%B4%D1%80%D1%83%D0%B3_%D0%A1%D0%B0%D0%BD%D1%8C%D0%BA%D0%B0&amp;oldid=152880408</t>
        </is>
      </c>
      <c r="M7090" s="2">
        <f>HYPERLINK("https://ru.wikipedia.org/w/index.php?search=%D0%9B%D1%8F%D0%BB%D1%8C%D0%BA%D0%B0-%D0%A0%D1%83%D1%81%D0%BB%D0%B0%D0%BD%20%D0%B8%20%D0%B5%D0%B3%D0%BE%20%D0%B4%D1%80%D1%83%D0%B3%20%D0%A1%D0%B0%D0%BD%D1%8C%D0%BA%D0%B0%201980%20%D1%84%D0%B8%D0%BB%D1%8C%D0%BC","искать")</f>
        <v/>
      </c>
      <c r="N7090" s="3" t="n"/>
      <c r="O7090" s="2" t="n"/>
      <c r="P7090" s="2" t="n"/>
    </row>
    <row r="7091">
      <c r="A7091" s="2" t="n">
        <v>7090</v>
      </c>
      <c r="B7091" s="2" t="inlineStr"/>
      <c r="C7091" s="2" t="n">
        <v>9192</v>
      </c>
      <c r="D7091" s="3" t="inlineStr">
        <is>
          <t>Яд скорпиона</t>
        </is>
      </c>
      <c r="E7091" s="2" t="n">
        <v>1991</v>
      </c>
      <c r="F7091" s="2" t="inlineStr">
        <is>
          <t>кинофильм</t>
        </is>
      </c>
      <c r="G7091" s="2" t="n"/>
      <c r="H7091" s="2" t="n">
        <v>2405</v>
      </c>
      <c r="I7091" s="2" t="inlineStr"/>
      <c r="J7091" s="2" t="inlineStr"/>
      <c r="K7091" s="3" t="inlineStr">
        <is>
          <t>Поздний вечер. Дежурная в службе психологической помощи принимает телефонный звонок. Женский голос сообщает, что её проблема неразрешима, и она вступила в общество «Знак скорпиона» открытое для самоубийц. Сегодня её очередь расстаться с жизнью. Психолог не успевает что-то предпринять, как в трубке раздаются короткие гудки. Дежурная идёт по ночному городу, входит в неприметный дом и заглядывает в двери комнат, в которых творится «Содом и Гоморра»: где-то изощряются в любовных сценах люди в костюмах эпохи Людовика, где-то смотрят фильм про жестокие убийства рабов в Риме; звучат режущие слух звуки странного оркестра, всюду змеи, скорпионы. К шее пришедшей то примеряют петлю, то подносят к её лицу скорпиона. Она кричит. Она же в какой-то другой квартире накрывает на стол ужин. Входит мужчина с бутылкой шампанского. Они выпивают вино и начинают любовные игры, который прерывает телефонный звонок. «Какой флакон?»- вопрошает девушка - «Сейчас выезжаю», и уходит, оставив мужчину с завязанными глазами. Она приезжает в павильон киностудии, где та же компания в фашистской форме. Героиня незаметно высыпает во флакон духов «Пуазон» какой-то порошок. Присутствующие имитирует убийство одного из членов секты. В отсечённой голове смешивают понемногу крови каждого и вливают содержимое флакона. Голову пускают по кругу, и каждый отпивает из неё. Героиня не пьет и сообщает, что во флаконе находился яд, и вскоре все умрут. Обычно компания развлекалась, устраивая представления для новых членов клуба, играя роли самоубийц. Они считали себя избранными людьми, которые выше толпы потому, что декларировали готовность убить себя. Почувствовав приближающуюся смерть, молодые люди испугались и устроили истерику, но вскоре потеряли сознание. Гостья спокойно покинула павильон. Утром уборщица находит множество пустых бутылок, видит спящих людей и начинает их расталкивать со словами: «Опять нажрались, киношники!» Все просыпаются, не помня себя от счастья: «Мы живы!» Порошок был простым снотворным.
Утром в комнату дежурной психологической службы входит молодой человек. Он поздравляет любимую с днём рождения и дарит духи «Пуазон». Она рассказывает ему про сон, в котором отравила членов секты скорпионов. Девушку окружают друзья, которые похожи на членов секты из сна, и тоже поздравляют её. Вдруг раздается звонок и слышится таинственный голос из трубки. Это начинается новый сон или реальное приключение?</t>
        </is>
      </c>
      <c r="L7091" s="2" t="inlineStr">
        <is>
          <t>https://gosfilmofond.ru/films/232578/</t>
        </is>
      </c>
      <c r="M7091" s="2">
        <f>HYPERLINK("https://ru.wikipedia.org/w/index.php?search=%D0%AF%D0%B4%20%D1%81%D0%BA%D0%BE%D1%80%D0%BF%D0%B8%D0%BE%D0%BD%D0%B0%201991%20%D1%84%D0%B8%D0%BB%D1%8C%D0%BC","искать")</f>
        <v/>
      </c>
      <c r="N7091" s="3" t="n"/>
      <c r="O7091" s="2" t="n"/>
      <c r="P7091" s="2" t="n"/>
    </row>
    <row r="7092">
      <c r="A7092" s="2" t="n">
        <v>7091</v>
      </c>
      <c r="B7092" s="2" t="inlineStr"/>
      <c r="C7092" s="2" t="n">
        <v>8888</v>
      </c>
      <c r="D7092" s="3" t="inlineStr">
        <is>
          <t>Обнажённая в шляпе</t>
        </is>
      </c>
      <c r="E7092" s="2" t="n">
        <v>1991</v>
      </c>
      <c r="F7092" s="2" t="inlineStr">
        <is>
          <t>кинофильм</t>
        </is>
      </c>
      <c r="G7092" s="2" t="inlineStr">
        <is>
          <t>Студия «АУРА»; Одесская киностудия</t>
        </is>
      </c>
      <c r="H7092" s="2" t="n">
        <v>2408</v>
      </c>
      <c r="I7092" s="2" t="inlineStr"/>
      <c r="J7092" s="2" t="inlineStr"/>
      <c r="K7092" s="3" t="inlineStr">
        <is>
          <t>Начало 90-х годов 20 века. Городская квартира. Молодой человек рассматривает фотографии обнаженных девушек. Звонок в дверь. Двое в противогазах ударами выводят его из сознания, роются в бумагах и забирают фото обнаженной в шляпе. Звенит будильник. Тот же молодой человек подскакивает с постели, быстро собирается и покидает квартиру. Он едет в загородный особняк, где его ждут для переговоров о каком-то контракте. Полчаса до этого. Планерка в редакции провинциального издания. На ней отсутствует Костя Телегин, который должен привезти в номер материал о сутенерах. Звонят Косте, а он только что встал с кровати. Он проспал и начинает оправдание с того, что ночью к нему приходили двое. Разговор прерывается. Рабочие роют канаву и повреждают телефонный кабель. Редактор решает, что Костю похитили, так как он готовил статью о сексуальных услугах. Она инициирует собственное расследование в редакции и поиск пропавшего корреспондента. Коллеги Телегина вспоминают, что последнее время он готовил серию фотографий и имел тесный контакт с девушкой, которая проходила под именем «обнаженная в шляпе». Друзья Кости из редакции начинают поиски девушки с фотографии в надежде, что она прольет свет на исчезновение Телегина. Сутенеры поджидают на улице девушку с фото Алену, которая работает в варьете. Они в который раз предлагают ей съемки в порнофильме. Но девушка вновь отказывается от съемок. Алене предстоит участие в гастролях варьете за границей. Мужчины угрожают скомпрометировать её, если она откажется выполнить их задание. В редакции хранятся фото девушек, которые Костя делал во время эротических фотосессий. Девушка едет в редакцию и вступает в контакт с ребятами-корреспондентами. Алена подтверждает, что девушка в шляпе – это она, и рассказывает, что в результате этой эротической съемки она и Костя попали в поле зрения дельцов порноиндустрии. Ей предложено сняться в порнофильме, партнером в котором должен стать красивый и статный Костя Телегин. Ребята уговаривают её дать согласие на съемку, чтобы выследить место нахождения Кости. Он в особняке за городом, где его вначале обхаживают, но предлагают вместо делового контракта съемку в порнофильме. Телегин категорически отказывается, но он уже попал в ловушку. Алена дает согласие на съемку. Её везут в загородный особняк, где должна сниматься фильм. Друзья Кости и милиция поспевают вовремя: съемка остановлена и её организаторы взяты с поличным.</t>
        </is>
      </c>
      <c r="L7092" s="2" t="inlineStr">
        <is>
          <t>https://gosfilmofond.ru/films/232399/</t>
        </is>
      </c>
      <c r="M7092" s="2">
        <f>HYPERLINK("https://ru.wikipedia.org/w/index.php?search=%D0%9E%D0%B1%D0%BD%D0%B0%D0%B6%D1%91%D0%BD%D0%BD%D0%B0%D1%8F%20%D0%B2%20%D1%88%D0%BB%D1%8F%D0%BF%D0%B5%201991%20%D1%84%D0%B8%D0%BB%D1%8C%D0%BC","искать")</f>
        <v/>
      </c>
      <c r="N7092" s="3" t="n"/>
      <c r="O7092" s="2" t="n"/>
      <c r="P7092" s="2" t="n"/>
    </row>
    <row r="7093">
      <c r="A7093" s="2" t="n">
        <v>7092</v>
      </c>
      <c r="B7093" s="2" t="inlineStr"/>
      <c r="C7093" s="2" t="n">
        <v>9462</v>
      </c>
      <c r="D7093" s="3" t="inlineStr">
        <is>
          <t>Люк</t>
        </is>
      </c>
      <c r="E7093" s="2" t="n">
        <v>1991</v>
      </c>
      <c r="F7093" s="2" t="inlineStr">
        <is>
          <t>кинофильм</t>
        </is>
      </c>
      <c r="G7093" s="2" t="n"/>
      <c r="H7093" s="2" t="n">
        <v>2412</v>
      </c>
      <c r="I7093" s="2" t="inlineStr"/>
      <c r="J7093" s="2" t="inlineStr"/>
      <c r="K7093" s="3" t="inlineStr">
        <is>
          <t>Задворки в центре Москвы конца 80-х годов. Бомжи, пьяницы, попрошайки заполняют эту часть города. Один из бомжей, молодой человек по прозвищу Люк, навещает живущих в развалинах дома родителей. Он укоряет мать, что она потеряла человеческий облик и просит уехать отсюда. «Куда?» - вопрошает мать. Люк уходит. бесцельно бродит по окрестностям и попадает под милицейскую облаву. Вместе с другими отловленными бомжами его «продают» начальнику строительства дороги для выполнения тяжёлой работы. Люк – самый младший из арестованных. Его не хотят принимать в компанию бывалые бомжи и с работягами на стройке ему нет места. На ночь он прибивается в пустой вагончик, в котором, как оказывается, живёт местный чудак. Его прозвали Свинарь, потому что его всё время сопровождает боров, которого мужчина и пасёт поблизости. Он называет борова ласково Чубариком, а тот преданно бегает за ним, как собака. Свинарь приносит Люку ужин и дарит золотые царские монеты со словами: «Вставишь зубы, когда здесь твои выбьют. Чубарик найдёт ещё».
Дорогу прокладывают через погост вблизи храма. Свинарь видит намерение начальника стройки разрушить храм, но не свернуть с намеченного направления дороги. Свинарь пытается остановить разрушение храма. Он чинит серьёзные препятствия, выводя из строя технику. За ремонт техники нужно платить и начальник стройки грозит прекратить выплачивать зарплату рабочим. Они негодуют и решают убить Свинопаса с молчаливого согласия шефа. Озлобленные работяги убивают Чубарика и устраивают пир с водкой и свининой.
Рабочие жестоко и беспричинно избивают Люка. В юноше зреет ненависть, и он задумывает план мести. Только Свинарь общается с ним по-доброму, но отговаривает взорвать стройку динамитом, привезённым для взрыва храма: «Не смей, они же пришибут тебя! Кто ты против них?» Ночью Люк выливает канистру бензина вокруг строительной техники и вагончиков, Мощный взрыв уничтожает всё строительное оборудование, но не затрагивает храм. Бомжи разбегаются со стройки, и Люк убегает тоже. Он не может найти мать и отца на их привычном месте среди развалин и плачет. Теперь он совсем один. Получая новые унижения и издевательства от бомжей, он в отчаянии восклицает: «Я так не могу жить больше!» Зима. Замерзший и голодный Люк бредет на огонек светящийся в полуразрушенном храме. Там у костра сидит Свинарь и приглашает юношу присесть рядом. Мужчина достает из костра печёную картошку и протягивает Люку.</t>
        </is>
      </c>
      <c r="L7093" s="2" t="inlineStr">
        <is>
          <t>https://gosfilmofond.ru/films/232372/</t>
        </is>
      </c>
      <c r="M7093" s="2">
        <f>HYPERLINK("https://ru.wikipedia.org/w/index.php?search=%D0%9B%D1%8E%D0%BA%201991%20%D1%84%D0%B8%D0%BB%D1%8C%D0%BC","искать")</f>
        <v/>
      </c>
      <c r="N7093" s="3" t="n"/>
      <c r="O7093" s="2" t="n"/>
      <c r="P7093" s="2" t="n"/>
    </row>
    <row r="7094">
      <c r="A7094" s="2" t="n">
        <v>7093</v>
      </c>
      <c r="B7094" s="2" t="inlineStr"/>
      <c r="C7094" s="2" t="n">
        <v>11054</v>
      </c>
      <c r="D7094" s="3" t="inlineStr">
        <is>
          <t>Гум-Гам</t>
        </is>
      </c>
      <c r="E7094" s="2" t="n">
        <v>1985</v>
      </c>
      <c r="F7094" s="2" t="inlineStr">
        <is>
          <t>фильм-спектакль</t>
        </is>
      </c>
      <c r="G7094" s="2" t="inlineStr">
        <is>
          <t>Лентелефильм</t>
        </is>
      </c>
      <c r="H7094" s="2" t="n">
        <v>2420</v>
      </c>
      <c r="I7094" s="2" t="inlineStr"/>
      <c r="J7094" s="2" t="inlineStr"/>
      <c r="K7094" s="3" t="inlineStr">
        <is>
          <t>Ленинградский школьник Максим, гуляя утром в конце зимних каникул, знакомится со странным мальчиком по имени Гум-Гам, оказавшимся пришельцем из далёкого космоса. Они подружились и обменялись игрушками: Гум-Гам дарит Максиму лестницу, с помощью которой возможно летать, Максим же дарит тому обычного воздушного змея. Гум-Гам также показывает Максиму свою «машину перемещений в пространстве» — камень путешествий — с помощью которого можно улететь, куда пожелаешь. Выясняется, что Гум-Гам живёт на планете, которой управляет робот по имени Автук, разрешающий местному населению, таким же мальчикам и девочкам, как и сам Гум-Гам, проводить время только лишь в играх и развлечениях — что они ни попросят, Автук им это даёт. Когда Гум-Гам показывает змея, Автук мигом создаёт множество его копий.
С этого момента Гум-Гам часто появляется на Земле и помимо Максима знакомится с другими его друзьями — каждый раз, когда ребята хотят его позвать к себе, они должны произнести слово «Раз». Гум-Гам устраивает для них различного рода развлечения — заставляет работать аттракционы в день, когда они закрыты, временно устраивает лето среди зимы или организовывает путешествие на корабле по Чёрному морю. Накануне дня, когда в школах должны начаться уроки, Гум-Гам со своими соплеменниками ночью приходят на Землю и дарят ребятам «лунад» — нечто вроде пряника, надкусив который, и сказав «раз», можно «уметь делать всё». Максиму же Гум-Гам помимо этого дарит камень путешествий, чтобы тот мог лететь туда, куда захотел.
Но земные школьники начинают использовать «лунад» совсем не по назначению — в школе они шокируют учителей своими совершенно немыслимыми «знаниями». И вскоре всё становится явным, особенно после того, как обнаруживается, что у «лунада» есть одно свойство — если о нём забыть, то он исчезнет навсегда. Тогда ребята зовут Гум-Гама, чтобы тот дал им новые «лунады», но тот не отвечает на зов. Максим с помощью камня путешествий летит на родную планету Гум-Гама, чтобы выяснить, почему он пропал, и почему ему нельзя общаться со своими новыми друзьями. Гум-Гам объясняет, что Автук запретил им покидать планету, и что это Автук на самом деле управлял всеми чудесами, которые творил на Земле Гум-Гам, и даже «лунад» является его изобретением. Когда Максим и жители планеты потребовали от Автука объяснений, робот перегрелся и сломался. В финальных кадрах инопланетяне обучаются в школе вместе с Максимом и его друзьями.</t>
        </is>
      </c>
      <c r="L7094" s="2" t="inlineStr">
        <is>
          <t>https://ru.wikipedia.org/w/index.php?title=%D0%93%D1%83%D0%BC-%D0%93%D0%B0%D0%BC_%28%D1%84%D0%B8%D0%BB%D1%8C%D0%BC%29&amp;oldid=152130101</t>
        </is>
      </c>
      <c r="M7094" s="2">
        <f>HYPERLINK("https://ru.wikipedia.org/w/index.php?search=%D0%93%D1%83%D0%BC-%D0%93%D0%B0%D0%BC%201985%20%D1%84%D0%B8%D0%BB%D1%8C%D0%BC","искать")</f>
        <v/>
      </c>
      <c r="N7094" s="3" t="n"/>
      <c r="O7094" s="2" t="n"/>
      <c r="P7094" s="2" t="n"/>
    </row>
    <row r="7095">
      <c r="A7095" s="2" t="n">
        <v>7094</v>
      </c>
      <c r="B7095" s="2" t="inlineStr"/>
      <c r="C7095" s="2" t="n">
        <v>8804</v>
      </c>
      <c r="D7095" s="3" t="inlineStr">
        <is>
          <t>Любовь на острове смерти</t>
        </is>
      </c>
      <c r="E7095" s="2" t="n">
        <v>1991</v>
      </c>
      <c r="F7095" s="2" t="inlineStr">
        <is>
          <t>кинофильм</t>
        </is>
      </c>
      <c r="G7095" s="2" t="n"/>
      <c r="H7095" s="2" t="n">
        <v>2426</v>
      </c>
      <c r="I7095" s="2" t="inlineStr"/>
      <c r="J7095" s="2" t="inlineStr"/>
      <c r="K7095" s="3" t="inlineStr">
        <is>
          <t>Тропические широты. Наше время. На корабле у берега моря расположилась экспедиция. Супруги Стив и Лола, а также обаятельная девушка Марина работают на берегу на раскопках. Стив и Марина питают симпатию друг к другу. В тайне Стив отправляется на ночную прогулку с Мариной на лодке. Лодку прибивает к острову. На острове парочка едва не становится добычей дикарей, но шаман великодушно отпускает их. Обследуя остров, они встречают красавицу-дикарку, которая зовёт их следовать за нею. Она приводит Стива и Марину к дому в глубине острова. Там живёт биолог Бернар, а экзотическая незнакомка – его дочь Шейла. Их угощают напитком с подмешанным снотворным и вводят им, беспомощным, какой-то препарат. Когда Стив и Марина просыпаются, Бернар уговаривает влюбленных остаться на острове, объясняя это своим одиночеством и частыми припадками эпилепсии, когда он нуждается в помощи. Биолог рассказывает, что работает здесь над получением из местных водорослей эффективного лекарства против рака. Понимая, что им некуда деваться, гости решают принять приглашение. Но вскоре Стив и Марина понимают, что в доме за ними организована слежка, а хозяева что-то скрывают от них. Шейла не спускает с гостей глаз. Чтобы получить выход за пределы дома, Стив соглашается на свидание с нею. Марина пробирается на скалистый берег у моря. Здесь она слышит разговор Бернара с незнакомцами, выгружающими ящики с лодок, причаливших к берегу. Он говорит, что, наконец, заполучил подопытных людей для испытания сильнодействующих наркотиков. Марина сообщает Стиву, что в доме нельзя ничего есть и пить, а нужно срочно искать путь к побегу с острова. Парочка освобождается от опеки Шейлы и начинает обследовать остров. Они обнаруживают в скалах пещеру жреца, из которой есть выход к морю. Спрятавшись поблизости, они видят, как шаманом обряжается сам Бернар. Племя находится в его беспрекословном подчинении. Шаман заставляет людей работать на себя при помощи «волшебного» напитка, в который подмешивает наркотики. Сумев привлечь туземцев на свою сторону, Стив направляет всё их недовольство на Бернара и его приспешников-бандитов, приплывших на лодках. Воспользовавшись моментом, Стив и Марина захватывают лодку и уплывают с проклятого острова. После всех испытаний Стив признается Марине в любви и говорит, что они никогда не расстанутся. Проснувшись утром в лодке, они видят вблизи свой экспедиционный корабль. Лола взирает на влюблённую парочку с палубы.</t>
        </is>
      </c>
      <c r="L7095" s="2" t="inlineStr">
        <is>
          <t>https://gosfilmofond.ru/films/232379/</t>
        </is>
      </c>
      <c r="M7095" s="2">
        <f>HYPERLINK("https://ru.wikipedia.org/w/index.php?search=%D0%9B%D1%8E%D0%B1%D0%BE%D0%B2%D1%8C%20%D0%BD%D0%B0%20%D0%BE%D1%81%D1%82%D1%80%D0%BE%D0%B2%D0%B5%20%D1%81%D0%BC%D0%B5%D1%80%D1%82%D0%B8%201991%20%D1%84%D0%B8%D0%BB%D1%8C%D0%BC","искать")</f>
        <v/>
      </c>
      <c r="N7095" s="3" t="n"/>
      <c r="O7095" s="2" t="n"/>
      <c r="P7095" s="2" t="n"/>
    </row>
    <row r="7096">
      <c r="A7096" s="2" t="n">
        <v>7095</v>
      </c>
      <c r="B7096" s="2" t="inlineStr"/>
      <c r="C7096" s="2" t="n">
        <v>8807</v>
      </c>
      <c r="D7096" s="3" t="inlineStr">
        <is>
          <t>Любофф</t>
        </is>
      </c>
      <c r="E7096" s="2" t="n">
        <v>1991</v>
      </c>
      <c r="F7096" s="2" t="inlineStr">
        <is>
          <t>кинофильм</t>
        </is>
      </c>
      <c r="G7096" s="2" t="n"/>
      <c r="H7096" s="2" t="n">
        <v>2428</v>
      </c>
      <c r="I7096" s="2" t="inlineStr"/>
      <c r="J7096" s="2" t="inlineStr"/>
      <c r="K7096" s="3" t="inlineStr">
        <is>
          <t>На цветущем лугу невинно резвятся юноша и девушка…Зимний вечер далеко в тылу фронтов Великой Отечественной войны. В бараке после трудового дня отдыхают парни. Дверь открывается и в помещение, нежданный, вваливается мужчина. Хозяйка барака Лидия расспрашивает незнакомца. Он представляется Серегой Строгалевым, шофером, которого направили сюда на проживание. Он сообщает, что любит свободную жизнь, женщин и убежал из того места, где ему не понравилось. Он не на фронте из-за плоскостопия, зато всё остальное, по его словам, у него в порядке. Серёга хвастается, что он - главный ухажёр и обещает ублажать Лидию. Он готов жить с ней по-семейному, не обижать и приносить деньги, если она не будет покушаться на его свободу и помнить, что он не муж ей, а только сожитель. С одним из юношей у Лидии доверительные отношения, и она признаётся ему, что новый постоялец сущий дьявол и притягивает её, как магнит. В один из дней, когда простудившийся юноша лежит в постели, его приходит навестить девушка, с которой у них были романтические отношения прошлым летом. Сергей моментально кладёт взгляд на симпатичную «шоферку» Любку, не забывая при этом поучать парня, что жениться не нужно, а нужно молча выполнять свои мужские обязанности. Если у бабы случится любовь, следует вовремя унести ноги, ведь одуревшая от любви баба убить может. В один из вечеров после танцев Серега соблазняет Любу. Лида, успевшая привязаться к Сергею, ревнует его к молодой «шоферке», которую окрутил Серёга, а юноша молча переживает свою несчастную любовь. По-прошествии некоторого времени Любка является в мужской барак и заявляет прилюдно, что она беременна от Сергея. Он жёстко обрывает её: «Не нужно мне никаких ребёночков!» и прогоняет. Лида радуется: «Любка – стерва, и теперь он мой будет!» Но Люба не собирается отказываться от Серёги, заявляя, что они или по-хорошему будут жить вместе, или она не отпустит его всё равно. Сергей, почувствовав опасность потери свободы, говорит Лидии, что ему нужно сматываться отсюда. Лида не держит зла на мужчину, но понимает, что удержать его не сможет. В минуты прощания в помещение вбегает Любка и заявляет, что не даст Сергею уехать. Он отталкивает её, садится в грузовик и уезжает. Люба гонится за ним на своей машине и сталкивает машины. Сергей, побросав вещи, убегает от Любы по льду. За нею бежит её молодой друг, догоняет Любашу и валит наземь вблизи полыньи, в которой несколько минут назад канул Сергей.</t>
        </is>
      </c>
      <c r="L7096" s="2" t="inlineStr">
        <is>
          <t>https://gosfilmofond.ru/films/232374/</t>
        </is>
      </c>
      <c r="M7096" s="2">
        <f>HYPERLINK("https://ru.wikipedia.org/w/index.php?search=%D0%9B%D1%8E%D0%B1%D0%BE%D1%84%D1%84%201991%20%D1%84%D0%B8%D0%BB%D1%8C%D0%BC","искать")</f>
        <v/>
      </c>
      <c r="N7096" s="3" t="n"/>
      <c r="O7096" s="2" t="n"/>
      <c r="P7096" s="2" t="n"/>
    </row>
    <row r="7097">
      <c r="A7097" s="2" t="n">
        <v>7096</v>
      </c>
      <c r="B7097" s="2" t="inlineStr"/>
      <c r="C7097" s="2" t="n">
        <v>8574</v>
      </c>
      <c r="D7097" s="3" t="inlineStr">
        <is>
          <t>Шаги императора</t>
        </is>
      </c>
      <c r="E7097" s="2" t="n">
        <v>1991</v>
      </c>
      <c r="F7097" s="2" t="inlineStr">
        <is>
          <t>телефильм</t>
        </is>
      </c>
      <c r="G7097" s="2" t="inlineStr">
        <is>
          <t>«Лентелефильм»</t>
        </is>
      </c>
      <c r="H7097" s="2" t="n">
        <v>2431</v>
      </c>
      <c r="I7097" s="2" t="inlineStr"/>
      <c r="J7097" s="2" t="inlineStr"/>
      <c r="K7097" s="3" t="inlineStr">
        <is>
          <t>Император Павел — мелочный, придирчивый и неуравновешенный монарх, самодур на троне, он одержим идеей «исцелить Россию» и мечтает «вышибить потёмкинский дух» из подданных. Отправляясь путешествовать, Павел требует, чтобы не было никаких «потёмкинских деревень», потому что его путешествие, это «не как у матушки».
Однажды, отдыхая после обеда, император был разбужен криком «караул!» под своими окнами. Павел разгневан — неизвестный, кричавший под окнами, так и не был найден, несмотря на тщательный розыск. Императору подают на подпись приказ с ошибкой писаря, и он его утверждает — несуществующий подпоручик Киже назначен в караул, а существующий поручик Синюхаев объявлен умершим. Командир полка, в котором служит поручик, понимает, что произошло досадное недоразумение — но сделать ничего нельзя, воля императора должна быть исполнена точно и беспрекословно. Подпоручика Киже назначают в караул, а у Синюхаева забирают мундир, ведь «покойнику» он уже не нужен. Барон Аракчеев подаёт прошение поручика Синюхаева о признании того живым, чем только навлекает на себя немилость государя.
Воспользовавшись удобным случаем, Павлу докладывают, что «караул» кричал именно подпоручик Киже, и монарший гнев не заставил себя ждать — после порки плетьми «секретного арестанта, не имеющего тела», конвоируют в Сибирь. Придворная фрейлина, узнав обстоятельства ссылки подпоручика, принимает его за своего незадачливого возлюбленного, который на самом деле и потревожил сон императора. Фаворитка Павла Екатерина Нелидова берётся помочь несчастной фрейлине. Узнав о романтической истории любви фрейлины и подпоручика Киже, сентиментальный император возвращает ссыльного обратно, производит его в поручики и женит на фрейлине. Вызывая всеобщее любопытство, фрейлина вынуждена венчаться одна, поскольку жених «задержан для особых поручений». Вскоре у поручика родился сын, по слухам, похожий на него. Озабоченный поисками верного человека, Павел видит такового в поручике Киже, и тот делает стремительную карьеру — капитан, через считанные минуты полковник, а потом и генерал. Жена Киже осталась весьма довольна существующим положением вещей, поскольку супружеское место генерала всегда согревалось каким-нибудь офицером или штатским. Император требует генерала Киже к себе, но ему докладывают, что тот «опасно заболел» и чуть позже «скончался». Вскоре после «смерти» генерала-фантома в соответствии с официальным заявлением умирает и сам Павел.</t>
        </is>
      </c>
      <c r="L7097" s="2" t="inlineStr">
        <is>
          <t>https://ru.wikipedia.org/w/index.php?title=%D0%A8%D0%B0%D0%B3%D0%B8_%D0%B8%D0%BC%D0%BF%D0%B5%D1%80%D0%B0%D1%82%D0%BE%D1%80%D0%B0&amp;oldid=148499551</t>
        </is>
      </c>
      <c r="M7097" s="2">
        <f>HYPERLINK("https://ru.wikipedia.org/w/index.php?search=%D0%A8%D0%B0%D0%B3%D0%B8%20%D0%B8%D0%BC%D0%BF%D0%B5%D1%80%D0%B0%D1%82%D0%BE%D1%80%D0%B0%201991%20%D1%84%D0%B8%D0%BB%D1%8C%D0%BC","искать")</f>
        <v/>
      </c>
      <c r="N7097" s="3" t="n"/>
      <c r="O7097" s="2" t="n"/>
      <c r="P7097" s="2" t="n"/>
    </row>
    <row r="7098">
      <c r="A7098" s="2" t="n">
        <v>7097</v>
      </c>
      <c r="B7098" s="2" t="inlineStr"/>
      <c r="C7098" s="2" t="n">
        <v>9081</v>
      </c>
      <c r="D7098" s="3" t="inlineStr">
        <is>
          <t>Счастливые дни</t>
        </is>
      </c>
      <c r="E7098" s="2" t="n">
        <v>1991</v>
      </c>
      <c r="F7098" s="2" t="inlineStr">
        <is>
          <t>кинофильм</t>
        </is>
      </c>
      <c r="G7098" s="2" t="n"/>
      <c r="H7098" s="2" t="n">
        <v>2431</v>
      </c>
      <c r="I7098" s="2" t="inlineStr"/>
      <c r="J7098" s="2" t="inlineStr"/>
      <c r="K7098" s="3" t="inlineStr">
        <is>
          <t>Больничная палата. После осмотра пациента врач выписывает его. Мужчина просит оставить его в больнице, но получает отказ. Мрачная улица старого Санкт-Петербурга. Кругом забвение и запустение. Мужчина ищет приюта, пытаясь снять комнату. Везде ему отказывают. Наконец, хозяйка квартиры пускает его в одну из комнат. Постоялец не помнит, как его зовут, и она решает называть его Сергеем Сергеевичем. Женщина забирает все немногие деньги у мужчины и уходит. Пустой трамвай с грохотом увозит её прочь. В квартире появляется новый человек, представляется Сергеем Сергеевичем и гонит новенького прочь из квартиры. Под торжественную музыку Вагнера бездомный бредёт на кладбище и располагается на скамье на ночлег. Появляется девушка в черном с цветами, оставляет их в ближайшем склепе, присаживается у ног мужчины и поет романс на чужом языке. Бездомный уходит и вновь пытается найти жилье, но безуспешно. Он возвращается на кладбище и знакомится со слепым стариком, у которого поводырь - осёл. Старик приглашает мужчину жить вместе с ним. Он дает новому знакомому имя Петр и ведёт его в свой подвал, но тот недолго там задерживается из-за вздорного отца слепого. Вернувшись на кладбище, он видит там знакомую девушку, которая пытается приручить его. Мужчина несколько дней мечется между кладбищем и подвалом, пока, наконец, девушка ни приглашает его к себе жить. Большая квартира сохранила обстановку дореволюционного благополучия. Девушка представляется: «Меня зовут Анна. Я буду звать вас Боря» Боря «держит оборону» в выделенной комнате, не подпуская девушку к себе. Однажды утром он обнаруживает её в постели рядом с собой. Находясь в комнате, Боря время от времени слышит за другими закрытыми дверями всхлипы, стоны, крики. Спустя некоторое время Анна заявляет ему, что у них будет сын. Боря понимает, что женщины за закрытыми дверями живут проституцией. Его раздражают посторонние звуки, и он грозит Анне уйти от неё назавтра. Квартира внезапно меняет облик и превращается в коммуналку, по которой снуют женщины в косынках с тазами и кухонной утварью. Боря сбегает из квартиры и приходит в подвал. Там уже нет слепца. Остался только его отец, который рассказывает, что сын кричал-кричал, как в детстве. «Детства больше нет»,- обрывает его Боря и уходит из подвала. Во дворе дома он обнаруживает лодку и укрывается в ней. Затопленная улица, полузатопленный трамвай, на воде одинокая лодка. В ней Боря. Кажется, он один на всем свете.</t>
        </is>
      </c>
      <c r="L7098" s="2" t="inlineStr">
        <is>
          <t>https://gosfilmofond.ru/films/232510/</t>
        </is>
      </c>
      <c r="M7098" s="2">
        <f>HYPERLINK("https://ru.wikipedia.org/w/index.php?search=%D0%A1%D1%87%D0%B0%D1%81%D1%82%D0%BB%D0%B8%D0%B2%D1%8B%D0%B5%20%D0%B4%D0%BD%D0%B8%201991%20%D1%84%D0%B8%D0%BB%D1%8C%D0%BC","искать")</f>
        <v/>
      </c>
      <c r="N7098" s="3" t="n"/>
      <c r="O7098" s="2" t="n"/>
      <c r="P7098" s="2" t="n"/>
    </row>
    <row r="7099">
      <c r="A7099" s="2" t="n">
        <v>7098</v>
      </c>
      <c r="B7099" s="2" t="inlineStr"/>
      <c r="C7099" s="2" t="n">
        <v>9794</v>
      </c>
      <c r="D7099" s="3" t="inlineStr">
        <is>
          <t>Вызываем огонь на себя</t>
        </is>
      </c>
      <c r="E7099" s="2" t="n">
        <v>1964</v>
      </c>
      <c r="F7099" s="2" t="inlineStr">
        <is>
          <t>телефильм</t>
        </is>
      </c>
      <c r="G7099" s="2" t="inlineStr">
        <is>
          <t>Мосфильм, творческое объединение "Экран" по заказу ЦТ</t>
        </is>
      </c>
      <c r="H7099" s="2" t="n">
        <v>2431</v>
      </c>
      <c r="I7099" s="2" t="inlineStr"/>
      <c r="J7099" s="2" t="inlineStr"/>
      <c r="K7099" s="3" t="inlineStr">
        <is>
          <t>Фильм повествует о реальных событиях времён Великой Отечественной войны, происходивших в 1942—1943 годах в немецком тылу на Брянщине, в посёлке Сеща.
Аня Морозова, двадцатиоднолетняя местная жительница, при отступлении Красной армии весной 1942 года уходит вместе с ней, но затем, вернувшись в числе других беженцев, которым не удалось добраться до своих, обнаруживает, что её дом разбомблён, а родных никого не осталось.
Аня, до войны работавшая бухгалтером в местной воинской части, устраивается прачкой на немецкий военный объект и постепенно находит своих довоенных подруг, впоследствии ставших ядром организованной ею подпольной группы. Для приближения победы Анна выходит на связь с местной партизанской бригадой, для которой она известна под псевдонимом «Резеда».
Целью советского командования является уничтожение стратегически важного военного объекта — сещинского военного аэродрома, захваченного немецкими войсками во время стремительного наступления в начале войны, где гитлеровцы разместили свою военно-воздушную базу, насчитывающую до трёхсот немецких бомбардировщиков, и откуда наносили бомбовые удары по Москве. Территория в радиусе пяти километров вокруг авиабазы превращена захватчиками в неприступную крепость.
Перед подпольной группой под руководством Морозовой ставится задача добывать ценные разведывательные сведения об авиабазе противника и передавать их через партизан в Москву, организовывать диверсии по взрыву немецких самолётов и выводу из строя другой военной техники врага.
Со временем местное подполье расширяется, становится интернациональным (советско-польско-чехословацким). Группе Морозовой удаётся найти подход к аэродрому через налаживание связи с поляками, работающими аэродромными техниками. Интернационалисты действуют дерзко: создают на аэродроме пост наведения для советских самолётов, наносящих бомбовые удары по гитлеровской авиабазе, совершают прямые диверсии, устанавливая магнитные мины в бомбовые отсеки улетающих на задание вражеских бомбардировщиков.
На след подпольщиков выходит немецкая контрразведка. Советские патриоты несут тяжёлые потери, однако, благодаря совместной операции диверсионных групп и партизан, стратегический военный объект удаётся уничтожить.
Речь в фильме идёт о реальном военном аэродроме Сеща, который был разрушен бомбовым ударом советской авиации в сентябре 1943 года в ходе операции по освобождению территории Брянщины от немецко-фашистских захватчиков.</t>
        </is>
      </c>
      <c r="L7099" s="2" t="inlineStr">
        <is>
          <t>https://ru.wikipedia.org/w/index.php?title=%D0%92%D1%8B%D0%B7%D1%8B%D0%B2%D0%B0%D0%B5%D0%BC_%D0%BE%D0%B3%D0%BE%D0%BD%D1%8C_%D0%BD%D0%B0_%D1%81%D0%B5%D0%B1%D1%8F_%28%D1%84%D0%B8%D0%BB%D1%8C%D0%BC%29&amp;oldid=154602424</t>
        </is>
      </c>
      <c r="M7099" s="2">
        <f>HYPERLINK("https://ru.wikipedia.org/w/index.php?search=%D0%92%D1%8B%D0%B7%D1%8B%D0%B2%D0%B0%D0%B5%D0%BC%20%D0%BE%D0%B3%D0%BE%D0%BD%D1%8C%20%D0%BD%D0%B0%20%D1%81%D0%B5%D0%B1%D1%8F%201964%20%D1%84%D0%B8%D0%BB%D1%8C%D0%BC","искать")</f>
        <v/>
      </c>
      <c r="N7099" s="3" t="n"/>
      <c r="O7099" s="2" t="n"/>
      <c r="P7099" s="2" t="n"/>
    </row>
    <row r="7100">
      <c r="A7100" s="2" t="n">
        <v>7099</v>
      </c>
      <c r="B7100" s="2" t="inlineStr"/>
      <c r="C7100" s="2" t="n">
        <v>7212</v>
      </c>
      <c r="D7100" s="3" t="inlineStr">
        <is>
          <t>Антарктическая повесть</t>
        </is>
      </c>
      <c r="E7100" s="2" t="n">
        <v>1979</v>
      </c>
      <c r="F7100" s="2" t="inlineStr">
        <is>
          <t>телефильм</t>
        </is>
      </c>
      <c r="G7100" s="2" t="inlineStr">
        <is>
          <t>Мосфильм</t>
        </is>
      </c>
      <c r="H7100" s="2" t="n">
        <v>2432</v>
      </c>
      <c r="I7100" s="2" t="inlineStr"/>
      <c r="J7100" s="2" t="inlineStr"/>
      <c r="K7100" s="3" t="inlineStr">
        <is>
          <t>Дизель-электроход «Обь» направляется к берегам Антарктиды, чтобы доставить на советские антарктические станции новую смену и забрать уже отзимовавших полярников. Дорога домой ожидает и группу под руководством Сергея Семёнова, которая в течение года проводила научные исследования на станции «Новолазаревская». Полярники должны прибыть на неиспользуемую станцию «Лазарев», находящуюся ближе к побережью, и ожидать там ледокол. Однако перед отправкой домой группе Семёнова поручают последнее задание — отбыть на самолётах на внутриконтинентальную станцию «Восток» и за несколько дней провести работы по её расконсервации, чтобы станция смогла принять учёных на очередную зимовку (в течение года станция была законсервирована, так как на неё не успели вовремя завезти горючее до начала полярной зимы).
На «Восток» отправляются пятеро: сам Семёнов, опытный полярник и строгий руководитель; его старый друг и коллега по многим зимовкам метеоролог Андрей Гаранин; врач Александр Бармин, который лечит товарищей не только лекарствами, но и хорошим настроением; молодой механик Веня Филатов, влюблённый «на расстоянии» в известную киноактрису (Наталья Фатеева в одном из эпизодов фильма фактически играет саму себя); и более опытный механик Женя Дугин, которого Семёнов считает незаменимым человеком в ходе любой зимовки. Из-за непредвиденных обстоятельств, обусловленных тяжелейшими климатическими условиями района «Востока» и Антарктиды в целом, группа полярников оказывается в ловушке — без тепла, связи и какой-либо помощи извне на необитаемой станции в условиях 40-градусных морозов.
Между тем и сама возможность отплытия из Антарктиды на «Оби» оказывается под вопросом из-за нетипично сложной ледовой обстановки у берегов материка. Для полярников, проведших целый год в узком коллективе, оторванных от своих семей и от всего мира, угроза второй зимовки оказывается тяжёлым испытанием. Обостряются накопившиеся в коллективе противоречия.
В конечном итоге залогом выживаемости в тяжёлых природно-климатических и, что не менее важно, в тяжёлых морально-психологических условиях оказываются сила духа, готовность к испытаниям, готовность к самопожертвованию ради товарищей. В нетипичных даже для сурового быта зимовщиков ситуациях слабые, на первый взгляд, люди, считавшиеся угрозой спокойствию коллектива, выказывают выдержку и находчивость, надёжные и «беспроблемные» ранее люди демонстрируют трусость и склонность к приспособленчеству.</t>
        </is>
      </c>
      <c r="L7100" s="2" t="inlineStr">
        <is>
          <t>https://ru.wikipedia.org/w/index.php?title=%D0%90%D0%BD%D1%82%D0%B0%D1%80%D0%BA%D1%82%D0%B8%D1%87%D0%B5%D1%81%D0%BA%D0%B0%D1%8F_%D0%BF%D0%BE%D0%B2%D0%B5%D1%81%D1%82%D1%8C&amp;oldid=146637031</t>
        </is>
      </c>
      <c r="M7100" s="2">
        <f>HYPERLINK("https://ru.wikipedia.org/w/index.php?search=%D0%90%D0%BD%D1%82%D0%B0%D1%80%D0%BA%D1%82%D0%B8%D1%87%D0%B5%D1%81%D0%BA%D0%B0%D1%8F%20%D0%BF%D0%BE%D0%B2%D0%B5%D1%81%D1%82%D1%8C%201979%20%D1%84%D0%B8%D0%BB%D1%8C%D0%BC","искать")</f>
        <v/>
      </c>
      <c r="N7100" s="3" t="n"/>
      <c r="O7100" s="2" t="n"/>
      <c r="P7100" s="2" t="n"/>
    </row>
    <row r="7101">
      <c r="A7101" s="2" t="n">
        <v>7100</v>
      </c>
      <c r="B7101" s="2" t="inlineStr"/>
      <c r="C7101" s="2" t="n">
        <v>8680</v>
      </c>
      <c r="D7101" s="3" t="inlineStr">
        <is>
          <t>Год хорошего ребёнка</t>
        </is>
      </c>
      <c r="E7101" s="2" t="n">
        <v>1991</v>
      </c>
      <c r="F7101" s="2" t="inlineStr">
        <is>
          <t>кинофильм</t>
        </is>
      </c>
      <c r="G7101" s="2" t="n"/>
      <c r="H7101" s="2" t="n">
        <v>2439</v>
      </c>
      <c r="I7101" s="2" t="inlineStr"/>
      <c r="J7101" s="2" t="inlineStr"/>
      <c r="K7101" s="3" t="inlineStr">
        <is>
          <t>Средняя школа последних лет советского периода. Непоседа Рома Рогов с приятелями доставляет немало неприятностей учителям и одноклассникам своими шалостями. Однажды директор школы передаёт в класс письма школьников из ГДР, как награду лучшим ученикам. Одно из писем в качестве эксперимента по исправлению поведения, передают Роме Рогову. Он увлекается перепиской с немецкой школьницей Розалиндой и мечтает увидеться с ней. Но бабушка девочки категорически против переписки и поездки Розалинды в Россию.Тем временем ООН объявляет Год хорошего ребёнка, когда самые способные дети планеты будут приглашены в Жевену на встречу и демонстрацию своих талантов. Розалинда удивляет взрослых своими способностями в технике, когда с лёгкостью чинит мотоцикл папы и машину шефа Интерпола. Её приглашают на встречу в Жевену, а обеспечить безопасность девочки поручено комиссару Интерпола.Чтобы попасть в Жевену и увидеться с Розалиндой, изобретательный Рома глотает кусочки мощного магнита. Ему удаётся убедить отборочную комиссию в своей уникальной способности притягивать металлические предметы. В результате его, как выдающегося ребёнка, направляют в Жевену.Королева Лихтенвайла посылает в Жевену своего сына принца Филиппа для установления дружественных связей со сверстниками – будущим цветом своих наций. Рома Рогов, Розалинда и принц Филипп знакомятся и становятся друзьями.В Жевену прибывает итальянской мафиози Кирпичиано со своими помощниками. Его цель – похитить принца Филиппа и получить за него выкуп. По ошибке итальянцы выкрадывают вместо лихтенвальского принца русского мальчика Рому. По следам похитителей следуют русский майор, немецкий комиссар, и друзья Ромы Филипп и Розалинда.Ребята быстрее взрослых настигают похитителей, но бандиты, поняв, что они похитили не того мальчика, захватывают Филиппа. Теперь уже Рома с Розалиндой гонятся за бандитами. Кирпичиано, убегая от преследования, предаёт своих сообщников и сам пытается спастись на воздушном шаре, прихватив Филиппа. Рома и Розалинда смело продолжают преследование. Поняв, что ему не уйти от погони, Кирпичиано позволяет Филиппу перебраться на воздушный шар ребят, бросив ему вслед слова: «У тебя очень хорошие друзья». Взрослые преследователи мафиози поспевают к месту событий, когда опасность для детей уже миновала. Им остается только ждать приземления воздушного шара с детьми. Советский майор уверен, что все закончится хорошо потому что: «Ветер дует к нам, на восток».</t>
        </is>
      </c>
      <c r="L7101" s="2" t="inlineStr">
        <is>
          <t>https://gosfilmofond.ru/films/232261/</t>
        </is>
      </c>
      <c r="M7101" s="2">
        <f>HYPERLINK("https://ru.wikipedia.org/w/index.php?search=%D0%93%D0%BE%D0%B4%20%D1%85%D0%BE%D1%80%D0%BE%D1%88%D0%B5%D0%B3%D0%BE%20%D1%80%D0%B5%D0%B1%D1%91%D0%BD%D0%BA%D0%B0%201991%20%D1%84%D0%B8%D0%BB%D1%8C%D0%BC","искать")</f>
        <v/>
      </c>
      <c r="N7101" s="3" t="n"/>
      <c r="O7101" s="2" t="n"/>
      <c r="P7101" s="2" t="n"/>
    </row>
    <row r="7102">
      <c r="A7102" s="2" t="n">
        <v>7101</v>
      </c>
      <c r="B7102" s="2" t="inlineStr"/>
      <c r="C7102" s="2" t="n">
        <v>9701</v>
      </c>
      <c r="D7102" s="3" t="inlineStr">
        <is>
          <t>Трудно первые сто лет</t>
        </is>
      </c>
      <c r="E7102" s="2" t="n">
        <v>1988</v>
      </c>
      <c r="F7102" s="2" t="inlineStr">
        <is>
          <t>кинофильм</t>
        </is>
      </c>
      <c r="G7102" s="2" t="n"/>
      <c r="H7102" s="2" t="n">
        <v>2439</v>
      </c>
      <c r="I7102" s="2" t="inlineStr"/>
      <c r="J7102" s="2" t="inlineStr"/>
      <c r="K7102" s="3" t="inlineStr">
        <is>
          <t>Советская провинция, 1980-е годы. Молодая девушка Варя работает дояркой, но мечтает вырваться из серых деревенских будней и «уехать куда-нибудь». Она замужем за простым парнем Иваном, который день и ночь трудится над постройкой нового большого дома, правдами и неправдами добывая дефицитный по тем временам кирпич. Несмотря на доброжелательное отношение свекрови, Варя тяготится пребыванием в доме мужа. Часто во сне и наяву она представляет себя в совершенно другой обстановке. Так, в одном из её видений-снов она оказывается с грудным ребёнком на руках в трамвае, мчащемся по городу, в котором нет ни единой живой души. В другом сне она бредёт по лесу, видя вокруг обнажённых мужчин и женщин. Также она оказывается на берегу моря среди людей, одетых в красивые белые костюмы. Один из мужчин говорит ей, что он её муж, однако затем он исчезает. Наголо бритый мужчина говорит, что её мужа убили и приглашает Варю к себе на яхту. Вспоминает Варя и свою жизнь до замужества — как её отец запил по-чёрному, а у матери появился новый сожитель.
На выходных Иван приглашает всех знакомых помочь со строительством дома, устраивая вечером угощение за его счёт. После пьянки Варя признаётся мужу, что ненавидит его и его мать, что она жила с ним только потому, что ей некуда было пойти, и что она больше не останется в их доме. Ночью она отправляется в город, по пути заходя к подругам на дискотеку. В своём ночном сне Варя видит, как бритый наголо человек в белом костюме раздевает её на яхте, врывается Иван и завязывается драка, однако лысый легко одолевает его. Затем лысый набрасывается на Варю, однако она убивает его ножом в спину. После этого она просит прощения у раненого Ивана и говорит ему, что любит его.
Проснувшись утром на вокзале, Варя покупает билет на вечерний поезд в Смоленск, чтобы вернуться к матери. Днём она ходит по городу, заходит в поликлинику, где просит врача сделать ей аборт, однако врач отсылает её. Варя представляет, как топится в пруду, а потом её тело вытаскивают под взорами любопытствующей толпы. Бродя по городу, она прячется от дождя в подъезде среди других людей, туда же затем подходят и Иван с матерью и младшим братом. Они, однако, не замечают Варю.
Когда поезд отходит (в окно поезда видно, что действие происходит на станции Шилово), Варя встречает в тамбуре Ивана. Он сообщает, что ему пришла повестка к следователю, может быть из-за кирпичей. Постепенно успокоившись и разговаривая, они едут дальше.</t>
        </is>
      </c>
      <c r="L7102" s="2" t="inlineStr">
        <is>
          <t>https://ru.wikipedia.org/w/index.php?title=%D0%A2%D1%80%D1%83%D0%B4%D0%BD%D0%BE_%D0%BF%D0%B5%D1%80%D0%B2%D1%8B%D0%B5_100_%D0%BB%D0%B5%D1%82&amp;oldid=148171916</t>
        </is>
      </c>
      <c r="M7102" s="2">
        <f>HYPERLINK("https://ru.wikipedia.org/w/index.php?search=%D0%A2%D1%80%D1%83%D0%B4%D0%BD%D0%BE%20%D0%BF%D0%B5%D1%80%D0%B2%D1%8B%D0%B5%20%D1%81%D1%82%D0%BE%20%D0%BB%D0%B5%D1%82%201988%20%D1%84%D0%B8%D0%BB%D1%8C%D0%BC","искать")</f>
        <v/>
      </c>
      <c r="N7102" s="3" t="n"/>
      <c r="O7102" s="2" t="n"/>
      <c r="P7102" s="2" t="n"/>
    </row>
    <row r="7103">
      <c r="A7103" s="2" t="n">
        <v>7102</v>
      </c>
      <c r="B7103" s="2" t="inlineStr"/>
      <c r="C7103" s="2" t="n">
        <v>9226</v>
      </c>
      <c r="D7103" s="3" t="inlineStr">
        <is>
          <t>Безумной страстью ты сама ко мне пылаешь</t>
        </is>
      </c>
      <c r="E7103" s="2" t="n">
        <v>1991</v>
      </c>
      <c r="F7103" s="2" t="inlineStr">
        <is>
          <t>кинофильм</t>
        </is>
      </c>
      <c r="G7103" s="2" t="n"/>
      <c r="H7103" s="2" t="n">
        <v>2440</v>
      </c>
      <c r="I7103" s="2" t="inlineStr"/>
      <c r="J7103" s="2" t="inlineStr"/>
      <c r="K7103" s="3" t="inlineStr">
        <is>
          <t>Антуан, его жена Анна и карлик Федор едут на гастроли в приморский город. Мужчины – артисты цирка и уроженцы тех мест. На вокзале красавца Антуана встречают поклонницы с цветами. За выступлением циркачей восторженно наблюдает карлица Шарлотта. После представления она приходит за кулисы к Федору. Федор и Шарлотта знакомы с детства, но жизненные пути развели их по разным городам. Шарлотта рассказывает, что у неё есть рослый друг Владимир, который готовит с нею театральный номер. Шарлотта приглашает старого друга в гости. Когда Федор подходит к вагончику, в котором живут Шарлотта с Владимиром, он видит, как на берегу моря Владимир раздраженно заставляет Шарлотту вновь и вновь повторять репризу бесталанно разыгрываемую девушкой. Шарлотта объясняет Федору, что у них всё хорошо и скоро будет собственное представление. Федор понимает, что всё не так гладко в жизни подруги, как она старается представить. В цирке маленький человек тоже чувствует себя некомфортно. Над ним издеваются, насмехаются коллеги. Однажды рослый акробат избивает и выбрасывает его из женской уборной, куда его затащили танцовщицы. Антуан уносит травмированного партнера на руках и оставляет его в своей квартире. Жена Антуана Анна ухаживает за Федором. В один из дней, испытывая к Федору жалость и играя с ним, Анна позволяет ему овладеть собой. Вскоре, выиграв крупную сумму в ставке на лошадиных бегах, Федор решает изменить свою жизнь: жениться на Анне, уйти из цирка и уехать из города. Он делится с Шарлоттой своими планами. Она разочарована, так как неравнодушна к Федору и мечтает, что у них с Федором возникнут близкие отношения. Антуан узнает от Федора об измене Анны. Он упрекает жену, что она не только разрушает его планы поехать вместе на гастроли за границу, но и лишает его желания жить. Он имитирует самоубийство, и испуганная Анна отстраняется от Федора. Тот покидает цирк и один уезжает из города. Спустя 11 лет Анна разыскивает Федора. Он работает в маленьком городе киномехаником. Федор холодно встречает женщину, но интересуется, как поживает его бывший партнер. Анна сообщает, что муж сейчас показывает фокусы, и они ездят на заграничные гастроли. «Знаешь, зачем я тебя разыскала?» - спрашивает Анна – «У меня был сын от тебя. Он был большой, как все мальчики». Анна уходит. Пытаясь догнать женщину, Федор повисает на заграждении лестницы, зацепившись курткой. «Я хочу его видеть!» - кричит он вслед Анне. Та, плача, уходит не оглянувшись.</t>
        </is>
      </c>
      <c r="L7103" s="2" t="inlineStr">
        <is>
          <t>https://gosfilmofond.ru/films/226097/</t>
        </is>
      </c>
      <c r="M7103" s="2">
        <f>HYPERLINK("https://ru.wikipedia.org/w/index.php?search=%D0%91%D0%B5%D0%B7%D1%83%D0%BC%D0%BD%D0%BE%D0%B9%20%D1%81%D1%82%D1%80%D0%B0%D1%81%D1%82%D1%8C%D1%8E%20%D1%82%D1%8B%20%D1%81%D0%B0%D0%BC%D0%B0%20%D0%BA%D0%BE%20%D0%BC%D0%BD%D0%B5%20%D0%BF%D1%8B%D0%BB%D0%B0%D0%B5%D1%88%D1%8C%201991%20%D1%84%D0%B8%D0%BB%D1%8C%D0%BC","искать")</f>
        <v/>
      </c>
      <c r="N7103" s="3" t="n"/>
      <c r="O7103" s="2" t="n"/>
      <c r="P7103" s="2" t="n"/>
    </row>
    <row r="7104">
      <c r="A7104" s="2" t="n">
        <v>7103</v>
      </c>
      <c r="B7104" s="2" t="inlineStr"/>
      <c r="C7104" s="2" t="n">
        <v>9712</v>
      </c>
      <c r="D7104" s="3" t="inlineStr">
        <is>
          <t>Умирать не страшно</t>
        </is>
      </c>
      <c r="E7104" s="2" t="n">
        <v>1991</v>
      </c>
      <c r="F7104" s="2" t="inlineStr">
        <is>
          <t>кинофильм</t>
        </is>
      </c>
      <c r="G7104" s="2" t="n"/>
      <c r="H7104" s="2" t="n">
        <v>2452</v>
      </c>
      <c r="I7104" s="2" t="inlineStr"/>
      <c r="J7104" s="2" t="inlineStr"/>
      <c r="K7104" s="3" t="inlineStr">
        <is>
          <t>Две молодые женщины, приехавшие из Караганды, ищут и не находят на старом московском кладбище могилу своей бабушки. Старшая уверяет сестру, что это - то самое место, но креста нет. Случайная прохожая объясняет им, что в 50-х была перерегистрация захоронений и могилы тех, у кого не нашлось родственников, не сохраняли. Остается только помнить…Осень. Красивая интеллигентная женщина сидит с зимними вещами перед следователем. Мужа она сама собирала на этап, а её собирать некому: дома две малолетние дочери и старик-отец. Она решительно отказывается быть осведомителем и приготовилась к самому худшему. В разговоре со следователем Ксения Николаевна бесстрашно отстаивает честь своих родителей - изгнанных из родового поместья дворян. Ей не жаль потерянного имущества, для неё главное, чтобы новая власть правильно распорядилась тем, что забрала у людей. Федоренко проникается сочувствием к этой хрупкой, но сильной женщине и отправляет её домой к детям. Ксения играет в оркестре, перед сеансами в кинотеатре. Мысли об этой женщине не покидают Федоренко, и он отправляется в кинотеатр. Ксения пугается, увидев следователя. Он успокаивает её, желает счастья и, попрощавшись, уходит. Отец Ксении бережно сохраняет историю семьи и часто рассказывает внучкам об их бабушке, своей рано умершей любимой жене. Он понимает, что он и его близкие беззащитны в это послереволюционное время, но часто повторяет, что когда любовь сильнее смерти, то и умирать не страшно. Ксения, возвращаясь с работы поздним вечером, видит возле дома «воронок». В квартире все вещи перевернуты. Забирать нечего, кроме семейной переписки. Старого больного отца арестовывают. Ксения пытается образумить и остановить людей из органов, она уверена, что отец ни в чем не виновен, но офицер предъявляет ордер и на её арест. Он говорит, что один человек хотел их запутать, и потому Ксению ещё не арестовали, но тот человек запутался сам. Вечер, сильный дождь. Федоренко заходит в опустевший ресторан. Сидя за столиком, он пытается вызвать в памяти образ Ксении, потом достает револьвер и стреляется. Ксению и её отца поодиночке увозят. Дома спят две маленькие дочери Ксении. На её беспокойство о судьбе дочерей офицер заявляет, что о детях ей не нужно волноваться, так как они живут в стране счастливого детства. Утром в квартиру приходит чиновник из администрации и забирает девочек, разрешив взять с собой только узелки с тёплыми вещами, сам не забыв прихватить понравившуюся ему скатерть.</t>
        </is>
      </c>
      <c r="L7104" s="2" t="inlineStr">
        <is>
          <t>https://gosfilmofond.ru/films/232519/</t>
        </is>
      </c>
      <c r="M7104" s="2">
        <f>HYPERLINK("https://ru.wikipedia.org/w/index.php?search=%D0%A3%D0%BC%D0%B8%D1%80%D0%B0%D1%82%D1%8C%20%D0%BD%D0%B5%20%D1%81%D1%82%D1%80%D0%B0%D1%88%D0%BD%D0%BE%201991%20%D1%84%D0%B8%D0%BB%D1%8C%D0%BC","искать")</f>
        <v/>
      </c>
      <c r="N7104" s="3" t="n"/>
      <c r="O7104" s="2" t="n"/>
      <c r="P7104" s="2" t="n"/>
    </row>
    <row r="7105">
      <c r="A7105" s="2" t="n">
        <v>7104</v>
      </c>
      <c r="B7105" s="2" t="inlineStr"/>
      <c r="C7105" s="2" t="n">
        <v>8139</v>
      </c>
      <c r="D7105" s="3" t="inlineStr">
        <is>
          <t>Подпольный обком действует</t>
        </is>
      </c>
      <c r="E7105" s="2" t="n">
        <v>1978</v>
      </c>
      <c r="F7105" s="2" t="inlineStr">
        <is>
          <t>телефильм</t>
        </is>
      </c>
      <c r="G7105" s="2" t="inlineStr">
        <is>
          <t>к/с им. Довженко</t>
        </is>
      </c>
      <c r="H7105" s="2" t="n">
        <v>2454</v>
      </c>
      <c r="I7105" s="2" t="inlineStr"/>
      <c r="J7105" s="2" t="inlineStr"/>
      <c r="K7105" s="3" t="inlineStr">
        <is>
          <t>Первая серия. «Война». Июнь — сентябрь 1941 года. Сразу после начала Великой Отечественной войны Черниговским областным комитетом партии было принято решение организовать строительство в лесах Черниговщины сети партизанских баз, складируя большие запасы оружия и продовольствия. Обком переходит на нелегальное положение и начинает работу в подполье. Координатором всех предпринимаемых усилий и командиром партизан становится первый секретарь Черниговского обкома Алексей Фёдорович Фёдоров.
Вторая серия. «Большой отряд». Октябрь — декабрь 1941 года. Фёдоров, находясь в инспекционной поездке, попадает в район, захваченный противником, и вынужден пробираться к своим вместе с бойцами и командирами окружённых воинских частей. После первых столкновений руководство партизанскими отрядами принимает решение изменить тактику. Вместо малочисленных и слабых отрядов должны появиться укрупнённые партизанские соединения. Это решение неоднозначно воспринято командирами, и Фёдорову приходится применить весь свой талант организатора для безусловного выполнения приказа.
Третья серия. «Партизаны». Январь — декабрь 1942 года. Партизаны проводят первую крупную операцию. В селе Погорельцы уничтожены склады с боеприпасами и гарнизон охранения. По деревням распространяются листовки с правдивой информацией о положении на фронте. Много сил уходит на борьбу с карательными отрядами. От командования сводный партизанский отряд получает техническую помощь, налаживается радиосвязь, самолётами доставляется необходимое вооружение и продовольствие. Если на первом этапе приходилось избегать боёв и переходить с места на место, то теперь всё чаще партизаны занимают оборону и встречают противника огнём.
Четвёртая серия. «Ковельский узел». Январь 1943 — май 1944 года. Разведкой отряда ликвидирован предатель Томашевский, успевший выдать место расположения лесного аэродрома. Фёдоров со штабом летит в Москву. Получен приказ разделить соединение на две части. Осознавая значение военных действий на Орловско-Курском направлении, Ставка поручила партизанам начать рельсовую войну в районе Ковельского стратегического узла. Там скопилось большое число дивизий, ожидающих отправку на Курскую дугу. Командиром Черниговского соединения стал Попудренко, а Фёдоров возглавил подпольный Волынский обком. Ожидая штурм Ковеля, противник укрепил оборону. Партизаны организовали три крупных диверсионных группы, которые надёжно блокировали железнодорожное сообщение в районе Ковеля.</t>
        </is>
      </c>
      <c r="L7105" s="2" t="inlineStr">
        <is>
          <t>https://ru.wikipedia.org/w/index.php?title=%D0%9F%D0%BE%D0%B4%D0%BF%D0%BE%D0%BB%D1%8C%D0%BD%D1%8B%D0%B9_%D0%BE%D0%B1%D0%BA%D0%BE%D0%BC_%D0%B4%D0%B5%D0%B9%D1%81%D1%82%D0%B2%D1%83%D0%B5%D1%82&amp;oldid=154777337</t>
        </is>
      </c>
      <c r="M7105" s="2">
        <f>HYPERLINK("https://ru.wikipedia.org/w/index.php?search=%D0%9F%D0%BE%D0%B4%D0%BF%D0%BE%D0%BB%D1%8C%D0%BD%D1%8B%D0%B9%20%D0%BE%D0%B1%D0%BA%D0%BE%D0%BC%20%D0%B4%D0%B5%D0%B9%D1%81%D1%82%D0%B2%D1%83%D0%B5%D1%82%201978%20%D1%84%D0%B8%D0%BB%D1%8C%D0%BC","искать")</f>
        <v/>
      </c>
      <c r="N7105" s="3" t="n"/>
      <c r="O7105" s="2" t="n"/>
      <c r="P7105" s="2" t="n"/>
    </row>
    <row r="7106">
      <c r="A7106" s="2" t="n">
        <v>7105</v>
      </c>
      <c r="B7106" s="2" t="inlineStr"/>
      <c r="C7106" s="2" t="n">
        <v>9513</v>
      </c>
      <c r="D7106" s="3" t="inlineStr">
        <is>
          <t>Нога</t>
        </is>
      </c>
      <c r="E7106" s="2" t="n">
        <v>1991</v>
      </c>
      <c r="F7106" s="2" t="inlineStr">
        <is>
          <t>кинофильм</t>
        </is>
      </c>
      <c r="G7106" s="2" t="n"/>
      <c r="H7106" s="2" t="n">
        <v>2469</v>
      </c>
      <c r="I7106" s="2" t="inlineStr"/>
      <c r="J7106" s="2" t="inlineStr"/>
      <c r="K7106" s="3" t="inlineStr">
        <is>
          <t>Двое беспечных друзей со двора в центре Москвы попадают на армейскую службу во время афганской войны. Сначала их направляют в южную советскую республику, где Мартын и Рыжий, нежась на солнышке, выполняют хозяйственные работы. По соседству живут юная обаятельная таджичка Камилла и её брат. Хозяин дома приглашает солдатиков на обед, после чего у его сестры завязываются отношения с весельчаком Мартыном. Вскоре ребят отправляют в Афганистан, а Камилла плачет, глядя на игрушечную плотинку, сооруженную её другом для потехи. Ребята сразу попадают в пекло войны. Они в составе отрядов патрулируют селения, дороги, ходят в разведку. В один из дней Рыжий ушел на разведку, а Мартын в составе отряда передвигается на бронемашине по дороге. На пути их следования лежит коробка. Капитан послал Мартына посмотреть, что в ней. В коробке, залитой кровью, отсечённая голова Рыжего. Вне себя от ярости Мартын обманным путем захватил бронемашину и сравнял с землей ближайший мирный кишлак, при этом повредив ногу. Капитан приказывает всем придерживаться версии, что отряд разгромил логово бандитов. Мартына отправляют в госпиталь. Ногу спасти не удалось. В бреду Мартын просит своего погибшего друга найти и убить его ногу, а то «эти козлы» живой её закопают. Тем временем в таджикском кишлаке брат Камиллы сжигает свой опустевший дом и покидает селение. Везучему Мартыну в госпитале ставят один из двух экспериментальных протезов, так что он может передвигаться без костылей, и комиссуют. В Москву юноша не возвращается, а оседает в маленьком городке Рыбинске, где ему предоставляют работу в местном военкомате и комнату в общежитии. В Москве какой-то мужчина разыскивает Мартына через адресное бюро, потом ищет его я Ярославле и, наконец, в Рыбинске он получает данные местожительства молодого инвалида. Ночью в комнату Мартына входит неизвестный с ножом, но оступившись, падает. Юноша просыпается, зовет на помощь, и нападавшего арестовывают. Это брат Камиллы. Он сообщает, что Мартын обесчестил девушку, она погибла, а он дал клятву убить обидчика сестры. Начинается расследование. Мартын всё отрицает, но совесть его мучает. Он принимает решение ехать в Таджикистан и берет с собой пистолет. Вот он сидит на пригорке перед сгоревшим домом и видит себя молодого, наглого, залихватского солдатика, тайно крадущегося к дому Камиллы. На память ему приходят строка стихов: «Мне б вернуться на войну, чтобы сердцу полегчало». Мартын достает пистолет и в мирной тишине звучит выстрел.</t>
        </is>
      </c>
      <c r="L7106" s="2" t="inlineStr">
        <is>
          <t>https://gosfilmofond.ru/films/232393/</t>
        </is>
      </c>
      <c r="M7106" s="2">
        <f>HYPERLINK("https://ru.wikipedia.org/w/index.php?search=%D0%9D%D0%BE%D0%B3%D0%B0%201991%20%D1%84%D0%B8%D0%BB%D1%8C%D0%BC","искать")</f>
        <v/>
      </c>
      <c r="N7106" s="3" t="n"/>
      <c r="O7106" s="2" t="n"/>
      <c r="P7106" s="2" t="n"/>
    </row>
    <row r="7107">
      <c r="A7107" s="2" t="n">
        <v>7106</v>
      </c>
      <c r="B7107" s="2" t="inlineStr"/>
      <c r="C7107" s="2" t="n">
        <v>8617</v>
      </c>
      <c r="D7107" s="3" t="inlineStr">
        <is>
          <t>Ясь и Янина</t>
        </is>
      </c>
      <c r="E7107" s="2" t="n">
        <v>1974</v>
      </c>
      <c r="F7107" s="2" t="inlineStr">
        <is>
          <t>телефильм</t>
        </is>
      </c>
      <c r="G7107" s="2" t="n"/>
      <c r="H7107" s="2" t="n">
        <v>2473</v>
      </c>
      <c r="I7107" s="2" t="inlineStr"/>
      <c r="J7107" s="2" t="inlineStr"/>
      <c r="K7107" s="3" t="inlineStr">
        <is>
          <t>Студенты-стройотрядовцы работают на строительстве фермы, а ещё выступают как самодеятельный ВИА — после работы на речном берегу, на речном судне, в обеденный перерыв на стройке, на концерте в клубе, поют, выполняя роли сватов.
В посёлок приезжает красавица Янина (Светлана Акимова), она будет руководить секцией конной выездки.
Янина полюбилась Ясю (Владимир Тихонов), пилоту местного авиаотряда. Они действительно созданы друг для друга, оба высокие, стройные, улыбчивые, даже оттенок их роскошных волос — золотистый — совпадает.
У местных жителей есть свои любители музыки. Участковый милиционер Данила (Юрий Волынцев) руководит народным хором и деятельно ищет в него новых певцов. Уговаривает работницу местного молокозавода Клару, приглашает и недавно приехавшую в посёлок красавицу Янину. Янина соглашается, на первой репетиции проникновенно поёт свою песню «Ты моя надежда, ты моя отрада».
У зоотехника Адама (Владимир Мулявин) большая семья — четверо детей (все мальчишки), но душа его просит песни. В клубе он знакомится со стройотрядовским ВИА, только что потерпевшим фиаско со своей музыкой. Он учит их исполнять народную песню «Косил Ясь конюшину» в новой аранжировке. Местные жители собираются послушать их. Студенты и Адам создают ансамбль «Песняры».
Видя, какими глазами смотрит Данила на Янину, когда та поёт (к тому же Янину, а не её подвозит Данила на мотоцикле), Клара идет к Янине и, не называя имени, просит её отступиться от Данилы. Янина думает, что кавалер Клары — её возлюбленный Ясь, но, слыша горячие слова Клары («мы созданы друг для друга»), соглашается уступить. Недавно приехавшая, она чувствует себя неловко разрушившей чужие чувства.
Ничего не подозревающий Ясь в сопровождении «Песняров» приезжает свататься к Янине, и она отказывает ему. В купальскую ночь Ясь пытается объясниться с Яниной, но та, связанная обещанием Кларе, отказывается его слушать. Зато удаётся объясниться Даниле и Кларе. Увидев это, Янина понимает, что ошиблась…
Ясь уезжает вместе со стройотрядовцами, которым пора на учёбу в институт. Все, поняв, что «наломали дров», кидаются за ними в погоню — Янина с дедом-капитаном на баркасе по реке, многочисленные сочувствующие на моторных и вёсельных лодках с ними вместе, Данила и Клара на автомобиле… Ясь и Янина вновь соединяются. Все смотрят на них восхищёнными глазами, и даже водолаз из реки приветственно машет рукой, удачно к месту звучит куплет белорусской народной песни «Дык бяры ж ты Яніну, Працавітую дзяўчыну».</t>
        </is>
      </c>
      <c r="L7107" s="2" t="inlineStr">
        <is>
          <t>https://ru.wikipedia.org/w/index.php?title=%D0%AF%D1%81%D1%8C_%D0%B8_%D0%AF%D0%BD%D0%B8%D0%BD%D0%B0&amp;oldid=150575617</t>
        </is>
      </c>
      <c r="M7107" s="2">
        <f>HYPERLINK("https://ru.wikipedia.org/w/index.php?search=%D0%AF%D1%81%D1%8C%20%D0%B8%20%D0%AF%D0%BD%D0%B8%D0%BD%D0%B0%201974%20%D1%84%D0%B8%D0%BB%D1%8C%D0%BC","искать")</f>
        <v/>
      </c>
      <c r="N7107" s="3" t="n"/>
      <c r="O7107" s="2" t="n"/>
      <c r="P7107" s="2" t="n"/>
    </row>
    <row r="7108">
      <c r="A7108" s="2" t="n">
        <v>7107</v>
      </c>
      <c r="B7108" s="2" t="inlineStr"/>
      <c r="C7108" s="2" t="n">
        <v>8256</v>
      </c>
      <c r="D7108" s="3" t="inlineStr">
        <is>
          <t>Раненые камни</t>
        </is>
      </c>
      <c r="E7108" s="2" t="n">
        <v>1987</v>
      </c>
      <c r="F7108" s="2" t="inlineStr">
        <is>
          <t>телефильм</t>
        </is>
      </c>
      <c r="G7108" s="2" t="n"/>
      <c r="H7108" s="2" t="n">
        <v>2484</v>
      </c>
      <c r="I7108" s="2" t="inlineStr"/>
      <c r="J7108" s="2" t="inlineStr"/>
      <c r="K7108" s="3" t="inlineStr">
        <is>
          <t>Во время революционных событий 1905 года на фоне забастовок и протестов рабочих в Грозном и Баку с фронта Русско-японской войны в родной балкарский аул Чегем возвращается солдат Аскер, сын Али, награждённый Георгиевским крестом за отвагу, проявленную при обороне Порт-Артура.
Вернувшись домой, Аскер вступает в конфликт с Ахматом, нукером князя Солтанбека, и бандой абрека Османа, терроризировавшей население Чегема и втайне покровительствуемой князем, а также даёт кров и защиту неожиданному гостю — сбежавшему с каторги русскому большевику Антону. Абрек Осман проявляет внимание к невесте Аскера — Мариам, дочери Асият, которая отвергает его ухаживания. Действия абрека Османа направлены не только против местного населения, но и против царской власти, поэтому после ограбления Османом почтового поезда у железнодорожной станции станицы Прохладная Аскер обращается за помощью в борьбе против бандитов к местным властям, отвезя в Нальчик коллективное прошение и попав на приём к жандармскому полковнику Рябцеву.
Направленный Рябцевым для поимки большевика Антона отряд жандармов во главе с прапорщиком арестовывает Антона и Аскера, который по местным обычаям защищает своего гостя, но весь отряд гибнет на обратном пути при нападении банды абрека Османа. Осман узнает в Антоне своего старого товарища по каторге, делившегося с ним в заключении последним куском хлеба, и отпускает Антона и Аскера, предупредив Антона, чтобы он больше не появлялся в горах. Аскер узнаёт от Ахмата, что во время его службы в армии князь похитил его сестру Зарият и овладел ею силой. Аскер решает отомстить князю Солтанбеку, а заодно свести счеты с абреком Османом и вместе с большевиком Антоном уговаривает жителей Чегема объединиться для этой цели.
Во время визита полковника Рябцева к Солтанбеку князь передаёт жандарму деньги — часть средств, похищенных при ограблении почтового поезда и переданных абреком Османом князю — и становится понятно, что ограбление поезда было совместным замыслом князя и коррумпированного полковника. Солтанбек делится с Рябцевым своими планами временно уехать из Балкарии и переждать смутное время. От старухи Назифат Аскер узнаёт, что его сестра умерла при родах, родив князю сына — Ануара, который воспитывался втайне от всех в доме князя, а также о планах князя уехать, забрав с собой сына.
Аскер и Антон поднимают крестьянское восстание, во время которого гибнет Антон, крестьяне громят банду Османа, а Аскер убивает Османа и Солтанбека, забирая племянника — Ануара.</t>
        </is>
      </c>
      <c r="L7108" s="2" t="inlineStr">
        <is>
          <t>https://ru.wikipedia.org/w/index.php?title=%D0%A0%D0%B0%D0%BD%D0%B5%D0%BD%D1%8B%D0%B5_%D0%BA%D0%B0%D0%BC%D0%BD%D0%B8&amp;oldid=154043144</t>
        </is>
      </c>
      <c r="M7108" s="2">
        <f>HYPERLINK("https://ru.wikipedia.org/w/index.php?search=%D0%A0%D0%B0%D0%BD%D0%B5%D0%BD%D1%8B%D0%B5%20%D0%BA%D0%B0%D0%BC%D0%BD%D0%B8%201987%20%D1%84%D0%B8%D0%BB%D1%8C%D0%BC","искать")</f>
        <v/>
      </c>
      <c r="N7108" s="3" t="n"/>
      <c r="O7108" s="2" t="n"/>
      <c r="P7108" s="2" t="n"/>
    </row>
    <row r="7109">
      <c r="A7109" s="2" t="n">
        <v>7108</v>
      </c>
      <c r="B7109" s="2" t="inlineStr"/>
      <c r="C7109" s="2" t="n">
        <v>8504</v>
      </c>
      <c r="D7109" s="3" t="inlineStr">
        <is>
          <t>Уроки французского</t>
        </is>
      </c>
      <c r="E7109" s="2" t="n">
        <v>1978</v>
      </c>
      <c r="F7109" s="2" t="inlineStr">
        <is>
          <t>телефильм</t>
        </is>
      </c>
      <c r="G7109" s="2" t="inlineStr">
        <is>
          <t>Киностудия «Мосфильм»; Творческое объединение телевизионных фильмов</t>
        </is>
      </c>
      <c r="H7109" s="2" t="n">
        <v>2488</v>
      </c>
      <c r="I7109" s="2" t="inlineStr"/>
      <c r="J7109" s="2" t="inlineStr"/>
      <c r="K7109" s="3" t="inlineStr">
        <is>
          <t>Действие происходит после войны. Герой произведения — мальчик Володя, от лица которого ведётся повествование, до четвёртого класса жил и учился в деревне. К нему приходит односельчанин дядя Илья с облигациями, потому что у Володи счастливый глаз. В деревне была только начальная школа. Матери Володи дядя Илья советует отправить Володю продолжить учиться в райцентр.
Володю мать отправляет из родной деревни на учёбу в райцентр, где мальчик селится у тёти Нади, потерявшей в войну мужа и воспитывающей своих трёх детей. В райцентре он голодает, потому что сын тёти Нади подворовывает продукты Володи. У врача становится известным, что Володя страдает малокровием, поэтому каждый день начинает покупать на рубль стакан молока. В школе он учится на одни пятёрки, кроме французского языка — ему не давалось произношение.
Володя узнаёт, что можно заработать деньги, играя в «чику», и он начинает играть в эту игру с другими мальчиками. Он уходил, как только выигрывал рубль. Семиклассник Вадик, считавшийся лидером среди игроков и лучшим игроком в «чику», местный заводила, и его друг Птаха, оставшийся на второй год и под каким-то предлогом устроивший себе до января каникулы, избили Володю за то, что он заметил, что Вадик нечестно играл. На следующий день мальчик приходит в школу в синяках и говорит учительнице французского языка Лидии Михайловне, что якобы упал. Но один из одноклассников Тишкин, тоже игравший на деньги и видевший, как Володю избивали, со злорадством рассказывает всю правду. Лидия Михайловна вызвала Володю на разговор. Она решает помочь Володе. Узнав, что на самом деле он покупает молоко, она решает заниматься с ним французским отдельно.
Под предлогом дополнительных занятий учительница пытается накормить мальчика. Гордый Володя отказывается от еды. Лидия Михайловна сочувствовала мальчику и хотела хоть немного окружить его вниманием и заботой, зная, что он недоедает. Тем не менее Володя упорно не принимал помощи учительницы. Она пыталась прислать ему посылку с едой так, как будто эту посылку прислала ему его мать, но он догадался и отнёс её учительнице. И тогда учительница прибегает к хитрости: она предлагает ему играть в «пристенок» на деньги. Она подыгрывает Володе, что ему сильно не нравится. За этим занятием их застаёт директор школы Василий Андреевич. Он увольняет Лидию Михайловну за игру с Володей, и в итоге она уезжает к себе на родину на Кубань, откуда присылает ему посылку с макаронами и яблоками, которых мальчик раньше никогда не пробовал.</t>
        </is>
      </c>
      <c r="L7109" s="2" t="inlineStr">
        <is>
          <t>https://ru.wikipedia.org/w/index.php?title=%D0%A3%D1%80%D0%BE%D0%BA%D0%B8_%D1%84%D1%80%D0%B0%D0%BD%D1%86%D1%83%D0%B7%D1%81%D0%BA%D0%BE%D0%B3%D0%BE_%28%D1%84%D0%B8%D0%BB%D1%8C%D0%BC%29&amp;oldid=155253322</t>
        </is>
      </c>
      <c r="M7109" s="2">
        <f>HYPERLINK("https://ru.wikipedia.org/w/index.php?search=%D0%A3%D1%80%D0%BE%D0%BA%D0%B8%20%D1%84%D1%80%D0%B0%D0%BD%D1%86%D1%83%D0%B7%D1%81%D0%BA%D0%BE%D0%B3%D0%BE%201978%20%D1%84%D0%B8%D0%BB%D1%8C%D0%BC","искать")</f>
        <v/>
      </c>
      <c r="N7109" s="3" t="n"/>
      <c r="O7109" s="2" t="n"/>
      <c r="P7109" s="2" t="n"/>
    </row>
    <row r="7110">
      <c r="A7110" s="2" t="n">
        <v>7109</v>
      </c>
      <c r="B7110" s="2" t="inlineStr"/>
      <c r="C7110" s="2" t="n">
        <v>9097</v>
      </c>
      <c r="D7110" s="3" t="inlineStr">
        <is>
          <t>Телохранитель</t>
        </is>
      </c>
      <c r="E7110" s="2" t="n">
        <v>1991</v>
      </c>
      <c r="F7110" s="2" t="inlineStr">
        <is>
          <t>кинофильм</t>
        </is>
      </c>
      <c r="G7110" s="2" t="n"/>
      <c r="H7110" s="2" t="n">
        <v>2488</v>
      </c>
      <c r="I7110" s="2" t="inlineStr"/>
      <c r="J7110" s="2" t="inlineStr"/>
      <c r="K7110" s="3" t="inlineStr">
        <is>
          <t>Москва середины 80-х годов. В благодарность за организацию поставок вооружения в одну из африканских стран советскому политическому деятелю преподносят уникальный самородок стоимостью 4 млн.долларов . Оброненный экспертом алмаз «Феникс» бесследно исчезает. Охранник хозяина советует коллеге Павлу Селихову искать алмаз у сына политика, к которому Павел приставлен органами госбезопасности. Курирует работу офицера начальник управления, с которым у Павла доверительные отношения. В органах знают о нелегальных поставках оружия и ведут наблюдения за подозреваемыми членами семьи высокопоставленного чиновника. Чтобы собрать доказательства их преступной деятельности, Павла направляют в южный санаторий, где отдыхает генерал-майор в отставке, бывший военный советник в Анголе. Селихов привозит в Москву неопровержимые доказательства участия в сделках с африканцами политического деятеля. Партийный ставленник при органах расследования передает наверх сведения о том, что офицер КГБ привёз улики на высший партийный чин. На Павла начинается охота. Благодаря своей осмотрительности Селихов избегает расстрела в собственной квартире. Начальник управления прячет Павла на явочной квартире, где тот наблюдает за соседней квартирой, где бывает «сынок» политического деятеля. Офицер становится свидетелем того, как сын политика вначале продает исчезнувший алмаз за 5 миллионов рублей, а потом, переключив внимание хозяев квартиры, подменяет его и покидает квартиру с деньгами и с самородком. Шеф Павла чувствует и за собой слежку и просит своего подопечного спрятать обличающие документы и фото. Он предупреждает Селихова, что если с ним что-то случится, тот не должен верить в случайность его гибели, и сразу отправляться с уликами ко вновь назначенному министру. Сын политика направляется в Шереметьево, чтобы покинуть страну и увезти с собой алмаз и деньги. Офицер нападает на него в укромном месте и отбирает ценности, приурочив их к уликам. Когда он приезжает на квартиру начальника управления, чтобы доложить о завершении операции, то видит своего шефа убитым. Спасаясь от погони, в которой задействованы и милиция, и военные, Селихов с уликами добирается до места, где живет новый министр. Навстречу ему едет в Москву машина с министром. Павел пытается остановить её, но безуспешно, а министр бросает в адрес Селихова: «Загадочный русский народ». Павел понимает, что во власти ничего не изменилось и от досады пинает ногами портфель с доказательствами преступлений политической элиты страны.</t>
        </is>
      </c>
      <c r="L7110" s="2" t="inlineStr">
        <is>
          <t>https://gosfilmofond.ru/films/232514/</t>
        </is>
      </c>
      <c r="M7110" s="2">
        <f>HYPERLINK("https://ru.wikipedia.org/w/index.php?search=%D0%A2%D0%B5%D0%BB%D0%BE%D1%85%D1%80%D0%B0%D0%BD%D0%B8%D1%82%D0%B5%D0%BB%D1%8C%201991%20%D1%84%D0%B8%D0%BB%D1%8C%D0%BC","искать")</f>
        <v/>
      </c>
      <c r="N7110" s="3" t="n"/>
      <c r="O7110" s="2" t="n"/>
      <c r="P7110" s="2" t="n"/>
    </row>
    <row r="7111">
      <c r="A7111" s="2" t="n">
        <v>7110</v>
      </c>
      <c r="B7111" s="2" t="inlineStr"/>
      <c r="C7111" s="2" t="n">
        <v>9218</v>
      </c>
      <c r="D7111" s="3" t="inlineStr">
        <is>
          <t>Балкон</t>
        </is>
      </c>
      <c r="E7111" s="2" t="n">
        <v>1988</v>
      </c>
      <c r="F7111" s="2" t="inlineStr">
        <is>
          <t>кинофильм</t>
        </is>
      </c>
      <c r="G7111" s="2" t="n"/>
      <c r="H7111" s="2" t="n">
        <v>2489</v>
      </c>
      <c r="I7111" s="2" t="inlineStr"/>
      <c r="J7111" s="2" t="inlineStr"/>
      <c r="K7111" s="3" t="inlineStr">
        <is>
          <t>Фильм повествует о дворовой жизни ребят в Алма-Ате в начале 1950-х годов в период самого начала оттепели, в эпоху окончания сталинизма. Город поделён на «районы» — стихийно образованные подростковые банды, каждая из которых «охраняет» свои кварталы и дворы, свою территорию.
Глава одной из банд — Айдар Султанов, обычный, на первый взгляд, старший по двору. Двор носит название «Двадцатка» — предположительно, из-за хлебного магазина № 20, там расположенного. Дерзкий парень завоевал авторитет у ребят тем, что он всегда смел и справедлив. Айдару не свойственны такие пороки, как жадность, предательство, трусость. Из эпизода, где Айдар выступает перед классом, мы видим, что он способный ученик, обладающий феноменальной памятью, он чувствует поэзию, умеет мечтать. Несмотря на хулиганский образ жизни, Айдар остаётся в отношениях с людьми честным человеком и личностью с твёрдыми убеждениями. К примеру, в больнице ему дают попробовать марихуану, но он решительно отказывается, так как никогда не поступается своими принципами. Когда его друг Евгений начинает дружить с его врагом, Хакимом-Бесом, из-за которого Айдар и попадает в больницу, Айдар просто уходит, предпочитая не выяснять отношения. А потом даже мирится с ним, прощая его.
Айдар живёт со старшей сестрой, которая не дождалась с войны своего любимого парня, за которого собиралась замуж. Она получает ответы из военных архивов о том что ее жених пропал без вести, но упорно не верит в его гибель и от горя сходит с ума. Айдар любит сестру, жалеет и оберегает, понимая, как ей сложно в её «помешательстве».
В фильме переплетены события истории 1950-х годов — культ личности, ночные аресты, доносы и страх, что любой человек может оказаться под подозрением как «враг народа», — и обычная мальчишеская романтика. Тем не менее всё, происходящее в фильме, акцентирует внимание зрителя на том, что в любые, даже самые смутные времена, ценности остаются прежними. Доброта, честность, умение быть преданным в дружбе и помогать ближнему — всегда в цене. В то же время равнодушие и трусость нельзя оправдать «временем».
Один из героев фильма — сумасшедший художник Солнцелов, прототипом которого стал реальный алматинский художник Сергей Калмыков. Солнцелов — это не просто художник, который бродит по городу в странных одеждах. Это мощная метафора, символизирующая философию Калмыкова: человек, хоть и живёт в определённом времени, пусть даже самом страшном, свободен от него, способен быть вне времени и всегда оставаться Человеком.</t>
        </is>
      </c>
      <c r="L7111" s="2" t="inlineStr">
        <is>
          <t>https://ru.wikipedia.org/w/index.php?title=%D0%91%D0%B0%D0%BB%D0%BA%D0%BE%D0%BD_%28%D1%84%D0%B8%D0%BB%D1%8C%D0%BC%2C_1988%29&amp;oldid=152051217</t>
        </is>
      </c>
      <c r="M7111" s="2">
        <f>HYPERLINK("https://ru.wikipedia.org/w/index.php?search=%D0%91%D0%B0%D0%BB%D0%BA%D0%BE%D0%BD%201988%20%D1%84%D0%B8%D0%BB%D1%8C%D0%BC","искать")</f>
        <v/>
      </c>
      <c r="N7111" s="3" t="n"/>
      <c r="O7111" s="2" t="n"/>
      <c r="P7111" s="2" t="n"/>
    </row>
    <row r="7112">
      <c r="A7112" s="2" t="n">
        <v>7111</v>
      </c>
      <c r="B7112" s="2" t="inlineStr"/>
      <c r="C7112" s="2" t="n">
        <v>9771</v>
      </c>
      <c r="D7112" s="3" t="inlineStr">
        <is>
          <t>Штемп</t>
        </is>
      </c>
      <c r="E7112" s="2" t="n">
        <v>1991</v>
      </c>
      <c r="F7112" s="2" t="inlineStr">
        <is>
          <t>кинофильм</t>
        </is>
      </c>
      <c r="G7112" s="2" t="n"/>
      <c r="H7112" s="2" t="n">
        <v>2496</v>
      </c>
      <c r="I7112" s="2" t="inlineStr"/>
      <c r="J7112" s="2" t="inlineStr"/>
      <c r="K7112" s="3" t="inlineStr">
        <is>
          <t>Лихие 90-е. В московском ресторане встречаются главари национальных бандитских группировок, контролирующих Подмосковье. В их кругу появляется новый человек Аркадий с запиской от «маршала» Зураба, что он - его человек. При приватном разговоре с одним из главарей Вано Аркадий сообщает ему, что на самом деле он - майор Ершов из МУРа и хочет на время стать членом их «семьи». Зураб молит Вано быть «паинькой», так как его человек в руках милиции. Вскоре расстреливают Вано. Перед смертью он произносит имя Цхатели. Аркадий едет к одному из главарей, чтобы выяснить, почему убили Вано и узнать что-либо о Цхатели. Вано был бригадиром люберецких и играл в игры с ментами. Свои этого ему не простили. Получив адрес Цхатели, Ершов наведывается к нему, но застает только следы его недавнего присутствия. Узнав, что Цхатели срочно уехал в Ростов-на-Дону, Аркадий отправляется туда. Люди Цхатели угрожают убить майора, но Аркадий при поддержке местной милиции арестовывает главаря. На допросе бандит сообщает, что помогал Вано в подмосковных делах, но не убивал его. Бандит по кличке Садовник, у которого связи в государственной системе, обещал Цхатели место Вано. Аркадию стало известно, что все вопросы бандитов решает высокопоставленный московский чиновник по кличке Штемп. Когда Ершов пытается узнать, кто такой Штемп, его начинают выживать из следственных органов: устраивают проверки, а при обыске в его квартире подбрасывают капитану пачку валюты и сажают его в камеру предварительного заключения. Заместитель прокурора предлагает Ершову прекратить интересоваться Штемпом, иначе подставные свидетели дадут показания, что майор берет крупные взятки. Аркадия пытаются силой заставить отступиться. Но во время одного из допросов Ершов силой вырывается из Бутырки. За Аркадием устраивают погоню. Капитан обращается за помощью к одному из главарей бандитов. Тот связывает его с Садовником, но тот, обещая честную игру, сообщает милицейскому генералу о том, что Ершов у них в руках. Бандиты по заданию генерала пытаются убить Аркадия. Раненого Ершова спасают сотрудники КГБ, которые тоже ведут наблюдение за милицейским чиновником, и отправляют капитана в госпиталь с круглосуточной охраной. Генерала милиции, кто и был разыскиваемым Штемпом, убирают бандиты. Они помогают Аркадию бежать из госпиталя из-под надзора КГБ. На очередной сходке бандитских эмиссаров присутствует и Аркадий Ершов. Уже под его контролем заключается мирный договор и следует передел Москвы на подконтрольные бандитам территории.</t>
        </is>
      </c>
      <c r="L7112" s="2" t="inlineStr">
        <is>
          <t>https://gosfilmofond.ru/films/232570/</t>
        </is>
      </c>
      <c r="M7112" s="2">
        <f>HYPERLINK("https://ru.wikipedia.org/w/index.php?search=%D0%A8%D1%82%D0%B5%D0%BC%D0%BF%201991%20%D1%84%D0%B8%D0%BB%D1%8C%D0%BC","искать")</f>
        <v/>
      </c>
      <c r="N7112" s="3" t="n"/>
      <c r="O7112" s="2" t="n"/>
      <c r="P7112" s="2" t="n"/>
    </row>
    <row r="7113">
      <c r="A7113" s="2" t="n">
        <v>7112</v>
      </c>
      <c r="B7113" s="2" t="inlineStr"/>
      <c r="C7113" s="2" t="n">
        <v>7758</v>
      </c>
      <c r="D7113" s="3" t="inlineStr">
        <is>
          <t>Кортик</t>
        </is>
      </c>
      <c r="E7113" s="2" t="n">
        <v>1973</v>
      </c>
      <c r="F7113" s="2" t="inlineStr">
        <is>
          <t>телефильм</t>
        </is>
      </c>
      <c r="G7113" s="2" t="n"/>
      <c r="H7113" s="2" t="n">
        <v>2504</v>
      </c>
      <c r="I7113" s="2" t="inlineStr"/>
      <c r="J7113" s="2" t="inlineStr"/>
      <c r="K7113" s="3" t="inlineStr">
        <is>
          <t>1 серия
Гражданская война в России, 1921 год. В небольшом городке Ревске (прототипом Ревска, по признанию автора книги, явился город Сновск) у бабушки и дедушки гостит их внук — школьник из Москвы Миша Поляков. Миша замечает, как квартирант, командир Красной армии Полевой прячет пакет, в котором оказывается кортик. На Ревск совершает налёт конный отряд белых. Командир отряда Никитский требует от Полевого отдать ему кортик. Миша тайком передаёт кортик Полевому, тот закалывает конвоиров и сбегает. Миша и Генка собираются ехать в Москву, Полевой передаёт Мише кортик. Он рассказывает, что служил на линкоре «Императрица Мария» и увидел, как офицер Никитский убил другого офицера Владимира (фамилии убитого Полевой не знает) и забрал его кортик. Полевой попытался задержать Никитского, но в этот момент на линкоре произошёл взрыв.
2 серия
Прошёл ровно год после событий, описанных в первой серии. Миша, Генка и их одноклассник пианист Слава выслеживают Филина — человека, которого остерегался Полевой. Они замечают, как к нему приходит Никитский. Филин посещает продавца марок, который пытается разгадать шифр, нанесённый на ножны кортика. Ребята вступают в пионеры, знакомятся с беспризорником Михаилом Коровиным и помогают другим беспризорникам. Пионеры ставят в любительском театре пьесу «Кулак и батрак», сбор от которой идёт голодающим Поволжья. Сын Филина Борька-Жила приносит им матросскую ленточку отца, которая якобы нужна ребятам для спектакля. Ребята видят на ней надпись «Императрица Мария», они понимают, что Филин служил с Никитским. Коровин крадёт ножны у Жилы.
3 серия
Учительница на уроке отбирает у Миши книгу о шифрах. Учитель рисования БорФед — Борис Федотович расспрашивает Мишу о его увлечении шифрами и помогает ребятам разгадать шифр на ножнах кортика. «Сим гадом завести часы понеже проследует стрелка полудень башне самой повёрнутой быть»  —  под «гадом» имелась в виду змейка на рукоятке кортика. Ребята выходят на мать Владимира Терентьева, убитого Никитским. Миша является к ней и к своему ужасу застаёт у неё Никитского, который выдаёт себя за товарища Владимира. Почуяв неладное, Никитский пускается в погоню за Мишей, но его обезвреживает подоспевший Полевой. Вдова рассказывает, что её покойные муж и сын, оба морские офицеры, увлекались водолазным делом, мечтали поднимать со дна моря корабли. При помощи кортика следователи открывают в часах тайник Терентьева, где находится список кораблей с различными ценными грузами, затонувших в различных точках Мирового океана.</t>
        </is>
      </c>
      <c r="L7113" s="2" t="inlineStr">
        <is>
          <t>https://ru.wikipedia.org/w/index.php?title=%D0%9A%D0%BE%D1%80%D1%82%D0%B8%D0%BA_%28%D1%84%D0%B8%D0%BB%D1%8C%D0%BC%2C_1973%29&amp;oldid=155542514</t>
        </is>
      </c>
      <c r="M7113" s="2">
        <f>HYPERLINK("https://ru.wikipedia.org/w/index.php?search=%D0%9A%D0%BE%D1%80%D1%82%D0%B8%D0%BA%201973%20%D1%84%D0%B8%D0%BB%D1%8C%D0%BC","искать")</f>
        <v/>
      </c>
      <c r="N7113" s="3" t="n"/>
      <c r="O7113" s="2" t="n"/>
      <c r="P7113" s="2" t="n"/>
    </row>
    <row r="7114">
      <c r="A7114" s="2" t="n">
        <v>7113</v>
      </c>
      <c r="B7114" s="2" t="inlineStr"/>
      <c r="C7114" s="2" t="n">
        <v>9165</v>
      </c>
      <c r="D7114" s="3" t="inlineStr">
        <is>
          <t>Чужая игра</t>
        </is>
      </c>
      <c r="E7114" s="2" t="n">
        <v>1991</v>
      </c>
      <c r="F7114" s="2" t="inlineStr">
        <is>
          <t>кинофильм</t>
        </is>
      </c>
      <c r="G7114" s="2" t="n"/>
      <c r="H7114" s="2" t="n">
        <v>2525</v>
      </c>
      <c r="I7114" s="2" t="inlineStr"/>
      <c r="J7114" s="2" t="inlineStr"/>
      <c r="K7114" s="3" t="inlineStr">
        <is>
          <t>Это могло произойти в любом месте, в любое время. Мистические личности играют судьбами людей на шахматной доске. Один из партнеров, недовольный тем, что другой нацелен убивать его шахматные фигуры, не считаясь, что за каждой стоит человеческая жизнь, предлагает переиграть партию. Второй игрок соглашается. Игра начинается вновь. Михаил возвращается из Москвы в родной южный город после двух лет отсутствия. Его встречают друзья Рустам и Николай. Отмечают возвращение в ресторане. Во время застолья Миша видит в зале свою возлюбленную прежних лет Марию. Она покидает ресторан, и Михаил бросается вслед за девушкой. Друзья останавливают его. Они уверяют, что это было видение, ведь Маша погибла в автомобильной аварии два года назад. Ночью звонит телефон, и он слышит голос Марии. Михаил просит не разыгрывать его. Он хочет разгадать загадку и разыскивает человека, который был с Машей в машине в момент аварии. Это фарцовщик и главарь банды Дим. После разборки один на один и поражения в драке бандит соглашается показать могилу Марии. Но он не прощает Михаилу его победу и посылает на расправу свою банду. Михаил с Рустамом вовремя покидают квартиру и едут на квартиру к другу. Оттуда Миша звонит домой. На звонок отвечает Маша и просит помощи. Парень мчится домой. Квартира разгромлена, но Марии там нет. Михаил едет к бывшему соседу своих родителей Хамиду и просит достать пистолет, чтобы расквитаться с бандитами. Поняв, что Миша не отступится от мести, Хамид решает помочь ему стравить между собой две местные банды, чтобы они уничтожили друг друга. Во время операции Хамида убивают, а Михаила ранят. Когда он приходит в себя в постели, то видит рядом друзей, медиков и Марию. Удостоверившись, что с юношей всё в порядке, Маша уходит. На лестнице незнакомец говорит ей, что нужна жертвенная фигура и должна погибнуть она или Миша. Мария уезжает из города. Встав на ноги, Михаил просит друга помочь найти Марию. Они находит её в старом рыбачьем поселке. Маша прогоняет возлюбленного. Она не хочет, чтобы он стал разменной фигурой. Она говорит, что обречена и не допустит гибели друга. Михаил не хочет потерять возлюбленную и везёт её с собой в город. По дороге их преследует грузовик. Понимая, что им не уйти от погони, Миша высаживает Марию и разворачивает машину навстречу КамАЗу. После столкновения машина с Михаилом летит в пропасть и взрывается. Мария в отчаянии, она не представляет жизни без любимого человека. Двое игроков обсуждают завершившуюся партию в шахматы. «Недурной поворот получился», - констатируют они</t>
        </is>
      </c>
      <c r="L7114" s="2" t="inlineStr">
        <is>
          <t>https://gosfilmofond.ru/films/232564/</t>
        </is>
      </c>
      <c r="M7114" s="2">
        <f>HYPERLINK("https://ru.wikipedia.org/w/index.php?search=%D0%A7%D1%83%D0%B6%D0%B0%D1%8F%20%D0%B8%D0%B3%D1%80%D0%B0%201991%20%D1%84%D0%B8%D0%BB%D1%8C%D0%BC","искать")</f>
        <v/>
      </c>
      <c r="N7114" s="3" t="n"/>
      <c r="O7114" s="2" t="n"/>
      <c r="P7114" s="2" t="n"/>
    </row>
    <row r="7115">
      <c r="A7115" s="2" t="n">
        <v>7114</v>
      </c>
      <c r="B7115" s="2" t="inlineStr"/>
      <c r="C7115" s="2" t="n">
        <v>7438</v>
      </c>
      <c r="D7115" s="3" t="inlineStr">
        <is>
          <t>Гибель 31-го отдела</t>
        </is>
      </c>
      <c r="E7115" s="2" t="n">
        <v>1980</v>
      </c>
      <c r="F7115" s="2" t="inlineStr">
        <is>
          <t>телефильм</t>
        </is>
      </c>
      <c r="G7115" s="2" t="n"/>
      <c r="H7115" s="2" t="n">
        <v>2529</v>
      </c>
      <c r="I7115" s="2" t="inlineStr"/>
      <c r="J7115" s="2" t="inlineStr"/>
      <c r="K7115" s="3" t="inlineStr">
        <is>
          <t>В неназываемой стране руководство крупнейшего медиа-концерна, практически монополизировавшего издание средств массовой информации, получает анонимное письмо, предположительно от террористов, в котором говорится, что в главном здании концерна — «Доме прессы» — заложена бомба, которая скоро взорвётся. Руководство концерна обращается в полицию. Инспектор полиции Йенсен командует эвакуацией всего 30-этажного здания. Взрыва не происходит, но концерн несёт большие финансовые убытки из-за простоя в работе редакций СМИ, находящихся в здании; его глава требует от полиции провести расследование и найти злоумышленников, отправивших письмо. О ситуации с угрозой взрыва не сообщается общественности. Начальник полиции поручает инспектору Йенсену провести расследование в кратчайшие сроки. Тот начинает следствие, но замечает, что за ним ведётся слежка. Кроме того, Йенсену угрожают по рации, на него совершается нападение (Йенсена избивают в подъезде дома, где живёт одна из подозреваемых). Помимо обнаруженной слежки, он с удивлением узнаёт, что в концерне существует специальный секретный отдел, расположенный на скрытом от посторонних глаз 31-м этаже здания; чем занимается этот отдел — неизвестно, о его существовании известно лишь немногим людям. Приказом руководства концерна было запрещено эвакуировать служащих этого отдела, несмотря на угрозу взрыва. Постепенно Йенсен выявляет шесть подозреваемых в преступлении. Допросы подозреваемых вскоре приводят к признанию одного из них в том, что он автор письма с угрозами, и следствие близится к финалу, но предполагаемый виновник внезапно погибает в камере для задержанных. Результатом дальнейшего расследования становится вывод Йенсена о том, что существуют и другие угрозы, не только для концерна, но и для общества в целом. Инспектор выясняет, что только 31-й отдел занимается серьёзной журналистикой, исследующей и критикующей проблемы общества, тогда как все остальные редакции концерна выпускают развлекательные издания. Статьи 31-го отдела печатаются в журнале, который выпускается лишь в нескольких экземплярах и не покидает стен здания, однако его журналисты не могут уволиться, поскольку их контракты составлены так, что в случае увольнения сотрудник оказывается в больших долгах перед концерном. В день окончания расследования руководство концерна вновь получает письмо с угрозой взрыва, и по некоторым признакам Йенсен понимает, что в этот раз она может осуществиться, однако и в этот раз 31-й отдел не эвакуирован; фильм заканчивается за секунду до возможного взрыва.</t>
        </is>
      </c>
      <c r="L7115" s="2" t="inlineStr">
        <is>
          <t>https://ru.wikipedia.org/w/index.php?title=%D0%93%D0%B8%D0%B1%D0%B5%D0%BB%D1%8C_31-%D0%B3%D0%BE_%D0%BE%D1%82%D0%B4%D0%B5%D0%BB%D0%B0&amp;oldid=154918892</t>
        </is>
      </c>
      <c r="M7115" s="2">
        <f>HYPERLINK("https://ru.wikipedia.org/w/index.php?search=%D0%93%D0%B8%D0%B1%D0%B5%D0%BB%D1%8C%2031-%D0%B3%D0%BE%20%D0%BE%D1%82%D0%B4%D0%B5%D0%BB%D0%B0%201980%20%D1%84%D0%B8%D0%BB%D1%8C%D0%BC","искать")</f>
        <v/>
      </c>
      <c r="N7115" s="3" t="n"/>
      <c r="O7115" s="2" t="n"/>
      <c r="P7115" s="2" t="n"/>
    </row>
    <row r="7116">
      <c r="A7116" s="2" t="n">
        <v>7115</v>
      </c>
      <c r="B7116" s="2" t="inlineStr"/>
      <c r="C7116" s="2" t="n">
        <v>9150</v>
      </c>
      <c r="D7116" s="3" t="inlineStr">
        <is>
          <t>Царская охота</t>
        </is>
      </c>
      <c r="E7116" s="2" t="n">
        <v>1990</v>
      </c>
      <c r="F7116" s="2" t="inlineStr">
        <is>
          <t>кинофильм</t>
        </is>
      </c>
      <c r="G7116" s="2" t="n"/>
      <c r="H7116" s="2" t="n">
        <v>2537</v>
      </c>
      <c r="I7116" s="2" t="inlineStr"/>
      <c r="J7116" s="2" t="inlineStr"/>
      <c r="K7116" s="3" t="inlineStr">
        <is>
          <t>В 1775 году, вскоре после казни Пугачева, глава тайной канцелярии Российской империи Шешковский приносит Екатерине II тревожную весть — по Европе путешествует авантюристка, называющая себя княжной Таракановой, смущая владетельных и духовных особ, даже монархов, рассказами о том, что она на самом деле дочь Елизаветы Петровны и законная наследница российского престола. Императрица Екатерина, урождённая принцесса София Августа Фредерика Анхальт-Цербстская, не имеющая на российский престол кровных прав и взошедшая на него лишь в результате дворцового переворота, в ходе которого сначала был отстранён от власти и арестован, а затем при сомнительных обстоятельствах умер её муж, Пётр III, находится в постоянной тревоге за своё положение.
За бурной деятельностью смутьянки Екатерина подозревает интриги недовольных разделом Польши польских магнатов и европейских правительств.
Известно, что девица, называющая себя «Елизаветой Всея Руси», когда-то обращалась к графу Алексею Орлову-Чесменскому, младшему брату многолетнего фаворита Екатерины. Екатерина вызывает Алексея к себе и предлагает ему без шума обезвредить самозванку, использовав свои таланты дамского угодника. Алексей соглашается, тем более, что его брат незадолго до этого получил альковную отставку после более чем 15-летних отношений с Екатериной, и пошатнувшееся было влияние семьи Орловых надо поддержать.
Живущая в Ливорно Елизавета, новоявленная княжна Тараканова, тяготящаяся своим шатким положением красивая и одинокая женщина, увлекается прибывшим к русской эскадре Орловым, и после пылкой недели страсти следует за ним на русский корабль. Орлов, чтобы отвлечь внимание союзников самозванки, изображает безумную влюблённость и даже организует венчание на борту корабля, обещая своей новоявленной жене российский трон. На деле же обряд совершает ряженый матрос, а после церемонии соратники Орлова заключают княжну под стражу. Но во время ареста несчастная женщина думает не о себе, а о спасении Орлова, которого также считает арестованным. Пленницу переправляют в Россию и заключают в Петропавловскую крепость, где она проводит последние месяцы жизни, так и не раскрыв тайны своего настоящего имени и происхождения, а также не назвав имён тех, кто на самом деле стоял за её интригой. Орлов, до конца выполнивший долг верноподданного, получает свою награду — ночь с российской императрицей. В итоге от графа отворачивается даже приближённый пьяница-пиит Кустов и, оставшись в одиночестве, Алексей осознаёт, что в погоне за властью и влиянием потерял настоящую любовь.</t>
        </is>
      </c>
      <c r="L7116" s="2" t="inlineStr">
        <is>
          <t>https://ru.wikipedia.org/w/index.php?title=%D0%A6%D0%B0%D1%80%D1%81%D0%BA%D0%B0%D1%8F_%D0%BE%D1%85%D0%BE%D1%82%D0%B0&amp;oldid=152001524</t>
        </is>
      </c>
      <c r="M7116" s="2">
        <f>HYPERLINK("https://ru.wikipedia.org/w/index.php?search=%D0%A6%D0%B0%D1%80%D1%81%D0%BA%D0%B0%D1%8F%20%D0%BE%D1%85%D0%BE%D1%82%D0%B0%201990%20%D1%84%D0%B8%D0%BB%D1%8C%D0%BC","искать")</f>
        <v/>
      </c>
      <c r="N7116" s="3" t="n"/>
      <c r="O7116" s="2" t="n"/>
      <c r="P7116" s="2" t="n"/>
    </row>
    <row r="7117">
      <c r="A7117" s="2" t="n">
        <v>7116</v>
      </c>
      <c r="B7117" s="2" t="inlineStr"/>
      <c r="C7117" s="2" t="n">
        <v>9250</v>
      </c>
      <c r="D7117" s="3" t="inlineStr">
        <is>
          <t>Большое золото мистера Гринвуда</t>
        </is>
      </c>
      <c r="E7117" s="2" t="n">
        <v>1991</v>
      </c>
      <c r="F7117" s="2" t="inlineStr">
        <is>
          <t>кинофильм</t>
        </is>
      </c>
      <c r="G7117" s="2" t="n"/>
      <c r="H7117" s="2" t="n">
        <v>2542</v>
      </c>
      <c r="I7117" s="2" t="inlineStr"/>
      <c r="J7117" s="2" t="inlineStr"/>
      <c r="K7117" s="3" t="inlineStr">
        <is>
          <t>Бескрайние таежные просторы. Конец 20-го века. Две девушки договариваются с молодым мужчиной довезти их на катере попутно до прииска в тайге. На судне ещё двое мужчин. Бывший спортсмен Лёня знакомится с симпатичными девчонками Верой и Викой и сообщает им, что он с друзьями отправляется на остров сокровищ за золотом. Его рассказ обрывают приятели, недовольные разглашением их тайного намерения. Девушек высаживают в 5 километрах от их цели, и они блуждают по тайге до темноты. Ночью их находит руководитель с прииска, согревает у костра, кормит. Провести ночь спокойно им не удается: поблизости слышны выстрелы, и троица перемещается для безопасности на лодку Олега Петровича. Утром он отправляется обследовать окрестности: «Похоже, здесь ходят чужие». Действительно, трое мужчин с катера высадились с ружьями и направляются к месту предполагаемого захоронения клада. Бытует легенда, что золото где-то здесь спрятал мистер Гринвуд с Аляски тогда, когда в эти края пришли красные, а сам вернулся в Америку. Мужчины имеют план местности с указанием нахождения золота. Они спускаются в расщелину скальных пород и попадают в пещеру, заполненную старинными предметами быта, а также американскими винчестерами, наганами и патронами. Но золота они не находят. Глава нелегальной экспедиции Максимыч принимает решение не покидать это место до тех пор, пока золото ни будет найдено. Следующим утром мужчины спускаются в пещеру вновь. Увлеченный игрой с оружием, Лёня выстреливает в стену пещеры и взорам искателей открывается дверца в тайник с золотом. Не желая делиться с проводником, Максимыч убивает его. У Лени истерика от происходящего, и он готов расквитаться с главарем за убийство провожатого, но в пещере появляются двое бандитов и обезоруживают Леонида. Его хотят использовать для переноски к катеру сокровищ, найденных в пещере, но Леня сбегает и пытается захватить катер, но безуспешно. Олег, находящийся неподалеку слышит перестрелку и приходит на помощь Леониду. К ним присоединяются Вера и Вика. Но группа вынуждена отступить перед вооруженными бандитами. Ночью Леонид захватывает лодку и отводит её в укромное место. Оставшиеся без средства передвижения бандиты решают отнять у лесника лошадей и выбраться на них из тайги. Но Леня и Олег упреждают их действия. На территории лесничества разгорается настоящий бой. Подоспевшие на вездеходе люди с прииска помогают справиться с бандитами. Леня забирает у раненого Максимыча пояс с золотом. По водной глади мчится моторка, на которой Леонид, прошедший боевое крещение, возвращается домой.</t>
        </is>
      </c>
      <c r="L7117" s="2" t="inlineStr">
        <is>
          <t>https://gosfilmofond.ru/films/232247/</t>
        </is>
      </c>
      <c r="M7117" s="2">
        <f>HYPERLINK("https://ru.wikipedia.org/w/index.php?search=%D0%91%D0%BE%D0%BB%D1%8C%D1%88%D0%BE%D0%B5%20%D0%B7%D0%BE%D0%BB%D0%BE%D1%82%D0%BE%20%D0%BC%D0%B8%D1%81%D1%82%D0%B5%D1%80%D0%B0%20%D0%93%D1%80%D0%B8%D0%BD%D0%B2%D1%83%D0%B4%D0%B0%201991%20%D1%84%D0%B8%D0%BB%D1%8C%D0%BC","искать")</f>
        <v/>
      </c>
      <c r="N7117" s="3" t="n"/>
      <c r="O7117" s="2" t="n"/>
      <c r="P7117" s="2" t="n"/>
    </row>
    <row r="7118">
      <c r="A7118" s="2" t="n">
        <v>7117</v>
      </c>
      <c r="B7118" s="2" t="inlineStr"/>
      <c r="C7118" s="2" t="n">
        <v>8247</v>
      </c>
      <c r="D7118" s="3" t="inlineStr">
        <is>
          <t>Путана</t>
        </is>
      </c>
      <c r="E7118" s="2" t="n">
        <v>1991</v>
      </c>
      <c r="F7118" s="2" t="inlineStr">
        <is>
          <t>телефильм</t>
        </is>
      </c>
      <c r="G7118" s="2" t="n"/>
      <c r="H7118" s="2" t="n">
        <v>2552</v>
      </c>
      <c r="I7118" s="2" t="inlineStr"/>
      <c r="J7118" s="2" t="inlineStr"/>
      <c r="K7118" s="3" t="inlineStr">
        <is>
          <t>Южный приморский город времен перестройки. Номер гостиницы «Интурист». Молодая интересная женщина забирает оставленные для неё доллары. На террасе ресторана три молодые ухоженные женщины и их покровитель. Лена, Маша и Оля ведут разговор, что их напарница Татьяна ушла «под крыло» крутого сутенера Фила, да ещё грозит прежнему хозяину расплатой за несправедливую оплату её услуг . Девушек устраивает их работа. Они защищены, имеют деньги, чтобы жить в достатке. Хозяин не лишен определенной морали. Когда к нему пришла десятиклассница с заявлением, что она хочет «обслуживать иностранцев», он, узнав, что у неё нет отца и семья живёт в нужде, назначает ей ежемесячное «пособие» без обязательств, но с условием, что она не бросит школу. Он бережно относится и к своим «девочкам»: достает для больного ребёнка Лены, лекарства, отправляет в отпуск Ольгу, почувствовав её психологическую усталость. По дороге домой её машина попадает в аварию, и виновник столкновения – молодой мужчина, просит телефон Оли, чтобы договориться о компенсации. Игорь Савицкий звонит вновь и вновь понравившейся ему Ольге и понимает, что она очень одинока. Однажды он приходит к ней с букетом, и они начинают встречаться. Игорь изобретатель и директор малого предприятия. Ольга не скрывает, что она проститутка. Но Савицкий влюблен и готов жениться на Ольге. Она начинает отвечать ему взаимностью. Тем временем с хозяина требуют большую сумму бандиты из окружения сутенера Фила, и когда он отказывается платить, избивают до полусмерти. Невольной свидетельницей расправы становится девушка-десятиклассница. Она решает отомстить за своего благодетеля. Школьница выслеживает главаря бандитов Фила и убивает его в номере гостиницы. Девушки остаются без защиты. Ольга попадает в милицию, где от неё требуют откуп натурой. Новый клиент Лены оказывается садистом. Он зверски истязает девушку и убивает. Узнав об этом, Маша, в результате стресса от отчаяния, попадает в сумасшедший дом. Там она пытается покончить жизнь самоубийством, и только Олина поддержка спасает её. У Савицкого дела не ладятся. Ему необходимо оплатить огромный штраф, наложенный налоговиками, и он понимает, что у него не хватит сил, чтобы начать бизнес вновь. Тогда Ольга решает отдать возлюбленному все свои накопления. Перед отъездом в банк Игорь просит Олю обязательно дождаться его за столиком уличного кафе. Там к Ольге привязываются с оскорблениями местные шлюхи и беспощадно избивают её ногами. Игорь, чувствуя неладное, спешит вернуться, но застревает на переезде. Успеет ли Игорь спасти любимую женщину?</t>
        </is>
      </c>
      <c r="L7118" s="2" t="inlineStr">
        <is>
          <t>https://gosfilmofond.ru/films/232414/</t>
        </is>
      </c>
      <c r="M7118" s="2">
        <f>HYPERLINK("https://ru.wikipedia.org/w/index.php?search=%D0%9F%D1%83%D1%82%D0%B0%D0%BD%D0%B0%201991%20%D1%84%D0%B8%D0%BB%D1%8C%D0%BC","искать")</f>
        <v/>
      </c>
      <c r="N7118" s="3" t="n"/>
      <c r="O7118" s="2" t="n"/>
      <c r="P7118" s="2" t="n"/>
    </row>
    <row r="7119">
      <c r="A7119" s="2" t="n">
        <v>7118</v>
      </c>
      <c r="B7119" s="2" t="inlineStr"/>
      <c r="C7119" s="2" t="n">
        <v>8956</v>
      </c>
      <c r="D7119" s="3" t="inlineStr">
        <is>
          <t>Попугай, говорящий на идиш</t>
        </is>
      </c>
      <c r="E7119" s="2" t="n">
        <v>1990</v>
      </c>
      <c r="F7119" s="2" t="inlineStr">
        <is>
          <t>кинофильм</t>
        </is>
      </c>
      <c r="G7119" s="2" t="n"/>
      <c r="H7119" s="2" t="n">
        <v>2557</v>
      </c>
      <c r="I7119" s="2" t="inlineStr"/>
      <c r="J7119" s="2" t="inlineStr"/>
      <c r="K7119" s="3" t="inlineStr">
        <is>
          <t>Молодой Янкель Лапидус живёт в Вильно. Так и не научившись завязывать шнурки на обуви, он любит свою маму и готовится поступать в Варшавский университет. По этому случаю портной Хаймович шьёт Янкелю костюм, а у портного есть попугай говорящий на идиш. Лапидус поступает в университет, хотя и терпит антисемитские правила (слушателям-евреям нельзя сидеть рядом с слушателями-христианами) этого заведения, но начать учебный год ему не удаётся. 1 сентября 1939 года начинается Вторая мировой война. Янкеля мобилизуют в Польскую армию. В первом же сражении, его чуть было не сдает немцам собственный унтер-офицер Заремба. Но по случайности вместо немецкого плена он попадает в советский. Как польский военнопленный он отправляется в ГУЛАГ валить лес.
Минует почти два года и уже Германия напала на Советский Союз, а поляки объявляются не врагами, а союзниками. Янкеля освобождают и отправляют во вновь созданную польскую армию, где его командиром опять становится Заремба. Их включают в состав армии генерала Андерса и направляют в Северную Африку. Так Лапидус проходит почти всю войну: Африка, затем Италия, после чего Франция. И везде он попадает в нелепые ситуации из-за своего неумения завязывать шнурки, но этот недостаток, не только спасает ему жизнь, но и делает его героем, в результате чего он получает от британцев и американцев высокие военные награды.
Война оканчивается, но Лапидус не может вернуться домой, начинается Холодная война. Он остается в Париже и устраивается официантом в ресторан. Однако, после конфликта с состоятельным посетителем, польским эмигрантом-антисемитом, ему приходится завербоваться в Французский иностранный легион. Там он уже третий раз под руководством Зарембы проходит подготовку и знакомится с бывшим ССовцем Куртом, который рассказывает ему, что был во время войны в Вильно и что всех местных евреев уничтожили. Янкеля направляют в Индо-Китай, где идёт Индокитайская война. Там он попадает в плен к вьетминю, где его принимают за русского эмигранта и передают Советским властям. И вновь он валит деревья, отбывая срок в лагере.
Отбыв срок, Янкель возвращается в Вильно, надеясь встретить маму. Он заходит к портному Хаймовичу и тот с трудом узнает его. У Хаймовича есть все тот же попугай говорящий на идиш. Как замечает Хаймович на языке на котором уже никто не говорит, ибо некому. Все что осталось на память Янкелю от мамы это её портрет. В годы оккупации всех евреев Вильно держали в гетто, а затем вывели за город и расстреляли.
Фильм заканчивается сценой вывода еврейских жителей из города в их последний путь.</t>
        </is>
      </c>
      <c r="L7119" s="2" t="inlineStr">
        <is>
          <t>https://ru.wikipedia.org/w/index.php?title=%D0%9F%D0%BE%D0%BF%D1%83%D0%B3%D0%B0%D0%B9%2C_%D0%B3%D0%BE%D0%B2%D0%BE%D1%80%D1%8F%D1%89%D0%B8%D0%B9_%D0%BD%D0%B0_%D0%B8%D0%B4%D0%B8%D1%88&amp;oldid=155343304</t>
        </is>
      </c>
      <c r="M7119" s="2">
        <f>HYPERLINK("https://ru.wikipedia.org/w/index.php?search=%D0%9F%D0%BE%D0%BF%D1%83%D0%B3%D0%B0%D0%B9%2C%20%D0%B3%D0%BE%D0%B2%D0%BE%D1%80%D1%8F%D1%89%D0%B8%D0%B9%20%D0%BD%D0%B0%20%D0%B8%D0%B4%D0%B8%D1%88%201990%20%D1%84%D0%B8%D0%BB%D1%8C%D0%BC","искать")</f>
        <v/>
      </c>
      <c r="N7119" s="3" t="n"/>
      <c r="O7119" s="2" t="n"/>
      <c r="P7119" s="2" t="n"/>
    </row>
    <row r="7120">
      <c r="A7120" s="2" t="n">
        <v>7119</v>
      </c>
      <c r="B7120" s="2" t="inlineStr"/>
      <c r="C7120" s="2" t="n">
        <v>9136</v>
      </c>
      <c r="D7120" s="3" t="inlineStr">
        <is>
          <t>Фанат</t>
        </is>
      </c>
      <c r="E7120" s="2" t="n">
        <v>1989</v>
      </c>
      <c r="F7120" s="2" t="inlineStr">
        <is>
          <t>кинофильм</t>
        </is>
      </c>
      <c r="G7120" s="2" t="n"/>
      <c r="H7120" s="2" t="n">
        <v>2557</v>
      </c>
      <c r="I7120" s="2" t="inlineStr"/>
      <c r="J7120" s="2" t="inlineStr"/>
      <c r="K7120" s="3" t="inlineStr">
        <is>
          <t>Егор Ларин подростком приходит в секцию карате, где и получает своё прозвище «Малыш». Упорно занимаясь под руководством своего наставника Олега Ивановича, Егор постепенно становится лучшим его учеником. После конфликта с одним из любовников матери Егор уходит из дома, и какое-то время живёт у товарища по секции Гриши. Гриша готовится к экзаменам и временно откладывает тренировки, Егор этого не понимает, ссорится с ним и уходит. Власти запрещают каратэ и закрывают секции.
Не находя себе места, Егор связывается с уличной бандой и оказывается вовлечённым в ограбление квартиры, его задерживает милиция. Олег Иванович является в отделение и просит знакомого майора о снисхождении, тот договаривается с военкомом, чтобы 17-летнего Егора призвали в армию. Егор привлекает внимание дедов Казбека, Салмана и Вовчика из Махачкалы, те берут его под своё покровительство, и устраивают бои среди новобранцев. Казбек обещает научить Малыша драться по-настоящему.
Вернувшись из армии, Егор встречается с Гришей, который занимается рэкетом и участвует в подпольных боях с тотализатором. Гриша приводит Егора к теневому дельцу Антонычу. Егор быстро делает карьеру в подпольных боях. Теперь «Малыш» — это псевдоним Егора на бойцовой арене. Гриша выходит на бой с местным чемпионом — непобедимым Вышибалой и тот могучим ударом в печень выводит Гришу из строя. На тренировке Малыш избивает бойца по прозвищу Крокодил и Гриша, возмутившись жесткостью Малыша, вызывает его на поединок. Гриша раз за разом бросает Малыша на маты, и раззадорившийся Малыш нокаутирует Гришу ударом в печень, отправив его в больницу. Гриша просит Малыша найти себе другое занятие. Вернувшись с соревнований Малыш узнаёт, что Гриша умер. Егору не хватает денег на памятник для Гриши, и он снова возвращается к Антонычу.
В очередной серии подпольных боёв Малыш побеждает всех своих противников. Хозяин подпольного тотализатора Мэтр предлагает ему сдать следующий бой, угрожая в случае отказа выпустить против легковеса Малыша 130-кг Вышибалу, который сделает из него котлету. В тяжёлом бою Малыш побеждает Вышибалу ударом, которым его в армии нокаутировал Казбек. Мэтр приходит в ярость и приказывает убить Малыша. Малыш с боем прокладывает себе путь, пытаясь скрыться. Его бывший тренер Олег Иванович вступает в бой с бойцами Мэтра, давая Малышу время чтобы выбраться из здания, но натыкается на Мэтра, который с многозначительным видом держит руку в кармане. На улице Егора догоняет автомобиль. Понимая, что ему не уйти, Егор бежит навстречу автомобилю и прыгает, нанося удар в лобовое стекло.</t>
        </is>
      </c>
      <c r="L7120" s="2" t="inlineStr">
        <is>
          <t>https://ru.wikipedia.org/w/index.php?title=%D0%A4%D0%B0%D0%BD%D0%B0%D1%82_%28%D1%84%D0%B8%D0%BB%D1%8C%D0%BC%2C_1989%29&amp;oldid=155415614</t>
        </is>
      </c>
      <c r="M7120" s="2">
        <f>HYPERLINK("https://ru.wikipedia.org/w/index.php?search=%D0%A4%D0%B0%D0%BD%D0%B0%D1%82%201989%20%D1%84%D0%B8%D0%BB%D1%8C%D0%BC","искать")</f>
        <v/>
      </c>
      <c r="N7120" s="3" t="n"/>
      <c r="O7120" s="2" t="n"/>
      <c r="P7120" s="2" t="n"/>
    </row>
    <row r="7121">
      <c r="A7121" s="2" t="n">
        <v>7120</v>
      </c>
      <c r="B7121" s="2" t="inlineStr"/>
      <c r="C7121" s="2" t="n">
        <v>7581</v>
      </c>
      <c r="D7121" s="3" t="inlineStr">
        <is>
          <t>Ждите "Джона Графтона"</t>
        </is>
      </c>
      <c r="E7121" s="2" t="n">
        <v>1979</v>
      </c>
      <c r="F7121" s="2" t="inlineStr">
        <is>
          <t>телефильм</t>
        </is>
      </c>
      <c r="G7121" s="2" t="n"/>
      <c r="H7121" s="2" t="n">
        <v>2562</v>
      </c>
      <c r="I7121" s="2" t="inlineStr"/>
      <c r="J7121" s="2" t="inlineStr"/>
      <c r="K7121" s="3" t="inlineStr">
        <is>
          <t>В начале лета 1905 года к живущему на окраине Лондона латышскому политэмигранту капитану Жанису Траутману обратились представители партии эсеров Красильников и Элконен с предложением провести пароход с грузом оружия к берегам России. Набрав команду из старых и испытанных товарищей Траутман меняет команду купленного подставными лицами английского грузового судна. В ходе возникшей по этому поводу перебранки ножевое ранение получил матрос старой команды Дэвид Блейк. Раненного Блейка и ветеринарного врача Грубера, сопровождавшего груз препаратов от сибирской язвы, вынуждены оставить на борту судна.
В открытом море на борт судна были загружены оружие и взрывчатка. Пароход взял курс на пролив Орезунд, где его должен встретить связной. В то время в руки жандармов попадает Генрих Адельберг, один из участников операции, ответственный за организацию тайников. На допросе у полковника Ратаева Адальберг понимает, что сотрудникам охранки известны все детали миссии «Джона Графтона». Сознавая свою ответственность в провале порученного ему дела, Адельберг кончает с собой в тюремной камере.
Газетное сообщение о самоубийстве товарища дало повод предположить наличие провокатора среди руководителей акции. Чтобы выяснить имя предателя, Паул Элконен даёт три ложных пароля трём разным лицам. В то же время он, ради спасения практически проваленного дела, передаёт свои полномочия в руки большевиков. Эсер Коншин решает самостоятельно добраться на борт судна, но в проливе Орезунд его встречает переодетый агент охранки Отцов, посланный Ратаевым с новым паролем. Он убивает Коншина и вскоре попадает на борт подошедшего парохода.
Траутман с Красильниковым разгадали в прибывшем курьере скрытого врага и поместили его под арест. Той же ночью кто-то помог ему бежать. Красильников видит в происшедшем вину Блейка или Грубера. Не имея возможности провести тщательное расследование, он настаивает на смерти обоих подозреваемых. Траутман, опасаясь, что пострадает невиновный, к явному неудовольствию команды высказывается против Красильникова.
Посланный Траутманом на берег матрос доносит до руководителей операции информацию о сложившейся ситуации. Судну было приказано следовать новым курсом к острову Нарген. Благодаря уловке с фальшивым паролем, эсерам удалось выявить предателя, но на борту оставался ещё один человек охранки — им оказался именующий себя Дэвидом Блейком переодетый флотский офицер. Ему удалось посадить судно на мель, и капитан Траутман был вынужден отдать приказ об эвакуации. Перегрузив часть оружия на шлюпки, команда покинула обречённый пароход.</t>
        </is>
      </c>
      <c r="L7121" s="2" t="inlineStr">
        <is>
          <t>https://ru.wikipedia.org/w/index.php?title=%D0%96%D0%B4%D0%B8%D1%82%D0%B5_%C2%AB%D0%94%D0%B6%D0%BE%D0%BD%D0%B0_%D0%93%D1%80%D0%B0%D1%84%D1%82%D0%BE%D0%BD%D0%B0%C2%BB&amp;oldid=137319210</t>
        </is>
      </c>
      <c r="M7121" s="2">
        <f>HYPERLINK("https://ru.wikipedia.org/w/index.php?search=%D0%96%D0%B4%D0%B8%D1%82%D0%B5%20%22%D0%94%D0%B6%D0%BE%D0%BD%D0%B0%20%D0%93%D1%80%D0%B0%D1%84%D1%82%D0%BE%D0%BD%D0%B0%22%201979%20%D1%84%D0%B8%D0%BB%D1%8C%D0%BC","искать")</f>
        <v/>
      </c>
      <c r="N7121" s="3" t="n"/>
      <c r="O7121" s="2" t="n"/>
      <c r="P7121" s="2" t="n"/>
    </row>
    <row r="7122">
      <c r="A7122" s="2" t="n">
        <v>7121</v>
      </c>
      <c r="B7122" s="2" t="inlineStr"/>
      <c r="C7122" s="2" t="n">
        <v>9636</v>
      </c>
      <c r="D7122" s="3" t="inlineStr">
        <is>
          <t>СекСказка</t>
        </is>
      </c>
      <c r="E7122" s="2" t="n">
        <v>1991</v>
      </c>
      <c r="F7122" s="2" t="inlineStr">
        <is>
          <t>кинофильм</t>
        </is>
      </c>
      <c r="G7122" s="2" t="n"/>
      <c r="H7122" s="2" t="n">
        <v>2569</v>
      </c>
      <c r="I7122" s="2" t="inlineStr"/>
      <c r="J7122" s="2" t="inlineStr"/>
      <c r="K7122" s="3" t="inlineStr">
        <is>
          <t>В шикарный отель неизвестного города эпохи декаданса приезжает роскошная женщина, профессор Сорбонны Диана. Желая скоротать остаток дня, она просит метрдотеля что-то придумать для неё. Но её не привлекают предложенные им театр и синематограф. Диану интересует реальная жизнь. По вечерней улице идёт молодой человек. Замешкавшись, он чуть не попадает под колёса автомобиля рядом с отелем и, остановившись на мгновение, уверенно открыв тяжелую дверь отеля, направляется в ресторан. Там со скучающим видом за столиком сидит Диана. Неожиданно для юноши она называет его имя Макс и приглашает за свой столик. Женщина говорит, что юноша привлёк её внимание своей неординарностью и массой несбыточных желаний. Диана не скрывает, что она чёрт, который может принимать любой облик. Она предлагает ему сыграть с ней в азартную игру, в которой обещает дать ему возможность реализовать любые сексуальные фантазии. Если он покорит нечётное число женщин до полуночи, то выиграет, если чётное – проиграет. В случае выигрыша он получит в своё распоряжение оплаченный за месяц вперёд 666-ой номер–люкс отеля. Заинтригованный предложением, жаждущий приключений юноша принимает условия игры. Диана придает его внешности лоск, одевает в элегантный костюм, превращая его в богемного дон-жуана. Она поощряет и направляет его безудержные фантазии совращения разных женщин от монашенки и официантки до кинозвезды и наездницы с хлыстом. С каждым разом его желания всё изощрённее, а эмоции бездушнее. В своем стремлении познать как можно больше женщин он не хочет останавливаться на нечётной победе. К тому же черт манит его новыми неожиданными поворотами приключений. Совсем близко к полуночи Диана посылает ему совсем юную девушку, почти ребёнка, которая завлекает его, играя солнечным зайчиком, и, то исчезая, то появляясь в комнате. Макс заманивает её в постель, обещая подарить красивое платье. Вот она, победа! Юноша объявляет Диане, что он выиграл. Дьяволица предстает перед ним необыкновенно соблазнительной и заявляет, что у них есть ещё несколько минут до полуночи. Макс не в силах устоять перед её чарами бросается перед Дианой на колени и говорит, что безумно любит её и не сможет без неё жить. Он умоляет не гнать его и сказать «да». Диана говорит «да», и часы бьют полночь. Юноша умоляет Диану что-нибудь сделать, чтобы спасти его, ведь она всесильна. Дьяволица отвечает, что она – прежде всего игрок и советует Максу впредь не играть в азартные игры с чертями. Диана удаляется из залы под руку с новой жертвой, оставляя безутешного Макса заливать своё любовное поражение спиртным.</t>
        </is>
      </c>
      <c r="L7122" s="2" t="inlineStr">
        <is>
          <t>https://gosfilmofond.ru/films/232321/</t>
        </is>
      </c>
      <c r="M7122" s="2">
        <f>HYPERLINK("https://ru.wikipedia.org/w/index.php?search=%D0%A1%D0%B5%D0%BA%D0%A1%D0%BA%D0%B0%D0%B7%D0%BA%D0%B0%201991%20%D1%84%D0%B8%D0%BB%D1%8C%D0%BC","искать")</f>
        <v/>
      </c>
      <c r="N7122" s="3" t="n"/>
      <c r="O7122" s="2" t="n"/>
      <c r="P7122" s="2" t="n"/>
    </row>
    <row r="7123">
      <c r="A7123" s="2" t="n">
        <v>7122</v>
      </c>
      <c r="B7123" s="2" t="inlineStr"/>
      <c r="C7123" s="2" t="n">
        <v>8899</v>
      </c>
      <c r="D7123" s="3" t="inlineStr">
        <is>
          <t>Опыт бреда любовного очарования</t>
        </is>
      </c>
      <c r="E7123" s="2" t="n">
        <v>1991</v>
      </c>
      <c r="F7123" s="2" t="inlineStr">
        <is>
          <t>кинофильм</t>
        </is>
      </c>
      <c r="G7123" s="2" t="n"/>
      <c r="H7123" s="2" t="n">
        <v>2577</v>
      </c>
      <c r="I7123" s="2" t="inlineStr"/>
      <c r="J7123" s="2" t="inlineStr"/>
      <c r="K7123" s="3" t="inlineStr">
        <is>
          <t>Ленинград, конец 20-го столетия. Милиционер привозит в психбольницу молодого человека, которого удалось спасти после прыжка с Дворцового моста в Неву. Персонал больницы приветствует старого знакомого, который полгода назад выписался отсюда, и попал к ним опять. Здесь все любят Женечку, романтичного парня и называют его «ангел наш». Вскоре в больницу привозят милую девушку, которая признается доктору, что уже семь лет живёт только внутренним движением, отстранённо от реальной жизни, и находит, что только у них в больнице ночи светлы и легки. Она сообщает доктору, что ночью спускается по лучу на землю, где её должен разыскать принц датский. На что доктор заявляет, что у девушки Паши (Прасковьи) – типичный бред любовного очарования. Он прописывает новым пациентам таблетки и трудотерапию, чтобы вернуть их сознание к реальной жизни. Иногда для них устраивают развлекательные представления, а после них танцы. На одном из таких мероприятий Женя замечает Пашу. У них начинаются романтические отношения. Влюблённость переходит в одержимость чувствами. Вскоре Пашу должны выписать по просьбе мужа, который собирается увезти её во Францию. Паша и Женя в отчаянии. Доктор понимает, что расставание влюблённых может нанести непоправимый удар их психике. Женя говорит доктору, что не отпустит Пашу, что они возьмутся за руки и пойдут венчаться. Когда приходит муж Паши, доктор объясняет, что в таком сильном возбуждении девушку нельзя забирать, и назначает их встречу на вечер. Сочувствуя влюблённым, он идёт на рискованный шаг. Он вводит Пашу в гипнотический сон, и вечером показывает мужу девушку без внешних признаков жизни. Доктор объясняет мужу, что психика девушки не выдержала волнений встречи, но такой исход, как смерть – спасение для неё. Муж уходит. Уставший доктор просит медсестру разбудить его через 3 часа, когда Паша должна проснуться. Обеспокоенный отсутствием любимой в палате, Женя ищет её по всей больнице. В кабинете доктора он видит тело Паши под простынёй, и вой отчаяния вырывается из его груди. Немного успокоившись, он целует девушку: «Любимая, мы на пороге полёта», выпивает припасенный яд и падает у ног возлюбленной. Та, проснувшись, допивает яд. Подоспевшая медсестра видит на полу два корчащихся тела, и бежит за врачом, но уже поздно. Двое влюблённых в белых одеждах парят над кабинетом, летят по коридорам и возносятся над городом. Прошло 5 лет, но доктор по-прежнему видит их полёт над городом. Иногда они появляются вдвоем в скорбной обители, где лечат душевно больных людей. «Я ни о чем не жалею. Я счастлив», - завершает свой рассказ доктор.</t>
        </is>
      </c>
      <c r="L7123" s="2" t="inlineStr">
        <is>
          <t>https://gosfilmofond.ru/films/232402/</t>
        </is>
      </c>
      <c r="M7123" s="2">
        <f>HYPERLINK("https://ru.wikipedia.org/w/index.php?search=%D0%9E%D0%BF%D1%8B%D1%82%20%D0%B1%D1%80%D0%B5%D0%B4%D0%B0%20%D0%BB%D1%8E%D0%B1%D0%BE%D0%B2%D0%BD%D0%BE%D0%B3%D0%BE%20%D0%BE%D1%87%D0%B0%D1%80%D0%BE%D0%B2%D0%B0%D0%BD%D0%B8%D1%8F%201991%20%D1%84%D0%B8%D0%BB%D1%8C%D0%BC","искать")</f>
        <v/>
      </c>
      <c r="N7123" s="3" t="n"/>
      <c r="O7123" s="2" t="n"/>
      <c r="P7123" s="2" t="n"/>
    </row>
    <row r="7124">
      <c r="A7124" s="2" t="n">
        <v>7123</v>
      </c>
      <c r="B7124" s="2" t="inlineStr"/>
      <c r="C7124" s="2" t="n">
        <v>7640</v>
      </c>
      <c r="D7124" s="3" t="inlineStr">
        <is>
          <t>Здравствуйте, я ваша тётя!</t>
        </is>
      </c>
      <c r="E7124" s="2" t="n">
        <v>1975</v>
      </c>
      <c r="F7124" s="2" t="inlineStr">
        <is>
          <t>телефильм</t>
        </is>
      </c>
      <c r="G7124" s="2" t="inlineStr">
        <is>
          <t>Творческое объединение «Экран»</t>
        </is>
      </c>
      <c r="H7124" s="2" t="n">
        <v>2579</v>
      </c>
      <c r="I7124" s="2" t="inlineStr"/>
      <c r="J7124" s="2" t="inlineStr"/>
      <c r="K7124" s="3" t="inlineStr">
        <is>
          <t>Действие перенесено из конца XIX в начало XX века.
Безработный Бабс, спасаясь от полиции, попадает в богатый дом в женской одежде. Здесь его встречают два молодых джентльмена, Джеки и Чарли, правда, ждут они не Бабса, а тётушку Чарли — вдову-миллионершу из Бразилии донну Розу д’Альвадорец. Она должна была сегодня приехать, но по какой-то причине задержалась, а нужна она здесь и сейчас. Джеки и Чарли убеждают Бабса притвориться ею на один день. Им необходима эта ложь, чтобы «донна Роза», располагая своим авторитетом и состоянием, помогла им жениться на двух девушках-сиротах. Дело в том, что их опекун не хочет расставаться с их наследством, которое по завещанию отца должно отойти к ним как приданое в случае свадьбы. Бабс должен очаровать опекуна и хорошенько на него повлиять.
Но всё идёт не так гладко, как заговорщики планировали изначально. «Богатая тётушка» привлекает к себе внимание не только вышеупомянутого опекуна, судьи Кригса, но и полковника Чеснея, отца Джеки, тоже вдовца. Оба они страстно желают поправить своё материальное положение, и Бабс не знает, как ему выходить из этой ситуации. К тому же, об обмане знает и лакей, любитель выпить и побездельничать, а за Бабсом по пятам идёт полиция. Сам Бабс постепенно входит во вкус и начинает проводить с девушками гораздо больше времени, чем того бы хотели Джеки и Чарли. Это вкупе с остальными обстоятельствами создаёт череду забавных нелепиц. В довершение несчастий приезжает настоящая донна Роза в сопровождении девушки-воспитанницы, в которую с недавних пор безнадёжно влюблён Бабс.
Донна Роза рассказывает девушке, что когда-то взаимно симпатизировала молодому, тогда ещё лейтенанту, Чеснею, но, к её сожалению, судьба их разлучила. Услышав, что её место занял самозванец, донна Роза представляется другим именем и начинает аккуратно давить на Бабса, чтобы тот выдал себя в какой-нибудь мелочи. Он же продолжает развязно играть свою роль, но, заметив свою возлюбленную, отказывается изображать бразильскую тётушку дальше. Джеки и Чарли уговаривают его дотерпеть до конца, и Бабс вытягивает у судьи разрешение на брак его воспитанниц, а в ответ обещает от имени тётушки, что якобы выйдет за него замуж. Когда судья публично объявляет о своей помолвке, Бабс выходит ко всем в своём мужском костюме, и незадачливого жениха поднимают на смех. Донна Роза открывает своё настоящее имя, и полковник Чесней, вспомнив, как любил её когда-то, делает ей предложение снова, теперь уже не только из-за её богатства. Джеки и Чарли радостно воссоединяются с невестами. Бабс, забытый всеми, возвращается к жизни бродяги.</t>
        </is>
      </c>
      <c r="L7124" s="2" t="inlineStr">
        <is>
          <t>https://ru.wikipedia.org/w/index.php?title=%D0%97%D0%B4%D1%80%D0%B0%D0%B2%D1%81%D1%82%D0%B2%D1%83%D0%B9%D1%82%D0%B5%2C_%D1%8F_%D0%B2%D0%B0%D1%88%D0%B0_%D1%82%D1%91%D1%82%D1%8F%21&amp;oldid=151319171</t>
        </is>
      </c>
      <c r="M7124" s="2">
        <f>HYPERLINK("https://ru.wikipedia.org/w/index.php?search=%D0%97%D0%B4%D1%80%D0%B0%D0%B2%D1%81%D1%82%D0%B2%D1%83%D0%B9%D1%82%D0%B5%2C%20%D1%8F%20%D0%B2%D0%B0%D1%88%D0%B0%20%D1%82%D1%91%D1%82%D1%8F%21%201975%20%D1%84%D0%B8%D0%BB%D1%8C%D0%BC","искать")</f>
        <v/>
      </c>
      <c r="N7124" s="3" t="n"/>
      <c r="O7124" s="2" t="n"/>
      <c r="P7124" s="2" t="n"/>
    </row>
    <row r="7125">
      <c r="A7125" s="2" t="n">
        <v>7124</v>
      </c>
      <c r="B7125" s="2" t="inlineStr"/>
      <c r="C7125" s="2" t="n">
        <v>8709</v>
      </c>
      <c r="D7125" s="3" t="inlineStr">
        <is>
          <t>Дом свиданий</t>
        </is>
      </c>
      <c r="E7125" s="2" t="n">
        <v>1991</v>
      </c>
      <c r="F7125" s="2" t="inlineStr">
        <is>
          <t>кинофильм</t>
        </is>
      </c>
      <c r="G7125" s="2" t="n"/>
      <c r="H7125" s="2" t="n">
        <v>2588</v>
      </c>
      <c r="I7125" s="2" t="inlineStr"/>
      <c r="J7125" s="2" t="inlineStr"/>
      <c r="K7125" s="3" t="inlineStr">
        <is>
          <t>Зимний вечер в загородном доме. Уютная обстановка, камин, музыка, дорогие напитки. Молодые красивые женщины развлекают мужчин. За домом следят.
Наутро четыре женщины в дорогих шубах, одна за другой входят в дом, где их уже поджидают вооружённые люди. Один из них представляется девушкам, как старший уполномоченный угрозыска Сергей Грачёв. Он сообщает, что ночью здесь был убит хозяин дома, содержатель борделя Маричев Вениамин Ильич, а их подозревают в совершении преступления. Каждая из 4-х девушек, работавших в доме свиданий, попала сюда по личным жизненным обстоятельствам. Вениамин, считавший себя режиссёром сексуальных действий, выбирал их в соответствии с задуманными им амплуа.
Алла Леонидовна Павлова «Министерша» - жена высокопоставленного чиновника, самая утончённая и горделивая, не будучи уверенной в муже, обеспечивала здесь своё будущее. Марина Баева «Бармаш», разбитная дамочка, в этом заведении чувствовала, как рыба в воде. Лариса Спасова «Фотомодель», стройная и эффектная, - мечта мужчин, стремящихся поднять самооценку, старалась продать себя подороже. А миловидная Наталья Соколова, экскурсовод по профессии, предназначенная для непритязательных состоятельных мужчин, стремилась заработать на жизнь и покончить с бедностью.
Во время допросов девушки замечают, что милицию мало интересуют обстоятельства происшедшего. Майор Грачёв пытается получить информацию о клиентах заведения – сильных мира сего. Девушки решают действовать сообща, чтобы не выдать никого и попробовать сбежать. Но наркоманка Лариса на многое может пойти ради порции наркотика. Под угрозами расправы она выдаёт клиентов заведения. В это время пленницы отвлекают охрану, и Наташа через окно туалета выбирается из дома. В комнате второго этажа, которая охраняется тщательнее всего, она находит связанного живого Вениамина и помогает ему освободиться. Тот достает спрятанное ружьё. С помощью девушек он расправляется с охранниками и врывается в комнату, где находятся мнимые милиционеры. Он приставляет их лицом к стенке, и Алла забирает у них оружие. Вениамин понял, на кого из высокопоставленных лиц работает бандит Грачёв с командой, когда тот без опаски разговаривал с «шефом» из комнаты, где лежал связанный Маричев. Тем временем наверху Наташа звонит в милицию. Но тут наступает неожиданная развязка. Вениамин отталкивает Ларису, которая любила и ревновала его: «Ты сама подписала себе приговор за предательство!» Она хватает лежащий пистолет и убивает Маричева. Бандиты хотят расправиться с девушками, но не успевают. Милиция вовремя приезжает на место преступления и драматических событий.</t>
        </is>
      </c>
      <c r="L7125" s="2" t="inlineStr">
        <is>
          <t>https://gosfilmofond.ru/films/232284/</t>
        </is>
      </c>
      <c r="M7125" s="2">
        <f>HYPERLINK("https://ru.wikipedia.org/w/index.php?search=%D0%94%D0%BE%D0%BC%20%D1%81%D0%B2%D0%B8%D0%B4%D0%B0%D0%BD%D0%B8%D0%B9%201991%20%D1%84%D0%B8%D0%BB%D1%8C%D0%BC","искать")</f>
        <v/>
      </c>
      <c r="N7125" s="3" t="n"/>
      <c r="O7125" s="2" t="n"/>
      <c r="P7125" s="2" t="n"/>
    </row>
    <row r="7126">
      <c r="A7126" s="2" t="n">
        <v>7125</v>
      </c>
      <c r="B7126" s="2" t="inlineStr"/>
      <c r="C7126" s="2" t="n">
        <v>8153</v>
      </c>
      <c r="D7126" s="3" t="inlineStr">
        <is>
          <t>Покровские ворота</t>
        </is>
      </c>
      <c r="E7126" s="2" t="n">
        <v>1982</v>
      </c>
      <c r="F7126" s="2" t="inlineStr">
        <is>
          <t>телефильм</t>
        </is>
      </c>
      <c r="G7126" s="2" t="inlineStr">
        <is>
          <t>Мосфильм</t>
        </is>
      </c>
      <c r="H7126" s="2" t="n">
        <v>2592</v>
      </c>
      <c r="I7126" s="2" t="inlineStr"/>
      <c r="J7126" s="2" t="inlineStr"/>
      <c r="K7126" s="3" t="inlineStr">
        <is>
          <t>«Покровские ворота» — это фильм-воспоминание, герой которого, наблюдая в начале 1980-х годов за сносом старого московского дома, мысленно возвращается во времена своей молодости. Основное действие картины происходит в 1956—1957 годах. Аспирант-историк Костик Ромин (Олег Меньшиков), приехавший в столицу для учёбы в университете, поселяется в квартире своей тётушки Алисы Витальевны (Софья Пилявская). Жизнь обитателей коммунального «скворечника» заполнена курьёзными, романтическими и драматическими событиями. Так, немолодой артист Мосэстрады Аркадий Варламович Велюров (Леонид Броневой) влюбляется в пловчиху общества «Трудовые резервы» Светлану (Татьяна Догилева), однако та предпочитает проводить время с Костиком. Переводчица Маргарита Павловна (Инна Ульянова), живя в одной квартире с бывшим и будущим мужьями, стремится создать некий «тройственный союз». Прежний её супруг Лев Евгеньевич Хоботов (Анатолий Равикович), «отставленный, но не вполне отпущенный», мечтает освободиться от опеки Маргариты Павловны, которая весьма жёстко вмешивается в его отношения с медсестрой Людочкой (Елена Коренева).
Костик, включаясь в происходящие события, играет роль своеобразного медиатора. Он, к примеру, ведёт разговоры со склонным к алкогольным срывам Велюровым о том, что нужно победить пагубную страсть; при этом некоторая пафосность речей юного героя погашается озорными провокациями: «Аркадий Варламович, а не хлопнуть ли нам по рюмашке?». Благодаря Костику меняется жизнь Хоботова — организовав трюк с переодеванием в больнице, куда попал Лев Евгеньевич, Ромин помогает тому обрести свободу и воссоединиться с Людочкой. В биографии самого Костика также «грядут перемены» — герой разрывает связи с прежними подругами после знакомства с сотрудницей загса Ритой (Валентина Воилкова).
Дальнейшая судьба обитателей коммунальной квартиры неизвестна, и зритель не знает, обрёл ли Хоботов счастье с Людочкой, гармонично ли сложилась семейная жизнь Маргариты Павловны и гравёра Саввы Игнатьевича (Виктор Борцов), успешно ли развивалась дальнейшая артистическая деятельность и личная жизнь Велюрова (которому в итоге ответила взаимностью Света). В финале картины повзрослевший Костик (Михаил Козаков) задаётся вопросом: «Где вы теперь, друзья моей юности? / Вы, бескорыстные подружки?».
Скрылись за поворотом пятидесятые, отшумели шестидесятые, уже восьмидесятые проросли. Мы смотрим на развалины скворечника на Покровке с не меньшей грустью, чем режиссёр Михаил Козаков. С улыбкой, но не без горечи, он спрашивает больше себя, чем нас: «Молодость, ты была или не была? Кто ответит, куда ты делась?»</t>
        </is>
      </c>
      <c r="L7126" s="2" t="inlineStr">
        <is>
          <t>https://ru.wikipedia.org/w/index.php?title=%D0%9F%D0%BE%D0%BA%D1%80%D0%BE%D0%B2%D1%81%D0%BA%D0%B8%D0%B5_%D0%B2%D0%BE%D1%80%D0%BE%D1%82%D0%B0_%28%D1%84%D0%B8%D0%BB%D1%8C%D0%BC%29&amp;oldid=155200187</t>
        </is>
      </c>
      <c r="M7126" s="2">
        <f>HYPERLINK("https://ru.wikipedia.org/w/index.php?search=%D0%9F%D0%BE%D0%BA%D1%80%D0%BE%D0%B2%D1%81%D0%BA%D0%B8%D0%B5%20%D0%B2%D0%BE%D1%80%D0%BE%D1%82%D0%B0%201982%20%D1%84%D0%B8%D0%BB%D1%8C%D0%BC","искать")</f>
        <v/>
      </c>
      <c r="N7126" s="3" t="n"/>
      <c r="O7126" s="2" t="n"/>
      <c r="P7126" s="2" t="n"/>
    </row>
    <row r="7127">
      <c r="A7127" s="2" t="n">
        <v>7126</v>
      </c>
      <c r="B7127" s="2" t="inlineStr"/>
      <c r="C7127" s="2" t="n">
        <v>9149</v>
      </c>
      <c r="D7127" s="3" t="inlineStr">
        <is>
          <t>Хэппи энд</t>
        </is>
      </c>
      <c r="E7127" s="2" t="n">
        <v>1991</v>
      </c>
      <c r="F7127" s="2" t="inlineStr">
        <is>
          <t>кинофильм</t>
        </is>
      </c>
      <c r="G7127" s="2" t="n"/>
      <c r="H7127" s="2" t="n">
        <v>2592</v>
      </c>
      <c r="I7127" s="2" t="inlineStr"/>
      <c r="J7127" s="2" t="inlineStr"/>
      <c r="K7127" s="3" t="inlineStr">
        <is>
          <t>90-е годы двадцатого столетия. В маленький белорусский городок приезжают киноартисты, зарабатывающие на жизнь «чёсом» по провинции. Местная аптекарша Эля с восторгом слушает романс в исполнении Мишаткина, по которому она сходила с ума в пятом классе. На следующий день Эля приходит к артисту в гостиницу. Он мучается после очередного запоя, а чтобы принять гостью, у него даже нет чистой рубашки. Заботливая Эля преподносит ему французский коньяк и новую рубашку, удивив артиста непривычной для него заботой. Игорь Мишаткин умоляет её поехать с ним в Минск, говорит, что он пропадет без неё. Жизнь Эли в городке хорошо обустроена. Она замужем за Анатолием, у них подрастает сын. Но в родном городе ей скучно, и она не видит никакой перспективы в будущем. Эля разводится с мужем, убеждая его, что их развод фиктивный. Как только обустроится в Минске, она обещает забрать туда мужа с сыном. Чтобы закрепиться в большом городе, она выходит замуж за Игоря.
Узнав, что новый муж давно не имеет работу, а из собственности у него только комната, Эля активно включается в улаживание дел мужа и делает это с успехом. Она находит доктора, который лечит её мужа от алкоголизма. Она добивается ролей для Игоря, у которого есть талант. К Мишаткину возвращается успех и популярность. Они вселяются в новую квартиру. Но семейная жизнь не ладится. Игорь не хочет признавать заслуг жены ни в чем. Артист заводит себе любовницу. Чувствуя себя одинокой, Эля начинает встречаться с доктором Алибековым. Он классный специалист, но не удачливый человек. Жена его бросила, лишив его встреч с дочерью. Эля и здесь берёт на себя все хлопоты по делам мужчины, к которому искренне привязалась, и добивается, чтобы ему выделили здание под клинику. Когда дела у доктора пошли в гору, о нем вспоминает жена и хочет его вернуть. Новый «хозяин жизни» благодарит Элю за помощь и говорит, что самое ценное для него дочь, поэтому он решил вернуться в семью. Эля едет в родной город. У её бывшего мужа новая семья, а её сын называет мамой другую женщину. Эля возвращается в Минск. Больничная палата. Эля приходит в сознание и узнает, что она потеряла сознание на улице, а какой-то иностранец отвёз её в дорогую клинику и оплатил пребывание там. Они знакомятся, и вскоре немец предлагает ей руку и сердце. Эля соглашается выйти за него замуж. В аэропорту она узнает от провожающих, что Мишаткин умер: после запоя не выдержало сердце. Аптека в Бремене. Эля чувствует себя комфортно в привычной роли фармацевта. «Только вот муж иногда называет меня именем своей бывшей жены Паулы и плачет. А я плачу вместе с ним»,- признается она.</t>
        </is>
      </c>
      <c r="L7127" s="2" t="inlineStr">
        <is>
          <t>https://gosfilmofond.ru/films/232596/</t>
        </is>
      </c>
      <c r="M7127" s="2">
        <f>HYPERLINK("https://ru.wikipedia.org/w/index.php?search=%D0%A5%D1%8D%D0%BF%D0%BF%D0%B8%20%D1%8D%D0%BD%D0%B4%201991%20%D1%84%D0%B8%D0%BB%D1%8C%D0%BC","искать")</f>
        <v/>
      </c>
      <c r="N7127" s="3" t="n"/>
      <c r="O7127" s="2" t="n"/>
      <c r="P7127" s="2" t="n"/>
    </row>
    <row r="7128">
      <c r="A7128" s="2" t="n">
        <v>7127</v>
      </c>
      <c r="B7128" s="2" t="inlineStr"/>
      <c r="C7128" s="2" t="n">
        <v>7777</v>
      </c>
      <c r="D7128" s="3" t="inlineStr">
        <is>
          <t>Крысы, или Ночная мафия</t>
        </is>
      </c>
      <c r="E7128" s="2" t="n">
        <v>1991</v>
      </c>
      <c r="F7128" s="2" t="inlineStr">
        <is>
          <t>телефильм</t>
        </is>
      </c>
      <c r="G7128" s="2" t="n"/>
      <c r="H7128" s="2" t="n">
        <v>2597</v>
      </c>
      <c r="I7128" s="2" t="inlineStr"/>
      <c r="J7128" s="2" t="inlineStr"/>
      <c r="K7128" s="3" t="inlineStr">
        <is>
          <t>Конец 80-х годов. В родной город возвращается Виктор Разлогов после условно-досрочного освобождения. Несколько лет назад, находясь в сильном душевном волнении, он случайно убил человека. Виктор не узнает свой когда-то тихий и спокойный город. В аэропорту обнаглевшие частники-таксисты, тут же нелегальная торговля водкой. Старый таксист берется отвезти его в город. По пути машину останавливают бандиты на мотоциклах и отнимают у деда деньги. Разлогов пытается его защитить, но бандиты угрожают расправой. В городской гостинице для парня не находится места, и дед везёт его к себе в старый дом. За ужином Иван Петрович рассказывает Виктору, что автопарк, где он работает, стонет от рэкета, а от властей одни только обещания, принять меры. А Виктор рассказывает ему о любимой девушке, которую потерял, попав в тюрьму. У Разлогова, бывшего детдомовца в городе нет никого, кроме друга детства Сани. Он звонит ему. Александра нет дома, а его жена Нина просит больше не звонить. Она обещает выслать Виктору посылку, в которой будет объяснение всего, что произошло. Разлогов устраивается водителем в таксопарк и становится сменщиком деда. Бандиты тут же диктуют ему «план», отдавать им каждый четверг немалую сумму с заработанного. Вскоре Нина звонит Виктору сама и просит забрать посылку на почте. Она рассказывает, что Саша работал начальником треста, но в последнее время беспокоился о безопасности семьи и попросил её уехать с детьми в деревню. Потом случилась авария, якобы отказали тормоза. Нина не верит, что это произошло случайно, потому что она чувствовала, что за мужем постоянно следят. Сейчас Саша в больнице после аварии. Виктор получает посылку. В ней деньги оружие и документы. О посылке узнают бандиты, но не получив информации о ней от Виктора, избивают его, вливают в горло водку и пускают машину под откос. Разлогова отстраняют от работы. Бандиты по телефону требуют привезти им посылку, но Виктор отказывается. Он говорит, что знает об их махинациях и имеет неопровержимые доказательства и обвиняет звонивших, что они сгубили его друга. Когда парень возвращается домой, он видит за столом рядом с дедом свою девушку. Она сообщает, что Иван Петрович нашел её и все рассказал. На следующий день, вернувшись домой, Виктор обнаруживает там бандитов, которые предлагают обменять девушку на чемодан. Разлогов отказывается. После его неудачной попытки освободить возлюбленную бандиты поджигают дом. Связанному Виктору удается освободиться и спасти подругу. Отправив девушку в безопасное место, он бежит к карьеру, где находится логово бандитов. Там машины милиции. Идёт облава на бандитов.</t>
        </is>
      </c>
      <c r="L7128" s="2" t="inlineStr">
        <is>
          <t>https://gosfilmofond.ru/films/274186/</t>
        </is>
      </c>
      <c r="M7128" s="2">
        <f>HYPERLINK("https://ru.wikipedia.org/w/index.php?search=%D0%9A%D1%80%D1%8B%D1%81%D1%8B%2C%20%D0%B8%D0%BB%D0%B8%20%D0%9D%D0%BE%D1%87%D0%BD%D0%B0%D1%8F%20%D0%BC%D0%B0%D1%84%D0%B8%D1%8F%201991%20%D1%84%D0%B8%D0%BB%D1%8C%D0%BC","искать")</f>
        <v/>
      </c>
      <c r="N7128" s="3" t="n"/>
      <c r="O7128" s="2" t="n"/>
      <c r="P7128" s="2" t="n"/>
    </row>
    <row r="7129">
      <c r="A7129" s="2" t="n">
        <v>7128</v>
      </c>
      <c r="B7129" s="2" t="inlineStr"/>
      <c r="C7129" s="2" t="n">
        <v>8239</v>
      </c>
      <c r="D7129" s="3" t="inlineStr">
        <is>
          <t>Профессия — следователь</t>
        </is>
      </c>
      <c r="E7129" s="2" t="n">
        <v>1982</v>
      </c>
      <c r="F7129" s="2" t="inlineStr">
        <is>
          <t>телефильм</t>
        </is>
      </c>
      <c r="G7129" s="2" t="n"/>
      <c r="H7129" s="2" t="n">
        <v>2599</v>
      </c>
      <c r="I7129" s="2" t="inlineStr"/>
      <c r="J7129" s="2" t="inlineStr"/>
      <c r="K7129" s="3" t="inlineStr">
        <is>
          <t>Милиционер случайно замечает на Белорусском вокзале, что чемодан, оставленный в ячейке камеры хранения одним человеком, забирает другой. Он решает проверить, в чём дело, и при досмотре в чемодане обнаруживается крупная сумма денег. На вопрос об их происхождении задержанный, Николай Николаевич Губанов, отказывается отвечать. Дело поручается следователю по особо важным делам, полковнику милиции Борису Ивановичу Антонову. Дело ещё больше запутывается, когда выясняется, что Губанов — простой советский пенсионер, знакомые которого не верят в возможность того, что у него могли обнаружить большие деньги. Следствие устанавливает, что Губанов до выхода на пенсию работал в городе на комбинате и должен был сесть на поезд, отправляющийся в курортный город Светогорск.
Следствие долгое время не может обнаружить вокруг Губанова источник денег: ни в Москве, ни в Светогорске никто из его знакомых не вызывает подозрений. Тем временем преступники, Виктор Вениаминович Лыкин и Анатолий Сергеевич Крупанин, обнаружив, что Губанов не приехал в Светогорск, догадываются, что тот задержан, и стараются замести следы. Оказывается, что в течение некоторого времени между заготовительной базой в городе Алабашлыке и филиалом московского комбината в Светогорске действовала преступная схема кражи государственных денег, так называемая бестоварная сделка, которую организовал Лыкин. Преступники получали крупные суммы денег за воображаемые специи — лук, чеснок, перец, недовложения которых в пищевую продукцию потом скрывали якобы изменившимися нормативами. Для отвода глаз из Алабашлыка в Светогорск гоняли пустые автофургоны, которые по документам возили чеснок и перец. Губанов, дальний родственник жены Крупанина, исполнял роль простого курьера, однако из-за родственных связей скрывает от следствия происхождение денег. Узнав о задержании Губанова, Лыкин решает приостановить очередной рейс пустых машин в Светогорск. Приехав в Алабашлык, он посылает работника местной базы Федотова в погоню за грузовиками. Стремясь догнать грузовики, Федотов развивает высокую скорость на автомобиле, но не справляется с управлением и погибает в автокатастрофе. А фургоны на подъезде к Светогорску задерживаются с проверкой на посту ГАИ, и при этом обнаруживается, что груза в них нет. Шофёры попадают на допрос к Антонову.
Тем временем Лыкин, пытаясь замести следы, убивает Губанова. После этого он сводит счёты и с Крупаниным (с ним у Лыкина ещё и личный инцидент, так как Лыкин имеет виды на Наталью — жену Крупанина), однако проницательный следователь Антонов всё равно раскрывает схему преступления и выходит на Лыкина.</t>
        </is>
      </c>
      <c r="L7129" s="2" t="inlineStr">
        <is>
          <t>https://ru.wikipedia.org/w/index.php?title=%D0%9F%D1%80%D0%BE%D1%84%D0%B5%D1%81%D1%81%D0%B8%D1%8F_%E2%80%94_%D1%81%D0%BB%D0%B5%D0%B4%D0%BE%D0%B2%D0%B0%D1%82%D0%B5%D0%BB%D1%8C&amp;oldid=153914226</t>
        </is>
      </c>
      <c r="M7129" s="2">
        <f>HYPERLINK("https://ru.wikipedia.org/w/index.php?search=%D0%9F%D1%80%D0%BE%D1%84%D0%B5%D1%81%D1%81%D0%B8%D1%8F%20%E2%80%94%20%D1%81%D0%BB%D0%B5%D0%B4%D0%BE%D0%B2%D0%B0%D1%82%D0%B5%D0%BB%D1%8C%201982%20%D1%84%D0%B8%D0%BB%D1%8C%D0%BC","искать")</f>
        <v/>
      </c>
      <c r="N7129" s="3" t="n"/>
      <c r="O7129" s="2" t="n"/>
      <c r="P7129" s="2" t="n"/>
    </row>
    <row r="7130">
      <c r="A7130" s="2" t="n">
        <v>7129</v>
      </c>
      <c r="B7130" s="2" t="inlineStr"/>
      <c r="C7130" s="2" t="n">
        <v>8698</v>
      </c>
      <c r="D7130" s="3" t="inlineStr">
        <is>
          <t>Дети из отеля "Америка"</t>
        </is>
      </c>
      <c r="E7130" s="2" t="n">
        <v>1990</v>
      </c>
      <c r="F7130" s="2" t="inlineStr">
        <is>
          <t>кинофильм</t>
        </is>
      </c>
      <c r="G7130" s="2" t="n"/>
      <c r="H7130" s="2" t="n">
        <v>2602</v>
      </c>
      <c r="I7130" s="2" t="inlineStr"/>
      <c r="J7130" s="2" t="inlineStr"/>
      <c r="K7130" s="3" t="inlineStr">
        <is>
          <t>Каунас, 1972 год. В заброшенном здании, прозванном подростками отель «Америка», ребята слушают транзистор и танцуют под западную музыку. Группа разновозрастных мальчишек и девчонок пишут письмо на радио Люксембурга о том, что они любят слушать их музыкальные программы. Зачинщик написания письма Жальгирис. Он увлечен музыкой, сам поет и играет в группе. Среди взрослых уныние и безысходность. Старики обсуждают тяжесть и нищету своей жизни, вспоминают, как хорошо жилось раньше, до советской власти. Жальгирис знакомится с девушкой Реной, приводит её в свой «Отель Америка» и рассказывает, как здесь раньше было весело. Сейчас в душах ребят поселилась тревога. Они сгрудились за столом и ведут спиритический сеанс, чтобы узнать, когда Литва будет свободной. Письмо на люксембургское радио попадает к директору школы, где учатся ребята. В наказание всем ставят «двойки» по английскому языку и предупреждают, чтобы такое больше не повторялось. Жальгирис убеждает друзей, что нужно настойчиво писать за границу вновь и вновь, но друзья отказываются. Тогда он выходит из состава группы и сам пишет новое письмо на радио Люксембурга. На почте он встречает свою новую знакомую Рену. Они с мамой пришли, чтобы позвонить в Тель-Авив. Там их ждёт папа Рены, и они собираются ехать в Израиль. Мама Рены получила предписание в течение 48 часов убраться из города. Девушка не хочет уезжать за границу и умоляет Жальгириса сделать что-нибудь, чтобы её отъезд не состоялся. Он зовёт её поехать с ним за город вблизи Паланги. Там собирается молодёжь: палатки, музыка, хиппи – это лучше, чем в Вудстоке. Ночь они проводят в палатке вдвоем, а утром милиционеры всех вытаскивают из палаток и бьют. Молодёжь забирают в милицию и обривают всех наголо. Потом всех развозят по домам и приказывают родителям присматривать за подростками: бандиты растут. По улице идёт демонстрация протестующей молодёжи. Жальгирис присоединяется. Милиционеры избивают и калечат ребят. Ему приносят повестку в КГБ. Юношу обвиняют в организации демонстрации, инкриминируют убийство человека в лесу, угрожают не допустить до учебы в институте, пытаются склонить к сотрудничеству с КГБ. Юноша отказывается. Он в растерянности и готов облиться бензином и поджечь себя. Рена предлагает жениться, и тогда, по её мнению, его никуда не отправят. Вечер. Молодёжь собралась в потаенном месте. Пришла Рена, которая не уехала в Израиль. Ребята прислушиваются к шуму внизу холма. Там упрятанная под землю река пробила ограждения и вышла на поверхность в виде бьющего источника. Так же и молодые люди надеются, что их стремление к свободе найдёт свой путь.</t>
        </is>
      </c>
      <c r="L7130" s="2" t="inlineStr">
        <is>
          <t>https://gosfilmofond.ru/films/232272/</t>
        </is>
      </c>
      <c r="M7130" s="2">
        <f>HYPERLINK("https://ru.wikipedia.org/w/index.php?search=%D0%94%D0%B5%D1%82%D0%B8%20%D0%B8%D0%B7%20%D0%BE%D1%82%D0%B5%D0%BB%D1%8F%20%22%D0%90%D0%BC%D0%B5%D1%80%D0%B8%D0%BA%D0%B0%22%201990%20%D1%84%D0%B8%D0%BB%D1%8C%D0%BC","искать")</f>
        <v/>
      </c>
      <c r="N7130" s="3" t="n"/>
      <c r="O7130" s="2" t="n"/>
      <c r="P7130" s="2" t="n"/>
    </row>
    <row r="7131">
      <c r="A7131" s="2" t="n">
        <v>7130</v>
      </c>
      <c r="B7131" s="2" t="inlineStr"/>
      <c r="C7131" s="2" t="n">
        <v>7255</v>
      </c>
      <c r="D7131" s="3" t="inlineStr">
        <is>
          <t>Благочестивая Марта</t>
        </is>
      </c>
      <c r="E7131" s="2" t="n">
        <v>1980</v>
      </c>
      <c r="F7131" s="2" t="inlineStr">
        <is>
          <t>телефильм</t>
        </is>
      </c>
      <c r="G7131" s="2" t="inlineStr">
        <is>
          <t>Ленфильм</t>
        </is>
      </c>
      <c r="H7131" s="2" t="n">
        <v>2605</v>
      </c>
      <c r="I7131" s="2" t="inlineStr"/>
      <c r="J7131" s="2" t="inlineStr"/>
      <c r="K7131" s="3" t="inlineStr">
        <is>
          <t>Испания, XVII век. Два студента, Фелипе и Пастрана, которые бросили надоевший университет, решают поискать счастья в Мадриде. Фелипе влюбляется в донью Марту, уже сосватанную за друга её отца — старого капитана Урбину. В Фелипе же влюбляются и Марта, и младшая сестра Лусия. Желая защитить честь Марты, её брат Антонио нападает на певшего около их дома серенаду Фелипе и погибает от его руки. Отец Марты дон Гомес говорит у трупа сына, что убийца будет схвачен и казнён. Марта использует смерть брата, чтобы оттянуть венчание с Урбиной.
Урбина приглашает Гомеса и его дочерей в Ильескас, где он недавно купил дом. Там предстоит праздник и пройдёт коррида. Там же скрывается Фелипе, которого не оставил его друг Пастрана. Марте удаётся встретиться с Фелипе и поговорить с ним.
Во время корриды племянник Урбины, поручик, падает с коня, и в бой вмешивается Фелипе, убивающий быка. Оказывается, что поручик — это его друг детства, который лишь недавно вернулся в Испанию. Он любит Лусию. В разговоре выясняется, что Урбина разбогател за морем.
В доме у Урбины, после того как скрывавшийся в толпе Фелипе спел свою песню, Марта говорит, что недавно ей явилось небесное знамение и она поклялась хранить невинность. В Мадриде она изображает глубокую набожность, помогает нищим, собирается открыть для них лазарет. Ей удаётся пустить Фелипе к себе в дом под видом больного студента Нибенимеды, который будет учить её латыни. Фелипе из осторожности необходимо изображать любовь к, естественно, узнавшей его Лусии, которая и без того запуталась в своей любви к нему и к поручику.
Пастрана, уже второй раз придя к Гомесу под именем представителя севильской служебной палаты дона Хуана Уртадо, сообщает, что убийца пойман, тому уже объявлен приговор и предлагает отправиться в Севилью. Гомес охотно соглашается, а Урбина едет проводить его до Ильескаса. Пастрана радостно говорит Фелипе и Марте, что оба старика через час покинут Мадрид, и это позволяет спокойно обвенчаться. Но и его друг, и возлюбленная друга не согласны на такое. Марта идёт к капитану Урбине и признаётся в своём притворстве. Оказалось, что Урбина разгадал её и сам чувствует себя виноватым, поскольку пыл страсти подходит юности, а не старости. Подошедшему Гомесу капитан объясняет, что Фелипе невиновен в убийстве, и обещает дать хорошее приданое обеим сёстрам. Фелипе говорит Гомесу, что, будучи отчасти виноват в смерти его сына, сам станет ему сыном. Лусия выходит замуж за поручика, а Пастрана женится на свояченице Гомеса Инес, чего оба давно уже хотели.
Сценарий фильма отличается от пьесы (изменены или удалены некоторые сюжетные ходы).</t>
        </is>
      </c>
      <c r="L7131" s="2" t="inlineStr">
        <is>
          <t>https://ru.wikipedia.org/w/index.php?title=%D0%91%D0%BB%D0%B0%D0%B3%D0%BE%D1%87%D0%B5%D1%81%D1%82%D0%B8%D0%B2%D0%B0%D1%8F_%D0%9C%D0%B0%D1%80%D1%82%D0%B0_%28%D1%84%D0%B8%D0%BB%D1%8C%D0%BC%29&amp;oldid=152023000</t>
        </is>
      </c>
      <c r="M7131" s="2">
        <f>HYPERLINK("https://ru.wikipedia.org/w/index.php?search=%D0%91%D0%BB%D0%B0%D0%B3%D0%BE%D1%87%D0%B5%D1%81%D1%82%D0%B8%D0%B2%D0%B0%D1%8F%20%D0%9C%D0%B0%D1%80%D1%82%D0%B0%201980%20%D1%84%D0%B8%D0%BB%D1%8C%D0%BC","искать")</f>
        <v/>
      </c>
      <c r="N7131" s="3" t="n"/>
      <c r="O7131" s="2" t="n"/>
      <c r="P7131" s="2" t="n"/>
    </row>
    <row r="7132">
      <c r="A7132" s="2" t="n">
        <v>7131</v>
      </c>
      <c r="B7132" s="2" t="inlineStr"/>
      <c r="C7132" s="2" t="n">
        <v>8398</v>
      </c>
      <c r="D7132" s="3" t="inlineStr">
        <is>
          <t>Старший сын</t>
        </is>
      </c>
      <c r="E7132" s="2" t="n">
        <v>1975</v>
      </c>
      <c r="F7132" s="2" t="inlineStr">
        <is>
          <t>телефильм</t>
        </is>
      </c>
      <c r="G7132" s="2" t="inlineStr">
        <is>
          <t>Ленфильм</t>
        </is>
      </c>
      <c r="H7132" s="2" t="n">
        <v>2608</v>
      </c>
      <c r="I7132" s="2" t="inlineStr"/>
      <c r="J7132" s="2" t="inlineStr"/>
      <c r="K7132" s="3" t="inlineStr">
        <is>
          <t>Двое незадачливых молодых людей — студент Владимир Бусыгин и его новый случайный приятель Семён Севостьянов по прозвищу Сильва — провожают двух девушек, с которыми только что познакомились в кафе, домой в пригород в надежде на продолжение дружеских отношений. Получив грубый отказ, они бегом возвращаются на железнодорожную станцию, но опаздывают на последнюю электричку. Оказавшись холодной осенней ночью в чужом городке, они пытаются напроситься к кому-нибудь переночевать, но безуспешно.
На той же электричке, на которой приехали Владимир и Семён с девушками, домой возвращается молодая женщина Наталья. Её встречает живущий по соседству старшеклассник Васенька, который влюблён в Наталью, но та непреклонна: она заметно старше Васеньки и, будучи секретарём районного суда, насмотрелась на разводы. Из-за неразделённой любви Васенька собирается уйти из дома, сначала конфликтует с сестрой, потом с отцом. Бурное выяснение отношений отца и сына замечают с улицы Бусыгин и Сильва. Отец идёт поговорить с Натальей, постучавшись в дверь, представляется. Находящиеся рядом Владимир и Семён слышат его имя и по-своему понимают, зачем мужчина пошёл ночью к молодой женщине. Владимиру приходит в голову авантюрная идея — назваться внебрачным сыном хозяина квартиры и таким образом решить проблему с ужином и ночлегом.
Андрей Григорьевич Сарафанов, музыкант-кларнетист, воспитавший без жены двоих детей, сознаётся сыну, что до знакомства с мамой Васеньки и его сестры Нины у музыканта был мимолётный роман с женщиной по имени Галина, и он признаёт в неожиданном госте своего внебрачного сына. Реакция Сарафанова так искренна и трогательна, что во Владимире пробуждается совесть. Кроме того, сам он рос без отца. Он не может обманом отвечать на такое доверие и понимает, что проблемы этой семьи ему небезразличны.
Чтобы скоротать время, Сильва тайком от Васеньки начинает успешно ухаживать за Натальей. Бусыгин влюбляется в Нину, но поскольку он — «брат», то открыто признаться ей не может и мучается, ревнуя её к жениху, авиационному радиоинженеру.
Не выдержав, Владимир признаётся во всём Нине, которая тоже прониклась к нему симпатией. Они размышляют, как об этом сообщить Андрею Григорьевичу. В этот момент появляется Сильва: Васенька, обнаружив его в гостях у Натальи, из ревности пытался поджечь её дом. Между Сильвой и Бусыгиным вспыхивает большая ссора, и Сильва в отместку сообщает отцу Сарафанову правду, перед тем как уйти из их дома. Владимир вынужден во всём сознаться. Андрей Григорьевич наотрез отказывается в это верить, искренне полюбив своего «старшего сына», и прощает ему этот жестокий розыгрыш.</t>
        </is>
      </c>
      <c r="L7132" s="2" t="inlineStr">
        <is>
          <t>https://ru.wikipedia.org/w/index.php?title=%D0%A1%D1%82%D0%B0%D1%80%D1%88%D0%B8%D0%B9_%D1%81%D1%8B%D0%BD_%28%D1%84%D0%B8%D0%BB%D1%8C%D0%BC%2C_1975%29&amp;oldid=155019576</t>
        </is>
      </c>
      <c r="M7132" s="2">
        <f>HYPERLINK("https://ru.wikipedia.org/w/index.php?search=%D0%A1%D1%82%D0%B0%D1%80%D1%88%D0%B8%D0%B9%20%D1%81%D1%8B%D0%BD%201975%20%D1%84%D0%B8%D0%BB%D1%8C%D0%BC","искать")</f>
        <v/>
      </c>
      <c r="N7132" s="3" t="n"/>
      <c r="O7132" s="2" t="n"/>
      <c r="P7132" s="2" t="n"/>
    </row>
    <row r="7133">
      <c r="A7133" s="2" t="n">
        <v>7132</v>
      </c>
      <c r="B7133" s="2" t="inlineStr"/>
      <c r="C7133" s="2" t="n">
        <v>9200</v>
      </c>
      <c r="D7133" s="3" t="inlineStr">
        <is>
          <t>Агенты КГБ тоже влюбляются</t>
        </is>
      </c>
      <c r="E7133" s="2" t="n">
        <v>1991</v>
      </c>
      <c r="F7133" s="2" t="inlineStr">
        <is>
          <t>кинофильм</t>
        </is>
      </c>
      <c r="G7133" s="2" t="n"/>
      <c r="H7133" s="2" t="n">
        <v>2612</v>
      </c>
      <c r="I7133" s="2" t="inlineStr"/>
      <c r="J7133" s="2" t="inlineStr"/>
      <c r="K7133" s="3" t="inlineStr">
        <is>
          <t>Действие фильма начинается в Москве и разворачивается в чилийском Сантьяго в конце 80-х годов двадцатого столетия. Скромный и неприметный Миша трудится на складе КГБ в Москве. Живёт Миша с мамой, бывшим майором КГБ, которая и пристроила сына перед своим уходом на пенсию на сытую и спокойную службу. Шесть лет сын исправно трудился на складе и не помышлял о карьере разведчика. На юбилее мамы подвыпивший начальник заявляет, что дело матери-шпионки должен продолжить её сын, и, протрезвев на следующий день, выходит из неловкой ситуации, назначив своего выдвиженца агентом в не престижном Сантьяго. Мишу срочно направляют в Чили. В самолете он знакомится с Эдиком и поселяется с ним в одном номере гостиницы. Напротив гостиницы в дешевых номерах живёт красавица Паола. Она вынуждена работать в публичном доме, потому что её муж-бездельник Диего не приносит домой ни сантима. После скандала, затеянного ревнивым супругом, она ушла из дома. Миша знакомится с Паолой, помогая ей завести заглохшую машину. День за днем Миша безуспешно пытается дождаться связного в условном месте. Пока он свободен, Эдик просит его поддержать в своем деле. Он собирается вернуть для Морфлота дом в Сантьяго, за которым в советское время было поручено присматривать чилийскому соратнику. Но тот сдал дом в аренду на долгий срок, а арендатор, хозяйка мнимого массажного салона, отказывается выезжать оттуда. Чтобы ублажить посетителей, она представляет Эдику и Мише своих «девочек», среди которых Паола. Девушка, стесняясь, признается Мише, что она только подменяла здесь знакомую, а в действительности строит и продюсирует музыкальную академию. Тем временем Эдик промотал все общие с Мишей деньги, и агент вынужден переселиться в дешёвую комнату в доме напротив, скрывая это от Паолы. Миша хочет помочь ей добыть деньги для строительства академии и строит план ограбления ресторана её жадного спонсора из криминальной среды. Его план с треском проваливается. Но это не разрушает его отношений с Паолой. Они продолжают встречаться. Однажды, к Мише, ожидающему на скамейке Паолу, подсаживается Эдик. Они одновременно начинают петь песню из фильма о разведчиках, которая была условным знаком для встречи со связным. Оба понимают, что они из одной «конторы». Эдик выдает Мише деньги и билеты в Антарктиду, куда его направляют для выполнения следующего задания. По дороге в аэропорт Миша решает вернуться за забытой в комнате гитарой. Там он застает Паолу, которая заглянула сюда, чтобы понять, с кем невидимым за стеной её комнаты у неё с недавних пор сложился слаженный музыкальный дуэт. Молодые люди понимают все и улыбаются друг другу.</t>
        </is>
      </c>
      <c r="L7133" s="2" t="inlineStr">
        <is>
          <t>https://gosfilmofond.ru/films/226089/</t>
        </is>
      </c>
      <c r="M7133" s="2">
        <f>HYPERLINK("https://ru.wikipedia.org/w/index.php?search=%D0%90%D0%B3%D0%B5%D0%BD%D1%82%D1%8B%20%D0%9A%D0%93%D0%91%20%D1%82%D0%BE%D0%B6%D0%B5%20%D0%B2%D0%BB%D1%8E%D0%B1%D0%BB%D1%8F%D1%8E%D1%82%D1%81%D1%8F%201991%20%D1%84%D0%B8%D0%BB%D1%8C%D0%BC","искать")</f>
        <v/>
      </c>
      <c r="N7133" s="3" t="n"/>
      <c r="O7133" s="2" t="n"/>
      <c r="P7133" s="2" t="n"/>
    </row>
    <row r="7134">
      <c r="A7134" s="2" t="n">
        <v>7133</v>
      </c>
      <c r="B7134" s="2" t="inlineStr"/>
      <c r="C7134" s="2" t="n">
        <v>9497</v>
      </c>
      <c r="D7134" s="3" t="inlineStr">
        <is>
          <t>Не спрашивай меня ни о чём</t>
        </is>
      </c>
      <c r="E7134" s="2" t="n">
        <v>1991</v>
      </c>
      <c r="F7134" s="2" t="inlineStr">
        <is>
          <t>кинофильм</t>
        </is>
      </c>
      <c r="G7134" s="2" t="n"/>
      <c r="H7134" s="2" t="n">
        <v>2615</v>
      </c>
      <c r="I7134" s="2" t="inlineStr"/>
      <c r="J7134" s="2" t="inlineStr"/>
      <c r="K7134" s="3" t="inlineStr">
        <is>
          <t>Российский город конца 80-х годов. К одном из домов плавно подъезжает машина. За рулём сидит симпатичная молоденькая блондинка. Снаружи машину толкает уже не молодой мужчина. Девушка срывается с места и убегает в дом, где в комнате её поджидает юноша. Она забежала на минуту, чтобы покормить рыбок, поэтому уговоры остаться с ним, её приятелем Пашей, на Свету не действуют. Она возвращается в машину к Кириллу. Парочка едет к нему домой. Он – старый холостяк и живёт в квартире один. Мужчина готовит на скорую руку скудный ужин и разливает по рюмкам спирт. Света отказывается пить и сообщает мужчине, что она беременна. Мужчина пьет спирт рюмка за рюмкой и засыпает на диване. Света возвращается в свою комнату, которую она снимает у хозяйки, где снова застаёт своего приятеля. Слово за слова она сообщает Паше, что беременна. Паша растерян, так как в ближайшие планы студента не входило стать отцом. На следующий день Кирилл сообщает своему другу-медику, что его подруга беременна от него, на что тот заявляет, что этого не может быть. Кирилл - физик-ядерщик. Много лет назад во время экспериментов он получил сильное облучение и с тех пор не дееспособен. Света хочет выйти замуж за Кирилла, но тот сомневается в её любви. Тогда она просит Пашу, с которым тоже состоит в любовной связи, сдать анализ на отцовство, чтобы потом поменять местами результаты анализов обоих. Паша любит Свету, но он – нищий студент, с которым она не хочет связывать свою жизнь. Кирилл готов простить измену Свете, стать её мужем и отцом её ребёнка. Это показное великодушие задевает Свету, так как она упорно продолжает утверждать, что именно Кирилл – отец её будущего ребёнка. Кирилл приглашает Свету в Ригу на выходные, где он делает ей предложение стать его женой. Вернувшись после поездки в Прибалтику домой, Света видит в своей комнате Пашу, который собирает её вещи. Он снял квартиру, чтобы жить там вместе с ней, а в скором будущем и с ребёнком. Света сообщает Павлу, что выходит замуж за Кирилла. Подменив анализ, она пытается опять убедить Кирилла, что это его ребёнок, в ответ на что он с горечью вопрошает: «Почему ты мне всё время лжёшь?» Обиженная Света уходит, возвращается в свою съёмную комнату и перестаёт отвечать на звонки Кирилла. Зима. К дверям родильного отделения подходит с букетом цветов Павел. В приёмном отделении он застаёт Кирилла с букетом цветов. В помещение входит Света с новорожденным. Навстречу ей спешат подружки. Не взглянув на встречающих её мужчин, Света с ребёнком и подружки садятся в машину и уезжают. Мужчины остаются на пороге роддома. «Сын?» - спрашивает Павел. «Сын!» - отвечает ему Кирилл.</t>
        </is>
      </c>
      <c r="L7134" s="2" t="inlineStr">
        <is>
          <t>https://gosfilmofond.ru/films/232395/</t>
        </is>
      </c>
      <c r="M7134" s="2">
        <f>HYPERLINK("https://ru.wikipedia.org/w/index.php?search=%D0%9D%D0%B5%20%D1%81%D0%BF%D1%80%D0%B0%D1%88%D0%B8%D0%B2%D0%B0%D0%B9%20%D0%BC%D0%B5%D0%BD%D1%8F%20%D0%BD%D0%B8%20%D0%BE%20%D1%87%D1%91%D0%BC%201991%20%D1%84%D0%B8%D0%BB%D1%8C%D0%BC","искать")</f>
        <v/>
      </c>
      <c r="N7134" s="3" t="n"/>
      <c r="O7134" s="2" t="n"/>
      <c r="P7134" s="2" t="n"/>
    </row>
    <row r="7135">
      <c r="A7135" s="2" t="n">
        <v>7134</v>
      </c>
      <c r="B7135" s="2" t="inlineStr"/>
      <c r="C7135" s="2" t="n">
        <v>9473</v>
      </c>
      <c r="D7135" s="3" t="inlineStr">
        <is>
          <t>Мигранты</t>
        </is>
      </c>
      <c r="E7135" s="2" t="n">
        <v>1991</v>
      </c>
      <c r="F7135" s="2" t="inlineStr">
        <is>
          <t>кинофильм</t>
        </is>
      </c>
      <c r="G7135" s="2" t="inlineStr">
        <is>
          <t>Мосфильм при участии НЦП «ТАЛКА»</t>
        </is>
      </c>
      <c r="H7135" s="2" t="n">
        <v>2619</v>
      </c>
      <c r="I7135" s="2" t="inlineStr"/>
      <c r="J7135" s="2" t="inlineStr"/>
      <c r="K7135" s="3" t="inlineStr">
        <is>
          <t>Конец 90-х годов. В московском ресторане за столиком иностранец с русской девушкой. Когда он отходит на некоторое время, девушка устраивает переполох в зале, напав на посетительницу ресторана, которая назвала её лимитой. Вызвана милиция. Один из посетителей помогает зачинщице стычки покинуть ресторан. Он хочет увезти её домой, но девушка устраивается на ночлег в рейсовом автобусе на стоянке. Парень не может бросить её одну. Милиционер замечает парочку и требует покинуть автобус. Молодых людей забирают в милицию. Когда их поодиночке выпускают, Павлу по ошибке вручают паспорт Полины. Девушка, покидая милицию, забирает паспорт парня, обещая найти его и обменяться с ним паспортами. Павел – дорожный рабочий. Он, как и Полина, приехал в Москву из провинции. Девушка находит нового знакомого и извиняется за то, что втянула его в неприятную историю. Полина оправдывается, что она не проститутка, а мечтает выйти замуж за богатого мужчину или иностранца. В ресторане она была со своим приятелем-турком. После работы Павел и Полина встречаются, чтобы пойти в общежитие Павла за паспортом Полины. Ей нужно отойти во двор ближайшего дома. Там на неё нападает группа ребят. Они пытаются изнасиловать девушку. Паша храбро сражается за Полину. Парочка убегает от преследователей, и они вместе ночуют в общежитии у Павла. Между ними вспыхивает чувство. Но Полина продолжает встречаться с турком, работающим на стройке в Москве. Оскорбленный юноша собирается покинуть Москву и уехать к себе в деревню. Полина увязывается за ним. Мать Павла принимает девушку, как невесту своего сына. Паша уговаривает Полину остаться с ним в деревне. Но девушка говорит, что ненавидит деревенскую нищету, и она будет счастлива жить с Павлом в Москве в собственной комнате. Паша продает мотоцикл, занимает деньги. Они возвращаются в Москву. Полине намекают, чтобы получить комнату через начальника СМУ, к которому она обратилась, ей нужно поступиться своей честью. Она принимает решение расстаться с Павлом и просит отпустить её. Зачинщики драки во дворе, где Паша спасал девушку, пытаются выудить из парня деньги. Когда коллега Павла вступается за него, дворовая компания преследует мужчину и сжигают в закрытом вагончике-бытовке. Чтобы отомстить за друга, Паша вступает в открытое противостояние с дворовой группой. Во время драки кто-то вызывает милицию. Во время захвата дерущихся кто-то из хулиганов зарезал милиционера. Орудие убийства бросили рядом с Павлом, которого окружают милиционеры. Полина прибегает к месту драки. Паша схвачен. Девушка в отчаянии взывает к милиционерам: «Это ошибка! Что вам от нас нужно? Оставьте нас в покое!»</t>
        </is>
      </c>
      <c r="L7135" s="2" t="inlineStr">
        <is>
          <t>https://gosfilmofond.ru/films/232386/</t>
        </is>
      </c>
      <c r="M7135" s="2">
        <f>HYPERLINK("https://ru.wikipedia.org/w/index.php?search=%D0%9C%D0%B8%D0%B3%D1%80%D0%B0%D0%BD%D1%82%D1%8B%201991%20%D1%84%D0%B8%D0%BB%D1%8C%D0%BC","искать")</f>
        <v/>
      </c>
      <c r="N7135" s="3" t="n"/>
      <c r="O7135" s="2" t="n"/>
      <c r="P7135" s="2" t="n"/>
    </row>
    <row r="7136">
      <c r="A7136" s="2" t="n">
        <v>7135</v>
      </c>
      <c r="B7136" s="2" t="inlineStr"/>
      <c r="C7136" s="2" t="n">
        <v>9099</v>
      </c>
      <c r="D7136" s="3" t="inlineStr">
        <is>
          <t>Террористка</t>
        </is>
      </c>
      <c r="E7136" s="2" t="n">
        <v>1991</v>
      </c>
      <c r="F7136" s="2" t="inlineStr">
        <is>
          <t>кинофильм</t>
        </is>
      </c>
      <c r="G7136" s="2" t="n"/>
      <c r="H7136" s="2" t="n">
        <v>2620</v>
      </c>
      <c r="I7136" s="2" t="inlineStr"/>
      <c r="J7136" s="2" t="inlineStr"/>
      <c r="K7136" s="3" t="inlineStr">
        <is>
          <t>Это могло случиться в любом городе. Поздним вечером в подъезде дома мужчина встречает девушку, насквозь промокшую под сильным дождем. Она просит пустить её в квартиру, чтобы позвонить тёте. Виктору под пятьдесят, он серьезный мужчина, не ищет никаких приключений, и сначала отказывает незнакомке. Но её жалкий вид размягчает сердце мужчины, и он впускает её в квартиру. Девушка быстро осваивается, делает вид, что не может дозвониться до тети, и забирается в теплую постель, великодушно позволяя мужчине войти в его же комнату. Пытаясь избавиться от незваной гостьи, Виктор звонит знакомой и просит её устроить номер в гостинице для незнакомки. Но девица отказывается освобождать квартиру, потому что у неё нет паспорта, нужного для размещения в гостинице. Виктор настаивает, чтобы незнакомка поехала к тете, но та признается, что у неё нет никакой тетки, а к Виктору она пришла, чтобы уничтожить его за прошлые грехи. Она провоцирует его на скандал, и он, не выдержав, бьет её по голове, так что девица теряет сознание. Террористка приходит в себя и заявляет Виктору, что он её изнасиловал, воспользовавшись её беспомощностью. Хозяин квартиры возмущен её наглостью и беспочвенными обвинениями. В дверь звонят. Пришел новый участковый Козлов знакомиться с жильцами. Незнакомка стонет и заявляет, что её изнасиловали. Милиционер надевает на Виктора наручники. Чтобы не навлечь на себя неприятности и избавиться от незнакомки, хозяин квартиры отдает девице все деньги, что есть в доме, и выпроваживает террористку из квартиры под бдительным присмотром милиционера. За пределами квартиры девушка заявляет мнимому милиционеру, что она не хочет больше участвовать в подобных аферах. Козлов пытается вразумить сообщницу, что поодиночке в этой жизни не выжить. Но Люся возвращается в квартиру к Виктору и заявляет, что он должен просить её остаться, потому что не сможет жить без нее. Девушка рассказывает, что несколько лет назад, когда Виктор был в их городе в командировке, она работала в гостинице горничной, а он её соблазнил. После ночи, проведенной вместе, они расстались. Люся не хотела жить, но будущий сообщник по аферам спас её. Девушка не могла простить Виктора и мечтала о мести. Но сегодня чувства вернулись к ним обоим и они, лежа в постели, стали мечтать о совместном будущем. Только вот нужно помочь ей выбраться из ситуации, в которую жизнь загнала девушку. В дверь звонят опять. Вернулся мнимый милиционер, чтобы забрать девушку, якобы, для установления личности и выводит Люсю из квартиры. На площадке она бросается в пролет между лестницами и разбивается. Шокированный Виктор сидит, обхватив голову руками.</t>
        </is>
      </c>
      <c r="L7136" s="2" t="inlineStr">
        <is>
          <t>https://gosfilmofond.ru/films/232516/</t>
        </is>
      </c>
      <c r="M7136" s="2">
        <f>HYPERLINK("https://ru.wikipedia.org/w/index.php?search=%D0%A2%D0%B5%D1%80%D1%80%D0%BE%D1%80%D0%B8%D1%81%D1%82%D0%BA%D0%B0%201991%20%D1%84%D0%B8%D0%BB%D1%8C%D0%BC","искать")</f>
        <v/>
      </c>
      <c r="N7136" s="3" t="n"/>
      <c r="O7136" s="2" t="n"/>
      <c r="P7136" s="2" t="n"/>
    </row>
    <row r="7137">
      <c r="A7137" s="2" t="n">
        <v>7136</v>
      </c>
      <c r="B7137" s="2" t="inlineStr"/>
      <c r="C7137" s="2" t="n">
        <v>13014</v>
      </c>
      <c r="D7137" s="3" t="inlineStr">
        <is>
          <t>Смысл жизни</t>
        </is>
      </c>
      <c r="E7137" s="2" t="n">
        <v>1987</v>
      </c>
      <c r="F7137" s="2" t="inlineStr">
        <is>
          <t>мультфильм</t>
        </is>
      </c>
      <c r="G7137" s="2" t="inlineStr">
        <is>
          <t>КАЗАХФИЛЬМ</t>
        </is>
      </c>
      <c r="H7137" s="2" t="n">
        <v>2635</v>
      </c>
      <c r="I7137" s="2" t="inlineStr"/>
      <c r="J7137" s="2" t="inlineStr"/>
      <c r="K7137" s="3" t="inlineStr">
        <is>
          <t>Фильм посвящен памяти Усмана Юсупова, крупного деятеля Коммунистической партии и советского руководителя.
Конец 30-х годов XX века. Усман Юсупов, первый секретарь ЦК Компартии Узбекистана, вызван в Москву. Его принимает в своем кабинете Сталин. Вождь ставит перед посланцем среднеазиатской республики стратегическую задачу — в кратчайшие сроки республика должна стать главным производителем хлопка, а для этого необходима вода. Многое приходится преодолевать Усману для достижения поставленной цели, и очень важно развеять в душах людей поселившийся страх из-за волны арестов — органы НКВД ежедневно разоблачают «врагов народа». Опасения за судьбу самого Юсупова высказывают и старенькая мать, и жена Юлия. Единственное, что может ответить в такой ситуации Усман — надо работать и сделать все, чтобы вода пришла в Ферганскую долину. Усман хорошо помнит годы своего батраческого детства, на всю жизнь он понял: отсутствие в селениях воды — это беспросветная нищета. Однажды бай Халиламин пришел в бедное жилище Юсуповых, собираясь простить им долги, но взамен запросил в жены Назиру, двенадцатилетнюю сестру Усмана. И отец, и мать смирились было с участью дочери, но за сестру вступился Усман — семейство покинуло родной аул, но не поступилось достоинством... Со всех концов огромной страны съезжаются ученые и простые рабочие строить канал, который должен пройти через Узбекистан, Таджикистан и Киргизию. Зорко наблюдает Сталин за стараниями Юсупова, выслушивает его доклады, вникает в каждую деталь строительства. Огромный человеческий муравейник трудится на канале, люди работают денно и нощно, сам Усман нередко берет в руки кетмень. За 45 дней канал длиной в 270 километров построен!.. Начавшаяся война ставит перед республикой и ее руководителем новые задачи. В нелегких условиях Юсупов проявляет себя не только как руководитель государственного масштаба, но и как человек, неравнодушный к людскому горю. Рискуя быть строго наказанным, Юсупов настаивает на том, чтобы часть хлопковых полей засеяли зерновыми культурами - необходимо спасти от голода тех, кто в годы войны обрел пристанище в Узбекистане, стал поднимать военные заводы, Фархадскую ГЭС... 50-е годы резко меняют судьбу Юсупова. Последним местом его работы становится небольшой совхоз «Баяут». Снятый с поста первого секретаря, а затем и с поста Председателя Совета Министров республики, Юсупов отвечает отказом перейти на дипломатическую должность и уезжает в отстающее хозяйство, которое вскоре выводит в передовые. Столкновение с жизненными неурядицами не ломают характер волевого, честного и самоотверженного человека Усмана Юсупова. Таким он и запоминается людям.</t>
        </is>
      </c>
      <c r="L7137" s="2" t="inlineStr">
        <is>
          <t>https://gosfilmofond.ru/films/239476/</t>
        </is>
      </c>
      <c r="M7137" s="2">
        <f>HYPERLINK("https://ru.wikipedia.org/w/index.php?search=%D0%A1%D0%BC%D1%8B%D1%81%D0%BB%20%D0%B6%D0%B8%D0%B7%D0%BD%D0%B8%201987%20%D1%84%D0%B8%D0%BB%D1%8C%D0%BC","искать")</f>
        <v/>
      </c>
      <c r="N7137" s="3" t="n"/>
      <c r="O7137" s="2" t="n"/>
      <c r="P7137" s="2" t="n"/>
    </row>
    <row r="7138">
      <c r="A7138" s="2" t="n">
        <v>7137</v>
      </c>
      <c r="B7138" s="2" t="inlineStr"/>
      <c r="C7138" s="2" t="n">
        <v>9383</v>
      </c>
      <c r="D7138" s="3" t="inlineStr">
        <is>
          <t>И возвращается ветер...</t>
        </is>
      </c>
      <c r="E7138" s="2" t="n">
        <v>1991</v>
      </c>
      <c r="F7138" s="2" t="inlineStr">
        <is>
          <t>кинофильм</t>
        </is>
      </c>
      <c r="G7138" s="2" t="n"/>
      <c r="H7138" s="2" t="n">
        <v>2650</v>
      </c>
      <c r="I7138" s="2" t="inlineStr"/>
      <c r="J7138" s="2" t="inlineStr"/>
      <c r="K7138" s="3" t="inlineStr">
        <is>
          <t>Июнь 1989 года. В Москву из Израиля прилетает Михаил Калик. После встречи со старыми друзьями он едет на еврейское кладбище к могиле родителей Наума и Лизы. Перед его глазами проходит детство: домашние праздники, когда приезжала мамина сестра Катя, которая была замужем за видным государственным чиновником, знакомство с сестрой отца Маней, прилетевшей из Нью-Йорка со своим мужем-американцем и сыном. Патриотично настроенного Мишу волновало тогда, «красные» ли их родственники из США или буржуи. Тётя шутила, что они приехали помочь быстрее построить социализм, чтобы всем жилось хорошо. Мальчику довелось видеть торжественный проезд челюскинцев по Москве, играть в оборону Мадрида от фашистов. Всей семьей они ездили к Чёрному морю, и маленькому Мише казалось, что впереди его ждёт только радость. Но в 37-м он пережил первую семейную трагедию, когда тётя Катя, молодая, жизнерадостная женщина покончила с собой не пережив арест любимого мужа. В 41-м началась война, и семья Калик была отправлена в эвакуацию в Алма-Ату. Они работали в концертной бригаде и выступали в военных госпиталях. Здесь впервые подросток Михаил попал на съемки фильма «Иван Грозный», где отец представил его самому Черкасову, с которым когда-то работал в мюзик-холле. Кинопроцесс заворожил Мишу. И после окончания войны он поступил учиться во ВГИК. За свободные высказывания его арестовывают, осуждают и направляют по этапу в Сибирь. После смерти Сталина Калика реабилитируют, и он возвращается в Москву. Ректор ВГИКа получает приказ Минкульта восстановить его в институте и делает это вопреки собственным убеждениям, что бывший заключенный не способен снимать фильмы, которые будут вдохновлять народ на строительство коммунизма. В 58-м году Михаил снимает фильм «Атаман кодр», который подвергается жёсткой критике. А в 61-м году его светлый фильм «Человек идёт за солнцем» осуждают в ЦК партии за то, что режиссер уводит народ от целей, а солнце в его фильме, якобы, символизирует стремление на Запад. Калик не выдерживает и уходит прямо с заседания комитета. Чаша его терпения переполнена. Он вспоминает слова мамы, которая ещё в детстве видела, как он отстаивал свои права в общении со взрослыми. Тогда она сказала ему, школьнику: «Боже, как же ты будешь жить в этом поганом мире!» Он понимает, что больше не может жить в стране, где не имеет свободы творческого самовыражения. Он завершает свой последний фильм «Цена» в 69-м году. И в этом же году, 22-летия создания еврейского государства он принимает решение уехать в Израиль вместе с женой и 2-мя детьми-подростками. 14 ноября 1971 года его взору открывается панорама Москвы с высоты самолета, отлетающего в Израиль.</t>
        </is>
      </c>
      <c r="L7138" s="2" t="inlineStr">
        <is>
          <t>https://gosfilmofond.ru/films/232330/</t>
        </is>
      </c>
      <c r="M7138" s="2">
        <f>HYPERLINK("https://ru.wikipedia.org/w/index.php?search=%D0%98%20%D0%B2%D0%BE%D0%B7%D0%B2%D1%80%D0%B0%D1%89%D0%B0%D0%B5%D1%82%D1%81%D1%8F%20%D0%B2%D0%B5%D1%82%D0%B5%D1%80...%201991%20%D1%84%D0%B8%D0%BB%D1%8C%D0%BC","искать")</f>
        <v/>
      </c>
      <c r="N7138" s="3" t="n"/>
      <c r="O7138" s="2" t="n"/>
      <c r="P7138" s="2" t="n"/>
    </row>
    <row r="7139">
      <c r="A7139" s="2" t="n">
        <v>7138</v>
      </c>
      <c r="B7139" s="2" t="inlineStr"/>
      <c r="C7139" s="2" t="n">
        <v>9039</v>
      </c>
      <c r="D7139" s="3" t="inlineStr">
        <is>
          <t>Семьянин</t>
        </is>
      </c>
      <c r="E7139" s="2" t="n">
        <v>1991</v>
      </c>
      <c r="F7139" s="2" t="inlineStr">
        <is>
          <t>кинофильм</t>
        </is>
      </c>
      <c r="G7139" s="2" t="n"/>
      <c r="H7139" s="2" t="n">
        <v>2662</v>
      </c>
      <c r="I7139" s="2" t="inlineStr"/>
      <c r="J7139" s="2" t="inlineStr"/>
      <c r="K7139" s="3" t="inlineStr">
        <is>
          <t>Российский городок середины 80-х. Утро. Заботливая жена собирает Васю - водителя-дальнобойщика в очередной рейс. Он едет с новым напарником Степаном. Этот человек неприятен Василию уже потому, что дважды разведён. Вася уважает в людях надёжность, верность, основательность и сам является примерным семьянином. В дороге Степан берет в кабину то одну, то другую женщину, и ночи проводит со случайными попутчицами. Василий упрекает напарника, за то, что тот морочит голову женщинам. Сам он думает о семье и хлопочет, чтобы купить подарки для жены и детей. Новое утро. Васю ласково будит другая женщина. И опять он сожалеет, что ему не хочется уезжать из дома, и опять курица в дорогу, приготовленная заботливыми женскими руками. В дороге Вася поучает Степана, что брак – это ответственность, и если не повезло с женой, то нужно терпеть, стараться для семьи. С женой надёжно, как в банке. Следующим утром Васю будит третья жена. Лёгкая заминка, чтобы вспомнить имя женщины, а потом всё, как и прежде: забота, ласка, сожаление, что любимый муж редко бывает дома. Новое утро с другой женой. Только вот жалуется Вася любимой, что очень устал и нет сил исполнять супружеский долг. Феня ревнует: днём мужа везёт машина, а чем он занят ночами? Василий усмиряет ревность женщины ремнём. И к той возвращается вера в любовь: бьет, значит любит. В дороге машина ломается, и водители ставят её на ремонт. Вася отправляет телеграммы одинакового содержания в разные концы страны о том, что он задерживается. После следующей ночёвки в Питере утром Вася зовёт Веру, находясь в доме Лизы. Разгорается скандал, и Елизавета прогоняет супруга. Он расстроен, но вокруг столько женщин, которым пора замуж которым нужны его любовь и забота. Василий готов любить любую, только бы хватило сил. Лиза не может простить измену. Она преследует его по пятам и убеждается, что Вася многоженец. По пути к ней присоединяются обманутые жены, чтобы, в конце концов, вместе наказать обманщика. Настигнув Васю, все десять жен с детьми устраивают суд над неверным мужем. Его защитником выступает напарник. Степа объясняет женщинам, что Василий мог бы сделать счастливыми любую из советских женщин. В чем его вина? В заботе, ласке и любви? Таких героических мужчин нужно награждать, а не казнить. После пламенной речи Степана одна из жен предлагает простить Васю и жить мирно всем вместе. В своем ответном слове Василий признается, что любил каждую из жён и каждой был хорошим мужем. Женщины поразмышляв, решают, что лучше, если Вася будет у них под присмотром. Если он уйдет, то попадет в руки к чужой женщине. Вася прощён и отправляется в новый рейс, где его ждут ласковые и заботливые любимые женщины.</t>
        </is>
      </c>
      <c r="L7139" s="2" t="inlineStr">
        <is>
          <t>https://gosfilmofond.ru/films/232501/</t>
        </is>
      </c>
      <c r="M7139" s="2">
        <f>HYPERLINK("https://ru.wikipedia.org/w/index.php?search=%D0%A1%D0%B5%D0%BC%D1%8C%D1%8F%D0%BD%D0%B8%D0%BD%201991%20%D1%84%D0%B8%D0%BB%D1%8C%D0%BC","искать")</f>
        <v/>
      </c>
      <c r="N7139" s="3" t="n"/>
      <c r="O7139" s="2" t="n"/>
      <c r="P7139" s="2" t="n"/>
    </row>
    <row r="7140">
      <c r="A7140" s="2" t="n">
        <v>7139</v>
      </c>
      <c r="B7140" s="2" t="inlineStr"/>
      <c r="C7140" s="2" t="n">
        <v>9715</v>
      </c>
      <c r="D7140" s="3" t="inlineStr">
        <is>
          <t>Уставшие</t>
        </is>
      </c>
      <c r="E7140" s="2" t="n">
        <v>1991</v>
      </c>
      <c r="F7140" s="2" t="inlineStr">
        <is>
          <t>кинофильм</t>
        </is>
      </c>
      <c r="G7140" s="2" t="n"/>
      <c r="H7140" s="2" t="n">
        <v>2671</v>
      </c>
      <c r="I7140" s="2" t="inlineStr"/>
      <c r="J7140" s="2" t="inlineStr"/>
      <c r="K7140" s="3" t="inlineStr">
        <is>
          <t>90-е годы 20-го века. Комната в городской коммуналке. В постели женщина с молодым человеком. Утром на кухне бабушка стыдит Аллу, что она не подходит к телефону, когда звонит её муж, а старухе приходится лгать ему, что внучка ухаживает за нею, немощной. Любовник Аллочки Сергей – врач в поликлинике. Ему скучна и не интересна жизнь, так что хочется бросить все и уехать «в Багдад».
Картина меняется. Прибрежная деревушка. В бедном домике в кровати двое: мужчина и женщина. В комнату врываются вооруженные мужчины: то ли банда, то ли революционный отряд. По форме захваченного мужчины видно, что он русский офицер. Дом грабят, офицера избивают и сажают в сарай на привязь. Ночью немая женщина забирается в постель уже к комиссару.
Современный город. Сергея избивают в трамвае хулиганы. Он пишет заявление в милицию и отправляется домой. Там он перебирает какие-то письма, находит старую фотографию, на которой молодой мужчина в дореволюционной офицерской форме похожий на него. Сергей хватает со стены и обнажает саблю, затем, успокоившись, бормочет: «Бред!» Он отправляется к Алле. Её бабушка сообщает, что к внучке приехал муж. Она укоряет Сергея, что он ничего не сделал, чтобы отношения с её внучкой стали серьезными. Бабушка предлагает мужчине поступить так, как поступил бы его дед-офицер, который был, по её словам, рафинированным интеллигентом.
Ночь. Сарай возле дома. Комиссар и белый офицер после потасовки успокаиваются и знакомятся. Владимир Георгиевич и Николай Степанович – оба бывшие офицеры царской армии. Все смешалось: белые-красные, красные-белые. Комиссар жалуется пленнику, что в его «войске» всего 3 человека, да и патронов у них нет. Спустя некоторое время невольные спутники обедают вместе в ресторане. Комиссар агитирует деда Сергея податься к большевикам.
Сергей знает судьбу обоих: через 11 лет после знакомства деда и его приятеля расстреляют только за то, что они не верили в коммунизм. Сергей возбужден: «И вот сейчас какое-то быдло бьет меня только потому, что в 21-ом году мой дед не поставил на место люмпена!» К Сергею приходит участковый милиционер с красным флагом «под шафе» знакомиться. Он наливает себе и милиционеру по рюмке водки «голову поправить». Выпив, мужчины ссорятся. Милиционер обзывает Сергея и уходит, забрав свой флаг. Сергей смотрит на портрет деда.
Море, чайки. Комиссар купается и разговаривает с пленным: «Рядом Турция, но кто её, Россию спасать будет, кроме нас с тобой?» Через 11 лет с разницей в 4 дня их расстреливают, как врагов народа. В постели Сергей с раной от пули на виске такой, какая была у деда. Образ деда исчезает с фотографии. На столе записка Сергея: «Я устал. В смерти моей прошу никого не винить».</t>
        </is>
      </c>
      <c r="L7140" s="2" t="inlineStr">
        <is>
          <t>https://gosfilmofond.ru/films/232277/</t>
        </is>
      </c>
      <c r="M7140" s="2">
        <f>HYPERLINK("https://ru.wikipedia.org/w/index.php?search=%D0%A3%D1%81%D1%82%D0%B0%D0%B2%D1%88%D0%B8%D0%B5%201991%20%D1%84%D0%B8%D0%BB%D1%8C%D0%BC","искать")</f>
        <v/>
      </c>
      <c r="N7140" s="3" t="n"/>
      <c r="O7140" s="2" t="n"/>
      <c r="P7140" s="2" t="n"/>
    </row>
    <row r="7141">
      <c r="A7141" s="2" t="n">
        <v>7140</v>
      </c>
      <c r="B7141" s="2" t="inlineStr"/>
      <c r="C7141" s="2" t="n">
        <v>9635</v>
      </c>
      <c r="D7141" s="3" t="inlineStr">
        <is>
          <t>Седая легенда</t>
        </is>
      </c>
      <c r="E7141" s="2" t="n">
        <v>1991</v>
      </c>
      <c r="F7141" s="2" t="inlineStr">
        <is>
          <t>кинофильм</t>
        </is>
      </c>
      <c r="G7141" s="2" t="n"/>
      <c r="H7141" s="2" t="n">
        <v>2673</v>
      </c>
      <c r="I7141" s="2" t="inlineStr"/>
      <c r="J7141" s="2" t="inlineStr"/>
      <c r="K7141" s="3" t="inlineStr">
        <is>
          <t>Молодые шляхтичи на охоте. С ними юная девушка. Она загадывает желание, чтобы её полюбил кто-то из них двоих. Спустя несколько лет в замке за крепостной стеной свадьба. Князь Кизгайла женится на подруге юности Любке из знатного рода. Вокруг крепости неспокойно. Чернь захватывает и грабит города, убивает мирных жителей. На свадьбу приезжает долгожданный гость, друг юности молодожёнов Роман Рукутович. Он дарит другу доброго коня, а Кизгайла в ответ предлагает выбрать Роману что угодно из его собственности. Рукутович просит продать ему девку Ирину, молодую красавицу из челяди, которая когда-то вынесла его раненого с поля боя. Он хочет дать ей свободу и жениться на ней. Но Любка, в тайне любящая Романа, под предлогом, что кровь шляхтичей нельзя смешивать с хамской кровью, заставляет мужа отказать другу. После отъезда Рукутовича Любка ставит в упрёк Ирине, что та метит слишком высоко. Хозяйка избивает девушку, приказывает заточить её в башню и посадить на хлеб и воду. Любка подначивает мужа, что у Романа слава, уважение короля и войско, которое ему доверил канцлер, а у Кизгайла ничего этого нет. Канцлер ставит Кизгайла во главе шляхты и тот клянется Любке уничтожить своего старого друга, пользуясь данной ему властью. Он приказывает своим воинам разорить владения Романа, а самого его притащить на аркане к его ногам. Рутковича, заставшего свою вотчину разорённой войском бывшего друга, захватывает отряд черни, расположившийся в его владениях. Предводитель восставших, прослышавший о князе Рутковиче, как о славном воине, предлагает ему вступить в свой отряд. Он просит Романа обучать крестьян воинскому умению и помочь разработать план захвата крепости Кизгайла. Прознав, что Роман влился в ряды холопов, Кизгайла решает показательно отдать на растерзание своим приближённым девичью честь Ирины. Но местный священник объявляет её ведьмой и убеждает князя, что суд над ней может вершить только святая инквизиция, для чего Ирину отправляют в столицу королевства. После нескольких атак отряду восставшего народа во главе с Романом удается ворваться в крепость. Он выходит на открытую схватку с Кизгайла и убивает его. Вдова Любка признается Роману, что всегда любила его. Но он отвергает её любовь. Узнав, что Ирину под конвоем увезли в город короля, Рутукович бросается следом. В столице его схватывают и судят, как предателя. Опомнившаяся Любка свидетельствует суду, что Роман не преступник, он защищал свою любовь и победил Кизгайла в честном бою. Романа и Ирину освобождают, но Роману отрубают руки, а Ирине выкалывают глаза. Покалеченные, они не отступаются друг от друга. Зима. Одинокая Любка бредёт по пустынному полю. Навстречу ей смерть на белом коне.</t>
        </is>
      </c>
      <c r="L7141" s="2" t="inlineStr">
        <is>
          <t>https://gosfilmofond.ru/films/232446/</t>
        </is>
      </c>
      <c r="M7141" s="2">
        <f>HYPERLINK("https://ru.wikipedia.org/w/index.php?search=%D0%A1%D0%B5%D0%B4%D0%B0%D1%8F%20%D0%BB%D0%B5%D0%B3%D0%B5%D0%BD%D0%B4%D0%B0%201991%20%D1%84%D0%B8%D0%BB%D1%8C%D0%BC","искать")</f>
        <v/>
      </c>
      <c r="N7141" s="3" t="n"/>
      <c r="O7141" s="2" t="n"/>
      <c r="P7141" s="2" t="n"/>
    </row>
    <row r="7142">
      <c r="A7142" s="2" t="n">
        <v>7141</v>
      </c>
      <c r="B7142" s="2" t="inlineStr"/>
      <c r="C7142" s="2" t="n">
        <v>9763</v>
      </c>
      <c r="D7142" s="3" t="inlineStr">
        <is>
          <t>Шальная баба</t>
        </is>
      </c>
      <c r="E7142" s="2" t="n">
        <v>1991</v>
      </c>
      <c r="F7142" s="2" t="inlineStr">
        <is>
          <t>кинофильм</t>
        </is>
      </c>
      <c r="G7142" s="2" t="n"/>
      <c r="H7142" s="2" t="n">
        <v>2675</v>
      </c>
      <c r="I7142" s="2" t="inlineStr"/>
      <c r="J7142" s="2" t="inlineStr"/>
      <c r="K7142" s="3" t="inlineStr">
        <is>
          <t>В одном из городов России в шальное время девяностых годов 20 века живёт молодая семья: муж Лёша, жена Шура и их сын-школьник. Шура работает в городском справочном центре. Лёша зарабатывает на жизнь тем, что пишет картины и продает их. Пару пригласил в гости богатый клиент, который купив у Алексея картины, оставил ему на хранение какую-то папку. Супруги идут в гости без папки. В доме Шура обращает внимание на подростка, прекрасно играющего на пианино. Он капризничает и заявляет седовласому мужчине, что без настройщика Осипова за пианино больше не сядет. Хозяин дома Роман Витальевич Самсонов напоминает Лёше, что он должен был принести красную папку. Алексей обещает найти её дома и передать. Супруги перерывают всю квартиру, но безуспешно. Самсонов – видное лицо в криминальном мире, и расплата за потерю папки следует незамедлительно. Во время прогулки во дворе пропадает сын Алексея Кирилл. От родителей по телефону требуют папку или 200 тысяч долларов в обмен на сына. Шура просит назначить ей встречу. Не получив выкупа, связной убегает и роняет пакет с пистолетом, который подбирает Шура. На новой встрече со связником она под угрозой пистолета узнает место за городом, где находится её сын. Поздно вечером Шура приезжает к одиноко стоящему дому и прячет пистолет под крыльцом. В доме слышны детские голоса. Женщина входит в дом, а там её поджидают бандиты. Голос сына был на магнитофонной записи. Избив женщину, бандиты выбрасывают её на крыльцо. Придя в себя, Шура отыскивает пистолет и расстреливает бандитов. Она звонит по телефону другу семьи, который приезжает и увозит её в город. Лёша тем временем безуспешно пытается найти Романа Витальевича. Вечером Самсонов в сопровождении бандитов сам является на квартиру Лёши. Художника избивают и выволакивают на улицу. Шура успевает подоспеть на помощь и расстреливает бандитов. Самсонов пытается сбежать, но его машина взрывается, и главарь погибает. Шура ищет любую зацепку, чтобы найти след пропавшего сына. Вспомнив фамилию настройщика пианино «Осипов», о котором говорили в гостях, она находит в справочной базе у себя на работе его телефон. Позвонив настройщику, Шура узнает адрес седовласого клиента с редкой дорогой маркой фортепьяно. Утром она едет за город, бесстрашно входит в усадьбу и видит там своего сына, спокойно играющего в саду. На террасу выходит седовласый хозяин дома. Он сообщает женщине, что папку нашли в школьном портфеле у Кирилла, и дает распоряжение своему водителю, отвезти Шуру и Кирилла в город. По дороге мальчик вспоминает, что забыл в усадьбе ранец, но мама категорически отказывается вернуться за ним. Шура останавливает машину и увлекает сына за собой по направлению к городу.</t>
        </is>
      </c>
      <c r="L7142" s="2" t="inlineStr">
        <is>
          <t>https://gosfilmofond.ru/films/232563/</t>
        </is>
      </c>
      <c r="M7142" s="2">
        <f>HYPERLINK("https://ru.wikipedia.org/w/index.php?search=%D0%A8%D0%B0%D0%BB%D1%8C%D0%BD%D0%B0%D1%8F%20%D0%B1%D0%B0%D0%B1%D0%B0%201991%20%D1%84%D0%B8%D0%BB%D1%8C%D0%BC","искать")</f>
        <v/>
      </c>
      <c r="N7142" s="3" t="n"/>
      <c r="O7142" s="2" t="n"/>
      <c r="P7142" s="2" t="n"/>
    </row>
    <row r="7143">
      <c r="A7143" s="2" t="n">
        <v>7142</v>
      </c>
      <c r="B7143" s="2" t="inlineStr"/>
      <c r="C7143" s="2" t="n">
        <v>11278</v>
      </c>
      <c r="D7143" s="3" t="inlineStr">
        <is>
          <t>Самоубийца</t>
        </is>
      </c>
      <c r="E7143" s="2" t="n">
        <v>1989</v>
      </c>
      <c r="F7143" s="2" t="inlineStr">
        <is>
          <t>фильм-спектакль</t>
        </is>
      </c>
      <c r="G7143" s="2" t="inlineStr">
        <is>
          <t>Гл. ред. лит-драм программ</t>
        </is>
      </c>
      <c r="H7143" s="2" t="n">
        <v>2682</v>
      </c>
      <c r="I7143" s="2" t="inlineStr"/>
      <c r="J7143" s="2" t="inlineStr"/>
      <c r="K7143" s="3" t="inlineStr">
        <is>
          <t>Маленький человек Семён Семёнович Подсекальников (Сергей Шакуров) живёт на иждивении жены, «измученной женщины», которой однажды ночью устраивает «пантомиму» на тему ливерной колбасы. Проснувшись и не обнаружив мужа рядом, Мария Лукьяновна (Ирина Бякова) воображает себе, что он собрался покончить с собой. О происшествии ставят в известность Калабушкина (Леонид Куравлёв), соседа Подсекальниковых по коммунальной квартире. Калабушкин требует от Подсекальникова сдать оружие, которого у него нет, а затем сам же подкладывает ему в пальто револьвер. Слух о предстоящем самоубийстве Подсекальникова распространяется стремительно, жильцы «дома коммунистического быта» наперебой предлагают ему застрелиться не просто так, а во имя чего-то. Назначив дату и время самоубийства, жильцы никак не могут договориться между собой, во имя чего же всё-таки застрелиться Подсекальникову.
В день предстоящего самоубийства заинтересованные в этом лица устраивают шикарный банкет с цыганами. Наконец-то Подсекальников впервые в жизни никого не боится и может говорить и делать, что хочет, ведь всё равно умирать. В изрядном подпитии он даже звонит в Кремль: «Я Маркса прочёл и Маркс мне не понравился. Повесили трубку — меня испугался Кремль!». В назначенное время Подсекальников прощается со всеми присутствующими и удаляется, прихватив бутылку «для храбрости». Он готовится к самоубийству — занавешивает зеркала, кладёт венок на свой гроб, но в последний момент ему не хватает решительности. Услышав приближение жильцов, Подсекальников ложится в гроб, притворившись мёртвым, и выслушивает панегирики на собственной панихиде и соболезнования безутешной «вдове». Наконец, он не выдерживает этого представления и «воскресает». Подсекальников передумал, теперь он уже не хочет умирать ни за кого: «Все ваши достижения оставьте себе, а мне дайте тихую жизнь и приличную зарплату. Нам трудно жить, разрешите нам это говорить хотя бы шёпотом». Оскорблённые в лучших чувствах граждане понимают, что их обманули, и требуют от Подсекальникова возместить расходы или довести задуманное до конца. В ответ Подсекальников предлагает вместо себя застрелиться любому из присутствующих. В итоге ему приходится спасаться бегством, следом за ним гонятся возмущённые жильцы.
Заканчивается фильм символично: в последних сценах герои бегут по улицам Москвы 1990 года, проходя мимо митингов только разрешённых новых политических партий: демократов, националистов и т.д. Вслед героям оборачиваются участники этих митингов — все они оказываются с лицами главного героя, «подсекальниковыми».
Действие фильма чередуется с музыкальными номерами, в которых звучат сатирические куплеты в исполнении конферансье (Валентин Гафт).</t>
        </is>
      </c>
      <c r="L7143" s="2" t="inlineStr">
        <is>
          <t>https://ru.wikipedia.org/w/index.php?title=%D0%A1%D0%B0%D0%BC%D0%BE%D1%83%D0%B1%D0%B8%D0%B9%D1%86%D0%B0_%28%D1%84%D0%B8%D0%BB%D1%8C%D0%BC%29&amp;oldid=153783202</t>
        </is>
      </c>
      <c r="M7143" s="2">
        <f>HYPERLINK("https://ru.wikipedia.org/w/index.php?search=%D0%A1%D0%B0%D0%BC%D0%BE%D1%83%D0%B1%D0%B8%D0%B9%D1%86%D0%B0%201989%20%D1%84%D0%B8%D0%BB%D1%8C%D0%BC","искать")</f>
        <v/>
      </c>
      <c r="N7143" s="3" t="n"/>
      <c r="O7143" s="2" t="n"/>
      <c r="P7143" s="2" t="n"/>
    </row>
    <row r="7144">
      <c r="A7144" s="2" t="n">
        <v>7143</v>
      </c>
      <c r="B7144" s="2" t="inlineStr"/>
      <c r="C7144" s="2" t="n">
        <v>9767</v>
      </c>
      <c r="D7144" s="3" t="inlineStr">
        <is>
          <t>Шкура</t>
        </is>
      </c>
      <c r="E7144" s="2" t="n">
        <v>1991</v>
      </c>
      <c r="F7144" s="2" t="inlineStr">
        <is>
          <t>кинофильм</t>
        </is>
      </c>
      <c r="G7144" s="2" t="n"/>
      <c r="H7144" s="2" t="n">
        <v>2684</v>
      </c>
      <c r="I7144" s="2" t="inlineStr"/>
      <c r="J7144" s="2" t="inlineStr"/>
      <c r="K7144" s="3" t="inlineStr">
        <is>
          <t>Мужчина спит на руках громадной гориллы, а просыпается на полу ванной комнаты своей квартиры. Вечером он буянил после очередной попойки, и жена собирается сдать его в милицию, а сынишка готов быть свидетелем. Григорий объясняет сыну, что вчера отмечали 9 дней, как в зоопарке сдохла обезьяна, и он не мог пропустить это мероприятие. В Москву прилетает американка. Несколько лет назад она подарила местному зоопарку гориллу редкого вида по имени Ричард и теперь хочет навестить его. В зоопарке переполох. Директор понимает, что дело пахнет международным скандалом. Неожиданно ему приходит в голову спасительная идея. Под рукой оказывается Григорий Хрипунов. Он пришёл с заявлением на отпуск, который готовится провести в КПЗ за хулиганство. Директор предлагает подчиненному провести день приезда американки в клетке в шкуре гориллы, обещая Грише месячный отдых с женой на курорте в Болгарии. Но визит в зоопарк американки откладывается вновь и вновь. К жене Григория Маше является его приятель Фёдор и берёт у неё деньги, якобы на командировку мужа, покупает на них водку и отправляется в зоопарк. Мария ведёт за ним слежку и, пораженная, наблюдает, как обезьяна пьет с Дмитричем водку. Этот момент запечатляет местный папарацци и передает снимки на телевидение. Федора Дмитриевича приглашают на телевидение и представляют, как учёного мужа. Он дает интервью, что спирт – необходимое звено перехода от обезьяны к человеку, и он, профессор Куропатов, проводит важный эксперимент. Начинается череда интервью, брифингов, на которые приглашают профессора и директора зоопарка, а в зоопарк присылают в огромных количествах спиртные напитки со всех концов мира. Работники зоопарка пьют беспробудно. Наконец, директору зоопарка сообщают, что завтра приедет американка и привезёт сюрприз. При встрече она не узнает своего любимца Ричарда и падает в обморок. Сюрприз – обезьянья самка Джесси, которую оставляют для знакомства с Ричардом в надежде на продолжение редкого вида. Гриша готов бежать из клетки, но ему вкалывают снотворное и оставляют для встречи с Джесси. Ночью испуганный Гриша наблюдает удивительную картину. Какой-то мужчина помогает избавиться от шкуры обезьяны девушке, и она сообщает ему, что привезла в Москву партию крэка. Зима. Бывшие работники зоопарка, замешанные в истории с обезьяной, а значит и наркотиками, зарабатывают на жизнь тем, что приглашают прохожих сняться на память с мнимой гориллой. К ним подходит Гриша с женой и сыном. Рядом с площадкой останавливается машина. Из неё вальяжно выходит Федор Дмитриевич с дамой, разодетой в меха. Теперь он - председатель акционерного общества. Его услужливо сопровождает персональный водитель – бывший директор зоопарка.</t>
        </is>
      </c>
      <c r="L7144" s="2" t="inlineStr">
        <is>
          <t>https://gosfilmofond.ru/films/232562/</t>
        </is>
      </c>
      <c r="M7144" s="2">
        <f>HYPERLINK("https://ru.wikipedia.org/w/index.php?search=%D0%A8%D0%BA%D1%83%D1%80%D0%B0%201991%20%D1%84%D0%B8%D0%BB%D1%8C%D0%BC","искать")</f>
        <v/>
      </c>
      <c r="N7144" s="3" t="n"/>
      <c r="O7144" s="2" t="n"/>
      <c r="P7144" s="2" t="n"/>
    </row>
    <row r="7145">
      <c r="A7145" s="2" t="n">
        <v>7144</v>
      </c>
      <c r="B7145" s="2" t="inlineStr"/>
      <c r="C7145" s="2" t="n">
        <v>9244</v>
      </c>
      <c r="D7145" s="3" t="inlineStr">
        <is>
          <t>Ближний круг</t>
        </is>
      </c>
      <c r="E7145" s="2" t="n">
        <v>1991</v>
      </c>
      <c r="F7145" s="2" t="inlineStr">
        <is>
          <t>кинофильм</t>
        </is>
      </c>
      <c r="G7145" s="2" t="n"/>
      <c r="H7145" s="2" t="n">
        <v>2685</v>
      </c>
      <c r="I7145" s="2" t="inlineStr"/>
      <c r="J7145" s="2" t="inlineStr"/>
      <c r="K7145" s="3" t="inlineStr">
        <is>
          <t>Москва, 1939 год. В клубе НКВД во время киносеанса на загоревшейся пленке расплывается и исчезает лицо Сталина. Киномеханик Иван Санчин в ужасе от возможных последствий. Дома его ждет невеста Настя. Но застолье по поводу свадьбы Ивана проходит спокойно. Через несколько дней в коммуналку, где живут молодожёны, нагрянули люди из НКВД. Обыск проходит в комнате соседей. Глава семьи Губельманов часто ездил в командировки за границу. Арестовывают Арона и его жену Софью. В комнате остается их 4-летняя дочь Катя. Вскоре забирают Ивана. Вопреки его опасениям, Санчина привозят в Кремль и поручают прокрутить фильм взамен заболевшего киномеханика. Показ кино для Сталина отменяется, но Иван производит хорошее впечатление на кремлёвского генерала своим умением, сноровкой и знанием оборудования. Ему предлагают стать киномехаником в Кремле, подкрепив предложение материальными привилегиями. Кроме того Ивану разрешают занять комнату Губельманов в коммуналке. Катю забирают в детприемник. Через год работы в Кремле Ивана вводят в ближний круг людей, кто обслуживает Сталина и соприкасается с ним непосредственно. Настя не может забыть соседскую девочку и часто навещает её в детдоме, планируя удочерить. Это становится известно в органах, и Ивана предупреждают. Он готов развестись с женой, если она не оставит затею взять в семью дочь врагов народа, и признается Насте, что любит Сталина больше, чем её. 22 июня 1941 г. Гитлер предает Сталина, начинается война. Через 9 недель фашисты уже на подступах к Москве. Правительство и обслуживающий персонал эвакуируют. Иван добивается, чтобы Настю взяли на работу. Она начинает работать подавальщицей у Берии. Ивана от контактов с женой отстраняют. Санчин возвращается в Москву. Соседу по коммуналке Иван сообщает, что бросил жену, а разведётся позже. Через несколько месяцев Настя возвращается в Москву с большим сроком беременности. Иван уговаривает её вернуться домой и готов считать будущего ребёнка своим. Настя возвращается, но вскоре кончает жизнь самоубийством. Через 10 лет после окончания войны Ивана навещает 17-летняя Катя. Казалось, что воспоминания о Насте сблизят обоих людей, любивших её, но Санчин предупреждает Катю, чтобы она больше не приходила к нему, так как его работа не позволяет этих контактов. 5 марта 1953 года умирает Сталин. Майора Санчина срочно вызывают в Кремль и направляют на дежурство возле Колонного зала Дома Союзов. В море людей, давящих друг друга, чтобы пробиться в здание для прощания с вождем, он замечает Катю и едва успевает вытащить её из толпы. Кате заявляет, что хочет умереть, но Иван не отпускает её от себя. Он понимает, что она его искупление, и единственный человек, кто ему дорог, его дочка.</t>
        </is>
      </c>
      <c r="L7145" s="2" t="inlineStr">
        <is>
          <t>https://gosfilmofond.ru/films/232627/</t>
        </is>
      </c>
      <c r="M7145" s="2">
        <f>HYPERLINK("https://ru.wikipedia.org/w/index.php?search=%D0%91%D0%BB%D0%B8%D0%B6%D0%BD%D0%B8%D0%B9%20%D0%BA%D1%80%D1%83%D0%B3%201991%20%D1%84%D0%B8%D0%BB%D1%8C%D0%BC","искать")</f>
        <v/>
      </c>
      <c r="N7145" s="3" t="n"/>
      <c r="O7145" s="2" t="n"/>
      <c r="P7145" s="2" t="n"/>
    </row>
    <row r="7146">
      <c r="A7146" s="2" t="n">
        <v>7145</v>
      </c>
      <c r="B7146" s="2" t="inlineStr"/>
      <c r="C7146" s="2" t="n">
        <v>8381</v>
      </c>
      <c r="D7146" s="3" t="inlineStr">
        <is>
          <t>Соломенная шляпка</t>
        </is>
      </c>
      <c r="E7146" s="2" t="n">
        <v>1974</v>
      </c>
      <c r="F7146" s="2" t="inlineStr">
        <is>
          <t>телефильм</t>
        </is>
      </c>
      <c r="G7146" s="2" t="inlineStr">
        <is>
          <t>Ленфильм</t>
        </is>
      </c>
      <c r="H7146" s="2" t="n">
        <v>2697</v>
      </c>
      <c r="I7146" s="2" t="inlineStr"/>
      <c r="J7146" s="2" t="inlineStr"/>
      <c r="K7146" s="3" t="inlineStr">
        <is>
          <t>Обаятельный рантье, повеса и ловелас Леонидас Фадинар решил жениться по расчёту на дочке богатого провинциального садовода Нонанкура. Свадебная процессия уже в пути, жених, опережая свадебный кортеж, спешит домой, чтобы сделать последние приготовления. По дороге он делает короткую остановку, во время которой лошадь Фадинара съела соломенную шляпку некоей мадам Бопертюи, которая уединилась со своим любовником-военным в лесу. Мадам грозит разоблачение со стороны ревнивого мужа, поэтому она и любовник спешат в дом Фадинара, оккупируют альков новобрачных и отказываются его покидать, пока жених не достанет пострадавшей даме точно такую же шляпку. Провинциальная родня торопит со свадьбой, Фадинар пытается выкрутиться из ситуации: шляпка, которая обычно стоит недорого, оказывается редкой и дорогой, найти замену непросто. Он идёт в ближайший шляпный магазинчик, владелицей которого оказывается его прежняя любовница, вдова Клара, которую он без объяснений оставил полгода назад. Несмотря на обстоятельства, она готова помочь Фадинару: подобная шляпка есть в городе у некой баронессы. Стоимость шляпки возрастает до баснословных 500 франков, но жених готов потратить уже любые деньги.
Баронесса ждёт известного итальянского тенора, за которого принимает внезапно появившегося Фадинара. Фадинар требует задаток выступления в виде шляпки, которую получает, однако шляпка оказывается другой. Вскоре появляется настоящий тенор, и, после неизбежного скандала, выясняется, что искомую шляпку баронесса подарила своей крестнице. Фадинар мчится на новый адрес. Свадебный кортеж из восьми фиакров с ничего не понимающими родственниками со стороны невесты следует за ним.
Вечерело. Пожилой муж крестницы баронессы, владелицы злополучной шляпки, ждёт дома свою жену, которая уехала ещё утром за покупками. Фадинар делится своей бедой с хозяином дома, демонстрирует уцелевший кусок шляпки, но слишком поздно понимает, что отсутствующая дома супруга хозяина — это и есть мадам Бопертюи… Узнав шляпку, сопоставив факты и выяснив адрес дома Фадинара, месье Бопертюи хватает пистолеты и мчится покарать неверную жену и ее любовника. Его опережают гости: они весь день провели в экипажах по непонятной причине, и терпение их лопнуло. Родичи новобрачной требуют признать свадьбу несостоявшейся и забирают свадебные подарки. Одна из коробок открывается, и Фадинар видит точно такую соломенную
шляпку, какую искал весь день, — подарок дядюшки все время был у него под рукой. Он успевает отдать её мадам Бопертюи, которая предстаёт в ней перед обманутым мужем и рассеивает любые его подозрения. В благодарность Фадинар просит подарить ему шляпку… Родственники невесты, наконец, узнают всю правду и прощают Фадинара.</t>
        </is>
      </c>
      <c r="L7146" s="2" t="inlineStr">
        <is>
          <t>https://ru.wikipedia.org/w/index.php?title=%D0%A1%D0%BE%D0%BB%D0%BE%D0%BC%D0%B5%D0%BD%D0%BD%D0%B0%D1%8F_%D1%88%D0%BB%D1%8F%D0%BF%D0%BA%D0%B0_%28%D1%84%D0%B8%D0%BB%D1%8C%D0%BC%2C_1974%29&amp;oldid=154916349</t>
        </is>
      </c>
      <c r="M7146" s="2">
        <f>HYPERLINK("https://ru.wikipedia.org/w/index.php?search=%D0%A1%D0%BE%D0%BB%D0%BE%D0%BC%D0%B5%D0%BD%D0%BD%D0%B0%D1%8F%20%D1%88%D0%BB%D1%8F%D0%BF%D0%BA%D0%B0%201974%20%D1%84%D0%B8%D0%BB%D1%8C%D0%BC","искать")</f>
        <v/>
      </c>
      <c r="N7146" s="3" t="n"/>
      <c r="O7146" s="2" t="n"/>
      <c r="P7146" s="2" t="n"/>
    </row>
    <row r="7147">
      <c r="A7147" s="2" t="n">
        <v>7146</v>
      </c>
      <c r="B7147" s="2" t="inlineStr"/>
      <c r="C7147" s="2" t="n">
        <v>8005</v>
      </c>
      <c r="D7147" s="3" t="inlineStr">
        <is>
          <t>Новые приключения Акмаля</t>
        </is>
      </c>
      <c r="E7147" s="2" t="n">
        <v>1983</v>
      </c>
      <c r="F7147" s="2" t="inlineStr">
        <is>
          <t>телефильм</t>
        </is>
      </c>
      <c r="G7147" s="2" t="n"/>
      <c r="H7147" s="2" t="n">
        <v>2701</v>
      </c>
      <c r="I7147" s="2" t="inlineStr"/>
      <c r="J7147" s="2" t="inlineStr"/>
      <c r="K7147" s="3" t="inlineStr">
        <is>
          <t>Прошло два года со времени событий первого фильма.
Пообещавший больше никуда не сбегать Акмаль держит своё слово, однако в Сказку уходит Гузаль, и Акмаль с милиционером Нуриевым отправляются на её поиски. В Сказке выясняется, что коварный хан присвоил себе подвиг Акмаля — победу над драконом Кара-Батуром. И чтобы никто не помнил истинного героя, под страхом смерти запретил произносить его имя. Принцесса Гузаль отказалась повиноваться приказу хана, и тогда он поместил её в шатёр в середине горного озера, перекрыв для его образования все источники воды и ввергнув собственную страну в засуху.
Гузаль пробирается к принцессе, они меняются одеждой и принцесса сбегает. Разыскивая Гузаль, Акмаль и Нуриев разделяются. Акмаль попадает в плен к хану, а Нуриев встречает принцессу и принимает её за Гузаль. Вместе они отправляются во дворец хана, где принцесса похищает карту, на которой показано место, где спрятан камень-ключ, закрывающий воду.
Ведьма советует хану отпустить Акмаля с милиционером и они уходят, забрав с собой и принцессу, переодетую в Гузаль. Принцесса находит ключ и открывает источники воды, после чего Акмаль и Нуриев увозят её из Сказки, не веря той, что она — принцесса. В городе принцессу доставляют бабушке, откуда она сбегает. Скитаясь по городу, пытаясь вернуться в Сказку, принцесса знакомится с мальчиком по имени Камил, который показывает ей, что реальный мир, созданный простыми людьми ничем не хуже, а в чём-то лучше сказочной страны.
Акмаль понимает, что они увезли из Сказки настоящую принцессу и они с милиционером пускаются на её поиски. Также принцессу разыскивает ведьма, прибывшая из Сказки.
В это время в Сказке Гузаль хитростью заманивает хана и его свиту в темницу и освобождает сказочную страну. Однако хану удаётся убежать и выяснить, что Гузаль — самозванка. Единственный способ вернуть себе власть — убедить народ в том, что Гузаль — не настоящая принцесса. Для этого он просит её продемонстрировать, как она умеет вышивать, петь, готовить, тем более, что этого требует ежегодное празднество, являющееся в Сказке не просто традицией, а средством задобрить духов долины. Гузаль ничего этого не умеет и близка к провалу.
На помощь приходят волшебный садовник и ведьма, которую Акмаль с Нуриевым убедили совершать добрые дела. Она убеждает Гузаль выиграть время её единственным совпадающим с принцессой талантом к скакалке, а сама отвлекает хана и его придворных, пока принцесса мчится обратно в Сказку на волшебном коне. Принцесса демонстрирует свои умения, все убеждаются в том, что она — настоящая и передают власть хана ей. Её отцу, претендующему хотя бы на пенсию, остаётся переданный ведьмой старый совет Акмаля: «Делать добрые дела никогда не поздно».</t>
        </is>
      </c>
      <c r="L7147" s="2" t="inlineStr">
        <is>
          <t>https://ru.wikipedia.org/w/index.php?title=%D0%9D%D0%BE%D0%B2%D1%8B%D0%B5_%D0%BF%D1%80%D0%B8%D0%BA%D0%BB%D1%8E%D1%87%D0%B5%D0%BD%D0%B8%D1%8F_%D0%90%D0%BA%D0%BC%D0%B0%D0%BB%D1%8F&amp;oldid=155247021</t>
        </is>
      </c>
      <c r="M7147" s="2">
        <f>HYPERLINK("https://ru.wikipedia.org/w/index.php?search=%D0%9D%D0%BE%D0%B2%D1%8B%D0%B5%20%D0%BF%D1%80%D0%B8%D0%BA%D0%BB%D1%8E%D1%87%D0%B5%D0%BD%D0%B8%D1%8F%20%D0%90%D0%BA%D0%BC%D0%B0%D0%BB%D1%8F%201983%20%D1%84%D0%B8%D0%BB%D1%8C%D0%BC","искать")</f>
        <v/>
      </c>
      <c r="N7147" s="3" t="n"/>
      <c r="O7147" s="2" t="n"/>
      <c r="P7147" s="2" t="n"/>
    </row>
    <row r="7148">
      <c r="A7148" s="2" t="n">
        <v>7147</v>
      </c>
      <c r="B7148" s="2" t="inlineStr"/>
      <c r="C7148" s="2" t="n">
        <v>7637</v>
      </c>
      <c r="D7148" s="3" t="inlineStr">
        <is>
          <t>Здравствуйте, все!</t>
        </is>
      </c>
      <c r="E7148" s="2" t="n">
        <v>1980</v>
      </c>
      <c r="F7148" s="2" t="inlineStr">
        <is>
          <t>телефильм</t>
        </is>
      </c>
      <c r="G7148" s="2" t="n"/>
      <c r="H7148" s="2" t="n">
        <v>2707</v>
      </c>
      <c r="I7148" s="2" t="inlineStr"/>
      <c r="J7148" s="2" t="inlineStr"/>
      <c r="K7148" s="3" t="inlineStr">
        <is>
          <t>Фильм начинается с закадрового монолога рассказчика, жителя советской Грузии, который путешествует по местам, связанным с Пиросмани, и рассуждает о судьбе художника и его позднем признании. В Тбилиси рассказчик приходит на Молоканскую улицу, где окончил свои дни Пиросмани, и заходит в подвал, где жил художник.
Затем действие переносится в последний день жизни Пиросмани и происходит в том самом подвале, где ему суждено умереть. Художник обессилен и разочарован в жизни. Он вспоминает свою жизнь и реакцию людей на его творчество. Мысленно он ведёт споры с людьми, которые недовольны тем, как непохоже он их изобразил на своих картинах: это крестьянин («Портрет состоятельного крестьянина»), три княза («Кутёж трёх князей на лужайке»), рыбак («Рыбак в красной рубашке») и даже его бывшая возлюбленная Маргарита («Актриса Маргарита»). Внезапно в подвале появляется юная девушка в белом платье, которая представляется как Ия. На вопрос о том, кто она и откуда, Ия отвечает, что она с картин самого художника, но он не рисовал её — она были то скрыта в зарослях винограда, то заслонена другими людьми в толпе на свадьбе. Пиросмани говорит о своей бедности, представляя её как величайшее богатство. Ия успокаивает его, и художник засыпает, положив голову девушке на колени.
Пиросмани просыпается от крика дворника («Дворник»), который ругается и запрещает ему спать на самейке в парке. Ия прогоняет дворника и разговаривает с Нико. Видя, что он плохо себя чувствует, она предлагает ему позвать доктора, на что художник отвечает, что доктор уже сам едет к нему. Действительно, мимо проезжает доктор («Лекарь на осле»), однако он не заходит к художнику, говоря, что тот нарисовал его едущим мимо, и теперь он направляется к больному. Огорчённый, Пиросмани рассказывает обо отказ доктора Ие. Далее Нико представляется, что к нему заходит в гости русский художник, автор полотна «Купание красного коня». Нико представляет себя и гостя в духане и угощает его домашним вином из Мирзаани и шашлыком. Они обсуждают картину художника, но когда Пиросмани говорит о том, что красный конь окрасил красным воду в реке, персонажи его картин снова кричат, обвиняя его в том, что такого не может быть. Нико снова остаётся с Ией, размышляя о том, как сложилась его жизнь. Он сравнивает себя с виноградной лозой, мать которой земля, а отец — солнечный луч, и с вином, которое предлагает себя гостям, чтобы они радовались жизни. Последние его слова: «Пусть эти люди живут и радуются хоть тысячу лет! Здравствуйте! Здравствуйте все!»
Рассказчик выходит из подвала и идёт по улицам Тбилиси, вновь размышляя о судьбе художника и заключая, что «жизнь научила его разговаривать со своими картинами», и это был «праздник одиночества».</t>
        </is>
      </c>
      <c r="L7148" s="2" t="inlineStr">
        <is>
          <t>https://ru.wikipedia.org/w/index.php?title=%D0%97%D0%B4%D1%80%D0%B0%D0%B2%D1%81%D1%82%D0%B2%D1%83%D0%B9%D1%82%D0%B5_%D0%B2%D1%81%D0%B5%21&amp;oldid=150777342</t>
        </is>
      </c>
      <c r="M7148" s="2">
        <f>HYPERLINK("https://ru.wikipedia.org/w/index.php?search=%D0%97%D0%B4%D1%80%D0%B0%D0%B2%D1%81%D1%82%D0%B2%D1%83%D0%B9%D1%82%D0%B5%2C%20%D0%B2%D1%81%D0%B5%21%201980%20%D1%84%D0%B8%D0%BB%D1%8C%D0%BC","искать")</f>
        <v/>
      </c>
      <c r="N7148" s="3" t="n"/>
      <c r="O7148" s="2" t="n"/>
      <c r="P7148" s="2" t="n"/>
    </row>
    <row r="7149">
      <c r="A7149" s="2" t="n">
        <v>7148</v>
      </c>
      <c r="B7149" s="2" t="inlineStr"/>
      <c r="C7149" s="2" t="n">
        <v>9729</v>
      </c>
      <c r="D7149" s="3" t="inlineStr">
        <is>
          <t>Ха-би-ассы</t>
        </is>
      </c>
      <c r="E7149" s="2" t="n">
        <v>1990</v>
      </c>
      <c r="F7149" s="2" t="inlineStr">
        <is>
          <t>кинофильм</t>
        </is>
      </c>
      <c r="G7149" s="2" t="n"/>
      <c r="H7149" s="2" t="n">
        <v>2712</v>
      </c>
      <c r="I7149" s="2" t="inlineStr"/>
      <c r="J7149" s="2" t="inlineStr"/>
      <c r="K7149" s="3" t="inlineStr">
        <is>
          <t>Крым. Последние годы советского периода. Дезертировавшего литовца Микаса пытаются поймать военные, что нарушает планы местной милиции, в полном составе развлекающейся охотой на бешеных лис.
Уехавшая автостопом к несуществующему брату в Балаклаву (а на самом деле — просто на море) девушка Маша шутит со странным водителем древнего «Москвича» о племени «похожих на махновцев» хабиассов и чуть было не становится жертвой его недвусмысленных намерений. Маше удаётся сбежать от несостоявшегося преступника, которого напугали звуки охоты, прямо навстречу с Федей, «вольным милиционером», с которым она и отправляется на поиски приключений.
Несколько позже попутчиком к ним в машину напросился встретившийся Микас, вскоре задержанный Федей в соответствии с полученной ранее ориентировкой. Правда, на ближайшем армейском КПП дезертира почему-то не сдали...
В это время противостояние между военными и милицией доходит до применения газов, но разрешается предложением милицейского полковника Биденко обсудить дела за столом.
Недоумение и любопытство у Феди вызывает содержимое дипломата Микаса и его сепаратистские настроения. Разругавшись с попутчиками, Федя оставляет их. Позже он находит тот самый «Москвич», но лишается служебного УАЗика, угнанного затаившимся «хабиассом».
Пока поиски продолжаются, Микас и Маша, между которыми разгораются чувства, вновь выходят на Федю, сидящего на безнадёжно застрявшем автомобиле. Федя провожает их переночевать в загадочном доме. Напившись, испытывающие взаимную ревность мужчины задирают друг друга. Доходит до драки, окончательно утомляющей героев. Ночью Маше снится нападение хабиассов.
Встревоженный Федя будит всех: в дом идут милиционеры и военные. Из разговоров выясняется, что дом — бывшее имение некоего татарского князя, в войну — немецкий штаб, затем детдом, в котором и вырос полковник Биденко. Мечта Биденко — устроить здесь место отдыха для работников МВД всего Союза под названием «У доброго милиционера». В подвале дома он вместе с полковником Масловым допрашивают задержанных: Маслов — ещё одного дезертира-прибалта, а Биденко — непонятно где пойманного «хабиасса» (которого, по его же словам, зовут Михаилом). И если первый допрос оказался безрезультатным, то в ходе второго хабиасс бежит, а в доме начинается пожар. Под его прикрытием и уходят незамеченными герои.
Недалеко от берега наконец становится известным содержимое дипломата: это газеты националистического содержания. Федя хоть и обещает провести Микаса через кордоны, но тут же вступает с ним в драку... Завершают фильм кадры морского парада, сменяющиеся то видом очередной схватки опять не сошедшихся во взглядах Феди и Микаса, то безумной пляской всё того же «хабиасса».
У фильма открытый финал.</t>
        </is>
      </c>
      <c r="L7149" s="2" t="inlineStr">
        <is>
          <t>https://ru.wikipedia.org/w/index.php?title=%D0%A5%D0%B0-%D0%B1%D0%B8-%D0%B0%D1%81%D1%81%D1%8B&amp;oldid=154710660</t>
        </is>
      </c>
      <c r="M7149" s="2">
        <f>HYPERLINK("https://ru.wikipedia.org/w/index.php?search=%D0%A5%D0%B0-%D0%B1%D0%B8-%D0%B0%D1%81%D1%81%D1%8B%201990%20%D1%84%D0%B8%D0%BB%D1%8C%D0%BC","искать")</f>
        <v/>
      </c>
      <c r="N7149" s="3" t="n"/>
      <c r="O7149" s="2" t="n"/>
      <c r="P7149" s="2" t="n"/>
    </row>
    <row r="7150">
      <c r="A7150" s="2" t="n">
        <v>7149</v>
      </c>
      <c r="B7150" s="2" t="inlineStr"/>
      <c r="C7150" s="2" t="n">
        <v>7925</v>
      </c>
      <c r="D7150" s="3" t="inlineStr">
        <is>
          <t>Мэри Поппинс, до свидания</t>
        </is>
      </c>
      <c r="E7150" s="2" t="n">
        <v>1983</v>
      </c>
      <c r="F7150" s="2" t="inlineStr">
        <is>
          <t>телефильм</t>
        </is>
      </c>
      <c r="G7150" s="2" t="n"/>
      <c r="H7150" s="2" t="n">
        <v>2713</v>
      </c>
      <c r="I7150" s="2" t="inlineStr"/>
      <c r="J7150" s="2" t="inlineStr"/>
      <c r="K7150" s="3" t="inlineStr">
        <is>
          <t>Действие фильма происходит в столице Англии, Лондоне, в 1980-х годах. В доме № 17 на Вишнёвой улице семейство Бэнкс озабочено поисками няни для своих детей. Они публикуют соответствующее объявление в газете. Вскоре на их пороге появляется молодая няня Мэри Поппинс и соглашается с условиями работать за самое скромное денежное вознаграждение. У неё нет рекомендаций, но маме не из кого выбирать. Дети Джейн и Майкл думают, что её принесло дуновением сильного ветра, и няня не спорит с ними, отвечая, что так и есть.
Мэри поселилась в доме Бэнксов, в детской спальне. Она рассудительна, живёт по строгим принципам, но в то же время добрая и милая. Главная героиня может понимать язык зверей и птиц и разговаривать с ними, заставить не в меру любезного мясника запеть голосом оперного певца и оживить статую Нелея в городском парке. К Мэри проникается чувствами Роберт Робертсон, дядя Майкла и Джейн, которого она нарекает «мистер „Эй“» за то, как он ненароком обратился к ней во время первой встречи. Мэри признали соседи по Вишнёвой улице. Няня приглашает своих воспитанников в салон мадам Корри, на уроки музыки и танцев. Дети без ума от няни, но она исчезает так же внезапно, как появилась, — с сильным порывом восточного ветра.
После исчезновения Мэри Поппинс в доме Бэнксов случается беда: мистер Робертсон, живущий по своим убеждениям в палатке на газоне перед домом, неосторожными действиями сильно повредил газовую трубу, когда попытался угнать буровую машину строительной бригады под начальством Боба Гудетти. Это спровоцировало пожар, и в результате на следующий день мистера Бэнкса обязали выплатить штраф 13 500 фунтов.
В тот же день в 10:00 семейство навещает мисс Юфимия Эндрю — бывшая гувернантка мистера Бэнкса. Она злая, ненавидящая детей — хуже няни не придумать. Мисс Эндрю начала устанавливать в доме свои порядки, отчего он начал напоминать солдатскую казарму. К тому же, она грубо оскорбляет Мэри Поппинс, назвав её «подозрительной особой».
В тот момент, когда Бэнксы готовы бежать из собственного дома, появившаяся вновь Мэри Поппинс приходит к ним на помощь. Она отпускает на волю попугая мисс Эндрю — сэра Томаса, а саму гувернантку, вернувшуюся и обозлённую визитом ненавистной ей «особы», на короткое время превращает в маленькую куклу и отправляет в клетку, отчего мисс Эндрю раскаивается и уезжает.
Вечером Мэри приглашает всех героев на празднование своего дня рождения в салон мадам Корри и ненадолго возвращает взрослых в их детство. Мистер Робертсон получает в подарок гитару: с ней он будет сочинять только хорошие песни. В конце фильма няня-волшебница уходит, но перед этим всем присутствующим преподносит в дар надежды на перемены, которые должен принести ветер, дышащий добром.</t>
        </is>
      </c>
      <c r="L7150" s="2" t="inlineStr">
        <is>
          <t>https://ru.wikipedia.org/w/index.php?title=%D0%9C%D1%8D%D1%80%D0%B8_%D0%9F%D0%BE%D0%BF%D0%BF%D0%B8%D0%BD%D1%81%2C_%D0%B4%D0%BE_%D1%81%D0%B2%D0%B8%D0%B4%D0%B0%D0%BD%D0%B8%D1%8F&amp;oldid=155256012</t>
        </is>
      </c>
      <c r="M7150" s="2">
        <f>HYPERLINK("https://ru.wikipedia.org/w/index.php?search=%D0%9C%D1%8D%D1%80%D0%B8%20%D0%9F%D0%BE%D0%BF%D0%BF%D0%B8%D0%BD%D1%81%2C%20%D0%B4%D0%BE%20%D1%81%D0%B2%D0%B8%D0%B4%D0%B0%D0%BD%D0%B8%D1%8F%201983%20%D1%84%D0%B8%D0%BB%D1%8C%D0%BC","искать")</f>
        <v/>
      </c>
      <c r="N7150" s="3" t="n"/>
      <c r="O7150" s="2" t="n"/>
      <c r="P7150" s="2" t="n"/>
    </row>
    <row r="7151">
      <c r="A7151" s="2" t="n">
        <v>7150</v>
      </c>
      <c r="B7151" s="2" t="inlineStr"/>
      <c r="C7151" s="2" t="n">
        <v>9267</v>
      </c>
      <c r="D7151" s="3" t="inlineStr">
        <is>
          <t>Вербовщик</t>
        </is>
      </c>
      <c r="E7151" s="2" t="n">
        <v>1991</v>
      </c>
      <c r="F7151" s="2" t="inlineStr">
        <is>
          <t>кинофильм</t>
        </is>
      </c>
      <c r="G7151" s="2" t="n"/>
      <c r="H7151" s="2" t="n">
        <v>2715</v>
      </c>
      <c r="I7151" s="2" t="inlineStr"/>
      <c r="J7151" s="2" t="inlineStr"/>
      <c r="K7151" s="3" t="inlineStr">
        <is>
          <t>В Москву времен перестройки приезжает иностранец. Он сотрудник советско-американской торговой фирмы. Он стремится наладить контакт с молодым талантливым ученом-физиком Андреем Камневым. Андрей не доволен своей работой, так как не имеет возможность заниматься фундаментальной наукой. Новый знакомый, представившийся Никитой Шалаевым, предлагает ему содействие в переезде в Америку. Никита находит в Москве связника по кличке «парикмахер» и просит его найти адрес Зинаиды Новиковой. Американец приезжает к ней в подмосковный дачный поселок и говорит, что хочет снять комнату и вскоре поселяется у Зины. За Андреем Камневым и его окружением ведут наблюдение сотрудники органов госбезопасности. Все близкие друзья молодого ученого эмигрировали в Штаты, и задача одного из подразделений комитета - остановить отток талантливых перспективных ученых из России. Изучая документы и фотографии людей, кто встречается с Андреем, в КГБ выясняют, что под именем Никиты Шалаева действует американский разведчик. За ним устанавливается наблюдение. Гуляя по Москве, Никита забрёл на выставку молодых художников. Его привлекает картина на военную тематику Ольги Зоровой, и Шалаев знакомится с нею. На полотне воздушное сражение египетской войны. Девушка рассказывает новому знакомому, что так реалистично передать военную сцену ей помог её брат Виктор Гордеев. Никита находит Виктора. Тот узнает в пришедшем к нему мужчине друга и соратника по военной операции в Египте из далеких 70-х годов Олега Зорова. Его все считали погибшим. Олег рассказывает, что его самолет был сбит, а он в тяжелом состоянии попал в плен к американцам. После долгого восстановления и проверок стал работать на американцев. Ольга Зорова – его младшая сестра, которую он видел в последний раз десятилетней девочкой. Её вырастил, как родную сестру, военный друг Олега Гордеев. Никита идёт в комитет госбезопасности, рассказывает свою историю и говорит, что хочет остаться на Родине. Кроме сестры и названного брата в Подмосковье живёт его любимая женщина Зина, с которой жизнь разлучила его более 20-ти лет назад, и которая ждала его всё это время. «Парикмахера», за которым тянется тёмное прошлое, пугает явка Шалаева в органы. Он заказывает убийство американца. Окрылённый надеждой на новую жизнь Олег Зорев приезжает к Зинаиде. Он просит её выйти за него замуж. Зина готова принять в свой дом и в своё сердце вновь обретённого ею любимого человека. В гости к ним должны приехать Ольга и Виктор. На звук тормозящей у дома машины выбегает Олег, думая, что приехали гости. Но в машине убийца. Прицельными выстрелами он валит Олега с ног. Выбежавшая из дома Зина подхватывает на руки умирающего Олега и слышит его последние слова: «Теперь уж не выкарабкаюсь».</t>
        </is>
      </c>
      <c r="L7151" s="2" t="inlineStr">
        <is>
          <t>https://gosfilmofond.ru/films/232251/</t>
        </is>
      </c>
      <c r="M7151" s="2">
        <f>HYPERLINK("https://ru.wikipedia.org/w/index.php?search=%D0%92%D0%B5%D1%80%D0%B1%D0%BE%D0%B2%D1%89%D0%B8%D0%BA%201991%20%D1%84%D0%B8%D0%BB%D1%8C%D0%BC","искать")</f>
        <v/>
      </c>
      <c r="N7151" s="3" t="n"/>
      <c r="O7151" s="2" t="n"/>
      <c r="P7151" s="2" t="n"/>
    </row>
    <row r="7152">
      <c r="A7152" s="2" t="n">
        <v>7151</v>
      </c>
      <c r="B7152" s="2" t="inlineStr"/>
      <c r="C7152" s="2" t="n">
        <v>9740</v>
      </c>
      <c r="D7152" s="3" t="inlineStr">
        <is>
          <t>Царь Иван Грозный</t>
        </is>
      </c>
      <c r="E7152" s="2" t="n">
        <v>1991</v>
      </c>
      <c r="F7152" s="2" t="inlineStr">
        <is>
          <t>кинофильм</t>
        </is>
      </c>
      <c r="G7152" s="2" t="n"/>
      <c r="H7152" s="2" t="n">
        <v>2715</v>
      </c>
      <c r="I7152" s="2" t="inlineStr"/>
      <c r="J7152" s="2" t="inlineStr"/>
      <c r="K7152" s="3" t="inlineStr">
        <is>
          <t>Вернувшись на родину, молодой князь Серебряный узнаёт, что за время его отсутствия царь Иван Васильевич ввёл на Руси новые порядки, учредил опричнину, и опричники именем царя вершат беззаконие. Серебряный вступается за крестьян, на которых напали опричники, заодно освобождая двоих пленников, оказавшихся пойманными разбойниками. Приехав в Москву, он узнаёт также, что его возлюблённой пришлось выйти замуж за опального старого боярина Дружину Морозова, чтобы её насильно не взял в жёны ненавистный ей опричник князь Афанасий Вяземский, который совершенно обезумел от страсти — даже ездит на мельницу колдовать, страдая от неразделённой любви к Елене. Уверенный, что и его ждёт опала, Серебряный прибывает к царю, но царь милует его благодаря заступничеству сына Малюты Скуратова Максима и своего приближённого Бориса Годунова.
Вскоре Вяземский с косвенного разрешения царя вероломно нападает на дом Морозова и увозит Елену. Он берёт её силой, но сам от полученных ран теряет сознание, и женщине удаётся бежать. В итоге, она укрывается в монастыре.
Ближайшие приспешники царя (Афанасий Вяземский, Фёдор Басманов и Малюта Скуратов) плетут друг против друга интриги. Басманов, замечая, что Иван Грозный охладел к нему, наговаривает на Вяземского, будто тот занимается колдовством, намереваясь извести царя. При этом Басманов берёт у того же колдуна амулет, намереваясь вернуть царскую любовь. Фёдора, в свою очередь, оговаривает Скуратов. Царя же преследуют видения его злодеяний, ему мерещится юродивый Василий, взывающий к его совести, и его покойная жена царица Анастасия, к воссоединению с которой он тщетно стремится.
Тем временем Серебряный попадает в тюрьму за разбойное нападение на опричников, но его вызволяют благодарные ему разбойники и провозглашают своим атаманом. Серебряный уговаривает их бросить разбой и идти воевать с захватчиками-татарами, в бою с которыми он одерживает победу.
Морозов, выживший при нападении, требует у царя суда над Вяземским, тот объявляет, что дело решится поединком — божьим судом. Оба выставляют от своего лица поединщиков, побеждает человек Морозова. Иван Грозный приказывает казнить Вяземского, приписав ему также и занятие колдовством (со слов Басманова). Не желая окончательно миловать Морозова, он назначает его своим шутом, чтобы унизить. Боярин открыто обличает царя, и тот приказывает казнить и его, за дерзость. По наущению Скуратова, царь обвиняет в колдовстве и Басманова, и, не обращая внимания на его мольбы, приказывает казнить и его (последняя казнь всё же срывается благодаря юродивому Василию).
Серебряный спешит отыскать Елену, но она, измученная страхом и пережитыми несчастьями, к тому времени уже приняла постриг в монашество. Князь впадает в отчаяние.</t>
        </is>
      </c>
      <c r="L7152" s="2" t="inlineStr">
        <is>
          <t>https://ru.wikipedia.org/w/index.php?title=%D0%A6%D0%B0%D1%80%D1%8C_%D0%98%D0%B2%D0%B0%D0%BD_%D0%93%D1%80%D0%BE%D0%B7%D0%BD%D1%8B%D0%B9_%28%D1%84%D0%B8%D0%BB%D1%8C%D0%BC%29&amp;oldid=154177828</t>
        </is>
      </c>
      <c r="M7152" s="2">
        <f>HYPERLINK("https://ru.wikipedia.org/w/index.php?search=%D0%A6%D0%B0%D1%80%D1%8C%20%D0%98%D0%B2%D0%B0%D0%BD%20%D0%93%D1%80%D0%BE%D0%B7%D0%BD%D1%8B%D0%B9%201991%20%D1%84%D0%B8%D0%BB%D1%8C%D0%BC","искать")</f>
        <v/>
      </c>
      <c r="N7152" s="3" t="n"/>
      <c r="O7152" s="2" t="n"/>
      <c r="P7152" s="2" t="n"/>
    </row>
    <row r="7153">
      <c r="A7153" s="2" t="n">
        <v>7152</v>
      </c>
      <c r="B7153" s="2" t="inlineStr"/>
      <c r="C7153" s="2" t="n">
        <v>9037</v>
      </c>
      <c r="D7153" s="3" t="inlineStr">
        <is>
          <t>Семь дней после убийства</t>
        </is>
      </c>
      <c r="E7153" s="2" t="n">
        <v>1991</v>
      </c>
      <c r="F7153" s="2" t="inlineStr">
        <is>
          <t>кинофильм</t>
        </is>
      </c>
      <c r="G7153" s="2" t="n"/>
      <c r="H7153" s="2" t="n">
        <v>2723</v>
      </c>
      <c r="I7153" s="2" t="inlineStr"/>
      <c r="J7153" s="2" t="inlineStr"/>
      <c r="K7153" s="3" t="inlineStr">
        <is>
          <t>Поздним вечером на обочине дороги на севере Москвы обнаружен труп молодой девушки с признаками насильственной смерти и со следами употребления наркотиков. После опознания вся семья московского генерала Михаила Романовича, младшей дочерью которого была погибшая девушка, приглашена к следователю для выяснения обстоятельств её гибели. Накануне днём семья генерала собралась в его квартире. За столом говорили о скором отъезде за границу на работу зятя Михаила Романовича Адика с женой - старшей дочерью генерала Леной. Своего преданного водителя азербайджанца Рауфа за 10 лет его работы генерал привык тоже считать членом своей семьи. После обеда Даша едет на дачу. Рауф устремляется вслед за ней. Девушка требует от него наркотики, а потом увлекает его в постель. Водитель упрекает Дашу, что она не хочет одуматься и отказаться от пагубной привычки. Он предает генерала, оказывая девушке такого рода услуги, и стыдится смотреть в глаза хозяину.
О наркотической зависимости сестры знает Лена, врач по профессии. Она пыталась лечить Дашу, но безуспешно. Даша под разными предлогами выпрашивает деньги на наркотики у матери и сестры, а те, оберегая генерала, ничего не говорят ему о семейной проблеме. После находки тела следователь едет осматривать дачу и обнаруживает там доказательства встречи Даши с мужчиной. При допросе Рауф отрицает, что встречался с Дашей. Следовать подозревает, что Рауф снабжал девушку наркотиками, но доказательств вины водителя в убийстве девушки нет. Муж Лены Адик не сомневается, что Рауф замешан в убийстве. Водитель просит Елену поговорить с мужем, чтобы тот отказался от показаний против него, но тот категоричен. Лена встречается с Рауфом за городом. Они выясняют свои прежние отношения. Рауф, с которым у Елены была связь, - кровный отец их с Адиком сына Саши. Рауф любит мальчика и тот привязан к нему. Он упрекает Лену, что был бы мужем и отцом не хуже Адика, и постарался бы сделать всё для семьи. Однако дочь генерала не собиралась замуж за простого водителя. Но страсть Лены к Рауфу не умерла, и встреча заканчивается любовной сценой. Лена обещает заставить мужа изменить показания против Рауфа, но не выполняет обещания. Она ревновала Рауфа к сестре и ненавидела её. Даша же грозила сорвать желанный выезд за границу семье Лены, если та не будет давать ей деньги на наркотики.
Елена не скрывает от мужа своих чувств к отцовскому водителю. Она признается Адику, что это она убила сестру, и виной всему он, нелюбимый муж. Он обещает развестить с Леной. Рауфа арестовывают, так как других подозреваемых в убийстве нет.
Наутро семья генерала благопристойно приезжает в аэропорт. Родители провожают старшую дочь с мужем и сыном за границу. Вокруг генерала угодливо суетится новый водитель.</t>
        </is>
      </c>
      <c r="L7153" s="2" t="inlineStr">
        <is>
          <t>https://gosfilmofond.ru/films/232500/</t>
        </is>
      </c>
      <c r="M7153" s="2">
        <f>HYPERLINK("https://ru.wikipedia.org/w/index.php?search=%D0%A1%D0%B5%D0%BC%D1%8C%20%D0%B4%D0%BD%D0%B5%D0%B9%20%D0%BF%D0%BE%D1%81%D0%BB%D0%B5%20%D1%83%D0%B1%D0%B8%D0%B9%D1%81%D1%82%D0%B2%D0%B0%201991%20%D1%84%D0%B8%D0%BB%D1%8C%D0%BC","искать")</f>
        <v/>
      </c>
      <c r="N7153" s="3" t="n"/>
      <c r="O7153" s="2" t="n"/>
      <c r="P7153" s="2" t="n"/>
    </row>
    <row r="7154">
      <c r="A7154" s="2" t="n">
        <v>7153</v>
      </c>
      <c r="B7154" s="2" t="inlineStr"/>
      <c r="C7154" s="2" t="n">
        <v>8446</v>
      </c>
      <c r="D7154" s="3" t="inlineStr">
        <is>
          <t>Театр</t>
        </is>
      </c>
      <c r="E7154" s="2" t="n">
        <v>1978</v>
      </c>
      <c r="F7154" s="2" t="inlineStr">
        <is>
          <t>телефильм</t>
        </is>
      </c>
      <c r="G7154" s="2" t="n"/>
      <c r="H7154" s="2" t="n">
        <v>2735</v>
      </c>
      <c r="I7154" s="2" t="inlineStr"/>
      <c r="J7154" s="2" t="inlineStr"/>
      <c r="K7154" s="3" t="inlineStr">
        <is>
          <t>Джулия Ламберт (Вия Артмане) — актриса, звезда лондонского театрального мира. Ведёт устоявшуюся жизнь: неизменный успех на сцене, высокая репутация, многолетний счастливый брак с Майклом Госселином (Гунар Цилинский), актёром, режиссёром и директором их общего театра, взрослый сын Роджер.
Прошедшая путь от провинциальной актрисы до всемирно признанной звезды, достигшая вершин профессионального мастерства, Джулия не вполне счастлива. Страстное чувство к мужу Майклу давно в прошлом, её огромная нежность и безумная страсть исчезла. Их заменила снисходительная доброта и лёгкое презрение к Майклу, к давнему поклоннику лорду Чарльзу Тэммерли, много лет безответно влюблённому в Джулию, ко всем мужчинам, которые тщетно пытаются добиться её расположения.
Так же поначалу относится Джулия и к благоговеющему перед её талантом молодому бухгалтеру Тому Феннелу (Ивар Калныньш). Впрочем, казавшийся робким Феннел вдруг неожиданно вовлекает Джулию в связь и становится её любовником. В упорядоченную жизнь миссис Лэмберт вновь входят восторги любви и всплески страстного желания. Но вместе с тем есть в ней и муки ревности, переживания по поводу ухода молодости (тем более заметного, коль скоро возлюбленный Джулии «так дьявольски молод»). Тем не менее она целиком отдаётся нахлынувшим чувствам.
Со временем Джулия узнаёт, что отношения с Томом ударили по её репутации, о них судачат, причём в основном из-за тщеславия её друга. Джулия вынуждена признаться себе, что Том её не любит, она была для него лишь «пропуском» в мир богемы и аристократии, где он теперь прочно закрепился и значительно улучшил своё финансовое состояние.
Особым ударом становится для Джулии известие о том, что Том ей изменяет с молоденькой бездарной актрисой Эвис Крайтон (Майя Эглите). Это становится последним ударом.
Перед героиней встаёт сложная задача: преодолеть своё чувство к недостойному её мужчине, спасти свою репутацию в свете, отомстить сопернице, наконец, снова взять в руки власть над своей жизнью. С помощью своего актёрского таланта и профессионального мастерства она обеспечивает провал дебюту Эвис. Делает она это так, что никто не понимает, что «утопила» Эвис именно Джулия. Лишь муж Джулии Майкл сумел разгадать, что провал Эвис при всей бездарности последней — дело рук его супруги.
После успешной постановки Том торопится в гримёрку Джулии и предлагает ей уехать с ним, но получает отказ. Джулия не хочет никого видеть. Она оставляет поклонников и репортёров и отправляется в то место, о котором давно мечтала и в чём давно себе отказывала — в ресторан для хорошего ужина. Рассматривая ресторанную публику, Джулия замечает: «Присмотритесь внимательно к этим людям. Вот настоящий театр… А настоящая жизнь [показывая при этом на сердце] здесь».</t>
        </is>
      </c>
      <c r="L7154" s="2" t="inlineStr">
        <is>
          <t>https://ru.wikipedia.org/w/index.php?title=%D0%A2%D0%B5%D0%B0%D1%82%D1%80_%28%D1%84%D0%B8%D0%BB%D1%8C%D0%BC%2C_1978%29&amp;oldid=150907279</t>
        </is>
      </c>
      <c r="M7154" s="2">
        <f>HYPERLINK("https://ru.wikipedia.org/w/index.php?search=%D0%A2%D0%B5%D0%B0%D1%82%D1%80%201978%20%D1%84%D0%B8%D0%BB%D1%8C%D0%BC","искать")</f>
        <v/>
      </c>
      <c r="N7154" s="3" t="n"/>
      <c r="O7154" s="2" t="n"/>
      <c r="P7154" s="2" t="n"/>
    </row>
    <row r="7155">
      <c r="A7155" s="2" t="n">
        <v>7154</v>
      </c>
      <c r="B7155" s="2" t="inlineStr"/>
      <c r="C7155" s="2" t="n">
        <v>8524</v>
      </c>
      <c r="D7155" s="3" t="inlineStr">
        <is>
          <t>Хозяйка детского дома</t>
        </is>
      </c>
      <c r="E7155" s="2" t="n">
        <v>1983</v>
      </c>
      <c r="F7155" s="2" t="inlineStr">
        <is>
          <t>телефильм</t>
        </is>
      </c>
      <c r="G7155" s="2" t="n"/>
      <c r="H7155" s="2" t="n">
        <v>2738</v>
      </c>
      <c r="I7155" s="2" t="inlineStr"/>
      <c r="J7155" s="2" t="inlineStr"/>
      <c r="K7155" s="3" t="inlineStr">
        <is>
          <t>Александра Ивановна Ванеева руководит детским домом уже около 20 лет. Талантливый педагог и руководитель, она каждый день сталкивается со сложными жизненными ситуациями, в которые попадают её сотрудники и дети. Примерно за три года до описываемых в фильме событий Александра поселила у себя своего бывшего воспитанника Сергея Петренко. Сергей теперь учится в институте и собирается жениться. В то же время в детдом приходит Ксения Рябцева и просит у Александры взять её на работу кем угодно, но причины раскрывать отказывается (до этого она работала на фабрике с хорошим окладом). Александра всё же берёт её на должность нянечки, так как при подборе кадров в первую очередь смотрит на умение общаться с детьми и только потом уже на профессиональные навыки, и понимает, что не прогадала: Ксения не только старательно выполняет свою работу, но и великолепно ладит с детьми.
Через некоторое время Ксения спрашивает у Александры, бывали ли в её практике случаи, когда родители отказывались от своих детей, а потом пытались восстановить свои права над ними, а ещё через некоторое время она признаётся Александре, что является биологической матерью Сергея. Выясняется, что с его отцом она никогда не была расписана и что тот вовсе не хотел ребёнка, а Ксения, будучи очень молодой, побоялась сделать аборт. Рассчитывая уговорить его отца, она временно сдала сына в детский дом, но тут его отец подался на заработки далеко на восток, и Ксения, которая слишком его любила, в итоге отказалась от сына и поехала вместе с ним. В конечном итоге у неё хватило внимательности понять, что он её не любит, и она вернулась в Москву, но забрать сына не могла, потому что не имела жилья. Через какое-то время у неё случился роман с вдовцом, который прописал её к себе, и которому она собиралась рассказать всё, но меньше чем через год после начала их отношений у него случился инфаркт, и он умер, оставив Ксении квартиру с приличным имуществом. После похорон Ксения поняла, что у неё скопилось слишком много нерастраченной на сына любви.
Александра настоятельно советует Ксении молчать и вернуться обратно на фабрику, потому что ничего уже не исправить, но всё же раскрывает Сергею правду. Его реакция — нежелание признавать Ксению матерью. Тем не менее в день его свадьбы Александра всё же уговаривает его зайти к Ксении домой, непрозрачно намекая, что он должен научиться прощать даже её.
Фильм сопровождает побочная сюжетная линия, в которой Александре предлагает руку и сердце давно любимый ею человек Семён Потапов. Он также делает заманчивое предложение бросить нервную должность и уехать с ним в другой город, где её ждёт более высокооплачиваемая и спокойная работа. Долг и призвание не отпускают хозяйку детского дома — она нужна своим воспитанникам.</t>
        </is>
      </c>
      <c r="L7155" s="2" t="inlineStr">
        <is>
          <t>https://ru.wikipedia.org/w/index.php?title=%D0%A5%D0%BE%D0%B7%D1%8F%D0%B9%D0%BA%D0%B0_%D0%B4%D0%B5%D1%82%D1%81%D0%BA%D0%BE%D0%B3%D0%BE_%D0%B4%D0%BE%D0%BC%D0%B0&amp;oldid=155683291</t>
        </is>
      </c>
      <c r="M7155" s="2">
        <f>HYPERLINK("https://ru.wikipedia.org/w/index.php?search=%D0%A5%D0%BE%D0%B7%D1%8F%D0%B9%D0%BA%D0%B0%20%D0%B4%D0%B5%D1%82%D1%81%D0%BA%D0%BE%D0%B3%D0%BE%20%D0%B4%D0%BE%D0%BC%D0%B0%201983%20%D1%84%D0%B8%D0%BB%D1%8C%D0%BC","искать")</f>
        <v/>
      </c>
      <c r="N7155" s="3" t="n"/>
      <c r="O7155" s="2" t="n"/>
      <c r="P7155" s="2" t="n"/>
    </row>
    <row r="7156">
      <c r="A7156" s="2" t="n">
        <v>7155</v>
      </c>
      <c r="B7156" s="2" t="inlineStr"/>
      <c r="C7156" s="2" t="n">
        <v>10483</v>
      </c>
      <c r="D7156" s="3" t="inlineStr">
        <is>
          <t>А.П.Чехов "Сценки"</t>
        </is>
      </c>
      <c r="E7156" s="2" t="n">
        <v>1973</v>
      </c>
      <c r="F7156" s="2" t="inlineStr">
        <is>
          <t>фильм-спектакль</t>
        </is>
      </c>
      <c r="G7156" s="2" t="inlineStr">
        <is>
          <t>Лентелефильм</t>
        </is>
      </c>
      <c r="H7156" s="2" t="n">
        <v>2746</v>
      </c>
      <c r="I7156" s="2" t="inlineStr"/>
      <c r="J7156" s="2" t="inlineStr"/>
      <c r="K7156" s="3" t="inlineStr">
        <is>
          <t>Фильм-спектакль в постановке Большого Драматического Театра
Три миниатюры по рассказам А.П.Чехова Дорогая собака, Злоумышленник, Жених и папенька, об абсурдности бытия.
В каждой миниатюре один из персонажей обязательно настаивает на чем-то, совершенно не нужном другому.
"Дорогая собака"
Вольноопределяющийся Кнапс и поручик Дубов сидят пьют и спьяну горланят романс. Дубов пристает к Кнапсу, чтобы тот купил у него собаку. Стойка как у сеттера, чутье, нюх. На знатока - все 200 рублей. Он-то дал за щенка 150, а охотиться некогда. За любые деньги отдал бы. Но Кнапс не хочет, потому что сука. Дубов спорит, что это кобель. Кнапс обижен. Дубов зовет денщика и требует коньяку, а сам продолжает уговаривать Кнапса. Чем это он так не любит сук? Но Кнапс снова отказывается - ему не нужна собака, да и денег нет. Дубов прогоняет пса ; он уже готов отдать его бесплатно. Но Кнапс почти спит. “завтра же пошлю его на живодерню”, - решает Дубов. Плохая собака - грязь от нее, жрет много, непородистая. Вместе с разбуженным Кнапсом они снова затягивают “пьяный” романс.
"Злоумышленник"
Полицейский приводит крестьянина Григорьева к следователю в участок. Сторож застал его в тот момент, когда он свинчивал гайку с железнодорожного полотна. - Для чего вывинчивал, - интересуется следователь. - Кабы не нужна была, не отвинчивал. - А зачем? - Грузила делаем. - Врешь. - Да разве можно без грузила? Долго рассказывает Григорьев, как и что надо ловить. Да ведь поезд сошел бы с рельс, людей убило бы, увещевает следователь “злоумышленника”. Да мы не все отвинчиваем, мы понимаем. Оказывается в прошлом году здесь поезд сошел с рельс. Теперь понятно, чья это работа. Долго мучился следователь с Григорьевым. Он ему закон о наказании за повреждение железной дороги, влекущее за собой несчастье, а тот ему про рыбу. Надоел он следователю хуже смерти. И велел он вывести его вон. И незадачливого рыболова увели в тюрьму.
"Жених и папенька"
Жених Милкин сидит и жалуется - вот уж сколько времени он обедает у папеньки Кондрашкина, гуляет с его дочерью Настенькой, букеты носит. Настало время прекратить толки. И чтоб не надеялась. У папаши семь дочек. Видать одну пристроить хочет. И решает Милкин поговорить с папашей, а тот, кажется, догадывается, о чем. Понимая, что жених хочет дать деру, он загоняет его в угол. Жених выставляет ему свои доводы - не сошлись характерами, не достоин ее, пьяница, взятки беру, растратчик, наконец - он заявляет изумленному папаше, что он - беглый каторжник. У папаши же свои контрдоводы - поживете, все уладится, взятки берут все, а если Сибирь - то за вами последует. Тогда жених выкладывает свой последний “козырной” довод - я сумасшедший. И на глазах вконец ошарашенного папаши Милкин съедает стоящий на столе букет цветов.</t>
        </is>
      </c>
      <c r="L7156" s="2" t="inlineStr">
        <is>
          <t>https://www.kino-teatr.ru/teatr/movie/9905/annot/</t>
        </is>
      </c>
      <c r="M7156" s="2">
        <f>HYPERLINK("https://ru.wikipedia.org/w/index.php?search=%D0%90.%D0%9F.%D0%A7%D0%B5%D1%85%D0%BE%D0%B2%20%22%D0%A1%D1%86%D0%B5%D0%BD%D0%BA%D0%B8%22%201973%20%D1%84%D0%B8%D0%BB%D1%8C%D0%BC","искать")</f>
        <v/>
      </c>
      <c r="N7156" s="3" t="n"/>
      <c r="O7156" s="2" t="n"/>
      <c r="P7156" s="2" t="n"/>
    </row>
    <row r="7157">
      <c r="A7157" s="2" t="n">
        <v>7156</v>
      </c>
      <c r="B7157" s="2" t="inlineStr"/>
      <c r="C7157" s="2" t="n">
        <v>8949</v>
      </c>
      <c r="D7157" s="3" t="inlineStr">
        <is>
          <t>Пока гром не грянет</t>
        </is>
      </c>
      <c r="E7157" s="2" t="n">
        <v>1991</v>
      </c>
      <c r="F7157" s="2" t="inlineStr">
        <is>
          <t>кинофильм</t>
        </is>
      </c>
      <c r="G7157" s="2" t="n"/>
      <c r="H7157" s="2" t="n">
        <v>2766</v>
      </c>
      <c r="I7157" s="2" t="inlineStr"/>
      <c r="J7157" s="2" t="inlineStr"/>
      <c r="K7157" s="3" t="inlineStr">
        <is>
          <t>1-ая серия. Исповедь нечерноземного человека. В стране перестройка, а в Калиновке тихо, деревня вымирает. Одна только надежда на местного механизатора Алексея Воронина. У него в семье трое ребятишек-школьников, и молодые родители вновь готовы «увеличить народонаселение страны». Жена Алексея, Надежда, бригадир на ферме, очень нужный колхозу специалист. Случилось непредвиденное: за вывод из строя комбайна председатель колхоза Кутузов назначил Воронину небывалый штраф 700 руб. Обидевшись, Алексей пригрозил увезти из деревни семью и ликвидировать Калиновку. Леша едет на разведку в соседний колхоз, где родственник сводит его с председателем колхоза «Рассвет». Под водочку они затевают разговор об обиде Алексея на своего председателя. Кузнецов обещает принять семью Воронина в свой колхоз и выделить им новый дом. Алексей возвращается домой на машине «Волга» с водителем, которую барским жестом предоставил собутыльнику Кузнецов.
2-ая серия. Исповедь российского мужика. По сути, Алексей не пьяница. Он – человек с достоинством. Воронин душой болеет за судьбу русской деревню, и часто воображает, как выступает на съезде народных депутатов в защиту сельских тружеников. Но простить председателю штраф он не может и упрямо готовится к переезду в соседний колхоз. Чтобы расплатиться с колхозом, семья режет телку, и Надежда вручает председателю деньги за проданное мясо. Кутузов отказывается брать деньги, объясняя, что он хотел припугнуть механизатора и призвать его к дисциплине. Но Алексей не собирается отменять своего решения уехать. Он надеется уже осенью вселиться в новый дом в соседнем колхозе и решил разобрать родительский дом на дрова. Он начал показательно разбирать крышу на глазах у соседей, хотя осведомленные люди предупреждают его, что Кузнецов не продержится на своей должности до осени, и дом Воронины не получат. Так и вышло. Тогда Алексей объявляет сельчанам, что дезертирует с калиновского фронта на московские окраины. Там обосновались земляки Леши и пристроились, кто милиционером, кто сантехником или дворником, а кто и на прибыльном месте гробовщика. На вечеринке по поводу приезда Алексея пьют за бывшего механизатора – будущего ассенизатора. Воронин возвращается в Калиновку, чтобы распрощаться с односельчанами. Во дворе Надя накрывает стол для гостей. Нагрянувший дождь загоняет всех в дом, где с потолка капает вода сквозь разрушенную крышу. Старики с укором обращаются к Алексею: «Прощения-то у родителей попросил, что дом родной разорил?» Не в силах смотреть в глаза стариков, Воронин выбегает во двор под дождь и упрямо твердит, что пока он не поймет, что к нему не относятся, как к тягловому скоту, он не перестанет выкидывать коленца. Ему нужно вновь поверить в себя, и тогда его жизнь и жизнь семьи наладится, где бы он ни жил.</t>
        </is>
      </c>
      <c r="L7157" s="2" t="inlineStr">
        <is>
          <t>https://gosfilmofond.ru/films/232413/</t>
        </is>
      </c>
      <c r="M7157" s="2">
        <f>HYPERLINK("https://ru.wikipedia.org/w/index.php?search=%D0%9F%D0%BE%D0%BA%D0%B0%20%D0%B3%D1%80%D0%BE%D0%BC%20%D0%BD%D0%B5%20%D0%B3%D1%80%D1%8F%D0%BD%D0%B5%D1%82%201991%20%D1%84%D0%B8%D0%BB%D1%8C%D0%BC","искать")</f>
        <v/>
      </c>
      <c r="N7157" s="3" t="n"/>
      <c r="O7157" s="2" t="n"/>
      <c r="P7157" s="2" t="n"/>
    </row>
    <row r="7158">
      <c r="A7158" s="2" t="n">
        <v>7157</v>
      </c>
      <c r="B7158" s="2" t="inlineStr"/>
      <c r="C7158" s="2" t="n">
        <v>9404</v>
      </c>
      <c r="D7158" s="3" t="inlineStr">
        <is>
          <t>Как живёте, караси?</t>
        </is>
      </c>
      <c r="E7158" s="2" t="n">
        <v>1991</v>
      </c>
      <c r="F7158" s="2" t="inlineStr">
        <is>
          <t>кинофильм</t>
        </is>
      </c>
      <c r="G7158" s="2" t="n"/>
      <c r="H7158" s="2" t="n">
        <v>2774</v>
      </c>
      <c r="I7158" s="2" t="inlineStr"/>
      <c r="J7158" s="2" t="inlineStr"/>
      <c r="K7158" s="3" t="inlineStr">
        <is>
          <t>Действие происходит в самом начале 1990-х годов. Основные события перемежаются с чёрно-белыми кадрами флэшбека, в котором бард (в образе Александра Галича) на квартирном концерте исполняет под гитару песню «Желание славы», а среди слушающих есть некоторые персонажи фильма.
Отставной полковник КГБ Иннокентий Всеволодович Картошкин, уйдя на пенсию, продолжает хранить у себя на даче картотеку и протоколы допросов людей, сотрудничавших в прежние годы с Комитетом. Время от времени он снова вызывает их, отправляя им по почте повестки, и, угрожая разоблачением в «стукачестве», вновь требует предоставлять отчёты об их окружении. Среди этих людей — политики, писатели, художники, бывшие диссиденты. В их числе филолог и правозащитник Дмитрий Никитович Тищенко, которого с Картошкиным связывают и личные отношения — когда-то Тищенко, будучи женатым, находился в связи с дочерью Картошкина, умершей при родах дочери. Внучку Машеньку Картошкин воспитывал один и никогда не показывал её Тищенко. Между тем, Машенька знакомится с Никитой, сыном Тищенко, однако оба они не подозревают, что являются единокровными братом и сестрой. Узнав, что его сын встречается с внучкой полковника, Тищенко пытается запретить ему видеться с ней, не объясняя причин, что приводит к ссоре с Никитой. Тищенко делает попытку заявить в КГБ о том, что Картошкин шантажирует людей документами о сотрудничестве, но майор, с которым он разговаривает, отказывается что-либо предпринимать.
Между тем, узнав о том, что у полковника на даче есть огромный подвал, им начинает интересоваться местная преступная группировка. Однажды ночью они врываются на дачу и, избив полковника, ищут в подвале ценности, однако к своему разочарованию находят только бумажный архив. На место прибывает глава преступной группировки («Человечек»), который понимает, что из документов полковника можно извлечь немалый доход. Он устанавливает на даче полковника дежурство своих людей, приглашает к нему врачей, создаёт ксерокопии документов и начинает сам шантажировать бывших «клиентов» Картошкина, вымогая у них деньги. Он также связывается с главным редактором одной из центральных газет (на которого у Картошкина также есть досье) и договаривается о сотрудничестве.
Тем временем Тищенко собирает знакомых, которые в своё время сотрудничали с КГБ, и предлагает им уничтожить архив полковника. Ночью милиция нападает на людей Человечка, однако в перестрелке все погибают. Тищенко обливает бензином архив полковника и поджигает его.
В эпилоге, происходящем в 1993 году, на лондонском аукционе «Филлипс» в качестве одного из лотов предлагается «архив полковника Картошкина». За него торгуются Человечек и майор КГБ, и в результате архив выкупает Человечек. Титры фильма идут под фонограмму передачи «Поле чудес» с Владом Листьевым.</t>
        </is>
      </c>
      <c r="L7158" s="2" t="inlineStr">
        <is>
          <t>https://ru.wikipedia.org/w/index.php?title=%D0%9A%D0%B0%D0%BA_%D0%B6%D0%B8%D0%B2%D1%91%D1%82%D0%B5%2C_%D0%BA%D0%B0%D1%80%D0%B0%D1%81%D0%B8%3F&amp;oldid=153393171</t>
        </is>
      </c>
      <c r="M7158" s="2">
        <f>HYPERLINK("https://ru.wikipedia.org/w/index.php?search=%D0%9A%D0%B0%D0%BA%20%D0%B6%D0%B8%D0%B2%D1%91%D1%82%D0%B5%2C%20%D0%BA%D0%B0%D1%80%D0%B0%D1%81%D0%B8%3F%201991%20%D1%84%D0%B8%D0%BB%D1%8C%D0%BC","искать")</f>
        <v/>
      </c>
      <c r="N7158" s="3" t="n"/>
      <c r="O7158" s="2" t="n"/>
      <c r="P7158" s="2" t="n"/>
    </row>
    <row r="7159">
      <c r="A7159" s="2" t="n">
        <v>7158</v>
      </c>
      <c r="B7159" s="2" t="inlineStr"/>
      <c r="C7159" s="2" t="n">
        <v>9732</v>
      </c>
      <c r="D7159" s="3" t="inlineStr">
        <is>
          <t>Хищники</t>
        </is>
      </c>
      <c r="E7159" s="2" t="n">
        <v>1991</v>
      </c>
      <c r="F7159" s="2" t="inlineStr">
        <is>
          <t>кинофильм</t>
        </is>
      </c>
      <c r="G7159" s="2" t="n"/>
      <c r="H7159" s="2" t="n">
        <v>2777</v>
      </c>
      <c r="I7159" s="2" t="inlineStr"/>
      <c r="J7159" s="2" t="inlineStr"/>
      <c r="K7159" s="3" t="inlineStr">
        <is>
          <t>В заповедник «Предгорье» прибывает следователь Ольга Догурова. В лесу убит молодой московский учёный, специалист по соболю Эдуард Алдонин. Арестован подозреваемый Нил Осетров, работник заповедника. Местный участковый Арсений Николаевич предполагает, что убийство произошло из-за соперничества двух молодых людей. Элуард оказывал повышенное внимание дочери директора заповедника Марине, а Нил, знавший девушку с детства и любивший её, мог в порыве ревности застрелить соперника. Осетров не отрицает своей вины, но говорит, что в него первого стреляли, а потом он ответил 2-мя выстрелами: сначала в воздух, а потом по нападавшему. Однако ружья возле трупа найдено не было. Баллистическая экспертиза показала, что Алдонин убит не из ружья Осетрова. На следующий день местные мальчишки нашли неподалёку ружьё Алдонина и рюкзак со множеством шкурок соболя. Следователь едет в Москву, чтобы узнать, что за человек был Алдонин. Для научной работы ему разрешался отстрел трёх соболей в год. При обыске квартиры, где жил Алдонин с матерью, обнаружили соболиный клондайк. Она знала, что у её сына какие-то дела с директором заповедника. Семья жила с размахом, и следователь предположила, что Алдонин занимался незаконным промыслом. Оставалось найти убийцу браконьера. Следователь узнает, что местный бомж Флейта недавно продал две шкурки соболя. Его арестовывают и обнаруживают у него бумажник Алдонина. Флейта признается в убийстве, но путается в показаниях. Его показания приводят Догурову к бывшему леснику заповедника Аделине, которая подкармливала Флейту. Директор заповедника Гаев утверждал, что у неё есть ружьё. Аделина дает показания, что при увольнении она сдала ружье директору заповедника. Он отрицает, но обещает не простить женщине показания против него. Ружьё находят в колодце. Марина с Нилом гуляют в лесу. Он говорит, что хочет, чтобы она всегда была рядом с ним. Девушка заявляет, что её мечта посмотреть мир, и ничто не сможет удержать её в лесу. Молодые люди слышат крик, и Нил бежит на помощь. Он видит, что на противоположном берегу реки мужчина топит женщину. Когда он добирается туда, Аделина уже мертва. Нил бросается в погоню за убийцей. Ночь застает его в лесу. Рано утром на Нила нападает Гаев и ранит его. Осетров ждёт расправы, но отец Марины связывает парня и нагружает его рюкзаком. Они передвигаются по болотистой местности. Осетров изворачивается и сталкивает Гаева в болото. Тот бросает фразу, что без него Нил не выйдет отсюда. Парень развязывает рюкзак, в котором, по словам Гаева, верёвка. Рюкзак полон шкурок соболя. Осетров в шоке и заявляет директору заповедника, что тот настоящий хищник. В небе показывается милицейский вертолёт. Гаева засасывает трясина. Нил перед милицией один с ружьем и мешком полным соболиных шкурок. Ему скручивают руки.</t>
        </is>
      </c>
      <c r="L7159" s="2" t="inlineStr">
        <is>
          <t>https://gosfilmofond.ru/films/232609/</t>
        </is>
      </c>
      <c r="M7159" s="2">
        <f>HYPERLINK("https://ru.wikipedia.org/w/index.php?search=%D0%A5%D0%B8%D1%89%D0%BD%D0%B8%D0%BA%D0%B8%201991%20%D1%84%D0%B8%D0%BB%D1%8C%D0%BC","искать")</f>
        <v/>
      </c>
      <c r="N7159" s="3" t="n"/>
      <c r="O7159" s="2" t="n"/>
      <c r="P7159" s="2" t="n"/>
    </row>
    <row r="7160">
      <c r="A7160" s="2" t="n">
        <v>7159</v>
      </c>
      <c r="B7160" s="2" t="inlineStr"/>
      <c r="C7160" s="2" t="n">
        <v>7812</v>
      </c>
      <c r="D7160" s="3" t="inlineStr">
        <is>
          <t>Личная жизнь Деда Мороза</t>
        </is>
      </c>
      <c r="E7160" s="2" t="n">
        <v>1982</v>
      </c>
      <c r="F7160" s="2" t="inlineStr">
        <is>
          <t>телефильм</t>
        </is>
      </c>
      <c r="G7160" s="2" t="n"/>
      <c r="H7160" s="2" t="n">
        <v>2783</v>
      </c>
      <c r="I7160" s="2" t="inlineStr"/>
      <c r="J7160" s="2" t="inlineStr"/>
      <c r="K7160" s="3" t="inlineStr">
        <is>
          <t>Рассказ о новогодних приключениях «среднего» актёра Роберта, подрабатывающего на детских ёлках в роли Деда Мороза. Встречаясь с людьми, преданными искусству, Роберт убеждается, что для актёра не должно быть маленьких ролей…
Начинается фильм с того, что у Роберта глохнет его видавший виды «Москвич-403», за что его намерен оштрафовать дежуривший на перекрёстке инспектор ГАИ. Однако недоверие инспектора роду деятельности первого и личная изобретательность актёра срывают процедуру оформления штрафа.
В театре Роберта поджидает ещё один неприятный сюрприз — его многолетняя спутница Самита, игравшая на «ёлках» Снегурочку, беременна, в результате чего он вынужден срочно искать другую актрису. Но сделать это оказывается не так просто, тем более, что главный режиссёр театра рвёт и мечет по вопросам постановки «Гамлета» и детского спектакля «Мышиная полянка».
Кроме этого, у Роберта проблемы в семье — из-за его постоянной занятости, а также занятости его супруги, он практически не видится с сыном, при этом достаёт все необходимые в хозяйстве товары — от хлеба, молока и мяса до детских сапожек.
Внезапно судьба готовит Роберту целую череду сюрпризов — он находит новую исполнительницу роли Снегурочки в лице уборщицы Элизабеты (причём имя он узнаёт абсолютно случайно, так как часто свой «Москвич» ласково называет Лизонькой), ему предлагают сыграть роль Деда Мороза на утреннике в автосервисе, а также утверждают на роль Гамлета в театре.
«Ёлки» с участием Лизы проходят буквально на «ура», особенно с большим успехом проходит «ёлка» в автосервисе, где друг друга подменяют по принципу «ты — мне, я — тебе» Роберт и автомеханик Янко. В результате дети довольны, а «Москвич» Роберта снова на ходу, при этом никто не заметил подмены.
Элизабета тоже удивляет Роберта — она дарит ему (как выясняется позже — возвращает ранее утерянный) старый томик «Гамлета» (Роберт узнаёт его по пометкам на страницах), а также делится своими детскими воспоминаниями, связанными с ним.
Во время одной из поездок к своему знакомому — театральному актёру Микелису — Роберт внезапно узнаёт, что тот позвал его на новоселье под предлогом «ёлки» только ради того, чтобы высказать всё, что о нём думает. Тем более, вместо детей были деятели культуры и искусств. Роберт расстроен и вынужден покинуть квартиру Микелиса. Уже в машине он признаётся Лизе о подмене в автосервисе, но та ничего и слышать не хочет.
После скандала с Микелисом, Роберт приходит в уже закрытый театр, где его встречает главный режиссёр и они вместе репетируют «Гамлета».
Через некоторое время в театре проходит успешная премьера «Гамлета». Роберт становится главным любимцем труппы, а механик Янко даже знакомит его со своей супругой и дарит комплект деталей.
Завершается фильм видом «Москвича» Роберта на фоне одной из улиц Риги.</t>
        </is>
      </c>
      <c r="L7160" s="2" t="inlineStr">
        <is>
          <t>https://ru.wikipedia.org/w/index.php?title=%D0%9B%D0%B8%D1%87%D0%BD%D0%B0%D1%8F_%D0%B6%D0%B8%D0%B7%D0%BD%D1%8C_%D0%94%D0%B5%D0%B4%D0%B0_%D0%9C%D0%BE%D1%80%D0%BE%D0%B7%D0%B0&amp;oldid=155281850</t>
        </is>
      </c>
      <c r="M7160" s="2">
        <f>HYPERLINK("https://ru.wikipedia.org/w/index.php?search=%D0%9B%D0%B8%D1%87%D0%BD%D0%B0%D1%8F%20%D0%B6%D0%B8%D0%B7%D0%BD%D1%8C%20%D0%94%D0%B5%D0%B4%D0%B0%20%D0%9C%D0%BE%D1%80%D0%BE%D0%B7%D0%B0%201982%20%D1%84%D0%B8%D0%BB%D1%8C%D0%BC","искать")</f>
        <v/>
      </c>
      <c r="N7160" s="3" t="n"/>
      <c r="O7160" s="2" t="n"/>
      <c r="P7160" s="2" t="n"/>
    </row>
    <row r="7161">
      <c r="A7161" s="2" t="n">
        <v>7160</v>
      </c>
      <c r="B7161" s="2" t="inlineStr"/>
      <c r="C7161" s="2" t="n">
        <v>8915</v>
      </c>
      <c r="D7161" s="3" t="inlineStr">
        <is>
          <t>Палач</t>
        </is>
      </c>
      <c r="E7161" s="2" t="n">
        <v>1990</v>
      </c>
      <c r="F7161" s="2" t="inlineStr">
        <is>
          <t>кинофильм</t>
        </is>
      </c>
      <c r="G7161" s="2" t="inlineStr">
        <is>
          <t>Русское видео; Ладога; Ленфильм</t>
        </is>
      </c>
      <c r="H7161" s="2" t="n">
        <v>2783</v>
      </c>
      <c r="I7161" s="2" t="inlineStr"/>
      <c r="J7161" s="2" t="inlineStr"/>
      <c r="K7161" s="3" t="inlineStr">
        <is>
          <t>Ленинград, апрель 1990 года. Трое партнёров по бриджу (метрдотель ресторана Игорь, врач-нарколог Виктор и скульптор Саша) насилуют журналистку Ольгу, введя ей в вену некое наркотическое вещество. Четвёртый, Андрей, не участвует в изнасиловании, но и ничего не делает, чтобы его предотвратить. Ольга решает не подавать заявление в милицию, несмотря на уговоры следователя и своего друга-хирурга Сергея, а самостоятельно отомстить обидчикам. Вначале она приходит в гости к «подруге» Свете, которая помогла насильникам заманить жертву, и, угрожая изуродовать её кислотой, заставляет Свету назвать имена и телефоны четверых. Продав серьги с бриллиантами, Ольга находит криминального авторитета Вольдемара и просит его, чтобы он наказал её обидчиков за вознаграждение — каким образом, он сам должен придумать.
Дочь Игоря жестоко насилуют. Ольга звонит Игорю и объявляет, что с ним она в расчёте, но трое других получат своё. Трое решают послать Андрея, чтобы предложить Оле деньги. Оля не хочет с ним говорить; в ходе ссоры Андрей бьёт Ольгу по лицу и уходит, она вонзает ему в спину нож. Сергей оказывает помощь Андрею, Андрей остаётся выздоравливать в квартире Ольги.
Исчезновение Андрея пугает насильников. Игорь, боясь за себя и семью, уезжает с женой и дочерью в Алушту, благодаря Саше, который достал для них путёвки. Игорь оставляет ему свою «Копейку» по его просьбе. Виктор берёт отпуск и собирается уехать, но люди Вольдемара, представившись сотрудниками КГБ, похищают его и в течение 10 дней накачивают наркотиками.
Андрей выздоравливает, Ольга прячет его на даче в Комарово. Она передаёт через человека Вольдемара просьбу остановить убийства, но тот отвечает, что сейчас у него нет связи с Вольдемаром, а механизм уже запущен. Посадив Виктора на иглу, его возвращают домой и приказывают вызвать к себе Сашу. Приехав, тот застаёт умершего от передозировки Виктора, после чего обнаруживает погоню. Выехав на путепроводе на встречную полосу для обгона, Саша неожиданно обнаруживает, что у машины выведены из строя тормоза, он падает с эстакады и гибнет.
Ольга узнаёт о самоубийстве Светы. Утром звонит Вольдемар. Ольга вновь просит его прекратить убийства, но тот заявляет, что он и сам не может это сделать, поскольку приказы уже переданы другим людям. Ольга возвращается на дачу и решает уехать с Андреем. Машина оказывается выведена из строя. Когда они садятся в электричку, в толпе один из следивших за ними подручных Вольдемара всаживает Андрею нож в спину, и он умирает на руках Ольги.
К Ольге домой приходит Вольдемар. Застрелив Вольдемара из ружья, Ольга вспоминает, как она в детстве побежала встречать отца, офицера флота, и тот подарил ей мягкую игрушку в виде собаки. Девочка бежит дальше по лесу и радуется, эта картина прерывается выстрелом, девочка медленно падает.</t>
        </is>
      </c>
      <c r="L7161" s="2" t="inlineStr">
        <is>
          <t>https://ru.wikipedia.org/w/index.php?title=%D0%9F%D0%B0%D0%BB%D0%B0%D1%87_%28%D1%84%D0%B8%D0%BB%D1%8C%D0%BC%2C_1990%29&amp;oldid=153075607</t>
        </is>
      </c>
      <c r="M7161" s="2">
        <f>HYPERLINK("https://ru.wikipedia.org/w/index.php?search=%D0%9F%D0%B0%D0%BB%D0%B0%D1%87%201990%20%D1%84%D0%B8%D0%BB%D1%8C%D0%BC","искать")</f>
        <v/>
      </c>
      <c r="N7161" s="3" t="n"/>
      <c r="O7161" s="2" t="n"/>
      <c r="P7161" s="2" t="n"/>
    </row>
    <row r="7162">
      <c r="A7162" s="2" t="n">
        <v>7161</v>
      </c>
      <c r="B7162" s="2" t="inlineStr"/>
      <c r="C7162" s="2" t="n">
        <v>9003</v>
      </c>
      <c r="D7162" s="3" t="inlineStr">
        <is>
          <t>Пять похищенных монахов</t>
        </is>
      </c>
      <c r="E7162" s="2" t="n">
        <v>1991</v>
      </c>
      <c r="F7162" s="2" t="inlineStr">
        <is>
          <t>кинофильм</t>
        </is>
      </c>
      <c r="G7162" s="2" t="n"/>
      <c r="H7162" s="2" t="n">
        <v>2799</v>
      </c>
      <c r="I7162" s="2" t="inlineStr"/>
      <c r="J7162" s="2" t="inlineStr"/>
      <c r="K7162" s="3" t="inlineStr">
        <is>
          <t>В южном приморском городе Карманове во дворе старого многоэтажного дома на крыше сарая мальчишки устроили голубятню. Рыжий паренек «Крендель» очень гордится и своим городом, и своим «дружным» домом, и своими голубями. Он целые летние дни проводит на крыше: читает «ученые» книжки и вместе с друзьями Лопотухиным и маленьким Юркой запускает в небо белых монахов. Но не все в этом городе столь безмятежно. Неизвестные ночью вскрыли склад хозяйственного магазина и похитили большую партию «алмазов» – дефицитных стеклорезов. Не досчитались на складе и кошелки – садка для голубей. А у мальчишек похитили голубей. Да тут ещё из исполкома принесли недобрую весть, что их старый дом снесут через неделю. К операции по раскрытию преступления, в котором подозревают местное бандитское формирование «Черные монахи», приступает местная милиция. Трое друзей-мальчишек ведут собственное расследование. Оно приводит их на рынок к Моне Кожаному, к которому обычно приносят ворованных голубей. Он открещивается от кражи голубей, но предлагает ребятам купить алмазные стеклорезы. Вопрос ребят о голубях встревожил его, и Моня приглашает ребят в тир, где работает. Заманив мальчишек в подвал, где собралась банда «Черные монахи», он сообщил подельникам, что ребята подосланы милицией, и их нужно изолировать. Мальчишкам удается сбежать из подвала, но они попадают в милицию. Сыщики, приметив ребят, крутящихся возле Кожаного, решили, что те помогают ему сбывать награбленное. Ребята рассказали, почему они оказались возле Мони и о том, что в подвале они видели бандитов. Милиция выслеживает бандитов и арестовывает их. Кожаному удается унести стеклорезы и скрыться. Тем временем похититель голубей-монахов записывает на магнитофон отчет о «юбилее». Он украл уже 250 голубей, и решил, продав пять последних монахов, переключиться на воровство телевизоров. Он посадил голубей в кошелку, схожую с той, в которой бандиты хранили похищенные стеклорезы. Кожаный, скрываясь от преследования, приходит к похитителю голубей. Он сообщает ему, что дела плохи, и всех его подельников взяли. Уходя, он по ошибке забирает вместо своей кошелки со стеклорезами - с голубями. Моня приходит в баню. Там его выследили милиционеры и ребята. При захвате бандита кошелка ломается, и голуби взмывают в небо. Похититель голубей приносит свою кошелку на рынок, думая, что там голуби. Когда он открывает корзину по требованию милиции, то все видят, что там стеклорезы. Вор бросает все и убегает. Он испуган и клянется начать новую жизнь. Жители старого дома выходят на демонстрацию против сноса их дома с плакатами «Наш дом-музей». Они объясняют окружающим, что дом имеет свою интересную историю, описанную в повести «Пять похищенных монахов». Рабочие, которые должны сносить дом, отступают. Дом спасен, и голубятня остается на прежнем месте.</t>
        </is>
      </c>
      <c r="L7162" s="2" t="inlineStr">
        <is>
          <t>https://gosfilmofond.ru/films/232492/</t>
        </is>
      </c>
      <c r="M7162" s="2">
        <f>HYPERLINK("https://ru.wikipedia.org/w/index.php?search=%D0%9F%D1%8F%D1%82%D1%8C%20%D0%BF%D0%BE%D1%85%D0%B8%D1%89%D0%B5%D0%BD%D0%BD%D1%8B%D1%85%20%D0%BC%D0%BE%D0%BD%D0%B0%D1%85%D0%BE%D0%B2%201991%20%D1%84%D0%B8%D0%BB%D1%8C%D0%BC","искать")</f>
        <v/>
      </c>
      <c r="N7162" s="3" t="n"/>
      <c r="O7162" s="2" t="n"/>
      <c r="P7162" s="2" t="n"/>
    </row>
    <row r="7163">
      <c r="A7163" s="2" t="n">
        <v>7162</v>
      </c>
      <c r="B7163" s="2" t="inlineStr"/>
      <c r="C7163" s="2" t="n">
        <v>8249</v>
      </c>
      <c r="D7163" s="3" t="inlineStr">
        <is>
          <t>Путешествие миссис Шелтон</t>
        </is>
      </c>
      <c r="E7163" s="2" t="n">
        <v>1975</v>
      </c>
      <c r="F7163" s="2" t="inlineStr">
        <is>
          <t>телефильм</t>
        </is>
      </c>
      <c r="G7163" s="2" t="n"/>
      <c r="H7163" s="2" t="n">
        <v>2816</v>
      </c>
      <c r="I7163" s="2" t="inlineStr"/>
      <c r="J7163" s="2" t="inlineStr"/>
      <c r="K7163" s="3" t="inlineStr">
        <is>
          <t>Действие фильма происходит в середине 1970-х годов. На борту советского круизного лайнера, совершающего международное путешествие по Чёрному морю, собирается группа иностранных туристов. Среди пассажиров преобладают англичане — требовательные, педантичные и нередко капризные гости, которые внимательно следят за уровнем обслуживания и ищут малейшие поводы для недовольства. Экипажу приходится работать на пределе сил, ведь от успеха этого рейса зависит репутация советского туристического агентства, стремящегося закрепиться на международном рынке и доказать, что советский сервис способен конкурировать с западным. Одной из пассажирок оказывается миссис Шелтон — энергичная англичанка 38 лет, недавно овдовевшая после измены мужа с её близкой подругой. Разочарованная и раздражительная, она путешествует в одиночестве, не упуская случая выразить недовольство экипажу, соседям по столу и организаторам круиза. Любое происшествие на борту она воспринимает как личное оскорбление и тут же оформляет жалобу, чем вызывает немало трудностей у администрации судна.
Во время рейса на лайнер тайно пробирается безбилетный пассажир — немолодой англичанин Джон Итинг. Он оказался на корабле случайно, спасаясь от неприятностей, и теперь вынужден скрываться, чтобы не быть арестованным за нарушение правил. Судьба сводит его с миссис Шелтон: в поисках укрытия Джон случайно попадает в её каюту. Женщина, поражённая нахальством юноши, сначала собирается сообщить о нём капитану, но потом, поддавшись жалости и любопытству, решает сохранить его тайну. С этого момента между ними устанавливаются сложные, но постепенно теплеющие отношения. Поначалу миссис Шелтон относится к незваному гостю с недоверием, подозревая его в преступных намерениях. Однако Джон оказывается обаятельным и искренним человеком, рассказывает о своём трудном прошлом, о неудавшейся любви и стремлении начать жизнь заново. Постепенно между ними возникает взаимное доверие. Молодой человек помогает женщине взглянуть на мир иначе — без злости, с интересом к людям и сочувствием к окружающим.
Параллельно разворачиваются и другие линии: советский экипаж сталкивается с бюрократическими трудностями и попытками иностранных конкурентов дискредитировать рейс, среди пассажиров происходят комические и драматические ситуации, а атмосфера круиза становится своеобразной метафорой столкновения культур и характеров. В финале миссис Шелтон, пережившая цепь эмоциональных испытаний и внутреннее преображение, помогает Джону избежать разоблачения и даже вступается за советский экипаж, став объектом всеобщего уважения. По завершении путешествия она покидает лайнер другим человеком — более открытой, доброй и способной к состраданию. Её знакомство с Джоном становится для неё символом нового этапа в жизни и возможностью вновь поверить в человеческое тепло и любовь.</t>
        </is>
      </c>
      <c r="L7163" s="2" t="inlineStr">
        <is>
          <t>https://ru.wikipedia.org/w/index.php?title=%D0%9F%D1%83%D1%82%D0%B5%D1%88%D0%B5%D1%81%D1%82%D0%B2%D0%B8%D0%B5_%D0%BC%D0%B8%D1%81%D1%81%D0%B8%D1%81_%D0%A8%D0%B5%D0%BB%D1%82%D0%BE%D0%BD&amp;oldid=153141051</t>
        </is>
      </c>
      <c r="M7163" s="2">
        <f>HYPERLINK("https://ru.wikipedia.org/w/index.php?search=%D0%9F%D1%83%D1%82%D0%B5%D1%88%D0%B5%D1%81%D1%82%D0%B2%D0%B8%D0%B5%20%D0%BC%D0%B8%D1%81%D1%81%D0%B8%D1%81%20%D0%A8%D0%B5%D0%BB%D1%82%D0%BE%D0%BD%201975%20%D1%84%D0%B8%D0%BB%D1%8C%D0%BC","искать")</f>
        <v/>
      </c>
      <c r="N7163" s="3" t="n"/>
      <c r="O7163" s="2" t="n"/>
      <c r="P7163" s="2" t="n"/>
    </row>
    <row r="7164">
      <c r="A7164" s="2" t="n">
        <v>7163</v>
      </c>
      <c r="B7164" s="2" t="inlineStr"/>
      <c r="C7164" s="2" t="n">
        <v>9555</v>
      </c>
      <c r="D7164" s="3" t="inlineStr">
        <is>
          <t>По Таганке ходят танки</t>
        </is>
      </c>
      <c r="E7164" s="2" t="n">
        <v>1991</v>
      </c>
      <c r="F7164" s="2" t="inlineStr">
        <is>
          <t>кинофильм</t>
        </is>
      </c>
      <c r="G7164" s="2" t="n"/>
      <c r="H7164" s="2" t="n">
        <v>2828</v>
      </c>
      <c r="I7164" s="2" t="inlineStr"/>
      <c r="J7164" s="2" t="inlineStr"/>
      <c r="K7164" s="3" t="inlineStr">
        <is>
          <t>Российский город эпохи перестройки. Из длинного тоннеля вылетает мотоцикл и врезается в грузовик. Мотоциклист летит над машиной. Больничная палата. Парень приходит в себя и обнаруживает вокруг себя странных пациентов. Похоже, это психбольница. Один из пациентов по имени Брокгауз Иоанн вступает в доверительный контакт с новеньким. Он говорит, что в нынешней стране в психбольнице сидят вполне нормальные интеллигентные люди, такие, как он. Через некоторое время Иоанн уводит парня через окно на волю и ведёт в ресторан. Там молодой человек обнаруживает, что может мысленно воздействовать на людей, но ничего не помнит о своём прошлом. Иоанн нарекает нового приятеля именем «Игрек Великий». Мужчины отправляются на прогулку по городу. Подстрекаемый Иоанном Игрек дает команду директору продуктового магазина, и тот отпускает приятелям дефицитный товар без очереди и бесплатно. Довольные они возвращаются в психбольницу. Там уже обнаружили их отсутствие, и решетки на окнах заваривают. Игрек невольно завораживает одну из медсестер, и Галя влюбляется в него. Убедившись в силе своих мыслей, Игрек дает команду санитарам, они отрывают дверь. Игрек и Иоанн вновь отправляются в путешествие. Бесплатно одевшись в валютном магазине, они отправляются в гостиницу для иностранцев и развлекаются там с женщинами лёгкого поведения. На улице легко отделываются от сотрудников КГБ и ГАИ. Друзья почувствовали вкус жизни во вседозволенности, когда можно давать приказы, но не нести за них ответственность. Тем временем случайный встречный узнает в Игреке своего соседа с Таганки. Не сумев связаться ни с кем со своей улицы, Игрек возвращается в больницу, где с ним поступают как с буйным помешанным. Галя выручает парня, и он сбегает из больницы. На свободе его встречает Иоанн. Они идут к театру, где раньше служил Иоанн. Он рассказывает свою историю, когда его, артиста театра, отправляют в психбольницу за то, что он хотел показать нетрадиционного Фамусова. Возле театра к молодому человеку обращается девушка: «Костя, ты куда пропал?», а тот отвечает ей, что он – Игрек. Тем временем доктор сообщает в КГБ о пациенте с необычным даром влияния на людей. Иоанн убеждает Игрека, что он должен стать поводырём для народа. Игрек с подачи КГБ начинает выступать по телевидению, оказывая психологическое воздействие на людей. Однако у Иоанна далеко идущие планы. Он хочет сделать приятеля президентом страны и стать при нем серым кардиналом. Захват власти не получился. Игрека разыскивает милиция. Иоанн настаивает на осуществлении Игреком других своих коварных планов, но тот отказывается. Тогда Иоанн сдает приятеля милиции. На него надевают наручники. По Таганке навстречу милицейской машине начинают двигаться танки. Милиционеры разбегаются. Костя пытается остановить танки силой своей мысли, но его чудесный дар исчез. Танки идут на него.</t>
        </is>
      </c>
      <c r="L7164" s="2" t="inlineStr">
        <is>
          <t>https://gosfilmofond.ru/films/232405/</t>
        </is>
      </c>
      <c r="M7164" s="2">
        <f>HYPERLINK("https://ru.wikipedia.org/w/index.php?search=%D0%9F%D0%BE%20%D0%A2%D0%B0%D0%B3%D0%B0%D0%BD%D0%BA%D0%B5%20%D1%85%D0%BE%D0%B4%D1%8F%D1%82%20%D1%82%D0%B0%D0%BD%D0%BA%D0%B8%201991%20%D1%84%D0%B8%D0%BB%D1%8C%D0%BC","искать")</f>
        <v/>
      </c>
      <c r="N7164" s="3" t="n"/>
      <c r="O7164" s="2" t="n"/>
      <c r="P7164" s="2" t="n"/>
    </row>
    <row r="7165">
      <c r="A7165" s="2" t="n">
        <v>7164</v>
      </c>
      <c r="B7165" s="2" t="inlineStr"/>
      <c r="C7165" s="2" t="n">
        <v>9564</v>
      </c>
      <c r="D7165" s="3" t="inlineStr">
        <is>
          <t>Подсолнухи</t>
        </is>
      </c>
      <c r="E7165" s="2" t="n">
        <v>1970</v>
      </c>
      <c r="F7165" s="2" t="inlineStr">
        <is>
          <t>кинофильм</t>
        </is>
      </c>
      <c r="G7165" s="2" t="n"/>
      <c r="H7165" s="2" t="n">
        <v>2829</v>
      </c>
      <c r="I7165" s="2" t="inlineStr"/>
      <c r="J7165" s="2" t="inlineStr"/>
      <c r="K7165" s="3" t="inlineStr">
        <is>
          <t>Джованна ищет информацию о своём муже Антонио, пропавшем без вести в Советском Союзе во время отступления в 1943 году, но военные власти и Министерство обороны не могут дать ей точную информацию, и она, не допуская, что её муж может быть мёртв, решает уехать в Москву, чтобы разыскать его лично.
Их история началась в Неаполе, где по предложению Джованны состоялась свадьба, чтобы предотвратить отъезд 32-летнего Антонио на войну в Африку; ведь жених имел право на двенадцатидневный отпуск для новобрачных, а Джованна надеялась, что тем временем война может закончиться. Антонио, закоренелый холостяк, соглашается: после свадьбы они отправляются на двенадцать дней в его дом в провинции Ломбардия. Чтобы не идти на войну, супруги разыгрывают спектакль с нападением Антонио на Джованну, после чего Антонио помещают в сумасшедший дом.
Однако план раскрыт, и, чтобы не попасть под военный трибунал, Антонио вынужден пойти добровольцем на восточный фронт, в Россию. В конце войны, на миланском вокзале, Джованна встречает солдата, бывшего рядом с Антонио во время отступления с Дона. Ветеран рассказывает об их уничтоженном отряде, об атаках Красной Армии, о ранении Антонио.
Ветеран не может сказать женщине, мёртв ли Антонио или выжил, а Джованна чувствует, что он жив и решает ехать в Советский Союз на его поиски. В сопровождении представителя МИД СССР, она направляется в места, где воевали итальянцы, на поля подсолнечника. Там, на краю поля подсолнухов сопровождающий читает стихотворение «Итальянец» Михаила Светлова, высеченное на надгробии, расположенном на огромном кладбище итальянских солдат.
Джованна продолжает поиски в одиночку. В городе пожилые женщины, увидев фотографию Антонио, указывают на избу, где живёт Маша, молодая женщина с маленькой дочерью, которая, увидев Джованну, приветствует её, говоря «buongiorno».
Маше, обеспокоенной и напуганной приездом Джованны, удаётся объяснить, что она нашла Антонио умирающим в снегу и что он потерял память. Вместе с Джованной Маша идёт на железнодорожную станцию. Антонио, вышедший из вагона, узнаёт её и тогда Джованна понимает, что он сам выбрал остаться в СССР. Охваченная отчаянием, она быстро садится в поезд, не сказав ему ни слова, и, убитая горем, возвращается в Италию.
Некоторое время спустя Антонио приезжает в Италию и звонит Джованне, которая тем временем переехала в Милан, но она отказывается от встречи с ним, говоря, что теперь живёт с другим мужчиной. Однако, когда он звонит второй раз, Джованна решает встретиться с ним и даёт ему свой адрес. Антонио предлагает ей бежать вместе, но она отказывается, потому что не хочет портить жизнь двум детям, ведь после возвращения в Италию у неё завязались отношения с коллегой по фабрике, где она работает, родился ребёнок, которого она назвала Антонио. На следующее утро Джованна провожает Антонио на вокзале.</t>
        </is>
      </c>
      <c r="L7165" s="2" t="inlineStr">
        <is>
          <t>https://ru.wikipedia.org/w/index.php?title=%D0%9F%D0%BE%D0%B4%D1%81%D0%BE%D0%BB%D0%BD%D1%83%D1%85%D0%B8_%28%D1%84%D0%B8%D0%BB%D1%8C%D0%BC%29&amp;oldid=152489871</t>
        </is>
      </c>
      <c r="M7165" s="2">
        <f>HYPERLINK("https://ru.wikipedia.org/w/index.php?search=%D0%9F%D0%BE%D0%B4%D1%81%D0%BE%D0%BB%D0%BD%D1%83%D1%85%D0%B8%201970%20%D1%84%D0%B8%D0%BB%D1%8C%D0%BC","искать")</f>
        <v/>
      </c>
      <c r="N7165" s="3" t="n"/>
      <c r="O7165" s="2" t="n"/>
      <c r="P7165" s="2" t="n"/>
    </row>
    <row r="7166">
      <c r="A7166" s="2" t="n">
        <v>7165</v>
      </c>
      <c r="B7166" s="2" t="inlineStr"/>
      <c r="C7166" s="2" t="n">
        <v>9734</v>
      </c>
      <c r="D7166" s="3" t="inlineStr">
        <is>
          <t>Хоккеисты</t>
        </is>
      </c>
      <c r="E7166" s="2" t="n">
        <v>1964</v>
      </c>
      <c r="F7166" s="2" t="inlineStr">
        <is>
          <t>кинофильм</t>
        </is>
      </c>
      <c r="G7166" s="2" t="n"/>
      <c r="H7166" s="2" t="n">
        <v>2834</v>
      </c>
      <c r="I7166" s="2" t="inlineStr"/>
      <c r="J7166" s="2" t="inlineStr"/>
      <c r="K7166" s="3" t="inlineStr">
        <is>
          <t>Московская хоккейная команда «Ракета» — один из лидеров чемпионата страны. Она выигрывает почти все матчи и уверенно возглавляет турнирную таблицу на пути к чемпионскому званию. Однако не всё так гладко в команде. Микроклимат в коллективе очень напряжён, и виной тому новый тренер Лашков. Он — сторонник игры на результат, «победы любой ценой». В основном Лашков делает ставку на молодёжь, считая, что лидеры команды — тройка нападения во главе с капитаном Анатолием Дугановым — уже бесперспективна, и им пора заканчивать с хоккеем. Тридцатилетний Дуганов, знаменитый и опытный игрок, решает бороться за спортивное долголетие «стариков». Он открыто высказывает недовольство игровой концепцией Лашкова, считая, что хоккей — прежде всего игра, победа любой ценой не должна быть самоцелью.
На этом фоне в команде нарастают внутренние противоречия. Молодые игроки и ветераны относятся друг к другу с недоверием, и всё это не может не отразиться на игре команды. Между тем подходит время решающего матча с белогорским «Металлистом». Турнирная ситуация такова, что «Ракете» достаточно сыграть вничью, чтобы завоевать звание чемпиона. Однако незадолго до матча Дуганов публикует газетную статью, в которой выплёскивает все свои мысли по поводу отношения к ветеранам и игры «Ракеты», подвергая Лашкова и его концепцию критике. Это вызывает резкое недовольство тренера, который перед игрой снимает с Дуганова звание капитана и принимает решение не выпускать всю его тройку на решающий матч. Другие хоккеисты «Ракеты», за исключением партнёров Дуганова по звену, поддерживают Лашкова.
«Ракета» начинает игру в две тройки. Поначалу всё складывается для команды хорошо — 2:0 после первого периода. Однако во втором периоде происходит непредвиденное: получив большинство после удаления игрока «Металлиста», «Ракета» пропускает гол в свои ворота. Это становится переломным моментом матча, после которого «Металлист» забивает ещё три безответных шайбы. В начале третьего периода счёт становится уже 2:5 и «Ракете» едва ли удастся отыграться. Лашков между тем упрямо не выпускает свою лучшую тройку, играя в два звена. Команда деморализована, к тому же из-за частых смен игроки очень сильно устают. Это приводит к тому, что один из молодых игроков после столкновения с соперником теряет сознание и продолжать игру не может. Лашков всё-таки даёт добро на выход тройки Дуганова. И трио ветеранов показывает всё, на что способно. Вся «Ракета» воспряла духом и, ведомая своими лидерами, организовала настоящий штурм ворот «Металлиста», на последних секундах сравняв счёт — 5:5.
В конце фильма в раздевалке показана совершенно другая, дружная команда, вновь сплочённая благодаря ветеранам. В финальной сцене радостный Лашков заходит в раздевалку команды, но хоккеисты демонстрируют своё презрение тренеру, который чуть было не привёл команду к катастрофе.</t>
        </is>
      </c>
      <c r="L7166" s="2" t="inlineStr">
        <is>
          <t>https://ru.wikipedia.org/w/index.php?title=%D0%A5%D0%BE%D0%BA%D0%BA%D0%B5%D0%B8%D1%81%D1%82%D1%8B_%28%D1%84%D0%B8%D0%BB%D1%8C%D0%BC%29&amp;oldid=154182246</t>
        </is>
      </c>
      <c r="M7166" s="2">
        <f>HYPERLINK("https://ru.wikipedia.org/w/index.php?search=%D0%A5%D0%BE%D0%BA%D0%BA%D0%B5%D0%B8%D1%81%D1%82%D1%8B%201964%20%D1%84%D0%B8%D0%BB%D1%8C%D0%BC","искать")</f>
        <v/>
      </c>
      <c r="N7166" s="3" t="n"/>
      <c r="O7166" s="2" t="n"/>
      <c r="P7166" s="2" t="n"/>
    </row>
    <row r="7167">
      <c r="A7167" s="2" t="n">
        <v>7166</v>
      </c>
      <c r="B7167" s="2" t="inlineStr"/>
      <c r="C7167" s="2" t="n">
        <v>9644</v>
      </c>
      <c r="D7167" s="3" t="inlineStr">
        <is>
          <t>Сказка на ночь</t>
        </is>
      </c>
      <c r="E7167" s="2" t="n">
        <v>1991</v>
      </c>
      <c r="F7167" s="2" t="inlineStr">
        <is>
          <t>кинофильм</t>
        </is>
      </c>
      <c r="G7167" s="2" t="n"/>
      <c r="H7167" s="2" t="n">
        <v>2842</v>
      </c>
      <c r="I7167" s="2" t="inlineStr"/>
      <c r="J7167" s="2" t="inlineStr"/>
      <c r="K7167" s="3" t="inlineStr">
        <is>
          <t>Начало 90-х годов в России. Двое взрослых братьев-близнецов ведут разговор. Паша признаётся Петру, что не может жить в собственной квартире, где вещи напоминают ему о погибших жене и маленьком сыне. Несколько лет назад, когда он был в загранкомандировке, его семью опекал брат. Преступники охотились за Петром, кадровым офицером милиции, и в перестрелке погибла семья Павла. Он тоскует по погибшему сыну и, чтобы как-то приглушить сердечную боль, решается на работу домашней нянькой. Петр поселяет брата у себя, оформляет на своё имя разрешение на работу и даёт объявление в газету. Петр ведёт расследование убийства преступного авторитета и надеется выйти на главу бандитской группировки, на ком ответственность за убийство семьи Павла. Петр знакомится с девушкой Викой, которая может знать разыскиваемого преступника, и начинает встречаться с нею по вечерам. У неё есть маленький сын, и Виктория не хочет сотрудничать с милицией, чтобы не подвергать его жизнь опасности. Но она увлекается Петром так же, как и он ею. К Павлу приводит двоих ребятишек, Таню и Колю, молодая женщина Маргарита. У неё и подруги планы на вечер, и их детям нужна нянька. Павел начинает периодически общаться с этими детьми. Во время интимной встречи Петра и Вики бандиты делают запись постельной сцены, которая попадает на стол начальнику Петра. Тот хочет отстранить его от дел, но офицер оправдывается тем, что на записи его брат-близнец. Петр решает, что это Вика подставила его. Но цель, уничтожить Петра, поставил перед бандитами главарь по прозвищу «Очкастый», который трудится неприметным врачом скорой помощи. В квартире у Паши отмечают день рождения дочурки Риты Тани. Со своим сыном Колей приходит Вика, которую Павел встречает впервые, и понимает, что это девушка брата, фото которой он видел у Петра. Петр и Вика выясняют отношения, и он понимает, что сложились обстоятельства, когда бандиты будут преследовать не только его, но и Вику. Попытка захватить и уничтожить Петра провалилась, но бандиты захватили Вику. Во время преследования преступников, их машина взрывается. Вика в тяжёлом состоянии попадает в больницу. Перед смертью она успевает признаться в любви Петру. Оставшегося сиротой Колю забирает к себе домой Маргарита. Питая чувства к Павлу и зная о его привязанности к Тане и Кольке, она зовёт его к себе. Петра не оставляют в покое бандиты. Ранив его в перестрелке, они нагрянули в больницу, чтобы прикончить его. Петр сбегает и, заскочив домой за оружием, старается уйти от преследования. На улице его замечают Павел и Рита, гуляющие с детьми. Петр просит Павла забрать детей и срочно уехать из города, так как соседство с ним опасно, он обречен. Но Паша завладевает пистолетом Петра и, защищая раненого брата, убивает главаря бандитов. Петр просит подарить ему последний выстрел. Паша оставляет пистолет брату и уезжает с Ритой и детьми.</t>
        </is>
      </c>
      <c r="L7167" s="2" t="inlineStr">
        <is>
          <t>https://gosfilmofond.ru/films/232319/</t>
        </is>
      </c>
      <c r="M7167" s="2">
        <f>HYPERLINK("https://ru.wikipedia.org/w/index.php?search=%D0%A1%D0%BA%D0%B0%D0%B7%D0%BA%D0%B0%20%D0%BD%D0%B0%20%D0%BD%D0%BE%D1%87%D1%8C%201991%20%D1%84%D0%B8%D0%BB%D1%8C%D0%BC","искать")</f>
        <v/>
      </c>
      <c r="N7167" s="3" t="n"/>
      <c r="O7167" s="2" t="n"/>
      <c r="P7167" s="2" t="n"/>
    </row>
    <row r="7168">
      <c r="A7168" s="2" t="n">
        <v>7167</v>
      </c>
      <c r="B7168" s="2" t="inlineStr"/>
      <c r="C7168" s="2" t="n">
        <v>9754</v>
      </c>
      <c r="D7168" s="3" t="inlineStr">
        <is>
          <t>Чёрный монах</t>
        </is>
      </c>
      <c r="E7168" s="2" t="n">
        <v>1988</v>
      </c>
      <c r="F7168" s="2" t="inlineStr">
        <is>
          <t>кинофильм</t>
        </is>
      </c>
      <c r="G7168" s="2" t="n"/>
      <c r="H7168" s="2" t="n">
        <v>2851</v>
      </c>
      <c r="I7168" s="2" t="inlineStr"/>
      <c r="J7168" s="2" t="inlineStr"/>
      <c r="K7168" s="3" t="inlineStr">
        <is>
          <t>Молодой доктор философских наук Андрей Васильевич Коврин по приглашению своего бывшего опекуна, помещика Егора Семёновича Песоцкого, приезжает к нему в гости на лето для укрепления своего душевного здоровья. Егор Семёнович славится в округе как известный садовод-любитель. На территории его имения растут десятки ценнейших сортов вишен, груш и яблонь, в которые хозяин вложил все свои средства и силы. В доме помещика Коврин встречает дочь Егора Семёновича Таню. За пять лет с момента последнего посещения Ковриным имения Песоцких Татьяна превратилась в красавицу. Коврин увлекается девушкой и делает ей предложение. Начинается подготовка к свадьбе, которой очень способствует Егор Песоцкий. Хозяин имения видит в своём воспитаннике достойного наследника и продолжателя садоводческого хозяйства. Однажды, гуляя в саду, Коврин видит возникающего из вихря чёрного монаха, легенду о котором Коврин когда-то не то слышал, не то читал. Спустя некоторое время чёрный монах вновь посещает профессора. Коврин пытается постичь его природу, полагая, что это всего лишь его воображение. Монах всё чаще является молодому человеку, убеждая его в гениальных способностях и отличии от других людей. Андрей сильно польщён этим, к нему возвращается бодрость духа и весёлость на радость семье Песоцких. Однажды поздним вечером Таня застаёт своего будущего супруга разговаривающим с пустым креслом. Девушка шокирована увиденным. Она убеждает Коврина, что он психически болен и ему надо лечиться ради их общего благополучия. Начинается долгий курс лечения, который выражен в частых пеших прогулках на природе, каждодневном приёме стакана молока строго по часам и контролем за каждым шагом Андрея со стороны Егора Семёновича, Тани и слуг. Жизнь в доме своего наставника начинает казаться Коврину безынтересной, он скучает по долгим беседам с чёрным монахом. Он всячески упрекает отца и дочь Песоцких, в особенности Татьяну, что его величие перед другими людьми исчезло навсегда в связи с лечением. Он расстаётся с Таней Песоцкой и уезжает из имения навсегда.
Проходит несколько лет, Андрей Коврин серьёзно болен чахоткой и живёт в Крыму с другой женщиной, которая старше его на два года. Однажды Коврин получает письмо от Тани Песоцкой, где она сообщает ему о смерти своего отца, новых хозяевах их родового имения и упадке большого фруктового сада, которым Песоцкие очень дорожили, и обвиняет в этом Андрея, желая ему скорой гибели. Беспокойное чувство неожиданно охватывает Коврина, у него обостряется сильный кашель вместе с психическим припадком. Со стороны горизонта Чёрного моря прилетает его давний знакомый чёрный монах. Коврин умирает в страшных муках. Перед смертью ему видится, что он вернулся в имение Песоцких, спасаясь от страшного огромного смерча, который идёт за ним по пятам. Перед усадебным домом он падает бездыханный, смерч накрывает его и всю усадьбу.</t>
        </is>
      </c>
      <c r="L7168" s="2" t="inlineStr">
        <is>
          <t>https://ru.wikipedia.org/w/index.php?title=%D0%A7%D1%91%D1%80%D0%BD%D1%8B%D0%B9_%D0%BC%D0%BE%D0%BD%D0%B0%D1%85_%28%D1%84%D0%B8%D0%BB%D1%8C%D0%BC%29&amp;oldid=154232969</t>
        </is>
      </c>
      <c r="M7168" s="2">
        <f>HYPERLINK("https://ru.wikipedia.org/w/index.php?search=%D0%A7%D1%91%D1%80%D0%BD%D1%8B%D0%B9%20%D0%BC%D0%BE%D0%BD%D0%B0%D1%85%201988%20%D1%84%D0%B8%D0%BB%D1%8C%D0%BC","искать")</f>
        <v/>
      </c>
      <c r="N7168" s="3" t="n"/>
      <c r="O7168" s="2" t="n"/>
      <c r="P7168" s="2" t="n"/>
    </row>
    <row r="7169">
      <c r="A7169" s="2" t="n">
        <v>7168</v>
      </c>
      <c r="B7169" s="2" t="inlineStr"/>
      <c r="C7169" s="2" t="n">
        <v>10899</v>
      </c>
      <c r="D7169" s="3" t="inlineStr">
        <is>
          <t>Повести Белкина. Выстрел</t>
        </is>
      </c>
      <c r="E7169" s="2" t="n">
        <v>1981</v>
      </c>
      <c r="F7169" s="2" t="inlineStr">
        <is>
          <t>фильм-спектакль</t>
        </is>
      </c>
      <c r="G7169" s="2" t="inlineStr">
        <is>
          <t>Центральное телевидение</t>
        </is>
      </c>
      <c r="H7169" s="2" t="n">
        <v>2851</v>
      </c>
      <c r="I7169" s="2" t="inlineStr"/>
      <c r="J7169" s="2" t="inlineStr"/>
      <c r="K7169" s="3" t="inlineStr">
        <is>
          <t>По повести А. С. Пушкина. Рассказ ведётся от имени Повествователя, который вспоминает историю из своей жизни — его полк находился в одном Богом забытом местечке, где к их офицерскому обществу принадлежал некий таинственный человек со странным именем Сильвио. Никто не знал о нём ничего, был ли он богат, или был он беден. Ходил он пешком, но устраивал пиры, где шампанское лилось рекою. Главным его занятием была стрельба из пистолета, все стены его комнаты «были источены пулями». Он настолько преуспел в этом занятии, что никто из офицеров не усомнился подставить ему свою голову, с которой бы Сильвио сбил грушу. Как-то офицеры играли в карты у Сильвио, и в процессе игры один поручик в припадке ярости запустил в него шандалом. Всё должно было закончиться дуэлью, но Сильвио удовлетворили извинения поручика и тот остался жив.
И вот, Сильвио получает некое письмо, которое волнует его неимоверно, и он, наконец, рассказывает Повествователю историю своей жизни. Лет шесть назад он, Сильвио, был первым буяном в полку, участвовал во всех дуэлях, наслаждался своей славой до тех пор, пока в полку не появился молодой человек из богатой, знатной фамилии, красивый, удачливый, остроумный, он быстро потеснил Сильвио с его трона, что вызвало в Сильвио зависть и ревность. Он искал дуэли с молодым человеком, но всякий раз тот сводил всё к шутке. Наконец Сильвио представился случай вызвать соперника на дуэль. Молодой граф пришёл на дуэль с фуражкой, полной черешен. Сильвио, снедаемый злобой, побоялся сделать свой выстрел первым и отдал его своему сопернику. Молодой человек промахнулся. Теперь его жизнь была в руках Сильвио, но видя безразличие своего соперника к смерти, он решил отложить свой выстрел. Не проходило дня, чтобы Сильвио не думал о мщении и вот, наконец, он узнал, что его соперник решает сочетаться законным браком с юной красавицей. «Посмотрим, так ли равнодушно примет он смерть перед своей свадьбой, как некогда ждал её за черешнями!» — говорит он торжествующе Повествователю.
Спустя некоторое время Повествователь поселяется в деревне, в нескольких верстах от богатого имения. Его приглашают в гости, и от хозяина имения Повествователь узнаёт конец этой истории. Оказывается, владелец этого имения — граф и был соперником Сильвио. Как только Сильвио узнал, что граф решил жениться, он посещает его и вновь напоминает о дуэли. Граф соглашается стреляться, Сильвио предлагает ему бросить жребий кому стрелять первым и начать дуэль сызнова, граф промахивается и попадает в картину, висящую над камином. Теперь жизнь графа в руках Сильвио, он, помедлив, торжествующей говорит тому, что удовлетворён, потому что видел, как его соперник на этот раз смущён и растерян — ему этого достаточно для удовлетворения его мести. Уходя из дома графа, Сильвио почти не целясь метким выстрелом попадает в то же самое место, куда попала пуля графа.</t>
        </is>
      </c>
      <c r="L7169" s="2" t="inlineStr">
        <is>
          <t>https://ru.wikipedia.org/w/index.php?title=%D0%9F%D0%BE%D0%B2%D0%B5%D1%81%D1%82%D0%B8_%D0%91%D0%B5%D0%BB%D0%BA%D0%B8%D0%BD%D0%B0._%D0%92%D1%8B%D1%81%D1%82%D1%80%D0%B5%D0%BB_%28%D1%82%D0%B5%D0%BB%D0%B5%D1%81%D0%BF%D0%B5%D0%BA%D1%82%D0%B0%D0%BA%D0%BB%D1%8C%29&amp;oldid=154138698</t>
        </is>
      </c>
      <c r="M7169" s="2">
        <f>HYPERLINK("https://ru.wikipedia.org/w/index.php?search=%D0%9F%D0%BE%D0%B2%D0%B5%D1%81%D1%82%D0%B8%20%D0%91%D0%B5%D0%BB%D0%BA%D0%B8%D0%BD%D0%B0.%20%D0%92%D1%8B%D1%81%D1%82%D1%80%D0%B5%D0%BB%201981%20%D1%84%D0%B8%D0%BB%D1%8C%D0%BC","искать")</f>
        <v/>
      </c>
      <c r="N7169" s="3" t="n"/>
      <c r="O7169" s="2" t="n"/>
      <c r="P7169" s="2" t="n"/>
    </row>
    <row r="7170">
      <c r="A7170" s="2" t="n">
        <v>7169</v>
      </c>
      <c r="B7170" s="2" t="inlineStr"/>
      <c r="C7170" s="2" t="n">
        <v>9628</v>
      </c>
      <c r="D7170" s="3" t="inlineStr">
        <is>
          <t>Сатана</t>
        </is>
      </c>
      <c r="E7170" s="2" t="n">
        <v>1990</v>
      </c>
      <c r="F7170" s="2" t="inlineStr">
        <is>
          <t>кинофильм</t>
        </is>
      </c>
      <c r="G7170" s="2" t="inlineStr">
        <is>
          <t>Ленфильм</t>
        </is>
      </c>
      <c r="H7170" s="2" t="n">
        <v>2852</v>
      </c>
      <c r="I7170" s="2" t="inlineStr"/>
      <c r="J7170" s="2" t="inlineStr"/>
      <c r="K7170" s="3" t="inlineStr">
        <is>
          <t>Действие происходит осенью в провинциальном городе.
Школьница Оля, дочь крупной начальницы Алёны Павловны, встречает утром знакомого молодого человека Виталия, который предлагает подвезти её в школу на велосипеде. По дороге он убивает её на пустыре возле железнодорожных путей. Свой велосипед и одежду он отвозит в дачный домик, где его ждёт дед, который был осведомлён о планах внука.
Виталий едет в город, где застаёт в своей комнате в коммунальной квартире своего друга Рубена с девушкой. Оставив их, Виталий уходит на встречу с Верой, которой признаётся в любви, однако она отвергает его ухаживания. Позже Виталий с Рубеном идут на венчание и свадьбу знакомых, куда они приглашены. Там они ссорятся из-за реакции Рубена на националистический тост одного из гостей. Во время танцев, уведя невесту на лестничную клетку, Виталий насилует её, понимая, что она никому не признается в этом. Также Виталий и его дед попеременно звонят родителям Оли, Алёне Павловне и её мужу, артисту городского театра Коршунову, и требуют выкуп в сто тысяч рублей, обещая вернуть Олю живой. Из разговора Виталия с дедом становится понятно, что Виталий был любовником Алёны Павловны, однако затем она рассталась с ним, поскольку он «позорил» её.
Поздно вечером Виталий приходит домой к Вере, но та не пускает его на порог. Он залезает к ней в квартиру через окно и предлагает ей стать его женой, однако она не хочет об этом слышать. На вопрос о том, откуда он взялся, Виталий говорит, что приехал из Бузулука, но из института его отчислили, а потом уволили и из исполкома, где он работал курьером. Несмотря на сопротивление Веры, Виталий овладевает ею, после чего уходит.
Понимая, что им не собрать огромной суммы выкупа, Коршунов сообщает о пропаже дочери в милицию. Возле их квартиры устанавливают милицейский караул. На следующий день Алёна Павловна встречается со своими влиятельными знакомыми, но те не могут помочь в вызволении Оли. Тогда из тайников в квартире она берёт все деньги, чтобы отдать выкуп. Увидев деньги, не подозревавший об их наличии Коршунов называет жену бандиткой. Дед Виталия предлагает встретиться для передачи денег возле рынка. Туда, обманув охраняющих его милиционеров, идёт Коршунов, который и передаёт сумму в мусорном ведре подставному лицу, присланному дедом Виталия.
Вечером Виталий с дедом отмечают на даче успешное завершение операции. От денег Виталий отказывается и просит деда уехать и больше не появляться в городе. Вернувшись ночью домой, Виталий застает Алёну Павловну, которая давно ждёт его. Она говорит, что дочь ей так и не вернули и ей не к кому больше идти за помощью. Внезапно из-за оговорки Виталия о ста тысячах Алёна Павловна понимает, что это Виталий выкрал её дочь. Тот признаётся в убийстве и уходит из квартиры, оставив потрясённую Алёну. В последних кадрах фильма Виталий машет зрителю рукой из уезжающего трамвая.</t>
        </is>
      </c>
      <c r="L7170" s="2" t="inlineStr">
        <is>
          <t>https://ru.wikipedia.org/w/index.php?title=%D0%A1%D0%B0%D1%82%D0%B0%D0%BD%D0%B0_%28%D1%84%D0%B8%D0%BB%D1%8C%D0%BC%2C_1990%29&amp;oldid=155492983</t>
        </is>
      </c>
      <c r="M7170" s="2">
        <f>HYPERLINK("https://ru.wikipedia.org/w/index.php?search=%D0%A1%D0%B0%D1%82%D0%B0%D0%BD%D0%B0%201990%20%D1%84%D0%B8%D0%BB%D1%8C%D0%BC","искать")</f>
        <v/>
      </c>
      <c r="N7170" s="3" t="n"/>
      <c r="O7170" s="2" t="n"/>
      <c r="P7170" s="2" t="n"/>
    </row>
    <row r="7171">
      <c r="A7171" s="2" t="n">
        <v>7170</v>
      </c>
      <c r="B7171" s="2" t="inlineStr"/>
      <c r="C7171" s="2" t="n">
        <v>9236</v>
      </c>
      <c r="D7171" s="3" t="inlineStr">
        <is>
          <t>Бес</t>
        </is>
      </c>
      <c r="E7171" s="2" t="n">
        <v>1991</v>
      </c>
      <c r="F7171" s="2" t="inlineStr">
        <is>
          <t>кинофильм</t>
        </is>
      </c>
      <c r="G7171" s="2" t="n"/>
      <c r="H7171" s="2" t="n">
        <v>2855</v>
      </c>
      <c r="I7171" s="2" t="inlineStr"/>
      <c r="J7171" s="2" t="inlineStr"/>
      <c r="K7171" s="3" t="inlineStr">
        <is>
          <t>Пшеничное поле. Интеллигентного вида мужчина средних лет и юная девушка в одеждах 19-го века готовы заняться любовью. Сильные мужские руки вытаскивают обнажённую девушку из-под мужчины и волокут по полю…Ночь, гроза в полумраке комнаты ветер носит листы бумаги. В комнате двое персон с поля: писатель Виталий Андреевич Изюмов и Бес в человеческом обличьи. «Что же вы сделали с ней, Лизой?» - восклицает Виталий Андреевич. Бес включает видеомагнитофон с плёнкой двухлетней давности. Та же комната. Входит пожилая женщина. Просит соль, потом пятёрку, так как её внучка Лизочка не привыкла голодать, как она. Она сообщает писателю, что внучка от него без ума, и просит Изюмова взять Лизочку на содержание. Виталий смущён, разница у них 17 лет, и девушка – несовершеннолетняя. Он протягивает старухе 200 руб. и обещает ежемесячно давать деньги на внучку. Соседи начеку, подглядывают и подслушивают. Прошло время и бабушка начала подталкивать внучку: «Зайди к благодетелю, он 2 года содержал тебя, пора расплачиваться. Он деликатный, уважь его!» Лиза идёт к Виталию Андреевичу, раздевается и готова покорно принять его. Но тут у неё случается приступ эпилепсии, и она начинает метаться на кровати и задыхаться. Тут же в комнату вбегает соседка Клава со своим сожителем Репенко, бывшим милиционером, которого выгнали за пьянство. Он угрожает Изюмову тюрьмой и требует за молчание 50 тыс.руб. В свидетели он призывает бабушку Лизы, которая надеется получить свой куш. Клавкин муж лежит в реанимации после отравления тормозной жидкостью, а она живёт на то, что выручает за сворованное с чулочной фабрики. Репенко вопит: «Не дадим Лизе пойти в интердевочки, отдадим Клавке на фабрику!» Соседи уходят, а Изюмов признаётся Лизе, что у него в кармане только 6 руб., а чтобы помогать им, он все два года рыл могилы на кладбище. Лиза преисполнена благодарности и любви к Виталию Андреевичу. Она просит бабушку не свидетельствовать против мужчины, которого она любит. Алчная старушка отказывается, и Лиза поит ее крысиным ядом, от которого та вскоре умирает. Лизу уводит с собой появившийся бес. Он пытается соблазнить её роскошью ресторана, предлагает поехать в Париж из этого «чертового болота». Но Лиза настойчиво просит Беса устроить ей встречу с Виталием Андреевичем. Бес заявляет, что тот в Париже. Но уступив мольбам Лизы возвращает Изюмова в Россию. Лиза и Виталий встречаются в аэропорту под неусыпным оком Беса. Он же подкатывает им машину, на которой они едут в город. Чтобы не задавить ребёнка, возникшего на дороге, Изюмов резко поворачивает руль, машина летит в кювет и загорается. На крыше дома, где в гостях у Беса пируют бабушка Лизы и муж Клавы, появляются Изюмов и Лиза в подвенечном платье. Лиза прощается с Виталием и Бесом и уходит в небо. Изюмов устремляется за ней. Бес говорит присутствующим: «Он никогда не догонит её. Всё будет бежать, бежать…»</t>
        </is>
      </c>
      <c r="L7171" s="2" t="inlineStr">
        <is>
          <t>https://gosfilmofond.ru/films/232239/</t>
        </is>
      </c>
      <c r="M7171" s="2">
        <f>HYPERLINK("https://ru.wikipedia.org/w/index.php?search=%D0%91%D0%B5%D1%81%201991%20%D1%84%D0%B8%D0%BB%D1%8C%D0%BC","искать")</f>
        <v/>
      </c>
      <c r="N7171" s="3" t="n"/>
      <c r="O7171" s="2" t="n"/>
      <c r="P7171" s="2" t="n"/>
    </row>
    <row r="7172">
      <c r="A7172" s="2" t="n">
        <v>7171</v>
      </c>
      <c r="B7172" s="2" t="inlineStr"/>
      <c r="C7172" s="2" t="n">
        <v>8894</v>
      </c>
      <c r="D7172" s="3" t="inlineStr">
        <is>
          <t>Ой, вы, гуси...</t>
        </is>
      </c>
      <c r="E7172" s="2" t="n">
        <v>1991</v>
      </c>
      <c r="F7172" s="2" t="inlineStr">
        <is>
          <t>кинофильм</t>
        </is>
      </c>
      <c r="G7172" s="2" t="n"/>
      <c r="H7172" s="2" t="n">
        <v>2865</v>
      </c>
      <c r="I7172" s="2" t="inlineStr"/>
      <c r="J7172" s="2" t="inlineStr"/>
      <c r="K7172" s="3" t="inlineStr">
        <is>
          <t>Российская глубинка нашего времени. Гармонист подыгрывает сельскому хору. Его трое маленьких сыновей рядом с ним. Вернувшись из клуба домой, он играет в шахматы с маленькой дочерью. На замечание отца, что Наташке нужно играть честно, остро реагирует жена Рая: «Хватит нам одного честного дурака!» Саня – безработный инвалид. Рая работает на износ: ведёт хозяйство и обшивает чужих людей, чтобы хоть как-то прокормить большую семью. Чувствуя вину перед семьей и ощущая свою беспомощность, Саня старается на время скрыться с глаз жены. Он едет к брату Мите в соседний городок. Митькина жена поет под Санину гармошку «Ой, вы, гуси, расскажите, где доля моя». Зажиточный брат упрекает Саню, что он не умеет жить и обзывает инвалида дураком. Гармонист возвращается в деревню но, опять незадача, попадает возле магазина под милицейскую облаву. Милиционер предлагает Рае выкупить мужа, иначе грозится посадить его на 15 суток. Саня возвращается домой и просит прощения у жены. Она в отчаянии: «А нам как жить, инвалид несчастный?» Саня готов утопиться, но Рая, опомнившись, молит простить её. Предприняв новую попытку подработать игрой на гармошке возле рынка, Саня чуть не лишается инструмента. Милиционер соглашается вернуть его при условии, что инвалид не появится больше на его участке. В один из вечеров в доме появляется нежданный гость – второй брат Сани Петр. Он только что вернулся из тюрьмы, в которой отсидел за случайное убийство человека в драке. Саня берет отцовскую гармонь, играет, и они с братом вспоминают о своем детстве, когда трое полуголодных мальчишек, забыв о еде, заворожено следили за игрой отца на гармони. Рая с опаской смотрит на бывшего заключенного и вынуждает Саню отказать брату в приюте. Петр возвращается на вокзал. Ему некуда спешить, и он наблюдает за бомжихой, слоняющейся там. Петя ведет её в столовую, потом отправляет в баню и покупает ей новую одежду. И вот она, преобразившаяся и сияющая от счастья, рядом с ним. Петр решает навестить среднего брата Митю, с которым не виделся больше десяти лет и отправляется в его дом. Для гостя накрывают стол. Бомжиха, не дождавшись выхода Петра на улицу, сама идёт в дом и присоединяется к пирующим. Она надеется начать другую жизнь с новым знакомым и старается предстать перед его родственниками порядочной и веселой женщиной. Отлучившись на короткое время и вернувшись в дом, она застает Петра, обнимающего жену Мити. Оказывается, в прошлом их связывала любовь, которая не угасла до сих пор. Петр зовёт свою прежнюю возлюбленную уехать с ним. Митя тоже видит жену в объятиях брата. Смущённый Петр покидает дом, и жена Митьки устремляется вслед за ним. Деревенский дом Сани. Рая все также шьет, выросшая Наташка отбивается от просьб матери помочь ей по дому. Саня кормит во дворе поросят. Жизнь течёт по привычному руслу. Мужчина с гармошкой в сопровождении трех мальчишек бредёт по дороге.</t>
        </is>
      </c>
      <c r="L7172" s="2" t="inlineStr">
        <is>
          <t>https://gosfilmofond.ru/films/232401/</t>
        </is>
      </c>
      <c r="M7172" s="2">
        <f>HYPERLINK("https://ru.wikipedia.org/w/index.php?search=%D0%9E%D0%B9%2C%20%D0%B2%D1%8B%2C%20%D0%B3%D1%83%D1%81%D0%B8...%201991%20%D1%84%D0%B8%D0%BB%D1%8C%D0%BC","искать")</f>
        <v/>
      </c>
      <c r="N7172" s="3" t="n"/>
      <c r="O7172" s="2" t="n"/>
      <c r="P7172" s="2" t="n"/>
    </row>
    <row r="7173">
      <c r="A7173" s="2" t="n">
        <v>7172</v>
      </c>
      <c r="B7173" s="2" t="inlineStr"/>
      <c r="C7173" s="2" t="n">
        <v>8743</v>
      </c>
      <c r="D7173" s="3" t="inlineStr">
        <is>
          <t>Игра на миллионы</t>
        </is>
      </c>
      <c r="E7173" s="2" t="n">
        <v>1991</v>
      </c>
      <c r="F7173" s="2" t="inlineStr">
        <is>
          <t>кинофильм</t>
        </is>
      </c>
      <c r="G7173" s="2" t="inlineStr">
        <is>
          <t>Киностудия им. Горького, ЭТО "Ладья", студия "Пирамида"</t>
        </is>
      </c>
      <c r="H7173" s="2" t="n">
        <v>2866</v>
      </c>
      <c r="I7173" s="2" t="inlineStr"/>
      <c r="J7173" s="2" t="inlineStr"/>
      <c r="K7173" s="3" t="inlineStr">
        <is>
          <t>В городе N под контролем нового зампреда главы горисполкома Генриха Эдуардовича кооператоры, милиция и бандиты. Глава Союза кооператоров Рома докладывает зампреду о движениях больших сумм денег, местные бандиты грабят инкассаторов, а выручку сдают Генриху Эдуардовичу.
Рома сообщает зампреду, что он готов порвать с ним отношения, так как при последнем грабеже бандиты убили инкассаторов. На эту работу теперь никого в городе не заманить.
Генрих Эдуардович поручает Капитану – преступнику, внедрившемуся в милицию, заниматься изъятием денег, и предупреждает его, что убийства инкассаторов недопустимы. Рома срочно ищет кого-нибудь для перевозки денег в сберкассу.
В это время молодой ветеринар Петя, оставшийся без работы и без денег, едет в город N. Он – безбилетник и, пытаясь убежать от контролёров, попадает в купе, где знакомится с девушкой Люсей. По прибытию поезда Петя сбегает от контролёров и чуть не попадает под машину Ромы. Юноша рассказывает ему о своём нелёгком положении, а тот предлагает ему работу инкассатора. Петя соглашается. Рома сообщает Генриху Эдуардовичу, что нашёл, наконец, для перевозки денег классического придурка.
В этом же поезде в город приезжает группа грабителей - гастролёров во главе с Аркадием Ивановичем, который мечтает о сладостном миге превращения из нелегального вора в легального Рокфеллера. По наводке грабители-«джентльмены» тоже готовятся к ограблению инкассатора.
На следующий день Петя без охраны на стареньком Жигулёнке везёт в чемодане деньги в сберкассу, где его уже поджидает группа Капитана, а «джентльмены» дежурят снаружи здания. Честный Петя занимает наступательную позицию. На него с восхищением смотрит Люся, которая работает здесь кассиром. Воспользовавшись переполохом и столкновением двух группировок, Петя с деньгами спасается бегством и прячет их.
«Судя по почерку, работал большой профессионал», - рассуждают бандиты.
Аркадий Иванович даёт команду помощнику любой ценой достать человека, который отстоял деньги: «Нам нужен мастер». Попав в банду, Петя прощается с жизнью, но потом понимает, какая роль ему предназначена, и начинает блефовать. На удивление самому, его действия приводит к ограблению двух сберкасс на значительную сумму. Бандиты принимают Люсю за наводчицу и запирают её в гостинице. Она влюблена в Петю и внушает бандитам, что он – супермен, который никого не боится.
Петя, окрылённый любовью к Люсе, идёт напролом. Он спасает Люсю, а потом захватывает все деньги, награбленные в сберкассах. Обе группы бандитов преследуют Петю и Люсю. Не поделив права на деньги, группы бандитов сталкиваются между собой. Главари банд погибают в перестрелке, и после этого бандиты разбегаются.
Петя возвращает в сбербанк все деньги, которые он сохранил до копейки. На выходе из банка его ожидают выстроившиеся в одну линейку две группы бандитов, которые ждут дальнейших указаний признанного «маэстро».</t>
        </is>
      </c>
      <c r="L7173" s="2" t="inlineStr">
        <is>
          <t>https://gosfilmofond.ru/films/232322/</t>
        </is>
      </c>
      <c r="M7173" s="2">
        <f>HYPERLINK("https://ru.wikipedia.org/w/index.php?search=%D0%98%D0%B3%D1%80%D0%B0%20%D0%BD%D0%B0%20%D0%BC%D0%B8%D0%BB%D0%BB%D0%B8%D0%BE%D0%BD%D1%8B%201991%20%D1%84%D0%B8%D0%BB%D1%8C%D0%BC","искать")</f>
        <v/>
      </c>
      <c r="N7173" s="3" t="n"/>
      <c r="O7173" s="2" t="n"/>
      <c r="P7173" s="2" t="n"/>
    </row>
    <row r="7174">
      <c r="A7174" s="2" t="n">
        <v>7173</v>
      </c>
      <c r="B7174" s="2" t="inlineStr"/>
      <c r="C7174" s="2" t="n">
        <v>9078</v>
      </c>
      <c r="D7174" s="3" t="inlineStr">
        <is>
          <t>Суржекей - ангел смерти</t>
        </is>
      </c>
      <c r="E7174" s="2" t="n">
        <v>1991</v>
      </c>
      <c r="F7174" s="2" t="inlineStr">
        <is>
          <t>кинофильм</t>
        </is>
      </c>
      <c r="G7174" s="2" t="n"/>
      <c r="H7174" s="2" t="n">
        <v>2867</v>
      </c>
      <c r="I7174" s="2" t="inlineStr"/>
      <c r="J7174" s="2" t="inlineStr"/>
      <c r="K7174" s="3" t="inlineStr">
        <is>
          <t>1-ая серия. 30-е годы 20 века. Коллективизация достигает южных окраин бывшей российской империи. По казахской степи скачет на коне всадник. Конь спотыкается и падает вместе с наездником. Это происходит на глазах провидца, который говорит наезднику, что он невезучий, и предсказывает Азбергену, что, вернувшись в свой аул, он поссорится с братом и не найдёт общего языка с односельчанами. Азберген вырвался из каталажки и возвращается в родные места, где его ждут жена и 2 детей. Дома он просит жену готовиться к скорому отъезду. Он призывает семью брата, и односельчан покинуть обжитое место, так как русские комиссары близко, и от них не стоит ждать ничего хорошего. Сельчане не доверяют бывшему заключённому, а его брат - один из старейшин аула, говорит, что его корни вросли в землю, и он не в состоянии сдвинуться с места. Асберген старается вразумить брата, что, стоя на коленях перед новой властью, Пахраддин сам не выживет и народ погубит, но все его старания напрасны. Собрав нехитрые пожитки, семья Азбергена покидает аул. С собой они забирают юную племянницу, пытаясь спасти её. Но она боится дядю, считает его бандитом и хочет вернуться в аул. Под покровом ночи Азберген привозит её назад. Он видит разграбленный по приказу комиссара аул, убитых односельчан. Брат Асбергена пропал. Его, беспомощного инвалида, и его жену-старуху солдаты увезли в пески и расстреляли. Азберген призывает оставшихся в живых людей бороться с новой властью, иначе все падут. Среди селян есть предатель Жеге. Он сообщает комиссару, что беглый арестант организует народ для сопротивления и выдает место, где скрывается семья Азбергена.
2-ая серия. Комиссар приказывает догнать семью Азбергена. Его жену и детей пригоняют в аул. Скрывающийся в степи Азберген возвращается в аул за семьёй. Но его жена убита, а дети вывезены в неизвестном направлении. Аул опустошён, у людей забрали съестные припасы. Безграмотный кочевник Шеге назначен представителем новой власти в ауле. Ему поручено продолжать, так называемую, коллективизацию. Он объявляет себя Суржекеем – тем, кто волен диктовать свою волю и карать любого. Он облагает оставшихся в ауле жителей неподъемным оброком, а сам беспробудно пьянствует. Азберген решает спасти сельчан и организует под покровом ночи их исход из аула. Люди надеются обрести спасение и начать новую жизнь среди степных просторов. Утром Шеге просыпается и видит опустевший аул. Он поджигает всё вокруг, а красноармейцам сообщает, что это сделал взбунтовавшийся народ. Солдаты ночью настигают беглецов и отбирают всё, что могло помочь людям выжить на новом месте. Красноармейцы возвращаются в город, и вместе с ними сбегает Шеге. Беззащитные люди обречены умирать от голода в степи. Кто-то из них пытается вернуться назад, но находит на месте аула пепелище. Люди остаются наедине с жестокой правдой, что смерть – истина, а человек в этом мире лишь гость.</t>
        </is>
      </c>
      <c r="L7174" s="2" t="inlineStr">
        <is>
          <t>https://gosfilmofond.ru/films/226083/</t>
        </is>
      </c>
      <c r="M7174" s="2">
        <f>HYPERLINK("https://ru.wikipedia.org/w/index.php?search=%D0%A1%D1%83%D1%80%D0%B6%D0%B5%D0%BA%D0%B5%D0%B9%20-%20%D0%B0%D0%BD%D0%B3%D0%B5%D0%BB%20%D1%81%D0%BC%D0%B5%D1%80%D1%82%D0%B8%201991%20%D1%84%D0%B8%D0%BB%D1%8C%D0%BC","искать")</f>
        <v/>
      </c>
      <c r="N7174" s="3" t="n"/>
      <c r="O7174" s="2" t="n"/>
      <c r="P7174" s="2" t="n"/>
    </row>
    <row r="7175">
      <c r="A7175" s="2" t="n">
        <v>7174</v>
      </c>
      <c r="B7175" s="2" t="inlineStr"/>
      <c r="C7175" s="2" t="n">
        <v>7419</v>
      </c>
      <c r="D7175" s="3" t="inlineStr">
        <is>
          <t>Выгодный контракт</t>
        </is>
      </c>
      <c r="E7175" s="2" t="n">
        <v>1979</v>
      </c>
      <c r="F7175" s="2" t="inlineStr">
        <is>
          <t>телефильм</t>
        </is>
      </c>
      <c r="G7175" s="2" t="inlineStr">
        <is>
          <t>к/с им. Довженко</t>
        </is>
      </c>
      <c r="H7175" s="2" t="n">
        <v>2875</v>
      </c>
      <c r="I7175" s="2" t="inlineStr"/>
      <c r="J7175" s="2" t="inlineStr"/>
      <c r="K7175" s="3" t="inlineStr">
        <is>
          <t>Первая серия, «Нейлоновая куртка».
На приехавшего в Одессу на съёмки фильма артиста Никитина было совершенно дерзкое нападение. Только вмешательство проходившего мимо милиционера, старшины Волочая спасло его от неминуемой гибели. В ходе расследования выяснилось, что Никитин был принят за другого — обладателя одинаковой с ним жёлтой нейлоновой куртки телефониста Игната Кудинова. Узнав от своей любовницы — заправщицы Фаины Герасимовой — о визите милиции, телефонист добровольно едет в Одессу, не догадываясь, что за ним уже ведётся наблюдение.
Вторая серия, «Связной».
На допросе Кудинов заявил, что обнаружил незаконное подсоединение к телефону в одном из номеров служебной гостиницы завода «Маяк». Неизвестные прослушивали телефон снабженца Терентьева и, пользуясь полученной информацией, вынудили его устроить на завод учёного Ведерникова из Москвы.
На территории Одесского порта водолазы обнаружили труп неизвестного мужчины и портфель с крупной суммой денег в иностранной валюте. К следствию подключается Комитет государственной безопасности. Благодаря показаниям Кудинова, Терентьева и официантки Веры довольно быстро вышли на водителя Гобко, посредника в меховой афере. Сообщники хладнокровно убили Гобко, как только поняли, что за ним наблюдает милиция.
Третья серия, «Покровитель».
Скорняк и Богатырёв, убийцы Гобко, были арестованы и стали давать показания. Нити привели в Москву. Стала проясняться картина преступления. Директор мехового магазина Шульгин нажил путём различных махинаций крупное состояние и хочет, пользуясь туристической поездкой, остаться на Западе. Юдин, помогавший ему в скупке валюты, советует через торгового представителя зарубежной фирмы Хадсона перевести деньги на счёт посредника-страховщика и получить, находясь за границей, весь капитал, без уплаты налогового сбора. За свои услуги Хадсон требует трудоустройства на «Маяке» молодого учёного Ведерникова.
Четвёртая серия, «Бумеранг».
Хадсон всеми силами пытается замедлить продвижение перспективных работ Ведерникова, а именно, открытого им способа диффузионных покрытий в вакууме. При благоприятных условиях внедрение новых антикоррозийных технологий может помешать подписанию многомиллионого контракта между советским заказчиком и индустриальной фирмой «Цезарь Индастри», интересы которой и старался соблюсти Хадсон.
В последние годы у фирмы были серьёзные издержки, которые она собиралась покрыть за счёт поднятия стоимости поставок по контракту. Сотрудники Госбезопасности попросили Ведерникова (который теперь работает в самой современной лаборатории Новосибирского академгородка) в разговоре с Хадсоном дать понять, что его изыскания находятся в завершающей стадии. Встревоженный таким известием, в Москву прилетел глава фирмы и в короткое время был подписан контракт о поставке технологического комплекса вакуумного оборудования на самых выгодных для советской стороны условиях.</t>
        </is>
      </c>
      <c r="L7175" s="2" t="inlineStr">
        <is>
          <t>https://ru.wikipedia.org/w/index.php?title=%D0%92%D1%8B%D0%B3%D0%BE%D0%B4%D0%BD%D1%8B%D0%B9_%D0%BA%D0%BE%D0%BD%D1%82%D1%80%D0%B0%D0%BA%D1%82&amp;oldid=154243799</t>
        </is>
      </c>
      <c r="M7175" s="2">
        <f>HYPERLINK("https://ru.wikipedia.org/w/index.php?search=%D0%92%D1%8B%D0%B3%D0%BE%D0%B4%D0%BD%D1%8B%D0%B9%20%D0%BA%D0%BE%D0%BD%D1%82%D1%80%D0%B0%D0%BA%D1%82%201979%20%D1%84%D0%B8%D0%BB%D1%8C%D0%BC","искать")</f>
        <v/>
      </c>
      <c r="N7175" s="3" t="n"/>
      <c r="O7175" s="2" t="n"/>
      <c r="P7175" s="2" t="n"/>
    </row>
    <row r="7176">
      <c r="A7176" s="2" t="n">
        <v>7175</v>
      </c>
      <c r="B7176" s="2" t="inlineStr"/>
      <c r="C7176" s="2" t="n">
        <v>9189</v>
      </c>
      <c r="D7176" s="3" t="inlineStr">
        <is>
          <t>Я не хочу так больше жить</t>
        </is>
      </c>
      <c r="E7176" s="2" t="n">
        <v>1990</v>
      </c>
      <c r="F7176" s="2" t="inlineStr">
        <is>
          <t>кинофильм</t>
        </is>
      </c>
      <c r="G7176" s="2" t="n"/>
      <c r="H7176" s="2" t="n">
        <v>2886</v>
      </c>
      <c r="I7176" s="2" t="inlineStr"/>
      <c r="J7176" s="2" t="inlineStr"/>
      <c r="K7176" s="3" t="inlineStr">
        <is>
          <t>Столица Киргизской республики город Фрунзе. Доперестроечное время. Маленький мальчик испуганно вскакивает с постели и бежит к маме. Эркину привиделось, что в его комнате папа. Бермет успокаивает сына и говорит, что его папа на севере. Зарип зарабатывает там деньги на машину. Когда папа вернётся, все вместе поедут отдыхать на озеро Иссык-Куль. Когда Бермет на работе, мальчик проводит время во дворе с мальчишками. Ему обидно, что его не берут играть в футбол. Чтобы поднять свой авторитет в глазах мальчишек, он хвастается, что у них скоро будет машина. Мальчишки не верят и заявляют, что его папа – алкаш. Эркин плачет и твердит, что папа не алкоголик. Но память его вновь и вновь возвращается к недалёкому прошлому. Скандалы в семье из-за пьянства отца, горькие слезы и истерики матери, его страх пьяного отца и опасение за маму, на которую Зарип поднимает руку. Отец не раз обещал кончить выпивать, но вновь и вновь нарушает свои обещания. Бывшие коллеги советовали бросить пить: «У тебя золотая голова. Пропадёшь!» Поссорившись с женой отец Эркина в пьяном угаре порезал себе вены, но Бермет спасла его. Тогда в страхе Эркин кричал, что не хочет так больше жить. Он любит отца и знает, что папа добрый и ласковый, когда не пьет. Мальчик хочет, чтобы папа был с ними, и они жили дружно. Но Зарип продолжает пить, и Бермет с сыном скрывается от пьяного мужа у своих родственников. Протрезвев, он в очередной раз решает начать трезвую жизнь и вернуть домой жену и сына. Понимая, что ему самому не справиться с пагубной страстью, он обращается к своим родственникам с просьбой помочь ему, но они озабочены своими проблемами. Потом папа исчезает, а они с мамой возвращаются домой. Мама говорит, что папа на севере, и скоро он вернётся. Но Эркина не отпускает внутреннее беспокойство. Однажды ему попадается на глаза запечатанное письмо на имя мамы с незнакомым обратным адресом. Его приятель школьник Канат объясняет ему, что письмо пришло не с севера, а из соседнего с Фрунзе района. Гонимый предчувствием встречи с отцом, он уговаривает Каната поехать с ним в районный городок, откуда письмо отправлено. Пока Бермет на работе, мальчишки покупают арбуз, останавливают попутку и добираются до городка. Они идут по адресу, который указан на конверте. Оказалось, что это районная больница. Там на лечении находится папа Эркина. Медсестра категорически отказывается пускать мальчиков в палату к Зарипу. Эркин упрямо заявляет, что он умрет здесь, но папу увидит. В конце концов, медсестра провожает мальчика к папе. Он протягивает отцу гостинец - арбуз, а тот его роняет. По полу рассыпаются арбузные семечки, и Зарип начинает ползать и собирать их, приговаривая: «Мои мурашечки, мои букашечки». Взгляд его туманен и безумен. У Зарипа белая горячка. Эркин в истерике выбегает из больницы, убегает из городка в степь. Он в отчаянии кричит, что не хочет так жить. Солнце садится за горизонт.</t>
        </is>
      </c>
      <c r="L7176" s="2" t="inlineStr">
        <is>
          <t>https://gosfilmofond.ru/films/232252/</t>
        </is>
      </c>
      <c r="M7176" s="2">
        <f>HYPERLINK("https://ru.wikipedia.org/w/index.php?search=%D0%AF%20%D0%BD%D0%B5%20%D1%85%D0%BE%D1%87%D1%83%20%D1%82%D0%B0%D0%BA%20%D0%B1%D0%BE%D0%BB%D1%8C%D1%88%D0%B5%20%D0%B6%D0%B8%D1%82%D1%8C%201990%20%D1%84%D0%B8%D0%BB%D1%8C%D0%BC","искать")</f>
        <v/>
      </c>
      <c r="N7176" s="3" t="n"/>
      <c r="O7176" s="2" t="n"/>
      <c r="P7176" s="2" t="n"/>
    </row>
    <row r="7177">
      <c r="A7177" s="2" t="n">
        <v>7176</v>
      </c>
      <c r="B7177" s="2" t="inlineStr"/>
      <c r="C7177" s="2" t="n">
        <v>9263</v>
      </c>
      <c r="D7177" s="3" t="inlineStr">
        <is>
          <t>Валентина</t>
        </is>
      </c>
      <c r="E7177" s="2" t="n">
        <v>1980</v>
      </c>
      <c r="F7177" s="2" t="inlineStr">
        <is>
          <t>кинофильм</t>
        </is>
      </c>
      <c r="G7177" s="2" t="n"/>
      <c r="H7177" s="2" t="n">
        <v>2887</v>
      </c>
      <c r="I7177" s="2" t="inlineStr"/>
      <c r="J7177" s="2" t="inlineStr"/>
      <c r="K7177" s="3" t="inlineStr">
        <is>
          <t>Время действия — 1970 год. В небольшом таёжном посёлке в чайной работает официанткой 18-летняя Валентина. Она любит следователя Шаманова, а он, поглощённый своими делами, ничего не замечает. Её признание становится для него озарением, но на пути любви Валентины появляются препятствия, приводящие к драматической развязке.
Павел, сын буфетчицы Анны, влюблён в Валентину. Он стал свидетелем разговора Валентины и Шаманова, в ходе которого та призналась, что любит Владимира. Павел требует, чтобы Шаманов оставил Валентину, но Шаманов отвечает, что они с Валентиной любят друг друга. Тогда Павел угрожает убить следователя. Владимир вынимает из кобуры свой табельный пистолет и спокойно даёт его Павлу, тем самым провоцируя того. Павел проверяет обойму пистолета и стреляет в Шаманова, но промахивается. Подавленный невозмутимостью следователя, Павел уходит. За Шамановым приходит служебный автомобиль. Он уезжает, но перед отъездом он пишет записку для Валентины, в которой просит её ждать его вечером у чайной. Записку Шаманов отдаёт аптекарше Зинаиде, которая тоже его любит.
Зинаида, желая вызвать ревность Шаманова, начинает флиртовать с бухгалтером Мечеткиным, но в разговоре с ним старается заставить его ухаживать за Валентиной. Бухгалтер сразу берёт быка за рога и по-деловому назначает Валентине свидание, но получает отказ. Тогда он решает действовать через отца Валентины, Фёдора.
Тем временем Павел настойчиво предлагает Валентине быть с ним, но она равнодушна к его ухаживаниям. Павел допытывается, было ли у неё что-нибудь с Шамановым. Едва не расплакавшись, Павел зовёт её вечером на танцы.
Отец Валентины серьёзно воспринял намерения Мечеткина и, подозвав Валентину, стал расхваливать достоинства бухгалтера и предложил выйти за него замуж. Валентина твёрдо отказалась. После этого разговора у Павла с матерью происходит ссора из-за того, что она заставляет его навсегда уехать из посёлка. Валентина из жалости соглашается пойти с ним на танцы. Зинаида отговаривает Валентину, словно пытаясь предостеречь её.
В сумерках Шаманов возвращается к чайной, где надеется встретить Валентину. Зинаида признаётся ему, что не отдала записку Валентине и что та ушла на танцы с Павлом. Шаманов убегает на поиски Валентины.
Через несколько часов ночью Павел и Валентина возвращаются. Анна не спит и устраивает допрос сыну — она догадывается, что Павел изнасиловал Валентину, чтобы привязать её к себе. Шаманов тоже возвращается после безуспешных поисков к чайной и застаёт подавленную Валентину. Не зная о случившемся, Владимир несёт разную восторженную чепуху. У Валентины происходит истерика. Возбуждённый Павел снова угрожает Шаманову. Отец Валентины устраивает им всем допрос, явно собираясь совершить самосуд, но Валентина, спасая ухажёров, говорит, что была весь вечер с Мечеткиным.
Утром следующего дня Валентина, как обычно, выходит на работу, у неё на лице видны следы побоев.</t>
        </is>
      </c>
      <c r="L7177" s="2" t="inlineStr">
        <is>
          <t>https://ru.wikipedia.org/w/index.php?title=%D0%92%D0%B0%D0%BB%D0%B5%D0%BD%D1%82%D0%B8%D0%BD%D0%B0_%28%D1%84%D0%B8%D0%BB%D1%8C%D0%BC%2C_1980%29&amp;oldid=150885318</t>
        </is>
      </c>
      <c r="M7177" s="2">
        <f>HYPERLINK("https://ru.wikipedia.org/w/index.php?search=%D0%92%D0%B0%D0%BB%D0%B5%D0%BD%D1%82%D0%B8%D0%BD%D0%B0%201980%20%D1%84%D0%B8%D0%BB%D1%8C%D0%BC","искать")</f>
        <v/>
      </c>
      <c r="N7177" s="3" t="n"/>
      <c r="O7177" s="2" t="n"/>
      <c r="P7177" s="2" t="n"/>
    </row>
    <row r="7178">
      <c r="A7178" s="2" t="n">
        <v>7177</v>
      </c>
      <c r="B7178" s="2" t="inlineStr"/>
      <c r="C7178" s="2" t="n">
        <v>9313</v>
      </c>
      <c r="D7178" s="3" t="inlineStr">
        <is>
          <t>Господин оформитель</t>
        </is>
      </c>
      <c r="E7178" s="2" t="n">
        <v>1988</v>
      </c>
      <c r="F7178" s="2" t="inlineStr">
        <is>
          <t>кинофильм</t>
        </is>
      </c>
      <c r="G7178" s="2" t="n"/>
      <c r="H7178" s="2" t="n">
        <v>2888</v>
      </c>
      <c r="I7178" s="2" t="inlineStr"/>
      <c r="J7178" s="2" t="inlineStr"/>
      <c r="K7178" s="3" t="inlineStr">
        <is>
          <t>Действие происходит в Петербурге в 1908—1914 годах. Знаменитый художник-оформитель, Платон Андреевич, хочет продлить жизнь человека в скульптуре и на рисунках, пытаясь побороть смерть и усовершенствовать окружающий мир с помощью своего таланта. Многие годы ему не давала покоя мысль о состязании с Богом. Ему, автору великолепных восковых манекенов, хотелось создать нечто совершенное и вечное, не поддающееся течению времени.
В 1908 году художник получает заказ от ювелира на оформление витрины магазина. В поисках натурщицы для изготовления манекена для витрины, художник находит Анну, молодую девушку, смертельно больную чахоткой, и ваяет с неё свой лучший манекен, вкладывая в работу всю душу и частицу крови Анны.
Проходит время, на дворе 1914 год. Известный ранее художник впал в забвение, дела идут совсем не так хорошо, как в прежние времена. Под влиянием творческого кризиса художник начинает злоупотреблять морфием, ему грозит полное разорение.
Однажды, находясь в крайней нужде, Платон Андреевич принял предложение некоего богатого дельца Грильо оформить интерьер его дома. Знакомство с женой хозяина Марией привело художника в замешательство. Он был убеждён, что несколько лет назад с неё, носившей тогда имя Анны Белецкой, он вылепил свой лучший восковой манекен. Тем не менее Мария сообщает ему, что никогда раньше не видела художника и ни о какой Анне ничего не знает.
После всех попыток добиться истины, оформитель слышит от неё только: «Забудьте об Анне. Её больше нет».
Платон Андреевич делает предложение девушке, но получает отказ: Мария говорит ему, что он слишком беден. Благодаря невероятному случаю, оформитель выигрывает у мужа Марии в карты огромное состояние и делает предложение снова. И снова получает отказ: Мария сбегает из мастерской одержимого безумца, который упорно называет её чужим именем. Оформитель начинает искать доказательства, что Мария — это Анна, но обнаруживает лишь опровержения. На одном из кладбищ он находит могилу Анны. Вместо, как ему казалось, манекена, стоящего в его мастерской, обнаруживается высушенная мумия Анны (с которой художник проделывает странные действия, будто символически убивает её).
Платон отправляется в дом Грильо и обнаруживает, что хозяин умер, а его тело подготовлено к отпеванию. Его вдова уже передумала и готова отдаться художнику. Тем не менее он заявляет, что Мария — не настоящий человек, а оживший манекен, кукла, которую он создал и которая якобы заняла место Анны. Завязывается драка. Мария обладает неженской силой, и Платон бьёт её горящим поленом, при этом обжигая ей лицо. Один из спутников Марии ранит его из пистолета. Мария проводит ладонями по изуродованному ожогом лицу, восстанавливая безупречную внешность. Раненый художник пытается сбежать и попадает под колёса автомобиля.
Финал не даёт однозначного ответа, действительно ли Мария была ожившей статуей, или это лишь навязчивая идея безумца.</t>
        </is>
      </c>
      <c r="L7178" s="2" t="inlineStr">
        <is>
          <t>https://ru.wikipedia.org/w/index.php?title=%D0%93%D0%BE%D1%81%D0%BF%D0%BE%D0%B4%D0%B8%D0%BD_%D0%BE%D1%84%D0%BE%D1%80%D0%BC%D0%B8%D1%82%D0%B5%D0%BB%D1%8C&amp;oldid=146193378</t>
        </is>
      </c>
      <c r="M7178" s="2">
        <f>HYPERLINK("https://ru.wikipedia.org/w/index.php?search=%D0%93%D0%BE%D1%81%D0%BF%D0%BE%D0%B4%D0%B8%D0%BD%20%D0%BE%D1%84%D0%BE%D1%80%D0%BC%D0%B8%D1%82%D0%B5%D0%BB%D1%8C%201988%20%D1%84%D0%B8%D0%BB%D1%8C%D0%BC","искать")</f>
        <v/>
      </c>
      <c r="N7178" s="3" t="n"/>
      <c r="O7178" s="2" t="n"/>
      <c r="P7178" s="2" t="n"/>
    </row>
    <row r="7179">
      <c r="A7179" s="2" t="n">
        <v>7178</v>
      </c>
      <c r="B7179" s="2" t="inlineStr"/>
      <c r="C7179" s="2" t="n">
        <v>7922</v>
      </c>
      <c r="D7179" s="3" t="inlineStr">
        <is>
          <t>Мы, нижеподписавшиеся</t>
        </is>
      </c>
      <c r="E7179" s="2" t="n">
        <v>1981</v>
      </c>
      <c r="F7179" s="2" t="inlineStr">
        <is>
          <t>телефильм</t>
        </is>
      </c>
      <c r="G7179" s="2" t="n"/>
      <c r="H7179" s="2" t="n">
        <v>2891</v>
      </c>
      <c r="I7179" s="2" t="inlineStr"/>
      <c r="J7179" s="2" t="inlineStr"/>
      <c r="K7179" s="3" t="inlineStr">
        <is>
          <t>Фильм решён в камерном стиле, практически все события происходят в пассажирском поезде, в нескольких купе одного вагона.
Время действия — эпоха позднего СССР, рубеж 1970—1980-х годов.
Приёмная комиссия в составе трёх работников облисполкома (Виолетты Матвеевны Нуйкиной, жены профессора, Геннадия Михайловича Семёнова, зубоскала, бабника и любителя выпить, и председателя комиссии Юрия Николаевича Девятова, принципиального и честного аппаратчика, бывшего военного юриста) отказалась подписывать акт о приёмке хлебозавода из-за недоделок, хотя в принципе завод печь хлеб может. Комиссию, возвращающуюся с приёмки объекта, инкогнито сопровождает Леонид Шиндин, главный диспетчер СМУ, которое строило объект. С ним же едет его коллега, начальник производственного отдела СМУ Малисов и неожиданно оказавшаяся в купе жена Шиндина Алла, подчинённая Малисова.
Задача Шиндина — любой ценой убедить комиссию подписать этот акт, пока поезд не пришёл в город Елино и руководству не доложили, что объект не принят. Шиндин развивает кипучую деятельность: пытается разговорить Девятова, выдав себя за случайного попутчика; устраивает скандал с проводником вагона, втягивая в него членов комиссии; даже инсценирует день рождения жены, представив её своей сослуживицей, что только приводит к крупной ссоре супругов Шиндиных между собой и с членами комиссии.
Шиндин раскрывает карты и убеждает председателя комиссии, что есть обстоятельства поважнее недоделок на строительстве. Если объект не принять сейчас, из СМУ выживут его начальника Егорова — честного и талантливого человека, архитектора-новатора, «философа сельского строительства». Егоров неугоден начальнику стройтреста, карьеристу Грижелюку, и его старому приятелю, заместителю председателя облисполкома Ивану Ивановичу. Те намеренно тормозили строительство завода и организовали общественную кампанию, обвинившую в задержках Егорова. Выслушав Шиндина, Девятов начинает понимать, что он со своей принципиальностью стал невольным орудием в чужой грязной игре. Наконец он принимает решение подписать акт, но подписывать уже нечего: Шиндин в отчаянии порвал и выбросил все пять экземпляров.
Девятов подписывает пять чистых листов бумаги и отдает их Шиндину. По примеру Девятова ставит подписи и Нуйкина, несмотря на то, что накануне поездки её вместе с Семёновым вызывал Иван Иванович и дал чёткое указание: объект не принимать ни в коем случае. Третий член комиссии, Семёнов, протрезвев после «дня рождения», наотрез отказывается подписывать чистые листы и — после потасовки с Шиндиным — по прибытии поезда в Елино сбегает через открытое окно купе.
Сходят с поезда и остальные герои. Нуйкина забирает у Аллы бесполезные — без подписи Семёнова, — но компрометирующие её и Девятова чистые листы. Прощаясь, Девятов просит Шиндина передать Егорову, чтобы тот с ним непременно связался, давая тем самым понять, что все старания Шиндина были не напрасны.</t>
        </is>
      </c>
      <c r="L7179" s="2" t="inlineStr">
        <is>
          <t>https://ru.wikipedia.org/w/index.php?title=%D0%9C%D1%8B%2C_%D0%BD%D0%B8%D0%B6%D0%B5%D0%BF%D0%BE%D0%B4%D0%BF%D0%B8%D1%81%D0%B0%D0%B2%D1%88%D0%B8%D0%B5%D1%81%D1%8F&amp;oldid=148465622</t>
        </is>
      </c>
      <c r="M7179" s="2">
        <f>HYPERLINK("https://ru.wikipedia.org/w/index.php?search=%D0%9C%D1%8B%2C%20%D0%BD%D0%B8%D0%B6%D0%B5%D0%BF%D0%BE%D0%B4%D0%BF%D0%B8%D1%81%D0%B0%D0%B2%D1%88%D0%B8%D0%B5%D1%81%D1%8F%201981%20%D1%84%D0%B8%D0%BB%D1%8C%D0%BC","искать")</f>
        <v/>
      </c>
      <c r="N7179" s="3" t="n"/>
      <c r="O7179" s="2" t="n"/>
      <c r="P7179" s="2" t="n"/>
    </row>
    <row r="7180">
      <c r="A7180" s="2" t="n">
        <v>7179</v>
      </c>
      <c r="B7180" s="2" t="inlineStr"/>
      <c r="C7180" s="2" t="n">
        <v>9231</v>
      </c>
      <c r="D7180" s="3" t="inlineStr">
        <is>
          <t>Белые ночи</t>
        </is>
      </c>
      <c r="E7180" s="2" t="n">
        <v>1991</v>
      </c>
      <c r="F7180" s="2" t="inlineStr">
        <is>
          <t>кинофильм</t>
        </is>
      </c>
      <c r="G7180" s="2" t="n"/>
      <c r="H7180" s="2" t="n">
        <v>2910</v>
      </c>
      <c r="I7180" s="2" t="inlineStr"/>
      <c r="J7180" s="2" t="inlineStr"/>
      <c r="K7180" s="3" t="inlineStr">
        <is>
          <t>Предрассветный Петербург второй половины 20-го века. Машину, развозящую хлеб по булочным, останавливает юная девушка. Она просит молодого парня-шофера подвезти её. Он заглядывается на её очаровательное личико, которое так похоже на образ девушки из его снов. Когда они расстаются, он сожалеет, что не увидит её больше. Но девушка говорит, что возможно завтра ей понадобится его совет. На вопрос юноши, как же её зовут, девушка отвечает: Стася – Анастасия, Настя. Романтичный юноша совсем не похож на шофера. Он проводит ночи в ожидании чуда. В свои 26 лет, он считает, что прошел круг жизни, и дневная жизнь среди людей ему скучна и неинтересна. В ночной тишине с ним разговаривают деревья, мосты и дома. На следующий вечер после трёх часов ожидания к шоферу является Настенька. Она решает рассказать ему всё о себе. В институт не поступила и живёт у тети в квартире. Большую комнату тётка решила сдавать. В комнату въехал солидный мужчина и сразу вручил тёте большую пачку денег. Хозяйка и Настя не совали нос в его жизнь и его дела. А через месяц мужчина приглашает Настю на пару дней в Пицунду. Тёте постоялец преподносит видеомагнитофон и телевизор. После возвращения Насти с юга тётя допытывается, что у племянницы было с постояльцем, но она утверждает, что невинна. Чтобы расположить к себе тётю девушки, мужчина приглашает обеих в ресторан. После ресторана он провожает Настю и сообщает, что завтра уезжает из Питера. Ночью влюблённая Настя идёт в комнату к постояльцу, признается ему в любви, говорит, что не может жить без него и просит взять её с собой. Он обещает вернуться через три месяца и назначает ей свидание возле Никольского собора в день своего возвращения. Настенька сообщает юноше, что прошло уже два дня после назначенной встречи, и она по-прежнему ждёт любимого в назначенном месте. Настя вспоминает, что не знает, как зовут её нового знакомого, и узнает его имя Дмитрий. Дима обещает разыскать возлюбленного Насти. Когда он пытается найти мужчину, он понимает, что тот связан с криминальными кругами. Он сообщает Насте, что её возлюбленный жулик и бандит, у которого всё есть, а для полноты ощущений он захотел заполучить юную девушку. Дима признается, что Настя – девушка из его снов, и он влюблен в неё. Из-за попыток Димы узнать что-то о возлюбленном Насти - шефе преступной группировки, его сильно избивают неизвестные. Настя начинает ухаживать за травмированным Дмитрием и сожалеет, что считала его чудиком, и не увидела его чувств к ней. Анастасия строит планы на будущую жизнь вместе с Дмитрием, но как только на горизонте появляется её прежний возлюбленный и зовёт её: «Стася!», она тут же спешит к нему. Вместе они улетают в Пицунду. Дмитрий бросает свою работу. Он опять бродит по ночному Питеру во власти своих мечтаний. В этих таинственных белых ночах ему уже не понять, где видения, а где реальные люди. Он опять грезит девушкой в старинных одеяниях, похожей на Настеньку.</t>
        </is>
      </c>
      <c r="L7180" s="2" t="inlineStr">
        <is>
          <t>https://gosfilmofond.ru/films/232235/</t>
        </is>
      </c>
      <c r="M7180" s="2">
        <f>HYPERLINK("https://ru.wikipedia.org/w/index.php?search=%D0%91%D0%B5%D0%BB%D1%8B%D0%B5%20%D0%BD%D0%BE%D1%87%D0%B8%201991%20%D1%84%D0%B8%D0%BB%D1%8C%D0%BC","искать")</f>
        <v/>
      </c>
      <c r="N7180" s="3" t="n"/>
      <c r="O7180" s="2" t="n"/>
      <c r="P7180" s="2" t="n"/>
    </row>
    <row r="7181">
      <c r="A7181" s="2" t="n">
        <v>7180</v>
      </c>
      <c r="B7181" s="2" t="inlineStr"/>
      <c r="C7181" s="2" t="n">
        <v>8512</v>
      </c>
      <c r="D7181" s="3" t="inlineStr">
        <is>
          <t>Филипп Траум</t>
        </is>
      </c>
      <c r="E7181" s="2" t="n">
        <v>1989</v>
      </c>
      <c r="F7181" s="2" t="inlineStr">
        <is>
          <t>телефильм</t>
        </is>
      </c>
      <c r="G7181" s="2" t="n"/>
      <c r="H7181" s="2" t="n">
        <v>2923</v>
      </c>
      <c r="I7181" s="2" t="inlineStr"/>
      <c r="J7181" s="2" t="inlineStr"/>
      <c r="K7181" s="3" t="inlineStr">
        <is>
          <t>Фильм переносит зрителя в средневековую Европу, во времена инквизиции. Конец XVI века, Австрия, Бургенланд, предместье Вены. Небольшой городишко Эзельдорф (дословно «деревня ослов», сочетание слов и, не существующий в реальности; созвучное название носит в Бургенланде городок Эзельштадт, в который изначально и направлялся главный герой, но волей судьбы он случайно оказывается в Эзельдорфе), находящийся под практически полным подчинением председателя духовного трибунала Файертага, посещает странный молодой человек, представившийся встретившим его мальчишкам (сыну органиста Теодору, сыну кабатчика Сеппи и сыну судьи Николаусу) Филиппом Траумом — путешественником и магом. Позже Траум сознается в том, что он сатана (точнее, как следует из оригинального произведения Марка Твена, является сатаной-младшим и приходится племянником падшему ангелу).
Мальчики просят чудесного незнакомца улучшить жизнь бескорыстного отца Питера и его племянницы Маргарет, в которую тайно влюблены инквизитор Файертаг и его секретарь Вильгельм. Однако возникший ниоткуда кошель отца Питера, набитый золотыми монетами, лишь ухудшает положение дел. Файертаг, желая заполучить деньги, бросает отца Питера в тюрьму, обвинив его в краже.
Филипп Траум устраивает помолвку Маргарет и Вильгельма. Помолвка сопровождается различными чудесными явлениями, свидетелем которых становится и взбешенный Файертаг. Он начинает плести сети обвинений в колдовстве и сотрудничестве с дьяволом вокруг Маргарет, смотрителя княжеского замка Феликса Брандта, относящегося с симпатией к мальчишкам и Маргарет, и, наконец, самого Траума.
Мальчики приходят в восторг от каждого нового трюка таинственного незнакомца и, не опасаясь последствий, просят того предсказать их судьбу. Однако предсказания не так радужны, и мальчики в очередной раз умоляют Траума переделать будущее. В результате, спасая тонущую девочку, гибнет Николаус.
На суде над отцом Питером Брандт в последний момент разоблачает козни Файертага.
Отец Питер, как и было обещано Траумом, счастливый в своём безумии, покидает городок с труппой бродячих актёров. Файертаг подговаривает жителей городка идти на штурм замка, в котором укрылся Брандт и Маргарет. Проносящаяся в небе Дикая охота служит знаком того, что Филипп Траум покидает город. Она же, заставляя жителей Эзельдорфа разбежаться в ужасе, уносит с собой Теодора, Маргарет и Брандта, а председателя духовного трибунала обращает в столб пламени.
После отъезда Филиппа Траума ни один из взрослых жителей города не может вспомнить, как именно выглядел таинственный незнакомец. Пока взрослые строят догадки, Сеппи, перенимающий дело своего отца, оказывается единственным в этой компании, кто запомнил образ таинственного незнакомца правильно, сообщает, что Филипп Траум был не кто иной, как благородный юноша с голубыми глазами и золотыми волосами. И что, вероятно, он вернётся, так как в город приезжает новый председатель духовного трибунала.</t>
        </is>
      </c>
      <c r="L7181" s="2" t="inlineStr">
        <is>
          <t>https://ru.wikipedia.org/w/index.php?title=%D0%A4%D0%B8%D0%BB%D0%B8%D0%BF%D0%BF_%D0%A2%D1%80%D0%B0%D1%83%D0%BC&amp;oldid=153680827</t>
        </is>
      </c>
      <c r="M7181" s="2">
        <f>HYPERLINK("https://ru.wikipedia.org/w/index.php?search=%D0%A4%D0%B8%D0%BB%D0%B8%D0%BF%D0%BF%20%D0%A2%D1%80%D0%B0%D1%83%D0%BC%201989%20%D1%84%D0%B8%D0%BB%D1%8C%D0%BC","искать")</f>
        <v/>
      </c>
      <c r="N7181" s="3" t="n"/>
      <c r="O7181" s="2" t="n"/>
      <c r="P7181" s="2" t="n"/>
    </row>
    <row r="7182">
      <c r="A7182" s="2" t="n">
        <v>7181</v>
      </c>
      <c r="B7182" s="2" t="inlineStr"/>
      <c r="C7182" s="2" t="n">
        <v>9653</v>
      </c>
      <c r="D7182" s="3" t="inlineStr">
        <is>
          <t>Смерть за кулисами</t>
        </is>
      </c>
      <c r="E7182" s="2" t="n">
        <v>1991</v>
      </c>
      <c r="F7182" s="2" t="inlineStr">
        <is>
          <t>кинофильм</t>
        </is>
      </c>
      <c r="G7182" s="2" t="n"/>
      <c r="H7182" s="2" t="n">
        <v>2926</v>
      </c>
      <c r="I7182" s="2" t="inlineStr"/>
      <c r="J7182" s="2" t="inlineStr"/>
      <c r="K7182" s="3" t="inlineStr">
        <is>
          <t>1-я серия. Швеция. 1942 год. Вечером после репетиции актеры театра отправляются домой. Двое мужчин на мотоцикле открывают беспорядочную стрельбу по группе. Погибают двое молодых актеров. Убийцы скрываются за городом и докладывают своему шефу по прозвищу «Профессор», что акция устрашения завершена, и «комедианты теперь прикроют свой балаган». Происшествие начинает расследовать старший инспектор полиции Аксель Холм. Он живет вдвоем с 20-летней дочерью Карин. Холм любит свою единственную дочь, и у них теплые доверительные отношения. Инспектор делает вывод, что стрельба была предупреждением актерам, о чем он сообщает режиссеру театра Стену Экману. Тот решает, несмотря ни на какие обстоятельства, осуществить постановку спектакля по мотивам романа Льва Толстого «Война и мир». В газете размещается объявление о дополнительном наборе актеров. Профессору сообщают, что режиссер не намерен отступать от планов постановки спектакля. Профессор отправляет своего молодого подручного Эрвина Грюне внедриться в труппу. Его задача – сорвать спектакль любым способом. Кроме того Грюне является основным поставщиком информации для Профессора. Он скупает в городе все газеты, просматривает их и передает шефу статьи о промышленности Швеции, перемещении грузов и других мероприятиях, которые могут противодействовать Германии. Эрвин – обаятельный молодой человек без труда вливается в актерский коллектив. В день рождения Карин отец ведет её в ресторан, где их приглашает за свой стол компания актеров. Девушка знакомится с актерами и их режиссером. Стен приглашает Карин на танец, и они проводят вечер вместе. Вскоре девушка приходит в театр на пробы. Ей поручают исполнение роли Наташи Ростовой. Холм предупреждает дочь, что идти в артистки – это игра с огнем. Но у Карин и Стена возникли взаимные чувства, и девушка игнорирует предупреждение отца. 2-я серия. Эрвин также влюблен в Карин. Об этом узнает Профессор. Он требует, чтобы помощник был нацелен на предотвращение постановки, которая вредна, так как поднимает у шведов дух сопротивления фашизму, и не пытался строить отношения с девушкой. Инспектор Холм в результате слежки за Эрвином понимает, что он работает на германскую разведку. Идя по следам Эрвина, он выслеживает группу Профессора за городом, но его машина рядом с усадьбой попадает в их поле зрения, и бандиты понимают, что за ними следят. Профессор дает срочное задание Эрвину убить Карин накануне представления. Тот покупает 2 билета на теплоход, плывущий в дальние края, и пытается уговорить любимую девушку бежать с ним. Карин отказывается, и он убивает её. Тем временем инспектор возвращается в город и узнает о смерти дочери. Он преследует Эрвина на машине и становится свидетелем его гибели в дорожном происшествии. В день премьеры спектакль начинается вовремя. Он посвящен памяти Карен Холм. Эпилог: в 1943 году в Стокгольме состоялась премьера по пьесе С.Цвейга о Толстом в постановке актеров-антифашистов.</t>
        </is>
      </c>
      <c r="L7182" s="2" t="inlineStr">
        <is>
          <t>https://gosfilmofond.ru/films/232505/</t>
        </is>
      </c>
      <c r="M7182" s="2">
        <f>HYPERLINK("https://ru.wikipedia.org/w/index.php?search=%D0%A1%D0%BC%D0%B5%D1%80%D1%82%D1%8C%20%D0%B7%D0%B0%20%D0%BA%D1%83%D0%BB%D0%B8%D1%81%D0%B0%D0%BC%D0%B8%201991%20%D1%84%D0%B8%D0%BB%D1%8C%D0%BC","искать")</f>
        <v/>
      </c>
      <c r="N7182" s="3" t="n"/>
      <c r="O7182" s="2" t="n"/>
      <c r="P7182" s="2" t="n"/>
    </row>
    <row r="7183">
      <c r="A7183" s="2" t="n">
        <v>7182</v>
      </c>
      <c r="B7183" s="2" t="inlineStr"/>
      <c r="C7183" s="2" t="n">
        <v>9427</v>
      </c>
      <c r="D7183" s="3" t="inlineStr">
        <is>
          <t>Комитет Аркадия Фомича</t>
        </is>
      </c>
      <c r="E7183" s="2" t="n">
        <v>1990</v>
      </c>
      <c r="F7183" s="2" t="inlineStr">
        <is>
          <t>кинофильм</t>
        </is>
      </c>
      <c r="G7183" s="2" t="n"/>
      <c r="H7183" s="2" t="n">
        <v>2942</v>
      </c>
      <c r="I7183" s="2" t="inlineStr"/>
      <c r="J7183" s="2" t="inlineStr"/>
      <c r="K7183" s="3" t="inlineStr">
        <is>
          <t>Москва, начало перестройки, памятник Дзержинскому ещё не снесен. В доме ветеранов МВД-КГБ одним из пенсионеров, отставным сотрудником КГБ Самохиным Аркадием Фомичем создана организация, призванная бороться с внутренними врагами Советского Союза. Аркадий Фомич считает, что перестройка заканчивается, предстоят репрессии, и ветераны будут помогать в организации массовых арестов. Пока же для тренировки он поручает пенсионерам ликвидацию секции нудистов и захват министра мелиорации и водного хозяйства. Разогнав нудистов с места отдыха, пенсионеры захватывают одного для отчета перед Самохиным, а у министра допытываются, за какую он власть. Фомич наблюдает повсюду свободу поведения людей, которая, по его мнению, ведет к полному разложению общества. Это сильно расстраивает его, и он находится в замешательстве. После очередного медосмотра в доме ветеранов он случайно слышит, что жить ему осталось недолго, у него рак 3-ей степени. Аркадий Фомич решает провести свои последние дни на юге и едет на вокзал. Там он стоит в очереди за билетом, откуда его отправляют в кассу для ветеранов и в стрессовом состоянии он падает посередине зала. Ему помогает встать девушка, которую Фомич в качестве благодарности приглашает в ресторан. Она рассказывает, что приехала в Москву к парню, а он прогнал её, и она едет домой. Аркадий Фомич предлагает девушке жить у него и ухаживать за ним, обещая за это оформить на неё завещание. Лена поселяется у Фомича. Он хочет найти у неё понимание и признается, что задыхается в этой новой жизни. Но девушка не понимает переживаний старого человека. Она ведет себя фривольно, обнажается перед пенсионером, думая, что он этого от нее ждет. Фомич разочарован в очередной раз, ведь принял ее, как дочку. Он выбрасывает вещи Лены в окно, а сам плачет. Голая девушка спешит на улицу, где собирает свои вещи и уходит. После этого случая Аркадий Фомич собирает жильцов дома ветеранов и сообщает им, что уходит с поста старосты отделения и с поста председателя комитета. Свою организацию он распускает и объявляет полную свободу жизни в доме престарелых. Свое решение Фомич объясняет тем, что он устал. Он задается вопросом, кому нужна эта их работа? Пенсионеры занимаются ею, разве что, от безделья. Аркадий Фомич сообщает старикам, что он или умрет скоро, или застрелится. Самохин уходит из дома престарелых, и ночью является к сыну в маленькую квартирку, где тот живет с семьей. Он заявляет, что пришел умирать, на что сын отвечает, что отец уже 5-ый год умирает, и теснит их в 18-ти метровой комнате. Поняв, что он никому не нужен, Фомич является на Лубянку с заявлением на самого себя: он участвовал в репрессиях, а сейчас организовал диверсионную группу. Он просит забрать его в тюрьму, потому что ему негде жить, а ветераны ему надоели. Фомичу отказывают. Аркадий Фомич возвращается в дом ветеранов и от безысходности вешается. О смерти Самохина сообщают, что он скончался после тяжелой и продолжительной болезни.</t>
        </is>
      </c>
      <c r="L7183" s="2" t="inlineStr">
        <is>
          <t>https://gosfilmofond.ru/films/276999/</t>
        </is>
      </c>
      <c r="M7183" s="2">
        <f>HYPERLINK("https://ru.wikipedia.org/w/index.php?search=%D0%9A%D0%BE%D0%BC%D0%B8%D1%82%D0%B5%D1%82%20%D0%90%D1%80%D0%BA%D0%B0%D0%B4%D0%B8%D1%8F%20%D0%A4%D0%BE%D0%BC%D0%B8%D1%87%D0%B0%201990%20%D1%84%D0%B8%D0%BB%D1%8C%D0%BC","искать")</f>
        <v/>
      </c>
      <c r="N7183" s="3" t="n"/>
      <c r="O7183" s="2" t="n"/>
      <c r="P7183" s="2" t="n"/>
    </row>
    <row r="7184">
      <c r="A7184" s="2" t="n">
        <v>7183</v>
      </c>
      <c r="B7184" s="2" t="inlineStr"/>
      <c r="C7184" s="2" t="n">
        <v>8025</v>
      </c>
      <c r="D7184" s="3" t="inlineStr">
        <is>
          <t>Обыкновенная Арктика</t>
        </is>
      </c>
      <c r="E7184" s="2" t="n">
        <v>1976</v>
      </c>
      <c r="F7184" s="2" t="inlineStr">
        <is>
          <t>телефильм</t>
        </is>
      </c>
      <c r="G7184" s="2" t="n"/>
      <c r="H7184" s="2" t="n">
        <v>2957</v>
      </c>
      <c r="I7184" s="2" t="inlineStr"/>
      <c r="J7184" s="2" t="inlineStr"/>
      <c r="K7184" s="3" t="inlineStr">
        <is>
          <t>События фильма развиваются в 1935 году в Арктике. Костя Лобас, попавший в тундру приказчиком, живёт у заведующего факторией, Тиши. Однажды радист Игнатьич приносит тревожные новости: «В Карском лед, в проливе Вилькицкого лед, в устье Пясины лед». Это значит, что караван не придет, тундра будет голодать. Радист предлагает послать начальству радиограмму о бедственном положении, но заведующий факторией запрещает: «Начальство не любит бедственных положений, уж я-то знаю». Тогда Лобас пытается отправить радиограмму без ведома заведующего: он подкупает радиста спиртом. Но Игнатьич напивается и не может передать сообщение. Костя идёт к заведующему и требует подписать разрешение на передачу радиограммы. Заведующий, издеваясь над приказчиком, рвёт разрешение у него на глазах, и Лобас в бессильной ярости принимает решение бежать в Дальний, потому что жизнь у заведующего становится невыносимой.
Пройдя через тундру, обмороженный и измученный, он оказывается наконец в избушке полярников, в Дальнем. Там под начальством десятника Степана Грохота строится порт. Руководство в Москве озабочено тем, что по сводкам, которые передаются с места строительства, дела обстоят уж слишком благополучно, и отправляет на стройку нового, настоящего, начальника — Антона Семёновича. Он резок, нетерпим, порой даже жесток со своими подчинёнными. Режиссёр Алексей Симонов так описал героя Даля: «Что за человека он играл? Пепелище, где почти выгорели все „хорошо“ и „плохо“ и существуют только понятия пользы и вреда. Нравственность инженерную: соответствие параметров техническим условиям и проектной документации. Высокое напряжение, волю и единственную корысть — сделать дело». В нём не осталось практически ничего человеческого, из-за этого между начальником и строителями постоянно возникают конфликты, решить которые бывает непросто, ведь ни одна из сторон не хочет уступать. Полярники не любят начальника и смеются над ним, дают ему прозвище «суслик» за то, что он не знает Севера, не понимает, как обращаться с рабочими. Антон Семёнович же стремится установить на стройке железную дисциплину: он отбирает у людей спирт, заставляет их работать в пургу, требует уважительного отношения к себе и не допускает никаких пререканий. Рабочие недовольны обращением начальника — разжигателем протестов против новых порядков обычно выступает Степан Грохот, которого поддерживают остальные рабочие. За очередную бунтарскую выходку Степана лишают звания десятника, и он становится рядовым плотником.
В фильме показана действительно «обыкновенная» Арктика, её нелёгкие трудовые будни, во время которых герои пережидают пятидневную пургу, вручную двигают неверно поставленный при стройке ряж, принимают роды по радиотелеграфу, ссорятся, мирятся и выполняют свою тяжёлую работу. Это фильм о выживании в невыносимых северных условиях, о взаимоотношениях коллектива в замкнутом пространстве, о строительстве, которое вели полярники, и о трудностях, с которыми при этом сталкивались.</t>
        </is>
      </c>
      <c r="L7184" s="2" t="inlineStr">
        <is>
          <t>https://ru.wikipedia.org/w/index.php?title=%D0%9E%D0%B1%D1%8B%D0%BA%D0%BD%D0%BE%D0%B2%D0%B5%D0%BD%D0%BD%D0%B0%D1%8F_%D0%90%D1%80%D0%BA%D1%82%D0%B8%D0%BA%D0%B0&amp;oldid=154791921</t>
        </is>
      </c>
      <c r="M7184" s="2">
        <f>HYPERLINK("https://ru.wikipedia.org/w/index.php?search=%D0%9E%D0%B1%D1%8B%D0%BA%D0%BD%D0%BE%D0%B2%D0%B5%D0%BD%D0%BD%D0%B0%D1%8F%20%D0%90%D1%80%D0%BA%D1%82%D0%B8%D0%BA%D0%B0%201976%20%D1%84%D0%B8%D0%BB%D1%8C%D0%BC","искать")</f>
        <v/>
      </c>
      <c r="N7184" s="3" t="n"/>
      <c r="O7184" s="2" t="n"/>
      <c r="P7184" s="2" t="n"/>
    </row>
    <row r="7185">
      <c r="A7185" s="2" t="n">
        <v>7184</v>
      </c>
      <c r="B7185" s="2" t="inlineStr"/>
      <c r="C7185" s="2" t="n">
        <v>8535</v>
      </c>
      <c r="D7185" s="3" t="inlineStr">
        <is>
          <t>Цирк зажигает огни</t>
        </is>
      </c>
      <c r="E7185" s="2" t="n">
        <v>1972</v>
      </c>
      <c r="F7185" s="2" t="inlineStr">
        <is>
          <t>телефильм</t>
        </is>
      </c>
      <c r="G7185" s="2" t="n"/>
      <c r="H7185" s="2" t="n">
        <v>2964</v>
      </c>
      <c r="I7185" s="2" t="inlineStr"/>
      <c r="J7185" s="2" t="inlineStr"/>
      <c r="K7185" s="3" t="inlineStr">
        <is>
          <t>Рассказ начинается с закулисья двух цирков — условно «итальянского» (директор — Витторио Розетти) и советского, оказавшихся на гастролях в одном крупном средиземноморском городе и вынужденных конкурировать за зрителей. В то время, как трое молодых артистов советского цирка (Андрей, Галя и Костя) с удовольствием читают благожелательные и даже восторженные отзывы о себе, итальянский цирк терпит убытки, и его директор вынужден оправдываться перед «инвестором» Мортимером, который в действительности питает матримониальные планы в отношении звезды этого цирка, приёмной дочери директора Глории.
Самой Глории Мортимер не нравится, что понятно, поскольку, кроме кошелька, он ничем не интересен; несмотря на довольно импозантную внешность, он уже немолод, не может похвастаться ни широким кругозором, ни изысканными манерами. Вопреки увещеваниям своего приёмного отца, Глория не собирается терпеть ухаживания Мортимера и сразу даёт ему это понять. Тот, однако, не отступается.
В это же самое время к директору советского цирка Шевелёвой проникает Граф, предводитель местных клакёров, навязывая свои «услуги» и угрожая срывом представления в случае отказа. Тем не менее, клакёров выпроваживают. При этом руководители конкурирующих цирков встречаются, обмениваются комплиментами, приглашают друг друга посетить представления. Глория знакомится со своим советским коллегой Андреем Баклановым, и он ей сразу нравится.
Посмотрев выступление Глории, советские циркачи оказываются впечатлены, но остальная программа бедновата. У Розетти рождается план — уговорить Андрея поработать в их цирке, используя «чары» Глории, сделать кассу и избавиться от Мортимера. Глории план не нравится, хотя она всё больше увлечена Андреем. Андрей и Глория проводят вместе всё свободное время, в итоге сталкиваются с Мортимером, который устраивает скандал.
Розетти убеждает Мортимера, что это он поручил Глории «обаять» Андрея, чтобы заполучить его в свою труппу, и заставляет его оплатить приём, который итальянцу приходится устроить, чтобы сгладить скандал. Мортимер нанимает клакёров, оставшихся без работы, чтобы они похитили Андрея и не дали ему выступить на утреннем представлении, чтобы испортить, таким образом, репутацию советского цирка.
Глория, узнав об этом, выручает Андрея и отдаёт ему свою машину, чтобы тот мог успеть вернуться в цирк ко времени его выхода на арену. Выступление проходит без проблем. Однако цирк, в котором работает Глория, остаётся без финансирования её «жениха», который улетает вместе с директором. Труппе даже не на что вернуться домой. Советские артисты предлагают устроить сверхплановое выступление, а доход от него передать труппе Глории, ставшей фактической руководительницей цирка, так как её приёмный отец улетел вместе с Мортимером.
Андрею и Глории приходится расстаться, по крайней мере, пока труппа не станет финансово независима от Мортимера и Розетти, которые остаются номинальными владельцами цирка. Костя и Галя признаются друг другу в любви.</t>
        </is>
      </c>
      <c r="L7185" s="2" t="inlineStr">
        <is>
          <t>https://ru.wikipedia.org/w/index.php?title=%D0%A6%D0%B8%D1%80%D0%BA_%D0%B7%D0%B0%D0%B6%D0%B8%D0%B3%D0%B0%D0%B5%D1%82_%D0%BE%D0%B3%D0%BD%D0%B8_%28%D1%84%D0%B8%D0%BB%D1%8C%D0%BC%29&amp;oldid=151585463</t>
        </is>
      </c>
      <c r="M7185" s="2">
        <f>HYPERLINK("https://ru.wikipedia.org/w/index.php?search=%D0%A6%D0%B8%D1%80%D0%BA%20%D0%B7%D0%B0%D0%B6%D0%B8%D0%B3%D0%B0%D0%B5%D1%82%20%D0%BE%D0%B3%D0%BD%D0%B8%201972%20%D1%84%D0%B8%D0%BB%D1%8C%D0%BC","искать")</f>
        <v/>
      </c>
      <c r="N7185" s="3" t="n"/>
      <c r="O7185" s="2" t="n"/>
      <c r="P7185" s="2" t="n"/>
    </row>
    <row r="7186">
      <c r="A7186" s="2" t="n">
        <v>7185</v>
      </c>
      <c r="B7186" s="2" t="inlineStr"/>
      <c r="C7186" s="2" t="n">
        <v>8752</v>
      </c>
      <c r="D7186" s="3" t="inlineStr">
        <is>
          <t>Казино</t>
        </is>
      </c>
      <c r="E7186" s="2" t="n">
        <v>1991</v>
      </c>
      <c r="F7186" s="2" t="inlineStr">
        <is>
          <t>кинофильм</t>
        </is>
      </c>
      <c r="G7186" s="2" t="n"/>
      <c r="H7186" s="2" t="n">
        <v>2975</v>
      </c>
      <c r="I7186" s="2" t="inlineStr"/>
      <c r="J7186" s="2" t="inlineStr"/>
      <c r="K7186" s="3" t="inlineStr">
        <is>
          <t>«Дикий» Запад, 20-ое столетие. Серж Мески, освободившись из тюрьмы, собирается ограбить казино. В соучастники, без которых ему невозможно осуществить свой план, он приглашает лихую компанию 4-х мужчин во время ужина в ресторане. Их задача в точности выполнять все его указания, за что им обещана доля награбленного.
Часть 1. Серж знакомится с девушкой из хранилища денег казино Ланой Эванс. Он представляется ей журналистом, который собирается написать статью о заведении и готов заплатить ей 50 тысяч долларов за предоставление материалов о казино. Поторговавшись, Лана соглашается на 80 тысяч. Но так как мнимый журналист просит чертежи и схемы хранилища, она понимает, что попала в ловушку, но жажда денег берет верх. Получив желаемое, Серж расплачивается и дарит девушке крем. Дома, нанеся крем на лицо, Лана умирает. Коллега Ланы в казино кореянка сообщает шефу мистеру Льюису, что её сменщица не вышла на работу. Наверху в залах идет азартная игра, а Мески с подельниками под предлогом срочных ремонтных работ проникают в хранилище и выносят оттуда деньги, применив против охраны и служащих удушающий газ. Наверху они убивают охранника. Услышав стрельбу, женщина-полицейский успевает убить одного из бандитов. Старший из бандитов, в грузовичок которого загрузили деньги, бросив подельников, уезжает. Но Серж успевает переложить в свою легковушку деньги из грузовичка отвлекшегося бандита. Преступнику на грузовичке не удается уехать далеко. Его самого настигает смерть от рук изнасилованной им девушки. Двое сбежавших преступников идут по следу подельника с деньгами и находят его убитым. Денег при нем нет. Вызванная в казино полиция быстро распознает 4-х участников преступления. При опросе служащих казино кореянка высказывает полиции своё предположение, что в ограблении может быть замешана её сменщица, её могли подкупить. Полицейские едут в дом Ланы и находят там ее труп и баночку крема с мышьяком. На берегу моря полицейские находят брошенную преступниками машину. Поступает команда осмотреть все прибрежные строения.
Часть 2-ая. Полицейские обнаруживают двух преступников и убивают их. Серж вынужден бросить свою машину с добычей и скрыться в пещере вблизи моря. Его машину «одалживает» семейная пара путешественников. При этом они оставляют для владельца машины записку со своим адресом. Обнаружив в машине крупную сумму денег, супруги присваивают их, а машину возвращают на место. Серж обнаруживает пропажу денег. Он облачается священником и является по оставленному ему адресу. Он угрожает пистолетом, и хозяйка Шила сообщает, что зарыла деньги в саду. Но полицейские уже напали на след организатора ограбления казино. По неопровержимым признакам они понимают, что деньги присвоили супруги. Но арестовать Сержа полицейские не успевают. Том погибает от случайного выстрела мужа Шилы Тома. Шила, спасаясь от наказания, убегает из дома, прихватив косметический крем из чемоданчика мнимого священника. Она не догадывается, что этот крем с убийственным мышьяком.</t>
        </is>
      </c>
      <c r="L7186" s="2" t="inlineStr">
        <is>
          <t>https://gosfilmofond.ru/films/232326/</t>
        </is>
      </c>
      <c r="M7186" s="2">
        <f>HYPERLINK("https://ru.wikipedia.org/w/index.php?search=%D0%9A%D0%B0%D0%B7%D0%B8%D0%BD%D0%BE%201991%20%D1%84%D0%B8%D0%BB%D1%8C%D0%BC","искать")</f>
        <v/>
      </c>
      <c r="N7186" s="3" t="n"/>
      <c r="O7186" s="2" t="n"/>
      <c r="P7186" s="2" t="n"/>
    </row>
    <row r="7187">
      <c r="A7187" s="2" t="n">
        <v>7186</v>
      </c>
      <c r="B7187" s="2" t="inlineStr"/>
      <c r="C7187" s="2" t="n">
        <v>8388</v>
      </c>
      <c r="D7187" s="3" t="inlineStr">
        <is>
          <t>Сохранившие огонь</t>
        </is>
      </c>
      <c r="E7187" s="2" t="n">
        <v>1970</v>
      </c>
      <c r="F7187" s="2" t="inlineStr">
        <is>
          <t>телефильм</t>
        </is>
      </c>
      <c r="G7187" s="2" t="inlineStr">
        <is>
          <t>Мосфильм</t>
        </is>
      </c>
      <c r="H7187" s="2" t="n">
        <v>2976</v>
      </c>
      <c r="I7187" s="2" t="inlineStr"/>
      <c r="J7187" s="2" t="inlineStr"/>
      <c r="K7187" s="3" t="inlineStr">
        <is>
          <t>Фильм по мотивам рассказа Александра Бека «Письмо Ленина», где действие происходит после Гражданской войны, в первые годы после установления в Донбассе советской власти. Её врагами взорван мост, по которому доставлялась руда к единственной работающей домне по выплавке чугуна на металлургическом заводе в этом регионе. Кроме того, тяжело ранен директор завода. На общем собрании работников завода временным директором выбирают плавщика Клявина (Евгений Матвеев), который особенно решительно проявляет стремление добиться, чтобы домна работала и давала чугун.
Клявин предлагает доставлять руду к домне любыми подручными средствами, пока мост не будет восстановлен. Ему удаётся вдохновить людей на работу в первые два дня, но на третий день он обнаруживает, что доставку руды обеспечивают лишь сознательные комсомольцы. Клявин пытается взывать к совести остальных рабочих, но голодные люди не склонны внимать его пламенным призывам.
Клявин пытается взять в долг на складе продовольствия хлеб для рабочих завода. Однако начальник склада (Владимир Пицек) отказывает ему, объясняя, что если отдать рабочим хлеб сейчас, весь город может быть поставлен перед угрозой голода. Но Клявин знает, что скоро прибудет эшелон с продовольствием, и благодаря этой уверенности ему всё-таки удаётся достать хлеб для рабочих, которые восстанавливают мост и обеспечивают бесперебойную плавку. Чтобы покарать Клявина за самоуправство, Губернская чрезвычайная комиссия (ГубЧК) отдаёт приказ арестовать его, однако командир заводского комсомольского отряда Фёдор (Виталий Базин) только предупреждает временного директора об аресте, но не выполняет приказ.
Вскоре выясняется, что ожидаемый эшелон с хлебом для города не придёт — ни сегодня, ни завтра, ни когда-либо. Клявин решает ехать в город, чтобы найти следы исчезнувшего эшелона и спасти город и завод. По дороге на станцию Клявина преследуют бандиты, но им не удаётся его остановить.
В городе Клявин находит начальника сортировочной станции (Николай Парфенов) и выясняет, что эшелон с продовольствием для Донбасса отправили в Полтаву. Клявин требует у начальника документы, которые бы подтверждали это распоряжение, но тот отказывается предъявить бумаги. Когда же Клявин, подозревая саботаж и пытаясь выяснить судьбу эшелона, угрожает начальнику пистолетом, он сбегает. Клявина арестовывают, но ему удаётся бежать.
Клявин приезжает в Москву и встречается с наркомом продовольствия (Армен Джигарханян). Нарком, выслушав его сбивчивый рассказ, предлагает Клявину поехать на общее собрание правительства, где будет выступать Ленин, которого очень беспокоит ситуация в Донбассе.
Вернувшись домой, Клявин узнаёт, что рабочие, оставшись без хлеба, остановили домну, а враждебные элементы активизировали агитацию против советской власти. Клявин произносит речь перед рабочими, рассказывает им, что ему удалось встретиться с самим Лениным и привёз письмо от Владимира Ильича. Рабочие, вдохновлённые рассказом Клявина, решают восстановить работу завода.</t>
        </is>
      </c>
      <c r="L7187" s="2" t="inlineStr">
        <is>
          <t>https://ru.wikipedia.org/w/index.php?title=%D0%A1%D0%BE%D1%85%D1%80%D0%B0%D0%BD%D0%B8%D0%B2%D1%88%D0%B8%D0%B5_%D0%BE%D0%B3%D0%BE%D0%BD%D1%8C&amp;oldid=154704986</t>
        </is>
      </c>
      <c r="M7187" s="2">
        <f>HYPERLINK("https://ru.wikipedia.org/w/index.php?search=%D0%A1%D0%BE%D1%85%D1%80%D0%B0%D0%BD%D0%B8%D0%B2%D1%88%D0%B8%D0%B5%20%D0%BE%D0%B3%D0%BE%D0%BD%D1%8C%201970%20%D1%84%D0%B8%D0%BB%D1%8C%D0%BC","искать")</f>
        <v/>
      </c>
      <c r="N7187" s="3" t="n"/>
      <c r="O7187" s="2" t="n"/>
      <c r="P7187" s="2" t="n"/>
    </row>
    <row r="7188">
      <c r="A7188" s="2" t="n">
        <v>7187</v>
      </c>
      <c r="B7188" s="2" t="inlineStr"/>
      <c r="C7188" s="2" t="n">
        <v>9391</v>
      </c>
      <c r="D7188" s="3" t="inlineStr">
        <is>
          <t>Изыди!</t>
        </is>
      </c>
      <c r="E7188" s="2" t="n">
        <v>1991</v>
      </c>
      <c r="F7188" s="2" t="inlineStr">
        <is>
          <t>кинофильм</t>
        </is>
      </c>
      <c r="G7188" s="2" t="n"/>
      <c r="H7188" s="2" t="n">
        <v>2977</v>
      </c>
      <c r="I7188" s="2" t="inlineStr"/>
      <c r="J7188" s="2" t="inlineStr"/>
      <c r="K7188" s="3" t="inlineStr">
        <is>
          <t>Деревенская слобода времен Николая I. Из города вернулся новоявленный купец Мотл Рабинович, который получил документы на открытие в поселении магазина. Мотя мечтает заработать много денег и переехать с семьей в Петербург. Работящий и порядочный Рабинович создал сытую жизнь для своей большой семьи и оказывает помощь деревенским беднякам. Жители слободы относятся к нему доброжелательно. Дочь Моти тайно приняла православие, собираясь замуж за русского парня Петю, сына старосты. Дома на глаза Рабиновичу попадается записка с угрозой, что вечером всем жидам, и ему тоже, будет конец. Староста деревни Иван предупреждает Мотла, что урядник приказал им устроить «народный гнев» против евреев, потому что их бьют по всей губернии, уничтожают их имущество и сжигают дома. Отступить от приказа урядника нельзя и староста предлагает Моте согласиться на то, что мужики изобразят для урядника еврейский погром. Прибежал урядник и приказал прекратить это безобразие. Желая всем угодить, урядник объясняет старосте, он должен доложить власти, что они вместе пресекли неправомерные действия мужиков. Вечером Мотя угощает «погромщиков» выпивкой. Испуганные родственники Рабиновичей, которые гостили у хлебосольного Мотла, сбегают в город. Деревенский пьяница, которому Мотя купил корову, чтобы его семья не умерла с голода, угрожает купцу погромом, если тот не даст ему похмелиться. Не находя поддержки среди сельчан, он присмиряется. Дочь Моти и её суженый Петр венчаются в православном храме. Напряженность в губернии растет. Городские мужики пьянствуют в трактире и составляют списки евреев в округе для расправы. Мотл в глубоком раздумье. Ему не хочется покидать родные места и лишать семью обустроенной жизни. Молодожены, хотя и боятся гнева родителей, признаются, что они поженились. Петр хочет увезти жену в Петербург, чтобы она там училась. Они мечтают, что придет время, и их дети будут приезжать в деревню в русскую и еврейскую семьи. Иван и Мотя после некоторых колебаний принимают неожиданное родство. Во время празднования в дом прибегает урядник и сообщает, что в городе настоящие погромы. Городские мужики совсем озверели. Горит еврейская слобода. Мотя все ещё не верит, что с его семьей может случиться что-то плохое, ведь они мирно живут и никому не мешают. Но ночью приходит Иван и просит Мотю срочно увезти семью в лес, завтра в деревне будет погром. Он обещает сохранить дом Рабиновичей, куда они смогут вернуться, когда погромы прекратятся. Мотя в отчаянии крушит все в доме и плачет. На рассвете семья грузит на поводу оставшиеся пожитки. Мимо дома везут на поводах убитых евреев. Местный пьянчужка злорадно язвит, выспрашивая, куда это Мотя собрался. Расстрельная команда уже в деревне. Местные сочувствующие мужики тянут Мотла к поводе, чтобы он уезжал. Мотя цепенеет не в силах сдвинуться с места. Он хватает топор, чтобы защищать свою семью. Развязка близка. Местные мужики запасаются камнями и дубинками. Но против вооруженного карательного отряда они бессильны.</t>
        </is>
      </c>
      <c r="L7188" s="2" t="inlineStr">
        <is>
          <t>https://gosfilmofond.ru/films/232344/</t>
        </is>
      </c>
      <c r="M7188" s="2">
        <f>HYPERLINK("https://ru.wikipedia.org/w/index.php?search=%D0%98%D0%B7%D1%8B%D0%B4%D0%B8%21%201991%20%D1%84%D0%B8%D0%BB%D1%8C%D0%BC","искать")</f>
        <v/>
      </c>
      <c r="N7188" s="3" t="n"/>
      <c r="O7188" s="2" t="n"/>
      <c r="P7188" s="2" t="n"/>
    </row>
    <row r="7189">
      <c r="A7189" s="2" t="n">
        <v>7188</v>
      </c>
      <c r="B7189" s="2" t="inlineStr"/>
      <c r="C7189" s="2" t="n">
        <v>9225</v>
      </c>
      <c r="D7189" s="3" t="inlineStr">
        <is>
          <t>Безумная Лори</t>
        </is>
      </c>
      <c r="E7189" s="2" t="n">
        <v>1991</v>
      </c>
      <c r="F7189" s="2" t="inlineStr">
        <is>
          <t>кинофильм</t>
        </is>
      </c>
      <c r="G7189" s="2" t="n"/>
      <c r="H7189" s="2" t="n">
        <v>2983</v>
      </c>
      <c r="I7189" s="2" t="inlineStr"/>
      <c r="J7189" s="2" t="inlineStr"/>
      <c r="K7189" s="3" t="inlineStr">
        <is>
          <t>Часть 1 «Томасина». В маленьком шотландском городке живёт семья: папа – Эндрю Макдьюи, его маленькая дочь Мэри и любимая кошка девочки Томасина. Эндрю работает в клинике ветеринаром. Местные жители нелестно отзываются о нём. Они считают его хорошим специалистом, но жестоким человеком, которому плевать на людей и животных. Его друг, священник отец Энгус, призывает ветеринара быть милосердным, ведь с любовью легче жить, на что Эндрю отвечает, что он любил свою жену, но её у него отняли. Мама Мэри умерла от инфекции, которую она получила, помогая мужу лечить больных животных. Мэри не расстаётся со своей кошкой и повсюду таскает её с собой. Однажды Томасина заболела. Мэри приносит её к отцу в клинику и умоляет вылечить. Но отец, ссылаясь на свою занятость и неизлечимость кошки, усыпляет её. Смерть кошки – настоящая трагедия для девочки. Она не может простить отца и перестает с ним разговаривать. Мэри с друзьями устраивают настоящие похороны кошки и зарывают её на опушке леса вблизи одинокого дома. В этом доме живёт молодая очаровательная девушка Лори Макгрегор, которую в городке называют Безумная Лори. К рыжей ведьме люди идут с последней надеждой спасти своих больных питомцев. Она знает каждую травинку в лесу и готовит снадобья, которые вылечивают животных. Лори замечает на опушке могилу кошки. Она вскрывает её и видит, что кошка живая. Девушка берёт её в свой дом, вылечивает и даёт имя Талифа.
Часть 2 «Талифа». Эндрю слышит разговор двух женщин, когда одна из них советует другой вести больную собаку не к ветеринару, а в лес к затворнице. Он возмущен, собирается бороться с ведьмой и заявить в полицию. Священник успокаивает его: «Иди и будь осторожен. Она лечит и близка к богу». Эндрю звонит в колокол милосердия возле дома Лори, и она впускает его к себе. Он не успевает высказать свои претензии, как девушка просит его сделать операцию раненому барсуку, что она не умеет делать сама. В благодарность за помощь она дарит ветеринару шарф, связанный собственными руками. Под предлогом навестить прооперированного барсука он обещает вновь наведаться к Лори. Девушка явно нравится ему. Тем временем Мэри в глубокой депрессии заболевает. Её не радует милый котёнок, которого отец принёс для неё, и она отвергает подарок. Она не может простить отца за смерть любимой кошки. Здоровье девочки в критическом состоянии, и Эндрю в отчаянии приходит к Лори и просит её спасти дочь. Лори с любовью и милосердием ухаживает за девочкой. Мэри постоянно грезится её любимица Томасина. Однажды вечером, спасаясь от грозы, Талифа, гулявшая по лесу, прибегает к знакомому дому и заглядывает в окно комнаты, где лежит больная девочка. Мэри не сомневается, что это её любимица. Кошку впускают в дом и присутствующие в комнате понимают, что Томасина и Талифа – это одно животное. Пройдя через жизненные испытания и сделав шаги навстречу друг другу Эндрю и Лори понимают, что они близки друг другу и любят друг друга. Теперь ясно, что они не расстанутся и обретут семейное счастье.</t>
        </is>
      </c>
      <c r="L7189" s="2" t="inlineStr">
        <is>
          <t>https://gosfilmofond.ru/films/226096/</t>
        </is>
      </c>
      <c r="M7189" s="2">
        <f>HYPERLINK("https://ru.wikipedia.org/w/index.php?search=%D0%91%D0%B5%D0%B7%D1%83%D0%BC%D0%BD%D0%B0%D1%8F%20%D0%9B%D0%BE%D1%80%D0%B8%201991%20%D1%84%D0%B8%D0%BB%D1%8C%D0%BC","искать")</f>
        <v/>
      </c>
      <c r="N7189" s="3" t="n"/>
      <c r="O7189" s="2" t="n"/>
      <c r="P7189" s="2" t="n"/>
    </row>
    <row r="7190">
      <c r="A7190" s="2" t="n">
        <v>7189</v>
      </c>
      <c r="B7190" s="2" t="inlineStr"/>
      <c r="C7190" s="2" t="n">
        <v>7651</v>
      </c>
      <c r="D7190" s="3" t="inlineStr">
        <is>
          <t>Золотая мина</t>
        </is>
      </c>
      <c r="E7190" s="2" t="n">
        <v>1977</v>
      </c>
      <c r="F7190" s="2" t="inlineStr">
        <is>
          <t>телефильм</t>
        </is>
      </c>
      <c r="G7190" s="2" t="n"/>
      <c r="H7190" s="2" t="n">
        <v>2985</v>
      </c>
      <c r="I7190" s="2" t="inlineStr"/>
      <c r="J7190" s="2" t="inlineStr"/>
      <c r="K7190" s="3" t="inlineStr">
        <is>
          <t>3 апреля 1976 года, СССР. Из колонии строгого режима в контейнере мусоровоза, убив водителя, бежит особо опасный преступник — Борис Леонидович Брунов, осуждённый в 1975 году на восемь с половиной лет за спекуляцию валютными ценностями в крупных размерах. Рецидивист объявлен во всесоюзный розыск.
Спустя почти полтора года, 15 августа 1977 года, на пульт дежурного ГУВД Ленинграда и Ленинградской области поступает сообщение о дорожном происшествии. На шоссе под Ленинградом автомобилем «Волга» сбит стоявший на обочине дороги мужчина. Следственная группа капитана Крошина выезжает на место происшествия. По предварительным данным следствия, наезд был совершён умышленно. Потерпевший, некий Олег Торчинский, заведующий отделом дамской обуви ленинградского универмага, находится в больнице в тяжёлом состоянии.
Утром следующего дня в милицию обращаются супруги Дроздовские с заявлением о том, что кто-то следит за их недавно приобретённой дачей в посёлке Бирюзовый. Выясняется, что среди вещей раненого Торчинского имеется план-схема именно этой дачи.
17 августа 1977 года из дежурной части капитану Крошину сообщают о том, что только что по телефону мужской голос наводил справки, поступал ли в больницу Торчинский. Крошин решает отправиться в универмаг.
В процессе расследования сотрудники милиции выясняют, что прежним владельцем дачи Дроздовских был некий Брунов. Выясняется, что этот Брунов находится во всесоюзном розыске. Постепенно следствие устанавливает, что Торчинский был женат на сестре Брунова Лидии и случайно узнал, что на даче под фундаментом устроен тайник с сокровищами — золотом и драгоценностями, о существовании которых семья Дроздовских не догадывается. В поле зрения оперативников попадает некий фотограф Николай Косов, однако ему удаётся скрыться. В процессе обыска квартиры Косова в ней находят отпечатки пальцев Брунова.
Тем временем на дачу Дроздовских, за которой установлено наблюдение, ночью пытаются проникнуть неизвестные лица, но безуспешно. Вскоре находится автомобиль налётчиков с трупом одного из них и отпечатками пальцев Брунова. Тот факт, что Брунов, оставляя свои отпечатки пальцев в различных местах, остаётся странным образом неуловимым, наводит начальника уголовного розыска полковника милиции Зарубина на мысль, что Брунов после побега мог существенно изменить внешность с помощью пластической операции. И подтверждением этой версии является то, что ранее по делу Брунова проходил пластический хирург Ян Карлович Подниекс. В окружение Подниекса под видом состоятельной пациентки внедряется молодая сотрудница уголовного розыска Таня Лебедева. Оперативники выясняют, что Косов на самом деле и есть тот самый неуловимый Брунов, которому после побега Подниекс сделал пластическую операцию.
Все подозреваемые по делу пускаются в бега, но вскоре после проведения оперативно-разыскных мероприятий будут задержаны сотрудниками милиции. В том числе 27 августа 1977 года в Ялте будет задержан и сам преступник-рецидивист Борис Брунов (Николай Косов).</t>
        </is>
      </c>
      <c r="L7190" s="2" t="inlineStr">
        <is>
          <t>https://ru.wikipedia.org/w/index.php?title=%D0%97%D0%BE%D0%BB%D0%BE%D1%82%D0%B0%D1%8F_%D0%BC%D0%B8%D0%BD%D0%B0&amp;oldid=154552071</t>
        </is>
      </c>
      <c r="M7190" s="2">
        <f>HYPERLINK("https://ru.wikipedia.org/w/index.php?search=%D0%97%D0%BE%D0%BB%D0%BE%D1%82%D0%B0%D1%8F%20%D0%BC%D0%B8%D0%BD%D0%B0%201977%20%D1%84%D0%B8%D0%BB%D1%8C%D0%BC","искать")</f>
        <v/>
      </c>
      <c r="N7190" s="3" t="n"/>
      <c r="O7190" s="2" t="n"/>
      <c r="P7190" s="2" t="n"/>
    </row>
    <row r="7191">
      <c r="A7191" s="2" t="n">
        <v>7190</v>
      </c>
      <c r="B7191" s="2" t="inlineStr"/>
      <c r="C7191" s="2" t="n">
        <v>8209</v>
      </c>
      <c r="D7191" s="3" t="inlineStr">
        <is>
          <t>Приключения принца Флоризеля</t>
        </is>
      </c>
      <c r="E7191" s="2" t="n">
        <v>1979</v>
      </c>
      <c r="F7191" s="2" t="inlineStr">
        <is>
          <t>телефильм</t>
        </is>
      </c>
      <c r="G7191" s="2" t="inlineStr">
        <is>
          <t>Ленфильм</t>
        </is>
      </c>
      <c r="H7191" s="2" t="n">
        <v>2987</v>
      </c>
      <c r="I7191" s="2" t="inlineStr"/>
      <c r="J7191" s="2" t="inlineStr"/>
      <c r="K7191" s="3" t="inlineStr">
        <is>
          <t>Ищущий приключений принц Бакардии Флоризель гуляет по Лондону в одежде простого горожанина вместе со своим шталмейстером полковником Джеральдином. Ночью на набережной они встречают молодого человека с камнем на шее, готовящегося совершить самоубийство. Он оказывается отчаявшимся в жизни художником Перкинсом, которому не хватает денег на вступление в таинственный «Клуб самоубийц», где всего за 40 фунтов каждый мужчина может умереть «как джентльмен». Очередная «жертва» и «исполнитель» выбираются из членов клуба случайным образом с помощью колоды из 52 карт. Заведует всем загадочный «Председатель».
Флоризель решает войти в клуб и на втором заседании, вытащив туза пик, оказывается в положении жертвы. Джеральдин не допускает исполнения приговора, и вскоре все члены клуба предстают перед судом принца. Выясняется, что Председатель — опасный и изощрённый преступник, предпочитающий исключительно «бескровные» методы устранения своих жертв. Расправиться с Председателем или передать его органам правосудия Флоризель не может — его связывают обязательства, данные им при вступлении в клуб. Принц решает отправить Председателя в путешествие вместе с братом Джеральдина. Расчёт Флоризеля строится на том, что Председатель даст повод вызвать его на дуэль и только так можно будет свести с ним счёты. Однако в ходе путешествия по Европе Председатель сбегает, убив перед этим двух слуг принца, а также Джеральдина-младшего. Все жертвы были удушены шнурком от лорнета. Разгневанный Флоризель решает найти и лично убить Председателя.
Одновременно разворачиваются события в связи с кражей знаменитого алмаза Раджи из коллекции генерала Венделера. Председатель охотится за драгоценным камнем, а Флоризель пытается отыскать следы преступника, используя алмаз в качестве приманки. Для поиска убийцы принц просит помощи у европейских преступников. Художник Перкинс пишет портрет Председателя, по которому, несмотря на абстрактный стиль картины, бандита сразу узнают все воротилы преступного мира. Однако они так боятся Председателя, что отказываются дать показания. Положение спасает приговорённый к смерти преступник, которому бояться уже нечего. Переговорив с ним, Флоризель находит сына Председателя — живущего в Америке техасского ковбоя Фрэнка Скримджера — и вызывает его в Париж, чтобы использовать как приманку для Председателя.
Принц, по-прежнему не имеющий возможности отдать пойманного преступника властям, вызывает его на дуэль. Флоризель выходит из схватки победителем, но его победа омрачена финальной фразой Председателя: «не терплю крови».
Найденный алмаз, который стал причиной многих смертей, Его Высочество (в присутствии полицейского сыщика Крафта) выбрасывает в Темзу с тем, чтобы он больше не являлся соблазном для охотников за наживой.
Впоследствии сыщик Крафт пытается найти алмаз, используя водолазное снаряжение.
Принц и полковник какое-то время живут нормальной жизнью. Но Флоризель опять жалуется на скуку и призывает Джеральдина вновь отправиться на поиски приключений.</t>
        </is>
      </c>
      <c r="L7191" s="2" t="inlineStr">
        <is>
          <t>https://ru.wikipedia.org/w/index.php?title=%D0%9A%D0%BB%D1%83%D0%B1_%D1%81%D0%B0%D0%BC%D0%BE%D1%83%D0%B1%D0%B8%D0%B9%D1%86%2C_%D0%B8%D0%BB%D0%B8_%D0%9F%D1%80%D0%B8%D0%BA%D0%BB%D1%8E%D1%87%D0%B5%D0%BD%D0%B8%D1%8F_%D1%82%D0%B8%D1%82%D1%83%D0%BB%D0%BE%D0%B2%D0%B0%D0%BD%D0%BD%D0%BE%D0%B9_%D0%BE%D1%81%D0%BE%D0%B1%D1%8B&amp;oldid=153832653</t>
        </is>
      </c>
      <c r="M7191" s="2">
        <f>HYPERLINK("https://ru.wikipedia.org/w/index.php?search=%D0%9F%D1%80%D0%B8%D0%BA%D0%BB%D1%8E%D1%87%D0%B5%D0%BD%D0%B8%D1%8F%20%D0%BF%D1%80%D0%B8%D0%BD%D1%86%D0%B0%20%D0%A4%D0%BB%D0%BE%D1%80%D0%B8%D0%B7%D0%B5%D0%BB%D1%8F%201979%20%D1%84%D0%B8%D0%BB%D1%8C%D0%BC","искать")</f>
        <v/>
      </c>
      <c r="N7191" s="3" t="n"/>
      <c r="O7191" s="2" t="n"/>
      <c r="P7191" s="2" t="n"/>
    </row>
    <row r="7192">
      <c r="A7192" s="2" t="n">
        <v>7191</v>
      </c>
      <c r="B7192" s="2" t="inlineStr"/>
      <c r="C7192" s="2" t="n">
        <v>7281</v>
      </c>
      <c r="D7192" s="3" t="inlineStr">
        <is>
          <t>Бумбараш</t>
        </is>
      </c>
      <c r="E7192" s="2" t="n">
        <v>1971</v>
      </c>
      <c r="F7192" s="2" t="inlineStr">
        <is>
          <t>телефильм</t>
        </is>
      </c>
      <c r="G7192" s="2" t="inlineStr">
        <is>
          <t>к/с им. Довженко</t>
        </is>
      </c>
      <c r="H7192" s="2" t="n">
        <v>2988</v>
      </c>
      <c r="I7192" s="2" t="inlineStr"/>
      <c r="J7192" s="2" t="inlineStr"/>
      <c r="K7192" s="3" t="inlineStr">
        <is>
          <t>Смутные времена Гражданской войны. Рядовой Семён Бумбараш возвращается в свою деревню из австрийского плена, в который он попал, будучи посланным в разведку на воздушном шаре во время Первой мировой войны. В родных местах все, включая любимую девушку Варю, давно считали его погибшим. Варя была вынуждена выйти замуж за Гаврилу, который возглавляет деревенский отряд самообороны, близкий к бандитам. Власть в окрестностях периодически меняется: на смену красным приходят белые, а на смену белым — зелёные.
Друг Бумбараша Яшка предлагает ему уйти к красным, но Бумбараш отказывается, говоря, что он уже навоевался. Желание повидаться с Варей заканчивается для Бумбараша отметиной на голове от Гаврилы. Бумбараш прячется на сеновале у брата. Яшка взрывает бомбу возле дома Гаврилы. В возникшей суматохе Варя пробирается на сеновал, уговаривает Бумбараша уйти, чтобы его не поймали, и даёт ему шинель, добытую отрядом Гаврилы. Странствующий по окрестностям Бумбараш встречает рыжего красноармейца, который меняется с ним шинелями и находит в шинели Бумбараша кисет убитого комиссара. Бумбараша ведут в штаб к красным, подозревая в убийстве, но он убегает. В лесу он натыкается на банду во главе с атаманшей Софьей, которую сопровождает Гаврила. Убегая от банды, Бумбараш забредает на мельницу и прячется в кустах — ему всё видно. Хозяин мельницы оказывается связным бандитов и их пособником: прибывшая на мельницу банда Софьи разгружает добычу, а мельник выдаёт бандитам запертого в погребе Яшку, сбежавшего из деревни. Яшку за оскорбление атаманши казнят бандиты (закапывают живьём по приказу Софьи). Бумбараш клянётся отомстить за смерть друга.
В лесу Бумбараш встречает Лёвку Демченко, такого же неприкаянного путника. Вместе они решают заманить банду на мельницу и вызвать туда же красных. Банда разгромлена, но это оказалась не банда Софьи. Бумбараш и Лёвка вступают в отряд красных и после краткого захода в деревню и свидания с Варей отправляются на фронт. В бою с белыми отряд уничтожен, выживает только Бумбараш, которого тяжелораненый командир отослал с места боя с якобы важным пакетом. В лесу Бумбараш сталкивается с солдатом, служившим у белых курьером для передачи секретных донесений по памяти. Узнав это, Бумбараш застреливает его со словами: «Не в тебя я стреляю, а во вредное нашему делу донесение». Избежав встречи с белыми, Бумбараш встречает отряд с рыжим красноармейцем и снова оказывается под стражей. Отряд приходит в деревню Бумбараша.
Между тем Софья приказывает одному из членов банды отравить колодец в деревне. Красноармейцы замечают это и делают вид, что отряд охватила болезнь. Софья на рассвете ведёт свою банду на красных, но те дают жёсткий отпор и разбивают наступавших. Софья убита, Гаврила убегает, захватив Варю. Бумбараш вырывается из-под стражи и догоняет Гаврилу в песчаном карьере, но тот убивает Варю. На край карьера выходят конные красноармейцы. Бумбараш поднимает револьвер и наводит его на Гаврилу, слышится выстрел. Бумбараш уходит из карьера.</t>
        </is>
      </c>
      <c r="L7192" s="2" t="inlineStr">
        <is>
          <t>https://ru.wikipedia.org/w/index.php?title=%D0%91%D1%83%D0%BC%D0%B1%D0%B0%D1%80%D0%B0%D1%88&amp;oldid=154873288</t>
        </is>
      </c>
      <c r="M7192" s="2">
        <f>HYPERLINK("https://ru.wikipedia.org/w/index.php?search=%D0%91%D1%83%D0%BC%D0%B1%D0%B0%D1%80%D0%B0%D1%88%201971%20%D1%84%D0%B8%D0%BB%D1%8C%D0%BC","искать")</f>
        <v/>
      </c>
      <c r="N7192" s="3" t="n"/>
      <c r="O7192" s="2" t="n"/>
      <c r="P7192" s="2" t="n"/>
    </row>
    <row r="7193">
      <c r="A7193" s="2" t="n">
        <v>7192</v>
      </c>
      <c r="B7193" s="2" t="inlineStr"/>
      <c r="C7193" s="2" t="n">
        <v>9645</v>
      </c>
      <c r="D7193" s="3" t="inlineStr">
        <is>
          <t>Сказка о купеческой дочери и таинственном цветке</t>
        </is>
      </c>
      <c r="E7193" s="2" t="n">
        <v>1991</v>
      </c>
      <c r="F7193" s="2" t="inlineStr">
        <is>
          <t>кинофильм</t>
        </is>
      </c>
      <c r="G7193" s="2" t="n"/>
      <c r="H7193" s="2" t="n">
        <v>2991</v>
      </c>
      <c r="I7193" s="2" t="inlineStr"/>
      <c r="J7193" s="2" t="inlineStr"/>
      <c r="K7193" s="3" t="inlineStr">
        <is>
          <t>В стародавние времена русский купец Данила собирается в дальнее путешествие, мир посмотреть и пушнину продать. Он спрашивает у трех дочерей, какие гостинцы им привезти. Старшая заказывает золотой венец с нарядами к нему. Средняя хочет получить волшебный туалет из хрусталя. Аленушка просит отца привезти ей волшебный аленький цветочек, о котором сказывала нянюшка. На восточном базаре Данила находит и венец, и волшебное зеркало. Цыганка предлагает ему погадать и предупреждает, не разыскивать волшебный цветок, ибо цветок принесёт ему смерть, и другим людям погибель. Но купец хочет порадовать младшую любимую дочь и готов отправиться на поиски аленького цветка. Цыганка дарит купцу волшебное колечко, к помощи которого советует прибегнуть в самых опасных ситуациях. Данила пускается в путь. Спасаясь от разбойников, купец забредает в волшебный лес. Возле заброшенного замка он видит цветок и срывает его. Тут грохочет гром и начинается буря, а голос невидимого существа говорит, что Данила умрет, коль посмел сорвать цветок, и жить ему осталось 3 дня и 3 ночи. Спеша увидеть дочерей и попрощаться с ними, купец перемещается домой при помощи кольца гадалки. Дома он раздает подарки дочерям, а нянюшке рассказывает, что с ним случилось. Алёнушка случайно слышит разговор и решает сама отправиться к хозяину аленького цветка просить о прощении батюшки. Когда Данила засыпает, она одевает его кольцо на свой палец и перемещается в далекую страну. Хозяин аленького цветка рассказывает ей историю о том, как король завещал юному принцу хранить цветок, как зеницу ока. Но злой волшебник, стремясь завладеть цветком, заколдовал принца и занял его место у трона. Аленушка просит невидимое существо открыться ей и обещает не испугаться его вида. Чудище являет свой лик. Девушка готова помочь чудищу снять с него колдовское заклятие. Возле развалин замка их захватывают маленькие человечки и приводят к своему властителю. Это злой колдун, который в образе прекрасного принца правит страной. У него большая коллекция чучел диковинных существ, к которой он хочет присоединить чучело захваченного чудовища. Но он поражен красотой чужеземки так, что готов освободить чудище, если Аленушка выйдет за него замуж и принесёт ему аленький цветочек, дающий могущество. Ради жизни друга девушка готова покориться воле колдуна. Она возвращается в отцовский дом, обещая чудищу вернуться к нему через 3 дня. Данила несказанно рад возвращению дочери. Рады и сестры. Чтобы задержать Аленушку подольше дома, они переводят стрелки часов назад. Только интуиция позволяет девушке вернуться назад в последние минуты отпущенного времени. Она видит чудище, умирающее от тоски по ней. Сердце её полно любви к нему и горечи скорой потери. Аленушка плачет и целует чудище, прощаясь с ним. От поцелуя злые чары рушатся, и перед девушкой предстает прекрасный принц. Злой колдун исчезает, а замок короля обретает прежний ухоженный вид. Принц и Аленушка отправляются в родной дом девушки получить благословение отца на их свадьбу.</t>
        </is>
      </c>
      <c r="L7193" s="2" t="inlineStr">
        <is>
          <t>https://gosfilmofond.ru/films/232504/</t>
        </is>
      </c>
      <c r="M7193" s="2">
        <f>HYPERLINK("https://ru.wikipedia.org/w/index.php?search=%D0%A1%D0%BA%D0%B0%D0%B7%D0%BA%D0%B0%20%D0%BE%20%D0%BA%D1%83%D0%BF%D0%B5%D1%87%D0%B5%D1%81%D0%BA%D0%BE%D0%B9%20%D0%B4%D0%BE%D1%87%D0%B5%D1%80%D0%B8%20%D0%B8%20%D1%82%D0%B0%D0%B8%D0%BD%D1%81%D1%82%D0%B2%D0%B5%D0%BD%D0%BD%D0%BE%D0%BC%20%D1%86%D0%B2%D0%B5%D1%82%D0%BA%D0%B5%201991%20%D1%84%D0%B8%D0%BB%D1%8C%D0%BC","искать")</f>
        <v/>
      </c>
      <c r="N7193" s="3" t="n"/>
      <c r="O7193" s="2" t="n"/>
      <c r="P7193" s="2" t="n"/>
    </row>
    <row r="7194">
      <c r="A7194" s="2" t="n">
        <v>7193</v>
      </c>
      <c r="B7194" s="2" t="inlineStr"/>
      <c r="C7194" s="2" t="n">
        <v>8700</v>
      </c>
      <c r="D7194" s="3" t="inlineStr">
        <is>
          <t>Джокер</t>
        </is>
      </c>
      <c r="E7194" s="2" t="n">
        <v>1991</v>
      </c>
      <c r="F7194" s="2" t="inlineStr">
        <is>
          <t>кинофильм</t>
        </is>
      </c>
      <c r="G7194" s="2" t="n"/>
      <c r="H7194" s="2" t="n">
        <v>2999</v>
      </c>
      <c r="I7194" s="2" t="inlineStr"/>
      <c r="J7194" s="2" t="inlineStr"/>
      <c r="K7194" s="3" t="inlineStr">
        <is>
          <t>Первые годы советской власти где-то в Средней Азии. Двое мужчин Джокер и Хлыщ бредут по пескам. Старый граф, умирая, оставил своему сыну, кто носит прозвище «Джокер», манускрипт с информацией о спрятанном в пустыне кладе. План приводит друзей к холму, на котором стоит мавзолей. В здании они находят потайной спуск в пещеру, полную сундуков. Но они пустые. Из пещеры открывается лаз в глубокий высохший колодец. Пробравшись туда, Джокер и Хлыщ слышат разговор двух мужчин у колодца о том, что большая партия драгоценностей из клада будет переправлена в ближайшее время на самолёте в Англию. Человек, которого называют «капитан», убивает своего информатора и удаляется, уверенный, что только он владеет сведениями о кладе. Джокер и Хлыщ спешат к месту, откуда должен быть отправлен самолёт. Они видят, что обоз с драгоценностями захватывает «капитан» бандитов с подельниками. Не желая делиться ни с кем, капитан расстреливает своих помощников. Но Хлыщ, пробравшись в повозку, выпускает отравляющий газ, и бандит падает без сознания. Тем временем Джокер захватил самолет, на который приятели грузят сундук с драгоценностями. Джокер улетает один, когда видит, что партнёр припрятал за пазуху драгоценности из сундука. Хлыщ стреляет по самолёту. Но крылатая машина скрывается из виду. Несколько лет спустя Хлыщ выходит из тюрьмы. Он узнает, что в городе готовится автопробег, который устраивает американец. На фотографии в газете он видит в успешном заокеанском госте своего старого приятеля Джокера. Решив отомстить ему, Хлыщ включается в автопробег, чтобы держать его на виду. Но машина у Хлыща очень заметная: он участвует в гонке на машине капитана, которой завладел в лихую пору кладоискательства. Капитан, оставшийся живым, видит свою машину и узнает своего отравителя. Подельники бандита выкрадывают Хлыща на одном из этапов автопробега. Они пытаются выбить у него сведения о кладе. Не добившись ничего, они запирают мужчину в знакомом ему мавзолее в пустыне. Капитан с бандитами захватывают Джокера, за которым тоже следили, и для устрашения подвешивают на скале над пропастью. Тем временем Хлыщ, вооружившись оружием бандитов, хранившимся в мавзолее, знакомым путем выбирается из здания и спешит на выручку Джокеру. Для него дело чести самому разобраться с предательством друга. Уничтожив капитана и обратив в бегство бандитов, он отвязывает со скалы Джокера и сбивает его с ног ударами кулаков. Отведя душу и успокоившись, Хлыщ расспрашивает приятеля о судьбе клада. Джокер признается, что он так и не смог улететь тогда, потому что Хлыщ прострелил бензобак самолёта. Он вынужден был зарыть самолёт с драгоценностями в песках пустыни. Автопробег Джокер устроил для того, чтобы добыть бензин и вновь попытаться улететь. Приятели, нагруженные баками с бензином, отправляются в пустыню. Они отрывают самолёт, заливают в бак бензин, но теперь уже Хлыщ садится за руль. Он разгоняет самолёт и взмывает в небо, оставив Джокера в песках. Тот стреляет, и пробивает бак с бензином. История повторяется.</t>
        </is>
      </c>
      <c r="L7194" s="2" t="inlineStr">
        <is>
          <t>https://gosfilmofond.ru/films/232273/</t>
        </is>
      </c>
      <c r="M7194" s="2">
        <f>HYPERLINK("https://ru.wikipedia.org/w/index.php?search=%D0%94%D0%B6%D0%BE%D0%BA%D0%B5%D1%80%201991%20%D1%84%D0%B8%D0%BB%D1%8C%D0%BC","искать")</f>
        <v/>
      </c>
      <c r="N7194" s="3" t="n"/>
      <c r="O7194" s="2" t="n"/>
      <c r="P7194" s="2" t="n"/>
    </row>
    <row r="7195">
      <c r="A7195" s="2" t="n">
        <v>7194</v>
      </c>
      <c r="B7195" s="2" t="inlineStr"/>
      <c r="C7195" s="2" t="n">
        <v>9475</v>
      </c>
      <c r="D7195" s="3" t="inlineStr">
        <is>
          <t>Мисс миллионерша</t>
        </is>
      </c>
      <c r="E7195" s="2" t="n">
        <v>1988</v>
      </c>
      <c r="F7195" s="2" t="inlineStr">
        <is>
          <t>кинофильм</t>
        </is>
      </c>
      <c r="G7195" s="2" t="n"/>
      <c r="H7195" s="2" t="n">
        <v>3011</v>
      </c>
      <c r="I7195" s="2" t="inlineStr"/>
      <c r="J7195" s="2" t="inlineStr"/>
      <c r="K7195" s="3" t="inlineStr">
        <is>
          <t>Репортёру Геннадию Васильевичу Ковалю поручено сделать сюжет о рождении миллионного жителя родного города (в качестве декораций фильма выступает центр города Горького, в 1985 году ставшего миллионником). Роженицу придирчиво выбирают — ей и её «миллионному» обещано выделить трёхкомнатную квартиру, поэтому она должна быть не только активисткой, передовиком и примерной матерью, но и хороша собой. После долгих поисков помощники репортёра находят в приёмном покое роддома беременную женщину, которая назвалась Ниной Ивановной Ивановой. Биографию женщины ещё не успели проверить, но её «лицо — ранний Боттичелли» и то, что она рассказывает о своём муже и что о ней говорят на работе, прекрасно подходит для этого звания. Коваль с группой в спешке делают сюжет, его запускают в программе «Время».
Но затем выясняется, что молодая мать «миллионного» жителя никакая не Иванова, а просто Нина. И мужа у неё нет: отец «миллионного» ребёнка сбежал от неё и будущего малыша на строительство ГЭС в Сибирь.
Не догадываясь об этом, Коваль едет на стройку, где работает муж настоящей Нины Ивановны Ивановой, который и не подозревает о том, что его жена якобы родила «золотого» мальчика и им обещана квартира, потому что больше года не живёт со своей женой. Сначала Иванов бурно отказывается от сотрудничества с репортёром, но после упоминания о «безотцовщине» и малолетней преступности меняет своё решение и начинает исправно ходить в роддом, выискивая настоящую Нину Иванову с ребёнком.
Другая Нина, понимая, что обман заходит слишком далеко, хочет отказаться от ребёнка, а потом сбегает с ним из роддома к матери в деревню.
Обман раскрывается при выписке Нины из роддома и встрече с Ивановым. После этого Иванов возвращается к жене, а та по совету подруги отправляется в исполком города шантажировать администрацию скандалом с путаницей в репортаже, желая получить квартиру. В исполкоме уже идёт разбирательство по этому вопросу. Карьера Коваля летит под откос. У него не остаётся уже никаких надежд на то, что ему дадут возможность делать действительно злободневные репортажи, о которых он мечтает, а не бравурно-пафосные картинки.
Вскоре от педиатра роддома Коваль узнаёт, что псевдо-Иванова сбежала с ребёнком. Он едет в родную деревню Нины, где её и находит. Малыш в очень плохом состоянии. Его и мать забирают в город. Малыш, и так родившийся слабым, попадает в реанимацию, где и умирает от кровоизлияния в лёгкие.
Коваль, уже откровенно махнув рукой на карьеру и мечты, в прямом эфире вместо очередных модных разглагольствований о перестройке честно рассказывает о малыше, о его смерти, заявляя, что «сначала его предал отец, затем мать, которая его не хотела, а потом предали мы все». Эфир не успевают прервать и Коваля увольняют.
В финале применён контраст между сценой в зале крематория, где опускается вниз маленький гробик, который провожают мать, Коваль и Иванов и сценами карнавала и уличных гуляний по поводу его рождения, которое придало городу высший статус «миллионника» и подарило радость многим жителям.</t>
        </is>
      </c>
      <c r="L7195" s="2" t="inlineStr">
        <is>
          <t>https://ru.wikipedia.org/w/index.php?title=%D0%9C%D0%B8%D1%81%D1%81_%D0%BC%D0%B8%D0%BB%D0%BB%D0%B8%D0%BE%D0%BD%D0%B5%D1%80%D1%88%D0%B0&amp;oldid=154699769</t>
        </is>
      </c>
      <c r="M7195" s="2">
        <f>HYPERLINK("https://ru.wikipedia.org/w/index.php?search=%D0%9C%D0%B8%D1%81%D1%81%20%D0%BC%D0%B8%D0%BB%D0%BB%D0%B8%D0%BE%D0%BD%D0%B5%D1%80%D1%88%D0%B0%201988%20%D1%84%D0%B8%D0%BB%D1%8C%D0%BC","искать")</f>
        <v/>
      </c>
      <c r="N7195" s="3" t="n"/>
      <c r="O7195" s="2" t="n"/>
      <c r="P7195" s="2" t="n"/>
    </row>
    <row r="7196">
      <c r="A7196" s="2" t="n">
        <v>7195</v>
      </c>
      <c r="B7196" s="2" t="inlineStr"/>
      <c r="C7196" s="2" t="n">
        <v>9415</v>
      </c>
      <c r="D7196" s="3" t="inlineStr">
        <is>
          <t>Кикс</t>
        </is>
      </c>
      <c r="E7196" s="2" t="n">
        <v>1991</v>
      </c>
      <c r="F7196" s="2" t="inlineStr">
        <is>
          <t>кинофильм</t>
        </is>
      </c>
      <c r="G7196" s="2" t="n"/>
      <c r="H7196" s="2" t="n">
        <v>3014</v>
      </c>
      <c r="I7196" s="2" t="inlineStr"/>
      <c r="J7196" s="2" t="inlineStr"/>
      <c r="K7196" s="3" t="inlineStr">
        <is>
          <t>Москва времён перестройки. Минуя длинную очередь, к гадалке входит молодая женщина, скрывающая своё лицо под вуалью, в сопровождении мужчины. Гадалка узнаёт в девушке популярную певицу Жанну Плаксину, которую привёл режиссер. У мужчины один вопрос к ведунье: «Можно ли вылечить девушку от наркомании?». Неутешительный ответ прозвучал незамедлительно. На сцене экстравагантная певица Жанна Плаксина исполняет лирические баллады. Ни шумный успех, ни букеты цветов не радуют её. На грани очередного психического срыва она спешит в апартаменты, чтобы вколоть себе очередную порцию наркотика, которую она требует от режиссёра Леонида Максимовича. Конкурс двойников знаменитостей в провинциальном городке. Леонид Максимович выбирает из участников девушку чем-то напоминающую ему Плаксину и назначает ей персональную встречу. Анна – скромный парикмахер. Она не видит никаких перспектив в родном городе и её личная жизнь не ладится. Девушка решается принять заманчивое предложение продюсера, устроить ей другую, завидную жизнь в столице. Она тайно уезжает в Москву. Жанна деградирует всё больше и всё чаще требует новые дозы наркотика, без чего она не в состоянии ни работать на репетиции, ни выступать. Понимая, что так не может долго продолжаться, и конец неминуем, Леонид Максимович ставит перед своей помощницей задачу, как можно быстрее создать из Ани точную копию Плаксиной. Начинаются изнурительные физические тренировки, занятия хореографией, проводится операционная корректировка лица и фигуры девушки. Аня занимает комнату в апартаментах, большая часть которых запретна для входа ей. Она упорно трудится и быстро набирает нужную форму. Только однажды девушка получает перерыв в работе. Её оставляют без присмотра в комнате после пластической операции. Заметив забытые ключи от апартаментов, Аня стягивает с лица бинты и видит, что она почти похожа на Жанну. Она делает себе сценический грим, как на большом портрете Жанны и открывает дверь в запретную комнату. Там Аня сталкивается лицом к лицу с Жанной, которая не понимает, что происходит. Аня подыгрывает Жанне, копируя её движения, что вызывает отчаянную реакцию певицы, которая начинает понимать, что происходит: «Сожрать меня хочешь!». Но вскоре обе девушки утихомириваются и расходятся по комнатам.
На следующий день Леонид Максимович, встретившись с Аней, понимает, что девушки видели друг друга и ситуация может стать неконтролируемой. Он в последний раз предлагает Жанне лечиться от наркомании, но она отказывается. Певица всё ещё чувствует себя незаменимой: «Жанна – дух, явление, а дух остался во мне». Режиссер снимает решётку с окна в комнате Жанны, которая спасала её от падения с 27 этажа в периоды наркотического безумства. Жанну коротко стригут и оставляют одну в комнате. Во время очередной ломки она крушит всё вокруг и выбрасывается в окно. Её гибель выдают за несчастный случай с похожей на певицу провинциалкой, которая злоупотребляла наркотиками. После похорон смеющаяся Анна снимает парик: «Теперь ведь я совсем Жанна», - восклицает она.</t>
        </is>
      </c>
      <c r="L7196" s="2" t="inlineStr">
        <is>
          <t>https://gosfilmofond.ru/films/232361/</t>
        </is>
      </c>
      <c r="M7196" s="2">
        <f>HYPERLINK("https://ru.wikipedia.org/w/index.php?search=%D0%9A%D0%B8%D0%BA%D1%81%201991%20%D1%84%D0%B8%D0%BB%D1%8C%D0%BC","искать")</f>
        <v/>
      </c>
      <c r="N7196" s="3" t="n"/>
      <c r="O7196" s="2" t="n"/>
      <c r="P7196" s="2" t="n"/>
    </row>
    <row r="7197">
      <c r="A7197" s="2" t="n">
        <v>7196</v>
      </c>
      <c r="B7197" s="2" t="inlineStr"/>
      <c r="C7197" s="2" t="n">
        <v>9215</v>
      </c>
      <c r="D7197" s="3" t="inlineStr">
        <is>
          <t>Бабочки</t>
        </is>
      </c>
      <c r="E7197" s="2" t="n">
        <v>1991</v>
      </c>
      <c r="F7197" s="2" t="inlineStr">
        <is>
          <t>кинофильм</t>
        </is>
      </c>
      <c r="G7197" s="2" t="n"/>
      <c r="H7197" s="2" t="n">
        <v>3020</v>
      </c>
      <c r="I7197" s="2" t="inlineStr"/>
      <c r="J7197" s="2" t="inlineStr"/>
      <c r="K7197" s="3" t="inlineStr">
        <is>
          <t>Поздний вечер в Москве 90-х. По пустынной набережной Москва-реки идёт девушка. За ней следует легковая машина. В одной из подворотен девушка входит в подъезд, звонит в дверь квартиры. Дверь приоткрывается, и гостью быстро втаскивают в квартиру. В квартире молодой мужчина. Он явно не ждал никого. Дом выселен под реставрацию и пуст, только в одной забаррикадированной квартире он, постоялец, держит оборону. Мужчина объясняет девушке, что снаружи враги, которые хотят его убить. Они охотятся за фотокассетой, на которой запечатлена антикварная коллекция предметов, принадлежавших некоторое время назад соседке по коммунальной квартире. Девушка здесь не чужая. В то время, когда здесь жила старушка-еврейка, она вышла замуж за мужчину, открывшего дверь, и жила с ним в одной из комнат коммуналки. Начинающий фотограф, увлекавшийся фотографированием бабочек, и молоденькая актриса любили друг друга, но полуголодное существование разрушало брак, да и карьера у обоих не удалась. В душе они по-прежнему привязаны друг к другу и, встретившись вновь, просят друг у друга прощения за не сложившуюся жизнь. Они вспоминают, как жили вместе, как однажды, проявив любопытство, вошли в комнату старухи, когда та забыла ключ в двери, и были поражены множеству старинных предметов, которые заполняли комнату. Вернувшаяся домой старуха оправдывалась, что она только хранительница вещей своего брата, который не вернулся с войны, и сейчас разыскивает его родственников, чтобы передать им богатства. Однажды молодая жена, поссорившись с мужем, покидает квартиру. На перекрёстке она останавливает машину, чтобы ехать к маме. Респектабельный владелец машины приглашает её к себе домой. Они празднуют свою встречу, он обещает показать ей Европу, а она под хмелем рассказывает о своем невольном открытии настоящих богатств в коммуналке и о том, что они с мужем запечатлели всю коллекцию на фотоплёнке. Спустя некоторое время старушка погибает под колёсами автомобиля, и объявляется наследник брата старушки, так называемый «внук», в фотографии которого она сейчас, в этот тревожный вечер, узнает своего случайного знакомого. Ещё при их первой встрече он пошутил, что хочет быть внуком Эммы Марковны. После гибели старушки коллекция из квартиры пропадает, но у соседа бабушки остаётся пленка, запечатлевшая предметы коллекции. Вот за ней-то, как за уликой, охотятся преследователи, объясняет мужчина. Девушка просит показать ей плёнку. В квартире гаснет свет, а когда вновь загорается, мужчина видит, что девушка выбрасывает плёнку в окно. Люди, караулившие квартиру, подхватывают кассету и исчезают со двора. Девушка сообщает мужу, что ей заказал фотокассету её новый знакомый, который стал её любовником. Тут же в слезах она признается, что по-прежнему любит мужа и не может жить без него, поэтому и пришла сюда, а спасительную для них плёнку она подменила, и преследователи покинули двор с пленкой с бабочками. Поняв, что они свободны, двое покидают квартиру и бегут по пустынной улице. «Смотри снег!» - «Это не снег, а бабочки. Мы живы!»</t>
        </is>
      </c>
      <c r="L7197" s="2" t="inlineStr">
        <is>
          <t>https://gosfilmofond.ru/films/226093/</t>
        </is>
      </c>
      <c r="M7197" s="2">
        <f>HYPERLINK("https://ru.wikipedia.org/w/index.php?search=%D0%91%D0%B0%D0%B1%D0%BE%D1%87%D0%BA%D0%B8%201991%20%D1%84%D0%B8%D0%BB%D1%8C%D0%BC","искать")</f>
        <v/>
      </c>
      <c r="N7197" s="3" t="n"/>
      <c r="O7197" s="2" t="n"/>
      <c r="P7197" s="2" t="n"/>
    </row>
    <row r="7198">
      <c r="A7198" s="2" t="n">
        <v>7197</v>
      </c>
      <c r="B7198" s="2" t="inlineStr"/>
      <c r="C7198" s="2" t="n">
        <v>9624</v>
      </c>
      <c r="D7198" s="3" t="inlineStr">
        <is>
          <t>Роковая ошибка</t>
        </is>
      </c>
      <c r="E7198" s="2" t="n">
        <v>1988</v>
      </c>
      <c r="F7198" s="2" t="inlineStr">
        <is>
          <t>кинофильм</t>
        </is>
      </c>
      <c r="G7198" s="2" t="n"/>
      <c r="H7198" s="2" t="n">
        <v>3038</v>
      </c>
      <c r="I7198" s="2" t="inlineStr"/>
      <c r="J7198" s="2" t="inlineStr"/>
      <c r="K7198" s="3" t="inlineStr">
        <is>
          <t>Предпосылки сюжета раскрываются не сразу, а по мере его развития в репликах персонажей. Какая-то часть раскрывается только в повести.
Будучи ещё несовершеннолетней Шура крепко влюбилась в работника плавучего завода Николая и подалась за ним на восток страны, устроившись сортировщицей рыбы на один с ним корабль. Так проходит где-то три года и Шура обнаруживает, что беременна. Однако с Николаем она не расписана и опасается, что он её попросту бросит. Любовь к нему у Шуры настолько высока, что она скрывает от него беременность, а когда рожает дочку, названную Надей, то прямо в роддоме и отказывается от неё. Через несколько лет Надю удочеряет одинокая женщина Клава, работница хлебозавода, а ещё через несколько лет Шура признаётся Николаю, что бросила их ребёнка. Они находят Надю и в итоге решают не забирать её у Клавы, но по возможности помогать им материально. За несколько лет до основного действия Николай умирает от неназванных причин.
Жизнь Нади не очень счастливая. Хоть Клава и удочерила её, но сама она, осиротевшая из-за Второй мировой войны, выросла ожесточённой, что пагубно сказалось на Наде. Это привело к тому, что её исключили из школы после того, как она укусила учительницу за то, что та проявила к Наде сочувствие, которого Надя, из-за влияния Клавы, терпеть не может (после этого её пристроили в хлебопекарное училище при заводе, где работает Клава). Надя вырастает неконтролируемым бунтующим подростком, но в то же время она сама не понимает, чего конкретно ей хочется.
Надя влюбляется в Сергея — женатого ветерана афганской войны. Только ради того, чтобы быть рядом с ним, она соглашается стать няней его приёмного сына. Надя безуспешно пытается добиться взаимности, но всё её попытки оказываются тщетными даже тогда, когда она переходит на крайние меры. В довершении ко всему приезжает Шура и сообщает, что хочет забрать Надю к себе на восток, потому что там больше перспектив и достатка (хотя Шура такая же заводская рабочая, как Клава, её город является крупным торговым центром страны и Шура гораздо более материально обеспечена). И хотя симпатии Нади именно на стороне родной матери, по мере приближения дня отъезда она всё больше чувствует, что расстаться с приёмной ей очень тяжело.
Неудача с Сергеем и чувство неуверенности в итоге приводят к тому, что в день отъезда Надя сначала сбегает прямо из аэропорта и отправляется на вокзал, откуда в этот же день с семьёй уезжает Сергей. Но, понимая, что он потерян для неё навсегда, Надя не чувствует желания жить и в пути она наглатывается наркотических таблеток, чтобы забыться. Сопровождающие её подруги решают всё же уберечь её от того, чтобы она предстала перед Сергеем в таком виде, и врут насчёт времени отправления поезда Сергея, сказав, что он поедет ещё не скоро и у Нади будет время прийти в себя. Тогда Надя решает отлежаться в пустом пассажирском поезде. Поезд Сергея отправляется и одновременно поезд с Надей везут на запасной путь. Пытаясь выйти из вагона, одурманенная Надя падает на пол тамбура без чувств. Конец у фильма остаётся открытым.</t>
        </is>
      </c>
      <c r="L7198" s="2" t="inlineStr">
        <is>
          <t>https://ru.wikipedia.org/w/index.php?title=%D0%A0%D0%BE%D0%BA%D0%BE%D0%B2%D0%B0%D1%8F_%D0%BE%D1%88%D0%B8%D0%B1%D0%BA%D0%B0&amp;oldid=153150932</t>
        </is>
      </c>
      <c r="M7198" s="2">
        <f>HYPERLINK("https://ru.wikipedia.org/w/index.php?search=%D0%A0%D0%BE%D0%BA%D0%BE%D0%B2%D0%B0%D1%8F%20%D0%BE%D1%88%D0%B8%D0%B1%D0%BA%D0%B0%201988%20%D1%84%D0%B8%D0%BB%D1%8C%D0%BC","искать")</f>
        <v/>
      </c>
      <c r="N7198" s="3" t="n"/>
      <c r="O7198" s="2" t="n"/>
      <c r="P7198" s="2" t="n"/>
    </row>
    <row r="7199">
      <c r="A7199" s="2" t="n">
        <v>7198</v>
      </c>
      <c r="B7199" s="2" t="inlineStr"/>
      <c r="C7199" s="2" t="n">
        <v>7713</v>
      </c>
      <c r="D7199" s="3" t="inlineStr">
        <is>
          <t>Капитан Фракасс</t>
        </is>
      </c>
      <c r="E7199" s="2" t="n">
        <v>1984</v>
      </c>
      <c r="F7199" s="2" t="inlineStr">
        <is>
          <t>телефильм</t>
        </is>
      </c>
      <c r="G7199" s="2" t="inlineStr">
        <is>
          <t>к/с им. Довженко</t>
        </is>
      </c>
      <c r="H7199" s="2" t="n">
        <v>3041</v>
      </c>
      <c r="I7199" s="2" t="inlineStr"/>
      <c r="J7199" s="2" t="inlineStr"/>
      <c r="K7199" s="3" t="inlineStr">
        <is>
          <t>Однажды осенью в грозовую ночь в полуразрушенном родовом замке обедневшего гасконского барона де Сигоньяка останавливается на ночлег труппа бродячих актёров, направляющихся в Париж и намеревающихся стать лучшей театральной труппой Франции. Скромный барон влюбляется в красивую, но добродетельную простушку Изабеллу.
Комедианты предлагают барону присоединиться к ним, и барон соглашается, надеясь сделать карьеру при дворе в Париже. На пути в столицу труппа переживает нападение со стороны разбойника Агостена, которого сопровождает ловкая девочка-бродяжка Чикита, а затем даёт удачное представление в замке маркиза де Брюйера, увлёкшегося актрисой Серафиной, в то время как его супруга «кладёт глаз» на молодого актёра Леандра. Однако последний, назначив маркизе свидание, получает вместо этого побои от слуг хозяина замка.
Покинув замок Брюйер, труппа попадает в снежную бурю, во время которой гибнет немолодой исполнитель роли капитана Матамор, и Сигоньяк неожиданно соглашается заменить покойного на сцене в роли капитана Фракасса. После нового удачного спектакля в Пуатье, Изабеллой увлекается придворный щёголь герцог Валломбрез. Презирая неуступчивость простушки, он открывает на неё настоящую охоту. Защитив честь возлюбленной на дуэли с честолюбивым вельможей, Сигоньяк сначала приобретает славу на театральных подмостках, а затем вместе с актёрской труппой отражает нападение бандитов, нанятых Валломбрезом, чтобы поквитаться с бароном за проигранную дуэль.
Однако на этом герцог не успокоился и за крупную сумму денег нанял некоего Лампурда, обладавшего репутацией лучшего наёмного убийцы. Тем не менее, Лампурд ничего не смог противопоставить прекрасно владеющему шпагой Сигоньяку и уступил тому в поединке. После этого Лампурд был вынужден вернуть герцогу деньги за неисполненное убийство барона.
Но, несмотря на бдительность барона и опеку со стороны коллег-актёров, Валломбрезу с помощью банды наёмников удаётся похитить Изабеллу и заключить её в своём замке. Отважный Сигоньяк с друзьями-комедиантами проникает туда и вступает в схватку с соперником, тяжело его ранив. Внезапно в усадьбе появляется престарелый принц — отец Валломбреза, который узнаёт в Изабелле свою внебрачную дочь, актрисе-матери которой он некогда оставил свой фамильный перстень. Таким образом стало понятно, что Изабелла и герцог — единокровные сестра и брат, и брак между ними невозможен.
Тем временем Агостен попадает в руки инквизиции, и ему грозит мучительная казнь. Чтобы спасти его, юная Чикита незаметно подбирается к повозке палача, заколов любимого навахой и избавив его, таким образом, от мучений.
Барон вместе с актёрами уезжает из Парижа и возвращается в свой опустевший замок. На дороге перед замком его встречает старый слуга, и тогда барон решает навсегда покинуть замок и продолжить странствовать по Франции с актёрской труппой. Внезапно на горизонте появляется роскошно одетая всадница, в которой все узнают Изабеллу.
Пережив немало опасных приключений, влюблённые барон и Изабелла, воссоединяются, наконец, в родовом гнезде Сигоньяков.</t>
        </is>
      </c>
      <c r="L7199" s="2" t="inlineStr">
        <is>
          <t>https://ru.wikipedia.org/w/index.php?title=%D0%9A%D0%B0%D0%BF%D0%B8%D1%82%D0%B0%D0%BD_%D0%A4%D1%80%D0%B0%D0%BA%D0%B0%D1%81%D1%81_%28%D1%84%D0%B8%D0%BB%D1%8C%D0%BC%2C_1984%29&amp;oldid=154885511</t>
        </is>
      </c>
      <c r="M7199" s="2">
        <f>HYPERLINK("https://ru.wikipedia.org/w/index.php?search=%D0%9A%D0%B0%D0%BF%D0%B8%D1%82%D0%B0%D0%BD%20%D0%A4%D1%80%D0%B0%D0%BA%D0%B0%D1%81%D1%81%201984%20%D1%84%D0%B8%D0%BB%D1%8C%D0%BC","искать")</f>
        <v/>
      </c>
      <c r="N7199" s="3" t="n"/>
      <c r="O7199" s="2" t="n"/>
      <c r="P7199" s="2" t="n"/>
    </row>
    <row r="7200">
      <c r="A7200" s="2" t="n">
        <v>7199</v>
      </c>
      <c r="B7200" s="2" t="inlineStr"/>
      <c r="C7200" s="2" t="n">
        <v>8719</v>
      </c>
      <c r="D7200" s="3" t="inlineStr">
        <is>
          <t>Жена для метрдотеля</t>
        </is>
      </c>
      <c r="E7200" s="2" t="n">
        <v>1991</v>
      </c>
      <c r="F7200" s="2" t="inlineStr">
        <is>
          <t>кинофильм</t>
        </is>
      </c>
      <c r="G7200" s="2" t="n"/>
      <c r="H7200" s="2" t="n">
        <v>3049</v>
      </c>
      <c r="I7200" s="2" t="inlineStr"/>
      <c r="J7200" s="2" t="inlineStr"/>
      <c r="K7200" s="3" t="inlineStr">
        <is>
          <t>В одном из городов Золотого кольца России в конце 80-х годов живёт девушка Даша с мамой. Во время своих приездов домой из геологических экспедиций мама читает нотации дочери, что нужно поступить учиться в институт и иметь какую-то цель в жизни. Дашу не вдохновляет жизнь мамы, которая за свой нелёгкий труд смогла получить только маленькую квартирку в провинции. Даша работает дежурной в бюро, которое принимает иностранных туристов. Местные подружки считают, что она скучно живёт, и однажды она принимает приглашение пожилого иностранца поехать в Ленинград с подружками отдохнуть. Во время ужина в ресторане на красивую Дашу обращает внимание метрдотель Вадим. Иностранца срочно вызывают за границу и он, оплатив девушкам гостиницу, оставляет их на попечение метрдотеля. Вадим отвозит подруг к себе домой в шикарную квартиру. Там он изрядно поит девушек, и наутро недотрога Даша просыпается в постели с Вадимом. Он готов жениться, и она принимает его предложение. В браке у Даши начинается завидная для подружек жизнь. Вадим исполняет все её желания, покупает дорогие подарки, везёт отдыхать на юг в дорогой отель. Метрдотель давно на примете у питерских бандитов. Они сопровождают молодоженов в путешествии и пытают Вадима в номере гостиницы, так что он отдает им приличную сумму и соглашается дальше платить дань. Но он по-прежнему делает всё, чтобы его любимой жене жилось безмятежно и комфортно. От скуки она начинает пить. Ресторан часто посещает бывший заключенный по прозвищу Дюк. Вадим договаривается платить дань ему напрямую, минуя «шестёрок». Даша обращает внимание на Дюка и однажды приезжает к нему в коммуналку и соблазняет его. Дома Даша сообщает Вадиму, что была у Дюка. Но муж, думая, что она хочет помочь ему, просит не вмешиваться в его дела. Даша вновь звонит бандиту, но Дюк не верит ей и не хочет встречаться. Тогда Даша начинает крутить роман с оперативником Валерием, который ведёт наблюдения за бандитами в ресторане, и беззастенчиво изменяет мужу с ним. Однажды Вадим застает любовников дома, но не подает вида, решив расправиться с соперником по-своему. Он покупает у Валерия «крышу» и гарантию, что Дюка посадят в тюрьму. Бандита арестовывают. Вадим намеками дает понять жене, что он знает о её развлечениях и принимает, как обычное явление, измены женщин. Во время передачи очередного денежного «взноса» оперативнику, группа захвата берёт Валерия с поличным на квартире у Вадима. Даша неожиданно собирает чемодан и уезжает в свой маленький город, несмотря на просьбу любящего её Вадима остаться. Дома она объясняет свой поступок тем, что ей надоело чувствовать себя продажной женщиной с нелюбимым мужем. Она устраивается на своё прежнее место работы, где также пользуется вниманием иностранцев. Даша решает изменить свою жизнь и уехать из России. Она идёт на любовную связь с молодым иностранцем Майклом, надеясь на развитие романа. Но после ночи он расплачивается с нею долларами, которые Даша после некоторой заминки принимает. Заснеженная улица провинциального города. Дарья идёт с покрытой платком головой к собору.</t>
        </is>
      </c>
      <c r="L7200" s="2" t="inlineStr">
        <is>
          <t>https://gosfilmofond.ru/films/232318/</t>
        </is>
      </c>
      <c r="M7200" s="2">
        <f>HYPERLINK("https://ru.wikipedia.org/w/index.php?search=%D0%96%D0%B5%D0%BD%D0%B0%20%D0%B4%D0%BB%D1%8F%20%D0%BC%D0%B5%D1%82%D1%80%D0%B4%D0%BE%D1%82%D0%B5%D0%BB%D1%8F%201991%20%D1%84%D0%B8%D0%BB%D1%8C%D0%BC","искать")</f>
        <v/>
      </c>
      <c r="N7200" s="3" t="n"/>
      <c r="O7200" s="2" t="n"/>
      <c r="P7200" s="2" t="n"/>
    </row>
    <row r="7201">
      <c r="A7201" s="2" t="n">
        <v>7200</v>
      </c>
      <c r="B7201" s="2" t="inlineStr"/>
      <c r="C7201" s="2" t="n">
        <v>7696</v>
      </c>
      <c r="D7201" s="3" t="inlineStr">
        <is>
          <t>Кавказский пленник</t>
        </is>
      </c>
      <c r="E7201" s="2" t="n">
        <v>1975</v>
      </c>
      <c r="F7201" s="2" t="inlineStr">
        <is>
          <t>телефильм</t>
        </is>
      </c>
      <c r="G7201" s="2" t="inlineStr">
        <is>
          <t>Грузия-фильм, Второе творческое объединение</t>
        </is>
      </c>
      <c r="H7201" s="2" t="n">
        <v>3055</v>
      </c>
      <c r="I7201" s="2" t="inlineStr"/>
      <c r="J7201" s="2" t="inlineStr"/>
      <c r="K7201" s="3" t="inlineStr">
        <is>
          <t>Девочка Дина замечает, как в аул едут горцы и везут пленённого офицера Жилина. На ногу ему надевают колодки, отправляют в сарай и запирают дверь. Пленник вспоминает недавние события. Фоном идёт голос матери, написавшей ему письмо и звавшей к себе. Герой просит горцев попить, и они зовут Дину, которая подаёт Жилину кувшин с водой. Пленник благодарит девочку, а когда все уходят, она подсовывает ему под дверь лепёшку. Офицеру сообщили, что его хозяин Абдул просит выкуп и отпустит героя за 3000 монет.
Жилин говорит, что может отдать не больше 500 рублей, и ему не страшны угрозы смерти. Приводят Костылина. Тот уже написал письмо, чтобы прислали 5 тысяч. Жилин же соглашается написать письмо, но выдвигает ряд условий, которые горцам приходится выполнить. Когда пленники оказываются наедине, Костылин начинает сожалеть о произошедшем и пытается оправдаться, объясняя, что ружьё в нужный момент дало осечку. Жилин же углубляется в воспоминания, и перед зрителями появляется картина того момента.
Оказывается, что, увидев опасность, Костылин даже не вытащил ружья, бросившись бежать и забыв про Жилина, который кричал ему и просил помочь. Костылин спокоен, потому как знает, что должен прийти выкуп, а Жилин признаётся, что написал письмо так, чтобы оно не дошло. Поэтому единственный выход — это побег. Офицер начинает приманивать собаку, кормит её хлебом, чтобы в день побега она не подняла лай и не выдала его. Он сделал для Дины куклу, но одна из женщин выбила игрушку из рук девочки.
Жилин обещал ей сделать новую, ещё лучше. Он гуляет и разведывает местность, а также делает подкоп в своем сарае. Костылин же ничего не делает, только скучает. Он считает, что Жилин презирает его, но не может ничего изменить, потому что боится быть убитым.
Между тем Жилин выполняет обещание и дарит Дине куклу. Она очень обрадовалась и даже поклонилась пленнику. Пока герой узнавал местность, один из стариков аула ранил его. Жилин рассказал Костылину историю этого старика. Дина беспокоилась о пленнике и принесла ему молоко и лепёшку. Костылин предположил, что девочка влюбилась в офицера. Дождавшись, пока горцы уедут, Жилин решил подняться на вершину, посмотреть с высоты, куда можно убежать. Он убеждает мальчишку разрешить ему это сделать и обещает соорудить для него лук и стрелы.
Герой увидел русскую крепость, до которой около 15 вёрст. Ночью пленники бегут, но Костылин вскрикивает. Их замечают и возвращают назад, бросив в яму. Дина бросила туда еды и объяснила, что героев собираются убить. Она опустила в яму палку и помогла Жилину выбраться. Костылин решил остаться и ждать выкупа. Офицер дошёл до русской крепости, увидел своих, но его нагнали горцы. Далее следует сцена, на которой горец с рыжей бородой целится из ружья в Жилина, начавшего молиться, но внезапно Абдул плетью мешает прицельной стрельбе товарища. Кадры удаляющегося Абдула, выкрикивающего "Хорош Урус! Джигит Урус!" (т.е. Хороший Русский!, храбрый русский!) сменяются планами русских солдат и казаков, помогающих Жилину подняться на ноги. Героя посадили на коня и повезли в крепость.</t>
        </is>
      </c>
      <c r="L7201" s="2" t="inlineStr">
        <is>
          <t>https://ru.wikipedia.org/w/index.php?title=%D0%9A%D0%B0%D0%B2%D0%BA%D0%B0%D0%B7%D1%81%D0%BA%D0%B8%D0%B9_%D0%BF%D0%BB%D0%B5%D0%BD%D0%BD%D0%B8%D0%BA_%28%D1%84%D0%B8%D0%BB%D1%8C%D0%BC%2C_1975%29&amp;oldid=150294006</t>
        </is>
      </c>
      <c r="M7201" s="2">
        <f>HYPERLINK("https://ru.wikipedia.org/w/index.php?search=%D0%9A%D0%B0%D0%B2%D0%BA%D0%B0%D0%B7%D1%81%D0%BA%D0%B8%D0%B9%20%D0%BF%D0%BB%D0%B5%D0%BD%D0%BD%D0%B8%D0%BA%201975%20%D1%84%D0%B8%D0%BB%D1%8C%D0%BC","искать")</f>
        <v/>
      </c>
      <c r="N7201" s="3" t="n"/>
      <c r="O7201" s="2" t="n"/>
      <c r="P7201" s="2" t="n"/>
    </row>
    <row r="7202">
      <c r="A7202" s="2" t="n">
        <v>7201</v>
      </c>
      <c r="B7202" s="2" t="inlineStr"/>
      <c r="C7202" s="2" t="n">
        <v>8728</v>
      </c>
      <c r="D7202" s="3" t="inlineStr">
        <is>
          <t>Загнанные</t>
        </is>
      </c>
      <c r="E7202" s="2" t="n">
        <v>1991</v>
      </c>
      <c r="F7202" s="2" t="inlineStr">
        <is>
          <t>кинофильм</t>
        </is>
      </c>
      <c r="G7202" s="2" t="n"/>
      <c r="H7202" s="2" t="n">
        <v>3062</v>
      </c>
      <c r="I7202" s="2" t="inlineStr"/>
      <c r="J7202" s="2" t="inlineStr"/>
      <c r="K7202" s="3" t="inlineStr">
        <is>
          <t>Руководство одного из городов Армении радушно встречает чиновника из Москвы, надеясь заручиться его поддержкой в остановке строительства промышленного объекта, возводимого с нарушением строительных норм, которые инициированы из Москвы. Покидая город, Андрей Лукич обещает обеспечить безопасность объекта. Вечером в теплой компании собралась «золотая» молодёжь города: художник Левон, поэт Аршак, дети местного градоначальника Геворка Степановича Сурен и Анна. Они настроены по-диссидентски и ведут разговоры о свободе и справедливости. Аршак любит Анну и признается в этом её отцу. Но главе города не нужен в качестве зятя нищий поэт. Тогда молодые люди решаются в тайне от родителей Анны заключить брак. После ЗАГСа по пути в гости к родителям Аршака парочку снимает с поезда милиция. В паспортах молодоженов исчезает штамп о браке, а Аршаку угрожают посадить его за тунеядство, если он не откажется от Анны. Тем временем сам глава города положил взгляд на красавицу-жену Левона. Чтобы завоевать Лилит, он обещает всяческую поддержку её мужу-художнику. Геворк и Лилит начинают встречаться в загородном доме градоначальника. Сурен продолжает дружбу с опальным поэтом и советует сестре не бросать этого парня. Анна просит отца оставить их с Аршаком в покое. Сурен влюблён в Гаяне, дочь инженера важного промышленного объекта, который строится с нарушениями. В течение 10 лет её отец борется с изменениями проекта, которые нарушают безопасность здания. Чтобы заблокировать его справедливые требования, инженера принудительно отправляют в психбольницу. Понимая, что за этим стоит руководство города, Гаяне прекращает встречаться с Суреном. В расстроенных чувствах возвращаясь за рулем машины домой, Сурен в темноте случайно сбивает прохожего. Юноша принимает вину на себя. Он против того, чтобы отец помог ему избежать наказания. На Геворка сваливаются неприятности одна за другой. А тут ещё добавилась большая беда: взорвался строящийся промышленный объект. Геворк Степанович решается обратиться к гадалке, чтобы понять, почему на него все эти напасти. «Доброты у тебя нет, и земля уходит у тебя из-под ног»,- говорит ему ведунья. Геворк едет в свой загородный дом и пускает себе пулю в голову. К счастью, Лилит вскоре обнаруживает его в доме, и градоначальника спасают. В больницу к нему приходит Сурен. Они ведут доверительный разговор, и Геворк сообщает сыну, что он не будет больше молчать обо всех безобразиях, которые творятся в городе. Сын полностью на стороне отца. Но один из чиновников, который имеет связь с Москвой, обещает представить в Москве дела так, что взрыв объекта – это вина Геворка Степановича, если тот попытается предать гласности истинные причины разрушения важного объекта. Геворк понимает, что в одиночку не сможет добиться справедливости, и отступает. В Москву сообщают, что градоначальник попал в больницу по неосторожности. Андрей Лукич озвучивает решение московских властей на происшествие в регионе: «Градоначальника накажем, но в обиду не дадим». Сурен понимает, что отец опять предает себя и его, разочарованный, покидает Геворка.</t>
        </is>
      </c>
      <c r="L7202" s="2" t="inlineStr">
        <is>
          <t>https://gosfilmofond.ru/films/232366/</t>
        </is>
      </c>
      <c r="M7202" s="2">
        <f>HYPERLINK("https://ru.wikipedia.org/w/index.php?search=%D0%97%D0%B0%D0%B3%D0%BD%D0%B0%D0%BD%D0%BD%D1%8B%D0%B5%201991%20%D1%84%D0%B8%D0%BB%D1%8C%D0%BC","искать")</f>
        <v/>
      </c>
      <c r="N7202" s="3" t="n"/>
      <c r="O7202" s="2" t="n"/>
      <c r="P7202" s="2" t="n"/>
    </row>
    <row r="7203">
      <c r="A7203" s="2" t="n">
        <v>7202</v>
      </c>
      <c r="B7203" s="2" t="inlineStr"/>
      <c r="C7203" s="2" t="n">
        <v>9618</v>
      </c>
      <c r="D7203" s="3" t="inlineStr">
        <is>
          <t>Ребро Адама</t>
        </is>
      </c>
      <c r="E7203" s="2" t="n">
        <v>1990</v>
      </c>
      <c r="F7203" s="2" t="inlineStr">
        <is>
          <t>кинофильм</t>
        </is>
      </c>
      <c r="G7203" s="2" t="n"/>
      <c r="H7203" s="2" t="n">
        <v>3064</v>
      </c>
      <c r="I7203" s="2" t="inlineStr"/>
      <c r="J7203" s="2" t="inlineStr"/>
      <c r="K7203" s="3" t="inlineStr">
        <is>
          <t>Действие происходит в Москве в конце 1980-х годов. Нина Елизаровна работает экскурсоводом в музее «Красная Пресня», живёт в небольшой квартире с двумя взрослыми дочерьми («от двух очень разных мужей») и ухаживает за прикованной к постели старой матерью, которая не может говорить и у которой парализовано всё тело, за исключением левой руки и головы. Семья живёт трудно: мужчины-кормильца в доме нет, денег не хватает, а ещё надо думать об образовании и замужестве дочерей. В музее Нина Елизаровна знакомится с одним из посетителей, командированным инженером Евгением Анатольевичем, который приходит туда каждый день две недели подряд, чтобы увидеться с ней. Между ними возникает симпатия.
Нина Елизаровна приглашает Евгения Анатольевича в гости и заранее предупреждает свою мать о его приходе. Когда Евгений Анатольевич приходит, парализованная женщина настойчиво звонит в колокол, висящий над кроватью, и Нине Елизаровне ничего не остаётся, как выставить Евгения Анатольевича за дверь. Дочь выясняет отношения с матерью, понимая, что та специально звонила, чтобы помешать ей уединиться с гостем.
Старшая дочь, Лидия, работает в одном из московских учреждений. У неё роман с начальником, Андреем Павловичем, у которого есть жена и дети. Они собираются вдвоём поехать на отдых в Адлер, но, чтобы не показывать свои отношения на людях, решают поехать туда поодиночке с разницей в несколько дней: сначала — он, потом — она. Но за день до отъезда с Лидой встречается жена Андрея Павловича. Она сообщает ей, что Андрей Павлович уехал в Ялту вместе с подругой и сослуживицей Лиды — Мариной. Лида сдаёт билет, понимая, что её личным отношениям с Андреем Павловичем пришёл конец.
Младшая дочь, пятнадцатилетняя Настя, учится в ПТУ и проходит практику в гастрономе. У неё есть молодой человек Михаил, и в какой-то момент она понимает, что беременна. Настя сообщает об этом Михаилу, тот — в шоке. В конце концов Настя даёт Михаилу от ворот поворот.
На день рождения своей парализованной матери Нина Елизаровна приглашает несколько мужчин: двух бывших мужей (отцов её дочерей) и нынешнего ухажёра. Хорошо начавшееся застолье заканчивается ссорой. Настя говорит всем присутствующим, что беременна и хочет родить этого ребёнка. Ко всему прочему появляется не совсем трезвый её уже бывший молодой человек Михаил, который требует Настю и пытается выломать дверь квартиры, но Евгений Анатольевич его «успокаивает». Наконец все мужчины уходят.
Глубокая ночь, но никто не спит. Нина Елизаровна с дочерьми сидят на кухне и разговаривают. Парализованная мать пытается позвонить в колокол, чтобы позвать кого-то из них, но дёргает за верёвку слишком сильно, и язык колокола попадает ей в лоб. Придя в себя, она обнаруживает, что паралич прошёл. Женщины в это время обсуждают план перепланировки комнаты для размещения кроватки младенца. Незаметно для них бабушка встаёт с постели и идёт в комнату, где проходило застолье. Там, стоя у стола, она начинает петь старинный романс, который слышат домочадцы. Они замолкают, по очереди заходят в комнату и обнаруживают выздоровевшую бабушку.</t>
        </is>
      </c>
      <c r="L7203" s="2" t="inlineStr">
        <is>
          <t>https://ru.wikipedia.org/w/index.php?title=%D0%A0%D0%B5%D0%B1%D1%80%D0%BE_%D0%90%D0%B4%D0%B0%D0%BC%D0%B0_%28%D1%84%D0%B8%D0%BB%D1%8C%D0%BC%2C_1990%29&amp;oldid=154870541</t>
        </is>
      </c>
      <c r="M7203" s="2">
        <f>HYPERLINK("https://ru.wikipedia.org/w/index.php?search=%D0%A0%D0%B5%D0%B1%D1%80%D0%BE%20%D0%90%D0%B4%D0%B0%D0%BC%D0%B0%201990%20%D1%84%D0%B8%D0%BB%D1%8C%D0%BC","искать")</f>
        <v/>
      </c>
      <c r="N7203" s="3" t="n"/>
      <c r="O7203" s="2" t="n"/>
      <c r="P7203" s="2" t="n"/>
    </row>
    <row r="7204">
      <c r="A7204" s="2" t="n">
        <v>7203</v>
      </c>
      <c r="B7204" s="2" t="inlineStr"/>
      <c r="C7204" s="2" t="n">
        <v>9416</v>
      </c>
      <c r="D7204" s="3" t="inlineStr">
        <is>
          <t>Клан</t>
        </is>
      </c>
      <c r="E7204" s="2" t="n">
        <v>1991</v>
      </c>
      <c r="F7204" s="2" t="inlineStr">
        <is>
          <t>кинофильм</t>
        </is>
      </c>
      <c r="G7204" s="2" t="n"/>
      <c r="H7204" s="2" t="n">
        <v>3073</v>
      </c>
      <c r="I7204" s="2" t="inlineStr"/>
      <c r="J7204" s="2" t="inlineStr"/>
      <c r="K7204" s="3" t="inlineStr">
        <is>
          <t>Западный Берлин, 27 апреля 1982 г. Свидетель громкого уголовного дела «Океан» в Краснодарском крае Иван Гросс, скрывающийся в Германии, раскрывает перед московским следователем Владимиром Богомоловым подробности этого дела. Он сообщает, что показания по делу может дать кое-кто в России, но эти люди беззащитны перед кланом тех, кто грабит страну. 5 июля того же года. Краснодар. Два прокурора из Москвы опрашивают работников местного рыбзавода, который поставляют дефицитные продукты моря в ресторан «Прибой». Они выясняют, что в городе все организации общественного питания ежемесячно платят «оброк» наверх через Кларку Зяблую. И директор ресторана «Прибой» Скуратов отстёгивает ежемесячно немалые деньги и выполняет любые прихоти местного начальства. Местная милиция и райком партии, как бы, не замечают происходящее в городе. Следователи возвращаются в Москву и Богомолов докладывают в Прокуратуре СССР, что дело «Океан» не просто рыбное дело, а имеет политическую окраску. Эта информация сразу же поступает в Кремль. Богомолов сторонник быстрых действий, но начальство приказывает ему тщательно и доказательно проверять все факты. Дело серьезное, так как заправляет всем в Краснодаре человек Брежнева. Богомолов, следователь по особо важным делам, возвращается в Краснодар собирать компромат на партийных чинов края. После обыска в квартире ресторатора Скуратова, где находят большое количество денег и драгоценностей, его арестовывают. Он дает показания, что бриллианты готовил для Зяблой, которая, в случае отказа, обещала выгнать его с должности. Её муж Зяблый имеет контакты с высокопоставленными людьми из Москвы, приезжающими на отдых в край, так как в его обязанность входит наполнять отборными продуктами холодильники в их апартаментах. Наведывался время от времени на Белую дачу и сам Брежнев. Богомолова в ответ на его расследования начинают прессовать. Его возлюбленную Ольгу, местного врача, путем угроз заставляют дать ложные показания, компрометирующие следователя. Скуратов отказывается от своих показаний. Следует ряд самоубийств и подстроенных несчастных случаев против свидетелей и замешанных в деле «Океан». Из Москвы приходит назначение Зяблого 1-ым секретарём горкома партии. Теперь у московской власти всё под контролем. Брежнев выступает перед активом с речью о том, что партии нужно, чтобы массы свято верили в пропагандируемые идеалы. С высокой трибуны осуждаются действия работников прокуратуры, как враждебные партии. Богомолова приглашают на дачу к высокопоставленному лицу, где предлагают прекратить расследование, ведь интересы тех, кто во власти в Москве и на региональном уровне совпадают, поэтому вести следствие не имеет смысла. Умирает Брежнев. Зяблые на всякий случай упаковывают свои деньги в коробки. Зяблого арестовывают, но его жена успевает отправить своих детей с коробками денег за границу. Зяблов заявляет Богомолову, что тот зря старается, так как он вскоре выйдет на свободу и будет в полном порядке. В прокуратуре Богомолову намекают, что не нужно сильно нажимать на подследственного. Ему предлагают определиться и ждать.</t>
        </is>
      </c>
      <c r="L7204" s="2" t="inlineStr">
        <is>
          <t>https://gosfilmofond.ru/films/232362/</t>
        </is>
      </c>
      <c r="M7204" s="2">
        <f>HYPERLINK("https://ru.wikipedia.org/w/index.php?search=%D0%9A%D0%BB%D0%B0%D0%BD%201991%20%D1%84%D0%B8%D0%BB%D1%8C%D0%BC","искать")</f>
        <v/>
      </c>
      <c r="N7204" s="3" t="n"/>
      <c r="O7204" s="2" t="n"/>
      <c r="P7204" s="2" t="n"/>
    </row>
    <row r="7205">
      <c r="A7205" s="2" t="n">
        <v>7204</v>
      </c>
      <c r="B7205" s="2" t="inlineStr"/>
      <c r="C7205" s="2" t="n">
        <v>8511</v>
      </c>
      <c r="D7205" s="3" t="inlineStr">
        <is>
          <t>Физики</t>
        </is>
      </c>
      <c r="E7205" s="2" t="n">
        <v>1988</v>
      </c>
      <c r="F7205" s="2" t="inlineStr">
        <is>
          <t>телефильм</t>
        </is>
      </c>
      <c r="G7205" s="2" t="inlineStr">
        <is>
          <t>Лентелефильм</t>
        </is>
      </c>
      <c r="H7205" s="2" t="n">
        <v>3079</v>
      </c>
      <c r="I7205" s="2" t="inlineStr"/>
      <c r="J7205" s="2" t="inlineStr"/>
      <c r="K7205" s="3" t="inlineStr">
        <is>
          <t>Швейцария, санаторий «Вишнёвый сад». Здесь происходит несколько убийств сиделок (убили чемпионку по борьбе и чемпионку по джиу-джитсу), которые совершают пациенты, считающие себя великими физиками — Ньютоном и Эйнштейном. Полиция настаивает на ужесточении режима. Тогда медсестра Моника Штэтлер объясняется в любви третьему пациенту Иоганну Мёбиусу, который считает, что ему является царь Соломон. Тем не менее действия девушки (она сообщает Мёбиусу, что передала его труды его учителю; тот ничуть не верит в сумасшествие Мёбиуса и ждёт его возвращения в ряды учёных) приводят к тому, что Мёбиус её убивает.
Главный врач Матильда фон Цанд соглашается с ужесточением режима. На окнах устанавливают стальные решетки, вместо сиделок теперь работают санитары (в прошлом известные спортсмены-рукопашники). Тогда неожиданно «Ньютон» сообщает Мёбиусу, что на самом деле он — выдающийся физик Алек Килтон и эмиссар иностранной разведки (видимо, Великобритании или США). Тогда «Эйнштейн» сознаётся, в свою очередь, что и он не менее известный учёный — Иосиф Эйслер, а также одновременно агент иностранной разведки другого государства (вероятно, советской или восточногерманской). У них было схожее задание: забрать Иоганна Мёбиуса. Оба исследователя ознакомились с трудами Мёбиуса и поняли, что имеют дело с гением, способным совершить переворот в науке и во всей жизни человечества. Они настаивают на возвращении Иоганна к исследованиям, обещают колоссальное вознаграждение и славу, но он отказывается. Мёбиус поясняет, что когда он сделал первые свои открытия, он понял, что благодаря им будут подорваны основы экономики. И тогда он заявил всем, что ему является царь Соломон, и жена поселила его в частный санаторий для психически больных людей. За пятнадцать лет Мёбиус совершил ещё несколько открытий (в частности, он решил проблему всемирного тяготения, вывел формулу Вселенной, построил систему всех возможных открытий), которые должны полностью изменить жизнь человечества. Но он понимает, что в первую очередь его открытия будут использованы для создания новых видов оружия, в том числе массового поражения. Поэтому Иоганн сжёг все свои рукописи после смерти Моники. Коллеги в шоке, но Мёбиус уговаривает их и далее изображать из себя сумасшедших.
Неожиданно появляется фон Цанд, которая сообщает, что уже давно догадалась о мнимом безумии своих пациентов и весь срок нахождения Мёбиуса в санатории копировала рукописи, которые Мёбиус считал уничтоженными. Она специально подобрала таких сиделок, которые с большой долей вероятности разгадают своих подопечных. Их смерть позволила фон Цанд закрыть Мёбиуса навсегда от внешнего мира. Ею уже созданы предприятия, на которых будут производиться изобретения, созданные на основе открытий Мёбиуса. Матильда отправляется в свой секретный кабинет, из которого осуществляется слежка за подопечными, и обнаруживает там Рихарда Фосса, который уже давно разгадал её замыслы. У злодейки начинается истерика. В эпилоге каждый из учёных произносит монолог о своей вымышленной биографии, причём Иоганн Мёбиус уже «считает» себя царём Соломоном.</t>
        </is>
      </c>
      <c r="L7205" s="2" t="inlineStr">
        <is>
          <t>https://ru.wikipedia.org/w/index.php?title=%D0%A4%D0%B8%D0%B7%D0%B8%D0%BA%D0%B8_%28%D1%84%D0%B8%D0%BB%D1%8C%D0%BC%29&amp;oldid=153351527</t>
        </is>
      </c>
      <c r="M7205" s="2">
        <f>HYPERLINK("https://ru.wikipedia.org/w/index.php?search=%D0%A4%D0%B8%D0%B7%D0%B8%D0%BA%D0%B8%201988%20%D1%84%D0%B8%D0%BB%D1%8C%D0%BC","искать")</f>
        <v/>
      </c>
      <c r="N7205" s="3" t="n"/>
      <c r="O7205" s="2" t="n"/>
      <c r="P7205" s="2" t="n"/>
    </row>
    <row r="7206">
      <c r="A7206" s="2" t="n">
        <v>7205</v>
      </c>
      <c r="B7206" s="2" t="inlineStr"/>
      <c r="C7206" s="2" t="n">
        <v>8780</v>
      </c>
      <c r="D7206" s="3" t="inlineStr">
        <is>
          <t>Кровь за кровь</t>
        </is>
      </c>
      <c r="E7206" s="2" t="n">
        <v>1991</v>
      </c>
      <c r="F7206" s="2" t="inlineStr">
        <is>
          <t>кинофильм</t>
        </is>
      </c>
      <c r="G7206" s="2" t="n"/>
      <c r="H7206" s="2" t="n">
        <v>3081</v>
      </c>
      <c r="I7206" s="2" t="inlineStr"/>
      <c r="J7206" s="2" t="inlineStr"/>
      <c r="K7206" s="3" t="inlineStr">
        <is>
          <t>Москва времен перестройки. К старому генералу, герою Великой Отечественной войны приезжают домой двое, Боря – журналист и его подруга. Борис помогает ветерану писать воспоминания для будущей книги. Он забирает подготовленные черновики, и молодые люди уходят из квартиры, впустив туда людей в масках. Бандиты запирают старика в кладовке и грабят квартиру. Коридор в купейном вагоне поезда. К молодой женщине пристают хулиганы. Пассажир поезда дает им отпор. Попутчики знакомятся. Она, Елена, - дизайнер, едет из командировки. Он, Андрей, возвращается в Москву после отпуска. Лена в разводе и живёт в коммуналке. Андрей тоже разведён. Молодые люди понравились друг другу и начали встречаться. Андрей – офицер угрозыска. Ему поручают руководить расследованием ограбления квартиры генерала. Обнаружила ограбленную квартиру и мертвого мужа жена генерала. Сообщая о немногочисленных посетителях квартиры, женщина вспомнила о молодом журналисте Боре, новом знакомом мужа, который вызвался помочь ему писать воспоминания. На его визитке не было ни адреса, ни телефона. Сыщики стали искать незнакомца среди журналистов. Один из редакторов упомянул в разговоре парня по имени Гена, который доставал для него дефицитные видео-кассеты. Познакомила их Космыгина Зина, адрес которой он знал. При допросе обнаружилось, что она и есть это девушка Бориса. Зина проговорилась о приятеле её друга голубом, Гене-Бабусике, который занимается сбытом вещей. Бабусика - Жукова Гену, берут у гостиницы, допрашивают. Гене вещи из ограбленной квартиры принес его Борис. Журналист пришёл на бандитскую сходку без приглашения за долей. И главарь банды Валентин Сомов отправил его восвояси и установил жесткий срок для реализацию награбленного. За Геной устанавливают наблюдение. Когда «Валек» пришел к Гене за деньгами за товар, он почувствовал, что его «пасет» милиция. Но у квартиры дежурил один Таганцев, и бандит, напав на Андрея, скрылся. За самовольство и работу без подстраховки Таганцева хотели отстранить от дела, но оперативники стали на защиту товарища. Генерал принял решение оставить Таганцева руководить операцией. Так как в Москве Сомов перестал появляться, внимание оперативников переключилось на его родину, Ялту. На местном рынке обнаружена шуба из украденных в Москве. Допросили покупательницу мехов, и она проговорилась о своей любовной связи с Валентином Сомовым. Оперативники устроили засаду в доме женщины. На подъезде к дому опытный бандит почувствовал присутствие чужих людей и развернул машину. Милиционеры бросились в погоню за Сомовым и его подельниками. Машина бандитов попала в аварию и взорвалась. Но Валентин Сомов успел выскочить из неё с оружием и попытался скрыться, отстреливаясь от милиционеров. Таганцев вступил в единоборство с бандитом и тяжело ранил его. Вызванная скорая помощь увезла истекающего кровью Сомова. Он на волоске от смерти, и ему нужна кровь редкой группы. У Андрея подходящая группа крови, и он принимает решение стать донором для Сомова. После выздоровления бандита им предстоит долгий разговор. А пока Таганцев возвращается в Москву, где его ждёт Лена.</t>
        </is>
      </c>
      <c r="L7206" s="2" t="inlineStr">
        <is>
          <t>https://gosfilmofond.ru/films/232371/</t>
        </is>
      </c>
      <c r="M7206" s="2">
        <f>HYPERLINK("https://ru.wikipedia.org/w/index.php?search=%D0%9A%D1%80%D0%BE%D0%B2%D1%8C%20%D0%B7%D0%B0%20%D0%BA%D1%80%D0%BE%D0%B2%D1%8C%201991%20%D1%84%D0%B8%D0%BB%D1%8C%D0%BC","искать")</f>
        <v/>
      </c>
      <c r="N7206" s="3" t="n"/>
      <c r="O7206" s="2" t="n"/>
      <c r="P7206" s="2" t="n"/>
    </row>
    <row r="7207">
      <c r="A7207" s="2" t="n">
        <v>7206</v>
      </c>
      <c r="B7207" s="2" t="inlineStr"/>
      <c r="C7207" s="2" t="n">
        <v>8983</v>
      </c>
      <c r="D7207" s="3" t="inlineStr">
        <is>
          <t>Проект "Альфа"</t>
        </is>
      </c>
      <c r="E7207" s="2" t="n">
        <v>1990</v>
      </c>
      <c r="F7207" s="2" t="inlineStr">
        <is>
          <t>кинофильм</t>
        </is>
      </c>
      <c r="G7207" s="2" t="n"/>
      <c r="H7207" s="2" t="n">
        <v>3088</v>
      </c>
      <c r="I7207" s="2" t="inlineStr"/>
      <c r="J7207" s="2" t="inlineStr"/>
      <c r="K7207" s="3" t="inlineStr">
        <is>
          <t>Причерноморский город, вторая половина 20-го столетия. Рано утром одну из квартир покидает молодой капитан военно-морского флота. Следом за парнем выходит девушка. Она выставляет на площадку его вещи и просит капитана вернуть ключ от ее квартиры. Сашенька недовольна, что Вовка, хотя и хороший парень, но приходящий, и советует ему поискать «другую дурочку». Отдав ключ, расстроенный Владимир уходит на службу. В порту получили срочное сообщение из штаба о том, что несколько иностранных кораблей резко изменили курс и движутся в сторону Крыма. Капитану военного корабля «Крылатый 286» Владимиру Чайке поступает команда выйти в море на охрану государственной границы. В порт прибывает комбриг с журналистами, которым поручено рассказать о службе моряков-пограничников. На «Крылатый 286» направляют фотокорреспондента – обаятельную блондинку Марину. Корабль выходит в море. Девушка увлеченно снимает работу экипажа. Вахтенный докладывает капитану, что в наши территориальные воды вошло иностранное судно. Чайка дает команду на задержание нарушителя границы. С иностранного корабля сообщают, что отказало рулевое управление, и они, устранив неполадку, скоро покинут нашу территорию. Мобильная группа из команды Чайки осматривает иностранное судно и не находит ничего подозрительного. Через 15 минут корабль покидает воды нашего государства. Осмотрев водный квадрат, моряки замечают антенну, торчащую из воды. Водолазы спускаются в море и обнаруживают под водой неизвестный объект, начиненный аппаратурой. Чайка принимает решение ждать корабль, который, по его мнению, через некоторое время должен забрать оборудование. Об этом он сообщает комбригу, который на катере прибыл на корабль. Он предлагает Марине забрать ее на землю, но девушка отказывается покидать корабль. Ей нравится молодой капитан, и она старается привлечь к себе его внимание. Но Володя думает только о Санечке-Шурочке, которой посвятил песню, и он надеется, что девушка будет встречать его на берегу. На рассвете в нейтральные воды входит иностранный фрегат. С него в воздух поднимается военный вертолет и направляется к квадрату, где находится буй, под которым оборудование. С Крылатого дают предупредительные очереди в сторону вертолета. Летчик не решается выпустить крылатые ракеты, так как понимает, что может начать войну, и вертолет покидает район действий. Иностранное судно устремляется в сторону буя. Легкий корабль пограничников на максимальной скорости движется туда же. Поняв, что пограничники не дадут им забрать оборудование, иностранец взрывает его с помощью дистанционного управления. Корабли мирно расходятся. Перед дверью Сашиной квартиры офицеры из команды Чайки с цветами. Они сообщают Сашеньке, что Володя обещал им на коленях просить руку и сердце девушки. Появляется капитан и представляет подруге свой экипаж, а потом становится на колени и просит руку и сердце Санечки-Шурочки. Она соглашается. Девушка приглашает всех в квартиру. Володя задерживается. На площадке сиротливо стоит его чемоданчик и гитара. Увидев одобрительный взгляд девушки, капитан берет вещи и спешит в квартиру своей невесты.</t>
        </is>
      </c>
      <c r="L7207" s="2" t="inlineStr">
        <is>
          <t>https://gosfilmofond.ru/films/276989/</t>
        </is>
      </c>
      <c r="M7207" s="2">
        <f>HYPERLINK("https://ru.wikipedia.org/w/index.php?search=%D0%9F%D1%80%D0%BE%D0%B5%D0%BA%D1%82%20%22%D0%90%D0%BB%D1%8C%D1%84%D0%B0%22%201990%20%D1%84%D0%B8%D0%BB%D1%8C%D0%BC","искать")</f>
        <v/>
      </c>
      <c r="N7207" s="3" t="n"/>
      <c r="O7207" s="2" t="n"/>
      <c r="P7207" s="2" t="n"/>
    </row>
    <row r="7208">
      <c r="A7208" s="2" t="n">
        <v>7207</v>
      </c>
      <c r="B7208" s="2" t="inlineStr"/>
      <c r="C7208" s="2" t="n">
        <v>8805</v>
      </c>
      <c r="D7208" s="3" t="inlineStr">
        <is>
          <t>Любовь с привилегиями</t>
        </is>
      </c>
      <c r="E7208" s="2" t="n">
        <v>1989</v>
      </c>
      <c r="F7208" s="2" t="inlineStr">
        <is>
          <t>кинофильм</t>
        </is>
      </c>
      <c r="G7208" s="2" t="inlineStr">
        <is>
          <t>Мосфильм</t>
        </is>
      </c>
      <c r="H7208" s="2" t="n">
        <v>3105</v>
      </c>
      <c r="I7208" s="2" t="inlineStr"/>
      <c r="J7208" s="2" t="inlineStr"/>
      <c r="K7208" s="3" t="inlineStr">
        <is>
          <t>Действие фильма происходит в 1989 году. Будучи на отдыхе в закрытом санатории, высокопоставленный пенсионер, бывший первый заместитель Председателя Совета министров СССР Константин Гаврилович Кожемякин (Вячеслав Тихонов), представитель партийной верхушки СССР, знакомится с Ириной (Любовь Полищук), женщиной гораздо моложе его, рядовой сотрудницей этого санатория. Между красивой, непосредственной и доброй Ириной и поглощенным сознанием своей значимости Кожемякиным возникает неожиданный для обеих сторон роман, представитель партийной номенклатуры делает Ирине предложение, увозит её с собой в Москву и женится на ней. Ирина попадает в круг советской элиты. Кожемякин как бы не замечает, что она «из другого круга», ведёт себя с ней на равных. У Ирины появляется доступ к закрытым ателье, личный автомобиль, доступ в лучшие дома Москвы...
Но всё свое свободное время Ирина наводит справки об обстоятельствах ареста и осуждения своего отца, который после войны, в 1952 году, был репрессирован и расстрелян (члены его семьи за это были высланы в Воркуту, где вскоре умерла и мать). С трудом она находит свой двор, знакомится с женщиной, чья семья въехала в их квартиру... Через соседа Кожемякина по даче, генерала КГБ Николая Петровича (Олег Табаков), она пытается получить доступ к делу отца. Вскоре Николай Петрович приходит к самому Кожемякину и приносит дело: в числе документов, содержащихся в нём, имеется письмо сотрудников министерства, в котором работал отец Ирины, типичный для сталинских времен акт «коллективного осуждения». Среди подписей многочисленных сотрудников стоит подпись молодого Кожемякина. Константин Гаврилович не считает нужным прятаться и не возражает, чтобы Ирина получила доступ к делу. После ознакомления Ирины с материалами уголовного дела, между супругами возникает непреодолимая напряжённость. Константин Гаврилович не считает свой поступок проступком, он даже не помнит отца Ирины, он подписал письмо потому что не мог не подписать, как и любой, кто хотел делать карьеру и продвигаться по служебной лестнице. Ирина же не считает возможным продолжать связывать свою жизнь с человеком, причастным пусть и очень косвенно к гибели её отца, и уходит от Кожемякина. Стараясь загладить возникшую ситуацию, Кожемякин пытается «выбить» для жены квартиру (взамен утраченной при высылке). Ему удаётся добыть для Ирины однокомнатную квартиру в Новокосино. Ирина переезжает туда вместе с семьёй дочери, однако это даёт повод Кожемякину считать свой жест как бы оправданием тому, давнишнему, поступку. Он приезжает к Ирине, предлагает переписать квартиру на семью дочери и просит её вернуться к нему. Ирина отвергает предложение Кожемякина и просит его уйти. В финале, тем не менее, он остаётся со своим убеждением, что не совершил ничего плохого, напротив — законно вошёл в число номенклатуры и получил свои привилегии.
В фильме целиком используются песни Александра Розенбаума («Вальс-Бостон») и Александра Галича («Старательский вальсок»), о чем в титрах к фильму ничего не указывается. На мелодию «Вальс-Бостон» Розенбаума композитор фильма написал отдельную тему для первой серии.</t>
        </is>
      </c>
      <c r="L7208" s="2" t="inlineStr">
        <is>
          <t>https://ru.wikipedia.org/w/index.php?title=%D0%9B%D1%8E%D0%B1%D0%BE%D0%B2%D1%8C_%D1%81_%D0%BF%D1%80%D0%B8%D0%B2%D0%B8%D0%BB%D0%B5%D0%B3%D0%B8%D1%8F%D0%BC%D0%B8&amp;oldid=154738641</t>
        </is>
      </c>
      <c r="M7208" s="2">
        <f>HYPERLINK("https://ru.wikipedia.org/w/index.php?search=%D0%9B%D1%8E%D0%B1%D0%BE%D0%B2%D1%8C%20%D1%81%20%D0%BF%D1%80%D0%B8%D0%B2%D0%B8%D0%BB%D0%B5%D0%B3%D0%B8%D1%8F%D0%BC%D0%B8%201989%20%D1%84%D0%B8%D0%BB%D1%8C%D0%BC","искать")</f>
        <v/>
      </c>
      <c r="N7208" s="3" t="n"/>
      <c r="O7208" s="2" t="n"/>
      <c r="P7208" s="2" t="n"/>
    </row>
    <row r="7209">
      <c r="A7209" s="2" t="n">
        <v>7208</v>
      </c>
      <c r="B7209" s="2" t="inlineStr"/>
      <c r="C7209" s="2" t="n">
        <v>9424</v>
      </c>
      <c r="D7209" s="3" t="inlineStr">
        <is>
          <t>Кольцо</t>
        </is>
      </c>
      <c r="E7209" s="2" t="n">
        <v>1991</v>
      </c>
      <c r="F7209" s="2" t="inlineStr">
        <is>
          <t>кинофильм</t>
        </is>
      </c>
      <c r="G7209" s="2" t="n"/>
      <c r="H7209" s="2" t="n">
        <v>3116</v>
      </c>
      <c r="I7209" s="2" t="inlineStr"/>
      <c r="J7209" s="2" t="inlineStr"/>
      <c r="K7209" s="3" t="inlineStr">
        <is>
          <t>Современный Санкт-Петербург, спальный район. На трамвайном кольце стоит одинокий мальчишка-школьник и рассуждает, что он ощущает только себя и, может быть, один и есть в этом мире. Он садится в трамвай и едет домой. Там его ждут мама и её новый муж. Наступает период зимних отпусков и школьных каникул. Мама с мужчиной собираются в Европу на отдых, а мальчика отправляют к бабушке, живущей здесь же в городе. Боясь опоздать на самолёт, взрослые оставляют мальчика возле закрытой двери бабушкиной квартиры, вручив ему конверт. Обнаружив в нём деньги, мальчик решает, что он сможет прожить самостоятельно до приезда мамы и отправляется навстречу приключениям. Он долго катается на трамвае, наблюдая за водителем, которого он приметил ещё на кольце. Возвратившись домой, он покупает в магазине газировку и сладости, зовёт к себе мальчишек со двора и устраивает пир. Вечером опять отправляется кататься на трамвае и попадает в трамвай с тем же водителем. Тот, приметив бесцельно катающегося на его трамвае мальчишку, знакомится с ним и спрашивает, чей он. Платон отвечает Виктору, что он ничей, сам по себе. Обеспокоенный водитель везёт Платона в трамвайный парк, где сдает на руки диспетчеру. Мальчик убеждает дежурного, что живёт в пяти минутах отсюда и просит не сдавать его в милицию. Платона отпускают, и он опять садится в трамвай к Виктору и катается до позднего вечера накануне 31 декабря. Когда смена закончилась, Вите приходится нести спящего Платона к себе в общежитие. Там его ждут девчонки, которые в компании с парнями собрались ехать за город на встречу нового года. Они недовольны, что их друг обременил всех чужим ребёнком. Но Виктор обещает, что по пути он отправит Платона к его отцу, живущему отдельно от семьи, о существовании которого он узнал из общения с Платоном. Он оставляет мальчика с отцом, который совершенно равнодушен к ребёнку. На вечеринке молодой человек ссорится со своей девушкой и возвращается в город к Платону, грустному мечтательному мальчишке, к которому он успел привязаться. Виктор забирает его к себе в общежитие, обещая, что мальчик завтра опять будет кататься на трамвае, а потом они отправятся к нему домой. Пока парень на работе, девчонки из общежития сдают беспризорного мальчишку в милицию. Там его принимают за бродяжку и помещают в приют. Тем временем мама Платона звонит из-за границы бабушке и узнает, что Платона у нее нет. Обеспокоенная мама срочно возвращается в Санкт-Петербург. В дверях квартиры она находит записку Виктора к Платону с просьбой сообщить ему в общежитие, где он, Платон, сейчас. Мама находит общежитие и узнает от здешних девчонок, что они сдали мальчика в приемник-распределитель. Она спешит в милицию, но там сообщают, что Платона забрал отец. По приметам человека, которому выдали мальчика, она понимает, что это не её бывший муж. В растерянности и отчаянии она стоит на остановке трамвая, не зная, куда отправиться дальше. Мимо проезжает трамвай, в который Виктор на время рабочей смены взял мальчика, чтобы тот опять не исчез. Платон видит маму и выбегает к ней. Мама и сын крепко обнимают друг друга, не в силах сдержать счастливые слёзы.</t>
        </is>
      </c>
      <c r="L7209" s="2" t="inlineStr">
        <is>
          <t>https://gosfilmofond.ru/films/232369/</t>
        </is>
      </c>
      <c r="M7209" s="2">
        <f>HYPERLINK("https://ru.wikipedia.org/w/index.php?search=%D0%9A%D0%BE%D0%BB%D1%8C%D1%86%D0%BE%201991%20%D1%84%D0%B8%D0%BB%D1%8C%D0%BC","искать")</f>
        <v/>
      </c>
      <c r="N7209" s="3" t="n"/>
      <c r="O7209" s="2" t="n"/>
      <c r="P7209" s="2" t="n"/>
    </row>
    <row r="7210">
      <c r="A7210" s="2" t="n">
        <v>7209</v>
      </c>
      <c r="B7210" s="2" t="inlineStr"/>
      <c r="C7210" s="2" t="n">
        <v>9455</v>
      </c>
      <c r="D7210" s="3" t="inlineStr">
        <is>
          <t>Ловкач и Хиппоза</t>
        </is>
      </c>
      <c r="E7210" s="2" t="n">
        <v>1990</v>
      </c>
      <c r="F7210" s="2" t="inlineStr">
        <is>
          <t>кинофильм</t>
        </is>
      </c>
      <c r="G7210" s="2" t="n"/>
      <c r="H7210" s="2" t="n">
        <v>3140</v>
      </c>
      <c r="I7210" s="2" t="inlineStr"/>
      <c r="J7210" s="2" t="inlineStr"/>
      <c r="K7210" s="3" t="inlineStr">
        <is>
          <t>Московский водитель мусоровоза Александр Ловкачёв соглашается на криминальную аферу — знакомая компания молодых людей, возглавляемая Антоном, предлагает ему за вознаграждение перегнать легковой автомобиль в Ялту, а вечером того же дня на самолёте вернуться домой. Александр отправляется в путь. Параллельно едет на юг автостопом молодая девушка по имена Лена. Увидев голосующую на дороге девушку, Александр не останавливается, и затем её подбирают водители фуры. Позже в придорожном кафе Александр слышит, как водители требуют от девушки «расплатиться натурой», и вступает с ним в драку, увозя девушку с собой. В машине Александр представляется как Ловкач, девушка же называет себя Хиппоза, цитируя текст песни про хиппи («Суббота — фестиваль всех оборванцев-хиппи») из романа, по её словам, «одного эмигранта».
Попутчики не сразу находят общий язык: так, когда девушка достаёт сигарету с марихуаной, Ловкач просит покурить, но выбрасывает сигарету в окно, на что Хиппоза обижается. Ночью на дороге возникает пробка из-за аварии. Вышедший посмотреть, что случилось, Александр видит, как в «скорую помощь» заносят на носилках труп водителя фуры, с которым он ранее дрался и которого он узнал по татуировке. Чтобы объехать пробку, Александр едет по просёлочной дороге, где его с криками просит помочь женщина: её муж в пьяном виде упал на вилы. Александр отвозит женщину и раненого мужа в больницу, возвращаясь к ожидающей его Хиппозе и матери мужчины. Он говорит, что жена мужчина осталась с ним в больнице, и хочет уехать, но старуха уговаривает его остаться переночевать. Уехав утром, Александр признаётся девушке, что мужчина умер по дороге в больницу. Девушка же признаётся в том, что, когда он выходил из машины, достала его документы и узнала его настоящее имя. Они проводят время, катаясь по скошенному полю и отдыхая в стоге сена.
Доехав до Ялты, Александр предлагает Лене вечером улететь на самолёте вместе с ним. Однако возникают проблемы: посредник, который должен был забрать машину и дать Александру билет, по-видимому, арестован. К тому же милиционеры присматриваются к машине, а кругом идут облавы. Александр звонит Антону, но тот предлагает ему огромные деньги за то, чтобы он не уезжал и дождался другого посредника. Заподозрив неладное, Александр обыскивает машину и находит спрятанную пачку долларов. Они с Леной забирают валюту и возвращаются в Москву, чтобы собраться и уехать. Однако, пока Александр улаживает дела на работе, дружки Антона находят и забирают Лену, оставляя разгромленную квартиру и записку. На своём мусоровозе Александр едет на дачу к Антону, где у него забирают валюту, а ему отдают Лену, которая подверглась групповому изнасилованию. Самого Александра жестоко избивают. Он уезжает, но по дороге высаживает девушку и возвращается, разбивая машины участников группировки, из-за чего на даче вспыхивает пожар. Один из бандитов ранит Александра в бок из ружья. Пытаясь уехать обратно, Александр теряет силы и идёт пешком, а затем ползёт, случайно встречая Лену на дороге посреди леса. Кругом никого нет, и под начинающимся снегом Лена пытается тащить слабеющего Александра к виднеющемуся вдали трактору.</t>
        </is>
      </c>
      <c r="L7210" s="2" t="inlineStr">
        <is>
          <t>https://ru.wikipedia.org/w/index.php?title=%D0%9B%D0%BE%D0%B2%D0%BA%D0%B0%D1%87_%D0%B8_%D0%A5%D0%B8%D0%BF%D0%BF%D0%BE%D0%B7%D0%B0&amp;oldid=154737362</t>
        </is>
      </c>
      <c r="M7210" s="2">
        <f>HYPERLINK("https://ru.wikipedia.org/w/index.php?search=%D0%9B%D0%BE%D0%B2%D0%BA%D0%B0%D1%87%20%D0%B8%20%D0%A5%D0%B8%D0%BF%D0%BF%D0%BE%D0%B7%D0%B0%201990%20%D1%84%D0%B8%D0%BB%D1%8C%D0%BC","искать")</f>
        <v/>
      </c>
      <c r="N7210" s="3" t="n"/>
      <c r="O7210" s="2" t="n"/>
      <c r="P7210" s="2" t="n"/>
    </row>
    <row r="7211">
      <c r="A7211" s="2" t="n">
        <v>7210</v>
      </c>
      <c r="B7211" s="2" t="inlineStr"/>
      <c r="C7211" s="2" t="n">
        <v>8435</v>
      </c>
      <c r="D7211" s="3" t="inlineStr">
        <is>
          <t>Так и будет</t>
        </is>
      </c>
      <c r="E7211" s="2" t="n">
        <v>1979</v>
      </c>
      <c r="F7211" s="2" t="inlineStr">
        <is>
          <t>телефильм</t>
        </is>
      </c>
      <c r="G7211" s="2" t="n"/>
      <c r="H7211" s="2" t="n">
        <v>3143</v>
      </c>
      <c r="I7211" s="2" t="inlineStr"/>
      <c r="J7211" s="2" t="inlineStr"/>
      <c r="K7211" s="3" t="inlineStr">
        <is>
          <t>Пётр Рыжухин (Александр Михайлов), танкист, гвардии майор, едет с Дальнего Востока в отпуск в Москву. Между другими делами он планирует вернуть хозяйке сумочку, забытую ею год назад на пляже. Дальнейшие его планы в отношении этой женщины ещё более серьёзны.
Елене Дмитриевне Савельевой (Валентина Карева) за тридцать, она уже несколько лет снова живёт с мамой, хотя формально ещё не развелась. Два года назад она познакомилась с выпускником военной академии; через год они случайно столкнулись на пляже в Гурзуфе. Невольное «вторжение» в московскую квартиру (в забытой сумочке были и ключи) Елена встречает более чем холодно, но Рыжухин так просто не сдаётся. Постепенно человеческие чувства пробивают защитную оболочку «красивой современной равнодушно-скептичной женщины», в которую спряталась Елена. Осознав, насколько майор Рыжухин, цельный, сильный и волевой человек, отличается от привычных ей мужчин, подобных бывшему её мужу Николаше (Владимир Анисько), скульптору, с равнодушием ремесленника штампующему бесконечные копии однажды найденного «удачного» образа, или ленивому ухажёру, работающему с ней в одном конструкторском бюро, классическому бабнику с банально-пошлыми приёмчиками (Юрий Козулин), она решается резко изменить свою жизнь и уезжает с майором в далёкий гарнизон на китайской границе.
Вся эта история разворачивается на глазах и даже при участии матери Елены, Ольги Фёдоровны (Наталья Варлей), и порой пугающе напоминает ей её собственную молодость. В апреле 1945 года за новым назначением в Москву на несколько дней приехал с фронта инженер-полковник Савельев (Кирилл Лавров). В своей квартире, где он жил с женой и дочкой, погибшими в первый же день войны, Дмитрий Иванович застал новых жильцов. Ими оказались знаменитый архитектор академик Воронцов (Андрей Петров), заочно, по книгам, домам и мостам, прекрасно знакомый гражданскому инженеру Савельеву, и его дочь Оля. В их дом попала бомба, и семью Воронцовых временно вселили в пустующую квартиру пропавшей в 1941 году без вести семьи Савельевых. Между Олей и Савельевым постепенно возникло взаимное чувство. И если Оля Воронцова, цельная и чистая натура, несмотря на разницу в возрасте, была готова без колебаний довериться пришедшей к ней любви, то Дмитрия Ивановича долго сдерживала спасительная привычка человека, привыкшего к мысли, что его семейное счастье осталось в прошлом. И страх, что красивую молодую женщину может обманчиво увлечь романтическое восприятие выдуманного образа орденоносного героя-сапёра.
Савельев погиб в Маньчжурии четыре месяца спустя, в августе 1945-го. И теперь Ольга Фёдоровна Савельева, сидя в квартире со следами стремительных сборов Елены в дорогу, на тот же самый Дальний Восток, одновременно смеётся, радуясь за свою дочь, и плачет, понимая, что у Елены будет своя жизнь вдали от матери.
Сценарное решение фильма весьма своеобразно. Основная сюжетная линия 1970-х годов представляет собой классический сиквел одноимённой пьесы Константина Симонова, а серия флэшбеков, возвращающих действие в 1945 год — практически дословную экранизацию этой знаменитой пьесы. Правда, её действие зачем-то перенесено более чем на полгода вперёд.</t>
        </is>
      </c>
      <c r="L7211" s="2" t="inlineStr">
        <is>
          <t>https://ru.wikipedia.org/w/index.php?title=%D0%A2%D0%B0%D0%BA_%D0%B8_%D0%B1%D1%83%D0%B4%D0%B5%D1%82_%28%D1%84%D0%B8%D0%BB%D1%8C%D0%BC%29&amp;oldid=149105944</t>
        </is>
      </c>
      <c r="M7211" s="2">
        <f>HYPERLINK("https://ru.wikipedia.org/w/index.php?search=%D0%A2%D0%B0%D0%BA%20%D0%B8%20%D0%B1%D1%83%D0%B4%D0%B5%D1%82%201979%20%D1%84%D0%B8%D0%BB%D1%8C%D0%BC","искать")</f>
        <v/>
      </c>
      <c r="N7211" s="3" t="n"/>
      <c r="O7211" s="2" t="n"/>
      <c r="P7211" s="2" t="n"/>
    </row>
    <row r="7212">
      <c r="A7212" s="2" t="n">
        <v>7211</v>
      </c>
      <c r="B7212" s="2" t="inlineStr"/>
      <c r="C7212" s="2" t="n">
        <v>7928</v>
      </c>
      <c r="D7212" s="3" t="inlineStr">
        <is>
          <t>На два часа раньше</t>
        </is>
      </c>
      <c r="E7212" s="2" t="n">
        <v>1967</v>
      </c>
      <c r="F7212" s="2" t="inlineStr">
        <is>
          <t>телефильм</t>
        </is>
      </c>
      <c r="G7212" s="2" t="n"/>
      <c r="H7212" s="2" t="n">
        <v>3147</v>
      </c>
      <c r="I7212" s="2" t="inlineStr"/>
      <c r="J7212" s="2" t="inlineStr"/>
      <c r="K7212" s="3" t="inlineStr">
        <is>
          <t>Новогодний музыкальный фильм с участием джаз-оркестра ВИО-66 (вокально-инструментальный оркестр при «Союзконцерте») под управлением Юрия Саульского, квартета «Аккорд», Марселя Марсо, Аркадия Райкина, Екатерины Шавриной, Владимира Макарова и других.
Последний день старого года. Дети из детского сада «Золотой ключик» хотят увидеть Новый год, но не могут этого сделать: в 12 часов ночи они уже спят. Поэтому они решают позвать Новый год пораньше. Их просьбу слышит Дед Мороз (Михаил Селютин), который тут же спешит из леса в сторону Москвы. Но как только он появляется в том или ином месте, городские часы вместо 10 часов вечера начинают показывать ровно полночь. Люди в страшной суматохе спешат домой к праздничному столу. «Хотел подарить детям два часа, но забрал эти два часа у взрослых. Вот что бывает, когда желаешь быть добрым, не считаясь со временем», — сетует Дед Мороз. Чтобы стать незаметным, он принимает облик случайно встреченного на улице молодого человека (Виктор Семёнов).
Идя по заснеженной дороге, он чуть не попадает под автобус с артистами, которые спешат на концерт в Уголок Дурова. Однако, оказавшись рядом с Дедом Морозом, музыканты обнаруживают, что уже полночь — и нужно срочно давать концерт. Автобус останавливается у зоопарка, и администратор оркестра (Леонид Каневский) решает, что нет особой разницы — зоопарк это или Уголок Дурова, — и проводит концерт среди животных. Музыкальный номер исполняет джаз‑оркестр ВИО‑66. Аркадий Райкин выступает с интермедией про
зайца и попугая. А Дед Мороз спешит дальше, чтобы попасть к детям из детского сада.
По дороге он помогает почтальону (Екатерина Райкина) разнести новогодние поздравления. Запутавшись в городских улицах, он видит человека в одних плавках и спрашивает у него дорогу к «Золотому ключику». «Можно пройти прямо, но лучше через лёд», — отвечает человек и ныряет в прорубь. Это один из братьев Ворониных. На дне пруда они показывают акробатический номер. Дед Мороз понимает, что попал в царство зимнего спорта — к «моржам». Тренер «моржей» (Михаил Ножкин) удивлён, что и его часы показывают полночь. «Опять праздник на воде, опять жена будет говорить, что я не прихожу сухим домой. Что же делать? А, свистать всех наверх!» — рассуждает тренер. На лёд выходят танцоры
Московского Молодого Балета и певица Екатерина Шаврина. А Дед Мороз спешит дальше.
Теперь он встречает на своём пути плачущую Снегурочку (Тамара Совчи). Она договорилась встретиться с артистами у уличных часов в десять вечера, чтобы отвести их на концерт в клуб, но часы
показывают уже полночь. Кажется, она опоздала. Вместе с Дедом Морозом она бежит в гостиницу, где остановились артисты, в надежде их там застать. В гостинице они ходят по этажам и сталкиваются с исполнителями концертных номеров: с квартетом «Аккорд», акробатическим трио и дуэтом, Марселем Марсо, трио Энцо, Владимиром Макаровым и Государственным ансамблем танца Сибири.
Концертная программа закончена, и Дед Мороз наконец может отправиться к детям из «Золотого ключика». Но, подойдя к детскому саду, он видит в окно, что дети его не дождались и уже спят. «Ну вот, я всё‑таки опоздал, но я пришёл!» — оправдывается Дед Мороз.</t>
        </is>
      </c>
      <c r="L7212" s="2" t="inlineStr">
        <is>
          <t>https://ru.wikipedia.org/w/index.php?title=%D0%9D%D0%B0_%D0%B4%D0%B2%D0%B0_%D1%87%D0%B0%D1%81%D0%B0_%D1%80%D0%B0%D0%BD%D1%8C%D1%88%D0%B5&amp;oldid=155686649</t>
        </is>
      </c>
      <c r="M7212" s="2">
        <f>HYPERLINK("https://ru.wikipedia.org/w/index.php?search=%D0%9D%D0%B0%20%D0%B4%D0%B2%D0%B0%20%D1%87%D0%B0%D1%81%D0%B0%20%D1%80%D0%B0%D0%BD%D1%8C%D1%88%D0%B5%201967%20%D1%84%D0%B8%D0%BB%D1%8C%D0%BC","искать")</f>
        <v/>
      </c>
      <c r="N7212" s="3" t="n"/>
      <c r="O7212" s="2" t="n"/>
      <c r="P7212" s="2" t="n"/>
    </row>
    <row r="7213">
      <c r="A7213" s="2" t="n">
        <v>7212</v>
      </c>
      <c r="B7213" s="2" t="inlineStr"/>
      <c r="C7213" s="2" t="n">
        <v>9049</v>
      </c>
      <c r="D7213" s="3" t="inlineStr">
        <is>
          <t>Смерть в кино</t>
        </is>
      </c>
      <c r="E7213" s="2" t="n">
        <v>1990</v>
      </c>
      <c r="F7213" s="2" t="inlineStr">
        <is>
          <t>кинофильм</t>
        </is>
      </c>
      <c r="G7213" s="2" t="n"/>
      <c r="H7213" s="2" t="n">
        <v>3151</v>
      </c>
      <c r="I7213" s="2" t="inlineStr"/>
      <c r="J7213" s="2" t="inlineStr"/>
      <c r="K7213" s="3" t="inlineStr">
        <is>
          <t>В окрестностях Ялтинской киностудии заканчивается подготовка к съёмкам кинокартины. Декорации уже смонтированы, но съёмочная группа, кроме режиссёра Александра Александровича и кинооператора Володи, ещё не приехала на место. Предприимчивый сторож Василий Кузьмич Столбов выгодно использует сложившуюся ситуацию, сдавая съёмочные помещения «дикарям», которым по тем или иным причинам не удалось поселиться в других местах.
Вечером затевается шумное застолье, в самый пик которого оператор Володя, по наущению режиссёра Александра Александровича, сперва тайно от всех, а затем и в открытую начинает снимать весёлую гулянку. Он берёт мини-интервью у каждого из гостей и снимает происходящее на кинокамеру, при этом свои вопросы он задаёт дерзко, а ответы отдыхающих сопровождает циничными и грубыми комментариями, которые глубоко оскорбляют согретую спиртными напитками публику. Между оператором и остальными гостями возникает словесная перепалка, звучат угрозы, дело доходит до потасовки — Володя толкает пожилого номенклатурного работника, зампреда горисполкома Сергея Сергеевича Иванцова и оскорбляет его любовницу Капитолину, с которой тот тайно от жены и коллег по работе приехал на отдых. Известный актёр Александр Томин со своей любовницей Леной и её подругой Машей также получают свою долю саркастических шуточек и откровенных оскорблений. Молодой человек Егор, отдыхающий на море со своей невестой Юлей, заступаясь за свою возлюбленную, толкает, а затем и бьёт кулаком в лицо наглеца, как будто специально провоцирующего конфликт. Бывший уголовник Анатолий, пытаясь унять распоясавшегося дебошира, в грубой форме угрожает ему расправой. В конце концов режиссёр Александр Александрович выключает музыку и уводит зарвавшегося оператора Володю в помещение декорации, чтобы тот проспался.
На следующее утро Володю находят лежащим в крови с пробитой головой. Подозрение в убийстве падает на всех гостей — каждый из них накануне был оскорблён оператором, и каждый отвечал на его оскорбления угрозами.
Поскольку, как оказывается, каждому из присутствующих есть что скрывать, милицию не вызывают — за расследование самочинно берётся сторож Столбов, бывший сотрудник органов, майор запаса. Василий Кузьмич с упоением возвращается в прошлое, используя весь свой привычный арсенал: необоснованные обвинения, провокации, силовые методы воздействия. Гости по-разному ведут себя в экстраординарной ситуации: после того как подозреваемыми перебывали все, пережитый стресс обнажил не самые лучшие черты их характеров.
В результате дотошного расследования, которое новоявленный Пинкертон, как ему казалось, провёл с завидной ловкостью и умением, ничего выяснить не удалось. Но внезапно Володя появляется живой и здоровый; оказывается, это было вовсе не убийство, а всего лишь жестокий розыгрыш со стороны режиссёра, решившего запечатлеть на плёнке подлинные переживания людей, попавших в сложную ситуацию.
Глубоко обиженный Василий Кузьмич вначале впадает в ступор, но затем в порыве гнева стреляет из охотничьего ружья в «ожившего» оператора, который по команде режиссёра продолжает его снимать. И фильм заканчивается уже не киношной, а вполне реальной смертью.</t>
        </is>
      </c>
      <c r="L7213" s="2" t="inlineStr">
        <is>
          <t>https://ru.wikipedia.org/w/index.php?title=%D0%A1%D0%BC%D0%B5%D1%80%D1%82%D1%8C_%D0%B2_%D0%BA%D0%B8%D0%BD%D0%BE&amp;oldid=142710838</t>
        </is>
      </c>
      <c r="M7213" s="2">
        <f>HYPERLINK("https://ru.wikipedia.org/w/index.php?search=%D0%A1%D0%BC%D0%B5%D1%80%D1%82%D1%8C%20%D0%B2%20%D0%BA%D0%B8%D0%BD%D0%BE%201990%20%D1%84%D0%B8%D0%BB%D1%8C%D0%BC","искать")</f>
        <v/>
      </c>
      <c r="N7213" s="3" t="n"/>
      <c r="O7213" s="2" t="n"/>
      <c r="P7213" s="2" t="n"/>
    </row>
    <row r="7214">
      <c r="A7214" s="2" t="n">
        <v>7213</v>
      </c>
      <c r="B7214" s="2" t="inlineStr"/>
      <c r="C7214" s="2" t="n">
        <v>8661</v>
      </c>
      <c r="D7214" s="3" t="inlineStr">
        <is>
          <t>Воздушный поцелуй</t>
        </is>
      </c>
      <c r="E7214" s="2" t="n">
        <v>1991</v>
      </c>
      <c r="F7214" s="2" t="inlineStr">
        <is>
          <t>кинофильм</t>
        </is>
      </c>
      <c r="G7214" s="2" t="n"/>
      <c r="H7214" s="2" t="n">
        <v>3157</v>
      </c>
      <c r="I7214" s="2" t="inlineStr"/>
      <c r="J7214" s="2" t="inlineStr"/>
      <c r="K7214" s="3" t="inlineStr">
        <is>
          <t>Южный российский город. На берегу моря беседуют молодой мужчина и юная девушка. Он старается настроить её на серьезную подготовку к экзаменам в мединститут, а она заявляет, что у неё нет мозгов, а одни только чувства. В 14 лет она влюбилась в своего лечащего врача Сергея, и они вместе уже 3 года. Настя мечтает о замужестве, и Сергей обещает жениться через год, когда Настеньке исполнится 18 лет, а пока целомудренно оберегает её и делает её жизнь беззаботной. Он недавно назначен главным врачом больницы и устроил подругу на работу в свою клинику. Красивая и задорная девушка привлекает в больнице всеобщее внимание. Один из пациентов, местный функционер Денис Трофимович, старается завоевать внимание Насти обещаниями, что она будет с ним ездить в Европу и иметь всё, что она захочет, если станет его любовницей. Её бывший школьный приятель Коля, работающий садовником в оранжерее больницы, тайно вздыхает о Насте. Но все, кто имеет виды на молоденькую медсестру, знают, что она - возлюбленная Сергея Владимировича и находится под его опекой. В одно из дежурств Насти в больницу привозят после аварии спортсмена-гонщика. Ему делает операцию сам главврач и для него срочно освобождают персональную палату. Оказалось, что новый пациент – чемпион страны по гонкам. Настя берет на себя уход за молодым человеком и не подпускает к нему других медсестёр. В то же время она продолжает говорить о своей любви Сергею, но не забывает поинтересоваться у жениха значением слова «сексапильная», как определил её привлекательность новый пациент Андрей. В одно из ночных дежурств она соблазняет Андрея, и они продолжают тайно встречаться по ночам. Настя начинает избегать Сергея, а он не понимает, в чем причина. Тем временем столичного спортсмена выписывают. Он пытается найти Настю в больнице, но безуспешно. Оставив ей большую коробку конфет, он уезжает в Москву. Настя в прострации съедает все конфеты, а потом идёт в родительскую квартиру, достает охотничье ружьё отца и готовится к самоубийству. В это время в открытую дверь квартиры входит Денис Трофимович, который выписался из больницы несколько дней назад. Он пришёл с бутылкой коньяка в надежде соблазнить девушку. В состоянии внутренних метаний она, то готова назло всем отдаться чиновнику, то угрожает убить его. Прогнав мужчину, она разряжает свой стресс выстрелом в старинные часы, который разлетаются на осколки. Сергею, наконец, удается связаться с Настей по телефону, и он просит её зайти в больницу вечером. В ожидании Сергея девушка сидит в оранжерее с Колей и издевается над его чувствами к ней: «Ты любишь меня, скотина, бери, что тебе надо!» Сергей заглядывает в оранжерею и застаёт там Настю и Николая за поцелуем. Он уезжает за город в разбитых чувствах и укрывается в строящемся доме, в котором он мечтал жить вместе с Настей. Настя едет вслед за ним. Следуют объяснения и оба признаются, что не могут жить друг без друга. На обратном пути в город Сергей спешит и гонит свой старенький мотоцикл, который падает с насыпи вниз. Сергей с травмированной ногой с трудом добирается до Насти, лежащей в стороне. Она успокаивает любимого: «Не волнуйся, у меня всё хорошо», - и умирает у него на руках.</t>
        </is>
      </c>
      <c r="L7214" s="2" t="inlineStr">
        <is>
          <t>https://gosfilmofond.ru/films/232253/</t>
        </is>
      </c>
      <c r="M7214" s="2">
        <f>HYPERLINK("https://ru.wikipedia.org/w/index.php?search=%D0%92%D0%BE%D0%B7%D0%B4%D1%83%D1%88%D0%BD%D1%8B%D0%B9%20%D0%BF%D0%BE%D1%86%D0%B5%D0%BB%D1%83%D0%B9%201991%20%D1%84%D0%B8%D0%BB%D1%8C%D0%BC","искать")</f>
        <v/>
      </c>
      <c r="N7214" s="3" t="n"/>
      <c r="O7214" s="2" t="n"/>
      <c r="P7214" s="2" t="n"/>
    </row>
    <row r="7215">
      <c r="A7215" s="2" t="n">
        <v>7214</v>
      </c>
      <c r="B7215" s="2" t="inlineStr"/>
      <c r="C7215" s="2" t="n">
        <v>7543</v>
      </c>
      <c r="D7215" s="3" t="inlineStr">
        <is>
          <t>Дом, который построил Свифт</t>
        </is>
      </c>
      <c r="E7215" s="2" t="n">
        <v>1982</v>
      </c>
      <c r="F7215" s="2" t="inlineStr">
        <is>
          <t>телефильм</t>
        </is>
      </c>
      <c r="G7215" s="2" t="n"/>
      <c r="H7215" s="2" t="n">
        <v>3171</v>
      </c>
      <c r="I7215" s="2" t="inlineStr"/>
      <c r="J7215" s="2" t="inlineStr"/>
      <c r="K7215" s="3" t="inlineStr">
        <is>
          <t>События картины начинаются 5 октября 1745 года в Дублине. По приглашению опекунского совета в дом декана собора Святого Патрика и известного писателя Джонатана Свифта прибывает доктор Ричард Симпсон. Возле дома толпа людей, и все говорят, что сегодня похороны Свифта. Однако вскоре из ворот выходит сам декан. Каждый год, последние пять лет, он проводит свои похороны и оглашает завещание через слуг. Декан молчит и ни с кем не общается, глаза закрывает повязка. Ухаживают за ним экономка Ванесса и слуга Патрик.
В доме доктор Симпсон сталкивается с персонажами книг писателя: тремя лилипутами, живущими в любовном треугольнике; великаном Глюмом, ныне утратившим свой исполинский рост; господином Некто, утверждающим, что живёт более тысячи лет. По завещанию декана в доме разыгрывает представление труппа актёров местного театра, которым после его смерти отойдёт дом. Доктор считает их всех проходимцами. Ванессе противостоит сестра Эстер, претендующая на должность экономки и влюблённая в Свифта. Опекунский совет вызывает полицию, и всех актёров в доме Свифта задерживают. Ванесса уволена, и место экономки заняла Эстер. Один из полицейских, охраняющих актёров, Джек Смит, вступает в беседу с господином Некто. Джек переосмысляет свою жизнь как временну́ю петлю и решает освободить актёров, чтобы перестать вечно играть роль охранника. Его останавливает выстрелом напарник. Джек умирает в надежде, что его следующая жизнь будет другой.
Проходит несколько дней. Опекунский совет во главе с генерал-губернатором Ирландии обеспокоен тем, что беспорядки вокруг дома Свифта не утихают. Над Дублином замечено небесное тело, по описаниям очень похожее на остров Лапута. Совет постановляет считать небесное тело несуществующим. Генерал-губернатор предлагает прислать другого доктора, но оказывается, Симпсона выбрал сам декан. Доктор Симпсон разочарован тем, что не может повлиять на происходящее, и уже готов сдаться и покинуть дом. Однако, в последний момент заставив себя впервые открыть книгу Свифта, неожиданно осознаёт себя как доктора Лемюэля Гулливера. Поскольку писатель ассоциировал себя со своим персонажем, то он ещё и воплощение Свифта.
В доме появляется делегация лапутян, прибывших из будущего. Двое из них выглядят как Ванесса и Стелла. Их принимает Симпсон, представленный им как сам Свифт. Гости сообщают, что сегодня, 19 октября 1745 года, Джонатан Свифт скончается от сердечного приступа. Узнав об этом, декан прерывает молчание. Свифт подтверждает, что в полночь 19 октября он покинет бренный мир, и на этот раз навсегда. Перед смертью он должен привести в порядок свои дела. Ванесса и Эстер требуют, чтобы Свифт сделал выбор между ними, но тот отказывается выбирать: «Обе женщины поместились в сердце моём, и нет у меня сил и права предпочесть одну другой…» Описать его смерть — пятое и последнее путешествие Гулливера в мир иной — должен будет доктор Симпсон. Джонатан Свифт удаляется в некую открытую дверь, сопровождаемый героями своих книг. Доктор Симпсон остаётся в его доме, окружённый слугами декана. Он берёт в руки перо и замирает над чистым листом бумаги. Симпсон представляет себе, как он попал на огромный парусник, который уходит в плавание.</t>
        </is>
      </c>
      <c r="L7215" s="2" t="inlineStr">
        <is>
          <t>https://ru.wikipedia.org/w/index.php?title=%D0%94%D0%BE%D0%BC%2C_%D0%BA%D0%BE%D1%82%D0%BE%D1%80%D1%8B%D0%B9_%D0%BF%D0%BE%D1%81%D1%82%D1%80%D0%BE%D0%B8%D0%BB_%D0%A1%D0%B2%D0%B8%D1%84%D1%82&amp;oldid=154695225</t>
        </is>
      </c>
      <c r="M7215" s="2">
        <f>HYPERLINK("https://ru.wikipedia.org/w/index.php?search=%D0%94%D0%BE%D0%BC%2C%20%D0%BA%D0%BE%D1%82%D0%BE%D1%80%D1%8B%D0%B9%20%D0%BF%D0%BE%D1%81%D1%82%D1%80%D0%BE%D0%B8%D0%BB%20%D0%A1%D0%B2%D0%B8%D1%84%D1%82%201982%20%D1%84%D0%B8%D0%BB%D1%8C%D0%BC","искать")</f>
        <v/>
      </c>
      <c r="N7215" s="3" t="n"/>
      <c r="O7215" s="2" t="n"/>
      <c r="P7215" s="2" t="n"/>
    </row>
    <row r="7216">
      <c r="A7216" s="2" t="n">
        <v>7215</v>
      </c>
      <c r="B7216" s="2" t="inlineStr"/>
      <c r="C7216" s="2" t="n">
        <v>9518</v>
      </c>
      <c r="D7216" s="3" t="inlineStr">
        <is>
          <t>Ночь самоубийцы</t>
        </is>
      </c>
      <c r="E7216" s="2" t="n">
        <v>1991</v>
      </c>
      <c r="F7216" s="2" t="inlineStr">
        <is>
          <t>кинофильм</t>
        </is>
      </c>
      <c r="G7216" s="2" t="n"/>
      <c r="H7216" s="2" t="n">
        <v>3182</v>
      </c>
      <c r="I7216" s="2" t="inlineStr"/>
      <c r="J7216" s="2" t="inlineStr"/>
      <c r="K7216" s="3" t="inlineStr">
        <is>
          <t>Российский город 1958 года. Немолодой мужчина с потёртым чемоданчиком заходит в подъезд дома и звонит в одну из квартир. Дверь открывает мальчик и впускает мужчину в квартиру, думая, что тот пришёл к его папе. Хозяйка квартиры Галина суетливо накрывает на стол, решив, что приехал дядя мужа. Все садятся за стол. Для компании приглашают молодую соседку Марину. Гость представляется Афанасием. В комнату заглядывает пожилая соседка похмелиться. Галина выносит стопку водки в коридор и узнает от старухи, что пришедший – опасный человек, бывший жилец их комнаты, где он прожил с молодой женой год, а в 38-м его забрали. Жена протянула без него 10 лет, а потом умерла. Воспитанные люди, накормив нежданного гостя, всё же предлагают ему отправиться по адресу, назначенному ему для проживания. Улучив момент, когда он остался в комнате с Мариной, Афанасий блокирует дверь. Марина пугается насилия, но Афанасий сообщает ей, что решил свести счёты с жизнью здесь, поближе к жене, которая скончалась в этой комнате, но ему трудно решиться на самоубийство, поэтому он просит девушку вытолкнуть его из окна этого пятого этажа. В квартире смятение. Муж Галины Коля сообщает ей, что узнал незваного гостя. Это был его первый подследственный, когда он начал работать следователем 20 лет назад и тот, вероятно, пришёл отомстить ему. Марина, майор милиции, просит вызванного ею сержанта корректно выдворить незваного гостя. Но милиционер начинает выламывать дверь в комнату. Его останавливает молящий голос Марины. Бывший заключённый затолкал девушку в шкаф, подпирающий дверь, и любой мощный удар может убить её. Тем временем старуха Василина рассказывает Галине, что в довоенные времена в комнате Афанасия собирались молодые люди и что-то там обсуждали. Сын Василины, старшеклассник Вадим, старался не пропускать собрания и очень сильно огорчился, когда Афанасия и нескольких его друзей арестовали. Галина понимает, что сержант не сможет справиться в сложившейся ситуации, и вызывает начальника районного отделения милиции Анатолия Степановича Воронца. Как оказалось, он тоже знает забаррикадировавшегося. Сын Степановича был арестован в числе друзей Афанасия и Анатолий Воронец знал не понаслышке, что происходило здесь много лет назад. Сын Василины Вадим во всеуслышание заявил в школе, что немцы нападут, ссылаясь на фамилии людей из компании Афанасия, после чего всех арестовали. Впоследствии Вадима убили на войне, а Василина, оставшись в одиночестве, стала мстить жене Афанасия Ирине. У неё было слабое здоровье, а старуха прятала дефицитные лекарства так, что однажды Ирина во время приступа умерла. Тем временем Афанасий после неудачной попытки самоубийства в отчаянии пытается надругаться над Мариной, чтобы вызвать реакцию милиционеров. Оперативники, прибывшие на помощь, расстреливают Афанасия, сохранив жизнь Марине. Разоблачённая перед соседями Василина топится в ванне. Практичный следователь Николай обсуждает с женой Галиной, возникшую возможность закрепления старухиной комнаты за ними. Под окнами дома возле трупа Афанасия собрались люди, и подоспевший друг Афанасия Жора, освобожденный из заключения, взывает: «Похороним по-божески страдальца Афанасия безвинно пострадавшего!»</t>
        </is>
      </c>
      <c r="L7216" s="2" t="inlineStr">
        <is>
          <t>https://gosfilmofond.ru/films/232398/</t>
        </is>
      </c>
      <c r="M7216" s="2">
        <f>HYPERLINK("https://ru.wikipedia.org/w/index.php?search=%D0%9D%D0%BE%D1%87%D1%8C%20%D1%81%D0%B0%D0%BC%D0%BE%D1%83%D0%B1%D0%B8%D0%B9%D1%86%D1%8B%201991%20%D1%84%D0%B8%D0%BB%D1%8C%D0%BC","искать")</f>
        <v/>
      </c>
      <c r="N7216" s="3" t="n"/>
      <c r="O7216" s="2" t="n"/>
      <c r="P7216" s="2" t="n"/>
    </row>
    <row r="7217">
      <c r="A7217" s="2" t="n">
        <v>7216</v>
      </c>
      <c r="B7217" s="2" t="inlineStr"/>
      <c r="C7217" s="2" t="n">
        <v>9668</v>
      </c>
      <c r="D7217" s="3" t="inlineStr">
        <is>
          <t>Спутник планеты Уран</t>
        </is>
      </c>
      <c r="E7217" s="2" t="n">
        <v>1990</v>
      </c>
      <c r="F7217" s="2" t="inlineStr">
        <is>
          <t>кинофильм</t>
        </is>
      </c>
      <c r="G7217" s="2" t="n"/>
      <c r="H7217" s="2" t="n">
        <v>3186</v>
      </c>
      <c r="I7217" s="2" t="inlineStr"/>
      <c r="J7217" s="2" t="inlineStr"/>
      <c r="K7217" s="3" t="inlineStr">
        <is>
          <t>В Индии, в тайной школе «Дандарат» детей, от которых избавились по каким-то причинам взрослые, воспитывают, подвергая тяжелым физическим и душевным испытаниям, закаляя их характер и внушая, что дух властвует над телом. Здесь же вырос Искандер, которого забрали у матери младенцем. Доктор Хаид проводит с Искандером опыты по левитации и добивается того, что юноша может не только подниматься вверх, преодолевая притяжение Земли, но и передвигаться по воздуху. Об успешных опытах доктора узнают на Западе, и в Индию приезжает делегация деловых людей, в их числе Штерн, функционер военно-промышленного комплекса. Он хочет, чтобы обучение левитации людей было поставлено на поток для военных целей. Но Хаид отказывается это делать, ибо считает, что его разработки должны служить миру и добру, а Искандер, тот человек, кто способен нести добро, является единственным его наследником. Доктор передает молодому человеку несколько пластин со своим завещанием, золотой амулет, который будет оберегать Искандера, и тайно отправляет его прочь из Дандарата. Путешествуя по Индии, юноша помогает людям. В одном из селений он встречает девушку Лолиту, которая влюбляется в прекрасного Искандера. Но его путь лежит дальше. Он попадает в дом пастора, который увидев необыкновенные возможности юноши, призывает его посвятить себя служению господу. Но из-за дочери священника Сусанны, которая вначале требует выгнать Искандера, а потом пытается его соблазнить, юноша покидает дом пастора. Ему нужна духовная близость с женщиной, которой нет с Сусанной. В своем путешествии Искандер встречается с организаторами шоу из Америки, которые предлагают ему выступать в шапито с эффектными полетами под куполом. Начинается его гастрольная жизнь по городам Америки и Европы, которая продолжается 2 года. После расторжения контракта Искандер встречает Штерна, знакомого ему по Дандарату. Тот пытается убедить юношу, что он будет служить благому делу, если будет сотрудничать с военными. Штерн внушает Искандеру, что солдаты с противоположной части планеты хотят уничтожить цивилизацию, а юноша может сыграть существенную роль в спасении планеты. Но коварный Штерн пытается использовать юношу в своих целях. Под видом спасения похищенного ребенка он организует похищение сына одного из своих конкурентов Искандером, но тот, разобравшись в обмане, отказывается от сотрудничества со Штерном. Тем временем в Индии умирает доктор Хаид. Искандер читает завещание учителя, в котором тот пишет, что спасение и последний выбор человечества в совместной работе русских и американцев в освоении космоса. Искандер вступает в отряд космонавтов. Перед полетом он едет на родину предков в Самарканд, где его встречает Лолита с маленькой девочкой. Он не знает, что это его дочь, но девочка так страстно мечтает, чтобы к ней вернулся её отец, что Искандер, проникшийся любовью к ребенку, одевает ей на шею свой талисман, доставшийся ему от учителя. Попрощавшись с Лолитой и её дочкой, он отправляется в Россию. Искандер в скафандре космонавта стоит вместе с другими исследователями космоса в ожидании полета к планете Уран. Корабль взлетает в небо, и тысячи людей смотрят ему вслед, а его маленькая дочь шепчет: «Вернись, вернись!»</t>
        </is>
      </c>
      <c r="L7217" s="2" t="inlineStr">
        <is>
          <t>https://gosfilmofond.ru/films/276979/</t>
        </is>
      </c>
      <c r="M7217" s="2">
        <f>HYPERLINK("https://ru.wikipedia.org/w/index.php?search=%D0%A1%D0%BF%D1%83%D1%82%D0%BD%D0%B8%D0%BA%20%D0%BF%D0%BB%D0%B0%D0%BD%D0%B5%D1%82%D1%8B%20%D0%A3%D1%80%D0%B0%D0%BD%201990%20%D1%84%D0%B8%D0%BB%D1%8C%D0%BC","искать")</f>
        <v/>
      </c>
      <c r="N7217" s="3" t="n"/>
      <c r="O7217" s="2" t="n"/>
      <c r="P7217" s="2" t="n"/>
    </row>
    <row r="7218">
      <c r="A7218" s="2" t="n">
        <v>7217</v>
      </c>
      <c r="B7218" s="2" t="inlineStr"/>
      <c r="C7218" s="2" t="n">
        <v>7203</v>
      </c>
      <c r="D7218" s="3" t="inlineStr">
        <is>
          <t>Алло, Варшава!</t>
        </is>
      </c>
      <c r="E7218" s="2" t="n">
        <v>1971</v>
      </c>
      <c r="F7218" s="2" t="inlineStr">
        <is>
          <t>телефильм</t>
        </is>
      </c>
      <c r="G7218" s="2" t="inlineStr">
        <is>
          <t>Свердловская к/с</t>
        </is>
      </c>
      <c r="H7218" s="2" t="n">
        <v>3205</v>
      </c>
      <c r="I7218" s="2" t="inlineStr"/>
      <c r="J7218" s="2" t="inlineStr"/>
      <c r="K7218" s="3" t="inlineStr">
        <is>
          <t>На Интервидении в Варшаве готовятся подвести итоги конкурса «Людвиг на кухне», победителю которого присваивается звание «Короля кухни». Проводит конкурс газета «Добрый вечер», а ведёт передачу заместитель главного редактора газеты Стефан Скавронский. Все конкурсанты — мужчины, они демонстрируют свои способности в домашней работе и умение обходиться без помощи женщин: стирать, гладить, гулять с ребёнком, готовить. Жюри покоряет молодой врач Анджей Вишневский, особенно им понравился его торт «Русская сказка». Анджея венчают короной «Людвиг-71». Когда журналисты после награждения берут у Анджея интервью, то выясняют, что он родом с Украины, настоящее его имя Андрей, и он потерял всех родственников в самом конце войны. Анджей ребёнком попал в Польшу из Советского Союза и там у него осталась родная сестра Маша, которую он никак не может найти.
Специальный корреспондент Рената даёт обещание разыскать Машу и по заданию редакции едет в Москву. Молодые люди, Анджей и Рената, с самого начала симпатизируют друг другу.
Вскоре Рената звонит из Москвы и сообщает Анджею, что его сестра Маша нашлась, она москвичка, инженер и всё готово к встрече. В Москву Анджея сопровождает зам.редактора Стефан. В самолёте пан Стефан рассказывает, что они с Ренатой собираются пожениться.
История о воссоединении брата и сестры после долгих лет разлуки заинтересовала и московских телевизионщиков. Встречу в аэропорту Анджея и Маши снимают, но в телестудии выясняется, что на самом деле они чужие. Правда, теперь о том, что Анджей ищет сестру, узнали все советские телезрители.
Режиссёр Кашкин, ответственный за выпуск материала в эфир, сбился с ног, едва поспевая за прибывающими в столицу со всей страны всё новыми кандидатами в «сёстры». По имеющимся скудным данным удалось найти несколько женщин, уверенных в том, что Анджей их брат. География обширна — Заполярье, Грузия, Одесса. Но на каждой новой встрече выясняется ошибка. Только жизнерадостной Маше из Одессы удаётся убедить Анджея в родстве. Во всяком случае, все собираются теперь лететь туда. Особенно это нравится режиссёру Кашкину, тоже одесситу.
Между тем, Рената даёт понять Стефану, что не любит его. Но он упрашивает её солгать его бывшей жене, которая преследует его в Москве, что они с Ренатой — пара. Разочарованный Анджей становится очень холоден с Ренатой. Рената чувствует себя обиженной и собирается в Варшаву, так и не доведя дело до конца. Стефан пытается её остановить, ведь только что звонил из Варшавы главный редактор их газеты, он ждёт от них из СССР четыре подвала (статья, размещённая во всех колонках нижней части полосы газеты) и множество фотографий. Стефану приходится признаться Анджею, что его с Ренатой ничего не связывает, а все разговоры о его, Стефана с Ренатой, предстоящей женитьбе — фантазия.
В гостинице, где остановился Анджей, появляется стюардесса из самолёта, на котором он прилетел в Москву. Стюардесса тоже Маша и ищет брата. Эта девушка готова назвать особую примету Андрюши: шрам от падения с яблони за левым ухом. Стюардесса Маша помогает Анджею вспомнить другие подробности детства, так что он, в конце концов, называет даже старый домашний адрес. Теперь все точно уверены, что брат и сестра нашли друг друга.</t>
        </is>
      </c>
      <c r="L7218" s="2" t="inlineStr">
        <is>
          <t>https://ru.wikipedia.org/w/index.php?title=%D0%90%D0%BB%D0%BB%D0%BE%2C_%D0%92%D0%B0%D1%80%D1%88%D0%B0%D0%B2%D0%B0%21&amp;oldid=153288621</t>
        </is>
      </c>
      <c r="M7218" s="2">
        <f>HYPERLINK("https://ru.wikipedia.org/w/index.php?search=%D0%90%D0%BB%D0%BB%D0%BE%2C%20%D0%92%D0%B0%D1%80%D1%88%D0%B0%D0%B2%D0%B0%21%201971%20%D1%84%D0%B8%D0%BB%D1%8C%D0%BC","искать")</f>
        <v/>
      </c>
      <c r="N7218" s="3" t="n"/>
      <c r="O7218" s="2" t="n"/>
      <c r="P7218" s="2" t="n"/>
    </row>
    <row r="7219">
      <c r="A7219" s="2" t="n">
        <v>7218</v>
      </c>
      <c r="B7219" s="2" t="inlineStr"/>
      <c r="C7219" s="2" t="n">
        <v>9723</v>
      </c>
      <c r="D7219" s="3" t="inlineStr">
        <is>
          <t>Фирма приключений</t>
        </is>
      </c>
      <c r="E7219" s="2" t="n">
        <v>1991</v>
      </c>
      <c r="F7219" s="2" t="inlineStr">
        <is>
          <t>кинофильм</t>
        </is>
      </c>
      <c r="G7219" s="2" t="n"/>
      <c r="H7219" s="2" t="n">
        <v>3212</v>
      </c>
      <c r="I7219" s="2" t="inlineStr"/>
      <c r="J7219" s="2" t="inlineStr"/>
      <c r="K7219" s="3" t="inlineStr">
        <is>
          <t>Комиссар полиции Гард приезжает на место преступления, где в квартире найден труп антиквара с простреленной головой. Двери и окна закрыты изнутри, следов ограбления нет, но, по заявлению сына погибшего, пропали крупная сумма денег и набор дорогих китайских скульптурок, купленных накануне. Специалисты криминальной полиции предполагают, что при проникновении в квартиру использовали мощный магнит, который может позволить себе иметь единственная в городе организация – Институт перспективных проблем. Это одна из самых закрытых организаций, которой руководит ученый, игрок, миллионер и самый молодой адмирал Дарон. Чтобы понять, каким образом институт может быть связан с убийством антиквара, комиссар ищет в своей базе другие преступления, совершенные при помощи оригинальных технических решений. Таких преступлений было девятнадцать в течение последних лет, и все преступники исчезали после преступления. Последний из них исчез на следующий день после убийства антиквара. Все его счета были оплачены некоей организацией «Фирма приключений», которая давно была на подозрении у полиции. Гард отправляется в фирму приключений, знакомится с её директором Хартеном. Комиссар хочет выяснить, был ли клиентом фирмы некий Аль Пачино, который подозревается в убийстве антиквара. Хартен подтверждает, что этот человек купил у них приключение без гарантии и погиб 3 дня назад. Выясняется, что лишь один из 19-ти человек, купивших в фирме приключение без гарантии, выжил. Это Барроу Мэстел, но он не числится в списках криминальной полиции. После приключения он находится в невменяемом состоянии, и полицейские могут только лишь фиксировать его индивидуальные приметы для индентификации личности. Как только Барроу заинтересовалась полиция, его убивают. На комиссара полиции совершается покушение, но он убивает нападавшего. Гард понимает, что «Фирма приключений» - верхушка айсберга, в основании которого Институт перспективных проблем Дарона. Комиссар встречается с адмиралом и обещает докопаться до дна айсберга и выяснить причастность организации к преступлениям. Вскоре происходит целая серия изощрённых убийств людей, которые казалось бы никак не связаны с криминальным миром, но на лице каждого из них имеются следы пластических операций. Гард предполагает, что это преступники, которые пройдя через фирму приключений, получают другую «чистую» жизнь. Комиссар обращается к главе преступной группировки города за помощью. Он приносит ему папку со всеми приметами погибших людей. Обнаруживается, что по приметам все они – бывшие члены этой группировки, исключённые из неё ранее. Главу группировки и его помощника, оказавших содействие полиции, убивают. На прямой контакт с комиссаром выходит адмирал Дарон. Он предупреждает полицейского, что его институт не по зубам полиции, так как за ним стоит армия и политика, а уничтоженные преступники всего лишь – участники научных экспериментов. Гард добивается шумного судебного процесса, но на нём убивают свидетеля, который был готов прилюдно разоблачить преступную деятельность адмирала, и процесс прерывается. Дарел заявляет комиссару, что он проиграл. Но Гард не намерен отступать, ведь остался последний участник и свидетель преступлений, которого ещё предстоит найти.</t>
        </is>
      </c>
      <c r="L7219" s="2" t="inlineStr">
        <is>
          <t>https://gosfilmofond.ru/films/232545/</t>
        </is>
      </c>
      <c r="M7219" s="2">
        <f>HYPERLINK("https://ru.wikipedia.org/w/index.php?search=%D0%A4%D0%B8%D1%80%D0%BC%D0%B0%20%D0%BF%D1%80%D0%B8%D0%BA%D0%BB%D1%8E%D1%87%D0%B5%D0%BD%D0%B8%D0%B9%201991%20%D1%84%D0%B8%D0%BB%D1%8C%D0%BC","искать")</f>
        <v/>
      </c>
      <c r="N7219" s="3" t="n"/>
      <c r="O7219" s="2" t="n"/>
      <c r="P7219" s="2" t="n"/>
    </row>
    <row r="7220">
      <c r="A7220" s="2" t="n">
        <v>7219</v>
      </c>
      <c r="B7220" s="2" t="inlineStr"/>
      <c r="C7220" s="2" t="n">
        <v>9738</v>
      </c>
      <c r="D7220" s="3" t="inlineStr">
        <is>
          <t>Цареубийца</t>
        </is>
      </c>
      <c r="E7220" s="2" t="n">
        <v>1991</v>
      </c>
      <c r="F7220" s="2" t="inlineStr">
        <is>
          <t>кинофильм</t>
        </is>
      </c>
      <c r="G7220" s="2" t="n"/>
      <c r="H7220" s="2" t="n">
        <v>3218</v>
      </c>
      <c r="I7220" s="2" t="inlineStr"/>
      <c r="J7220" s="2" t="inlineStr"/>
      <c r="K7220" s="3" t="inlineStr">
        <is>
          <t>Врач-психиатр Смирнов приехал из Москвы в провинциальный город, чтобы заменить уходящего на пенсию главврача местной психиатрической клиники Александра Егоровича. Один из давних пациентов клиники Тимофеев страдает раздвоением личности и в периоды обострения отождествляет себя с убийцами российских императоров Александра II и Николая II. Новый главврач поражён тем, что пациент приводит такие подробности из жизни цареубийц, которые ему просто не могут быть известны. Мало того, в строго определённые дни у Тимофеева проявляются те же телесные повреждения, которые были у цареубийц, — шрамы с кровоподтёками на шее, как у убийцы Александра II, которому отрезали голову, и признаки прободной язвы желудка, как у Юровского, убийцы Николая II.
Смирнов начинает активно заниматься необычным пациентом. Он планирует в процессе бесед провести с Тимофеевым нечто вроде шоковой терапии: начать с ним общаться от имени Николая II, а потом показать ему, что он — просто его врач, и, таким образом, убедить Тимофеева, что и он не является тем, кем себя воображает. Предшественник Смирнова пытается его отговорить, замечая, что «в сознании человека существуют такие вещи, которых лучше никому никогда не касаться», но новый врач приступает к осуществлению своего замысла.
Сначала всё идёт так, как планировал Смирнов: Тимофеев безоговорочно верит, что общается с Николаем II. Однако вскоре ситуация выходит из-под контроля врача: он невольно начинает идентифицировать себя с последним русским императором и однажды даже обнаруживает у себя на голове кровоточащую рану, которая бесследно исчезает через сутки; он не знает, что у Николая II на том же месте был шрам от сабельного удара, полученного им во время путешествия по Японии. Александр Егорович, понимая, что с коллегой происходит что-то неладное, снова пытается отговорить Смирнова от дальнейшей работы с Тимофеевым, но тот неожиданно говорит: «Я хочу понять, почему именно этот человек меня убил». Тимофеев-Юровский также пытается понять, почему это убийство выпало именно ему.
В последующих беседах Смирнов и Тимофеев рассказывают друг другу об обстоятельствах тех дней, делятся мыслями и переживаниями. Смирнов-Николай начинает понимать, что сын старьёвщика Яков Юровский не был ни хладнокровным палачом, ни «избранным» — он был лишь винтиком в машине русской революции. Ленин при встрече с ним, прекрасно зная, что совершил Юровский («мы с ним это сделали вдвоём, я и он»), к удивлению последнего, ни словом не обмолвился об обстоятельствах казни, совершённой по его прямому указанию («я всё ждал… но ни слова, ни даже намёка, ничего»). Постепенно и Юровский осознаёт, что на самом деле он — лишь что-то вроде пружинки в нагане, которая сработала, когда он нажимал на курок, направляя ствол в сердце российского императора. Умирая через 20 лет в элитной палате клиники Грановского, Юровский понял, что, несмотря на совершённое им историческое злодеяние, он как был «никем и ничем», так им и остался.
После очередной беседы с Тимофеевым, в которой тот наконец описывает подробности дня казни, Смирнов едет в Свердловск, посещает место, на котором стоял дом инженера Ипатьева — место последнего заточения и убийства царской семьи, — и ночью умирает в гостиничном номере.</t>
        </is>
      </c>
      <c r="L7220" s="2" t="inlineStr">
        <is>
          <t>https://ru.wikipedia.org/w/index.php?title=%D0%A6%D0%B0%D1%80%D0%B5%D1%83%D0%B1%D0%B8%D0%B9%D1%86%D0%B0_%28%D1%84%D0%B8%D0%BB%D1%8C%D0%BC%29&amp;oldid=154827137</t>
        </is>
      </c>
      <c r="M7220" s="2">
        <f>HYPERLINK("https://ru.wikipedia.org/w/index.php?search=%D0%A6%D0%B0%D1%80%D0%B5%D1%83%D0%B1%D0%B8%D0%B9%D1%86%D0%B0%201991%20%D1%84%D0%B8%D0%BB%D1%8C%D0%BC","искать")</f>
        <v/>
      </c>
      <c r="N7220" s="3" t="n"/>
      <c r="O7220" s="2" t="n"/>
      <c r="P7220" s="2" t="n"/>
    </row>
    <row r="7221">
      <c r="A7221" s="2" t="n">
        <v>7220</v>
      </c>
      <c r="B7221" s="2" t="inlineStr"/>
      <c r="C7221" s="2" t="n">
        <v>9083</v>
      </c>
      <c r="D7221" s="3" t="inlineStr">
        <is>
          <t>Сыщик петербургской полиции</t>
        </is>
      </c>
      <c r="E7221" s="2" t="n">
        <v>1991</v>
      </c>
      <c r="F7221" s="2" t="inlineStr">
        <is>
          <t>кинофильм</t>
        </is>
      </c>
      <c r="G7221" s="2" t="inlineStr">
        <is>
          <t>Свердловская к/с</t>
        </is>
      </c>
      <c r="H7221" s="2" t="n">
        <v>3222</v>
      </c>
      <c r="I7221" s="2" t="inlineStr"/>
      <c r="J7221" s="2" t="inlineStr"/>
      <c r="K7221" s="3" t="inlineStr">
        <is>
          <t>Весна 1871 года. В Санкт-Петербурге убит австрийский военный атташе. Расследование преступления поручают начальнику сыскной полиции Ивану Дмитриевичу Путилину. По высочайшему распоряжению расследование должно быть закончено к вечеру. Путилин с помощниками осматривают апартаменты убитого. В спальне все вещи перевернуты. Была попытка вскрыть сундук с драгоценностями, деньгами и акциями. Путилин передает ключ от него в австрийское посольство. Атташе-князь был игроком, любителем женщин, но прижимистым человеком. Он уволил камердинера Федора, который верно служил ему долгое время, за то, что тот спьяну разбил сервиз хозяина и испортил фрак. Сыщик предположил, что убийство может быть местью за увольнение. Когда пришли за Федором, оказалось, что он задушен, а в руке у него зажата иностранная золотая монета. В кабаке, где слуга был перед убийством, рассказали, что Федор был с каким-то мужиком и кричал, что барин должен ему десять рублей. Начальство торопило Путилина выдать результат расследования и предложило свалить вину за преступление на болгарского студента, у которого, как выяснили в полиции, должна была состояться встреча с атташе. Его, якобы, послали враги России, чтобы испортить отношения России и Австрии. Студента помещают в кутузку, а дело принимает неожиданный поворот. В квартиру атташе является госпожа Стрекалина. Она сообщает, что с князем Людвигом у неё были близкие отношения, и она догадывается, кто его убил. Людвиг был хорошим человеком, но всего боялся. Посол Австрии Ходак следил за ним, подставлял и компрометировал при случае, боялся, что князь займет его место. Екатерина Стрекалина заявляет, что убийца князя – посол Австрии. Муж Стрекалиной, который души в ней не чает, знал о её связи с австрийцем. Он боялся, что её арестуют, как причастную к убийству, и явился в полицию сам с признанием, что это он убил князя. Студент, которого допрашивают об обстоятельствах убийства, дает показания, полностью расходящиеся с фактами, и его отпускают, а мужа Екатерины отправляют в камеру. Стрекалина раскаивается, что изменяла мужу, и проводит ночь под окнами его камеры. Путилин просит посла объясниться. Тот подтверждает, что собирался расправиться с князем руками ревнивого супруга Стрекалиной и послал ему письмо с предложением, но оно не было доставлено вовремя. Помог осуществить убийство бывший слуга атташе Федор. Посол признался, что ненавидел князя, потому что тот стал похож на русского варвара: пил, тащился за женщинами, играл в карты. Чтобы не затевать международный скандал, помощник Путилина, ротмистр, предложил свалить вину на Стрекалина так как в материалах дела было письмо посла Стрекалину. Путилин уничтожил это письмо, и невиновного Стрекалина выпустили на свободу. Вечером кем-то была устроена авария кареты, в которой ехал посол, и у него пропал ключ от сундука князя. Ночью был убит новый камердинер атташе и сундук был похищен. Это было дело рук ротмистра, который ограбил квартиру убитого атташе и скрылся. За это Путилин был разжалован и отправлен служить на Сенной рынок, где начинал карьеру в полиции. Через некоторое время Путилина вновь назначили начальником сыскной полиции Санкт-Петербурга. Видно в ведомстве был дефицит честных людей, преданных своему делу.</t>
        </is>
      </c>
      <c r="L7221" s="2" t="inlineStr">
        <is>
          <t>https://gosfilmofond.ru/films/232512/</t>
        </is>
      </c>
      <c r="M7221" s="2">
        <f>HYPERLINK("https://ru.wikipedia.org/w/index.php?search=%D0%A1%D1%8B%D1%89%D0%B8%D0%BA%20%D0%BF%D0%B5%D1%82%D0%B5%D1%80%D0%B1%D1%83%D1%80%D0%B3%D1%81%D0%BA%D0%BE%D0%B9%20%D0%BF%D0%BE%D0%BB%D0%B8%D1%86%D0%B8%D0%B8%201991%20%D1%84%D0%B8%D0%BB%D1%8C%D0%BC","искать")</f>
        <v/>
      </c>
      <c r="N7221" s="3" t="n"/>
      <c r="O7221" s="2" t="n"/>
      <c r="P7221" s="2" t="n"/>
    </row>
    <row r="7222">
      <c r="A7222" s="2" t="n">
        <v>7221</v>
      </c>
      <c r="B7222" s="2" t="inlineStr"/>
      <c r="C7222" s="2" t="n">
        <v>9131</v>
      </c>
      <c r="D7222" s="3" t="inlineStr">
        <is>
          <t>Униженные и оскорблённые</t>
        </is>
      </c>
      <c r="E7222" s="2" t="n">
        <v>1990</v>
      </c>
      <c r="F7222" s="2" t="inlineStr">
        <is>
          <t>кинофильм</t>
        </is>
      </c>
      <c r="G7222" s="2" t="n"/>
      <c r="H7222" s="2" t="n">
        <v>3233</v>
      </c>
      <c r="I7222" s="2" t="inlineStr"/>
      <c r="J7222" s="2" t="inlineStr"/>
      <c r="K7222" s="3" t="inlineStr">
        <is>
          <t>Действие фильма происходит в Санкт-Петербурге. Повествование ведётся от лица начинающего литератора Ивана Петровича (Вани), приёмного сына в семье Ихме́невых. Наташа Ихменева влюблена в Алёшу Валковского, отец которого находится в конфликте с её отцом. Ранее отец Наташи, Николай Ихменев, работал управляющим у князя Валковского, однако тот необоснованно обвинил его в хищениях. В суде князь Валковский выиграл дело, добившись того, что Ихменев был признан виновным. Николай Ихменев был вынужден выплатить 10 тысяч рублей, в результате его семья оказывается в крайней бедности.
Отношения Алёши Валковского и Наташи построены так, что он одновременно встречается с дочерью богатого купца Катей, при этом Наташа знает об этом. Алёша Валковский, слабохарактерный и легкомысленный молодой человек, искренне любит Наташу. Князь Валковский заинтересован в женитьбе сына на Кате (речь идёт о 3-х миллионах приданого). Наташа уходит из дома родителей, чтобы жить в квартире, снятой для неё Алёшей. Отец Наташи болезненно воспринимает её уход к сыну своего врага, считая это позором, и проклинает дочь. Сам Иван, который влюблён в Наташу, помогает им и часто навещает Наташу, бывая свидетелем их встреч.
Иван живёт в небольшой квартире на чердаке, которую ранее снимал умерший недавно старик. В один из дней к нему приходит оборванная 12-летняя девочка, которая ищет дедушку. После её повторного прихода Иван незаметно следует за ней, узнав, что Лена является сиротой, которая после смерти матери живёт у некой Бубновой — хозяйки многоквартирного дома, где они снимали комнату. Бубнова оскорбляет и избивает девочку, доводя её до припадка. Иван пытается вмешаться, но его прогоняет дворник. На улице Иван встречает старого знакомого Маслобоева, который является частным сыщиком. Маслобоев знает о Бубновой и сообщает, что та приютила девочку с неблаговидными целями. Вечером Маслобоев и Иван приходят домой к Бубновой, которая пыталась использовать девочку, продавая её как проститутку. Маслобоев задерживает клиента девочки, Иван поселяет её у себя. Лена просит называть её Нелли, как называла её мать. По словам врача, у Нелли больное сердце, и она скоро умрёт.
Неожиданно князь посещает Алёшу с Наташей, давая им разрешение жениться. Однако он сделал это с расчётом на то, что затем Алёша ближе сойдётся с Катей. Постепенно Наташа догадывается о лицемерии князя. Иван узнаёт от Маслобоева эпизод из жизни князя. Несколько лет назад тот соблазнил дочь коммерсанта, уговорив её бежать с ним и выкрасть ценные бумаги отца. Её отец разорился, а Валковский под надуманным предлогом бросил беременную девушку. Вскоре князь приглашает Ивана в ресторан, где во время беседы раскрывает своё истинное лицо. Он предстаёт беспринципным и коварным человеком, издеваясь над чувствами сына и Наташи, а также предлагая деньги Ивану, чтобы тот сам женился на ней.
Князь Валковский вынуждает Алёшу сопровождать Катю во время поездки в деревню. Наташа чувствует, что Алёша склоняется к женитьбе на Кате. Отвергнутая отцом и потерявшая любимого, она глубоко переживает. С помощью Нелли Иван уговаривает Николая Ихменева простить Наташу. В финале фильма Нелли умирает. Перед смертью она просит передать князю Валковскому, что его дочь умерла и не простила его.</t>
        </is>
      </c>
      <c r="L7222" s="2" t="inlineStr">
        <is>
          <t>https://ru.wikipedia.org/w/index.php?title=%D0%A3%D0%BD%D0%B8%D0%B6%D0%B5%D0%BD%D0%BD%D1%8B%D0%B5_%D0%B8_%D0%BE%D1%81%D0%BA%D0%BE%D1%80%D0%B1%D0%BB%D1%91%D0%BD%D0%BD%D1%8B%D0%B5_%28%D1%84%D0%B8%D0%BB%D1%8C%D0%BC%2C_1991%29&amp;oldid=150568323</t>
        </is>
      </c>
      <c r="M7222" s="2">
        <f>HYPERLINK("https://ru.wikipedia.org/w/index.php?search=%D0%A3%D0%BD%D0%B8%D0%B6%D0%B5%D0%BD%D0%BD%D1%8B%D0%B5%20%D0%B8%20%D0%BE%D1%81%D0%BA%D0%BE%D1%80%D0%B1%D0%BB%D1%91%D0%BD%D0%BD%D1%8B%D0%B5%201990%20%D1%84%D0%B8%D0%BB%D1%8C%D0%BC","искать")</f>
        <v/>
      </c>
      <c r="N7222" s="3" t="n"/>
      <c r="O7222" s="2" t="n"/>
      <c r="P7222" s="2" t="n"/>
    </row>
    <row r="7223">
      <c r="A7223" s="2" t="n">
        <v>7222</v>
      </c>
      <c r="B7223" s="2" t="inlineStr"/>
      <c r="C7223" s="2" t="n">
        <v>8392</v>
      </c>
      <c r="D7223" s="3" t="inlineStr">
        <is>
          <t>Стакан воды</t>
        </is>
      </c>
      <c r="E7223" s="2" t="n">
        <v>1979</v>
      </c>
      <c r="F7223" s="2" t="inlineStr">
        <is>
          <t>телефильм</t>
        </is>
      </c>
      <c r="G7223" s="2" t="inlineStr">
        <is>
          <t>Киностудия «Мосфильм»; Творческое объединение телевизионных фильмов</t>
        </is>
      </c>
      <c r="H7223" s="2" t="n">
        <v>3294</v>
      </c>
      <c r="I7223" s="2" t="inlineStr"/>
      <c r="J7223" s="2" t="inlineStr"/>
      <c r="K7223" s="3" t="inlineStr">
        <is>
          <t>Начало XVIII века, Англия (точнее Великобритания) в союзе с Австрией ведёт долгую и разорительную войну против Франции.
Двор королевы Анны Стюарт на самом деле полностью под контролем её давней подруги — Сары Черчилль, герцогини Мальборо, первой статс-дамы. При дворе разворачивается яростная политическая борьба двух партий: герцогиня Мальборо, отстаивая интересы вигов, стремится продолжить войну до победного конца, что крайне выгодно лично герцогине ещё и потому, что руководит военными действиями её муж — герцог Мальборо, а убеждённый тори лорд Болингброк убеждён, что войну, влекущую бесконечные жертвы и совершенно расстроившую финансы Англии, необходимо как можно скорее прекратить и начать мирные переговоры. В Лондон, чтобы передать от Людовика XIV письмо королеве Анне, прибывает старый друг лорда Болингброка, маркиз де Торси.
Королева Анна, как и её двор, полностью подчинена воле герцогини Мальборо. Кажется, ничто не способно пошатнуть власть всесильной первой статс-дамы, а значит, у Болингброка нет никаких шансов добиться мирных переговоров.
Знакомый Болингброка, офицер королевской гвардии, влюблён в обедневшую дворянку Абигайль Черчилль, вынужденную служить в ювелирной лавке Томвуда. Молодые люди собираются пожениться, но их счастью мешают роковые случайности: то Мэшем вынужден принять участие в дуэли с неким дворянином и закалывает его, а потом выясняется, что убитый «Щелкун», оскорбивший капитана, был кузеном лорда Болингброка, то Абигайль сначала получает приглашение королевы, инкогнито посетившей ювелира, служить при дворе, но потом теряет эту возможность из-за интриг герцогини, не желающей допускать к королеве не своих людей.
Однако благодаря сэру Генри дела молодых людей всё-таки устраиваются. Лорд узнаёт, что тайный покровитель Мэшема, помогающий ему в продвижении по службе и присылающий дорогие подарки, не кто иной, как сама герцогиня Мальборо. Болингброк прибегает к тонкому шантажу и в обмен на письмо к Мэшему, написанное рукой всесильной Сары Черчилль, получает место в штате королевы для Абигайль.
Королева, отстранённая герцогиней от реальных дел и проводящая свои дни за исполнением придворных ритуалов, откровенно скучает. Она упивается романами и грезит о любви. Своей новой наперснице, Абигайль, она признаётся, что её мысли занимает один юный офицер охраны. Им оказывается Артур Мэшем, о помолвке которого с Абигайль никто не знает.
Абигайль в смятении бросается за помощью к лорду Болингброку.
Лорд Болингброк, искушённый политик и опытный интриган, мгновенно понимает, что наконец-то обрёл рычаг для приложения собственных замыслов. Теперь он знает, как рассорить королеву и герцогиню. Осталось только найти подходящий момент, чтобы запустить интригу в действие. И таким моментом должна стать просьба королевы подать ей стакан воды.
Дальнейшие события развиваются стремительно. Лорд Болингброк достигает всех поставленных целей. Герцогиня впадает в немилость, и отстраняется от власти. Правительство, как лидер оппозиции, возглавляет сам Болингброк. Сердца влюблённых Абигайль и Артура, наконец, соединяются, а с Артура снимается обвинение в убийстве, начинаются переговоры о заключении долгожданного мира. Только королева Анна, оказавшись под гнётом политики и придворного политеса, навсегда теряет свою любовь и остаётся в одиночестве.</t>
        </is>
      </c>
      <c r="L7223" s="2" t="inlineStr">
        <is>
          <t>https://ru.wikipedia.org/w/index.php?title=%D0%A1%D1%82%D0%B0%D0%BA%D0%B0%D0%BD_%D0%B2%D0%BE%D0%B4%D1%8B_%28%D1%84%D0%B8%D0%BB%D1%8C%D0%BC%2C_1979%29&amp;oldid=152532860</t>
        </is>
      </c>
      <c r="M7223" s="2">
        <f>HYPERLINK("https://ru.wikipedia.org/w/index.php?search=%D0%A1%D1%82%D0%B0%D0%BA%D0%B0%D0%BD%20%D0%B2%D0%BE%D0%B4%D1%8B%201979%20%D1%84%D0%B8%D0%BB%D1%8C%D0%BC","искать")</f>
        <v/>
      </c>
      <c r="N7223" s="3" t="n"/>
      <c r="O7223" s="2" t="n"/>
      <c r="P7223" s="2" t="n"/>
    </row>
    <row r="7224">
      <c r="A7224" s="2" t="n">
        <v>7223</v>
      </c>
      <c r="B7224" s="2" t="inlineStr"/>
      <c r="C7224" s="2" t="n">
        <v>11468</v>
      </c>
      <c r="D7224" s="3" t="inlineStr">
        <is>
          <t>Шпионские страсти</t>
        </is>
      </c>
      <c r="E7224" s="2" t="n">
        <v>1967</v>
      </c>
      <c r="F7224" s="2" t="inlineStr">
        <is>
          <t>мультфильм</t>
        </is>
      </c>
      <c r="G7224" s="2" t="inlineStr">
        <is>
          <t>Союзмультфильм</t>
        </is>
      </c>
      <c r="H7224" s="2" t="n">
        <v>3306</v>
      </c>
      <c r="I7224" s="2" t="inlineStr"/>
      <c r="J7224" s="2" t="inlineStr"/>
      <c r="K7224" s="3" t="inlineStr">
        <is>
          <t>1-я серияШеф одной иностранной разведки Штампф, мучается зубной болью. Узнав о создании в СССР чудесного зубоврачебного кресла, он разрабатывает план похищения этого кресла.В СССР узнают о планах шпионов еще до начала их выполнения. Генерал Сидорцев для выполнения задания по разоблачению шпионов вызывает полковника Сидорова, тот капитана Сидорина и лейтенанта Сидоркина.За шпионом начинается слежка прямо с момента его высадки в ЦПКиО им. М.Горького. Обнаружены его контакты с резидентами разведки и передача ему взрывного устройства. Со стадиона шпион убегает, взяв такси, где за рулем был потомственный шофер Колычев. Погоня продолжается на крыше дома, на гоночном автомобиле, на поезде и на самолете. Везде где только можно шпион находится под колпаком наших спецслужб.В конце концов ему удается спрятаться в павильоне «Пиво – воды» и передать коробку со взрывчаткой другому агенту.2-я серияВольдемар Колычев, сын шофера Колычева, но при этом стиляга и тунеядец, вытрясает с родителей последние деньги. Попав в ресторан «Зрелость» Вольдемар пытается обольстить певицу, заказывает дорогое угощение для нее, но не может оплатить счет ресторана. Певица дает ему денег взаймы, но взамен Вольдемар должен заложить взрывное устройство под зубоврачебное кресло.Вольдемар спит и мучается угрызениями совести. В конце-концов он раскаивается и сдается органам. Органы наставляют его на путь истинный, порножурнал выданный шпионами меняют на картину «Мишки в лесу», а взрывчатку меняют на конфеты.Вольдемар закладывает коробку с конфетами под кресло, резидент иностранной разведки думает что «дело в шляпе». Происходит рукопашная схватка между вражеским агентом и нашим контрразведчиком. Врагу удается оглушить контрразведчика. Ставший свидетелем этого Кука Воробьев (малышу полтора года), тут же сообщает об этом по телефону органам. Враг просчитался, машину в которую загрузили бесчувственное тело нашего разведчика, вел другой наш разведчик.Вражеского агента доставляют в кабинет полковника Сидорова. Сидоров срывает с агента все его маски, он оказывается певицей из ресторана «Зрелость». Полковник отвлекается на телефонный звонок и певица пытается отравить кефир на столе, но котенок (переодетая служебная собака по кличке Джульбарс) не дает полковнику отравиться.Входит генерал Сидорцев. Он как рентген видит все коварные замыслы противника. Именно генерал узнает время совершения взрыва и место штаба шпионов – павильон «Пиво – воды». Вражеские агенты видят, что взрыва не происходит, и что вместо взрывчатки в коробке конфеты – конфеты находит уборщица. Оба агента схвачены. Не зная о том, что план провалился за зубоврачебным креслом, через Красное море, Черное море и Пионерские пруды плывет подводная лодка. Всплыв в Пионерских прудах, шпионы обнаруживают, что план провалился. Попытка подводной лодки уплыть не удается – воду в прудах спускают.Перевоспитанный стиляга и тунеядец Вольдемар проходит мимо ресторана. Он идет в школу рабочей молодежи. На концерте классической музыки шофер Колычев исполняет соло на балалайке. В зрительном зале, в первом ряду сидят генерал Сидорцев, полковник Сидоров, капитан Сидорин, лейтенант Сидоркин, котенок Джульбарс, перевоспитанный тунеядец Вольдемар и Кука Воробьев. По сигналу о новой готовящейся диверсии все контрразведчики уезжают на пятиместном мотоцикле.</t>
        </is>
      </c>
      <c r="L7224" s="2" t="inlineStr">
        <is>
          <t>2026-10_мультфильмы_список_владельца.xlsx; https://animator.ru/db/?p=show_film&amp;fid=2239</t>
        </is>
      </c>
      <c r="M7224" s="2">
        <f>HYPERLINK("https://ru.wikipedia.org/w/index.php?search=%D0%A8%D0%BF%D0%B8%D0%BE%D0%BD%D1%81%D0%BA%D0%B8%D0%B5%20%D1%81%D1%82%D1%80%D0%B0%D1%81%D1%82%D0%B8%201967%20%D1%84%D0%B8%D0%BB%D1%8C%D0%BC","искать")</f>
        <v/>
      </c>
      <c r="N7224" s="3" t="n"/>
      <c r="O7224" s="2" t="n"/>
      <c r="P7224" s="2" t="n"/>
    </row>
    <row r="7225">
      <c r="A7225" s="2" t="n">
        <v>7224</v>
      </c>
      <c r="B7225" s="2" t="inlineStr"/>
      <c r="C7225" s="2" t="n">
        <v>9108</v>
      </c>
      <c r="D7225" s="3" t="inlineStr">
        <is>
          <t>Транти-Ванти</t>
        </is>
      </c>
      <c r="E7225" s="2" t="n">
        <v>1990</v>
      </c>
      <c r="F7225" s="2" t="inlineStr">
        <is>
          <t>кинофильм</t>
        </is>
      </c>
      <c r="G7225" s="2" t="n"/>
      <c r="H7225" s="2" t="n">
        <v>3313</v>
      </c>
      <c r="I7225" s="2" t="inlineStr"/>
      <c r="J7225" s="2" t="inlineStr"/>
      <c r="K7225" s="3" t="inlineStr">
        <is>
          <t>Вторая половина 20-го века. Россия, небольшой поселок Верхняя Курья. Два семилетних друга Егорка и Арканя в последний день лета перед школой решают вволю набегаться. Егорка Тарантин – заводила и фантазер. Вот и сегодня он дает волю воображению. Увидев идущего со стороны леса пританцовывающего на ходу паренька, он решает, что вблизи поселка приземлились инопланетяне, а этот подозрительный тип – притворившийся человеком, пришелец из космоса. В первый день в школе, пока дети изучают букву «А», Егорка сидит и воображает, как можно обойтись без этой буквы. Совсем отказаться от первой буквы алфавита не получается, но Егор изобретает смешную «иностранную» фамилию Трантин-Вантин. Заскучав на уроке, первоклассник решает, что ему нечего делать в первом классе, ведь читать он умеет, и даже знает наизусть любимого «Мцыри» Лермонтова. Поэтому, захватив с собой своего дружка и одноклассника Аркашу, он покидает класс. Выйдя из школы, мальчишки останавливаются, как вкопанные, на них смотрит с улыбкой «инопланетянин». Поняв, что ребята убежали с уроков, пришелец говорит, что он притягивает тех, кто не слушается взрослых, и ведет школяров по домам. Бабушке Егора «пришелец» представляется Костей Хохолковым. Он, студент, устроился на лето работать массовиком- затейником в местном доме отдыха, а мальчишек привел, потому что они сбежали с уроков. Егорка, конечно, не верит рассказу пришельца. Вечером первоклассник заявляет родителям и бабушке, что он собирается окончить школу за 10 дней, каждый день переходя из класса в класс. Но учительница второго класса говорит, что Егор мал ростом, и ему нужно подрасти, а потом она примет его в свой класс. Два друга возвращаются в первый класс. Когда их учительница Елена Васильевна просит детей прочитать стихотворения, Егорка с вдохновением декламирует «Мцыри», а потом с жаром доказывает, что он и есть Мцыри, родившийся во второй раз. Каких только фантазий нет в голове у мальчишек! То они воображают, что Костя Хохолков «инопланетянским» способом притянул к себе старшую сестру Аркаши Тоню, и теперь она гуляет с ним. Ребята выкрадывают пустой альбом для записей у Кости и горячим утюгом пытаются проявить тайные записи в нем. То Егорка съедает большую пачку дрожжей, чтобы быстрее вырасти, и напуганные родители срочно вызывают врача. К счастью, ситуация не опасна. Доктор предупреждает пациента, что от дрожжей сильно толстеют, и Егорка уже воображает, как он, толстяк, вваливается в класс. То мальчишки, захватив с собой одноклассницу Катю Лебедеву, уезжают без разрешения в город на автобусе, в котором замечают Костю и Тоню. Потеряв из виду парочку, они самостоятельно путешествуют по городу и в сумерках не могут найти дорогу к автобусу. Выручает ребят милиционер, который отправляет их домой. Бабушка Егорки оказывается в постели от переживаний за шаловливого внука. Егор хочет, чтобы она всегда жила и думает, что если он не будет расти, то любимая бабушка не состарится, поэтому теперь категорически не хочет расти. Бабушка объясняет внуку, что он все равно вырастет. Главное, чтобы он стал хорошим человеком. Кончается ранняя осень. Косте нужно уезжать, и он обещает Тоне, с которой у него романтические отношения, что непременно вернется следующим летом. На берегу реки сидят и смотрят на проплывающие мимо теплоходы Тоня, Егорка, Аркаша и Катя Лебедева.</t>
        </is>
      </c>
      <c r="L7225" s="2" t="inlineStr">
        <is>
          <t>https://gosfilmofond.ru/films/276962/</t>
        </is>
      </c>
      <c r="M7225" s="2">
        <f>HYPERLINK("https://ru.wikipedia.org/w/index.php?search=%D0%A2%D1%80%D0%B0%D0%BD%D1%82%D0%B8-%D0%92%D0%B0%D0%BD%D1%82%D0%B8%201990%20%D1%84%D0%B8%D0%BB%D1%8C%D0%BC","искать")</f>
        <v/>
      </c>
      <c r="N7225" s="3" t="n"/>
      <c r="O7225" s="2" t="n"/>
      <c r="P7225" s="2" t="n"/>
    </row>
    <row r="7226">
      <c r="A7226" s="2" t="n">
        <v>7225</v>
      </c>
      <c r="B7226" s="2" t="inlineStr"/>
      <c r="C7226" s="2" t="n">
        <v>9769</v>
      </c>
      <c r="D7226" s="3" t="inlineStr">
        <is>
          <t>Шоколадный бунт</t>
        </is>
      </c>
      <c r="E7226" s="2" t="n">
        <v>1990</v>
      </c>
      <c r="F7226" s="2" t="inlineStr">
        <is>
          <t>кинофильм</t>
        </is>
      </c>
      <c r="G7226" s="2" t="n"/>
      <c r="H7226" s="2" t="n">
        <v>3314</v>
      </c>
      <c r="I7226" s="2" t="inlineStr"/>
      <c r="J7226" s="2" t="inlineStr"/>
      <c r="K7226" s="3" t="inlineStr">
        <is>
          <t>В городке по соседству располагаются школа, шоколадная фабрика и старый заброшенный собор с монастырем. На практику в школу приезжает молодая учительница Евдокия Копейкина. По городу идут слухи, что скоро шоколад станет единственной пищей, а в монастыре есть тайная шоколадная комната. В школе, где она начинает работать в старшем классе, все подчинено коммерческим интересам директора. Он готовится к заключению контракта с иностранцами на строительство еще одного корпуса шоколадной фабрики и хочет стать ее совладельцем. Детей занимают репетициями, чтобы подготовить концерт для гостей и позабавить иностранцев бегом в мешках. На уроках учителя по распоряжению директора стараются внушить детям, что шоколадная фабрика – это их единственное будущее. Только старый учитель Юрий Иванович противостоит этому шоколадному безумию и заявляет, что ни он, ни ребята его класса не будут прыгать в мешках. Учитель собрал обличающие директора документы. Преданный директору учитель Зимородов, которого школьники называют Квазимода, крадет у Юрия Ивановича папку с компроматом и передает ее директору. Тот сжигает документы. Старого учителя стараются выжить из школы, но он сам пишет заявление на увольнение и уходит из школы, влепив директору пощечину. Старшеклассник Червонцев увлекается учительницей-практиканткой и начинает ухаживать за ней. В классе он держится особняком и не хочет подчиняться наглому однокласснику Свербееву, который верховодит в классе. Молодая учительница во всем поддерживает Червонца и становится на его сторону в конфликтных ситуациях в классе. Однажды директор школы узнает от Зимородова, что Евдокия – дочь прокурора, и приглашает девушку на экскурсию в здание монастыря, где обещает ей показать что-то необычное. Она принимает предложение. В монастыре Евдокию провожают в подземелье. Там она видит директора школы, одетого в сутану члена тайного общества. Девушку уговаривают выпить какой-то напиток, объясняя, что это нужно для сохранения тайны. После того, как Евдокия осушает кубок, ей показывают трон, и директор предлагает ей стать их королевой. Учительница отказывается и теряет сознание. Евдокия приходит в себя на скамье в парке, не помня о происходившем в монастыре. Она ищет сумочку, но сумочка осталась в подземелье. В краже сумочки обвиняют Червонца и ведут его на доску позора. Парня принудительно ставят на колени, и Квазимода начинает суд. Между тем в парке учительнице возвращают сумочку без объяснения. Евдокия прибегает на суд, сообщает, что сумочка нашлась, и Червонцев не виноват. Добившись освобождения парня, девушка уводит его. Червонец захватывает школьный радиоузел и объявляет по радио, что школьникам нельзя больше терпеть издевательства, творящиеся в школе, что все школьные учебники пропитаны сахаром, и их нужно выбросить. В школе начинается бунт. Директор поджигает свой кабинет, чтобы потом обвинить в поджоге детей, а на месте сгоревшей школы построить вторую очередь шоколадной фабрики, и прячется в подземелье монастыря. Школьники направляются к зданию шоколадной фабрики и забрасывают ее горящими факелами. Червонцева уже не радует бунт, к которому он призывал школьников. Парень идет к Юрию Ивановичу. Учитель успокаивает парня, что все будет хорошо. Расслабившись, Червонец грезит о встрече с Евдокией, танцует с ней в мечтах, обнимает и целует девушку.</t>
        </is>
      </c>
      <c r="L7226" s="2" t="inlineStr">
        <is>
          <t>https://gosfilmofond.ru/films/277054/</t>
        </is>
      </c>
      <c r="M7226" s="2">
        <f>HYPERLINK("https://ru.wikipedia.org/w/index.php?search=%D0%A8%D0%BE%D0%BA%D0%BE%D0%BB%D0%B0%D0%B4%D0%BD%D1%8B%D0%B9%20%D0%B1%D1%83%D0%BD%D1%82%201990%20%D1%84%D0%B8%D0%BB%D1%8C%D0%BC","искать")</f>
        <v/>
      </c>
      <c r="N7226" s="3" t="n"/>
      <c r="O7226" s="2" t="n"/>
      <c r="P7226" s="2" t="n"/>
    </row>
    <row r="7227">
      <c r="A7227" s="2" t="n">
        <v>7226</v>
      </c>
      <c r="B7227" s="2" t="inlineStr"/>
      <c r="C7227" s="2" t="n">
        <v>9617</v>
      </c>
      <c r="D7227" s="3" t="inlineStr">
        <is>
          <t>Расстанемся — пока хорошие</t>
        </is>
      </c>
      <c r="E7227" s="2" t="n">
        <v>1991</v>
      </c>
      <c r="F7227" s="2" t="inlineStr">
        <is>
          <t>кинофильм</t>
        </is>
      </c>
      <c r="G7227" s="2" t="n"/>
      <c r="H7227" s="2" t="n">
        <v>3322</v>
      </c>
      <c r="I7227" s="2" t="inlineStr"/>
      <c r="J7227" s="2" t="inlineStr"/>
      <c r="K7227" s="3" t="inlineStr">
        <is>
          <t>1-я серия. Северный Кавказ 19-го века. Княгиня Чачба хочет, чтобы её сын князь Осман стал победителем на соревнованиях джигитов. Она предлагает крестьянину Баграту, лучшему джигиту края, уступить победу князю. Ни обещанный надел земли, ни деньги не подвигают Баграта отдать первенство тому, кто его не заслужил. Талбей, который хочет взять замуж сестру Баграта, просит не губить их счастье, ведь злопамятная княгиня может отомстить семье за неповиновение. Княгиня считает, что сила Баграта в его коне Миграме. Баграт отказывается продать коня, но соглашается отдать его Осману на время, пока сам вынужден отправиться в город на заработки. Ему нужны деньги, чтобы достроить семейный дом, где он живёт с двумя сестрами, которых вырастил без родителей. Пьяница и мот Осман жестоко избивает непокорного ему коня, так что тот умирает. Баграт, вернувшись домой, требует вернуть своего любимца, а когда ему сообщают, что конь сдох, в схватке с Османом убивает сына княгини. Княгиня командует убить Баграта и сжечь его дом. Сельчане призывают людей княгини не позорить аул и не устраивать самосуд. Тогда княгиня прибегает к помощи казаков из города. Она готова дать за поимку крестьянина большие деньги. Баграта объявляют опасным преступником, и на него начинается охота. Он отправляется в горы к знакомому греку. В доме, кроме грека, живет его младший брат. Старший брат обижен на младшего за то, что родители оставили тому в наследство дом. Он жалуется судье, что младший подделал подписи на завещании. Судья обещает младшему освободить его от наказания, если он поможет схватить Баграта. Грек выдает джигита. Ночью вооруженный отряд окружает дом в горах. Баграт отстреливается. Он ранен, но ему удается уйти от преследователей.
2-ая серия. Сестра Баграта приезжает в горный аул предупредить брата, что домой ему нельзя возвращаться. Не застав брата она идет его разыскивать в горах и, оступившись, падает с обрыва. Раненого Баграта лечат старик и его дочь. Баграт узнает, что его сестру Муранду нашли мертвой в горах, а Санту взяла в заложницы княгиня. Став на ноги, он освобождает Санту и везет её к старику. Там они вчетвером мирно трудятся на земле. У дочери старика и Баграта должен появиться ребенок, и джигит берет женщину в жены. Разбойники-абреки зовут Баграта ограбить казну и бежать с ними за границу. В крае ждут вооруженный отряд из Тифлиса, который должен найти и арестовать Баграта. Узнав что он скрывается в пещере, абреки приходят туда с тайным намерением зарезать джигита и получить выкуп. Но Баграт начеку. Двое суток он не смыкает глаз. Санта, не дождавшись возвращения брата в дом старика, отправляется к нему в пещеру и попадает в ловушку. Абрек убивает сестру Баграта. Обезумев от горя, джигит бредет, куда глаза глядят. Он решает вернуться к жене. Но старик-отец женщины боится, что Баграт принесет им новые несчастья. Он хватает топор и ранит несчастного. Джигит покидает дом старика. От безысходности он пытается застрелить себя. Утром крестьяне находят тяжело раненого Баграта. Они хотят спрятать его и выходить. Но опасаясь очередного предательства, джигит предлагает им расстаться, пока они хорошие друг для друга. Оставшись один, он кончает счеты с жизнью. Крестьяне хоронят его, взывая к аллаху, не осуждать Баграта, ведь никто на его месте не смог бы выдержать таких тяжелых жизненных потрясений.</t>
        </is>
      </c>
      <c r="L7227" s="2" t="inlineStr">
        <is>
          <t>https://gosfilmofond.ru/films/232409/</t>
        </is>
      </c>
      <c r="M7227" s="2">
        <f>HYPERLINK("https://ru.wikipedia.org/w/index.php?search=%D0%A0%D0%B0%D1%81%D1%81%D1%82%D0%B0%D0%BD%D0%B5%D0%BC%D1%81%D1%8F%20%E2%80%94%20%D0%BF%D0%BE%D0%BA%D0%B0%20%D1%85%D0%BE%D1%80%D0%BE%D1%88%D0%B8%D0%B5%201991%20%D1%84%D0%B8%D0%BB%D1%8C%D0%BC","искать")</f>
        <v/>
      </c>
      <c r="N7227" s="3" t="n"/>
      <c r="O7227" s="2" t="n"/>
      <c r="P7227" s="2" t="n"/>
    </row>
    <row r="7228">
      <c r="A7228" s="2" t="n">
        <v>7227</v>
      </c>
      <c r="B7228" s="2" t="inlineStr"/>
      <c r="C7228" s="2" t="n">
        <v>9631</v>
      </c>
      <c r="D7228" s="3" t="inlineStr">
        <is>
          <t>Свеча</t>
        </is>
      </c>
      <c r="E7228" s="2" t="n">
        <v>1991</v>
      </c>
      <c r="F7228" s="2" t="inlineStr">
        <is>
          <t>кинофильм</t>
        </is>
      </c>
      <c r="G7228" s="2" t="n"/>
      <c r="H7228" s="2" t="n">
        <v>3367</v>
      </c>
      <c r="I7228" s="2" t="inlineStr"/>
      <c r="J7228" s="2" t="inlineStr"/>
      <c r="K7228" s="3" t="inlineStr">
        <is>
          <t>Время перестройки, поисков своего места в изменившемся мире. Молодой художник, недовольный своим творчеством, покидает город и уезжает в полузаброшенную деревню. Обнаружив там обжитой дом, он заходит познакомиться с обитателями. Хозяин и хозяйка - пенсионеры, перебравшиеся сюда из города и забывшие городскую жизнь с первого же деревенского рассвета. Дед Евлампий Зубарев умный, начитанный, думающий человек обсуждает с новым постояльцем Владимиром жизнь, рассказывает об истории деревни и о судьбах её жителей. Вечереет. Мужчины выходят на улицу и вдалеке на хуторке замечают множество сказочных огоньков. Дед говорит, что раньше там жил церковный староста и место то до сих пор полно загадок. Вот и сейчас туда вселилась какая-то загадочная девушка. Владимир плывёт к хуторку на лодке и видит купающуюся в озере обнажённую девушку в окружении огоньков множества свечей. Грозный лай собаки отпугивает его, и он ретируется. Наутро, знакомясь с окрестностями, Владимир встречает ещё одного обитателя деревни деда Михаила. Тот ворчит, что жизнь изменилась к худшему, нет порядка, и народу нужна сильная рука. Оба деда, хотя и являются родственниками, но не дружат и постоянно цепляются друг к другу по мелким бытовым поводам. Их память прочно хранит те годы, когда они были классовыми врагами: Евлампий сидел на Соловках, а Михаил охранял его. Продолжая знакомиться с местностью, Владимир приближается к отдалённому дому и наблюдает в окно за красивой девушкой, танцующей в одиночестве. Она замечает подглядывающего за нею симпатичного молодого человека и приглашает его в дом. Аня живёт совсем не по-деревенски: на столе у неё шампанское, конфеты и заморские фрукты. Молодые люди знакомятся, проводят вместе день, и Володя остается у девушки на ночь. Пожилые супруги дед Евлампий и баба Маня старательно восстанавливают историю деревни. Главное их богатство – это большой макет поселения, который они сделали собственными руками, старинные иконы и церковное серебро, которые дед нашёл на пепелище здешней церкви. Зубарев привлекает художника к работе. Он поручает ему делать надписи к макету и памятные доски, которые они затем устанавливают на местах уничтоженных домов. На пожертвования Зубареву удаётся возвести часовенку на месте, где раньше стояла церковь. Только своего родственника Михаила Евлампий не упоминает в истории деревни и гонит его прочь от церквушки. Тем временем к Ане приезжает из города брат с запасом продуктов. Они обсуждают её незавидное положение, когда она вынуждена прятаться в деревне от каких-то людей. Оба они понимают, что эти люди не отстанут от Ани. Брат и сестра расстаются в удручённом состоянии. Володя замечает, что Аня встревожена. На следующий день к ней приезжает пожилой бандит. Он явно хочет получить близости от девушки. Анна подмешивает в коньяк порошок и поит им мужчину. Пьяный и обкуренный гость Ани падает. Она убегает из дома к озеру. Володя и дед Евлампий видят недобрый знак, птица стучится клювом в их окно. Встревоженный Володя срывается с места и бежит к Ане. На полу мёртвый мужчина, а девушки нет. Напрасно Володя обшаривает озеро и окрестности. Девушка канула в озере. Душевно опустошённый Владимир решает покинуть деревню. Он приходит в часовенке, ставит свечу за упокой Анны, прощается с Евлампием и бабой Маней, обещая им вернуться в деревню. Володя в городской мастерской задумался над темой новой картины.</t>
        </is>
      </c>
      <c r="L7228" s="2" t="inlineStr">
        <is>
          <t>https://gosfilmofond.ru/films/232449/</t>
        </is>
      </c>
      <c r="M7228" s="2">
        <f>HYPERLINK("https://ru.wikipedia.org/w/index.php?search=%D0%A1%D0%B2%D0%B5%D1%87%D0%B0%201991%20%D1%84%D0%B8%D0%BB%D1%8C%D0%BC","искать")</f>
        <v/>
      </c>
      <c r="N7228" s="3" t="n"/>
      <c r="O7228" s="2" t="n"/>
      <c r="P7228" s="2" t="n"/>
    </row>
    <row r="7229">
      <c r="A7229" s="2" t="n">
        <v>7228</v>
      </c>
      <c r="B7229" s="2" t="inlineStr"/>
      <c r="C7229" s="2" t="n">
        <v>9560</v>
      </c>
      <c r="D7229" s="3" t="inlineStr">
        <is>
          <t>Под небом голубым...</t>
        </is>
      </c>
      <c r="E7229" s="2" t="n">
        <v>1989</v>
      </c>
      <c r="F7229" s="2" t="inlineStr">
        <is>
          <t>кинофильм</t>
        </is>
      </c>
      <c r="G7229" s="2" t="n"/>
      <c r="H7229" s="2" t="n">
        <v>3373</v>
      </c>
      <c r="I7229" s="2" t="inlineStr"/>
      <c r="J7229" s="2" t="inlineStr"/>
      <c r="K7229" s="3" t="inlineStr">
        <is>
          <t>Главные герои фильма — девушка Лена и её приятель Алексей Соболев. Росшие в обеспеченных семьях, они пристрастились к употреблению наркотиков. Родственники молодых людей относятся к ним по-разному: если отец Лены демонстративно отрёкся от своей дочери, то отец Алексея, наоборот, всячески пытается помочь своему сыну, несмотря на побои, которые получает в ответ. Чтобы раздобыть хотя бы немного денег, разорившийся Соболев-старший пытается даже продать семейную реликвию — икону, однако музейный эксперт объявляет, что она «не имеет художественной ценности». Вернувшись домой, мужчина сообщает об этом сыну. Соболев-младший, задолжавший поставщику наркотиков Русасу крупную сумму денег, приходит в ярость от такой новости и набрасывается на отца с кулаками, после чего забирает икону и скрывается из дома. Проходя по улице, юноша видит толпу, скопившуюся у входа в церковь, и, смешавшись с прихожанами, пытается совершить кражу. Однако эта попытка проваливается, а скрыться преступнику не удаётся.
Отец юноши приходит в отделение милиции и застаёт там потерпевшую, которая оказывается его бывшей подчинённой. Между ними завязывается разговор, который сопровождается издевательскими комментариями Алексея. Той же ночью женщина снова встречается с Соболевым-старшим: на этот раз он приходит к ней домой и просится на ночлег, так как в его собственной квартире находиться нельзя. Поколебавшись, женщина даёт своё согласие, а сама отправляется туда, где живёт её гость.
Проникнув к Соболевым, Костырина (именно так зовут героиню) оказывается в компании наркоманов, которые запирают незваную визитёршу в туалете. Раньше это место служило убежищем Соболева-старшего, а сейчас туда посажена Лена: от неё требуют уплаты долга. Поначалу Костырина проявляет враждебность к Лене, но та, вместо ответа на ругань, с отстранённым выражением лица декламирует стихотворение Пушкина «Кто знает край, где небо блещет...», а затем начинает напевать «Город золотой». В женщине просыпается сочувствие к Лене, и, когда утром Алексей отпирает туалет, Костырина помогает ей сбежать. Однако Лена не хочет покидать свою спасительницу, и та, окончательно смягчившись, приводит наркоманку к себе домой. Увидев подругу своего сына, Соболев-старший начинает возмущаться, и обиженная Лена покидает квартиру. После этого Костырина заявляет, что Алексей оказался в тяжёлом положении не только по своей вине, но и по недосмотру отца. Соболев-старший вяло оправдывается.
Уйдя от Костыриной, Лена безуспешно пытается раздобыть денег и после долгих злоключений сталкивается с Русасом, который разыскивал её, чтобы взыскать долг. Оказавшийся поблизости Алексей помогает Лене скрыться (хотя чуть раньше сам же держал её в плену). За этот поступок он расплачивается жизнью.
Тем временем Соболев-старший снова приходит к Костыриной. Неожиданно в дверь звонит Лена, которая просит её впустить. Соболев опять начинает оскорблять девушку, и Лена уходит. Костырина в гневе избивает своего гостя, а затем пускается на поиски наркоманки, но не может её найти, так как та спряталась в подвале. Убедившись, что ей никто не помешает, девушка раздевается догола и, открыв водопроводный вентиль, обваривает своё тело мощной струёй кипятка.
Фильм заканчивается панорамой погружённого в полумрак города. Крики Костыриной, которая продолжает искать Лену, заглушаются закадровым пением хора, исполняющего молитву «Достойно есть».</t>
        </is>
      </c>
      <c r="L7229" s="2" t="inlineStr">
        <is>
          <t>https://ru.wikipedia.org/w/index.php?title=%D0%9F%D0%BE%D0%B4_%D0%BD%D0%B5%D0%B1%D0%BE%D0%BC_%D0%B3%D0%BE%D0%BB%D1%83%D0%B1%D1%8B%D0%BC%E2%80%A6_%28%D1%84%D0%B8%D0%BB%D1%8C%D0%BC%29&amp;oldid=150756542</t>
        </is>
      </c>
      <c r="M7229" s="2">
        <f>HYPERLINK("https://ru.wikipedia.org/w/index.php?search=%D0%9F%D0%BE%D0%B4%20%D0%BD%D0%B5%D0%B1%D0%BE%D0%BC%20%D0%B3%D0%BE%D0%BB%D1%83%D0%B1%D1%8B%D0%BC...%201989%20%D1%84%D0%B8%D0%BB%D1%8C%D0%BC","искать")</f>
        <v/>
      </c>
      <c r="N7229" s="3" t="n"/>
      <c r="O7229" s="2" t="n"/>
      <c r="P7229" s="2" t="n"/>
    </row>
    <row r="7230">
      <c r="A7230" s="2" t="n">
        <v>7229</v>
      </c>
      <c r="B7230" s="2" t="inlineStr"/>
      <c r="C7230" s="2" t="n">
        <v>9278</v>
      </c>
      <c r="D7230" s="3" t="inlineStr">
        <is>
          <t>Волкодав</t>
        </is>
      </c>
      <c r="E7230" s="2" t="n">
        <v>1991</v>
      </c>
      <c r="F7230" s="2" t="inlineStr">
        <is>
          <t>кинофильм</t>
        </is>
      </c>
      <c r="G7230" s="2" t="n"/>
      <c r="H7230" s="2" t="n">
        <v>3384</v>
      </c>
      <c r="I7230" s="2" t="inlineStr"/>
      <c r="J7230" s="2" t="inlineStr"/>
      <c r="K7230" s="3" t="inlineStr">
        <is>
          <t>Москва конца 80-х годов 20-го столетия. Депутат Буров курирует незаконные внешнеэкономические операции, вследствие чего получает немалые деньги. Почувствовав силу, он решает избавиться от ответственного работника торгового ведомства Федора Ивановича, которому поступает большая часть денег от операций. Казна же находится в распоряжении бывшего работника таможни по прозвищу Казначей. Ему периодически отвозит деньги в Сочи связной Кассир. Буров решает устранить Федора Ивановича, который отдыхает в Сочи. Депутат попадает в поле зрения органов и за его кабинетом ведется наблюдение. В южную здравницу направляют капитана органов внутренних дел Викторию Журавлеву, молодую обаятельную женщину. Её задача познакомиться с Федором Ивановичем и через него получила улики на Казначея. Виктория воспитывалась в интернате под Сочи, а когда выросла, пришла работать в милицию. В сочинском санатории она знакомится с Федором Ивановичем. За неизвестно откуда взявшейся девушкой наблюдают подручные Казначея. По некоторым обстоятельствам они понимают, что она не путана, а хорошо подготовленный в боевых искусствах человек. Но правая рука Казначея Волк, Александр Волков, неожиданно командует подчинённым оставить её в покое. Шурик, сам воспитанник того же интерната, где росла Вика, узнал её, но не показал вида. Тем временем в Сочи приезжает Кассир с деньгами. За ним наблюдают люди Казначея, который перестал доверять связному, и не напрасно. Кассир покупает 3 билета на теплоход, следующий за границу, из чего Казначей делает вывод, что мужчина со своей семьей и деньгами собирается бежать из страны. Жену и дочь Кассира захватывают, и Казначей, в качестве выкупа за семью, требует сдать казну ему. Бандиты ведут наблюдение и за Викой. В её номер в гостинице проникает Волк и проверяет её документы. Они оформлены на имя Макеевой Елены. Шура понимает, что девушка работает в органах, но шефу докладывает, что всё в порядке. Но один из бандитов упорно твердит, что он где-то видел эту девушку. Вика дает знать Шуре, что узнала его. Бандиты убивают Кассира, а деньги передают Волку, как доверенному лицу Казначея. Чувствуя, что девушке грозит опасность, Волк увозит Вику за город в тот момент, когда внимание бандитов переключилось на захват Федора Ивановича, которого хотят убрать. Шура оставляет Вику на время, едет и отпускает на волю семью Кассира. Понимая, что в банду он не вернётся, Саша имитирует свою гибель, сбросив свою подожженную машину с обрыва, и возвращается к Вике. В юности Саша и Вика любили друг друга и хотели пожениться. Он увлекался западной музыкой, которая была запрещена в Советском Союзе, и попал из-за этого в заключение. Общество не приняло молодого мужчину, отсидевшего в тюрьме, и ему пришлось вступить в банду. Но и Вика, воспитанная советским обществом, тоже не принимает Сашу с его деньгами и планами уехать вместе за границу. Она уговаривает его сдаться, а когда он отказывается, сама сообщает в милицию о сбежавшем члене банды. Пытаясь уйти от погони, Шура убивает постового милиционера. Теперь пути назад нет. Волк захватывает автобус с пассажирами и велит водителю гнать его в аэропорт. Аэропорт заблокирован. Туда спешит и Вика, чтобы уговорить любимого человека сдаться. Он пытается застрелиться, а военные и милиция, приняв выстрелы за стрельбу в заложников, начинают атаку. Вика, чтобы этот ад для Саши закончился поскорее, сама убивает возлюбленного.</t>
        </is>
      </c>
      <c r="L7230" s="2" t="inlineStr">
        <is>
          <t>https://gosfilmofond.ru/films/232254/</t>
        </is>
      </c>
      <c r="M7230" s="2">
        <f>HYPERLINK("https://ru.wikipedia.org/w/index.php?search=%D0%92%D0%BE%D0%BB%D0%BA%D0%BE%D0%B4%D0%B0%D0%B2%201991%20%D1%84%D0%B8%D0%BB%D1%8C%D0%BC","искать")</f>
        <v/>
      </c>
      <c r="N7230" s="3" t="n"/>
      <c r="O7230" s="2" t="n"/>
      <c r="P7230" s="2" t="n"/>
    </row>
    <row r="7231">
      <c r="A7231" s="2" t="n">
        <v>7230</v>
      </c>
      <c r="B7231" s="2" t="inlineStr"/>
      <c r="C7231" s="2" t="n">
        <v>9118</v>
      </c>
      <c r="D7231" s="3" t="inlineStr">
        <is>
          <t>Убийство в ночном поезде</t>
        </is>
      </c>
      <c r="E7231" s="2" t="n">
        <v>1990</v>
      </c>
      <c r="F7231" s="2" t="inlineStr">
        <is>
          <t>кинофильм</t>
        </is>
      </c>
      <c r="G7231" s="2" t="n"/>
      <c r="H7231" s="2" t="n">
        <v>3406</v>
      </c>
      <c r="I7231" s="2" t="inlineStr"/>
      <c r="J7231" s="2" t="inlineStr"/>
      <c r="K7231" s="3" t="inlineStr">
        <is>
          <t>Баку, конец восьмидесятых двадцатого века. Ночной поезд. К одному из купе подходят четверо мужчин в милицейской форме и тихо входят туда…Общая тюремная камера. Пахан приказывает приблизиться к нему вновь прибывшего мужчину средних лет. Тот сопротивляется насилию, которое хотят с ним сотворить, и пахан бросается на него с ножом. Обороняясь, парень убивает главаря. Остальное время заключения он проводит в одиночной камере, вспоминая свою жизнь. Из Афганистана, где он воевал в качестве десантника и видел смерть рядом с собой, он вернулся без руки. Понимая, что, покалеченный, он никому не нужен, парень изолируется от людей, работает сторожем и одиноко живет в сторожке. Однажды солидный мужчина из компании, гуляющей поблизости, просит его съездить за шампанским. Сторож просьбу выполняет, а после вечеринки отвозит мужчину, основательно подвыпившего, домой. Они знакомятся, афганец Рустам и бизнесмен Нагиев. Мужчина предлагает парню работать у него, обещая хорошо оплачивать выполнение его поручений. Рустам соглашается. Он возит в разные города какие-то бандероли, привозит хозяину деньги, встречает гостей Нагиева и выполняет другие его поручения. Он не интересуется ни содержимым посылок, не пытается вникать в дела хозяина. Верный своему хозяину, он соглашается за приличную сумму денег взять на себя вину за убийство, которое совершает Нагиев. Деньги он отвозит матери, с которой у него теплые отношения, которая всегда поддерживает его, переживает за его одиночество и неустроенность его жизни, а сам попадает в тюрьму. Вернувшись после заключения, он первым делом навещает мать, а потом едет к Нагиеву и требует у него рассчитаться за проведенные в тюрьме годы. Тот, учтя «аванс», который дал парню перед его арестом, добавляет ему 25 тыс. рублей, которые Рустем планирует вложить в свое образование. Но Нагиев предлагает вновь работать с ним, прельщая иметь «легкие» 100 тыс. в полгода. Рустам соглашается, и его, как надежного человека, представляют мафиози «шефу», который «по совместительству» - начальник местной милиции. Рустам начинает вновь возить бандероли. Мечтой молодого человека всегда была светловолосая девушка, и в одной из поездок в купе с ним оказывается симпатичная блондинка. Они знакомятся, и между ними возникает роман. Марина при первой встрече приглашает Рустама к себе домой, и после застолья они оказываются в постели. Любовь вскружила голову парню, и он мечтает уже о женитьбе на Марине. Его беспокоит только, сможет ли он бросить свою работу, связанную с оказанием услуг мафии. Рустам твердо намерен это сделать, и наивно полагает, что его отпустят, потому, что он мало что знает, а за курьерские услуги не убивают. Он мечтает жить ради мамы и любимой девушки. Когда Рустам приходит к Нагиеву, его встречает милицейская группа захвата. Сумев отбиться, он находит Нагиева, и тот сообщает парню, что им двоим шефом подписан приговор. Зная про отношения Рустама с Мариной, Нагиев сообщает ему, что знакомство с этой девушкой не было случайным. До этого она превратила в рабов шефа уже не одного мужчину. Испытывая симпатию к парню, Нагиев советует ему бежать, спасать свою молодую душу. Когда Рустам уходит, Нагиев стреляется, понимая безысходность своего положения. Рустам едет в поезде, думая о Марине, и вспоминая о счастливых часах, проведённых с нею. Утром проводница открывает дверь его купе и вскрикивает. В петле, свисающей с потолка, бездыханное тело Рустама.</t>
        </is>
      </c>
      <c r="L7231" s="2" t="inlineStr">
        <is>
          <t>https://gosfilmofond.ru/films/276956/</t>
        </is>
      </c>
      <c r="M7231" s="2">
        <f>HYPERLINK("https://ru.wikipedia.org/w/index.php?search=%D0%A3%D0%B1%D0%B8%D0%B9%D1%81%D1%82%D0%B2%D0%BE%20%D0%B2%20%D0%BD%D0%BE%D1%87%D0%BD%D0%BE%D0%BC%20%D0%BF%D0%BE%D0%B5%D0%B7%D0%B4%D0%B5%201990%20%D1%84%D0%B8%D0%BB%D1%8C%D0%BC","искать")</f>
        <v/>
      </c>
      <c r="N7231" s="3" t="n"/>
      <c r="O7231" s="2" t="n"/>
      <c r="P7231" s="2" t="n"/>
    </row>
    <row r="7232">
      <c r="A7232" s="2" t="n">
        <v>7231</v>
      </c>
      <c r="B7232" s="2" t="inlineStr"/>
      <c r="C7232" s="2" t="n">
        <v>9445</v>
      </c>
      <c r="D7232" s="3" t="inlineStr">
        <is>
          <t>Кто ты, Элли?</t>
        </is>
      </c>
      <c r="E7232" s="2" t="n">
        <v>1990</v>
      </c>
      <c r="F7232" s="2" t="inlineStr">
        <is>
          <t>кинофильм</t>
        </is>
      </c>
      <c r="G7232" s="2" t="n"/>
      <c r="H7232" s="2" t="n">
        <v>3411</v>
      </c>
      <c r="I7232" s="2" t="inlineStr"/>
      <c r="J7232" s="2" t="inlineStr"/>
      <c r="K7232" s="3" t="inlineStr">
        <is>
          <t>Город Фрунзе. Конец 80-х годов 20 века. Молодой мафиози Таксыр борется за власть в городе с Манасбаевым, хозяином предприятий, каждый станок которых работает на его карман. Манасбаева поддерживает городская милиция, а её глава «полковник» получает с бизнесмена свою долю прибыли. Амбициозный Таксыр предупреждает бухгалтера противоборствующей стороны, что в городе все будет так, как он скажет. Человек Таксыра Эльмар знакомится во время пикника с Гульсарой и просит называть его просто Элли. Между молодыми людьми возникает симпатия и они рассказывают о себе друг другу. Они из разных социальных слоев: девушка из состоятельной семьи, а Эльмар вырос в бараке. Молодые люди начинают встречаться. Элли не сообщает подруге, что он - наемный убийца у мафиози, и поэтому романтическим отношениям парня и девушки ничего не мешает. Манасбаев продвигает свои деловые контакты на запад, и полковник должен поехать в город Ош, чтобы подстраховать заключение сделки. Но люди Таксыра расправляются во Фрунзе с бухгалтером Масанбаева, и полковник вынужден задержаться в городе, чтобы запустить в ход расследование убийства. Тем временем Таксыр направляет в Ош Элли, где тот расстреливает гонца Манасбаева. Сделка сорвана. Подруга Гульсары Эльвира встречается с Эркином, человеком Масабаева. Девушка постоянно выпрашивает у своего друга дорогие подарки, денег на которые у него нет. Элли советует Эркину жить на широкую ногу, как его хозяин, а если не получается, то присвоить деньги Масанбаева, и тот крадет у хозяина крупную сумму. Об этом узнает Эльвира и, испугавшись расправы над другом, решает сообщить о месте нахождения сворованных денег в милицию. Доверившись человеку в милицейской форме, она садится к нему в машину. Ее вывозят за город и убивают. Элли предупреждает Эрвина, что и за ним могут прийти, и дает ему ампулу с ядом, чтобы он мог воспользоваться ею в случае опасности. Нервы Эрвина на пределе, и он, загнанный страхом в угол, проглатывает яд. Деньги Масанбаева попадают к Таксыру. На вечеринке на теплоходе Элли и его команда хладнокровно и жестоко расстреливают из автоматов людей Масанбаева и молодых девушек, присутствующих на вечеринке. Полковник дает поручение капитану милиции расследовать череду убийств. Тот подозревает, что организатор и главный участник расправ Эльмар, и начинает слежку за ним. Таксыр поручает Элли отправиться в Москву. За ним следует капитан. Люди Таксыра докладывают ему, что Эльмар полетел в столицу вместе с капитаном и что он каким-то образом связан с милицией. Таксыр не доверяет Элли, считает его предателем и решает отомстить. Эльмар на время своей поездки поселяет Гульсару в загородном доме отдыха, потому что в городе неспокойно. Таксыр поручает своему помощнику Скорпи выманить девушку из дома отдыха и убить её, что тот и выполняет. Капитан выходит в Москве на прямой контакт с Эльмаром и сообщает ему, что с его подругой расправились люди Таксыра. Элли нокаутирует капитана и уезжает в аэропорт. Во Фрунзе он собирает друзей, они вооружаются автоматами. Один из бойцов отправляется к Скорпи, который собирается покинуть страну вместе с Тасыром, и расстреливает убийцу девушки. Группа во главе с Эльмаром спешат к пустырю, где Таксыра с деньгами Масанбаева должен захватить вертолет. В ходе короткой перестрелки с охраной мафиози Элли расстреливает Тасыра и его спутников. Полковник с группой захвата приезжают, когда месть Эльмара за убитую подругу исполнена.</t>
        </is>
      </c>
      <c r="L7232" s="2" t="inlineStr">
        <is>
          <t>https://gosfilmofond.ru/films/276958/</t>
        </is>
      </c>
      <c r="M7232" s="2">
        <f>HYPERLINK("https://ru.wikipedia.org/w/index.php?search=%D0%9A%D1%82%D0%BE%20%D1%82%D1%8B%2C%20%D0%AD%D0%BB%D0%BB%D0%B8%3F%201990%20%D1%84%D0%B8%D0%BB%D1%8C%D0%BC","искать")</f>
        <v/>
      </c>
      <c r="N7232" s="3" t="n"/>
      <c r="O7232" s="2" t="n"/>
      <c r="P7232" s="2" t="n"/>
    </row>
    <row r="7233">
      <c r="A7233" s="2" t="n">
        <v>7232</v>
      </c>
      <c r="B7233" s="2" t="inlineStr"/>
      <c r="C7233" s="2" t="n">
        <v>8175</v>
      </c>
      <c r="D7233" s="3" t="inlineStr">
        <is>
          <t>Посредник</t>
        </is>
      </c>
      <c r="E7233" s="2" t="n">
        <v>1990</v>
      </c>
      <c r="F7233" s="2" t="inlineStr">
        <is>
          <t>телефильм</t>
        </is>
      </c>
      <c r="G7233" s="2" t="inlineStr">
        <is>
          <t>Киностудия имени М. Горького; Творческое объединение «ТВК»</t>
        </is>
      </c>
      <c r="H7233" s="2" t="n">
        <v>3446</v>
      </c>
      <c r="I7233" s="2" t="inlineStr"/>
      <c r="J7233" s="2" t="inlineStr"/>
      <c r="K7233" s="3" t="inlineStr">
        <is>
          <t>В лесу недалеко от небольшого провинциального городка повисает чёрная сфера, явно инопланетного происхождения. Сфера способна внедрять в человека разум инопланетного существа, при этом внешне человек не изменяется, не изменяется и его язык и манера двигаться, сохраняются также воспоминания — на планету Земля осуществляется вторжение инопланетян. Люди с имплантированным разумом всегда действуют рационально, они никогда не улыбаются. У них есть абсолютное оружие — «посредник», после «выстрела» которого любой землянин станет «своим» и произнесёт ключевую фразу — пароль новообращённого: «Здесь красивая местность».
«Посредник» — высокотехнологичное устройство инопланетян. Позволяет подсаживать в тела землян «мыслящих» — копию сознания одного из захватчиков. Сознание землянина при этом полностью подавляется, но воспоминания и технические навыки продолжают оставаться доступными для инопланетянина. Прежние привычки носителей полностью контролируются инопланетянином и вредные из них, к примеру курение, сознательно подавляются. «Посредник» используется также для мобильной связи.
Но есть у инопланетян и слабости. Первая — на Земле «посредник» действует только в ⅔ случаев. Не подчиняются «посреднику» гении, сумасшедшие и дети до 15 лет. Не подчиняются и те, кто никогда не умел подчиняться. Завоеватели спокойно говорят об этом: «Мы десант, дело не наше, придут спецы, разберутся и получат лучшие тела». Вторая — во время первой высадки захватчики вынуждены (кроме связи через «посредник») полностью полагаться на техническую инфраструктуру Земли. Всё — от автоматов до связи с эскадрой на орбите через местный радиотелескоп — продукты земных технологий. Третья — захватчики боятся физического уничтожения. В особенности выстрелов в голову: «Всё остальное легко регенерируется». Боятся намного больше, чем люди, так как живут уже несколько сотен лет и «привыкли» не умирать при получении довольно тяжёлых ранений.
Но сопротивление возникло — те самые подростки, которых не принимают во внимание, смогли с помощью оставшихся в сознании взрослых захватить один из «посредников» и вернуть в сознание инженера с радиотелескопа, который был для захватчиков важнейшей целью. Инженер передаёт подростку важнейшую информацию — чтобы вторжение прекратилось, надо обесточить радиотелескоп. «Но если увидишь меня снова — беги, как можно дальше, так как я знаю о тебе всё…»
Информация о вторжении просочилась за пределы посёлка. Инопланетяне пытаются выставить врача, сообщившую о вторжении, сумасшедшей, используя заместителя председателя исполкома, но это не помогает.
Военные блокируют местность и ставят захватчикам ультиматум. Прибывших для переговоров военных инопланетяне делают носителями, в ответ пара вертолётов Ми-24 наносит показательный ракетный удар, демонстрируя превосходство в огневой мощи. Инопланетянин в теле полковника приказывает «объявить эвакуацию, сделать вид, что приняли условия» и перенести срок подачи сигнала на орбиту с 20:00 на 19:45.
Однако подросток обесточивает радиотелескоп до 19:45, разбив выстрелами из пистолета изоляторы на высоковольтной опоре, вызвав короткое замыкание линии, но сам при этом погибает. После чего инопланетяне, оставшиеся без надежды на связь с орбитальной эскадрой, объявляют по «посредникам» полную эвакуацию с планеты. Потерпев поражение, они не пытаются отомстить выжившим землянам — у пришельцев в принципе нет понятия «месть», поскольку они, в отличие от землян, не обладают эмоциями.</t>
        </is>
      </c>
      <c r="L7233" s="2" t="inlineStr">
        <is>
          <t>https://ru.wikipedia.org/w/index.php?title=%D0%9F%D0%BE%D1%81%D1%80%D0%B5%D0%B4%D0%BD%D0%B8%D0%BA_%28%D1%84%D0%B8%D0%BB%D1%8C%D0%BC%2C_1990%29&amp;oldid=151462545</t>
        </is>
      </c>
      <c r="M7233" s="2">
        <f>HYPERLINK("https://ru.wikipedia.org/w/index.php?search=%D0%9F%D0%BE%D1%81%D1%80%D0%B5%D0%B4%D0%BD%D0%B8%D0%BA%201990%20%D1%84%D0%B8%D0%BB%D1%8C%D0%BC","искать")</f>
        <v/>
      </c>
      <c r="N7233" s="3" t="n"/>
      <c r="O7233" s="2" t="n"/>
      <c r="P7233" s="2" t="n"/>
    </row>
    <row r="7234">
      <c r="A7234" s="2" t="n">
        <v>7233</v>
      </c>
      <c r="B7234" s="2" t="inlineStr"/>
      <c r="C7234" s="2" t="n">
        <v>8609</v>
      </c>
      <c r="D7234" s="3" t="inlineStr">
        <is>
          <t>Я буду ждать...</t>
        </is>
      </c>
      <c r="E7234" s="2" t="n">
        <v>1979</v>
      </c>
      <c r="F7234" s="2" t="inlineStr">
        <is>
          <t>телефильм</t>
        </is>
      </c>
      <c r="G7234" s="2" t="n"/>
      <c r="H7234" s="2" t="n">
        <v>3447</v>
      </c>
      <c r="I7234" s="2" t="inlineStr"/>
      <c r="J7234" s="2" t="inlineStr"/>
      <c r="K7234" s="3" t="inlineStr">
        <is>
          <t>У самоуверенного и красивого студента института иностранных языков Никиты успешная жизнь: до диплома остался год, он побеждает на всех соревнованиях по дзюдо, у него есть любимая девушка Маша, с которой они собираются пожениться после диплома. Однажды он увязывается на улице за красивой женщиной, старше себя возрастом, и влюбляется в неё с первого взгляда. Вечером того же дня он обнаруживает в своём доме гостей: к отцу Никиты зашёл его школьный друг Павел вместе со своей спутницей Анной, которая и оказывается той самой женщиной, которую Никита встретил днём. Никита сразу же даёт понять Анне, что она ему очень нравится. Отношения Анны и Павла переживают определённый застой. Павла устраивает неторопливый ритм их с Анной отношений: у них гостевой брак. Анна желает укрепить отношения, и прямо высказывается Павлу о том, что хочет за него замуж, но Павел не торопится менять свою жизнь. Никита начинает ухаживать за Анной: приглашает её посмотреть соревнования, где будет выступать, после победы провожает до дома. Встречает в подъезде, звонит по телефону, оставляет розы на коврике у двери квартиры. Анна демонстрирует неприступность, но Никита обещает ждать.
Однажды отец зовёт Никиту к телефону: звонит Анна. Никита приходит к ней домой, Анна готова уступить его пылким притязаниям. Никита, будучи ещё на пороге квартиры, прервав объятия и поцелуи, звонит домой и, опережая события, сообщает о том, что сегодня будет ночевать в гостях. Этим Никита всё портит: возмущённая Анна выгоняет его. Дома у Никиты происходит разговор с отцом, который высказывает ему сомнения: отцу Анна нравится как человек, но он не представляет сына рядом с женщиной своего друга. Кроме того, он считает, что Никита поступил нехорошо, начав ухаживать за Анной во время кризиса в её личной жизни. Тем не менее, отношения Никиты и Анны налаживаются. Никита съезжает из семьи на съёмную квартиру и они с Анной начинают жить вместе. По привычке Никита ещё заходит время от времени домой к Маше, но та уже давно догадалась о переменах в жизни своего возлюбленного, и они объясняются с Никитой насчёт Анны. Отец Никиты по-прежнему убеждён, что Никита и Анна не должны быть вместе. Однажды он просит сына порвать с Анной первым, убеждая его, что если он этого не сделает, то однажды случится вещь намного худшая: Анна сама рано или поздно бросит Никиту, так как не любит его, но пережить это Никите будет намного сложнее, чем если он сам оставит её. Никита не слушает отца и убеждён в своём грядущем большом счастье с Анной. Павел встречается с Анной и между ними происходит разговор. Павел глубоко раскаивается в своём пренебрежительном отношении к чувствам Анны, клянётся ей в любви и просит выйти за него замуж. Анна делает выбор в пользу давних и проверенных отношений: она звонит Никите и говорит, что не придёт. На этом их отношения заканчиваются.
Спортивные достижения Никиты идут на спад: он проигрывает все спарринги, заявляя тренеру, что у него болит сердце. Медицинское обследование показывает, что с сердцем всё в порядке, и врачу становится понятно, что эта боль совсем другой природы. Никита находит в себе силы и побеждает на очередных соревнованиях по дзюдо. После победы он заходит к Маше, у них происходит выяснение отношений, в ходе которого по-прежнему сильно влюблённый в Анну Никита просит Машу объяснить ему, почему всё получилось именно так, как получилось. Отвергнутый всеми, он, так ничего и не поняв, уходит от Маши по листве осеннего парка.</t>
        </is>
      </c>
      <c r="L7234" s="2" t="inlineStr">
        <is>
          <t>https://ru.wikipedia.org/w/index.php?title=%D0%AF_%D0%B1%D1%83%D0%B4%D1%83_%D0%B6%D0%B4%D0%B0%D1%82%D1%8C%E2%80%A6&amp;oldid=155641075</t>
        </is>
      </c>
      <c r="M7234" s="2">
        <f>HYPERLINK("https://ru.wikipedia.org/w/index.php?search=%D0%AF%20%D0%B1%D1%83%D0%B4%D1%83%20%D0%B6%D0%B4%D0%B0%D1%82%D1%8C...%201979%20%D1%84%D0%B8%D0%BB%D1%8C%D0%BC","искать")</f>
        <v/>
      </c>
      <c r="N7234" s="3" t="n"/>
      <c r="O7234" s="2" t="n"/>
      <c r="P7234" s="2" t="n"/>
    </row>
    <row r="7235">
      <c r="A7235" s="2" t="n">
        <v>7234</v>
      </c>
      <c r="B7235" s="2" t="inlineStr"/>
      <c r="C7235" s="2" t="n">
        <v>9262</v>
      </c>
      <c r="D7235" s="3" t="inlineStr">
        <is>
          <t>В русском стиле</t>
        </is>
      </c>
      <c r="E7235" s="2" t="n">
        <v>1991</v>
      </c>
      <c r="F7235" s="2" t="inlineStr">
        <is>
          <t>кинофильм</t>
        </is>
      </c>
      <c r="G7235" s="2" t="inlineStr">
        <is>
          <t>Одесская киностудия; Творческое объединение «Пари»</t>
        </is>
      </c>
      <c r="H7235" s="2" t="n">
        <v>3456</v>
      </c>
      <c r="I7235" s="2" t="inlineStr"/>
      <c r="J7235" s="2" t="inlineStr"/>
      <c r="K7235" s="3" t="inlineStr">
        <is>
          <t>Российское лихолетье начала 90-х городов. В провинциальном российском городке мужчина мечется от телефона в квартире к отделению милиции и обратно в надежде узнать что-либо о дочери-подростке, пропавшей две недели назад. Он один растит дочь и полностью несёт за неё ответственность. Следователь не обещает, что милиция поможет, ведь «у нас многие пропадают». Сергей берёт водку и идёт к другу, чтобы выпить и притупить чувство отчаяния и беспомощности. На улице сильный дождь, и он останавливает машину. За рулём молодая очаровательная женщина. Сергей готов ехать куда угодно, только бы не возвращаться в свою опустевшую квартиру. Женщина привозит его к себе, наливает коньяк и объявляет, что ей нужно с ним поговорить. Но мужчина, выпив, вскоре отключается после напряженного дня. Утром незнакомка отвозит его домой и заходит вместе с ним в его квартиру. После загадочного звонка по телефону автомобилистка едет с Сергеем в «лягушатник», где обычно собирается молодёжь. Девушки там нет, но охранник кафе сообщает отцу, что она связалась с крутыми ребятами. Сергей вновь обращается в милицию, но там говорят, что с подозреваемыми работают, но зацепить их нечем. Новая знакомая повсюду следует за Сергеем и, видя его решимость самостоятельно спасти дочь, помогает ему купить нелегальное оружие. Звонит дочь Сергея и сообщает отцу, что её украли. На самом деле она сидит в уютной комнате с подружкой и от скуки решила разыграть родителя. Сергей и его новая знакомая выслеживают крутых ребят, с которыми его дочь сфотографировалась некоторое время назад. Чтобы как-то зацепить эту компанию, спутница Сергея устраивает столкновение с их машиной. Нервы мужчины не выдерживают, и он стреляет в одного из бандитов. Думая, что он убил человека, Сергей сбегает с места преступления, прихватив дипломат убитого. Он в растерянности идёт к своей спутнице, чтобы посоветоваться, как ему быть. Женщина, ранее такая участливая, встречает его равнодушно. Она признается Сергею, что его использовала в качестве орудия мести. У неё был друг, и бандиты его убили. В сердцах Сергей говорит хозяйке квартиры, что она дрянь, и бросает ей в качестве расплаты «за помощь» пистолет и дипломат, заполненный деньгами. Но уйти ему не удается, потому что во двор въезжает машина бандитов. Сумев пробраться к своей машине, женщина и Сергей уезжают. Их преследуют бандиты. Автомобилистка успокаивает Сергея, что пока деньги бандитов у них, его дочь в безопасности. Наконец они знакомятся. Анна рассказывает о своей мечте сбежать в тёплые страны и купить домик где-нибудь у моря. Она просит Сергея простить её за то, что вовлекла его в свою месть. Между ними возникает симпатия. Сережа обещает Ане, что они выпутаются и исполнят её мечту. Наконец, звонит дочь. Вике наскучило разыгрывать родителя, и она вернулась в школу. Но они не успевают забрать её. Бандиты захватывают Вику в качестве заложницы и предлагают отцу вернуть её в обмен на их деньги. Встречу назначают на берегу моря. Анна освобождает дипломат от денег и начиняет взрывоопасным составом. После того, как обмен дипломата на девочку состоялся, Сергей уводит её на безопасное расстояние. При попытке вскрытия дипломата взрыв уничтожает бандитов. На пределе переживаний Анна плачет и смеется. Она просит Сергея не сердиться на дочь, ведь в подростковом возрасте все дети не ангелы. Совместно пережитое объединило Сергея и Анну, и теперь они готовы начать новую жизнь вместе, тем более, что в сумке у Ани сорок тысяч долларов.</t>
        </is>
      </c>
      <c r="L7235" s="2" t="inlineStr">
        <is>
          <t>https://gosfilmofond.ru/films/232250/</t>
        </is>
      </c>
      <c r="M7235" s="2">
        <f>HYPERLINK("https://ru.wikipedia.org/w/index.php?search=%D0%92%20%D1%80%D1%83%D1%81%D1%81%D0%BA%D0%BE%D0%BC%20%D1%81%D1%82%D0%B8%D0%BB%D0%B5%201991%20%D1%84%D0%B8%D0%BB%D1%8C%D0%BC","искать")</f>
        <v/>
      </c>
      <c r="N7235" s="3" t="n"/>
      <c r="O7235" s="2" t="n"/>
      <c r="P7235" s="2" t="n"/>
    </row>
    <row r="7236">
      <c r="A7236" s="2" t="n">
        <v>7235</v>
      </c>
      <c r="B7236" s="2" t="inlineStr"/>
      <c r="C7236" s="2" t="n">
        <v>9604</v>
      </c>
      <c r="D7236" s="3" t="inlineStr">
        <is>
          <t>Псы</t>
        </is>
      </c>
      <c r="E7236" s="2" t="n">
        <v>1989</v>
      </c>
      <c r="F7236" s="2" t="inlineStr">
        <is>
          <t>кинофильм</t>
        </is>
      </c>
      <c r="G7236" s="2" t="n"/>
      <c r="H7236" s="2" t="n">
        <v>3459</v>
      </c>
      <c r="I7236" s="2" t="inlineStr"/>
      <c r="J7236" s="2" t="inlineStr"/>
      <c r="K7236" s="3" t="inlineStr">
        <is>
          <t>«…и дана ему власть… — умерщвлять мечомъ и голодомъ и моромъ и зверями земными.»
Мальчик, обследуя окрестности безлюдного города, проникает в трюм заброшенного судна, заполненного пресной водой. Он не замечает, что за ним следит собака. Внезапно на мальчика нападает собачья свора.
На жителей города нападают волки-людоеды. По поручению властей мелкий чиновник Иван Максимчук собирает спецотряд для уничтожения волков в Мёртвом городе, находящемся от них в сотне километров, путь к которому лежит через пустыню. В группу входят: Борис, бывший школьный учитель литературы, уволенный за пьянство; молчаливый безымянный чемпион по стрельбе с собакой; охотник Виктор Утехин; бывший житель заброшенного города Егор Маникин; ветеран Великой Отечественной войны, водитель Иннокентий Фурсов. Добровольцам обещают по 80 руб за шкуру.
Проезжая пустыню, охотники находят «Запорожец», который вскоре уходит под землю, будучи затянутым зыбучими песками. Неподалёку от Мёртвого города герои встречают странную парочку — женщину Гюли и учёного-гидролога Пахтусова, обосновавшихся на маяке. Маникин сообщает, что раньше здесь было море. Гюли замечает, что в этих местах волки никогда не водились.
Ночью Молчун замечает пропажу своей собаки и вскоре находит её мёртвой. Двое мародёров пытаются угнать автобус группы. Одного из них загрызает свора, а второго — инженера Стаса, владельца «Запорожца» — герои запирают в туалете. Маникин освобождает мародёра и вместе с ним тайком погружает вещи в автобус, за которые, по его словам, он отбыл 13-летний срок. Однако Стас уезжает без него. Маникин стреляет вслед и видит окружающую его свору.
Наутро охотники, разозлённые тем, что им пришлось иметь дело с псами, шкуры которых ничего не стоят, отказываются от выполнения задания. Максимчук выдвигает теорию о сверхъестественной животной жестокости, попутно объявляя одичавших псов-людоедов оборотнями. Другие члены отряда отмахиваются от него, считая сумасшедшим.
Герои отбивают нападение огромной своры, после чего обнаруживают пропажу автобуса, где была вся их вода и продовольствие. Они находят изуродованное тело Маникина и понимают, почему он вызвался добровольцем.
Автобус с пробитым бензобаком застревает в пустыне. Мародёр вытаскивает часть вещей наружу, сильно напивается и пляшет. Внезапно зыбучие пески затягивают автобус. Пытаясь спасти вещи, мародёр бросается в автобус, но уходит вместе с ним под землю.
Максимчук, Молчун и Фурсов уносят тело Маникина в заброшенную баню. Утехин с Борисом обыскивает подвал с припрятанными Егором вещами. Решив подшутить над бывшим учителем, охотник надевает противогаз и имитирует собачий вой. От испуга Бориса разбивает паралич.
Молчун отправляется на маяк, чтобы узнать о местонахождении логова собак, дав оставшимся задание разжечь сигнальный костёр. Гюли отдаёт ему ошейник его питомца, признаваясь, что каждую ночь она выходит убивать псов, загрызших её сына. Она говорит, что логово собак находится в рефрижераторном судне, добавив, что из города никому не уйти.
Молчун, Утехин и Фурсов приходят на судно и истребляют всю свору. Максимчук остаётся присматривать за Борисом в заброшенной бане, где признаётся, что плотину, перекрывшую реку и ставшую причиной ухода моря, построил он. Максимчук стреляет в подошедших охотников, смертельно ранив Фурсова и пускает себе пулю в голову. Обездвиженный Борис задыхается от дыма костра, разведённого Максимчуком.
Молчун и Утехин выносят тела погибших товарищей на улицу и воют, как псы.</t>
        </is>
      </c>
      <c r="L7236" s="2" t="inlineStr">
        <is>
          <t>https://ru.wikipedia.org/w/index.php?title=%D0%9F%D1%81%D1%8B_%28%D1%84%D0%B8%D0%BB%D1%8C%D0%BC%2C_1989%29&amp;oldid=154989841</t>
        </is>
      </c>
      <c r="M7236" s="2">
        <f>HYPERLINK("https://ru.wikipedia.org/w/index.php?search=%D0%9F%D1%81%D1%8B%201989%20%D1%84%D0%B8%D0%BB%D1%8C%D0%BC","искать")</f>
        <v/>
      </c>
      <c r="N7236" s="3" t="n"/>
      <c r="O7236" s="2" t="n"/>
      <c r="P7236" s="2" t="n"/>
    </row>
    <row r="7237">
      <c r="A7237" s="2" t="n">
        <v>7236</v>
      </c>
      <c r="B7237" s="2" t="inlineStr"/>
      <c r="C7237" s="2" t="n">
        <v>9578</v>
      </c>
      <c r="D7237" s="3" t="inlineStr">
        <is>
          <t>Похороны на втором этаже</t>
        </is>
      </c>
      <c r="E7237" s="2" t="n">
        <v>1991</v>
      </c>
      <c r="F7237" s="2" t="inlineStr">
        <is>
          <t>кинофильм</t>
        </is>
      </c>
      <c r="G7237" s="2" t="n"/>
      <c r="H7237" s="2" t="n">
        <v>3477</v>
      </c>
      <c r="I7237" s="2" t="inlineStr"/>
      <c r="J7237" s="2" t="inlineStr"/>
      <c r="K7237" s="3" t="inlineStr">
        <is>
          <t>Москва, 1991 год. Подполковнику милиции Аркадию Ершову и следователю Виктору Кулакову поручено расследовать исчезновение майора КГБ, шифровальщика, вместе с которым пропал портфель с секретными документами. Следы пребывания пропавшего обнаруживают на ипподроме, где он общался с приятелями из криминального мира. Один из них сообщает, что пропавший Сашка Машков приходил вместе с Аркадием, по прозвищу Картавый. Ершов пытается выйти на Аркадия, но того убивают. На автоответчике убитого записана угроза расправы с ним, если он войдет в контакт с милицией. Следователи фиксируют номер, откуда звонили. Он принадлежит сержанту милиции. Милиционеру внедряют подслушивающее устройство и начинают следить за ним. Тот с подельниками из криминального мира обсуждает какое-то происшествие под мостом на Яузе и говорит, что боится разоблачения. Его успокаивают, что майор его не сдаст. Милиция обследует Яузу в районе моста. Со дна реки поднимают портфель пропавшего офицера КГБ. Он пуст. Так как вопрос касается государственной тайны, к расследованию подключают Андрея Бугрова, капитана КГБ. Ершов узнает, что на квартире одного из высокопоставленных чиновников, которого подозревают в противозаконных операциях, назначена важная встреча. Подполковник направляет Бугрова следить за участниками встречи. Хозяин квартиры сообщает пришедшему на переговоры человеку с кличкой «Черкес», что выходит из игры и просит сообщить это своему «шефу», «протиравшему штаны» в штабах и посольствах, когда он служил Отечеству. Офицеры разворачивают наблюдение за Черкесом, который служит в органах милиции. Почувствовав опасность разоблачения, его криминальный «шеф» дает команду припугнуть участников следствия. После нескольких безуспешных нападений криминала на офицеров, предпринимается попытка убрать их. Бугрова отправляют с поручением в Турцию, где местные полицейские его арестовывают и заключают в тюрьму по звонку из Москвы. Аркадия Ершова обманом завлекают в ведомственное медицинское учреждение, где под видом процедуры, его выводят из строя ударом тока. Коллегам Бугрова удается хитростью освободить его из частной турецкой тюрьмы, и он вылетает в Москву. Ершова тем временем отпускают, но на него нападают в собственной квартире бандиты, избивают, связывают и подготавливают взрыв бытового газа. Аркадий сумел освободиться от пут и спастись. Кулакову кто-то назначает запиской вечернюю встречу на Ворошиловском кладбище. Там его ждёт Аркадий Ершов. Подполковник объясняет следователю, что на этом участке кладбища, где и ему подготовили могилу, происходят похороны на втором этаже. По докладу Ершова на следующий день здесь делают эксгумацию в нескольких могилах. Под законными захоронениями находят несколько трупов, в том числе пропавшего Машкова. В ресторане арестовывают Черкеса, который готовил документы и деньги к бегству из страны. В его загородном доме находят валюту, драгоценности и оружие. Аэропорт Шереметьево. Офицеры высматривают мужчину с родимым пятном. Им оказывается солидный мужчина с дипломатом и двумя большими дынями в руках. Ершов выбивает из рук мужчины дыни. Они разбиваются и оттуда высыпаются золотые монеты, а в упавшем дипломате – пачки валюты и документы. Офицеры едут в Москву после задания, а по радио сообщают, что в Шереметьево при попытке сбежать за границу задержан бывший ответственный работник КГБ СССР с секретными документами и драгоценностями. Он арестован за подозрение в государственной измене, соучастие в совершении ряда убийств и коррупцию.</t>
        </is>
      </c>
      <c r="L7237" s="2" t="inlineStr">
        <is>
          <t>https://gosfilmofond.ru/films/274225/</t>
        </is>
      </c>
      <c r="M7237" s="2">
        <f>HYPERLINK("https://ru.wikipedia.org/w/index.php?search=%D0%9F%D0%BE%D1%85%D0%BE%D1%80%D0%BE%D0%BD%D1%8B%20%D0%BD%D0%B0%20%D0%B2%D1%82%D0%BE%D1%80%D0%BE%D0%BC%20%D1%8D%D1%82%D0%B0%D0%B6%D0%B5%201991%20%D1%84%D0%B8%D0%BB%D1%8C%D0%BC","искать")</f>
        <v/>
      </c>
      <c r="N7237" s="3" t="n"/>
      <c r="O7237" s="2" t="n"/>
      <c r="P7237" s="2" t="n"/>
    </row>
    <row r="7238">
      <c r="A7238" s="2" t="n">
        <v>7237</v>
      </c>
      <c r="B7238" s="2" t="inlineStr"/>
      <c r="C7238" s="2" t="n">
        <v>8741</v>
      </c>
      <c r="D7238" s="3" t="inlineStr">
        <is>
          <t>И чёрт с нами</t>
        </is>
      </c>
      <c r="E7238" s="2" t="n">
        <v>1991</v>
      </c>
      <c r="F7238" s="2" t="inlineStr">
        <is>
          <t>кинофильм</t>
        </is>
      </c>
      <c r="G7238" s="2" t="n"/>
      <c r="H7238" s="2" t="n">
        <v>3506</v>
      </c>
      <c r="I7238" s="2" t="inlineStr"/>
      <c r="J7238" s="2" t="inlineStr"/>
      <c r="K7238" s="3" t="inlineStr">
        <is>
          <t>Советский Союз вступает в новый 1953 год. В кабинет Сталина в Кремле входит испуганный старый человек. Сталин обсуждает с Берией тему анабиоза и сообщают пожилому ученому, что ему поручается ввести в состояние продолжительного сна самого Генералиссимуса. Он решил с высоты грядущих лет взглянуть, как будут без него справляться с управлением страной. «Лежать я буду в Черноморске»,- командует Сталин. Прошло 37 лет. В Черноморск к морю привозят на отдых группу людей и размещают их на бывшей даче Сталина. Во время вечеринки под тост «Вздрогнем за Родину, за Сталина!» местный житель сообщает компании, что в Черноморске ходит легенда, что их город связан с именем Сталина, и здесь замешана большая политика, что на самом деле Сталин не умер и тайно проживает в городе. Один из отдыхающих, молодой человек Леша отправляется по комнатам в поисках горячительного. В одном из помещений, заполненном предметами сталинский эпохи, он встречает живого Иосифа Виссарионовича. Сталин расспрашивает Лешу о нынешней жизни. Он взволнован рассказом Леши и требует, чтобы тот его сопровождал. Он поручает Алексею отправить в Москву срочную телеграмму, о том, что он едет туда, наводить в стране порядок. Лешу забирают в милицию из-за подписи телеграммы именем вождя народов. Сталин пытается самостоятельно выехать в Москву, но без помощи Леши его намерения не могут осуществиться. Он вынужден остаться в городе и наблюдать все новые признаки разложения общества и тлетворного влияния Запада. Сталин пытается действовать по своему усмотрению. Так он поджигает на улице стенд с фотографиями детей репрессированных врагов народа. Милиционер предполагает, что это просто нездоровый старик, похожий на Сталина, и привозит его на квартиру к родственникам Леши, которого уже отпустили из милиции. То, что он видит и узнает здесь, возмущает его ещё больше. Это журнал «Playboy», отсутствие книг классиков марксизма, разговоры про демократию, позволение выезжать за границу. Когда в квартире затевается очередное застолье, Сталин вызывается прогулять собаку и из телефона-автомата звонит в обком комсомола города. Там уже прослышали о явлении вождя народов в Черноморске и решают с его помощью устроить в городе переворот: «На кой вам нужен был анабиоз? Здесь такого успели натворить!» Чтобы изолировать Сталина от Леши, который имеет на него влияние, обкомовский деятель направляет бандитов, которые избивают молодого человека. Сам секретарь обкома в окружении молодчиков направляется со Сталиным на проходящий в городе фестиваль. В центральной ложе появляются Сталин и секретарь обкома. Молодой карьерист заявляет, что перестройка идет не тем путем и объявляет, что он берет контроль над городом в свои руки. Присутствующим раздают портреты Сталина и листки с хвалебной песней Сталину. Зал по команде подхватывает слова песни. Городской глава выступает, что его долг проводить в жизнь любую линию партии. Сталину готовят выступление по центральному телевидению с призывом вернуться управлению государством сильной рукой. Тем временем Леша приходит в себя после избиения и спешит в городской театр, где он видит подготовку к перевороту. Он понимает, что эти минуты могут стать последними минутами демократии. Он старается представить ситуацию так, что Сталин – пациент психбольницы, а творящееся в зале – это абсурд и безумие. Леша добивается того, чтобы скорая помощь увезла вождя народов. Люди приходят в себя, и фестиваль возвращается в прежнее русло. Секретарь обкома комсомола сожалеет, что он упустил шанс прийти к власти.</t>
        </is>
      </c>
      <c r="L7238" s="2" t="inlineStr">
        <is>
          <t>https://gosfilmofond.ru/films/232327/</t>
        </is>
      </c>
      <c r="M7238" s="2">
        <f>HYPERLINK("https://ru.wikipedia.org/w/index.php?search=%D0%98%20%D1%87%D1%91%D1%80%D1%82%20%D1%81%20%D0%BD%D0%B0%D0%BC%D0%B8%201991%20%D1%84%D0%B8%D0%BB%D1%8C%D0%BC","искать")</f>
        <v/>
      </c>
      <c r="N7238" s="3" t="n"/>
      <c r="O7238" s="2" t="n"/>
      <c r="P7238" s="2" t="n"/>
    </row>
    <row r="7239">
      <c r="A7239" s="2" t="n">
        <v>7238</v>
      </c>
      <c r="B7239" s="2" t="inlineStr"/>
      <c r="C7239" s="2" t="n">
        <v>9328</v>
      </c>
      <c r="D7239" s="3" t="inlineStr">
        <is>
          <t>Делай - раз!</t>
        </is>
      </c>
      <c r="E7239" s="2" t="n">
        <v>1990</v>
      </c>
      <c r="F7239" s="2" t="inlineStr">
        <is>
          <t>кинофильм</t>
        </is>
      </c>
      <c r="G7239" s="2" t="n"/>
      <c r="H7239" s="2" t="n">
        <v>3526</v>
      </c>
      <c r="I7239" s="2" t="inlineStr"/>
      <c r="J7239" s="2" t="inlineStr"/>
      <c r="K7239" s="3" t="inlineStr">
        <is>
          <t>Алексей Гаврилов отправляется служить в армию. На призывном пункте его толкает сержант Шипов. Алексей останавливает его и требует извиниться. Между ними возникает конфликт, после чего Шипов затаивает обиду на Гаврилова.
Шипов узнаёт, что Гаврилов должен отправиться на службу в морскую пехоту. Сержант упрашивает офицера морской пехоты, приехавшего на призывной пункт за молодым пополнением, передать личное дело призывника Гаврилова его офицеру, пользуясь тем, что тот является его земляком. В результате новобранец вместо ожидаемого прохождения службы в этом роде войск поступает в мотострелковый полк, в котором состоит Шипов.
Алексей оказывается в части, где процветает дедовщина. «Деды» заставляют новобранцев выполнять за себя хозяйственные работы, издеваются над ними, крадут у них деньги по ночам. Сразу после прибытия в часть Шипов заставляет «молодых» отжиматься и объясняет им «основные положения» дедовщины. Но Алексей не желает подчиняться грубой силе. В части он знакомится с Иваном Боцу, и они становятся друзьями и единомышленниками.
Во время стычки в столовой за Гаврилова и других новобранцев заступается сержант Степанов. «Деды» решают убрать с пути препятствие в виде Степанова. Сначала в период увольнения честного сержанта они организуют нападение на него пятерых неизвестных. Далее Шипов в присутствии сержанта Гоши бьёт по лицу ефрейтора Кабанова, выставляет это так, будто его ударил Степанов, затем угрожает сопернику дисбатом. Степанов вынужден отступить.
«Деды» приказывают рядовому Боцу считать дни до дембеля. Боцу отказывается, и тогда «деды» в отместку осуществляют подлую провокацию — ефрейтор Кабанов крадёт у одного из «черепов» деньги и подкладывает их в китель Боцу. На досмотре Шипов при всех достаёт из кителя Боцу деньги, тем самым настроив остальных против него. Боцу, понимая, что его жизнь окончательно сломана, начинает рыдать. Гаврилов, видя невиновность Ивана, принимается его утешать. Теперь «черепа» настроены против них обоих.
Ночью несколько «черепов» хватают Ивана и тащат его в котельную. Это видит Степанов, но, помня об угрозах Шипова, бездействует. В котельной Ивана жестоко избивают и унижают. Гаврилов, придя в казарму, не обнаруживает своего друга и чувствует неладное. Он пытается найти Ивана и попадает в котельную. Там Алексея также всячески избивают. Неожиданно появляется сержант Шипов и приказывает всем разойтись. Боцу совершает попытку самоубийства, но Алексей останавливает его.
Желая покончить с беспределом «дедов», Гаврилов крадёт пулемёт из оружейного шкафа. Поднимается тревога. Весь личный состав прибегает в котельную. Появляется Гаврилов и с оружием в руках заставляет «дедов» принять упор лёжа. Все они подчиняются, кроме Шипова, несмотря на уговоры испуганного Кабанова. Гаврилов пускает предупредительный залп, и его враг теперь вынужден лечь. Алексей приказывает «дедам» отжиматься, «черепам» считать, затем заставляет их петь песню. Шипов решает сопротивляться «борзому духу» до последнего. Гаврилов, поняв это, даёт Шипову команду делать «сто двадцать качков в минуту», за её невыполнение угрожает ему и сообщникам реальной расправой и делает ещё один выстрел. И здесь Шипов полностью подчиняется, но ненадолго: в котельную начинает ломиться подоспевший караул. Гаврилов, поняв, что это конец, кладёт пулемёт на пол. Кабанов делает попытку забрать оружие, но «черепа», принявшие сторону Алексея, задерживают его. Гаврилов бросает последний взгляд на Шипова, которого уничтожил морально перед всеми, и, не боясь наказания, уверенно идёт к выходу.</t>
        </is>
      </c>
      <c r="L7239" s="2" t="inlineStr">
        <is>
          <t>https://ru.wikipedia.org/w/index.php?title=%D0%94%D0%B5%D0%BB%D0%B0%D0%B9_%E2%80%94_%D1%80%D0%B0%D0%B7%21&amp;oldid=155220699</t>
        </is>
      </c>
      <c r="M7239" s="2">
        <f>HYPERLINK("https://ru.wikipedia.org/w/index.php?search=%D0%94%D0%B5%D0%BB%D0%B0%D0%B9%20-%20%D1%80%D0%B0%D0%B7%21%201990%20%D1%84%D0%B8%D0%BB%D1%8C%D0%BC","искать")</f>
        <v/>
      </c>
      <c r="N7239" s="3" t="n"/>
      <c r="O7239" s="2" t="n"/>
      <c r="P7239" s="2" t="n"/>
    </row>
    <row r="7240">
      <c r="A7240" s="2" t="n">
        <v>7239</v>
      </c>
      <c r="B7240" s="2" t="inlineStr"/>
      <c r="C7240" s="2" t="n">
        <v>9205</v>
      </c>
      <c r="D7240" s="3" t="inlineStr">
        <is>
          <t>Арифметика убийства</t>
        </is>
      </c>
      <c r="E7240" s="2" t="n">
        <v>1991</v>
      </c>
      <c r="F7240" s="2" t="inlineStr">
        <is>
          <t>кинофильм</t>
        </is>
      </c>
      <c r="G7240" s="2" t="n"/>
      <c r="H7240" s="2" t="n">
        <v>3527</v>
      </c>
      <c r="I7240" s="2" t="inlineStr"/>
      <c r="J7240" s="2" t="inlineStr"/>
      <c r="K7240" s="3" t="inlineStr">
        <is>
          <t>В коммуналке одного из старых питерских домов совершено убийство. Жильцы квартиры с любопытством и опаской провожают взглядом милиционеров, которые следуют в комнату жертвы. Убитый – пожилой человек неопрятного вида, в его неухоженном жилище множество бутылок. Следователь Конев Петр Прокопьевич решает начать расследование с опроса соседа убитого – молодого человека, прикованного к инвалидной коляске. Выясняется, что в вечер убийства все жильцы были дома, а чужие люди не заходили в квартиру. Илья сообщает Коневу, что убитый вызывал отвращение после нескольких минут общения, поэтому убить его мог любой из обитателей коммуналки. 20 лет назад у убитого, Матвея Брюханова, был роман с тётушкой Ильи Варварой. Что-то звериное, страшное для ребёнка было в сексе Брюханова с тётушкой, и мальчик прятался под подушку, когда к ней заходил Матвей. Старая женщина и поныне живёт в комнате со своим названным племянником, сыном сводной сестры, с детства поражённом болезнью. Илья недоумевает, почему эта чужая и неприятная женщина до сих пор здесь. Пространство между ними заполнено слабым раствором вражды. Илья продолжает свои показания. Старый развратник Брюханов лез ко всем женщинам под юбку. Некоторое время назад он вступил в связь с молодой соседкой Мариной, которая была лимитой, и позволяла Брюханову вольности, потому что он был начальником ЖЭКа. Связь их продолжалась до сих пор, однако к Мариночке стал захаживать молодой тщедушный Вадик, к которому Матвей ревновал женщину. Другой сосед, писатель одной книги, Платон Сергеевич Брызгалин некоторое время назад немного диссиденствовал, а Брюханов донёс на него. Брызгалина прогнали с флота, что повергло его в пьянство. Чтобы не спиться совсем, он попросил Илью выдавать ему спиртное дозировано, а заодно отдал ему на хранение пистолет, который остался у него с флота. Вот этим, пока не найденным пистолетом, вероятно, Брюханова убили. Писатель имел любовную связь с дочерью Брюханова. Мужчины не терпели друг друга и периодически вступали в перепалки. Когда в ходе следствия под серьёзное подозрение попал Брызгалин, его психика не выдержала, и мужчина повесился, оставив записку, что он не убивал соседа. Рассыпалось и обвинение Вадика и Марины в убийстве. Тогда Илья пытается внедрить свою версию, что убийства не было, а было самоубийство. Брюханов купил злополучный пистолет у Брызгалина, а Илья передал хранившееся у него оружие соседу, из которого он и застрелился. Следователь не принимает на веру версию Ильи, так как тот не дает полную картину случившегося, которую, наверняка, знает. Под подозрение попадает он сам и Варвара. Тётушка спешит вывезти Илью на прогулку. Они оба наблюдают, как милиционеры безуспешно ищут оружие убийства. Следовать пытается задержать их, пока Илья не объяснит, что же произошло в вечер убийства. «А вам не всё равно?» - восклицает Илья, - «Это возмездие за их злобную грязную жизнь!». Понимая, что инвалид и старуха никуда не денутся, следователь отпускает их на прогулку. Варвара оставляет коляску с инвалидом на улице, а сама возвращается домой. Прождав её до наступления темноты, Илья с большим трудом самостоятельно добирается домой. Он закатывает коляску в комнату соседа, в которой все вещи перевёрнуты. На него смотрит дуло пистолета, который держит Варвара. Последняя мысль промелькнула в голове юноши: «Неужели я статист в собственной пьесе. Что-то я не понял и не смог вычислить». Он мечтал освободиться от этого мерзкого крысиного окружения, и вот душа его спокойна и свободна. Варвару в наручниках уводят милиционеры.</t>
        </is>
      </c>
      <c r="L7240" s="2" t="inlineStr">
        <is>
          <t>https://gosfilmofond.ru/films/226091/</t>
        </is>
      </c>
      <c r="M7240" s="2">
        <f>HYPERLINK("https://ru.wikipedia.org/w/index.php?search=%D0%90%D1%80%D0%B8%D1%84%D0%BC%D0%B5%D1%82%D0%B8%D0%BA%D0%B0%20%D1%83%D0%B1%D0%B8%D0%B9%D1%81%D1%82%D0%B2%D0%B0%201991%20%D1%84%D0%B8%D0%BB%D1%8C%D0%BC","искать")</f>
        <v/>
      </c>
      <c r="N7240" s="3" t="n"/>
      <c r="O7240" s="2" t="n"/>
      <c r="P7240" s="2" t="n"/>
    </row>
    <row r="7241">
      <c r="A7241" s="2" t="n">
        <v>7240</v>
      </c>
      <c r="B7241" s="2" t="inlineStr"/>
      <c r="C7241" s="2" t="n">
        <v>8683</v>
      </c>
      <c r="D7241" s="3" t="inlineStr">
        <is>
          <t>Город</t>
        </is>
      </c>
      <c r="E7241" s="2" t="n">
        <v>1990</v>
      </c>
      <c r="F7241" s="2" t="inlineStr">
        <is>
          <t>кинофильм</t>
        </is>
      </c>
      <c r="G7241" s="2" t="inlineStr">
        <is>
          <t>Интердет</t>
        </is>
      </c>
      <c r="H7241" s="2" t="n">
        <v>3567</v>
      </c>
      <c r="I7241" s="2" t="inlineStr"/>
      <c r="J7241" s="2" t="inlineStr"/>
      <c r="K7241" s="3" t="inlineStr">
        <is>
          <t>Владимир Саврасов, житель города Кокчин (провинциальный выдуманный город), главный герой картины, прощается со своими друзьями и, полный оптимизма, отправляется поступать в Ленинград. Через друга отца он устраивается на работу в «Трест». Там он знакомится с Алевтиной, которая по счастливой случайности связана с артистической богемой города. Та, в свою очередь, оценила творчество художника как «гавеное», попутно выпивая вино и слушая песни Юрия Шевчука.
У Володи и Рыжова, ухажёра Алевтины, возникает конфликт. Главный герой узнаёт, что общается она с этим человеком только из-за материальных благ, к тому же она устала жить в общежитии и всеми силами хочет хорошо устроиться в городе, с квартирой и машиной. Алевтина приглашает Володю на концерт группы «Аквариум». В туалете подруга предлагает Алевтине поработать валютной проституткой. Борис Гребенщиков исполняет на концерте песню «Королевское утро». У Алевтины и Володи созревает роман. Саврасов приглашает к себе художника Шагина, чтобы тот оценил другие его картины. Во время прогулки у героев завязывается беседа о природе Ленинграда.Понимаешь, браток, те дворы, они такие старые, столько людей здесь выросло, столько было всего, что вроде их и не строил никто. Так они и были всегда... как часть природы. Такая городская природа. Понимаешь? Посмотри. Это нам стало ближе, чем деревья. Они даже живей, чем мы. Понимаешь? Ты на них смотришь, а они тебя рассматривают... Рассматривают, думают себе чего-то. Да ты приглядись. А ещё кажется, что раньше, когда всё это было новым, то была здесь другая какая-то необычайно красивая жизнь. И люди были получше, чем мы с тобой...Шагину всё так же не нравятся абстрактные картины Володи, ему больше по душе серые, реалистичные пейзажи Петербурга. Увлёкшись проституцией, Алевтина бросает Саврасова и просит «его больше не приходить». Её не устраивает бесперспективная жизнь жены художника. Владимиру снится сон, где он со своими друзьями из Купчина узнаёт о постановлении, что «все равны» и они могут выставляться где захотят. Происходят гуляния, песни, танцы. Юрий Шевчук исполняет «песню невесёлую». Алевтина снова рядом. Герой просыпается и понимает, что жизнь куда суровей. Ему приходится подрабатывать уличным художником, чтобы подзаработать и «набить руку». Случайно натыкается на Алевтину, внешний вид которой говорит о полном достатке, но знакомство поддерживать она не намерена.
Саврасов рисует арку Новой Голландии, когда у него завязывается разговор с незнакомцем, который «любит попить пива» на крыльце Дворца Великой княгини Ксении Александровны. Главный герой уже не такой доброжелательный и позитивный, как был в начале фильма, говорит довольно холодно, но это не мешает обсудить здешние виды.Если бы у меня был хоть маленький талант, как бы я хотел выразить потрясающую красоту плоти этого города. Не парадный петербургский пейзаж, а плоть. Это руинного типа кружево, почти всегда сырое от дождей или запорошённое снегом.
Лиловое небо над городом Петроградом. Выдался немилосердно холодный вечер. Ограды и вздрагивающая грусть парадных, Водой канала раздробленные свечи. Уйти из города. Навсегда наскучил Домами, делами, присутственными местами, А в сердце — бездна и как хлеб насущный Бездонное небо над зданиями и поездами.
Чувствуете? Конечно, чувствуете. В этот город просто так не приедешь. Город сам выбирает людей. И они приезжают сюда даже со всего света, остаются здесь и умирают. А некоторые продолжают жить вечно.Картина заканчивается на подготовке его нового полотна. Герой усвоил пережитый опыт и пересмотрел своё отношение к Петербургу.</t>
        </is>
      </c>
      <c r="L7241" s="2" t="inlineStr">
        <is>
          <t>https://ru.wikipedia.org/w/index.php?title=%D0%93%D0%BE%D1%80%D0%BE%D0%B4_%28%D1%84%D0%B8%D0%BB%D1%8C%D0%BC%29&amp;oldid=150827948</t>
        </is>
      </c>
      <c r="M7241" s="2">
        <f>HYPERLINK("https://ru.wikipedia.org/w/index.php?search=%D0%93%D0%BE%D1%80%D0%BE%D0%B4%201990%20%D1%84%D0%B8%D0%BB%D1%8C%D0%BC","искать")</f>
        <v/>
      </c>
      <c r="N7241" s="3" t="n"/>
      <c r="O7241" s="2" t="n"/>
      <c r="P7241" s="2" t="n"/>
    </row>
    <row r="7242">
      <c r="A7242" s="2" t="n">
        <v>7241</v>
      </c>
      <c r="B7242" s="2" t="inlineStr"/>
      <c r="C7242" s="2" t="n">
        <v>8960</v>
      </c>
      <c r="D7242" s="3" t="inlineStr">
        <is>
          <t>Последний бункер</t>
        </is>
      </c>
      <c r="E7242" s="2" t="n">
        <v>1991</v>
      </c>
      <c r="F7242" s="2" t="inlineStr">
        <is>
          <t>кинофильм</t>
        </is>
      </c>
      <c r="G7242" s="2" t="n"/>
      <c r="H7242" s="2" t="n">
        <v>3568</v>
      </c>
      <c r="I7242" s="2" t="inlineStr"/>
      <c r="J7242" s="2" t="inlineStr"/>
      <c r="K7242" s="3" t="inlineStr">
        <is>
          <t>1947 год. Западная Украина. Бендеровцы расстреляли уже второй состав отряда МВД, расквартированного в небольшом городке. В город приезжает на службу младший лейтенант Снисаренко, которому предстоит командование новым составом отряда. Он полон решимости незамедлительно отомстить за убитых. Начальник райотдела внутренних войск капитан Шитов предупреждает его, что горячиться и спешить нельзя, нужно действовать обдуманно и планомерно, ведь многие местные мужчины состоят в сопротивлении, и в городе много сочувствующих жителей, поддерживающих лесных братьев. Но соперник Шитова по службе молодой капитан Калиниченко считает, что любые средства хороши, для уничтожения бендеровцев. Он устраивает грязную провокацию. Военные, переодетые в гражданскую одежду, из засады расстреливают хористок местного дома культуры, когда те возвращаются с концерта в районе. В городе распространяется слух, что кровавая бойня – дело рук бендеровцев. Капитан Шитов арестовывает и допрашивает женщину, взрослый сын которой, по его предположению, находится в партизанском отряде. Сочувствуя Орине, он просит её спасти сына, увести из отряда, пока на его руках нет крови. Питая к Орине чувства, Шитов не решается отпустить её на свободу, опасаясь, что её убьют. Военные во главе с Калиниченко устраивают возле дома Орины засаду. Ночью, когда её сын и его товарищами приходят, чтобы убрать созревшую пшеницу, солдаты расстреливают партизан. Орину выпускают, и Илья Шитов приходит к ней помочь убрать оставшиеся на поле колосья. Он не решается сказать ей, что её сын убит. Вечером Илья Захарович забирает Орину к себе домой и, чтобы успокоить её, говорит, что сын сбежал во время операции. Капитан Шитов решает направить Снисаренко на встречу с партизанами под видом перешедшего на их сторону. Задача Дмитрия Снисаренко – войти в доверие к партизанам, подготовить их к переговорам с военными. Лейтенанту удается связаться с бендеровцами. Для его проверки Дмитрию поручают убить капитана Калиниченко, который виновен в проведении карательных операций. Когда Дмитрий возвращается в город, они с Ильёй Захаровичем разрабатывают план имитации убийства Калиниченко. Тот считает Шитова и Снисаренко предателями и докладывает наверх, о готовящейся миротворческой операции. Генерал приказывает любой ценой взять бункер и назначает ответственным за штурм Шитова. Перед операцией Илья Захарович уговаривает Орину бросить всё и уехать с ним в Россию. Но женщина отказывается. Тогда Шитов тайно заменяет холостые патроны в оружии Снисаренко на боевые, и тот, думая, что это имитация убийства, расстреливает Калиниченко. Осознав, что случилось, он бежит в отряд к партизанам, а за ним тайно следует боевой отряд. Военные взрывают бункер, и Дмитрий Снисаренко получает тяжелую контузию. По результатам военной операции Шитов получает звание майора. Много лет спустя постаревший Шитов благопристойно живёт в загородном коттедже с русской женой и сыном-подростком. В один из зимних дней к нему в дом стучится мужчина, в котором он узнает лейтенанта Снисаренко. Он приглашает его в дом и представляет семье, как фронтового друга. Дмитрий рассказывает свою историю. После контузии, когда он лежал в госпитале, и его перепутали с неким преступником, находившимся там же. Несчастный умер, и его похоронили, как лейтенанта Снисаренко. Боясь преследования за убийство Калиниченко, Дмитрий под именем преступника просидел 15 лет в тюрьме. Спустя много лет он решил вернуть своё имя, и просит помочь ему в этом полковника Шитова. Но Илья Захарович заявляет, что Слесаренко - его прошлое и отказывает ему в поддержке.</t>
        </is>
      </c>
      <c r="L7242" s="2" t="inlineStr">
        <is>
          <t>https://gosfilmofond.ru/films/232412/</t>
        </is>
      </c>
      <c r="M7242" s="2">
        <f>HYPERLINK("https://ru.wikipedia.org/w/index.php?search=%D0%9F%D0%BE%D1%81%D0%BB%D0%B5%D0%B4%D0%BD%D0%B8%D0%B9%20%D0%B1%D1%83%D0%BD%D0%BA%D0%B5%D1%80%201991%20%D1%84%D0%B8%D0%BB%D1%8C%D0%BC","искать")</f>
        <v/>
      </c>
      <c r="N7242" s="3" t="n"/>
      <c r="O7242" s="2" t="n"/>
      <c r="P7242" s="2" t="n"/>
    </row>
    <row r="7243">
      <c r="A7243" s="2" t="n">
        <v>7242</v>
      </c>
      <c r="B7243" s="2" t="inlineStr"/>
      <c r="C7243" s="2" t="n">
        <v>9204</v>
      </c>
      <c r="D7243" s="3" t="inlineStr">
        <is>
          <t>Анна Карамазофф</t>
        </is>
      </c>
      <c r="E7243" s="2" t="n">
        <v>1991</v>
      </c>
      <c r="F7243" s="2" t="inlineStr">
        <is>
          <t>кинофильм</t>
        </is>
      </c>
      <c r="G7243" s="2" t="inlineStr">
        <is>
          <t>«Мосфильм», Киностудия «Круг», «Мосимедиа»; «Victoria film», «Паримедиа»</t>
        </is>
      </c>
      <c r="H7243" s="2" t="n">
        <v>3570</v>
      </c>
      <c r="I7243" s="2" t="inlineStr"/>
      <c r="J7243" s="2" t="inlineStr"/>
      <c r="K7243" s="3" t="inlineStr">
        <is>
          <t>1949 год. Женщина (её имя не называется, условно Анна) возвращается из лагеря (колонии) в Ленинград. Юноша, обмазанный жидкой глиной, с женским портмоне на поясе, стреляет в неё из воображаемого лука. В поезде героиня ведёт дневник и размышляет о приближающемся будущем. Она идёт в свою квартиру, но там уже живут три узбечки. Одна узбечка (Татьяна Друбич) пытается вырвать молочный зуб у ребёнка. Анна идёт в коммунальную квартиру, где когда-то были спрятаны её документы. За дверью ребёнок, он говорит, что совсем один и не может открыть дверь. Она уже собирается уходить, но её узнают и открывают. В квартире трое: двое мужчин (Пётр Мамонов, Александр Феклистов) и одна женщина (Светлана Немоляева), которая и притворялась ребёнком за дверью. Комод с документами сгорел. Вскоре Анна попадает в дом, где живут сумасшедшие бабушка (Мария Капнист) и её внуки — мальчик Александр и девочка Мари (Ольга Орлова). Открывая дверь, помогает вырвать мальчику зуб. Вся квартира заставлена произведениями искусства в стиле авангарда. Там она узнаёт о смерти своей матери — Марии Александровны. Мари рассказывает, как найти её могилу: «Там на кладбище живёт Большая Чёрная Собака — Каплан, она тебе укажет дорогу» (чёрная немецкая овчарка Грэта, правильная кличка Грэта-Хейга, владелец Надежда Борисовна Сагер, она же дрессировщик в данной картине и дублёр героини в сценах с этой собакой на дальнем плане).
Анна идёт на кладбище. Там хоронят пионера… Мимо проносится Большая Чёрная Собака Каплан (Грэта), как бы обозначая своё присутствие и уводя вдаль, на поиски могилы матери. Она возвращается в город. Видит мальчика в костюме зайчика. Бежит за ним. Заходит в кинотеатр, где идёт чёрно-белый фильм (составленный из сохранившихся фрагментов картины Хамдамова «Нечаянные радости»): сёстры-актрисы Наташа (Наталья Лебле) и Лена (Елена Соловей) коллекционируют ковры и узнают предание о том, что существует главный ковёр, обладающий силой заклинания. Купив его, сёстры обнаруживают, что поверье утратило силу, поскольку было нарушено главное условие: уже сто лет на ковре не проливалась невинная кровь. Поддавшись уговорам кинорежиссёра Прокудина-Горского (Эммануил Виторган), сёстры едут на фронт, где надеются подстелить ковёр под одну из невинных жертв и каплями её крови воскресить поверье. Но свою кровь на ковёр пролил сам Прокудин-Горский, которого зарубили саблей. Однако поверье не воскресло. Их обманули.
Далее Анна встречает молодого человека (Виктор Сибилёв). Раньше он переворачивал ноты для «Божественной» (так он называет некую певицу). Сейчас он бедствует. Они идут к нему домой. Во время игры за роялем Шопена она предлагает помочь ему. Они решают убить и ограбить богатого отставного военного, который, судя по отрывкам фраз Анны, когда-то написал донос на неё. У Анны есть яд во флаконе (она взяла его в ГУЛАГе). Они идут в Елисеевский магазин и покупают крымские яблоки. Анна берёт шприц и втыкает яд в яблоко. Дождавшись, пока уедет жена военного (Наталья Фатеева), она берёт яблоки и идёт к нему. Он путает её с Анной Карамазовой (с которой он только что разговаривал по телефону) и впускает. Съев яблоко, он умирает. Анна грабит его, но неожиданно приходит его жена. Они борются, и Анна сбегает. Далее Анна вместе с молодым человеком идут в театр. У неё то самое портмоне. Она оставляет его в ложе, и оно начинает разбухать. Анна спускается в затопленный туалет и дарит старушке-уборщице украденные у военного вещи.
В кошкином доме у молодого человека от стука проходящего поезда со словами «Сезам, откройся!..» падает и разбивается портрет молодого Ленина.</t>
        </is>
      </c>
      <c r="L7243" s="2" t="inlineStr">
        <is>
          <t>https://ru.wikipedia.org/w/index.php?title=%D0%90%D0%BD%D0%BD%D0%B0_%D0%9A%D0%B0%D1%80%D0%B0%D0%BC%D0%B0%D0%B7%D0%BE%D1%84%D1%84&amp;oldid=155517405</t>
        </is>
      </c>
      <c r="M7243" s="2">
        <f>HYPERLINK("https://ru.wikipedia.org/w/index.php?search=%D0%90%D0%BD%D0%BD%D0%B0%20%D0%9A%D0%B0%D1%80%D0%B0%D0%BC%D0%B0%D0%B7%D0%BE%D1%84%D1%84%201991%20%D1%84%D0%B8%D0%BB%D1%8C%D0%BC","искать")</f>
        <v/>
      </c>
      <c r="N7243" s="3" t="n"/>
      <c r="O7243" s="2" t="n"/>
      <c r="P7243" s="2" t="n"/>
    </row>
    <row r="7244">
      <c r="A7244" s="2" t="n">
        <v>7243</v>
      </c>
      <c r="B7244" s="2" t="inlineStr"/>
      <c r="C7244" s="2" t="n">
        <v>8806</v>
      </c>
      <c r="D7244" s="3" t="inlineStr">
        <is>
          <t>Любовь. Смертельная игра...</t>
        </is>
      </c>
      <c r="E7244" s="2" t="n">
        <v>1991</v>
      </c>
      <c r="F7244" s="2" t="inlineStr">
        <is>
          <t>кинофильм</t>
        </is>
      </c>
      <c r="G7244" s="2" t="n"/>
      <c r="H7244" s="2" t="n">
        <v>3578</v>
      </c>
      <c r="I7244" s="2" t="inlineStr"/>
      <c r="J7244" s="2" t="inlineStr"/>
      <c r="K7244" s="3" t="inlineStr">
        <is>
          <t>Известный в городе фоторепортёр и фотохудожник Игорь пребывает в хандре. Любитель женщин и коллекционер портретов своих возлюбленных, он недавно расстался с очередной подругой, а работа фоторепортера не приносит ему удовлетворения. В женских портретах он стремится уловить загадку и тайну женских лиц, и непознанные женщины чрезвычайно привлекают его. Однажды по дороге домой он примечает такое женское лицо и знакомится с девушкой. Они идут в ресторан, а потом он ведёт Леру к себе домой. После ночи любви девушка рассказывает о себе: неудачное замужество в студенчестве, развод, окончание института, работа, а в этом приморском городе она проводит свой отпуск. Игорь не хочет расставаться с понравившейся ему девушкой и предлагает Лере остаться у него. На следующее утро Игоря срочно вызывают в редакцию. Там он узнает, что его направляют в творческую поездку в Америку с его фотовыставкой. Нужно быстро оформлять загранпаспорт. Но ехать никуда не хочется, потому, что после нескольких дней общения он понимает, что Лера становится дорогим для него человеком. Он не забывает запечатлевать её лицо на пленке, стараясь, чтобы она не заметила, что он её фотографирует. Фотохудожник, он стремится найти интересные ракурсы и уловить непосредственное, живое выражение лица девушки. В редакции настаивают на проведении его персональной выставки за рубежом, и в конце концов Игорь отправляется в милицию оформлять загранпаспорт. Там на доске с фото людей, кого разыскивает милиция, он обращает внимание на рисованный портрет преступницы, которая очень похожа на его новую знакомую. Он выясняет, что эта женщина знакомится с одинокими стариками, желающими обменять квартиру, убивает их и присваивает деньги за обмен. Игорю не хочется верить, что его обаятельная подруга – жестокая убийца, но он решает понаблюдать за ней. Проснувшись утром, он слышит разговор Леры по телефону об обмене квартир и понимает, что она врет ему. Но Игорь любит девушку и признается ей в своей любви, надеясь, что это взаимно, и они вместе смогут разобраться в этой тревожащей его ситуации. Но Лера жёстко заявляет, что не любит его и ей плевать на его любовь. Девушка собирает вещи и уходит. Игорь вновь отправляется в милицию, где ему сообщают, что преступницу и квартирную аферистку поймали в другой области. Он спешит в гостиницу к Лере и умоляет её вернуться к нему. Она отказывается. Дома он рассматривает большие портреты девушки, которые он успел сделать, и оставляет их разложенными на полу. Рано утром в его дом прокрадывается Лера. Увидев свои портреты, она разыскивает в доме фотопленки с ними и всё сжигает. Телефонный звонок утром будит Игоря. Он бросает взгляд на пол – портреты исчезли, а в местной газете он замечает обведенное ручкой объявление об обмене квартир. Звонит женщина, которую Лера в очередной раз склонила к обмену. Игорь узнает, что сделка и передача денег намечена на сегодня. Он спрашивает адрес, где живет пожилая женщина, спешит туда и устраивает наблюдательный пункт в подъезде. К назначенному времени к квартире подходит Лера. Игорь окликает её и пытается задержать, чтобы выяснить всё. «Я тебя ненавижу!» - выкрикивает она и убегает. Весь день мужчина проводит в раздумьях и душевных муках, а вечером в его доме появляется Лера и ведет себя, как ни в чем не бывало. Утром он опять просыпается один и обнаруживает, что дверь в кухню закрыта изнутри. Он понимает, что что-то неладное творится там и выламывает дверь. Лера сидит перед открытой дверцей газовой плиты. Все газовые краны открыты. Игорь бросается к подруге, и мощный взрыв газа отправляет их вдвоем на небеса.</t>
        </is>
      </c>
      <c r="L7244" s="2" t="inlineStr">
        <is>
          <t>https://gosfilmofond.ru/films/232375/</t>
        </is>
      </c>
      <c r="M7244" s="2">
        <f>HYPERLINK("https://ru.wikipedia.org/w/index.php?search=%D0%9B%D1%8E%D0%B1%D0%BE%D0%B2%D1%8C.%20%D0%A1%D0%BC%D0%B5%D1%80%D1%82%D0%B5%D0%BB%D1%8C%D0%BD%D0%B0%D1%8F%20%D0%B8%D0%B3%D1%80%D0%B0...%201991%20%D1%84%D0%B8%D0%BB%D1%8C%D0%BC","искать")</f>
        <v/>
      </c>
      <c r="N7244" s="3" t="n"/>
      <c r="O7244" s="2" t="n"/>
      <c r="P7244" s="2" t="n"/>
    </row>
    <row r="7245">
      <c r="A7245" s="2" t="n">
        <v>7244</v>
      </c>
      <c r="B7245" s="2" t="inlineStr"/>
      <c r="C7245" s="2" t="n">
        <v>8801</v>
      </c>
      <c r="D7245" s="3" t="inlineStr">
        <is>
          <t>Ловушка для одинокого мужчины</t>
        </is>
      </c>
      <c r="E7245" s="2" t="n">
        <v>1990</v>
      </c>
      <c r="F7245" s="2" t="inlineStr">
        <is>
          <t>кинофильм</t>
        </is>
      </c>
      <c r="G7245" s="2" t="n"/>
      <c r="H7245" s="2" t="n">
        <v>3593</v>
      </c>
      <c r="I7245" s="2" t="inlineStr"/>
      <c r="J7245" s="2" t="inlineStr"/>
      <c r="K7245" s="3" t="inlineStr">
        <is>
          <t>Действие происходит в пригороде, где-то во Франции, недалеко от Шамони. Молодожён Даниэль Корбан обращается к комиссару полиции по поводу исчезновения своей жены Элизабет. Ещё через несколько дней к нему лично приезжает комиссар, которого Даниэль встречает очень эмоционально и нелюбезно, при этом очень переживает по поводу ситуации. Позже мадам Корбан возвращается домой в сопровождении местного кюре, но ошеломлённый её появлением Даниэль не желает признавать в ней свою законную супругу, считая эту женщину самозванкой, претендующей на его состояние. Элизабет — сирота, и её паспорта и фотографий у Даниэля нет (а те, что были, загадочно исчезают). Никто не может подтвердить слова Даниэля — обвенчались они недавно и в уединённом местечке. При этом «жена» ведёт себя не только уверенно, но и крайне нагло в его доме: прекрасно в нём ориентируется, знает почти все подробности их венчания и свадебного путешествия, а заодно другие подробности жизни настоящей Элизабет. Даниэль сразу рассказывает обо всём комиссару, но тот, видя поведение лже-Элизабет, сомневается в том, что она ненастоящая, особенно учитывая крайне агрессивное и эмоциональное поведение Даниэля, хотя и обещает помочь, если эта версия верна. Неожиданно появляется спившийся художник по прозвищу папаша Мерлуш, бывший случайным свидетелем на свадьбе Даниэля и Элизабет. За вознаграждение он готов описать внешность настоящей Элизабет, но самозванная «жена» стреляет в Мерлуша, тут же обвинив Даниэля в убийстве художника (пытаясь спасти свидетеля, он вырвал у неё пистолет). При этом странным кажется поведение всех участников событий. Лже-кюре, изначально пытавшийся играть свою роль, постепенно от неё отходит, лже-Элизабет постоянно нервничает и путается в показаниях, а комиссар полиции ведёт себя крайне грубо и жёстко по отношению к Даниэлю, при этом откровенно заигрывая с самозванной женой, не обращая внимание ни на её странное поведение, ни на то, что она путается в показаниях.
Вызванная комиссаром в качестве свидетельницы медсестра Ивон Берто, оказывавшая прежде Элизабет медицинские услуги, открыто торгует своими показаниями, предлагая признать или не признать самозванку в зависимости от того, кто заплатит ей крупную сумму. По ходу событий Даниэль сначала замечает, что роль «жены» исполняет талантливая актриса, крайне жёстко и бессердечно ведущая себя в отсутствии комиссара полиции и при этом максимально доброжелательно ведущая себя в его присутствии. Кроме того, он замечает, что явно начинает сходить с ума. В конце концов бесконечные трюки и моральное давление на главного героя приносят свои результаты: сначала он сам соглашается получить укол «сыворотки правды» от комиссара, затем замечает, что шприц подменили, и думает, что в другом шприце содержится яд, после чего теряет самоконтроль и заявляет, что настоящая Элизабет мертва, после чего, уже поняв, что назад пути нет, признаётся, что тело его жены находится в горном потоке в лесу Шамуа.
В финале комиссар полиции объясняет, что он является постановщиком разыгранного спектакля, цель которого — заставить Даниэля Корбана признаться в убийстве жены. На самом деле тело Элизабет было найдено через 3 дня после заявления Даниэля (то есть ещё до начала событий, показанных в фильме), и комиссар сразу заподозрил в убийстве её мужа из-за желания получить наследство, однако вместо рутинных допросов он выбрал нетривиальный способ. Супруги-актёры Тарке сыграли роли кюре и Элизабет. Были подключены и настоящие свидетели — папаша Мерлуш (которого на самом деле никто не убивал) и медсестра Ивон Берто. В результате преступник угодил в ловушку.</t>
        </is>
      </c>
      <c r="L7245" s="2" t="inlineStr">
        <is>
          <t>https://ru.wikipedia.org/w/index.php?title=%D0%9B%D0%BE%D0%B2%D1%83%D1%88%D0%BA%D0%B0_%D0%B4%D0%BB%D1%8F_%D0%BE%D0%B4%D0%B8%D0%BD%D0%BE%D0%BA%D0%BE%D0%B3%D0%BE_%D0%BC%D1%83%D0%B6%D1%87%D0%B8%D0%BD%D1%8B&amp;oldid=153201558</t>
        </is>
      </c>
      <c r="M7245" s="2">
        <f>HYPERLINK("https://ru.wikipedia.org/w/index.php?search=%D0%9B%D0%BE%D0%B2%D1%83%D1%88%D0%BA%D0%B0%20%D0%B4%D0%BB%D1%8F%20%D0%BE%D0%B4%D0%B8%D0%BD%D0%BE%D0%BA%D0%BE%D0%B3%D0%BE%20%D0%BC%D1%83%D0%B6%D1%87%D0%B8%D0%BD%D1%8B%201990%20%D1%84%D0%B8%D0%BB%D1%8C%D0%BC","искать")</f>
        <v/>
      </c>
      <c r="N7245" s="3" t="n"/>
      <c r="O7245" s="2" t="n"/>
      <c r="P7245" s="2" t="n"/>
    </row>
    <row r="7246">
      <c r="A7246" s="2" t="n">
        <v>7245</v>
      </c>
      <c r="B7246" s="2" t="inlineStr"/>
      <c r="C7246" s="2" t="n">
        <v>9306</v>
      </c>
      <c r="D7246" s="3" t="inlineStr">
        <is>
          <t>Глухомань</t>
        </is>
      </c>
      <c r="E7246" s="2" t="n">
        <v>1991</v>
      </c>
      <c r="F7246" s="2" t="inlineStr">
        <is>
          <t>кинофильм</t>
        </is>
      </c>
      <c r="G7246" s="2" t="inlineStr">
        <is>
          <t>Ментор Синема</t>
        </is>
      </c>
      <c r="H7246" s="2" t="n">
        <v>3600</v>
      </c>
      <c r="I7246" s="2" t="inlineStr"/>
      <c r="J7246" s="2" t="inlineStr"/>
      <c r="K7246" s="3" t="inlineStr">
        <is>
          <t>После полёта экипаж самолёта прощается с командиром Звягинцевым, который уходит на заслуженный отдых. Он собирается вернуться на родину, в село, где его ждёт взрослая дочь, и земляки которого избрали его депутатом местного Совета. Он приглашает штурмана, майора Виктора Колосова к себе отдохнуть и порыбачить. Получив отпуск, Виктор едет к другу. Его встречает дочь командира Светлана растерянная и обеспокоенная. Её папа пропал 10 дней назад. Девушка рассказывает, что папа исчез, когда она на некоторое время покинула пляж на берегу реки, где они купались и загорали. Река была пуста, хотя перед этим они с отцом видели лодку на другом берегу. Колосов слышит разговор сельчан, что в этом деле на милицию нет никак надежд. Штурман отправляется в отделение милиции. Милиционеры увлечённо играют в домино, а начальник милиции в кабинете проникновенно декламирует предвыборное выступление, написанное для него местным завмагом Семеном Семеновичем. Колосов требует предоставить ему материалы расследования пропажи друга. После некоторого сопротивления капитан Виноградов достаёт тоненькую папку, в которой несколько формальных документов, нужных для закрытия дела. Начальник милиции советует Колосову не вмешиваться в дела милиции, а разбираться у себя в авиации. Виктор знакомится с парнем Светы Сергеем, бывшим десантником, который работает инспектором рыбоохраны. Они решают вместе поехать на тот берег реки, с которого в день пропажи кто-то быстро убрал лодку. На пустынном месте они находят следы колёс грузовика, а в воде обрывок большой сети. Через несколько дней в этом же месте в воде местный рыбак находит всплывшее тело лётчика, запутавшееся в сети. Сергей и Виктор берутся сами расследовать гибель отца Светланы. Они выходят на кооператив, под вывеской которого действуют подозрительные личности. Сергей приносит к ним обрывок сети и просит подсказать, где заказать такую же. Его сводят с мужичком из этого же кооператива. Когда в один из вечеров Сергей со Светланой после прогулки остаются ночевать в охотничьем домике, их запирают там, а домик поджигают. Колосов вовремя приходит на помощь и освободив ребят, помогает отбиться от бандитов из кооператива, которые обстреливают их. Утром Сергей с ружьем приходит в местную пивнушку, где обычно пьянствуют люди из кооператива, но они вовремя скрываются. Один из бандитов подстерегает Свету на опушке леса и угрожает, что всякое может случиться, если Сергей не перестанет вмешиваться в их дела. Испуганная Света убегает, куда глаза глядят, и натыкается на лесной схрон. В нём большое количество икры и рыбы, приготовленные к отправке. Сергей, проверив склад, спешит сообщить о нём начальнику милиции. Тот успокаивает инспектора, что милиция проверит его информацию. Когда Сергей уходит, Виноградов звонит Сергей Сергеевичу и предупреждает, что должен вскоре направить к тайнику милиционеров по заявлению рыбинспектора. Завмаг собирает своих подельников из кооператива, и они спешат вывезти браконьерскую добычу с тайного склада. Сергей с Виктором подъезжают к тайнику, когда загрузка машины в разгаре. Завмаг прерывает погрузку, и группа на грузовике мчится прочь. Двое друзей преследуют бандитов на газике, потом бегут за ними по лесу. Бандиты отстреливаются. Сергей с Виктором подстраховывают друг друга в погоне. Завмаг, бросив своих подельников, бежит к реке, где в камышах припрятана моторная лодка. Колосов стреляет в сторону лодки, пробивает бензобак, и лодка с Семеном Семеновичем взрывается. Светлана и Сергей провожают майора Колосова на поезд. На станции к ним подходит военный патруль, а сзади преграждает путь группа милиционеров.</t>
        </is>
      </c>
      <c r="L7246" s="2" t="inlineStr">
        <is>
          <t>https://gosfilmofond.ru/films/232259/</t>
        </is>
      </c>
      <c r="M7246" s="2">
        <f>HYPERLINK("https://ru.wikipedia.org/w/index.php?search=%D0%93%D0%BB%D1%83%D1%85%D0%BE%D0%BC%D0%B0%D0%BD%D1%8C%201991%20%D1%84%D0%B8%D0%BB%D1%8C%D0%BC","искать")</f>
        <v/>
      </c>
      <c r="N7246" s="3" t="n"/>
      <c r="O7246" s="2" t="n"/>
      <c r="P7246" s="2" t="n"/>
    </row>
    <row r="7247">
      <c r="A7247" s="2" t="n">
        <v>7246</v>
      </c>
      <c r="B7247" s="2" t="inlineStr"/>
      <c r="C7247" s="2" t="n">
        <v>8891</v>
      </c>
      <c r="D7247" s="3" t="inlineStr">
        <is>
          <t>Одиссея капитана Блада</t>
        </is>
      </c>
      <c r="E7247" s="2" t="n">
        <v>1991</v>
      </c>
      <c r="F7247" s="2" t="inlineStr">
        <is>
          <t>кинофильм</t>
        </is>
      </c>
      <c r="G7247" s="2" t="n"/>
      <c r="H7247" s="2" t="n">
        <v>3610</v>
      </c>
      <c r="I7247" s="2" t="inlineStr"/>
      <c r="J7247" s="2" t="inlineStr"/>
      <c r="K7247" s="3" t="inlineStr">
        <is>
          <t>1-я серия. Бриджуотер Англия, 1685 год. В городке восстание, с которым быстро справляется королевская армия. Зачинщиков, не взирая на социальную принадлежность, арестовывают, судят и присуждают каждому по 10 лет каторги в южных колониях Англии. В числе осужденных Питер Блад, молодой бакалавр медицины, которого арестовали, когда он оказывал помощь раненому. Барбадос, 1686 год. Каторжан в цепях привозят на остров. Племянница полковника-рабовладельца Арабелла Бишоп выбирает симпатичного пленника себе в работники, пожалев его. Осужденные англичане днем рубят тростник, а ночью готовятся к побегу. На остров с моря нападают испанцы. В городе начинается мародерство. Питер помогает своей молодой хозяйке спрятаться в безопасном месте. Беглецы захватывают испанский корабль, поднимают пиратский флаг и плывут в столицу пиратов. Тортуга. Начало 1687 года. Местный капитан пиратов Лавасер, в подчинении которого сто человек, предлагает Бладу продать ему корабль. Тот отказывается. Тогда Лавасер пытается склонить его на совместную операцию по захвату испанского золотого прииска на невыгодных команде Блада условиях. Капитан не соглашается и покидает Тортугу. Барбадос, тот же год. Полковника утверждают губернатором колонии. Король ставит ему задачу очистить Карибское море от пиратов.
2-ая серия. Тортуга, конец 1687 года. Лавасер возобновляет разговор с Бладом о захвате золота. Команда корабля склоняет капитана принять предложение. В это время вблизи города на торговом судне вместе с братом путешествует Мадлен, племянница губернатора Тортуги. Лавастер со своими пиратами захватывают судно. Он требует большой выкуп за Мадлен и ее брата. На помощь поспевает Блад. Он платит выкуп и забирает пленников на свой корабль. Лавастер приказывает преследовать корабль Питера и ему приходится вступить в сражение. Раненый Лавасер падает в море и сам добирается до берега. Блад причаливает корабль в порту Тортуги и обнаруживает перебитую охрану и пустые склады, где хранилось золото. Люди губернатора перекрывают кораблю капитана Блада выход в море. Под покровом ночи он выводит свой корабль из окружения. Лавасер, переметнувшийся на сторону губернатора требует свою долю золота. Ему отказывают. Тогда он нападает на судно властей и берет в заложницы Мадлен. Блад со своей командой освобождают корабль губернатора от нападавших и забирают с него золото. Лавасер хочет отнять золото и берет на абордаж судно Блада. Люди Питера одерживают победу. На корабль Блада прибывает представитель английского короля с амнистией капитану и его команде – бывшим каторжанам. Он привозит патент на включение корабля Блада в королевскую флотилию. Капитан отказывается от этой чести. На корабле победителя принимают гостью, племянницу губернатора Бишопа. Она узнает, что корабль носит её имя Арабелла. Судно Блада начинают преследовать корабли губернатора Тортуги. Ради безопасности гостьи и спасения команды он решает принять патент английского короля. Губернатор требует у Блада вернуть золото с испанских приисков. Капитан решает вернуть золото. Спустя некоторое время капитан его Величества короля Англии Питер Блад гостит в имении губернатора колонии. Здесь происходит его встреча с Арабеллой. Питер пытается убедить влюбленную в него девушку, что между ними не может быть ничего общего. Губернатор хочет заставить капитана беспрекословно ему подчиняться. Но свободолюбивый Питер решает отказаться от защиты королевского патента. Дружная команда корабля помогает ему спастись от ареста. Блад возвращается на свой корабль. Капитан спускается в свою каюту. Там ждет его Арабелла, которая решила разделить судьбу любимого человека.</t>
        </is>
      </c>
      <c r="L7247" s="2" t="inlineStr">
        <is>
          <t>https://gosfilmofond.ru/films/232400/</t>
        </is>
      </c>
      <c r="M7247" s="2">
        <f>HYPERLINK("https://ru.wikipedia.org/w/index.php?search=%D0%9E%D0%B4%D0%B8%D1%81%D1%81%D0%B5%D1%8F%20%D0%BA%D0%B0%D0%BF%D0%B8%D1%82%D0%B0%D0%BD%D0%B0%20%D0%91%D0%BB%D0%B0%D0%B4%D0%B0%201991%20%D1%84%D0%B8%D0%BB%D1%8C%D0%BC","искать")</f>
        <v/>
      </c>
      <c r="N7247" s="3" t="n"/>
      <c r="O7247" s="2" t="n"/>
      <c r="P7247" s="2" t="n"/>
    </row>
    <row r="7248">
      <c r="A7248" s="2" t="n">
        <v>7247</v>
      </c>
      <c r="B7248" s="2" t="inlineStr"/>
      <c r="C7248" s="2" t="n">
        <v>8629</v>
      </c>
      <c r="D7248" s="3" t="inlineStr">
        <is>
          <t>Бегущая мишень</t>
        </is>
      </c>
      <c r="E7248" s="2" t="n">
        <v>1991</v>
      </c>
      <c r="F7248" s="2" t="inlineStr">
        <is>
          <t>кинофильм</t>
        </is>
      </c>
      <c r="G7248" s="2" t="inlineStr">
        <is>
          <t>Казахфильм им. Ш. Айманова; ТПО «Алем»</t>
        </is>
      </c>
      <c r="H7248" s="2" t="n">
        <v>3611</v>
      </c>
      <c r="I7248" s="2" t="inlineStr"/>
      <c r="J7248" s="2" t="inlineStr"/>
      <c r="K7248" s="3" t="inlineStr">
        <is>
          <t>После подавления студенческих волнений в Алма-Ате в декабре 1986 года одному из участников Сайджару друг сообщает, что его разыскивает в общежитии милиция и ему нужно срочно уехать из города. Студент садится в поезд, затем на попутной машине и пешком добирается до степного пастбища, но там только заброшенное и полуразрушенное стойбище. Сайджар добирается к ночи до одинокого домика на полустанке и просится переночевать. Одинокая пожилая женщина опасается впустить незнакомца в дом и отправляет его ночевать под навес. Утром за завтраком они знакомятся. Баба Зина работает стрелочником на полустанке и живёт в служебном домике. Из хозяйства у неё корова с телёнком, да собака. Сайджара она принимает за вора или наркомана, так как тот начинает рассказывать ей избитую историю о краже у него документов и денег в поезде. Она уходит на работу, а юноша берётся за работу по дому. Её сердце смягчается, и баба Зина разрешает Сайджару остаться у неё. Спустя несколько дней в неприметный для чужих глаз домик приезжает начальник бабы Зины Алибек с каким-то чиновником, девицами и ящиком спиртного. Чтобы ублажить гостей он требует у женщины зарезать телёнка. Женщина сильно расстроена, но не смеет отказать начальнику. Пир в разгаре, а баба Зина сидит с Сайджаром на завалинке и рассказывает о своей горькой судьбе. На полустанке она прожила с мужем 30 лет, здесь и похоронила его. До этого они вместе были на Колыме и чего только не натерпелись. У Сайджара мать вышла замуж и не интересуется жизнью сына. Во время их разговора из домика выбегает заплаканная девушка и, обращаясь к студенту, говорит, чтобы он уезжал с полустанка, иначе у него вся жизнь пройдёт на обочине, как и у неё, и сгинет он на обочине. Утром Сайджар на попутке уезжает с полустанка и, чтобы заработать деньги на дорогу, трудится на разгрузке вагонов на товарной станции. Но злые работяги обманывают его и жестоко избивают. В товарном вагоне в бессознательном состоянии судьба возвращает его на тот же полустанок, и баба Зина заботливо выхаживает студента. Из телепередачи она узнает, что он участник студенческих волнений, и его разыскивает милиция за подстрекательство к антисоветской деятельности. Она уговаривает его остаться и жить у неё столько, сколько он хочет. Но Сайджар, подлечившись, решает уехать. Баба Зина остается одна. К ней вновь приезжает её начальник Алибек с новой девицей. Он расписывает ей перспективы совместной жизни: «Роза, всё будет наше вокруг, и деньги потекут рекой. Это же золотое дно». Роза ставит условие убрать отсюда бабу Зину. Доброжелательная пожилая женщина не догадывается, какое будущее ей готовят гости. Она накрывает на стол, благодарит начальника, что он приехал разделить с ней свою радость обретения сильных покровителей и победы над врагами-конкурентами. Алибек, издеваясь, заставляет пожилую женщину танцевать до упада под угрозой увольнения, а потом сообщает, что она уволена и приказывает освободить домик. Баба Зина на коленях умоляет его не гнать её с разъезда, так как ей некуда деваться. Алибек неумолим. Сайджар, почувствовав неладное, возвращается к бабе Зине и заставляет Алибека с подругой бежать с полустанка. Тот грозит студенту достать его из-под земли. Но Сайджар, несмотря на угрозы, решает остаться с пожилой женщиной, которая стала для него, как мать, и защищать её. Вернувшись в дом, он видит бабу Зину, неподвижно сидящую на стуле. Она умерла от сердечного приступа. К полустанку приближается пассажирский поезд, который нужно встречать. Заплаканный Сайджар с сигнальным флажком встречает поезд. К переезду подъезжает милицейская машина, и люди в форме скручивают руки юноше.</t>
        </is>
      </c>
      <c r="L7248" s="2" t="inlineStr">
        <is>
          <t>https://gosfilmofond.ru/films/226094/</t>
        </is>
      </c>
      <c r="M7248" s="2">
        <f>HYPERLINK("https://ru.wikipedia.org/w/index.php?search=%D0%91%D0%B5%D0%B3%D1%83%D1%89%D0%B0%D1%8F%20%D0%BC%D0%B8%D1%88%D0%B5%D0%BD%D1%8C%201991%20%D1%84%D0%B8%D0%BB%D1%8C%D0%BC","искать")</f>
        <v/>
      </c>
      <c r="N7248" s="3" t="n"/>
      <c r="O7248" s="2" t="n"/>
      <c r="P7248" s="2" t="n"/>
    </row>
    <row r="7249">
      <c r="A7249" s="2" t="n">
        <v>7248</v>
      </c>
      <c r="B7249" s="2" t="inlineStr"/>
      <c r="C7249" s="2" t="n">
        <v>9589</v>
      </c>
      <c r="D7249" s="3" t="inlineStr">
        <is>
          <t>Принц привидение</t>
        </is>
      </c>
      <c r="E7249" s="2" t="n">
        <v>1990</v>
      </c>
      <c r="F7249" s="2" t="inlineStr">
        <is>
          <t>кинофильм</t>
        </is>
      </c>
      <c r="G7249" s="2" t="n"/>
      <c r="H7249" s="2" t="n">
        <v>3638</v>
      </c>
      <c r="I7249" s="2" t="inlineStr"/>
      <c r="J7249" s="2" t="inlineStr"/>
      <c r="K7249" s="3" t="inlineStr">
        <is>
          <t>Всадник на коне скачет во дворец султана с посланием. Поодаль дворца, в крепости юноша, одетый в дорогую одежду, наблюдает в подзорную трубу за проплывающим по реке парусником. Взгляд его останавливается на красавице, отдыхающей на палубе. Она чувствует его взгляд и хочет узнать, кто наблюдает за ней. Юноша грустен. Его наставник спрашивает, чего ему не хватает, ведь стоит Ахмету что-то пожелать, и у него все будет. Молодой человек сравнивает себя с тигром, сидящим в клетке, у которого есть все, что нужно, но нет свободы. Гонец пребывает во дворец султана и через визиря передает правителю свиток с вестью, что принц Ахмет достиг совершеннолетия и готов занять полагающийся ему трон. Визирь утешает обеспокоенного известием пожилого султана, не желающего отдавать власть, что Ахмет не знает, что он принц. Он предлагает султану упрятать Ахмета подальше, чтобы тот не претендовал на трон. Принцесса берет в очередную прогулку на паруснике подзорную трубу, рассматривает в нее узника крепости и влюбляется в юношу. Ахмад хочет вырваться из стен крепости и найти девушку, которую видел на паруснике. В крепость приезжает визирь. Ахмет говорит визирю, что хочет полной свободы, и тот предлагает юноше сыграть в бильярд. Ставка игры - свобода или смерть принца. Юноша выигрывает, и визирь в сопровождении стражи уводит Ахмета за стены крепости. Принца обманом приводят на скалу, возвышающуюся над морем, и связывают. Поняв, что его обманули, и его ждет смерть, Ахмет отдает визирю свой медальон с просьбой передать его принцессе Ясамин. Визирь сталкивает принца со скалы в море. Ахмета спасает от гибели его наставник, который тайно наблюдает за происходящим. От него Ахмет узнает, что он – принц. Визирь докладывает султану, что принц проиграл и покончил с собой, и передает медальон Ясамин с известием, что юноша покончил с собой из-за любви к ней. Принцесса падает в обморок. Наставник приводит Ахмета в город, где его принимает большая семья водоносов. На рынке, где он продает воду, его замечает Ясамин. Она уверена, что это переодетый в водоноса принц. Принцесса назначает Ахмету свидание. Вечером принц приходит в беседку на территории дворца султана, и у влюбленных проходит романтическое свидание. Начальник дворцовой стражи Бахтияр замечает в султанском саду Ахмета и кричит, что появилось привидение принца. Юноша, спасаясь от стражи, скрывается во дворце султана и попадает в покои султана. Султан от страха прячется под одеяло, Ахмет скрывается. Визирь пытается убедить султана, что привидение приходило к нему. Для того, чтобы привидение больше не интересовалось султаном, он предлагает ему притвориться смертельно больным. Принцесса объявляет, что тот, кто выйдет на бой с привидением и прогонит его, станет ее мужем. На свидании с Ахметом она приглашает его во дворец, якобы для схватки с привидением. Ясамин готова объявить всем, что Ахмет победил привидение, и выйти замуж за победителя. Вечером на дворцовой территории Ахмета хватает охрана, и его помещают в темницу. Бахтияр говорит служанке принцессы, что привидение поймали, и завтра ему отрубят голову. По поручению принцессы служанка бежит в город и зовет городских водоносов спасать Ахмета. Они освобождают юношу. Ахмет сражается с визирем на краю скалы, тот падает вниз и повисает на дереве. Визирь не может спуститься с дерева сам и сбрасывает кольцо – символ власти и свою нарядную одежду пастуху, находящемуся поблизости, чтобы тот спас его. Пастух облачается в одеяние визиря и уходит. Голый визирь висит на дереве, обхватив руками ствол. Ахмет и Ясамин готовы сыграть свадьбу. Султан объявляет, что освободит трон для принца, а сам он хочет нянчить внуков.</t>
        </is>
      </c>
      <c r="L7249" s="2" t="inlineStr">
        <is>
          <t>https://gosfilmofond.ru/films/277055/</t>
        </is>
      </c>
      <c r="M7249" s="2">
        <f>HYPERLINK("https://ru.wikipedia.org/w/index.php?search=%D0%9F%D1%80%D0%B8%D0%BD%D1%86%20%D0%BF%D1%80%D0%B8%D0%B2%D0%B8%D0%B4%D0%B5%D0%BD%D0%B8%D0%B5%201990%20%D1%84%D0%B8%D0%BB%D1%8C%D0%BC","искать")</f>
        <v/>
      </c>
      <c r="N7249" s="3" t="n"/>
      <c r="O7249" s="2" t="n"/>
      <c r="P7249" s="2" t="n"/>
    </row>
    <row r="7250">
      <c r="A7250" s="2" t="n">
        <v>7249</v>
      </c>
      <c r="B7250" s="2" t="inlineStr"/>
      <c r="C7250" s="2" t="n">
        <v>9152</v>
      </c>
      <c r="D7250" s="3" t="inlineStr">
        <is>
          <t>Циники</t>
        </is>
      </c>
      <c r="E7250" s="2" t="n">
        <v>1991</v>
      </c>
      <c r="F7250" s="2" t="inlineStr">
        <is>
          <t>кинофильм</t>
        </is>
      </c>
      <c r="G7250" s="2" t="n"/>
      <c r="H7250" s="2" t="n">
        <v>3719</v>
      </c>
      <c r="I7250" s="2" t="inlineStr"/>
      <c r="J7250" s="2" t="inlineStr"/>
      <c r="K7250" s="3" t="inlineStr">
        <is>
          <t>Первые послереволюционные годы в Питере. Молодой интеллигент несёт на рынок редкую книгу, где меняет её на хлеб и сало. Как солнце среди туч – улыбка очаровательной девушки, неожиданно угостившей его шоколадной конфетой. Молодые люди знакомятся и вместе уходят с рынка. Родители Ольги сбежали за границу, а ей поручили сохранить квартиру. Чтобы жильё осталось в неприкосновенности, отец посоветовал Ольге, капризной и взбалмошной девушке, выросшей за границей, выйти замуж за большевика. Оля и Володя начинают встречаться, она переезжает к нему и вскоре влюбленные женятся. Владимир преподает в университете и делает для любимой избалованной жены всё, чтобы она была счастлива и получала от жизни удовольствие. Володя знакомит жену со своим старшим братом Сергеем – большевиком и партийным функционером. Он устраивает Ольгу на ответственную должность в своем аппарате, и она начинает относиться к мужу с высокомерием и презрением. Ольга не скрывает, что Сергей стал её любовником. Владимир в отчаянии на грани самоубийства, но в последнюю минуту останавливается. Дело кончается глубоким запоем, после чего Володя, похоже, успокаивается и покоряется судьбе. Он живёт рядом с любимой женой, которая его унижает, пренебрегает им, покорно выполняет её желания и просьбы, которые больше похожи на приказы. Сергея назначили командующим армией и вскоре он должен уехать на фронт с комфортом, положенным такому чину. Проходит время. Сергей возвращается с фронта на инвалидной коляске и поселяется с ними. Теперь он, покалеченный и беспомощный, не интересует Ольгу. У неё наступает очередная депрессия. Она нигде не работает и ничем не увлекается. Володя, чтобы отвлечь супругу, ведёт её в ресторан. В России период новой экономической политики НЭП. Хозяин ресторана, простоватый на вид, обращает внимание на аристократичную Ольгу и старается всячески угодить гостям за столиком. Ольга цинично спрашивает у ресторатора Ильи Петровича Докучаева, переспал бы он с нею за 15 тысяч долларов. Докучаеву неловко, что женщина делает предложение в присутствии своего мужа, но он дает знать, что жаждет заполучить её. Вскоре Ольга оказывается в постели у нэпмена. Она командует им и унижает его в постели, а сразу же после соития требует деньги. Ольга открыто посещает спальню Ильи Петровича, несмотря на то, что у него есть любящая и заботливая жена. Она без стеснения объявляет Володе и Сергею о своей новой связи. В дорогих мехах, пахнущая французскими духами, всегда с букетом цветов и коробкой любимых конфет она пользуется деньгами любовника, как своими. Однажды она приглашает его в квартиру Володи, где предлагает всем сыграть в игру. Условие - говорить друг другу гадости и задавать любые вопросы, на которые должен быть правдивый ответ. Разгневавшийся проигрывает. Ольга высказывает Сергею, что ей ненавистно его убогое казарменное будущее и просит Докучаева рассказать, как он зарабатывает деньги. Тот хвастливо раскрывает спекулятивный источник своего огромного капитала. А ночью черный «воронок» забирает его из квартиры. Сергей сдал его органам. Вскоре Сергей объявляет, что выезжает из квартиры брата и начинает строить новую жизнь. Но у него жизнь не складывается: в ходе чистки он теряет партийный билет, а вместе с ним и положение в обществе. Ольга пресытилась жизнью и уже ничего не хочет, ни к чему не стремится. Всё время она проводит дома. Ей скучно жить. Однажды она звонит Владимиру в университет и сообщает, что через пять минут покончит жизнь самоубийством. Он мчится домой и находит жену в постели. Безмятежно улыбаясь, она просит у него подать любимую конфету, а потом сообщает, что выстрел сделан и к вечеру она, вероятно, умрет. Весна. Володя идёт по городу и безмятежно улыбается. Он говорит, что счастлив.</t>
        </is>
      </c>
      <c r="L7250" s="2" t="inlineStr">
        <is>
          <t>https://gosfilmofond.ru/films/232579/</t>
        </is>
      </c>
      <c r="M7250" s="2">
        <f>HYPERLINK("https://ru.wikipedia.org/w/index.php?search=%D0%A6%D0%B8%D0%BD%D0%B8%D0%BA%D0%B8%201991%20%D1%84%D0%B8%D0%BB%D1%8C%D0%BC","искать")</f>
        <v/>
      </c>
      <c r="N7250" s="3" t="n"/>
      <c r="O7250" s="2" t="n"/>
      <c r="P7250" s="2" t="n"/>
    </row>
    <row r="7251">
      <c r="A7251" s="2" t="n">
        <v>7250</v>
      </c>
      <c r="B7251" s="2" t="inlineStr"/>
      <c r="C7251" s="2" t="n">
        <v>9418</v>
      </c>
      <c r="D7251" s="3" t="inlineStr">
        <is>
          <t>Князь Удача Андреевич</t>
        </is>
      </c>
      <c r="E7251" s="2" t="n">
        <v>1989</v>
      </c>
      <c r="F7251" s="2" t="inlineStr">
        <is>
          <t>кинофильм</t>
        </is>
      </c>
      <c r="G7251" s="2" t="n"/>
      <c r="H7251" s="2" t="n">
        <v>3741</v>
      </c>
      <c r="I7251" s="2" t="inlineStr"/>
      <c r="J7251" s="2" t="inlineStr"/>
      <c r="K7251" s="3" t="inlineStr">
        <is>
          <t>Перестройка. Провинциальный городок в русском Нечерноземье («Прилуки»). Учительница вызвала в школу отцов своих учеников Вити Елхо́ва (по прозвищу Винт) и Севы Кухтина (Кухня) и цитирует школьное сочинение, в котором школьники защищают старинную топонимику края, которая многим кажется неблагозвучной или ретроградной (улица Кукуевка, деревня Кресты). Гнев учительницы вызван тем, что тема сочинения была «спущена сверху», и детям предлагалось придумать и обосновать новые, «современные» названия для городских улиц и сельских населённых пунктов в духе решения властей о переименовании.
Винт и Кухня идут против мнения педагогов и родителей, ища подтверждения своей правоты. К неудовольствию учительницы русского языка, они популяризируют среди одноклассников словарь Даля. Едут в Кресты, но не успевают — теперь это не «Кресты», а «Новый Быт». Из беседы со старожилом в соседней деревне («Китайке») они узнают про легенду об удельном князе времен могущества Золотой Орды Удаче Андреевиче по прозвищу «Волкохищная собака» и о спрятанных им от татар сокровищах.
Мальчики идут в библиотеку, где обнаруживают, что из старинной книги о княжеском кладе вырваны страницы. По книжному формуляру детективы выходят на двух подозреваемых: Шильникова и Касториева. У школьников есть подозрения в том, что клад нашёл кто-то из них. Прикинувшись любителями русского языка, они начинают расследование.
Касториев зарабатывает обучением музыке, и признаков богатства в его доме нет. Он интересуется историей, но ищет исключительно доказательства того, что его род якобы один из древнейших и заслуженнейших на Руси. Касториев произносит речь, где указывает на несуразность русского языка и неясность происхождения русского народа.
Рубщик мяса из универсама Шильников живёт в двухэтажном особняке. Им юные любители словесности заинтересовались больше. По случайному стечению обстоятельств вскоре его арестовывают. Мальчики узнают от следователя, что задержанный оказался членом шайки, занимавшейся хищением продуктов питания (для 1989 года — очень актуальный вид преступления).
При обыске милиция обнаруживает в доме Шильникова старинные иконы, а также утраченные страницы. Следователь вспоминает о «любителях» и находит их в школе. Сначала он везёт их домой к Касториеву, чтобы проверить — вдруг тот также входит в шайку. В беседе с ним капитан убеждается в его невиновности, тем более, что Касториев резко меняет тональность своих суждений в отношении русского народа (чтобы не нажить неприятностей с советским УК). Шильников на очной ставке свидетельствует, что ничего не знает о кладе, после школы не прочитал ни одной книги, а изъятый антиквариат достался ему в наследство от бабушки.
Происхождение икон помог раскрыть вызванный в качестве свидетеля племянник Шильникова, археолог, который сознался в том, что это он испортил когда-то раритет, взятый им в библиотеке по паспорту дяди. Он рассказал следователю об антиквариатчике Северьянове, который в молодости попался на гробокопательстве, а компетентным органам разъяснил, что нашёл старинный клад.
Этой легендой Северьян породил «золотую лихорадку» в округе, одной из «жертв» которой стал племянник. Он отрицает принадлежность найденных икон семье Шильниковых. Кухня и Винт вспомнили, что иконы Шильникову-старшему передал старик, который и оказался тем самым Северьяном. Вскрыв квартиру Северьянова, его обнаруживают мёртвым. В квартире находят огромную сумму наличными, хотя только накануне хозяин занял у соседки-пенсионерки один рубль.
На школьном построении милиция выражает благодарность за помощь в раскрытии преступления обоим школьникам и даже их учительнице — за то, что она якобы привила ученикам любовь к русскому языку, однако учительница не унимается и снова вызывает родителей в школу.</t>
        </is>
      </c>
      <c r="L7251" s="2" t="inlineStr">
        <is>
          <t>https://ru.wikipedia.org/w/index.php?title=%D0%9A%D0%BD%D1%8F%D0%B7%D1%8C_%D0%A3%D0%B4%D0%B0%D1%87%D0%B0_%D0%90%D0%BD%D0%B4%D1%80%D0%B5%D0%B5%D0%B2%D0%B8%D1%87&amp;oldid=141238737</t>
        </is>
      </c>
      <c r="M7251" s="2">
        <f>HYPERLINK("https://ru.wikipedia.org/w/index.php?search=%D0%9A%D0%BD%D1%8F%D0%B7%D1%8C%20%D0%A3%D0%B4%D0%B0%D1%87%D0%B0%20%D0%90%D0%BD%D0%B4%D1%80%D0%B5%D0%B5%D0%B2%D0%B8%D1%87%201989%20%D1%84%D0%B8%D0%BB%D1%8C%D0%BC","искать")</f>
        <v/>
      </c>
      <c r="N7251" s="3" t="n"/>
      <c r="O7251" s="2" t="n"/>
      <c r="P7251" s="2" t="n"/>
    </row>
    <row r="7252">
      <c r="A7252" s="2" t="n">
        <v>7251</v>
      </c>
      <c r="B7252" s="2" t="inlineStr"/>
      <c r="C7252" s="2" t="n">
        <v>8068</v>
      </c>
      <c r="D7252" s="3" t="inlineStr">
        <is>
          <t>Отпуск в сентябре</t>
        </is>
      </c>
      <c r="E7252" s="2" t="n">
        <v>1979</v>
      </c>
      <c r="F7252" s="2" t="inlineStr">
        <is>
          <t>телефильм</t>
        </is>
      </c>
      <c r="G7252" s="2" t="n"/>
      <c r="H7252" s="2" t="n">
        <v>3747</v>
      </c>
      <c r="I7252" s="2" t="inlineStr"/>
      <c r="J7252" s="2" t="inlineStr"/>
      <c r="K7252" s="3" t="inlineStr">
        <is>
          <t>Инженер Виктор Зилов (Олег Даль) — типичный интеллигент «эпохи застоя». Однажды, проснувшись утром, он получает (в качестве своеобразной «милой шутки») траурный венок от «безутешных друзей».
Несколькими месяцами ранее Зилов на работе получает долгожданную квартиру и устраивает новоселье для друзей, с которыми дружит ещё со школьных времён. Галина, жена Виктора (Ирина Купченко), возлагает на квартиру большие надежды: ей кажется, что теперь начнётся счастливая жизнь.
Зилов переживает душевный кризис — экзистенциальный вакуум. Из-за ощущения безысходности он много пьёт, заводит романы с женщинами, ведёт себя как циник и нигилист. Галина всё ещё любит Виктора и хочет от него ребёнка, но Зилов привык к бесцельной жизни и считает, что ребёнок — это обуза.
Одна из любовниц Зилова, его бывшая одноклассница Вера (Ирина Резникова), напрашивается на новоселье в компании начальника Зилова (Евгений Леонов), где знакомится с приятелем Зилова Николаем Кузаковым (Николай Бурляев). Друзья дарят новосёлу набор охотника для сентябрьской утиной охоты — единственного занятия, которое вызывает у Виктора подлинный и неугасающий интерес.
Зилов и его приятель Анатолий Саяпин (Юрий Богатырёв) — сотрудники научного института. Решив схалтурить (и одновременно помочь Анатолию с получением квартиры), Зилов — в общем-то способный человек — подсовывает своему начальнику «липовый» проект, однако тот обнаруживает подлог и устраивает разнос Зилову и Саяпину. Виктор пытается представить дело так, будто начальник придирается к ним из-за того, что Вера «продинамила» Кушака после новоселья. Однако отношения с начальником портятся.
Зилов знакомится со студенткой-первокурсницей Ириной (Наталия Миколышина) и приглашает её в кафе, где работает официантом его приятель Дима (Геннадий Богачёв). Одновременно он получает телеграмму: у Виктора умер отец, и он должен ехать на похороны. Случайно увидев Виктора с Ириной, Галина принимает решение покинуть его. Виктор пытается остановить её, но безуспешно. Зилов занимает у официанта деньги, но ехать на похороны он не собирается.
Виктор устраивает перед традиционным сентябрьским отпуском ужин в кафе и приглашает всех своих друзей, Ирину и своего начальника. Однако он напивается до беспамятства и устраивает скандал, выставив всех без исключения приглашённых гостей и «друзей» в самом неблаговидном свете, правдиво и недвусмысленно живописуя их характеры и отношения между собой. Гости оскорбляются, Кузаков даже пытается подраться с Виктором, но его останавливает официант Дима, который, впрочем, также становится «мишенью» для Зилова (Виктор обзывает Диму «лакеем», за что получает по лицу).
На следующее утро Виктор просыпается один в пустой необустроенной квартире. Стол на кухне заставлен пустыми бутылками. Он опохмеляется и начинает готовиться к охоте. Получив траурный венок с дарственной надписью «от безутешных друзей», он вспоминает, что накануне его друзья вернулись за ним в кафе, вытащили его из-под стола и доставили домой, но затем решили отомстить ему за испорченный вечер. Он узнаёт, что Ирина выписалась из общежития, забрала документы из института и уехала. В приступе депрессии Зилов звонит Диме, извиняется за своё поведение и отменяет долгожданную поездку на утиную охоту, приглашая Диму «на поминки». Виктор решает покончить жизнь самоубийством и пытается застрелиться из ружья, но его спасает внезапный телефонный звонок, в котором слышатся лишь гудки повешенной трубки. Прибывшие в этот момент Анатолий и Николай обезоруживают его, но Дима, приехавший следом, после короткого разговора с Виктором уходит вместе с ними, оставляя Зилова наедине с заряженным ружьём. Через несколько часов Дима, ожидавший друга возле дома, звонит Зилову. Тот, успокоившись, соглашается отправиться на охоту.</t>
        </is>
      </c>
      <c r="L7252" s="2" t="inlineStr">
        <is>
          <t>https://ru.wikipedia.org/w/index.php?title=%D0%9E%D1%82%D0%BF%D1%83%D1%81%D0%BA_%D0%B2_%D1%81%D0%B5%D0%BD%D1%82%D1%8F%D0%B1%D1%80%D0%B5&amp;oldid=153290172</t>
        </is>
      </c>
      <c r="M7252" s="2">
        <f>HYPERLINK("https://ru.wikipedia.org/w/index.php?search=%D0%9E%D1%82%D0%BF%D1%83%D1%81%D0%BA%20%D0%B2%20%D1%81%D0%B5%D0%BD%D1%82%D1%8F%D0%B1%D1%80%D0%B5%201979%20%D1%84%D0%B8%D0%BB%D1%8C%D0%BC","искать")</f>
        <v/>
      </c>
      <c r="N7252" s="3" t="n"/>
      <c r="O7252" s="2" t="n"/>
      <c r="P7252" s="2" t="n"/>
    </row>
    <row r="7253">
      <c r="A7253" s="2" t="n">
        <v>7252</v>
      </c>
      <c r="B7253" s="2" t="inlineStr"/>
      <c r="C7253" s="2" t="n">
        <v>8677</v>
      </c>
      <c r="D7253" s="3" t="inlineStr">
        <is>
          <t>Гений</t>
        </is>
      </c>
      <c r="E7253" s="2" t="n">
        <v>1991</v>
      </c>
      <c r="F7253" s="2" t="inlineStr">
        <is>
          <t>кинофильм</t>
        </is>
      </c>
      <c r="G7253" s="2" t="inlineStr">
        <is>
          <t>Ленфильм</t>
        </is>
      </c>
      <c r="H7253" s="2" t="n">
        <v>3798</v>
      </c>
      <c r="I7253" s="2" t="inlineStr"/>
      <c r="J7253" s="2" t="inlineStr"/>
      <c r="K7253" s="3" t="inlineStr">
        <is>
          <t>Часть 1. Афера.
Приморский город, толкучка времён перестройки. Двое молодых людей предлагают лицам кавказской национальности купить у них спутниковые антенны, которые «берут весь мир». Перед проверкой товара друзья настраивают оборудование, которое будет передавать ложный телевизионный сигнал якобы из-за границы. Афера прошла успешно, и продавцы получают дипломат с деньгами.
Деньги приносят творцу аферы скромному директору овощного магазина Сергею Ненашеву. Он – талантливый инженер-изобретатель, но не востребованность профессии во время перестройки заставила его пойти в торговлю.
Сергей влюблен в студентку Настю, которую он увидел в парикмахерской. Один из исполнителей его афер Костя, продавец овощного магазина, стремится угодить шефу. Он сообщает Насте, что она нравится Сергею и, как знаки внимания от него, посылает ей роскошные букеты. Семья Насти скромного достатка, и отец категорически запрещает ей встречаться с «кооперативщиками-дармоедами». Отец чрезмерно донимает ни в чем не повинную дочь упреками, и она уходит из дома.
Возмущенная она идет к Сергею, чтобы выразить протест против вмешательства в её личную жизнь. Он удивлен приходу девушки да ещё в его дня рождения и приглашает её присоединиться к торжеству. Сергей ведёт себя корректно и достойно. У Насти зарождается симпатия к молодому человеку. После вечеринки они гуляют вдвоем до утра, и Настя признается Сергею, что она ушла из дома. Ненашев предлагает девушке жить у него.
Тем временем Сергей с командой успешно проворачивают новые и новые аферы, получая крупные суммы денег от бывших партийных функционеров, а ныне солидных и состоятельных людей стремящихся сохранить свою репутацию.
За Сергеем начинают охотиться бандиты, связанные с кавказцами. В милиции возбуждается уголовное дело по заявлению пострадавшего от одной из афер. Сергей не останавливает подготовленные аферы, хотя это становится вдвойне опасно. Но действия его точно рассчитаны и милиция не в состоянии предотвратить аферу или поймать её исполнителей на месте преступления.
Отношения Сергея с Настей развиваются, но он не спешит форсировать развитие отношений с девушкой. Настя чувствует себя комфортно в его доме. Она живёт в спокойной обстановке и имеет финансовую свободу благодаря Сергею. Кажется, что так будет всегда.
Часть 2. Картофельный папа.
Сергей прогоняет с работы продавца Костю за обвес покупателей. В отместку тот сдает Сергея бандитам. Они нагрянули в квартиру Сергея со своим главарем «Принцем», чтобы отомстить за аферу с телевизионными антеннами. Настя беспокоится за Ненашева и впервые признаётся ему, как он ей дорог. После того, как Сергей выполнил требования бандитов и привёз главарю крупную сумму денег, они назначают новые условия, заплатить неимоверно высокую сумму в100 тысяч долларов, и берут в заложники Настю и маленькую дочь Ненашева.
Понимая, что ему негде взять такие деньги и опасаясь за жизнь близких людей, Сергей приходит в милицию. К операции по поимке бандитов и освобождению заложников подключается служба государственной безопасности. Разрабатывается операция, в которую Сергею предстоит включиться. В сопровождении отряда милиции он везёт меченые доллары в загородный дом Принца, где бандитов должны взять в момент передачи денег. По пути на операцию майор убеждает Ненашева написать добровольное признание в аферах.
В ходе молниеносного захвата Принца арестовывают, а предатель Костя погибает в перестрелке. Заложников освобождают. Настя признаётся в любви Сергею. Майор милиции, имея письменное признание Ненашева, готов арестовать его. Но Сергей написал признание чернилами, которые на глазах у майора обесцвечиваются. Доказательств преступлений Сергея перед законом нет, и майор вынужден отпустить Ненашева. Счастливые и свободные Сергей, Настя и маленькая дочь Ненашева уходят прочь от дома Принца.</t>
        </is>
      </c>
      <c r="L7253" s="2" t="inlineStr">
        <is>
          <t>https://gosfilmofond.ru/films/232258/</t>
        </is>
      </c>
      <c r="M7253" s="2">
        <f>HYPERLINK("https://ru.wikipedia.org/w/index.php?search=%D0%93%D0%B5%D0%BD%D0%B8%D0%B9%201991%20%D1%84%D0%B8%D0%BB%D1%8C%D0%BC","искать")</f>
        <v/>
      </c>
      <c r="N7253" s="3" t="n"/>
      <c r="O7253" s="2" t="n"/>
      <c r="P7253" s="2" t="n"/>
    </row>
    <row r="7254">
      <c r="A7254" s="2" t="n">
        <v>7253</v>
      </c>
      <c r="B7254" s="2" t="inlineStr"/>
      <c r="C7254" s="2" t="n">
        <v>9145</v>
      </c>
      <c r="D7254" s="3" t="inlineStr">
        <is>
          <t>Хмель</t>
        </is>
      </c>
      <c r="E7254" s="2" t="n">
        <v>1991</v>
      </c>
      <c r="F7254" s="2" t="inlineStr">
        <is>
          <t>кинофильм</t>
        </is>
      </c>
      <c r="G7254" s="2" t="n"/>
      <c r="H7254" s="2" t="n">
        <v>3817</v>
      </c>
      <c r="I7254" s="2" t="inlineStr"/>
      <c r="J7254" s="2" t="inlineStr"/>
      <c r="K7254" s="3" t="inlineStr">
        <is>
          <t>Фильм I «Крепость». Начало 19 века. Западно-сибирские просторы. Беглый каторжанин, обессилив, падает вблизи поселения староверцев. Старцы приводят его к духовному отцу общины Филарету. Александр Лопарев служил мичманом в Петербурге и во время восстания на Сенатской площади не присягнул царю, за что был лишен всего и сослан в Сибирь. Филарет приказал освободить беглеца от оков, спрятать от чужих глаз и обеспечить уход за истощенным человеком. Молодой женщине Ефимии поручено ухаживать за Александром, но запрещено разговаривать с ним. Нравы у древних христиан суровые: за непослушание женщину могут сжечь, как еретичку. У Ефимии и Лопарева установились доверительные отношения. Она рассказывает ему о тяжести духа в общине, хотя зримых оков не увидишь. Сама она ищет путь к свободе духа и имеет поддержку в семье дяди Третьяка, которого изгнали из поселения за неподчинение Филарету. У молодых людей возникает притяжение друг к другу. Местные старцы дают Александру 5 дней на размышление, примет ли он их веру и останется ли в общине. Его отправляют в лесное стойбище, где ему предстоит все обдумать и дать ответ. В лес к Александру приходит Ефимия в греховном наряде – сарафане и признается, что она ищет у него любви, а не греховного блуда. Хотя она жена сына Филарета, но между ними нет любви, а он взял её силой. Девушка проводит ночь с возлюбленным. Ефимия понимает, что они не смогут выжить одни, и им путь – возвращение в общину. Утром она оставляет Александру охранную грамоту и поддельный паспорт, которыми он будет защищен в общине и сможет обрести силу и власть. С иконами и свечами общинники едут в лес к Лопареву. Он сообщает, что принимает веру. Александр показывает Филарету пачпот, в котором написано, что он, Лопарев, посланник Иерусалима. Все падают перед ним ниц. Лопарев возвращается в деревню. Через Ефимию он вступает в контакт с семьей Третьяка. Они готовят свержение Филарета, который держит в страхе всю деревню. На помощь селян бунтари не рассчитывают, но знают, что у Филарета есть тайный враг старец Калистрат.
Фильм II «Исход». Предатель закладывает Филарету Третьяка и его компанию. Мстительный Филарет решает, в первую очередь разделаться с Ефимией и Лопаревым. Он устраивает ссудный спрос у жителей деревни, после чего женщину объявили блудницей и ведьмой. Александра тем временем отправляют в лес, якобы, на охоту, где его избивают и бросают в овраг. Ефимию пытают. Её ребенка от сына Филарета душат, чтобы он не смог отомстить за муки матери, когда вырастет. Старцы одобряют зверства духовного властителя, и только единственный из них Калистрат, направляет против Филарета посох, которым ему приказано добить Ефимию, и повергает его с духовного престола. Калистрат развязывает плененную Ефимию. Трусливое окружение Филарета поет анафему своему бывшему духовнику, и старцы провозглашают новым праведником Калистрата, а Филарета сажают на цепь. В поселение возвращается дядя Ефимии Третьяк и агитирует сельчан перебираться глубже в Сибирь, в богатые природными ресурсами места. Сын Филарета Макей возвращается из похода и проклинает отца за убийство своего наследника и отвергает бога за то, что тот не сохранил ребенка. Его хотят казнить как еретика, но потом отпускают с миром. Ефимия не следует за мужем, а остается с Александром. Макей работает в городе грузчиком и проговаривается, что в общине живет барин. Власти посылают конный отряд в поселение. Третьяк и Калистрат выдают Лопарева и его забирают из избы Ефимии. Не желая жить без любимого, она поджигает изнутри свою избу и сгорает в ней. Власти не хотят разбираться, кто прав, кто виноват в общине, и выгоняют людей из поселения. Им даются сутки на сборы. Конец лета, урожай ещё не собран, но общинники вынуждены, наспех собрав пожитки, покидать насиженные места. Обозы движется в Сибирь на Енисей. Впереди голодная зима.</t>
        </is>
      </c>
      <c r="L7254" s="2" t="inlineStr">
        <is>
          <t>https://gosfilmofond.ru/films/232611/</t>
        </is>
      </c>
      <c r="M7254" s="2">
        <f>HYPERLINK("https://ru.wikipedia.org/w/index.php?search=%D0%A5%D0%BC%D0%B5%D0%BB%D1%8C%201991%20%D1%84%D0%B8%D0%BB%D1%8C%D0%BC","искать")</f>
        <v/>
      </c>
      <c r="N7254" s="3" t="n"/>
      <c r="O7254" s="2" t="n"/>
      <c r="P7254" s="2" t="n"/>
    </row>
    <row r="7255">
      <c r="A7255" s="2" t="n">
        <v>7254</v>
      </c>
      <c r="B7255" s="2" t="inlineStr"/>
      <c r="C7255" s="2" t="n">
        <v>9224</v>
      </c>
      <c r="D7255" s="3" t="inlineStr">
        <is>
          <t>Без правосудия</t>
        </is>
      </c>
      <c r="E7255" s="2" t="n">
        <v>1991</v>
      </c>
      <c r="F7255" s="2" t="inlineStr">
        <is>
          <t>кинофильм</t>
        </is>
      </c>
      <c r="G7255" s="2" t="inlineStr">
        <is>
          <t>Киностудия им. Горького, киностудия «Зодиак»</t>
        </is>
      </c>
      <c r="H7255" s="2" t="n">
        <v>3823</v>
      </c>
      <c r="I7255" s="2" t="inlineStr"/>
      <c r="J7255" s="2" t="inlineStr"/>
      <c r="K7255" s="3" t="inlineStr">
        <is>
          <t>Это случилось в российском провинциальном городке в наше время. В семье Германа Петровича убивают жену Аду, а спустя несколько дней дочь Соню, 18-летнюю студентку. У девушки незадолго до убийства была помолвка с Егором. Соседи и знакомые, как один, говорят о подозрении в убийстве Антона, любителя игры в покер. Накануне гибели Ады, он просил у неё в долг деньги. В доме пропал драгоценный черный крест Ады. Его нашли в кармане плаща Антона. Суд приговорил его к высшей мере наказания, и молодой человек был расстрелян. Друг семьи вспоминает, что на вечеринке в честь помолвки дочери Ада говорила, что крест имеет магическую силу и, если он пропадет, быть беде. Прадед их семьи дворянских корней женился на цыганке. Сама Ада хорошо гадала, и было в ней что-то мистическое. Женщина любила бывать на кладбищах и мечтала о том, что её когда-нибудь похоронят в семейном склепе. Ада не хотела, чтобы её дочь выходила замуж за Егора. Тогда он в шутку обмолвился, что в таком случае её придется убить. Егор вновь и вновь переживает обстоятельства случившейся трагедии. Он пытается выяснить, кто мог ненавидеть Аду. В юности она работала медсестрой и дружила с Васькой по прозвищу Морг. В Аду влюбился главврач больницы, и она вышла за него замуж. Вася считал, что это брак по расчету. Корни Германа были дворянские, вот и стала она дворянкой. А крест черный сам Вася ей подарил. Вокруг Егора, пытающегося понять происходящее, стали происходить странные вещи. Через год он находит на могиле Сони свой засохший букет, подаренный ей, живой, когда-то, а под ним её пропавший шарф. Он пытается понять, что это за знаки. От соседа семьи Романа Егор узнает, что глава семьи Герман погуливает, и вокруг него сосредотачиваются деньги и страсти. Егор переживает, что подозревая Антона, они все стали убийцами невиновного и решает сам провести расследование. Герман жалуется, что с тех пор, как Егор вообразил себя следователем, его личная жизнь стала невыносимой. Обстановка накаляется. Егору кто-то звонит и многозначительно молчит в трубку, ночью он слышит женский крик в темном подъезде. В другой раз голос по телефону призывает его к покаянию. Как апофеоз, в один из дней весь двор видит в окне квартиры, где были убиты женщины, Соню-покойницу живой. Егор спешит в квартиру. Он рад, что Соня жива и говорит, что любит её. Но она отстраняется от него и заявляет, что не Антон виновен в смерти Ады. Умирающая мать сказала ей, что её жених Егор – убийца и призвала бежать от него. Чтобы спасти дочь, отец инсценировал её убийство и похороны. Узнав, что невинный Антон казнен, она решила, что её жених должен ответить за все, и поклялась преследовать его до конца. А в это время на лестнице пытался перерезать себе вены их молодой сосед Роман. Егор понял, кто является убийцей Ады и крикнул Роману, чтобы он бежал, иначе его расстреляют. Выяснилось, что незадолго до трагических событий Рома собирался поехать в Орел, Ада попросила его разыскать там Варвару Захарьину, которая работала машинисткой и узнать о её жизни. Это была её и Васи брошенная в детстве дочь. Сосед нашел девушку. Варя тайно приехала в Москву, остановилась у Романа и стала наблюдать за матерью. В них обеих было что-то темное, мистическое. Варвара хотела заполучить черный крест – подарок своего отца матери. С Романом у них возникла любовная связь, но он чувствовал, что жизнь с Варей вовлекала его в какую-то черную бездну. Однажды возлюбленная выразила желание посмотреть, как живет её богатая мамаша. Повинуясь желанию любимой, Рома залез в окно квартиры соседей, забрал там черный крест и открыл входную дверь Варваре. Их увидела Ада и стала прогонять из квартиры. «Не подумаю, мамуля», - дерзко заявила Варя. Ада стала кричать на Романа, обзывать и унижать его. Нервы у Ромы не выдержали, и он убил соседку. Вместе с Варей они покинули квартиру через черный ход.</t>
        </is>
      </c>
      <c r="L7255" s="2" t="inlineStr">
        <is>
          <t>https://gosfilmofond.ru/films/226095/</t>
        </is>
      </c>
      <c r="M7255" s="2">
        <f>HYPERLINK("https://ru.wikipedia.org/w/index.php?search=%D0%91%D0%B5%D0%B7%20%D0%BF%D1%80%D0%B0%D0%B2%D0%BE%D1%81%D1%83%D0%B4%D0%B8%D1%8F%201991%20%D1%84%D0%B8%D0%BB%D1%8C%D0%BC","искать")</f>
        <v/>
      </c>
      <c r="N7255" s="3" t="n"/>
      <c r="O7255" s="2" t="n"/>
      <c r="P7255" s="2" t="n"/>
    </row>
    <row r="7256">
      <c r="A7256" s="2" t="n">
        <v>7255</v>
      </c>
      <c r="B7256" s="2" t="inlineStr"/>
      <c r="C7256" s="2" t="n">
        <v>9516</v>
      </c>
      <c r="D7256" s="3" t="inlineStr">
        <is>
          <t>Ночь</t>
        </is>
      </c>
      <c r="E7256" s="2" t="n">
        <v>1990</v>
      </c>
      <c r="F7256" s="2" t="inlineStr">
        <is>
          <t>кинофильм</t>
        </is>
      </c>
      <c r="G7256" s="2" t="n"/>
      <c r="H7256" s="2" t="n">
        <v>3837</v>
      </c>
      <c r="I7256" s="2" t="inlineStr"/>
      <c r="J7256" s="2" t="inlineStr"/>
      <c r="K7256" s="3" t="inlineStr">
        <is>
          <t>Москва 80-х 20-го столетия. Девушка на машине подъезжает к валютному магазину «Березка» и входит в него. За нею наблюдают четверо мужчин. Спустя некоторое время они хватают девушку, отвозят ее на свалку и показывают ей, как расправляются с тем, кто не делится с ними доходами. Поздняя осень, вечер. Девушка в шубе, выскочив из машины, устремляется к телефону-автомату. Она звонит нескольким знакомым с просьбой пустить ее переночевать, но никто не откликается на просьбу. Тогда она останавливает нищенку и под угрозой расправы заставляет ее снять одежду. Девушка переодевается в старые поношенные вещи, а свою роскошную шубу бросает испуганной женщине. Та, подхватив шубу, убегает. Девушка замечает на пустой улице одинокого прохожего, молодого мужчину, и просит проводить ее домой. Парень с недоверием оглядывает ее, но проводить соглашается. Доведя незнакомку до квартиры, он входит туда вслед за ней, чтобы отдать оставленные ею в замочной скважине ключи. Большая квартира выглядит так, что в ней живет обеспеченный человек. Парень говорит, что ему нужно домой и собирается уходить. Неожиданно девушка страстно целует его и просит остаться до тех пор, пока «они» уедут. На вопрос парня, кто такие «они» девушка грубо отвечает: «Не твое дело». Тогда парень уходит. В подъезде внизу под лестницей он замечает лопату для снега и фуфайку. Он облачается, как дворник, и выходит во двор. Там стоит машина, в которой четверо мужчин. Парень начинает сгребать снег с асфальта и давать знаки мужчине за рулем убрать машину, мешающую расчистке асфальта. Но машина не покидает двор. Тогда парень разбивает лобовое стекло машины. Четверо бросаются к нему и жестоко избивают, а потом садятся в машину и уезжают. Тем временем девушка, сбросив с себя лохмотья, принимает душ и идет на кухню. Из окна она видит лежащего на газоне парня. Она выбегает на улицу и пытается поднять его. Парень приходит в сознание, но резко бросает ей: «Отвяжись от меня». Придя в себя, парень возвращается в квартиру и начинает вести себя раскованно: принимает душ, застирывает замаравшуюся в драке одежду и садится пить чай. Он вновь задает вопрос, кто преследует девушку. Ответив грубостью, она получает от парня пощечину. Он заявляет, что он не навязывался ей, а ждет, когда высохнет его одежда. Хозяйка квартиры начинает истерически кричать и прогонять парня из дома. Разгар ночи. Сосед, спустившись с верхнего этажа, обещает вызвать милицию. В тишине ночи слышен шум двигателя останавливающейся во дворе машины. Девушка неожиданно становится ласковой с парнем и предлагает ему выпить коньяк. Она умоляет парня не спускаться вниз, иначе приехавшие все поймут и поднимутся к ней. Немного расслабившись после выпитого коньяка, она признается, что ненавидит и боится выродков из машины и устала бегать от них. Уехать ей некуда, и к тому же она любит свою продажную работу. Увидев, что на машине приехала соседка, девушка расслабляется. Она предлагает парню секс за его поддержку. В постели парень теряет сознание и бредит, будто он на поле боя. Придя в себя, он замолкает. Приходит милиционер, вызванный соседом из-за шума, и просит незнакомца предъявить паспорт. Проверив документ, милиционер жмет парню руку и уходит. В постель молодые люди не возвращаются. Раннее утро. Парень уходит искать что-то, что он обронил во дворе ночью. Не найдя это, парень покидает двор. Девушка выбегает и спешит вслед за ним. На газоне она видит Звезду Героя Советского Союза и поднимает ее. В неосвещенной арке девушку окликает невзрачный мужичок. Она останавливается и получает от него удар ножом. Мимо пробегает школьник, которому она бросает Звезду Героя. Мальчишка благодарит и убегает. Зажимая рукой рану, девушка добирается до своей машины, стоящей во дворе, и падает на водительское кресло. В колодце дворов стоит одинокая машина с распахнутой дверью. Над городом встает рассвет.</t>
        </is>
      </c>
      <c r="L7256" s="2" t="inlineStr">
        <is>
          <t>https://gosfilmofond.ru/films/278320/</t>
        </is>
      </c>
      <c r="M7256" s="2">
        <f>HYPERLINK("https://ru.wikipedia.org/w/index.php?search=%D0%9D%D0%BE%D1%87%D1%8C%201990%20%D1%84%D0%B8%D0%BB%D1%8C%D0%BC","искать")</f>
        <v/>
      </c>
      <c r="N7256" s="3" t="n"/>
      <c r="O7256" s="2" t="n"/>
      <c r="P7256" s="2" t="n"/>
    </row>
    <row r="7257">
      <c r="A7257" s="2" t="n">
        <v>7256</v>
      </c>
      <c r="B7257" s="2" t="inlineStr"/>
      <c r="C7257" s="2" t="n">
        <v>8181</v>
      </c>
      <c r="D7257" s="3" t="inlineStr">
        <is>
          <t>Почти смешная история</t>
        </is>
      </c>
      <c r="E7257" s="2" t="n">
        <v>1977</v>
      </c>
      <c r="F7257" s="2" t="inlineStr">
        <is>
          <t>телефильм</t>
        </is>
      </c>
      <c r="G7257" s="2" t="inlineStr">
        <is>
          <t>Творческое объединение «Экран»</t>
        </is>
      </c>
      <c r="H7257" s="2" t="n">
        <v>3906</v>
      </c>
      <c r="I7257" s="2" t="inlineStr"/>
      <c r="J7257" s="2" t="inlineStr"/>
      <c r="K7257" s="3" t="inlineStr">
        <is>
          <t>Две сестры — Таисия и Иллария — приезжают в старинный маленький городок на Волге Древнегорск. Старшая, Таисия, художница, пишет этюды. Таисия — творческая личность, поэтому все домашние обязанности лежат на младшей сестре, несколько инфантильной и немного чудаковатой Илларии. На пристани города они знакомятся с командированным Виктором Михайловичем Мешковым — инженером по технике безопасности. Виктор Михайлович взялся помочь поднести им тяжёлый чемодан, у которого от тяжести оторвалась ручка. С этим фактом в дальнейшем связано несколько забавных эпизодов; также этот случай послужил поводом для продолжения знакомства. С Виктором Михайловичем они оказываются в одной гостинице, где женщин поначалу отказываются поселить — «мест нету». Виктор Михайлович уговаривает дежурного администратора поселить попутчиц в номер, предназначенный для его коллеги Лазаренко, который должен прибыть на следующий день. Вскоре является Лазаренко — немного чудаковатый мужчина средних лет.
Иллария чувствует влечение к Виктору Михайловичу и признаётся, что влюблена. Для того, чтобы привлечь внимание Мешкова, Иллария делает в парикмахерской новую причёску, но Мешков не обращает внимания. Причёску Илларии замечает Лазаренко. Виктор Михайлович поначалу не знает, как воспринимать поведение Илларии, а командировочный роман мешает его работе.
Командировка заканчивается, и Мешков должен уезжать. Старшая сестра относится к увлечению Илларии с прохладцей, но когда она узнаёт, что это не командировочная интрижка, а всё серьёзнее, то приходит в ярость. Она врывается в номер Мешкова для выяснения отношений, заперев сестру на ключ в их комнате, однако Иллария через балконные перегородки пробирается в номер Мешкова и провожает его на поезд.
Иллария не встречает понимания и моральной поддержки со стороны сестры, Таисии важно, чтобы сестра продолжала заниматься бытовыми вопросами, а она сама могла сосредоточиться только на работе.
Мешков, вернувшись из командировки, не может забыть встречу. Сослуживцы по работе и взрослая дочь Маша — девушка на выданье — замечают, что он потерял душевный покой.
Случайный знакомый Мешкова — аспирант Толик, странноватый и бесцеремонный молодой человек, переживающий личную семейную драму, пытается ухаживать за Машей и в конце концов добивается её расположения, хотя Мешкова поначалу раздражает его появление. Виктор Михайлович отправляется в очередную командировку, а сёстры возвращаются из Древнегорска. На маленькой станции между Мешковым и Илларией происходит мимолётная встреча, однако пообщаться им не удаётся. Иллария является к нему на квартиру и обижается на него — Виктор Михайлович не предпринял попыток её разыскать в Москве. Влюблённые на какое-то время расстаются.
Мешков отправляется на поиски Илларии и безрезультатно обращается в справочное бюро — без фамилии разыскиваемого поиск невозможен. Однако прямо рядом с бюро проходит художественная выставка, где Таисия Павловна выставляет свои картины. Виктор Михайлович тщательно изучает инициалы художников, но прийти к однозначному выводу о фамилии сестёр ему не удаётся. Неожиданно он сталкивается с Таисией Павловной лицом к лицу; художница в процессе разговора понимает цель появления Мешкова на выставке и снова пытается отвадить его от сестры, но в этот момент её называют по фамилии, и теперь Виктор Михайлович знает достаточно, чтобы вернуться в справочное бюро.
Мешков приглашает Илларию Павловну на свидание, чтобы расставить все точки над «i», но закрытая на санитарный день шашлычная срывает его планы. Неудачная попытка объяснения между ними происходит на трибуне пустого осеннего стадиона «Динамо». Иллария объявляет ему, что снова уезжает с сестрой на этюды в Древнегорск и вернётся после ноябрьских праздников. По их возвращении Мешков встречает Илларию с сестрой на Казанском вокзале, где снова берётся нести их неподъёмный чемодан. У Илларии текут слёзы счастья, а у чемодана опять отрывается ручка.</t>
        </is>
      </c>
      <c r="L7257" s="2" t="inlineStr">
        <is>
          <t>https://ru.wikipedia.org/w/index.php?title=%D0%9F%D0%BE%D1%87%D1%82%D0%B8_%D1%81%D0%BC%D0%B5%D1%88%D0%BD%D0%B0%D1%8F_%D0%B8%D1%81%D1%82%D0%BE%D1%80%D0%B8%D1%8F&amp;oldid=153320468</t>
        </is>
      </c>
      <c r="M7257" s="2">
        <f>HYPERLINK("https://ru.wikipedia.org/w/index.php?search=%D0%9F%D0%BE%D1%87%D1%82%D0%B8%20%D1%81%D0%BC%D0%B5%D1%88%D0%BD%D0%B0%D1%8F%20%D0%B8%D1%81%D1%82%D0%BE%D1%80%D0%B8%D1%8F%201977%20%D1%84%D0%B8%D0%BB%D1%8C%D0%BC","искать")</f>
        <v/>
      </c>
      <c r="N7257" s="3" t="n"/>
      <c r="O7257" s="2" t="n"/>
      <c r="P7257" s="2" t="n"/>
    </row>
    <row r="7258">
      <c r="A7258" s="2" t="n">
        <v>7257</v>
      </c>
      <c r="B7258" s="2" t="inlineStr"/>
      <c r="C7258" s="2" t="n">
        <v>9210</v>
      </c>
      <c r="D7258" s="3" t="inlineStr">
        <is>
          <t>Афганский излом</t>
        </is>
      </c>
      <c r="E7258" s="2" t="n">
        <v>1991</v>
      </c>
      <c r="F7258" s="2" t="inlineStr">
        <is>
          <t>кинофильм</t>
        </is>
      </c>
      <c r="G7258" s="2" t="n"/>
      <c r="H7258" s="2" t="n">
        <v>3908</v>
      </c>
      <c r="I7258" s="2" t="inlineStr"/>
      <c r="J7258" s="2" t="inlineStr"/>
      <c r="K7258" s="3" t="inlineStr">
        <is>
          <t>События фильма происходят в период вывода советских войск из Афганистана.
Группа моджахедов-контрабандистов уничтожает попавшийся им на пути отряд советской пехоты. Подоспевший отряд десантников под командой майора Бандуры разбивает их самих. Вычислив по окровавленным рукам душмана, добивавшего раненых, сержант Арсёнов заталкивает его в пикап и подрывает взрывчаткой.
Вернувшись с задания, майор Бандура встречает молодого новоприбывшего, старшего лейтенанта Никиту Стеклова, сына высокопоставленного военного. Командир полка поручает Бандуре шефство над Стекловым и разрешает им съездить в духан за дефицитными в СССР товарами. Также он приказывает Бандуре отвезти местному командиру Адилю ящики с оружием и 10 мешков муки, чтобы таким образом откупиться и уйти без потерь. Посредником выступает инженер Гулахан, выпускник советского вуза. Компания женщин с базы под охраной солдат отправляется в духан. Однако закупиться они не успевают, рядовой Иванов, стоящий на часах, по неопытности пристреливает чудаковатого торговца-карлика. Вокруг советских людей собирается гневная толпа, но им удаётся уйти.
Вечером Бандура и медсестра Катя, с которой он живёт, приглашают в гости Стеклова и Татьяну, подругу Кати. За столом гости размышляют о жизни в Союзе. Стеклов рассказывает о последних событиях в Союзе. После застолья Стеклов идёт провожать Татьяну и занимается с ней сексом. Катя ревнует Бандуру к его оставшейся в Москве жене и в слезах уходит ночевать к командиру полка, который давно к ней подступает. Солдаты в казарме набивают пьяному Иванову татуировку, в то время как пьяные офицеры развлекаются стрельбой по мухам. Тем временем к Гулахану приезжают пешаварцы и, угрожая оружием, требуют некую информацию.
Утром отряд полка передают ящики с оружием и мукой Адилю. Тем временем часть моджахедов под командованием пешаварцев занимает позицию на высоте и обстреливает колонну полка, возвращающуюся на базу. Загоревшиеся бензовозы перекрывают движение колонны. Отважный Бандура вытаскивает с простреливаемого места раненого солдата (которого он до этого послал с приказом к танкистам), затем, пробегая через простреливаемые места, добирается до головного танка и сталкивает подбитые бензовозы в пропасть, колонна может двигаться дальше. Стеклов пытается поднять солдат в атаку, картинно выбегает из-за прикрытия и падает, сражённый автоматной очередью. Танкисты обстреливают вражеские позиции, отряд душманов полностью разгромлен, один из их командиров убит, второй ранен и попадает к Адилю. Тот заставляет пешаварца разделить с ним хлеб. Приехавший на базу Гулахан рассказывает, что пешаварцы хотели подставить Адиля.
Стеклов тяжело ранен, военная база эвакуируется. Подполковник отчитывает Бандуру и угрожает ему трибуналом. Командир полка представляет генералу план операции: десантники должны отрезать окраину села, где находятся пешаварцы, и уничтожить их, избегая сражения с отрядом Адиля, сохраняющего нейтралитет. Комполка снимает с операции Бандуру, но тот в последний момент обманывает командира отряда и занимает его место. Отряд десанта выходит в поход, один солдат подрывается на мине. Десантники снимают часовых на окраине кишлака и бросают гранату в дом, где содержат командира пешаварцев, при этом погибает Адиль. Его отряд идёт в атаку. Рядовой Иванов убегает в кишлак, за ним бросается Арсёнов. Десантники не хотят оставить товарищей и прочёсывают кишлак, неся потери. Сын Гулахана стреляет по Бандуре, тот уворачивается от выстрелов, врывается в дом инженера и расстреливает всю его семью. Бандура находит Арсёнова и потерявшего глаза Иванова. Прилетают боевые вертолёты и разносят весь кишлак, в результате чего погибают мирные жители.
Бандура идёт по разрушенному аваиударом кишлаку и натыкается на уцелевшего сына Гулахана. Майор, не оборачиваясь, проходит мимо, тем самым обрекая себя на верную смерть. Мальчишка прошивает его очередью, Бандура умирает в муках, катаясь в пыли.</t>
        </is>
      </c>
      <c r="L7258" s="2" t="inlineStr">
        <is>
          <t>https://ru.wikipedia.org/w/index.php?title=%D0%90%D1%84%D0%B3%D0%B0%D0%BD%D1%81%D0%BA%D0%B8%D0%B9_%D0%B8%D0%B7%D0%BB%D0%BE%D0%BC&amp;oldid=153600917</t>
        </is>
      </c>
      <c r="M7258" s="2">
        <f>HYPERLINK("https://ru.wikipedia.org/w/index.php?search=%D0%90%D1%84%D0%B3%D0%B0%D0%BD%D1%81%D0%BA%D0%B8%D0%B9%20%D0%B8%D0%B7%D0%BB%D0%BE%D0%BC%201991%20%D1%84%D0%B8%D0%BB%D1%8C%D0%BC","искать")</f>
        <v/>
      </c>
      <c r="N7258" s="3" t="n"/>
      <c r="O7258" s="2" t="n"/>
      <c r="P7258" s="2" t="n"/>
    </row>
    <row r="7259">
      <c r="A7259" s="2" t="n">
        <v>7258</v>
      </c>
      <c r="B7259" s="2" t="inlineStr"/>
      <c r="C7259" s="2" t="n">
        <v>10567</v>
      </c>
      <c r="D7259" s="3" t="inlineStr">
        <is>
          <t>Маленькие комедии большого дома</t>
        </is>
      </c>
      <c r="E7259" s="2" t="n">
        <v>1974</v>
      </c>
      <c r="F7259" s="2" t="inlineStr">
        <is>
          <t>фильм-спектакль</t>
        </is>
      </c>
      <c r="G7259" s="2" t="inlineStr">
        <is>
          <t>Гл. ред. лит-драм программ Россия</t>
        </is>
      </c>
      <c r="H7259" s="2" t="n">
        <v>3966</v>
      </c>
      <c r="I7259" s="2" t="inlineStr"/>
      <c r="J7259" s="2" t="inlineStr"/>
      <c r="K7259" s="3" t="inlineStr">
        <is>
          <t>Несколько сюжетов из жизни большого московского дома; действие происходит в начале 1970-х годов.
Смотровой ордер.
Первый сюжет посвящён «квартирному вопросу». Молодые супруги Ивано́вы, произведя на свет тройню, получают 4-комнатную квартиру и со свекровью готовятся к переезду в Чертаново. Смотреть освобождающуюся квартиру приходят Ива́новы — мать с сорокалетним сыном и его невестой. Мать Ива́нова не устраивает его невеста из Тюмени, да и сам брак она считает преждевременным — у сына на носу защита кандидатской диссертации, но ради получения 2-комнатной квартиры с женитьбой приходится смириться. Однако выясняется, что кандидату наук по закону полагается 20 метров дополнительной площади и, стало быть, сын после защиты сможет получить 2-комнатную квартиру безо всякой женитьбы. Свадьба отменяется, невеста может лететь обратно в свою Тюмень. Но неожиданно обнаруживается, что она беременна — и вновь становится желанной: с ребёнком и с кандидатской степенью молодые смогут претендовать на 3-комнатную квартиру. Но невеста, уже убедившаяся, что её жених является откровенным «маменькиным сынком» и совершенно ничего сам не может решить, больше не хочет выходить замуж, а решает ехать назад в Тюмень и делать там аборт. Мать Ивано́ва её отговаривает, и Ивано́вы забирают её с собой в Чертаново.
Грабёж.
Второй сюжет посвящён проблеме, которая в эпоху «развитого социализма» именовалась «вещизмом». Недавний провинциал по имени Алик вспоминает, как приехав однажды в Москву в командировку, он познакомился с симпатичной москвичкой, как они друг другу показывали город: он ей — Третьяковскую галерею, Александровский сад, храм Василия Блаженного, она ему — ЦУМ, ГУМ и т. д. Вскоре они поженились. Теперь Алик с трудом передвигается по заставленной мебелью и заваленной всевозможными вещами квартире. Она превращена в музей: вещи нельзя трогать, мебелью нельзя пользоваться и т. д.
В квартиру забирается вор. После небольшой перепалки Алик разрешает ему уйти, но сделать это оказывается невозможно: вор никак не может выбраться из комнаты. Алик требует, чтобы он всё-таки ограбил квартиру — в противном случае грозится вызовом милиции. Вор сопротивляется, и тогда, поведав ему подробности своей семейной жизни, Алик заставляет его прочувствовать всю незавидность своего положения. Проникнувшись состраданием, грабитель соглашается помочь ему найти управу на супругу.
Московская серенада.
Третий сюжет представляет несколько семей дома. Современный «Ромео» под балконом в стихах объясняется в любви своей «Джульетте»; но она замужем и просит поклонника не тревожить сон соседей. Тогда он, забираясь к возлюбленной на балкон, срывается, падает — и будит весь дом. Одни принимают его за грабителя, другие за любовника замужней соседки. Но пылкий влюблённый оказывается мужем «Джульетты». Их любовь заставляет другие супружеские пары задуматься о своих взаимоотношениях.
Звуковое письмо.
Монолог отца, которому никак не удаётся поговорить по душам со своим выросшим сыном. Чтобы хоть как-то заставить сына выслушать его, отец записывает своё обращение на пластинку под любимые мелодии сына.
«Пой, ласточка, пой!».
Начальник ЖЭКа Николай Степанович, пользуясь своей властью, а порой прибегая и к открытому шантажу, из жильцов дома создал хор, пригласил профессионального хорового дирижёра и теперь принуждает участников хора являться на репетиции. В обоснование этого мероприятия Николай Степанович сообщает о некоем районном смотре художественной самодеятельности. Но энтузиазма у «хористов» всё равно нет, а узнав, что смотр — выдумка начальника, они и вовсе разбегаются, возмущённые. Остаётся только пожилая дама-аккомпаниатор, которой он рассказывает, что хотел просто сдружить жильцов. Чтобы как-то поддержать Николая Степановича, она предлагает ему попытаться петь самому. Они поют вдвоём, и постепенно, один за другим подтягиваются остальные жильцы, включаются в процесс и вдруг обнаруживают, что от пения можно получать удовольствие — если петь просто для души.</t>
        </is>
      </c>
      <c r="L7259" s="2" t="inlineStr">
        <is>
          <t>https://ru.wikipedia.org/w/index.php?title=%D0%9C%D0%B0%D0%BB%D0%B5%D0%BD%D1%8C%D0%BA%D0%B8%D0%B5_%D0%BA%D0%BE%D0%BC%D0%B5%D0%B4%D0%B8%D0%B8_%D0%B1%D0%BE%D0%BB%D1%8C%D1%88%D0%BE%D0%B3%D0%BE_%D0%B4%D0%BE%D0%BC%D0%B0_%28%D1%81%D0%BF%D0%B5%D0%BA%D1%82%D0%B0%D0%BA%D0%BB%D1%8C%29&amp;oldid=148371969</t>
        </is>
      </c>
      <c r="M7259" s="2">
        <f>HYPERLINK("https://ru.wikipedia.org/w/index.php?search=%D0%9C%D0%B0%D0%BB%D0%B5%D0%BD%D1%8C%D0%BA%D0%B8%D0%B5%20%D0%BA%D0%BE%D0%BC%D0%B5%D0%B4%D0%B8%D0%B8%20%D0%B1%D0%BE%D0%BB%D1%8C%D1%88%D0%BE%D0%B3%D0%BE%20%D0%B4%D0%BE%D0%BC%D0%B0%201974%20%D1%84%D0%B8%D0%BB%D1%8C%D0%BC","искать")</f>
        <v/>
      </c>
      <c r="N7259" s="3" t="n"/>
      <c r="O7259" s="2" t="n"/>
      <c r="P7259" s="2" t="n"/>
    </row>
    <row r="7260">
      <c r="A7260" s="2" t="n">
        <v>7259</v>
      </c>
      <c r="B7260" s="2" t="inlineStr"/>
      <c r="C7260" s="2" t="n">
        <v>7957</v>
      </c>
      <c r="D7260" s="3" t="inlineStr">
        <is>
          <t>Не бойся, я с тобой!</t>
        </is>
      </c>
      <c r="E7260" s="2" t="n">
        <v>1981</v>
      </c>
      <c r="F7260" s="2" t="inlineStr">
        <is>
          <t>телефильм</t>
        </is>
      </c>
      <c r="G7260" s="2" t="n"/>
      <c r="H7260" s="2" t="n">
        <v>3985</v>
      </c>
      <c r="I7260" s="2" t="inlineStr"/>
      <c r="J7260" s="2" t="inlineStr"/>
      <c r="K7260" s="3" t="inlineStr">
        <is>
          <t>Конец XIX века. Российская империя, Азербайджан. Двое цирковых актёров, Сан Саныч и Рустам, приезжают на родину Рустама, узнав о болезни его бабушки. В ожидании лошадей, которые отвезут их в деревню Рустама, друзья идут в местный театр, где из-за папахи местного бандита Джафара (большого любителя музыки) у них происходит стычка, за которую Джафар клянётся отомстить. По дороге в деревню за друзьями гонятся бандиты. Оторваться удаётся, лишь разрушив мост через бурную речку. Увидеть бабушку живой Рустаму не удаётся — они успевают только на её похороны. Несмотря на то, что на дворе уже почти XX век и различные новшества добрались даже сюда, горцы живут старыми обычаями и порядками. Выясняется, что местные жители до сих пор помнят, как Рустам «не отомстил за своего убитого отца и сбежал как трус» — отказался следовать обычаю кровной мести и не стал убивать своего кровника.
Друзья остаются пока в старом доме бабушки, принадлежащем теперь вместе с землёй Рустаму. Сан Саныч, с самого начала возражавший против поездки Рустама на родину, теперь хочет как можно быстрее убраться отсюда. Фарзали-бек — богатый местный житель, одержимый идеей найти нефть и разбогатеть ещё больше, хочет искать нефть в земле, которая теперь принадлежит Рустаму. Чтобы избавиться от хозяина земли, он отправляет Теймура — бедного юношу, артиста и певца, играющего в местном театре и влюблённого в дочь Фарзали-бека Телли, убить Рустама. Когда-то между семьями предков Теймура и Рустама была кровная вражда. Теймур считает кровную месть глупым, отжившим обычаем, но Фарзали-бек требует от него для подтверждения мужества отомстить за дядю Гусейна, которого очень давно убил отец Рустама. Бек обещает после убийства врага выдать Телли замуж за Теймура.
Теймур пытается убить Рустама, явившись к нему домой, но силы слишком неравны — тренированный циркач Рустам легко обезоруживает противника и принуждает его спокойно поговорить. В ходе беседы Теймур узнаёт, что его обманули. Свадьба давно уже решена, Телли выдают замуж за Мардана — недалёкого обжору, «маменькиного сынка» из богатой семьи, который, несмотря на то, что уже взрослый, ведёт себя как маленький. Рустам и Сан Саныч объясняют Теймуру истинное положение вещей и предлагают свою помощь в похищении невесты во время свадьбы. Рустам — отличный наездник, прекрасно владеющий оружием, Сан Саныч, в бытность свою матросом, научился на Востоке многому, в частности, технике рукопашного боя. Втроём они выкрадывают Телли. Рустаму, Теймуру и Телли удаётся скрыться, а Сан Саныч, оставшийся прикрывать отступление, сдаётся полиции и оказывается в местной тюрьме.
Фарзали-бек заказывает Джафару убийство Рустама и Теймура. Бандит, который является поклонником Теймура, требует за его кровь ещё 200 рублей, а Рустама, с которым у него свои счёты, готов убить бесплатно.
Беглецов, прячущихся в горах, преследуют одновременно полиция и бандиты. В это же время ссыльный поселенец инженер Петров, отказавшийся искать для Фарзали-бека нефть на земле Рустама, отправляется в тюрьму — ту же самую, куда попал Сан Саныч. Выясняется, что в тюрьме Сан Саныч быстро приобрёл огромный авторитет, продемонстрировав сидевшим в ней преступникам свои умения. Теперь он обучает заключённых драться. Узнав от Петрова о том, что оставшимся на свободе друзьям требуется помощь, Сан Саныч организует бунт и массовый побег — бывшие заключённые отправляются на помощь его друзьям.
Джафар осаждает Рустама, Теймура и Телли в старой башне, и требует, чтобы Теймур спел ему перед смертью. Теймур подчиняется, доведя своей песней Джафара до слёз и выигрывая время, за которое Сан Саныч с тридцатью обученными им каратистами выходит на позицию атаки. Сан Саныч вместе со своими учениками избивает и повергает всех бандитов, спасая друзей.
В конце фильма Теймур, ставший мужем Телли, присоединяется к Рустаму и Сан Санычу, ставшим разыскиваемыми преступниками, чтобы покончить с Фарзали-беком и его свитой, бандой Джафара и полицией во главе со становым приставом раз и навсегда.</t>
        </is>
      </c>
      <c r="L7260" s="2" t="inlineStr">
        <is>
          <t>https://ru.wikipedia.org/w/index.php?title=%D0%9D%D0%B5_%D0%B1%D0%BE%D0%B9%D1%81%D1%8F%2C_%D1%8F_%D1%81_%D1%82%D0%BE%D0%B1%D0%BE%D0%B9%21&amp;oldid=154955743</t>
        </is>
      </c>
      <c r="M7260" s="2">
        <f>HYPERLINK("https://ru.wikipedia.org/w/index.php?search=%D0%9D%D0%B5%20%D0%B1%D0%BE%D0%B9%D1%81%D1%8F%2C%20%D1%8F%20%D1%81%20%D1%82%D0%BE%D0%B1%D0%BE%D0%B9%21%201981%20%D1%84%D0%B8%D0%BB%D1%8C%D0%BC","искать")</f>
        <v/>
      </c>
      <c r="N7260" s="3" t="n"/>
      <c r="O7260" s="2" t="n"/>
      <c r="P7260" s="2" t="n"/>
    </row>
    <row r="7261">
      <c r="A7261" s="2" t="n">
        <v>7260</v>
      </c>
      <c r="B7261" s="2" t="inlineStr"/>
      <c r="C7261" s="2" t="n">
        <v>7208</v>
      </c>
      <c r="D7261" s="3" t="inlineStr">
        <is>
          <t>Американская трагедия</t>
        </is>
      </c>
      <c r="E7261" s="2" t="n">
        <v>1981</v>
      </c>
      <c r="F7261" s="2" t="inlineStr">
        <is>
          <t>телефильм</t>
        </is>
      </c>
      <c r="G7261" s="2" t="inlineStr">
        <is>
          <t>Литовская к/с</t>
        </is>
      </c>
      <c r="H7261" s="2" t="n">
        <v>4007</v>
      </c>
      <c r="I7261" s="2" t="inlineStr"/>
      <c r="J7261" s="2" t="inlineStr"/>
      <c r="K7261" s="3" t="inlineStr">
        <is>
          <t>В фильме последовательность событий восстанавливается зрителем не сразу, поскольку сначала показывают арест главного героя, потом — этапы его жизни, приведшие к аресту, и только в конце — подготовку к суду, сам суд и развязку.
Если же действие излагать по хронологии событий, то оно начинается в городе Канзас-Сити. Клайд Грифитс — сын уличных проповедников, которые строго воспитывают детей в религиозной вере. Родители переезжали с места на место, и Клайд толком не учился. Однако с юных лет Клайд мечтает вырваться из мира, где царят лишь бедность и горечь унылого существования. Клайд устраивается коридорным в роскошный отель, где новые друзья приобщают его к алкоголю и посещению девиц лёгкого поведения. Клайд наблюдает жизнь богатых постояльцев, и его стремление к красивой и богатой жизни растёт.
Клайд увлекается молодой продавщицей Гортензией Бригс, однако расчётливая Гортензия водит его за нос и использует эти отношения в своих корыстных целях. Неожиданный поворот в жизни Клайда заставляет забыть его о спокойном существовании. Во время развлекательной поездки с друзьями водитель автомобиля, в котором был Клайд, насмерть сбивает ребёнка. Клайд, как и остальные, вынужден бежать из Канзас-Сити и скрываться от полиции.
В Чикаго он случайно встречается с дядей, Сэмюэлом Грифитсом — богатым владельцем фабрики, который давно не поддерживает связь с семьёй Клайда. Дядя предлагает племяннику работу на своей фабрике, и Клайд переезжает в город Ликург в штате Нью-Йорк, где живёт его дядя. Вскоре на фабрике Клайд как родственник владельца становится начальником в штамповочной. Там Клайд знакомится с Робертой Олден — новой работницей предприятия. Между ними завязываются любовные отношения. Несмотря на то, что Роберта, воспитанная в строгих правилах, сначала отказывается вступить в связь с Клайдом, он упорствует, и девушка, боясь лишиться внимания и расположения молодого человека, быстро уступает и становится его любовницей.
Случай и родство с Сэмюэлом Грифитсом сводят Клайда с 17-летней Сондрой Финчли — дочерью другого местного фабриканта, занимающего видное положение в обществе. Сондра вводит его в круг местной «золотой молодёжи». Её увлечение перерастает во влюблённость, и Сондра подумывает о свадьбе, невзирая на разницу в социальном статусе и на то, что она еще не достигла совершеннолетия.
Неожиданно Роберта Олден сообщает о своей беременности. Клайд пытается уговорить её сделать подпольный аборт. Однако врач, к которому она обращается, отказывает. Роберта добивается у нерешительного Клайда обещания жениться на ней, угрожая в противном случае предать дело огласке. Между тем Клайд хорошо принят в высшем обществе Ликурга, и Сондра укрепляется в решении связать себя узами брака с молодым человеком.
Из газеты Клайд узнаёт о том, что на одном из озёр произошла трагедия: лодка, на которой катались мужчина и молодая девушка, опрокинулась; тело девушки найдено, а тело её спутника найти не удалось. Клайду приходит мысль, что подобным образом он сможет избавиться от Роберты. Молодой человек старается отогнать преследующую его мысль совершить преступление, однако в конце концов приходит к мысли, что убийство беременной девушки — единственный способ преодолеть препятствие, которое стоит на его пути к богатству, роскоши и счастливому браку с Сондрой. Клайд тщательно продумывает весь план совершения преступления, после чего приглашает Роберту покататься на лодке. Каким образом всё было исполнено, в фильме, в отличие от книги, не показано, но девушка тонет и Клайд покидает озеро, маскируя смерть под несчастный случай.
После убийства Роберты Клайд отправляется на озеро, где отдыхает Сондра в компании молодых людей из высшего общества. В это время полиция обнаруживает переписку Роберты и Клайда и выходит на его след. Убийцу арестовывают на глазах у его новых друзей. Сэмюэл Грифитс решает помочь племяннику и нанимает ему опытных адвокатов, однако оправдать Клайда не удаётся. Суд присяжных приговаривает Клайда к смертной казни.
Его казнят на электрическом стуле.</t>
        </is>
      </c>
      <c r="L7261" s="2" t="inlineStr">
        <is>
          <t>https://ru.wikipedia.org/w/index.php?title=%D0%90%D0%BC%D0%B5%D1%80%D0%B8%D0%BA%D0%B0%D0%BD%D1%81%D0%BA%D0%B0%D1%8F_%D1%82%D1%80%D0%B0%D0%B3%D0%B5%D0%B4%D0%B8%D1%8F_%28%D1%84%D0%B8%D0%BB%D1%8C%D0%BC%2C_1981%29&amp;oldid=154690944</t>
        </is>
      </c>
      <c r="M7261" s="2">
        <f>HYPERLINK("https://ru.wikipedia.org/w/index.php?search=%D0%90%D0%BC%D0%B5%D1%80%D0%B8%D0%BA%D0%B0%D0%BD%D1%81%D0%BA%D0%B0%D1%8F%20%D1%82%D1%80%D0%B0%D0%B3%D0%B5%D0%B4%D0%B8%D1%8F%201981%20%D1%84%D0%B8%D0%BB%D1%8C%D0%BC","искать")</f>
        <v/>
      </c>
      <c r="N7261" s="3" t="n"/>
      <c r="O7261" s="2" t="n"/>
      <c r="P7261" s="2" t="n"/>
    </row>
    <row r="7262">
      <c r="A7262" s="2" t="n">
        <v>7261</v>
      </c>
      <c r="B7262" s="2" t="inlineStr"/>
      <c r="C7262" s="2" t="n">
        <v>8058</v>
      </c>
      <c r="D7262" s="3" t="inlineStr">
        <is>
          <t>Остров погибших кораблей</t>
        </is>
      </c>
      <c r="E7262" s="2" t="n">
        <v>1987</v>
      </c>
      <c r="F7262" s="2" t="inlineStr">
        <is>
          <t>телефильм</t>
        </is>
      </c>
      <c r="G7262" s="2" t="n"/>
      <c r="H7262" s="2" t="n">
        <v>4020</v>
      </c>
      <c r="I7262" s="2" t="inlineStr"/>
      <c r="J7262" s="2" t="inlineStr"/>
      <c r="K7262" s="3" t="inlineStr">
        <is>
          <t>Обычный парень, житель Ленинграда по имени Володя ссорится со своей женой. После ссоры он выходит на улицу… и неожиданно оказывается в Марселе в 1928 году, причём в теле убийцы (по мнению арестовавшего его инспектора Джимми Симпкинса) Реджинальда Гатлинга.
Вдвоём они садятся на пароход, который должен доставить их в Америку, «поближе к электрическому стулу». Однако ночью пароход по непонятным причинам терпит крушение и тонет. Джимми, Володя, а также привлёкшая его внимание очаровательная пассажирка Вивиан Кингман — копия жены Володи — чудом спасаются на гробу с контрабандой. Спустя время им попадается на встречу корабль, странно похожий на «Летучий Голландец», на котором они продолжают дрейфовать в открытом море. А потом пристают к затерянному в Саргассовом море острову, образовавшемуся из обломков полузатонувших кораблей. Правитель острова — Фергюс Слейтон, его ближайший помощник — Шолом-Трепач. Кроме них на острове проживают: жена Трепача Мэгги, историк Людерс с женой Фридой и ещё множество моряков, путешественников, пиратов. По здешнему обычаю, новоприбывшая Вивиан должна выбрать себе в мужья одного из обитателей острова. Слейтон, который сам положил на неё глаз, запирает Володю и Джимми в карцер, но им удаётся освободиться и успеть на церемонию выбора жениха. Вивиан выбирает себе в мужья Володю, так как влюблена в него. Островитяне устраивают пышную свадьбу. Затем наступает брачная ночь, и Володя признаётся Вивиан, что уже женат и «пришёл из другого мира». Но теперь ему уже всё равно, он влюблён в Вивиан.
Тем временем Джимми следит за Слейтоном. Тот замечает «хвост» и настораживается. С утра детектив пытается донести результат своих наблюдений до спутника и ведёт его к тайному месту, но Володя отмахивается, прогоняет Джимми. Тот, обиженный, спускается в трюм обнаруженного им корабля, где обнаруживает… брата Слейтона Эдуарда, запертого в клетке. Узник явно не в себе. В это время подходит Слейтон. Он делает вид, что готов сотрудничать с агентом по особым делам и рассказывает историю своего появления на острове и рассказывает о своём плане его покинуть: он отводит Джимми в сокровищницу, где собрал огромное богатство, для начала он возьмёт с собой небольшую долю, чтобы затем вернуться во главе тайной экспедиции за оставшимся, а чтобы тем временем никто его не опередил, он планирует на время отсутствия поручить управление Шолому-Трепачу — тот должен следить, чтобы никто не разнюхал о побеге и время от времени показывать жителям его брата-близнеца, чтобы те ничего не заподозрили. Поэтому Слейтон всячески старается выказать сочувствие своему помощнику, хотя сам спит с его женой. Тем временем, Володя, наконец понявший, что хотел сказать Джимми, находит и освобождает Эдуарда, но тот, бегая по острову в припадке безумия, погибает. Шолом, видимо, желая обсудить вызванную ими суматоху со Слейтоном, случайно подслушивает его разговор с детективом. Он и до того подозревал жену в изменах, но признание Фергюса повергает его в шок. Он с помощью громкоговорителя, в который приветствовал обычно островитян по утрам, объявляет открывшуюся ему правду. Обнаружив это, Слейтон сбрасывает Джимми в воду и стреляет в него, а за ним, проникнув в рубку убивает Шолома. Никто из островитян не решается на него напасть, кроме Володи, но Слейтон убивает Вивиан и сбегает. За ним гонятся, но он успевает улететь на воздушном шаре и поджечь остров.
А Володя внезапно вновь оказывается в своём времени, у себя в квартире. Судя по его оборванному виду, небритому лицу и шишке на затылке, пережитые приключения ему не приснились. Завершается всё тем, что Володя приводит себя в порядок и садится ужинать перед телевизором вместе с женой, которая так похожа на погибшую Вивиан. Передача про Бермудский треугольник, которую он оставил включённой в самом начале, начавшаяся с фрагмента песни Высоцкого («Дорогая передача»), завершается словами диктора о том, что судя по всему, данный миф зародился в результате повторения множества мистификаций и на самом деле не имеет ничего общего с реальностью.</t>
        </is>
      </c>
      <c r="L7262" s="2" t="inlineStr">
        <is>
          <t>https://ru.wikipedia.org/w/index.php?title=%D0%9E%D1%81%D1%82%D1%80%D0%BE%D0%B2_%D0%BF%D0%BE%D0%B3%D0%B8%D0%B1%D1%88%D0%B8%D1%85_%D0%BA%D0%BE%D1%80%D0%B0%D0%B1%D0%BB%D0%B5%D0%B9_%28%D1%84%D0%B8%D0%BB%D1%8C%D0%BC%29&amp;oldid=154701359</t>
        </is>
      </c>
      <c r="M7262" s="2">
        <f>HYPERLINK("https://ru.wikipedia.org/w/index.php?search=%D0%9E%D1%81%D1%82%D1%80%D0%BE%D0%B2%20%D0%BF%D0%BE%D0%B3%D0%B8%D0%B1%D1%88%D0%B8%D1%85%20%D0%BA%D0%BE%D1%80%D0%B0%D0%B1%D0%BB%D0%B5%D0%B9%201987%20%D1%84%D0%B8%D0%BB%D1%8C%D0%BC","искать")</f>
        <v/>
      </c>
      <c r="N7262" s="3" t="n"/>
      <c r="O7262" s="2" t="n"/>
      <c r="P7262" s="2" t="n"/>
    </row>
    <row r="7263">
      <c r="A7263" s="2" t="n">
        <v>7262</v>
      </c>
      <c r="B7263" s="2" t="inlineStr"/>
      <c r="C7263" s="2" t="n">
        <v>9206</v>
      </c>
      <c r="D7263" s="3" t="inlineStr">
        <is>
          <t>Армавир</t>
        </is>
      </c>
      <c r="E7263" s="2" t="n">
        <v>1991</v>
      </c>
      <c r="F7263" s="2" t="inlineStr">
        <is>
          <t>кинофильм</t>
        </is>
      </c>
      <c r="G7263" s="2" t="n"/>
      <c r="H7263" s="2" t="n">
        <v>4068</v>
      </c>
      <c r="I7263" s="2" t="inlineStr"/>
      <c r="J7263" s="2" t="inlineStr"/>
      <c r="K7263" s="3" t="inlineStr">
        <is>
          <t>Конец восьмидесятых. Южный берег Крыма. Терпит катастрофу теплоход «Армавир». Утром Иван, живущий в прибрежной лачужке, находит в воде девушку без сознания и переносит её в свою обитель. Она бредит и зовёт кого-то. В сарайчик приползает молодой казах. Увидев девушку, он радуется, что она жива, ведь во время катастрофы он, сколько мог, держал её за руки. Когда она пришла в себя, то рассказала, что на корабле она была с мужем Валерой. Это было их свадебное путешествие. Вечером были танцы, но муж не умел танцевать, и её пригласил казах. Когда теплоход дал крен, и возникла паника, партнер по танцу, держа её за руки, прыгнул с ней в воду с тонущего корабля. …Ночное дежурство Семина прервалось после телефонного звонка. Мужской голос сообщает, что дочь Семина Марина, сбежавшая от отца к жениху, была на «Армавире». Герман Семин, бросив все, едет её разыскивать. Ищет жену и оставшийся в живых Валера. Спасшиеся после катастрофы люди на грани помешательства. Каждый кого-то разыскивает, и то здесь, то там слышится имя Марина. Семин и Валерий Аксюта мечутся от одной группы людей к другой в надежде, что девушка там. Они расспрашивают людей с корабля, кто мог вспомнить девушку по имени Марина. Мужчины, которых объединила потеря, знакомятся в ресторане с казахом Тимуром, но в его памяти другая Марина, которая привлекла его внимание на корабле. Та Марина была помощницей карточного шулера и отвлекала игроков от его махинаций. С девушкой, которую он пригласил на танец, он не успел познакомиться. Марина, которая осталась в лачуге у Ивана, потеряла память и не помнит свое имя. Семин не находит нигде следов дочери и пытается убедить себя, что Марина не садилась на корабль. Он верит, что дочь ждет его дома, и отправляется на поезде в обратный путь. В поезде едут спасшиеся с Армавира люди. У одной из женщин он замечает кулон, который был у Марины. Женщина признается, что украла его из каюты, где спала девушка. Семин избивает воровку в состоянии аффекта и сбегает с поезда. Опомнился он в какой-то сторожке. С ним рядом Валерий. Семин стал обвинять Аксюту, что тот украл у него дочь. Валерий успокаивает тестя и обещает продолжить поиски Марины. Он рассказывает Семину, как она ему дорога, что ждал Марину с самого её детства, что ходил за ней, девушкой, по пятам, и теперь они – неразлучная троица: он, Марина и тесть. Над городом звучит музыка, кончились дни траура. Марина все ещё не найдена. Семин обвиняет Аксюту, что он затащил дочь на этот теплоход, а тот говорит в ответ, что это он, отец, замучил её, потому она сбежала. Валерий говорит Герману, что они не случайно вместе, что они знакомы с суворовского училища. И хотя Семин ненавидит его, за то, что сверстник женился на его молоденькой дочери, оба понимают, что судьба накрепко их связала. Проходит много лет. Зима. Валерий звонит Герману и сообщает, что Марина нашлась. Она здорова, весела. Но когда он приехал на встречу с ней, мужа она не признала. Постаревший Семин едет к Марине. Она не признает отца. Девушка заявляет, что родилась и все время живет здесь. Она с иронией замечает, что вчера к ней муж какой-то явился, а сегодня «папочка». Она убеждена, что зовут её Лариса, и он ошибается, однако впускает Семина в дом. Там застолье. Хозяин во главе стола. Мужчина проясняет, что произошло много лет назад. Девушку спас водолаз на третьи сутки после затопления корабля, из каюты, где ещё оставалось немного воздуха. Придя в себя, она сбежала из больницы. Когда мужчина вернулся домой, он застал «скелет» в больничном халате и решил выходить её. Откликаться девушка стала на имя Лариса. Так и осталась в доме. Семин развернувшись, уходит. Лариса окликает его с извинением, что она другая, а не та Марина, которую искал гость. Поникший Аксюта сидит на земле у забора и говорит, что он пришел попрощаться. Семин уносит обессилевшего друга на спине. Постаревшие Семин и Аксюта на станции «Озеры». Герман хочет уехать, а Валерий не пускает его. Потом он соглашается, чтобы Герман оставил его и умирает. Семин прыгает на подножку последнего вагона поезда. За вагонным окном осень сменяется зимой.</t>
        </is>
      </c>
      <c r="L7263" s="2" t="inlineStr">
        <is>
          <t>https://gosfilmofond.ru/films/226092/</t>
        </is>
      </c>
      <c r="M7263" s="2">
        <f>HYPERLINK("https://ru.wikipedia.org/w/index.php?search=%D0%90%D1%80%D0%BC%D0%B0%D0%B2%D0%B8%D1%80%201991%20%D1%84%D0%B8%D0%BB%D1%8C%D0%BC","искать")</f>
        <v/>
      </c>
      <c r="N7263" s="3" t="n"/>
      <c r="O7263" s="2" t="n"/>
      <c r="P7263" s="2" t="n"/>
    </row>
    <row r="7264">
      <c r="A7264" s="2" t="n">
        <v>7263</v>
      </c>
      <c r="B7264" s="2" t="inlineStr"/>
      <c r="C7264" s="2" t="n">
        <v>7326</v>
      </c>
      <c r="D7264" s="3" t="inlineStr">
        <is>
          <t>Весенняя сказка</t>
        </is>
      </c>
      <c r="E7264" s="2" t="n">
        <v>1971</v>
      </c>
      <c r="F7264" s="2" t="inlineStr">
        <is>
          <t>телефильм</t>
        </is>
      </c>
      <c r="G7264" s="2" t="inlineStr">
        <is>
          <t>Беларусьфильм</t>
        </is>
      </c>
      <c r="H7264" s="2" t="n">
        <v>4074</v>
      </c>
      <c r="I7264" s="2" t="inlineStr"/>
      <c r="J7264" s="2" t="inlineStr"/>
      <c r="K7264" s="3" t="inlineStr">
        <is>
          <t>Красная горка в волшебном царстве Берендея. Лунная ночь. Окружённая свитой птиц, опускается на землю Весна-красна. Лес ещё дремлет под снегом, в стране царит холод. Пятнадцать лет назад у Весны и Мороза родилась дочка Снегурочка, и с той поры разгневанный Ярило-солнце даёт земле мало света и тепла; лето стало коротким, зима — долгой и суровой. Появляется Мороз. Он обещает Весне покинуть страну берендеев. Но кто же будет оберегать Снегурочку? Ведь Ярило только и ждет случая зажечь в сердце девушки губительный огонь любви. Родители решают отпустить дочку в слободку Берендеевку под присмотр бездетного Бакулы-бобыля. Снегурочка счастлива: давно уже её влекут к людям чудные песни пастуха Леля. Поручив Лешему охранять дочку, Весна и Мороз уходят.
Приближается толпа весёлых берендеев. Они провожают Масленицу, весело приветствуя наступление весны. Бобыль замечает появившуюся из лесной чащи Снегурочку. К великой радости Бобыля она просит взять её в дочки. По просьбе Снегурочки пастух Лель поёт ей, но, заслышав зов весёлых подружек, бросает цветок, подаренный Снегурочкой, и убегает. Девушка обижена. К ней подходит Купава: она спешит поделиться своим счастьем — её любит пригожий Мизгирь, и скоро будет их свадьба. Вот и сам жених, явившийся с богатыми дарами. По старинному обычаю он должен выкупить невесту у подружек. Но, увидев Снегурочку, Мизгирь, пленённый её красотой, отказывается от Купавы. Обманутая невеста в слезах обращается к пчёлкам и хмелю с мольбой наказать обидчика. Народ, возмущённый изменой Мизгиря, советует Купаве просить заступничества у доброго и справедливого царя Берендея.
Царский дворец. Гусляры славят мудрого Берендея. Но на душе у него тревожно: Ярило-солнце гневается за что-то на берендеев. Чтобы умилостивить грозное божество, царь решает завтра, в Ярилин день, обвенчать всех невест и женихов. Вбегает Купава. Она рассказывает о своём несчастье. Негодующий Берендей велит привести Мизгиря и осуждает его на вечное изгнание. Мизгирь не оправдывается. Он только просит Берендея взглянуть на Снегурочку. Красота девушки поражает царя. Узнав, что Снегурочка не ведает любви, он понимает причину гнева Ярилы-солнца. И Берендей объявляет: юноша, который сумеет до рассвета принудить Снегурочку полюбить себя, получит её в жены. Мизгирь просит отсрочить изгнание и клянётся зажечь сердце девушки.
Догорает вечерняя заря. Берендей на поляне в заповедном лесу справляет канун наступающего лета. В награду за песни царь предлагает Лелю выбрать себе красавицу по сердцу. Лель выбирает Купаву. Это до слёз огорчает Снегурочку. Появляющийся Мизгирь обращается к ней с взволнованными словами любви, но Снегурочка не может ответить на непонятное ей чувство. Путь Мизгирю преграждает Леший. Он заколдовывает лес, дразнит Мизгиря призраком Снегурочки. На опустевшую поляну выходят Лель и Купава, которая нежно благодарит своего нового жениха за то, что он спас её от позора. Снегурочка, видевшая это, в отчаянии. Она решает просить у матери Весны сердечного тепла.
Ярилина долина. Светает. В ответ на просьбу дочери Весна надевает на неё волшебный венок. Теперь Снегурочка знает чувство любви, и новая встреча с Мизгирем зажигает её ответной страстью. Скоро взойдёт солнце, и, помня наставления родителей, Снегурочка торопит возлюбленного бежать от гибельных для неё лучей Ярилы. Но в долину спускается Берендей со свитой. При первых лучах восходящего светила царь берендеев благословляет женихов и невест. Появляется Мизгирь со Снегурочкой. Девушка говорит царю о своей безмерной любви. Однако недолго длится счастье Снегурочки. Узнав горячее человеческое чувство, дочь Мороза стала доступной мести Ярилы. Яркий солнечный луч рассекает утренний туман и падает на Снегурочку. Даже предчувствуя близкую гибель, она благодарит мать за сладкий дар любви. В отчаянии Мизгирь бросается в озеро. Народ поражен. Но мудрый Берендей спокоен: ведь существование Снегурочки было нарушением законов природы; с её чудесной кончиной Ярило перестанет сердиться, и в стране восстановится счастливая жизнь. Лель, а за ним весь народ, запевает хвалебный гимн Солнцу.</t>
        </is>
      </c>
      <c r="L7264" s="2" t="inlineStr">
        <is>
          <t>https://ru.wikipedia.org/w/index.php?title=%D0%92%D0%B5%D1%81%D0%B5%D0%BD%D0%BD%D1%8F%D1%8F_%D1%81%D0%BA%D0%B0%D0%B7%D0%BA%D0%B0_%28%D1%84%D0%B8%D0%BB%D1%8C%D0%BC%2C_1971%29&amp;oldid=154861190</t>
        </is>
      </c>
      <c r="M7264" s="2">
        <f>HYPERLINK("https://ru.wikipedia.org/w/index.php?search=%D0%92%D0%B5%D1%81%D0%B5%D0%BD%D0%BD%D1%8F%D1%8F%20%D1%81%D0%BA%D0%B0%D0%B7%D0%BA%D0%B0%201971%20%D1%84%D0%B8%D0%BB%D1%8C%D0%BC","искать")</f>
        <v/>
      </c>
      <c r="N7264" s="3" t="n"/>
      <c r="O7264" s="2" t="n"/>
      <c r="P7264" s="2" t="n"/>
    </row>
    <row r="7265">
      <c r="A7265" s="2" t="n">
        <v>7264</v>
      </c>
      <c r="B7265" s="2" t="inlineStr"/>
      <c r="C7265" s="2" t="n">
        <v>8327</v>
      </c>
      <c r="D7265" s="3" t="inlineStr">
        <is>
          <t>Семнадцать мгновений весны</t>
        </is>
      </c>
      <c r="E7265" s="2" t="n">
        <v>1973</v>
      </c>
      <c r="F7265" s="2" t="inlineStr">
        <is>
          <t>телефильм</t>
        </is>
      </c>
      <c r="G7265" s="2" t="n"/>
      <c r="H7265" s="2" t="n">
        <v>4178</v>
      </c>
      <c r="I7265" s="2" t="inlineStr"/>
      <c r="J7265" s="2" t="inlineStr"/>
      <c r="K7265" s="3" t="inlineStr">
        <is>
          <t>12-серийный художественный телефильм. Действие фильма разворачивается с 12 февраля по 24 марта 1945 года, незадолго до капитуляции Германии во Второй мировой войне. Герой фильма, штандартенфюрер Макс Отто фон Штирлиц, советский разведчик, работающий в центральном аппарате СД, получает задание выяснить, кто из высших руководителей Рейха намерен вести сепаратные переговоры о перемирии с США и Великобританией. Работа Штирлица в СД вызывает подозрения у Кальтенбруннера. Начальнику РСХА кажется, что Штирлиц имеет какое-то отношение к срыву плана разрушения Кракова и крупным неудачам в создании «оружия возмездия». Кальтенбруннер поручает гестапо провести в отношении Штирлица негласную проверку. При бомбёжке Берлина разрушен дом, где живут радисты Штирлица — муж и жена Эрвин и Кэтрин Кин. Эрвин гибнет, беременная Кэтрин без сознания попадает в клинику Шарите, где во время родов кричит по-русски. Работницы клиники незамедлительно сообщают об этом в гестапо. Задача Штирлица осложняется: он остался без связи с советским руководством. Что переговоры действительно идут в Швейцарии и их инициатором является рейхсфюрер СС Генрих Гиммлер, Штирлиц выясняет довольно быстро. Он сам по поручению своего прямого начальника Шелленберга участвует в их обеспечении. Передать сведения в Москву Штирлиц поручает порознь двум антинацистски настроенным немцам: опальному пастору Шлагу и профессору Вернеру Плейшнеру, брату недавно умершего Карла Плейшнера, также профессора, одного из руководителей антинацистского подполья. Пользуясь своим служебным положением, Штирлиц переправляет обоих в Швейцарию. Пастор, кроме того, должен попытаться через свои связи в церковных и эмигрантских кругах добыть информацию о ходе переговоров Гиммлера, и, возможно, даже помешать им. Пастор успешно выполняет свою часть задания. Профессор же сразу попадает в ловушку: бернская явка, куда он принёс шифровку Штирлица, раскрыта гестапо, а профессор по рассеянности забывает это проверить. Осознав происшедшее, Плейшнер совершает самоубийство. Чтобы воспрепятствовать переговорам, Штирлиц решает использовать давнее соперничество между представителями высших эшелонах власти Рейха. Он идёт на прямой контакт с рейхсляйтером Мартином Борманом и сообщает ему о «предательском заговоре против фюрера». Тем временем в руки начальника гестапо Мюллера попадают серьёзные улики, указывающие на Штирлица как на советского резидента, а также о том, что Штирлиц тайно встречался с Борманом. Стремясь избежать провала, Штирлиц вступает в психологическую дуэль с Мюллером. Объяснения, которые он может представить в своё оправдание, достаточно шатки, но Мюллер удовлетворяется ими. Штирлиц для Мюллера теперь — человек Бормана, а именно Борман ведёт тайные финансовые дела Рейха. Шеф гестапо даёт понять Штирлицу, что заинтересован в нём и сейчас, и особенно после войны, когда нужно будет налаживать отношения с победителями и участвовать в дележе «золота партии». Ещё одна задача, которую необходимо решить Штирлицу, — спасение Кэт. Штирлиц добивается права курировать эту операцию со стороны СД. Он сам проводит арест Кэт и ее первый допрос. Радистка, по указанию Штирлица, даёт согласие на участие в радиоигре. Ее вместе с новорожденным сыном помещают под охраной в служебной квартире с радиооборудованием. Однако, благодаря неожиданному повороту событий, Кэт бежит с конспиративной квартиры. Штирлиц находит способ вывезти её в нейтральную Швейцарию. Обращение к Борману даёт результат. Обергруппенфюрера Вольфа, представителя Гиммлера на переговорах с делегацией спецслужб США, отзывают в Берлин. Переговоры сорваны, задание Центра выполнено. От ареста и обвинения в измене Вольфа спасает Шелленберг: он заранее заготовил версию, что переговоры затеяны СД, чтобы внести раздор между Сталиным с союзниками. В Берне Штирлиц отправляет на родину Кэт, узнаёт о гибели профессора Плейшнера и о том, что тот не был предателем. От пастора Шлага он получает сведения о сепаратных переговорах Вольфа с американцами, восстанавливает связь с Центром и узнаёт о том, что он удостоен звания Героя Советского Союза. 24 марта 1945 года, за шесть недель до Победы, Максим Исаев возвращается в Берлин, чтобы продолжить работу.</t>
        </is>
      </c>
      <c r="L7265" s="2" t="inlineStr">
        <is>
          <t>https://gosfilmofond.ru/films/247871/</t>
        </is>
      </c>
      <c r="M7265" s="2">
        <f>HYPERLINK("https://ru.wikipedia.org/w/index.php?search=%D0%A1%D0%B5%D0%BC%D0%BD%D0%B0%D0%B4%D1%86%D0%B0%D1%82%D1%8C%20%D0%BC%D0%B3%D0%BD%D0%BE%D0%B2%D0%B5%D0%BD%D0%B8%D0%B9%20%D0%B2%D0%B5%D1%81%D0%BD%D1%8B%201973%20%D1%84%D0%B8%D0%BB%D1%8C%D0%BC","искать")</f>
        <v/>
      </c>
      <c r="N7265" s="3" t="n"/>
      <c r="O7265" s="2" t="n"/>
      <c r="P7265" s="2" t="n"/>
    </row>
    <row r="7266">
      <c r="A7266" s="2" t="n">
        <v>7265</v>
      </c>
      <c r="B7266" s="2" t="inlineStr"/>
      <c r="C7266" s="2" t="n">
        <v>9026</v>
      </c>
      <c r="D7266" s="3" t="inlineStr">
        <is>
          <t>Самоубийца</t>
        </is>
      </c>
      <c r="E7266" s="2" t="n">
        <v>1990</v>
      </c>
      <c r="F7266" s="2" t="inlineStr">
        <is>
          <t>кинофильм</t>
        </is>
      </c>
      <c r="G7266" s="2" t="n"/>
      <c r="H7266" s="2" t="n">
        <v>4182</v>
      </c>
      <c r="I7266" s="2" t="inlineStr"/>
      <c r="J7266" s="2" t="inlineStr"/>
      <c r="K7266" s="3" t="inlineStr">
        <is>
          <t>20-30 годы 20-го столетия. В городе, в многоквартирном доме коммунистического быта живет маленький человек Семен Семенович Подсекальников с женой Марией Лукьяновной и тещей Серафимой Ильиничной. Сеня безработный, все его начинания заняться каким-то делом терпят крах. Маша любит мужа, сочувствует ему и, хотя она старается хотя бы досыта его кормить, Сеня считает, что в этом проявляется её стремление унизить его. Однажды утром Маша обнаруживает, что мужа нет в постели. Она в панике: Сеня опять разочаровался в жизни и может наложить на себя руки. Маша будит соседа Калабушкина, и в ходе поисков они находят Подсекальникова на кухне, где тот в укромном месте доедает кусок ливерной колбасы, о котором думал всю ночь. Калабушкин идет на работу в свой тир, где ему приходит мысль, как заработать на угрозах соседа покончить с собой после очередной неудачи, и он достает из сейфа револьвер. Семен решает научиться играть на трубе по самоучителю, и уже строит планы, как он будет давать по 20 концертов в месяц и заработает за год две тысячи шестьсот рублей. Но и эта затея проваливается: звук из трубы не хочет извлекаться. Разочарованный Сеня, собираясь уйти из дома, надевает пальто и обнаруживает в кармане револьвер. Озадаченный появлением неизвестно откуда взявшегося оружия, Семен поднимается на крышу дома и вынимает револьвер, чтобы его выбросить. Неожиданно рядом с ним возникает сосед, интеллигент Аристарх Доминикович. Он уверяет Калабушкина, что надо стреляться за идею, и предлагает стреляться за идеи интеллигенции. Он сетует, что выслушают любого живого, а услышать могут только мертвого, поэтому так важно, чтобы Сеня стал голосом интеллигенции. Аристарх обещает помочь соседу написать правильное предсмертное послание. Тем временем в тире проходит собрание общественности дома коммунистического быта, где обсуждается вопрос, чья предсмертная записка должна быть использована самоубийцей. Каждый из собравшихся сдавал директору тира по 15 рублей, надеясь, что его посланию будет дан ход. Пугачев, торговец, хочет, чтобы Сеня стрелялся в пользу торговли, Виктор Викторович – в пользу писателей, Клеопатра Максимовна и Раиса Филипповна считают, что мужчина должен стреляться из-за несчастной любви. Наконец, приглашают Подсекальникова, чтобы он сам выбрал тему самоубийства. Сеня говорит, что он ещё не готов свести счеты с жизнью. Тогда соседи обещают устроить ему пышные проводы и назначают самоубийство на завтра, в полдень. Дома Семен сообщает жене и теще, что завтра устраивается на работу «как-будто навсегда». Утром за накрытым столом с водкой, с песнями и плясками цыган, соседи напутствуют Семена в последний путь. Он с тревогой ждет своего последнего часа и спрашивает у отца Сапидия, есть ли загробная жизнь. Тот отвечает, что по религии - есть, по науке - нет, а по совести – никому не известно. Расслабившись от спиртного, Семен заявляет, что теперь может, не боясь, позвонить самому главному в Кремль и сказать ему все, что он думает о прочитанном им Марксе. С главным его не соединяют, и все облегченно переводят дух. Чтобы, наконец, решиться, Сеня напивается, и его притаскивают домой пьяного. Дома жена и теща в трауре, «ангелы» из похоронного бюро вносят венки, за дверью слышатся голоса пришедших проводить Подсекальникова в последний путь. Сеня, придя в себя и испугавшись, прячется в гробу. Собравшиеся читают хвалебные речи, жена и теща плачут. Неожиданно «покойник» встает из гроба и заявляет, что передумал умирать и хочет жить. И просит-то он немного: тихую жизнь и приличную зарплату. Собравшиеся соседи возмущены и негодуют. Семена силой укладывают в гроб. Сеня выхватывает из кармана пистолет и угрожает им присутствующим. Все бросаются врассыпную. Семен вопрошает, в чем его вина? В том, что он живет тихо, никому не мешает и не протестует, хотя ему живется трудно. Слышатся возгласы, расстрелять обманщика. Семену удается убежать. За ним вдогонку бегут рассерженные соседи. Антураж городской среды меняется на современный город. Подсекальников забирается по строительным лесам на основание скульптуры Мухиной «Рабочий и колхозница» и сверху взирает на группу преследователей. Он замечает, что Раиса Филипповна целится в него из револьвера.</t>
        </is>
      </c>
      <c r="L7266" s="2" t="inlineStr">
        <is>
          <t>https://gosfilmofond.ru/films/276932/</t>
        </is>
      </c>
      <c r="M7266" s="2">
        <f>HYPERLINK("https://ru.wikipedia.org/w/index.php?search=%D0%A1%D0%B0%D0%BC%D0%BE%D1%83%D0%B1%D0%B8%D0%B9%D1%86%D0%B0%201990%20%D1%84%D0%B8%D0%BB%D1%8C%D0%BC","искать")</f>
        <v/>
      </c>
      <c r="N7266" s="3" t="n"/>
      <c r="O7266" s="2" t="n"/>
      <c r="P7266" s="2" t="n"/>
    </row>
    <row r="7267">
      <c r="A7267" s="2" t="n">
        <v>7266</v>
      </c>
      <c r="B7267" s="2" t="inlineStr"/>
      <c r="C7267" s="2" t="n">
        <v>9349</v>
      </c>
      <c r="D7267" s="3" t="inlineStr">
        <is>
          <t>Дура</t>
        </is>
      </c>
      <c r="E7267" s="2" t="n">
        <v>1991</v>
      </c>
      <c r="F7267" s="2" t="inlineStr">
        <is>
          <t>кинофильм</t>
        </is>
      </c>
      <c r="G7267" s="2" t="n"/>
      <c r="H7267" s="2" t="n">
        <v>4236</v>
      </c>
      <c r="I7267" s="2" t="inlineStr"/>
      <c r="J7267" s="2" t="inlineStr"/>
      <c r="K7267" s="3" t="inlineStr">
        <is>
          <t>1-я серия. Франция второй половины 20-го столетия. Следователь Камиль Севинье, собираясь на службу, заявляет жене Антуанетте, что ему, надоело прозябание в их скромном доме, и он пойдёт на всё, чтобы подняться вверх по социальной лестнице. Он надеется разоблачить кровавого убийцу и получить повышение. Предполагаемый убийца – молодая симпатичная женщина, которую нашли возле трупа её любовника Мигеля в обмороке с зажатым в руке пистолетом. Мари 24 года, она – горничная в доме супругов Боревер, а Мигель был их водителем. Хотя по показаниям свидетелей Мигель неоднократно заявлял о своем желании умереть, Мари упорно утверждает, что любовника убила она. Опытный коллега Севинье Лабланш считает, что арестованная - дура, что значительно упрощает дело для молодого следователя. Когда Севинье говорит, что по показаниям свидетелей Мигель собирался вступить в выгодный брак и бросить Мари, она возмущённо заявляет, что это Мигель безумно ревновал её, и у него, а не у неё был повод пустить в ход оружие. Девушка простодушно заявляет, что все мужчины всегда её хотят. Антуанетта, своевольно придя к мужу в кабинет и вызвав тем самым его недовольство, начинает ревновать его к арестованной. Севинье пытается склонить Мари к добровольному признанию, ведь кто-то из свидетелей слышал возглас: «Мари, зачем ты это сделала!». Как правило, присяжные к таким подсудимым снисходительны. Она в смятении восклицает в небо: «Ты же знаешь, что это не я!» Подписывая протокол допроса, Мари заявляет следователю, что готова умереть за своего любимого человека, но не убить. Севинье уверен в невиновности девушки и отправляет её за решетку только для того, чтобы защитить её от глупостей. На новом допросе Мари отказывается назвать имя другого своего любовника, на что следователь заявляет, что через пять минут сам узнает это имя. На очную встречу приглашают банкира Бенжамена Боревера, и девушка начинает прихорашиваться прямо в кабинете следователя, что подтверждает догадку Севинье, что хозяин дома, где служит Мари, её возлюбленный.
2-я серия. Следователь начинает допрос Боревера, с вопроса, почему его горничная все выходные проводила в своей комнате в его доме. Бенжамен признается, что Мари – его любовница вот уж год. В часы любовных забав он отправлял своего водителя Мигеля на другой конец города, а сам развлекался с этой восхитительной птичкой, которая соблазнила его, когда жена путешествовала по горам. В день убийства он первый прибежал в комнату на звук выстрела и услышал слова Мигеля: «Мари, зачем ты это сделала!». Этот факт не поддается проверке, и следователь предупреждает, что слова Бенжамена могут погубить Мари. Боревер объясняет, что он не любит девушку, но не может обойтись без её восхитительного тела. Зная, что Мигель тоже любовник Мари, Бенжамен заявил в клубе при свидетелях, что готов на всё, чтобы не потерять Мари. Следователь сообщает прокурору, что собирается предъявить обвинение банкиру. Боревер меняет свои показания и сообщает, что первой на месте преступления оказалась его жена Доминик. Он застал её в тот момент, когда она вкладывала пистолет в руку Мари, лежащей без сознания. Он обвиняет жену, что она хотела убить его, думая, что это он с любовницей, но в темноте выстрелила в Мигеля. На очной ставке супруги обвиняют друг друга в убийстве водителя. На новом допросе Мари неожиданно берёт вину на себя, но все её доводы противоречат логике и здравому смыслу. Неоспоримые факты виновности Доминик Боревер приводят к её задержанию. Мари по-своему хочет отблагодарить Камиля Совинье за своё спасение и предлагает ему заняться с ней любовью, говоря, что её женская интуиция подсказывает, что она нравится следователю. Ей хочется кого-нибудь сделать счастливым. Камиль отказывается от предложения Мари. Антуанетта входит в кабинет к мужу в тот момент, когда Мари дарит ему носовой платок. Девушка заявляет жене следователя, что ей не стоит ревновать, и платок – подарок за её спасение. Камиль отправляет жену домой и просит до его прихода осознать, что они не переедут в новый дом, не купят новую машину, и у неё не появится новая шуба. Камиль утешает Мари, что она ещё осчастливит достойного человека. Девушка успокоившись, говорит, что в кабинете следователя она провела лучшие часы своей жизни. Мари уводят.</t>
        </is>
      </c>
      <c r="L7267" s="2" t="inlineStr">
        <is>
          <t>https://gosfilmofond.ru/films/232283/</t>
        </is>
      </c>
      <c r="M7267" s="2">
        <f>HYPERLINK("https://ru.wikipedia.org/w/index.php?search=%D0%94%D1%83%D1%80%D0%B0%201991%20%D1%84%D0%B8%D0%BB%D1%8C%D0%BC","искать")</f>
        <v/>
      </c>
      <c r="N7267" s="3" t="n"/>
      <c r="O7267" s="2" t="n"/>
      <c r="P7267" s="2" t="n"/>
    </row>
    <row r="7268">
      <c r="A7268" s="2" t="n">
        <v>7267</v>
      </c>
      <c r="B7268" s="2" t="inlineStr"/>
      <c r="C7268" s="2" t="n">
        <v>7772</v>
      </c>
      <c r="D7268" s="3" t="inlineStr">
        <is>
          <t>Крах инженера Гарина</t>
        </is>
      </c>
      <c r="E7268" s="2" t="n">
        <v>1973</v>
      </c>
      <c r="F7268" s="2" t="inlineStr">
        <is>
          <t>телефильм</t>
        </is>
      </c>
      <c r="G7268" s="2" t="n"/>
      <c r="H7268" s="2" t="n">
        <v>4257</v>
      </c>
      <c r="I7268" s="2" t="inlineStr"/>
      <c r="J7268" s="2" t="inlineStr"/>
      <c r="K7268" s="3" t="inlineStr">
        <is>
          <t>События происходят в 20-е годы XX века. На дворе стоит месяц май. На заброшенной даче на Крестовском острове в Петрограде найден убитым инженер Пётр Петрович Гарин. Тогда же в руках советских учёных оказывается письмо его друга Манцева, погибшего в таёжной экспедиции, из которого следует, что Гарин работал над проблемой «теплового луча». О том же говорят некоторые странные факты и любопытные находки на даче. Быстро выясняется, что настоящему Гарину удалось спастись от иностранных убийц и скрыться за границу, а погиб его приятель, загримированный под него. Бывший следователь уголовного розыска, а ныне — физик Шельга отправляется по заданию Академии наук следом за Гариным, чтобы узнать больше о его работе и убедить инженера вернуться.
Оказывается, воспользовавшись идеями и материалами Манцева, Гарин действительно разработал аппарат, излучающий тепловой луч, способный прожигать объекты на большом расстоянии. Гарин хочет использовать свой аппарат для осуществления безумной идеи стать властелином мира. Он собирается бурить сверхглубокие скважины в Южной Америке, чтобы добраться до находящихся в глубине Земли неисчерпаемых залежей золота. Для реализации проекта ему нужен крупный начальный капитал, и Гарин пытается привлечь к своему проекту американского промышленника Роллинга, валютные ресурсы которого на тот момент сильно истощились вследствие конкуренции с немцами. Вначале Роллинг не воспринимает всерьёз авантюру инженера и пытается с помощью своих подручных, мелких гангстеров, убить Гарина и захватить модель аппарата, но в схватке с ними Гарин побеждает, подставив под удар своего компаньона Ленуара, а затем привлекает на свою сторону Зою Монроз — любовницу Роллинга. В конце концов инженер получает деньги от Роллинга для создания полноценной боевой версии аппарата, которым Роллинг самолично сжигает химический завод своих немецких конкурентов.
Ещё одним претендентом на аппарат Гарина становится организация нацистского толка, одним из агентов которой оказывается личный секретарь Роллинга — Шефер. Втайне от Роллинга Шефер готовит похищение Гарина и его аппарата. В это же время охоту за аппаратом начинает владелец немецкой Анилиновой компании Дитц, задействовав своего племянника Вольфа; отказавшись помогать своему родственнику, доктор Вольф погибает от рук нацистов как лишний свидетель работы аппарата и гибели химических заводов. Шельга находит Гарина, но, раненный Роллингом, надолго попадает в больницу, под контроль нацистов. Нацисты же потом и выпускают Шельгу из больничного заточения, надеясь с его помощью купить аппарат у Гарина. Гарин приглашает Шельгу на яхту «Аризона», на которой он в компании Роллинга и Шефера собирается отплыть в Южную Америку, где Роллинг уже приобрёл для Гарина концессию на разработку недр. Шельга пытается убедить Гарина отказаться от своих прожектов и вернуть аппарат в Россию, но безуспешно. Зоя, оставшаяся на берегу, чтобы сохранить и при необходимости предать огласке компрометирующие Роллинга материалы, в подстроенной Шефером автокатастрофе гибнет по дороге из порта. У Гарина больше не остаётся козырей, фактически он оказывается на яхте в ловушке.
Вблизи необитаемого вулканического островка Шефер выводит яхту из строя. Шельга пытается уговорить инженера, пока ещё есть время, утопить аппарат. В ответ взбешённый Гарин угрожает застрелить оппонента, если тот ещё раз встанет на его пути. Шельга решает покинуть корабль и вплавь добраться до острова незадолго до прихода шлюпок с тонущей яхты. Поднявшись по скалам, он становится свидетелем того, как небольшая группа неизвестных с помощью отравляющих газов убивает всех высадившихся, кроме двоих, Шефер успевает надеть заранее подготовленные противогазы на себя и на теряющего сознание Гарина. Гарин и его аппарат оказываются в руках нацистов. К острову приближается гидроплан нацистов, который должен будет забрать группу. Шельга жертвует собой, вызывая на себя огонь. Шефер даёт Гарину команду уничтожить свидетеля, и Пётр Петрович Гарин в последний раз активирует свой аппарат. Луч прожигает кратер потухшего вулкана, и поток воды из кратерного озера смывает всех в море. В живых остаётся лишь один матрос, которого сразу после высадки отправили искать пресную воду. Избежав газовой атаки, он видит на берегу лишь мертвецов.</t>
        </is>
      </c>
      <c r="L7268" s="2" t="inlineStr">
        <is>
          <t>https://ru.wikipedia.org/w/index.php?title=%D0%9A%D1%80%D0%B0%D1%85_%D0%B8%D0%BD%D0%B6%D0%B5%D0%BD%D0%B5%D1%80%D0%B0_%D0%93%D0%B0%D1%80%D0%B8%D0%BD%D0%B0&amp;oldid=152067650</t>
        </is>
      </c>
      <c r="M7268" s="2">
        <f>HYPERLINK("https://ru.wikipedia.org/w/index.php?search=%D0%9A%D1%80%D0%B0%D1%85%20%D0%B8%D0%BD%D0%B6%D0%B5%D0%BD%D0%B5%D1%80%D0%B0%20%D0%93%D0%B0%D1%80%D0%B8%D0%BD%D0%B0%201973%20%D1%84%D0%B8%D0%BB%D1%8C%D0%BC","искать")</f>
        <v/>
      </c>
      <c r="N7268" s="3" t="n"/>
      <c r="O7268" s="2" t="n"/>
      <c r="P7268" s="2" t="n"/>
    </row>
    <row r="7269">
      <c r="A7269" s="2" t="n">
        <v>7268</v>
      </c>
      <c r="B7269" s="2" t="inlineStr"/>
      <c r="C7269" s="2" t="n">
        <v>7970</v>
      </c>
      <c r="D7269" s="3" t="inlineStr">
        <is>
          <t>Невероятное пари, или Истинное происшествие, благополучно завершившееся сто лет назад</t>
        </is>
      </c>
      <c r="E7269" s="2" t="n">
        <v>1984</v>
      </c>
      <c r="F7269" s="2" t="inlineStr">
        <is>
          <t>телефильм</t>
        </is>
      </c>
      <c r="G7269" s="2" t="n"/>
      <c r="H7269" s="2" t="n">
        <v>4258</v>
      </c>
      <c r="I7269" s="2" t="inlineStr"/>
      <c r="J7269" s="2" t="inlineStr"/>
      <c r="K7269" s="3" t="inlineStr">
        <is>
          <t>1 новелла «Жилец».
Молодой человек по фамилии Брыкович некогда занимался адвокатурой, а теперь живёт без дела у своей богатой жены, которая является хозяйкой пансиона «Тунис». Однажды у него выходит ссора с одним из постояльцев, пьяницей Халявкиным, который никак не может уплатить за проживание. После ссоры Брыкович и Халявкин выпили и помирились. Халявкину мерзко, что он беден, и каждый может его оскорбить. Брыкович тоже когда-то был беден, теперь он богат, но он продал молодость, карьеру и принципы.
Людмила Целиковская — мадам Брыкович
Станислав Садальский — Брыкович
Михаил Уржумцев — Халявкин, скрипач
2 новелла «Из воспоминаний идеалиста».
Среднего достатка горожанин снимает комнату на лето в доме небогатой и нестарой вдовы Книгиной. Скуки ради он решает приударить за хозяйкой, полагая сэкономить на тратах. Уже уезжая и привычно обещая вскорости всенепременно приехать в гости (а на деле уже готовясь забыть о дачном романе), квартирант берёт лист, где записано, сколько он должен за постой. Оказывается, вдова, не раз наученная подобным опытом, поставила свои сексуальные услуги в счёт.
Михаил Козаков — дачник Дудник (Дудочка)
Ирина Муравьёва — Софья Павловна Книгина
3 новелла «Невероятное пари».
Молодой юрист и банкир заключают пари. Юрист обязуется провести 15 лет в добровольном заточении во флигеле банкира, не общаясь ни с кем. Ему предоставляется пища и всё необходимое, но связь с миром у молодого человека односторонняя: он пишет, что ему нужно, на следующий день немой слуга приносит требуемое. В любой момент студент волен выйти из флигеля, но тогда он не получит обещанную крупную сумму. Время идёт, и некогда богатый банкир становится банкротом. Чем ближе срок выплаты оговоренного выигрыша, тем сильнее в нём мысль убить уже немолодого юриста.
Алексей Петренко — банкир
Борис Плотников — студент-юрист (озвуч. Александр Кайдановский)
4 новелла «Неосторожность».
Пётр Петрович Стрижин поздно ночью возвращается домой с крестин. Желая выпить водки, он берёт из шкафа бутыль и наливает в рюмку. Опорожнив рюмку, он понимает, что выпил не водки, а керосину, и хватаясь за горло, начинает бросаться из стороны в сторону. Проснувшаяся свояченица Дашенька не выказывает ему ни малейшего сочувствия, а напротив, укоряет его за то, что он посмел взять водку.
Несчастный бежит в аптеку и просит аптекаря дать ему чего-нибудь. Но аптекарь не может понять, что дают в таких случаях. В отчаянии Стрижин выбегает из аптеки и возвращается домой — ждать смерти.
На следующее утро он, невредимый, уже радуется, что ведёт «правильную и регулярную жизнь» и потому его никакая отрава не возьмёт. Дашенька же объясняет его спасение тем, что в лавке ей подсунули плохой керосин.
Алексей Кожевников — Пётр Петрович Стрижин
Валентина Кособуцкая — Дарья Ивановна, свояченица Стрижина
Николай Боярский — аптекарь
5 новелла «На мельнице».
К мельнику Алексею Бирюкову издалека пешком приходит в гости его престарелая мать. Она рассказывает ему о бедственном положении его брата и просит для него денег, но тот не даёт. Старушка рассказывает сыну, что была недавно в гостях и там для него взяла гостинец. Она протягивает ему пряник, но мельник, устыдившись, грубит матери. Обиженная, она отправляется домой. Сын, усовестившись, догоняет её и даёт ей 20 копеек.
Юрий Смирнов — Алексей Дорофеевич Бирюков, мельник
Галина Скоробогатова — маменька мельника
6 новелла «Сапожник и нечистая сила».
Сапожник Фёдор Нилов обнаруживает, что сапоги, заказанные ему клиентом, готовы. Он идёт к заказчику. Желая примерить сапоги, Фёдор снимает обувь с ноги заказчика, но вместо ноги обнаруживает там копыто, какое бывает у чертей. В испуге он пятится к дверям, но потом, собравшись с мыслями, начинает говорить, что он считает нечистую силу умнее всех. Заказчик хвалит Фёдора за его слова и спрашивает, что тот хочет за это. Фёдор хочет стать богатым, и его желание выполняется. Он сладко ест и имеет много денег, но уже не может позволить себе того, что раньше. Тут появляется нечистый и пытается затащить Фёдора в ад. Фёдор просыпается в своей каморке, у рабочего стола. Рядом стоит заказчик и бранит его за до сих пор не выполненную работу.
Сергей Скрипкин — Фёдор Нилов, сапожник
Алексей Петренко — банкир, заказчик сапогов
Татьяна Агафонова — Марья, жена сапожника</t>
        </is>
      </c>
      <c r="L7269" s="2" t="inlineStr">
        <is>
          <t>https://ru.wikipedia.org/w/index.php?title=%D0%9D%D0%B5%D0%B2%D0%B5%D1%80%D0%BE%D1%8F%D1%82%D0%BD%D0%BE%D0%B5_%D0%BF%D0%B0%D1%80%D0%B8%2C_%D0%B8%D0%BB%D0%B8_%D0%98%D1%81%D1%82%D0%B8%D0%BD%D0%BD%D0%BE%D0%B5_%D0%BF%D1%80%D0%BE%D0%B8%D1%81%D1%88%D0%B5%D1%81%D1%82%D0%B2%D0%B8%D0%B5%2C_%D0%B1%D0%BB%D0%B0%D0%B3%D0%BE%D0%BF%D0%BE%D0%BB%D1%83%D1%87%D0%BD%D0%BE_%D0%B7%D0%B0%D0%B2%D0%B5%D1%80%D1%88%D0%B8%D0%B2%D1%88%D0%B5%D0%B5%D1%81%D1%8F_%D1%81%D1%82%D0%BE_%D0%BB%D0%B5%D1%82_%D0%BD%D0%B0%D0%B7%D0%B0%D0%B4&amp;oldid=153314933</t>
        </is>
      </c>
      <c r="M7269" s="2">
        <f>HYPERLINK("https://ru.wikipedia.org/w/index.php?search=%D0%9D%D0%B5%D0%B2%D0%B5%D1%80%D0%BE%D1%8F%D1%82%D0%BD%D0%BE%D0%B5%20%D0%BF%D0%B0%D1%80%D0%B8%2C%20%D0%B8%D0%BB%D0%B8%20%D0%98%D1%81%D1%82%D0%B8%D0%BD%D0%BD%D0%BE%D0%B5%20%D0%BF%D1%80%D0%BE%D0%B8%D1%81%D1%88%D0%B5%D1%81%D1%82%D0%B2%D0%B8%D0%B5%2C%20%D0%B1%D0%BB%D0%B0%D0%B3%D0%BE%D0%BF%D0%BE%D0%BB%D1%83%D1%87%D0%BD%D0%BE%20%D0%B7%D0%B0%D0%B2%D0%B5%D1%80%D1%88%D0%B8%D0%B2%D1%88%D0%B5%D0%B5%D1%81%D1%8F%20%D1%81%D1%82%D0%BE%20%D0%BB%D0%B5%D1%82%20%D0%BD%D0%B0%D0%B7%D0%B0%D0%B4%201984%20%D1%84%D0%B8%D0%BB%D1%8C%D0%BC","искать")</f>
        <v/>
      </c>
      <c r="N7269" s="3" t="n"/>
      <c r="O7269" s="2" t="n"/>
      <c r="P7269" s="2" t="n"/>
    </row>
    <row r="7270">
      <c r="A7270" s="2" t="n">
        <v>7269</v>
      </c>
      <c r="B7270" s="2" t="inlineStr"/>
      <c r="C7270" s="2" t="n">
        <v>9028</v>
      </c>
      <c r="D7270" s="3" t="inlineStr">
        <is>
          <t>Сафари - 6</t>
        </is>
      </c>
      <c r="E7270" s="2" t="n">
        <v>1990</v>
      </c>
      <c r="F7270" s="2" t="inlineStr">
        <is>
          <t>кинофильм</t>
        </is>
      </c>
      <c r="G7270" s="2" t="n"/>
      <c r="H7270" s="2" t="n">
        <v>4295</v>
      </c>
      <c r="I7270" s="2" t="inlineStr"/>
      <c r="J7270" s="2" t="inlineStr"/>
      <c r="K7270" s="3" t="inlineStr">
        <is>
          <t>В непонятно какой стране в 20-м веке идет война. Подразделение одной из сторон конфликта находится в палаточном лагере, где бойцы в ожидание приказа из штаба пьют водку, играют в карты, занимаются сексом с девушками-военнослужащими. В распоряжение майора, главного в лагере, прибывает офицер-новичок, капитан Андер. Увидев, какой бардак здесь творится, он заявляет начальнику, что не намерен с этим мириться, и собирается навести порядок. Но вскоре из штаба поступает приказ взорвать стратегически важный мост на территории противника. Руководителем диверсионной группы назначают Андера, а в помощники ему дают опытных старослужащих сержанта Геза и капрала Гредо. Майор предупреждает капитана, что у сержанта и капрала сложные отношения, и возможен конфликт между ними. Майор также просит Андера быть предельно осторожным с сержантом, потому что в лагере его считают наглецом и сволочью. В походе сержант Гез сразу берет командование на себя, так как не уверен, что неопытный офицер сможет выполнить задание и сохранить жизни всех солдат. Капитан предупреждает сержанта, что по возвращению в лагерь ему придется отвечать за свои действия. Противник каким-то образом узнает о присутствии диверсионной группы на своей территории и начинает преследование силами, значительно превосходящими небольшой отряд. Сержанту удается уводить группу по своим, известным только ему маршрутам. Но его гложут сомнения, что что-то не так во всей этой операции, ведь мост легко было взорвать с воздуха. Ночью во время отдыха бойцов противник прожекторами освещает прожекторами и обстреливает место расположения отряда. Треть бойцов убивают. Утром капрал Гредо, заявляет, что все сержанты сволочи и ему надоело подчиняться Гезу. Сержант бьет капрала за хамство, и между ними вспыхивает драка, которую разнимает капитан. Гез говорит, что армия держится на сержантах, и он будет добиваться неукоснительного подчинения ему всех здесь. Эхо ночного боя доходит до лагеря, и майор связывается с полковником, обеспокоенный тем, что не понимает, что происходит на его участке фронта. Полковник успокаивает подчиненного, что он в курсе всех передвижений диверсионной группы. Тем временем Гесс узнает солдат противника, взятых в плен, что за его группой охотится спецбатальон. Он понимает, что батальон все сделает, чтобы не выпустить никого из группы живыми. На очередную ночевку отряд останавливается в покинутом жителями городе. В одном из домов они встречают девушку. В разговоре с ней Гес упоминает о мосте, и Беата сообщает ему, что моста, к которому их послали, не существует. Год назад «ваши» разбомбили мост, и его с тех пор не восстанавливали. Сержант ставит в известность об этом майора и предлагает вернуться в лагерь. Гез обеспокоен тем, что в штабе армии, видимо, творится большое предательство. Отход малочисленной группы противник пытается остановить, но людям Геса удается захватить машину, в которой сержант находит странные металлические пластины, и захватывает их с собой. Отряд отступает с потерями, и на последнем этапе пути в живых из отряда остаются Андер, Гез и Гредо. Капрал остается прикрывать огнем уходящих. В лагерь прибывают Андер и Гез. Геза сразу арестовывают, якобы, за убийство капрала, а капитану предлагают подтвердить это, иначе и он пойдет под трибунал. Андер приходит к арестованному и рассказывает, что его принуждают к ложным показаниям, так как, видимо, Гез кому-то очень сильно мешает. В свою очередь, сержант рассказывает капитану, что пластины, которые он нашел в машине, он передал на расшифровку знакомой девушке-связистке Инге, и та объяснила ему, что это ключи к секретным кодам, доступ к которым имеют старшие офицеры, не ниже полковника, как в своем штабе, так и в штабе противника. Поэтому их группу постоянно держали под прицелом, и цель была, избавиться от людей, кого штаб командировал в отряд. Гез понимает, что его все равно поставят к стенке, а Андерса штабисты хотят заиметь в качестве «шестерки». Однако он надеется, что их «козырной туз», кодовые ключи, помогут им взять ситуацию в свои руки. Инга обещала узнать, как пользоваться ключами, но не успевает это сделать. Геза без промедления расстреливают. На следующий день в лагерь возвращается капрал Гредо. Первый его вопрос к окружившим его бойцам, где найти сержанта Геза. Люди стоят, понурив головы, и молчат.</t>
        </is>
      </c>
      <c r="L7270" s="2" t="inlineStr">
        <is>
          <t>https://gosfilmofond.ru/films/276960/</t>
        </is>
      </c>
      <c r="M7270" s="2">
        <f>HYPERLINK("https://ru.wikipedia.org/w/index.php?search=%D0%A1%D0%B0%D1%84%D0%B0%D1%80%D0%B8%20-%206%201990%20%D1%84%D0%B8%D0%BB%D1%8C%D0%BC","искать")</f>
        <v/>
      </c>
      <c r="N7270" s="3" t="n"/>
      <c r="O7270" s="2" t="n"/>
      <c r="P7270" s="2" t="n"/>
    </row>
    <row r="7271">
      <c r="A7271" s="2" t="n">
        <v>7270</v>
      </c>
      <c r="B7271" s="2" t="inlineStr"/>
      <c r="C7271" s="2" t="n">
        <v>10164</v>
      </c>
      <c r="D7271" s="3" t="inlineStr">
        <is>
          <t>Захудалое королевство</t>
        </is>
      </c>
      <c r="E7271" s="2" t="n">
        <v>1966</v>
      </c>
      <c r="F7271" s="2" t="inlineStr">
        <is>
          <t>фильм-спектакль</t>
        </is>
      </c>
      <c r="G7271" s="2" t="inlineStr">
        <is>
          <t>Ленинградское ТВ</t>
        </is>
      </c>
      <c r="H7271" s="2" t="n">
        <v>4300</v>
      </c>
      <c r="I7271" s="2" t="inlineStr"/>
      <c r="J7271" s="2" t="inlineStr"/>
      <c r="K7271" s="3" t="inlineStr">
        <is>
          <t>В аду не хватает грешников. Поэтому чёрт Люцифер посылает своего помощника Вельзевула добыть хоть одного в захудалом королевстве, получившем своё название из-за того, что его правитель, король Антонин Матей XXIII, только и делает, что запускает воздушного змея или играет в домино с фрейлиной и стражником. Его 17-летняя дочь Маня не занимается зарядкой, не учится и не слушает своего учителя Коклюша, а постоянно показывает ему язык или подкладывает кнопки на стул. В ней Вельзевул и находит новую грешницу.
За Маней также наблюдает справедливый волшебник, дед Габадей. Чтобы наказать её, он наколдовывает ей на лоб коровий рог до тех пор, пока она не исправится в своём поведении. Мане ничего не остаётся, как начать исправляться, а Антонин Матей, в свою очередь, назначает награду в полцарства и принцессу в жёны тому, кто её вылечит.
Тем временем к деду Габадею обращается вдова Бартачкова из села Сыслова, чтобы он помог её праздному сыну Гонзе, который целыми днями только лежит на печи да ест, но в душе очень добрый человек. Дед Габадей даёт Гонзе яблоко, чтобы он отнёс его принцессе Мане. Когда она съест яблоко, то рог у неё сразу отвалится, а Гонзик женится на ней и получит ещё и полцарства в придачу. Таким образом, можно помочь Гонзику и наградить Маню за старания.
Однако по дороге в королевский замок Гонзу при помощи заклинания заколдовывает Вельзевул — вместо того, чтобы прийти в столицу королевства, Гонза возвращается домой. Зайдя к матери в хлев, он случайно показывает яблоко перед носом у Красотки — единственной коровы семьи Бартачковых, и та, естественно, съедает его. В этот же момент у неё отваливается рог.
Гонза опять идёт к деду Габадею за помощью. Насмеявшись от души, последний даёт ему ещё два яблока — жёлтое для коровы, чтобы рог вырос (потому что она сама рыжая), а красное для принцессы, чтобы рог отвалился (потому что она тоже румяная). На этот раз Гонза отправляется в королевский замок вместе со своим приятелем Ярабачеком. Переодевшись в учёных медиков, они сначала заходят в трактир, а потом попадают в королевский дворец с целью излечить принцессу. Но в этот момент Вельзевул применяет заклинание, чтобы поменять местами цвет яблок. Когда Маня съела яблоко, предназначенное для Красотки, у неё вырос второй рог.
Еле удрав из дворца, Гонзик в очередной раз отправляется к деду Габадею. Тому уже не до смеха, так как он уже два раза хотел было уйти в другую сказку, но всё не может из-за этой истории с рогами. К тому же, у него (то есть Габадея) закончились все яблоки. На этот раз он даёт Гонзе волшебную кашу, которая должна добавить ему немного ума, чтобы он сам смог придумать, как выпутаться из сложившейся ситуации — принцесса с двумя рогами, а корова с одним. Съев кашу, Гонзик понимает, что нести жёлтое (то есть на самом деле красное) яблоко корове нельзя, и поэтому надо опять отправляться в королевский замок. Чтобы его там не узнали после прошлого визита, Гонза нанимается помощником у королевского повара Дуршлага и приготавливает принцессе пончики с начинкой из оставшегося яблока. Маня съедает их, и оба рога отваливаются. С радости она желает познакомиться со своим спасителем. Однако в этот момент Гонзу похищает Вельзевул, случайно перепутавший его с Дуршлагом, в котором Люцифер сам увидел грешника и приказал притащить в ад.
После такой грубой оплошности с безгрешным человеком Люцифер разжалует Вельзевула из обер-чёрта в самого простого, но вернуть Гонзика назад на Землю не может, так как что в ад попало, то пропало. Спасти его из ада может теперь только другой, безгрешный и смелый человек. Маня узнаёт, где её спаситель, и отправляется за ним в ад, но сначала заходит за советами к сестре деда Габадея — Канимуре, владеющей специальными книгами на эту тему.
В аду Люцифер соглашается отдать Мане Гонзика, если она загадает ему три загадки, и он ни одну из них не отгадает. Если же отгадает хоть одну, то тогда и она должна будет остаться в аду. Тогда Маня загадывает его адскому величеству три загадки на смекалку — фруктовую, лесную и транспортную, ни одну из которых ему не удаётся отгадать, и поэтому он поневоле вынужден отпустить обоих безгрешников на волю (особенно после того, как принцесса пригрозила ему самбо). Счастливые, Маня и Гонза вернулись домой и поженились, а дед Габадей наконец-таки смог уйти в другую сказку.</t>
        </is>
      </c>
      <c r="L7271" s="2" t="inlineStr">
        <is>
          <t>https://ru.wikipedia.org/w/index.php?title=%D0%97%D0%B0%D1%85%D1%83%D0%B4%D0%B0%D0%BB%D0%BE%D0%B5_%D0%BA%D0%BE%D1%80%D0%BE%D0%BB%D0%B5%D0%B2%D1%81%D1%82%D0%B2%D0%BE&amp;oldid=155226505</t>
        </is>
      </c>
      <c r="M7271" s="2">
        <f>HYPERLINK("https://ru.wikipedia.org/w/index.php?search=%D0%97%D0%B0%D1%85%D1%83%D0%B4%D0%B0%D0%BB%D0%BE%D0%B5%20%D0%BA%D0%BE%D1%80%D0%BE%D0%BB%D0%B5%D0%B2%D1%81%D1%82%D0%B2%D0%BE%201966%20%D1%84%D0%B8%D0%BB%D1%8C%D0%BC","искать")</f>
        <v/>
      </c>
      <c r="N7271" s="3" t="n"/>
      <c r="O7271" s="2" t="n"/>
      <c r="P7271" s="2" t="n"/>
    </row>
    <row r="7272">
      <c r="A7272" s="2" t="n">
        <v>7271</v>
      </c>
      <c r="B7272" s="2" t="inlineStr"/>
      <c r="C7272" s="2" t="n">
        <v>11245</v>
      </c>
      <c r="D7272" s="3" t="inlineStr">
        <is>
          <t>А это случилось в Виши</t>
        </is>
      </c>
      <c r="E7272" s="2" t="n">
        <v>1989</v>
      </c>
      <c r="F7272" s="2" t="inlineStr">
        <is>
          <t>фильм-спектакль</t>
        </is>
      </c>
      <c r="G7272" s="2" t="inlineStr">
        <is>
          <t>Главная редакция литературно-драматических программ ЦТ</t>
        </is>
      </c>
      <c r="H7272" s="2" t="n">
        <v>4305</v>
      </c>
      <c r="I7272" s="2" t="inlineStr"/>
      <c r="J7272" s="2" t="inlineStr"/>
      <c r="K7272" s="3" t="inlineStr">
        <is>
          <t>Виши, 1942 год. В подвале кирпичного здания оказываются различные люди. Сюда их привели немцы и французы-полицейские. Все они мужчины разного возраста и, как выясняется в ходе их знакомства, разного социального положения. Среди них: Врач, ветеран и участник Французской кампании 1940 года; Коммерсант, волнующийся, что опоздает на важную деловую встречу; Официант, знающий лично охранника-полицейского и немецкого офицера, которому подаёт каждое утро завтрак; Актёр-неудачник; Электромонтёр паровозного депо и одновременно коммунист-подпольщик; Художник, оставшийся в Виши из-за матери; Цыган и некий престарелый человек интеллигентного вида, как потом выясняется, австриец, Князь фон Берг, бежавший от нацистов во Францию.
Вскоре из комнаты наверху приходят Капитан французской полиции Виши и какой-то человек в штатском и забирают Коммерсанта, а в камеру приводят Старого еврея и Мальчика. Герои недоумевают, за что их задержали. Через некоторое время из комнаты выходит Коммерсант с пропуском и, ничего не сказав, отправляется на свободу. Некоторые задержанные, в частности Актёр, успокаиваются, считая, что это всё-таки или проверка документов, или немцам нужны рабочие руки. Однако не у всех документы в порядке, а Рабочий слышал о том, что множество людей загоняют в товарные железнодорожные вагоны и увозят куда-то на восток, возможно, в Польшу, поскольку машинистом паровоза был поляк. Следующим уводят Цыгана, а тем временем входит Немецкий офицер, которого узнаёт Врач, поскольку видел его как противника во время сражения в Амьене в 1940 году. Постепенно герои начинают догадываться, что полиция ищет евреев, поскольку при задержании тот самый человек в штатском (как оказалось, Профессор-расолог) измерял им всем носы, пристально рассматривал их внешность и вслушивался в их речь.
Тем временем Цыган, которого увели в комнату, не выходит, а полицейский приходит за следующим. Им оказывается Рабочий. Однако перед этим хозяин ближайшего кафе приносит проверяющим кофе, а заодно рассказывает Официанту, что ищут евреев и увозят, чтобы сжигать в печах. При этом узнают они о том, что задержанный является евреем не только по документам, а по ещё одному признаку. Официант сообщает положение дел остальным, однако Актёр не верит ему, заявляя, что он хорошо знает немцев, что это культурная нация, приличные люди и очень благодарная публика. Рабочий также не возвращается, приходят за Официантом. Он в истерике сопротивляется, капитан полиции избивает его, оскорбляет и с конвоем уводит в комнату наверх.
Наблюдая за этой сценой, Немецкий офицер предлагает Профессору спросить у задержанных, есть ли у них фальшивые документы, и подтвердить, что все они французы, и среди них нет евреев. Однако задержанные молчат. Понимая весь ужас происходящего, Врач хочет с помощью сокамерников обезвредить охранника и бежать, Актёр, самый сильный из присутствующих, возражает ему. Он уверен, что, раз соблюдает законы, не совершил никакого преступления, его «никто не тронет». Законы справедливы, ведь, если бы они не устраивали большинство, то они бы были отменены. Более того, он рассказывает о своём родственнике, который попал в Освенцим. Судя по его письмам оттуда, он вполне доволен жизнью, его даже научили работать. Врач, найдя кусок арматуры, вместе с Мальчиком идёт к выходу, но их останавливает Немецкий офицер. Он сообщает, что беглецы будут обречены, поскольку, кроме одного полицейского у входа, на улице стоят вооруженные часовые. Немецкий офицер говорит Врачу, что после ранения на фронте он был направлен сюда и то, что здесь происходит, для него самого является непостижимым. Врач не верит ему, они спорят, и Немецкий офицер в ярости, достав пистолет, говорит, что будет проверять всех и ему «плевать на них».
Следующим после Актёра уводят Художника, а за ними Мальчика и Старого еврея. Никто из них не вернулся. Остались только Врач и князь фон Берг. Ожидая своей очереди, они разговаривают. Наконец, уводят князя. Через некоторое время он возвращается с заветным пропуском, однако в последний момент отдаёт его Врачу, жертвуя таким образом собой.
В следующей сцене подвал, в центре которого стоят друг перед другом Немецкий офицер и Князь, наполняет множество новых задержанных. Среди толпы растерянных и испуганных людей стоит Христос, его лицо крупным планом последнее, что видит зритель.</t>
        </is>
      </c>
      <c r="L7272" s="2" t="inlineStr">
        <is>
          <t>https://ru.wikipedia.org/w/index.php?title=%D0%90_%D1%8D%D1%82%D0%BE_%D1%81%D0%BB%D1%83%D1%87%D0%B8%D0%BB%D0%BE%D1%81%D1%8C_%D0%B2_%D0%92%D0%B8%D1%88%D0%B8&amp;oldid=142935953</t>
        </is>
      </c>
      <c r="M7272" s="2">
        <f>HYPERLINK("https://ru.wikipedia.org/w/index.php?search=%D0%90%20%D1%8D%D1%82%D0%BE%20%D1%81%D0%BB%D1%83%D1%87%D0%B8%D0%BB%D0%BE%D1%81%D1%8C%20%D0%B2%20%D0%92%D0%B8%D1%88%D0%B8%201989%20%D1%84%D0%B8%D0%BB%D1%8C%D0%BC","искать")</f>
        <v/>
      </c>
      <c r="N7272" s="3" t="n"/>
      <c r="O7272" s="2" t="n"/>
      <c r="P7272" s="2" t="n"/>
    </row>
    <row r="7273">
      <c r="A7273" s="2" t="n">
        <v>7272</v>
      </c>
      <c r="B7273" s="2" t="inlineStr"/>
      <c r="C7273" s="2" t="n">
        <v>7685</v>
      </c>
      <c r="D7273" s="3" t="inlineStr">
        <is>
          <t>Инспектор Лосев</t>
        </is>
      </c>
      <c r="E7273" s="2" t="n">
        <v>1982</v>
      </c>
      <c r="F7273" s="2" t="inlineStr">
        <is>
          <t>телефильм</t>
        </is>
      </c>
      <c r="G7273" s="2" t="n"/>
      <c r="H7273" s="2" t="n">
        <v>4361</v>
      </c>
      <c r="I7273" s="2" t="inlineStr"/>
      <c r="J7273" s="2" t="inlineStr"/>
      <c r="K7273" s="3" t="inlineStr">
        <is>
          <t>Серия I «Гастролёр».
Неизвестный преступник проникает в номер «люкс» московской гостиницы «Минск», но оказывается застигнут горничной. Он убивает девушку и скрывается. Следствие ведёт группа полковника Цветкова (Владимиров), в состав которой входят Виталий Лосев (Шлыков) и Игорь Откаленко (Носик). Становится известно, что это звено в серии однотипных краж имущества постояльцев высококлассных номеров, отягощённое на этот раз убийством. Фоторобот, разосланный в крупные города СССР, позволяет предположительно установить фамилию вора — Мушанский (Ландграф). По числящемуся среди украденного платью, которое чуть позже было сдано в комиссионный магазин, старший лейтенант Лосев находит первую фигурантку дела — Варвару Глотову (Андрейченко). Девушка признаёт, что согласилась на эту услугу с целью заработка по просьбе некоего приезжего. Она же вспомнила, что этот Михаил Семёнович подвёз её домой на такси, а сам отправился на Плющиху. В этом районе Москвы был установлен круг лиц, предположительно связанных с криминальной средой. Наиболее интересной фигурой показался портной Семён Худыш и его жена Элеонора. В их окружении районные милиционеры опознали по фотографии Мушанского. В это время тот назначает встречу Варваре. Та не сразу, но соглашается пойти на неё вместе с Виталием Лосевым, представив его своим братом. Заманив вооружённого преступника в тихий Арбатский переулок, оперативники задерживают его.
Серия II «Квадрат сложности».
У Мушанского обнаруживают записку явно криминального содержания. Он вспоминает, что случайно подобрал её в номере при последнем эпизоде ограбления. Активно возобновляются поиски жильца этого номера — Николова, который в день нападения на горничную поспешно скрылся, но к месту проживания в Пензе не вернулся.
В маленьком провинциальном городе в частном доме проходит встреча руководителей теневых экономических структур из разных городов. Председательствующий (Лазарев), Богдан Теляш (Светин), Орест Сокольский (Сошальский), Леонид Палатов высказывают претензию стоматологу Олегу Клячко (Машлятин) за недопоставку золота. Тот отказывается вернуть деньги немедленно. Для его устранения нанимают уголовника Петра Горохова (Корольков), который убивает Клячко в поезде и выкидывает труп.
В милицию города Пензы обращается Иван Капитонович Николов (Захарченко) с заявлением о краже у него паспорта. Следователи быстро устанавливают, что это совершенно не тот человек, который проживал в гостинице. Паспорт, возможно, мог быть украден случайным попутчиком Николова, который представился как Михаил Александрович Зурих (Лазарев). Он заинтересовался инженером Николовым, работающим в строительной организации с дефицитными материалами, и оставил для контактов адрес в Одессе. Свою информацию о тех, с кем в разных городах заказывал телефонные переговоры из гостиницы Зурих-Николов, добавили работники ОБХСС. Стала вырисовываться преступная сеть, все нити которой тянулись в Одессу.
Серия III «Туман в Одессе».
Инспектор Лосев и лейтенант Елена Златова (Коренева) прилетают в приморский город под видом брата и сестры, обеспеченных и праздных москвичей. Виталий неформально знакомится с Галиной Кочергой (Удовиченко), которая числилась в списке телефонных контактёров Зуриха в Москве. Сразу из различных источников становится известно, что она ввязалась в махинации с золотом, потеряла любимого мужчину — Клячко, и теперь ищет новую надёжную опору в противостоянии с отвернувшимся от неё прежним покровителем. На эту роль она выбирает крепкого Лосева и, предлагая отомстить за неё, назначает время встречи в одной из пивных с сомнительной репутацией. Виталий с местным оперативником отправляются в бар, чтобы заранее осмотреться на месте. Там его узнаёт один из посетителей — Толик (Андреев). Этот москвич с криминальным прошлым случайно зашёл в пивную с уголовником, ранее убившим дантиста Клячко. На Лосева нападают, в драке он из пистолета тяжело ранит Петра Горохова, Толику удаётся скрыться.
Елена Златова по рекомендованной работниками ОБХСС легенде обращается к крупному одесскому спекулянту строительными материалами Богдану Теляшу. Предложение её настолько заманчиво, что тот соглашается на встречу у себя на квартире. На переговоры приходит Лосев и встречает там Зуриха и сбежавшего Толика. В ходе короткой схватки преступники задержаны. В это же время происходят аресты «теневиков» сразу в нескольких городах СССР.</t>
        </is>
      </c>
      <c r="L7273" s="2" t="inlineStr">
        <is>
          <t>https://ru.wikipedia.org/w/index.php?title=%D0%98%D0%BD%D1%81%D0%BF%D0%B5%D0%BA%D1%82%D0%BE%D1%80_%D0%9B%D0%BE%D1%81%D0%B5%D0%B2&amp;oldid=154696407</t>
        </is>
      </c>
      <c r="M7273" s="2">
        <f>HYPERLINK("https://ru.wikipedia.org/w/index.php?search=%D0%98%D0%BD%D1%81%D0%BF%D0%B5%D0%BA%D1%82%D0%BE%D1%80%20%D0%9B%D0%BE%D1%81%D0%B5%D0%B2%201982%20%D1%84%D0%B8%D0%BB%D1%8C%D0%BC","искать")</f>
        <v/>
      </c>
      <c r="N7273" s="3" t="n"/>
      <c r="O7273" s="2" t="n"/>
      <c r="P7273" s="2" t="n"/>
    </row>
    <row r="7274">
      <c r="A7274" s="2" t="n">
        <v>7273</v>
      </c>
      <c r="B7274" s="2" t="inlineStr"/>
      <c r="C7274" s="2" t="n">
        <v>9238</v>
      </c>
      <c r="D7274" s="3" t="inlineStr">
        <is>
          <t>Бесконечность</t>
        </is>
      </c>
      <c r="E7274" s="2" t="n">
        <v>1991</v>
      </c>
      <c r="F7274" s="2" t="inlineStr">
        <is>
          <t>кинофильм</t>
        </is>
      </c>
      <c r="G7274" s="2" t="n"/>
      <c r="H7274" s="2" t="n">
        <v>4486</v>
      </c>
      <c r="I7274" s="2" t="inlineStr"/>
      <c r="J7274" s="2" t="inlineStr"/>
      <c r="K7274" s="3" t="inlineStr">
        <is>
          <t>Ранее московское утро. Мужчина идёт по пустынному бульвару. Перед ним возникают, зовут куда-то и затем исчезают образы юноши и девушки. Он возвращается в квартиру, где непрерывно звонит телефон: «Ты здоров?», «Что ты надумал?», «Советую тебе отдохнуть».
Непонятные назойливые звонки о покупке мебели. В конце концов, мужчина сдается: «Приезжайте, смотрите». Квартира заполняется людьми. Все осматривают мебель, предметы интерьера и пытаются торговаться. Хозяин бескорыстно раздает всё присутствующим на добрую память и остается в пустой квартире. Шумная улица, вокзал, мужчина садится в поезд. Вечером он сошел на полустанке, где его ждёт юноша, пригрезившийся ему ранним утром. Они вместе идут к старинному провинциальному городу. Юноша то возникает рядом с ним, то исчезает. В городе мужчина поселяется в скромной гостинице. Вокруг него начинает твориться какая-то мистика. На улице к нему, как к старому приятелю, обращается незнакомый мужчина. Обмениваются рукопожатиями и москвич представляется: «Владимир Прохоров». В гостинице по телефону незнакомый женский голос укоряет Владимира в том, что он куда-то пропал. Женщина возникает в комнате гостиницы и ведёт его из лета в зиму в старый, не обустроенный дом, где они топят печку, ведут разговоры о прошлом, поют романсы, каждый о чём-то своём. Они вспоминают о былом расставании, которое случилось из-за недопонимания, хотя женщина надеялась, что Володя останется с ней на всю жизнь. Женщина исчезает. Прохоров идёт по кладбищу, где могильщики занимаются привычным делом. Владимир бросает взгляд на приготовленный могильный камень, на котором его пугает надпись «Прохоров». Он спешит покинуть кладбище и слышит вслед от могильщиков: «Будь здоров! Не забывай, заглядывай!». В поле его зрения попадают другие символы, напоминающие о конечности жизни: кукушка в лесу, старуха с косой, бредущая по улице.
У гостиницы его встречает молодой провожатый, который ведёт его в парк на танцплощадку его юности, где попеременно они танцуют с девушкой, пригрезившейся Владимиру ранним утром в Москве. Под утро молодая парочка оставляет его одного. Владимир встречается с приятелем юности Мишей, который работает рентгенологом. Он успокаивает его, что со здоровьем у Прохорова всё хорошо. Москвич делится с Михаилом своими мыслями, что он всё время опаздывает, всё делает не вовремя и досадует: «Сколько пропущено!» Разговор о конечности жизни, о необходимости примириться с этим он продолжает с юношей, который сопровождает его повсюду. Он не понимает многого из того, что говорит Владимир, и москвич отмечает: «Между нами разница: ты бессмертен ЕЩЕ, я УЖЕ смертен».
Владимир встречается со священником, которого узнал, и признаётся ему, что за конечностью жизни видит пустоту, и это пугает его, на что священник отвечает, что смерти не боятся только дураки. Владимир в растерянности, он не понимает, его ли это город или нет, что за голоса его сопровождают, почему он не может войти в свой переулок. «Это, как сон, и самое скверное, что этот сон вижу я!» - восклицает он. Старик на улице передает Прохорову старинные дагерротипы – отпечатки лиц прошлого. Ему начинают грезиться люди и события начала 20-го века: его мать с младенцем на руках, собака из его детства, плачущий маленький мальчик. Из своей комнаты в гостинице Владимир открывает дверь в зал, где собрались нарядные люди, чтобы праздновать наступление нового 1900-го года. И снова он возвращается во времена своей юности, и опять перед ним знакомый юноша. Он настойчиво сопровождает своего взрослого знакомого. Вновь появившаяся девушка гадает обоим мужчинам по руке. Владимир видит, что у него с юношей совершенно одинаковые линии руки. Прохоров просит юношу: «Отстань, не ходи за мной! Я сам во всем разберусь». Он остается наедине со своими видениями: туманное утро, марш по городу отрядов солдат под царским стягом, железнодорожная платформа, военный оркестр, погрузка в вагоны солдат, лошадей, техники, провожающие в слезах. Всё уплывает вдаль, становясь перед глазами Владимира чем-то похожим на экран в окне гостиницы. Прохоров возвращается в настоящее, выходит на улицу. Тут же возникает его молодой двойник: «Ты куда?», - «Просто пройтись». Идут вместе, выходят за город, на берег ручья и идут по разным его берегам. Ручей всё расширяется и превращается в полноводную реку, которая разводит их всё дальше и дальше друг от друга. И вот перед ними бескрайняя водная гладь, в которую вливается река. На горизонте взгляд уже не может разделить воду и небо. Это бесконечность.</t>
        </is>
      </c>
      <c r="L7274" s="2" t="inlineStr">
        <is>
          <t>https://gosfilmofond.ru/films/232236/</t>
        </is>
      </c>
      <c r="M7274" s="2">
        <f>HYPERLINK("https://ru.wikipedia.org/w/index.php?search=%D0%91%D0%B5%D1%81%D0%BA%D0%BE%D0%BD%D0%B5%D1%87%D0%BD%D0%BE%D1%81%D1%82%D1%8C%201991%20%D1%84%D0%B8%D0%BB%D1%8C%D0%BC","искать")</f>
        <v/>
      </c>
      <c r="N7274" s="3" t="n"/>
      <c r="O7274" s="2" t="n"/>
      <c r="P7274" s="2" t="n"/>
    </row>
    <row r="7275">
      <c r="A7275" s="2" t="n">
        <v>7274</v>
      </c>
      <c r="B7275" s="2" t="inlineStr"/>
      <c r="C7275" s="2" t="n">
        <v>9265</v>
      </c>
      <c r="D7275" s="3" t="inlineStr">
        <is>
          <t>Ватерлоо</t>
        </is>
      </c>
      <c r="E7275" s="2" t="n">
        <v>1969</v>
      </c>
      <c r="F7275" s="2" t="inlineStr">
        <is>
          <t>кинофильм</t>
        </is>
      </c>
      <c r="G7275" s="2" t="n"/>
      <c r="H7275" s="2" t="n">
        <v>4520</v>
      </c>
      <c r="I7275" s="2" t="inlineStr"/>
      <c r="J7275" s="2" t="inlineStr"/>
      <c r="K7275" s="3" t="inlineStr">
        <is>
          <t>Весна 1814 года. Армии союзников по антинаполеоновской коалиции подошли к Парижу. Император Наполеон готов продолжать сопротивление, но его соратники отказываются, предлагая Бонапарту почётные условия сдачи — ссылка на острове Эльба с его приближёнными и тысячей гвардейцев. Наполеон соглашается, но спустя год бежит с Эльбы. Вместе со своими сторонниками Наполеон отправляется на Париж. Войска под командой маршала Нея, который обещал королю Людовику XVIII привезти Наполеона в клетке, переходят на сторону императора. Наполеон с триумфом входит в столицу и возвращает себе императорский трон. Европейские монархи не признают реставрации его режима, очередная война становится неизбежной.
15 июня 1815 года. На в Брюсселе к герцогу Веллингтону прибывает прусский офицер Мюффлинг с известием, что Наполеон перешёл границу близ Шарлеруа, разобщив силы союзников. На совещании Веллингтон обозначает на карте позицию на холме Мон-Сен-Жан и говорит: «Здесь я остановлю его». Английская армия отступает под бесконечным дождём к позиции, которую выбрал её предводитель. Тем временем прусская армия разбита, но фельдмаршал Блюхер не падает духом. Наполеон отправляет за недобитыми пруссаками треть своей армии под командой маршала Груши и генерала Жерара. Ней бросает перед ним знамя, отбитое у англичан, но этот успех не радует Наполеона — ведь Веллингтон не разбит окончательно, у него лишь потрёпан арьергард. Армии противников при ужасной погоде стягиваются к деревне Ватерлоо. Оба командующих напряжённо ждут следующего дня. Наполеона мучают боли в боку, но он пытается не обращать внимания на это — завтра он должен победить.
Утром Наполеон готов скомандовать атаку, но его командующий артиллерией Друо возражает: «Земля не высохла и я не смогу двигать пушки!» Ближе к полудню французская армия, наконец, выстраивается для атаки, её артиллерия открывает огонь, пехота штурмует замок Угумон на правом фланге англичан. Однако «осторожный и смелый» Веллингтон не собирается «бегать как курица с отрубленной головой» и не посылает туда резерв. Отвлекающий манёвр Наполеона не достигает цели. Французская пехота идёт на центр англичан, Веллингтон отправляет в бой, которая прорывается к самой французской позиции. Наполеон посылает против них польских улан, «лучшая в мире кавалерия» отступает по сигналу Веллингтона. На горизонте появляются войска, это пруссаки. Наполеон заявляет своим людям: «По отношению к нам пруссаки всё равно что на Луне!» У него начинается приступ давно мучившей его болезни, офицеры относят императора на мельницу.
Бой разгорается, рядом с Веллингтоном рвутся ядра, один за другим погибают его полководцы и адъютанты. Он приказывает всей армии отойти из под обстрела на сто шагов. Ней, заметив отступление, собирает всю кавалерию и идёт в атаку на холм. Истекающая кровью английская пехота отчаянно отбивается, построившись в несколько каре. Французское знамя поднимается над фермой Ла-Э-Сент. Наполеон отправляет в Париж гонца с известием о своей победе. У Веллингтона не осталось сил, вместо подмоги он посылает своим командирам только свои «наилучшие пожелания». Ряды французской Старой гвардии Наполеона поднимаются на холм, выступив в последнюю атаку. Упавший духом Веллингтон заявляет: «Если Блюхер не подоспеет сейчас, они переломают мне все кости. Боже, пошли мне скорее ночь! Или Блюхера».
В этот момент из леса выходят главные силы пруссаков, развеваются чёрные знамёна. Фельдмаршал Блюхер командует общую атаку. «Никакой пощады! Вперёд, дети мои, я убью любого, кто будет щадить французов!» Наполеон в отчаянии восклицает: «Ах, почему я не сжёг Берлин!» Обрадованный Веллингтон достаёт из рукава последнюю козырную карту — английские солдаты шеренга за шеренгой поднимаются из-за колосьев пшеницы, давая залп за залпом по подошедшей гвардии, которая остановилась в замешательстве, увидев подходящих пруссаков. Французов охватывает паника, армия превращается в толпу спасающихся бегством солдат. Осознавая своё поражение, Наполеон рвётся вперёд, в поисках смерти на поле боя, адъютанты умоляют его уехать. Английские войска спускаются с холма. Израненные гвардейцы, построившись в каре, отвергают предложение Веллингтона сдаться, и подъехавшие английские артиллеристы в упор расстреливают их картечью.
Битва закончена. Веллингтон объезжает поле брани, сплошь заваленное телами, ужасаясь результатам этой бойни. Император французов, в свою очередь, подытоживает: «Теперь они, словно Прометея, прикуют тебя к скале, и тяжесть твоей былой славы убьёт тебя». Наполеон уезжает в дождливую ночь.</t>
        </is>
      </c>
      <c r="L7275" s="2" t="inlineStr">
        <is>
          <t>https://ru.wikipedia.org/w/index.php?title=%D0%92%D0%B0%D1%82%D0%B5%D1%80%D0%BB%D0%BE%D0%BE_%28%D1%84%D0%B8%D0%BB%D1%8C%D0%BC%29&amp;oldid=154692582</t>
        </is>
      </c>
      <c r="M7275" s="2">
        <f>HYPERLINK("https://ru.wikipedia.org/w/index.php?search=%D0%92%D0%B0%D1%82%D0%B5%D1%80%D0%BB%D0%BE%D0%BE%201969%20%D1%84%D0%B8%D0%BB%D1%8C%D0%BC","искать")</f>
        <v/>
      </c>
      <c r="N7275" s="3" t="n"/>
      <c r="O7275" s="2" t="n"/>
      <c r="P7275" s="2" t="n"/>
    </row>
    <row r="7276">
      <c r="A7276" s="2" t="n">
        <v>7275</v>
      </c>
      <c r="B7276" s="2" t="inlineStr"/>
      <c r="C7276" s="2" t="n">
        <v>9695</v>
      </c>
      <c r="D7276" s="3" t="inlineStr">
        <is>
          <t>Трагедия в стиле рок</t>
        </is>
      </c>
      <c r="E7276" s="2" t="n">
        <v>1988</v>
      </c>
      <c r="F7276" s="2" t="inlineStr">
        <is>
          <t>кинофильм</t>
        </is>
      </c>
      <c r="G7276" s="2" t="n"/>
      <c r="H7276" s="2" t="n">
        <v>4527</v>
      </c>
      <c r="I7276" s="2" t="inlineStr"/>
      <c r="J7276" s="2" t="inlineStr"/>
      <c r="K7276" s="3" t="inlineStr">
        <is>
          <t>Действие фильма происходит в Москве в 1987 году (во время встречи отца главного героя с одноклассниками по телевизору идёт передача «Музыкальный ринг» с участием «Поп-механики»).
Главный герой, 17-летний Виктор Бодров, живёт с отцом, которого безмерно уважает, и бабушкой. Его мать вышла замуж за другого и часто звонит Виктору, но он не хочет с ней разговаривать. Семья обеспечена, отец Виктора Дмитрий — успешный инженер, сам он — студент юридического факультета, в свободное время гоняет на собственном мотоцикле вместе с другом и однокурсником Генрихом. Летом в дом Бодровых приезжает поступать в институт Лена Козлова по прозвищу «Птаха» — это дочь нового мужа матери Виктора. Сначала Виктор относится к ней недоверчиво, но вскоре между молодыми людьми возникает симпатия.
Внезапно ситуация резко меняется: Дмитрий Бодров осуждён за хищение в особо крупных размерах. Когда его уводят из зала суда, он говорит сыну Виктору, чтобы он верил ему и что он не виноват. Сын потрясён арестом отца, которого считал образцом честности и порядочности. После суда Виктор как будто случайно знакомится с человеком, который называет себя Кассиусом (в действительности Кассиус следил за Виктором после судебного заседания) и который поселяется в доме Виктора.
Кассиус знакомит Виктора, Генриха и Птаху с необычными философскими идеями и обещает им открыть путь к подсознанию. Ловко подсунув в нужный момент Виктору сигарету с марихуаной, он выводит парня из депрессии, в которую тот погружён. Вскоре Виктор сильно привязывается к своему новому другу, и слова предосторожности из уст бабушки и Птахи не разубеждают его. В день восемнадцатилетия Виктора происходит его «посвящение»: он и его друзья в присутствии помощниц Кассиуса (полуобнажённых наголо побритых девиц) вкалывают себе в вену тяжёлый наркотик. Постепенно Виктор превращается в раба новоявленного мессии. Квартира Виктора становится наркопритоном, ребята теряют человеческий облик и становятся наркозависимыми, а Кассиус неоднократно насилует Птаху.
C течением времени у Виктора кончаются деньги на наркотики, и он готов на всё, чтобы прекратилась ломка. Птаха, не в силах сопротивляться зависимости и продолжать такую жизнь, пытается покончить с собой, перерезав вены, но её спасают в больнице. Кассиус говорит Виктору, что его отец всё же нарушал закон: на предприятии он ухитрился из отходов производства тайком добывать золото и платину. Этим и объясняется такой достаток в их семье. В какой-то момент милиции удалось выйти на след и арестовать сообщника Бодрова-старшего, а вместе с ним и весь товар, за который отец Виктора уже взял с покупателя «деньги вперёд». Также он намекает ему, что сообщник Бодрова-старшего взял всю вину на себя («Если бы это вскрылось, не отделался бы он тремя годами…»), в результате чего суд переквалифицировал его действия со статьи «Хищение» на статью «Халатность», в связи с «недостаточностью улик». Покупателями, которым отец не вернул деньги, оказались главари группировки Кассиуса («братство»). Они-то и подослали его к Виктору с целью наказать отца за обман, а заодно выяснить, где он спрятал их деньги. Виктор должен найти крупную сумму, где-то припрятанную отцом — тогда он и дальше будет обеспечен наркотиками.
Не найдя денег дома, Виктор предлагает Кассиусу поискать на даче. В машине он спрашивает Кассиуса, зачем тот посадил их на иглу, и тот отвечает, что это самый простой способ сделать из человека раба, каковым Виктор теперь и будет для Кассиуса и его людей — которые к тому же следят за ними на УАЗе-«буханке». Виктор пытается оторваться, но машина с людьми Кассиуса не отстаёт… Считая, что ему уже не выбраться из лап Кассиуса, Виктор направляет машину на опору моста. От сильного удара он погибает, но Кассиусу удаётся выпрыгнуть из машины до столкновения.
Дмитрия Бодрова на несколько дней выпускают из тюрьмы, чтобы он мог попасть на похороны сына. На поминках присутствуют немногочисленные друзья отца, Генрих и Птаха, приезжает мать Виктора. После поминок Дмитрий едет на свалку машин, чтобы осмотреть остатки своей машины, в которой погиб сын. На дне багажника машины он открывает тайник, в котором спрятана огромная сумма денег. Однако Дмитрия выследили люди Кассиуса и приближаются к нему. Понимая, что деваться некуда, и вспоминая гибель сына, Дмитрий поджигает 100-рублёвую купюру и суёт в бензобак; от последовавшего взрыва он погибает, а деньги сгорают.
Последняя сцена фильма демонстрирует, как вышедшая из больницы, но не избавившаяся от зависимости Птаха, стоя перед зеркалом, делает себе инъекцию в шею.</t>
        </is>
      </c>
      <c r="L7276" s="2" t="inlineStr">
        <is>
          <t>https://ru.wikipedia.org/w/index.php?title=%D0%A2%D1%80%D0%B0%D0%B3%D0%B5%D0%B4%D0%B8%D1%8F_%D0%B2_%D1%81%D1%82%D0%B8%D0%BB%D0%B5_%D1%80%D0%BE%D0%BA&amp;oldid=154442102</t>
        </is>
      </c>
      <c r="M7276" s="2">
        <f>HYPERLINK("https://ru.wikipedia.org/w/index.php?search=%D0%A2%D1%80%D0%B0%D0%B3%D0%B5%D0%B4%D0%B8%D1%8F%20%D0%B2%20%D1%81%D1%82%D0%B8%D0%BB%D0%B5%20%D1%80%D0%BE%D0%BA%201988%20%D1%84%D0%B8%D0%BB%D1%8C%D0%BC","искать")</f>
        <v/>
      </c>
      <c r="N7276" s="3" t="n"/>
      <c r="O7276" s="2" t="n"/>
      <c r="P7276" s="2" t="n"/>
    </row>
    <row r="7277">
      <c r="A7277" s="2" t="n">
        <v>7276</v>
      </c>
      <c r="B7277" s="2" t="inlineStr"/>
      <c r="C7277" s="2" t="n">
        <v>8149</v>
      </c>
      <c r="D7277" s="3" t="inlineStr">
        <is>
          <t>Поздняя встреча</t>
        </is>
      </c>
      <c r="E7277" s="2" t="n">
        <v>1978</v>
      </c>
      <c r="F7277" s="2" t="inlineStr">
        <is>
          <t>телефильм</t>
        </is>
      </c>
      <c r="G7277" s="2" t="inlineStr">
        <is>
          <t>Свердловская киностудия</t>
        </is>
      </c>
      <c r="H7277" s="2" t="n">
        <v>4595</v>
      </c>
      <c r="I7277" s="2" t="inlineStr"/>
      <c r="J7277" s="2" t="inlineStr"/>
      <c r="K7277" s="3" t="inlineStr">
        <is>
          <t>Действие фильма происходит в Ленинграде и Свердловске в двух временных слоях: в 1970 и 1978 годах.
Сергей Иванович Гущин прилетает из Свердловска в Ленинград к своему однополчанину Петру Свиридонскому. Но встреча боевых товарищей стала не единственным поводом для визита: здесь много лет назад он встретил женщину, которая перевернула всю его жизнь и которую он так и не смог забыть.
Из аэропорта Гущин едет на Площадь искусств, где в доме № 5 тогда жила его возлюбленная Наташа Проскурова, начинающая актриса. Но в той квартире теперь другие люди, которые о Наташе ничего не знают. И на киностудии, где они познакомились, о ней тоже нет сведений. И тогда память переносит Гущина на восемь лет назад, в день их первой встречи…
Как авиационный инженер и специалист по катапультам, он был приглашён в Ленинград в качестве консультанта на кинокартину «Полёт в неведомое». Возле входа на киностудию его внимание привлекает объявление: «„Ленфильму“ срочно требуются седые человеческие волосы». Красивая девушка, стоявшая рядом (это была Наташа), заметив его удивление, шутливо замечает:
— Не бойтесь, это же добровольно. Вашей седине ничего не грозит…
— Хорошо хоть, что им не требуются наши зубы… — иронично отвечает Гущин
Позже он встречает её в столовой киностудии и, загоревшись, приглашает на прогулку. Она легко соглашается, и вот уже они идут по городу, а Наташа в роли экскурсовода увлечённо показывает своему новому знакомому городские достопримечательности. Указывая на один из домов на площади Суворова, она приписывает его авторство Валлен-Деламоту. Гущин поправляет её, замечая, что это одно из первых сооружений Кваренги. Возникает небольшой спор, в результате которого выясняется, что Гущин хорошо разбирается в архитектуре Старого Петербурга.
Затем Гущин отправляется с Наташей на катере по городским каналам, чтобы показать «свой Ленинград». Водитель катера — отец Андрея, фронтового друга Гущина. Во время боевого вылета, когда их самолёт подбили, Сергей успел выпрыгнуть с парашютом, а Андрей погиб. Самолёт упал на Каменном острове, на площади перед Каменноостровским театром. Во время блокады Гущин помогал родителям Андрея, отдавая им часть своего пайка. И каждый раз, приезжая в Ленинград, он вместе с отцом Андрея посещает место гибели друга.
Напоследок старик просит взять у него потерявшуюся собачку. Наташа забирает её, и вместе с Гущиным они едут смотреть объявления о пропавших животных. Найдя подходящее описание, они идут по указанному адресу. Старушка, обрадовавшаяся возвращению любимой собачки, хочет их отблагодарить. Гущин просит продать ему репродукцию гравюры, изображающую корабль, паруса которого так понравились Наташе. Хозяйка собачки с радостью отдает её так, но, уходя, Гущин всё же незаметно оставляет деньги.
Вечером Наташа приглашает Гущина в дом своих друзей, ленинградских интеллигентов. Она представляет его хозяину дома — художнику-дизайнеру и скульптору Пете Басалаеву и его жене. Пётр знакомит Гущина со своим коллегой Беляковым, «непревзойдённым творцом современных форм». В числе гостей — несостоявшийся Наташин ухажёр Борис, бывший спортсмен и начинающий поэт, и Ирэна, автор-исполнитель собственных песен.
После расставания в аэропорту они ещё будут надеяться на продолжения отношений. Вернувшись к себе в Свердловск после встречи с Наташей, Гущин внезапно для себя принял решение кардинально изменить свою жизнь, он вернулся домой другим человеком. И его жена, отношения с которой у Гущина давно разладились, отметила это сразу. Гущин почувствовал вкус к жизни и это даже помогло ему в работе. В своём НИИ Гущин добровольно вызвался совершить прыжок с новой катапультой, уверенный в своих разработках. Он убедил руководство продолжить испытания, невзирая на неудачу. После успешного полета и прыжка с катапультой, Гущин окончательно решил изменить себя и свою жизнь. Он идёт на почту и даёт Наташе телеграмму: «Нужны ли ещё седые волосы?». Получив от Наташи ответную телеграмму «Да, да, очень нужны!» — Сергей Иванович решает уйти из семьи. Прощается с дочерью, которая в принципе даже одобряет этот его шаг, собирает вещи и уходит из дома, но… Поймав в окне взгляд своей жены — обречённый и потерянный, понимает, что не сможет вот так оставить её. Что мог он дать юной актрисе?! Так он и закрыл для себя ту историю. Но в сердце у него осталась душевная боль, поскольку он обманул ожидания Наташи.
1978 год. Прилетев на встречу с друзьями-фронтовиками в Ленинграде, Гущин встретился с Басалаевым и узнал от него, что Наташа, так и не дождавшись возвращения возлюбленного, пять лет назад уехала в Хабаровск, куда её пригласили в местный театр.</t>
        </is>
      </c>
      <c r="L7277" s="2" t="inlineStr">
        <is>
          <t>https://ru.wikipedia.org/w/index.php?title=%D0%9F%D0%BE%D0%B7%D0%B4%D0%BD%D1%8F%D1%8F_%D0%B2%D1%81%D1%82%D1%80%D0%B5%D1%87%D0%B0&amp;oldid=154587412</t>
        </is>
      </c>
      <c r="M7277" s="2">
        <f>HYPERLINK("https://ru.wikipedia.org/w/index.php?search=%D0%9F%D0%BE%D0%B7%D0%B4%D0%BD%D1%8F%D1%8F%20%D0%B2%D1%81%D1%82%D1%80%D0%B5%D1%87%D0%B0%201978%20%D1%84%D0%B8%D0%BB%D1%8C%D0%BC","искать")</f>
        <v/>
      </c>
      <c r="N7277" s="3" t="n"/>
      <c r="O7277" s="2" t="n"/>
      <c r="P7277" s="2" t="n"/>
    </row>
    <row r="7278">
      <c r="A7278" s="2" t="n">
        <v>7277</v>
      </c>
      <c r="B7278" s="2" t="inlineStr"/>
      <c r="C7278" s="2" t="n">
        <v>7469</v>
      </c>
      <c r="D7278" s="3" t="inlineStr">
        <is>
          <t>Д'Артаньян и три мушкетёра</t>
        </is>
      </c>
      <c r="E7278" s="2" t="n">
        <v>1979</v>
      </c>
      <c r="F7278" s="2" t="inlineStr">
        <is>
          <t>телефильм</t>
        </is>
      </c>
      <c r="G7278" s="2" t="inlineStr">
        <is>
          <t>Одесская к/с</t>
        </is>
      </c>
      <c r="H7278" s="2" t="n">
        <v>4638</v>
      </c>
      <c r="I7278" s="2" t="inlineStr"/>
      <c r="J7278" s="2" t="inlineStr"/>
      <c r="K7278" s="3" t="inlineStr">
        <is>
          <t>Франция, начало XVII века. Бедный гасконский шевалье д’Артаньян отправляется в Париж для того, чтобы вступить в роту королевских мушкетёров, как некогда отец до него. В Менге он натыкается на графа Рошфора, завязывает драку, ломает шпагу и утрачивает рекомендательное письмо, адресованное капитану мушкетёров и другу его отца, господину де Тревилю. После он прибывает в Париж и встречается с командиром мушкетёров короля, однако замечает человека, похожего на Рошфора, и пускается в погоню. На бегу он неосторожно толкает раненого Атоса, причинив ему боль, случайно оскорбляет Портоса, сорвав с него плащ и выставив на всеобщее обозрение дешёвую перевязь, и Арамиса, раскрыв его роман с дворянкой, и все трое вызывают д’Артаньяна на дуэль.
На месте назначенной встречи, на глазах у Портоса и Арамиса, д’Артаньян и Атос уже готовы скрестить свои шпаги, как вдруг появляется отряд гвардейцев кардинала Ришельё во главе с командиром личной кардинальской гвардии, господином де Жюссаком. Мушкетёры, к которым присоединяется д’Артаньян, принимают решение атаковать гвардейцев и одерживают победу.
После этого д’Артаньян становится другом Атоса, Портоса и Арамиса. Вскоре он спасает Констанцию, жену галантерейщика Бонасье и фрейлину королевы, от людей кардинала и влюбляется в неё. После этого случая он встречается с кардиналом Ришельё, решившим переманить храброго гасконца на службу к себе — впрочем, безуспешно. Вскоре после этого королева Франции Анна Австрийская дарит алмазные подвески своему любовнику и фавориту короля Англии Карла Стюарта герцогу Бекингему, о чём узнает кардинал. Он обращается за помощью к миледи де Винтер, и та лишает герцога двух подвесок. Воспользовавшись этим случаем, Ришельё убеждает короля Франции Людовика XIII попросить королеву прийти на Марлезонский балет с подвесками. Королева в отчаянии, но Констанция Бонасье приходит ей на помощь и убеждает д’Артаньяна решиться на поездку в Лондон, с которой гасконец успешно справляется. Однако затем Констанции, чтобы избегнуть гнева кардинала, приходится бежать в женский монастырь в Бетюне, где её, тем не менее, находит миледи, имея приказ Ришельё доставить жену галантерейщика к нему любой ценой. Это не удаётся, и миледи убивает Констанцию ядом (д’Артаньян становится свидетелем смерти своей возлюбленной).
Вскоре вспыхивает война Франции с Англией, английский король Карл I решает помочь гугенотам Ла-Рошели. Кардинал собирает армию и осаждает Ла-Рошель. Под стены крепости французских протестантов отправляются ставший мушкетёром д’Артаньян и его друзья. Вскоре происходит неудачное покушение на д’Артаньяна, заказчиком которого стала миледи, и он в трактире «Красная голубятня» выслушивает рассказ Атоса про некоего графа де Ла Фер и его несчастную любовную историю в наполовину песенной форме. Дальше миледи встречается с кардиналом и их разговор подслушивает Атос. Кардинал уходит, дав миледи записку, дающую ей полную свободу действий, в том числе в деле д’Артаньяна, однако Атос заставляет миледи отдать бумагу ему. При этом выясняется, что Атос и миледи были раньше супругами, а сам Атос и есть тот самый граф де Ла Фер, обнаруживший на плече своей жены клеймо в форме лилии — символ несмываемого позора.
После происходит история с отравленным анжуйским вином, во время которой миледи удаётся сбежать и найти укрытие в указанной кардиналом маленькой рыбацкой хижине, откуда она должна отправиться в Англию с целью устранить герцога Бекингема. Последний, однако, приказывает своему человеку Фельтону арестовать миледи, что и происходит. Но миледи удаётся убедить Фельтона в своей невиновности и толкнуть его на убийство герцога, для чего тот и возвращается в Англию. Однако д’Артаньян и его друзья выслеживают миледи и учиняют над нею расправу после суда, причём приговор приводится в исполнение бывшим лилльским палачом, брата которого миледи в своё время погубила.
Кардинал узнаёт о смерти миледи и, арестовав друзей-мушкетёров по формальному обвинению в дезертирстве, вызывает их к себе, получает от Атоса бумагу, выданную миледи и, уничтожив документ, предлагает мушкетёрам грамоту лейтенанта. Атос и Портос отказываются от неё, а Арамис просит кардинала почтить этим чином д’Артаньяна, после чего Атос в качестве оправдания по обвинению в дезертирстве предлагает для себя и друзей испытание в виде завтрака в бастионе Сен-Жерве, на переднем крае осады, и оно оказывается мушкетёрам по силам. Атос, Портос, Арамис и д’Артаньян возвращаются победителями, а д’Артаньян заслуженно становится лейтенантом королевских мушкетёров.
1-я серия — «Атос, Портос, Арамис и д’Артаньян»;
2-я серия — «Подвески королевы»;
3-я серия — «Приключения продолжаются».</t>
        </is>
      </c>
      <c r="L7278" s="2" t="inlineStr">
        <is>
          <t>https://ru.wikipedia.org/w/index.php?title=%D0%94%E2%80%99%D0%90%D1%80%D1%82%D0%B0%D0%BD%D1%8C%D1%8F%D0%BD_%D0%B8_%D1%82%D1%80%D0%B8_%D0%BC%D1%83%D1%88%D0%BA%D0%B5%D1%82%D1%91%D1%80%D0%B0&amp;oldid=155543845</t>
        </is>
      </c>
      <c r="M7278" s="2">
        <f>HYPERLINK("https://ru.wikipedia.org/w/index.php?search=%D0%94%27%D0%90%D1%80%D1%82%D0%B0%D0%BD%D1%8C%D1%8F%D0%BD%20%D0%B8%20%D1%82%D1%80%D0%B8%20%D0%BC%D1%83%D1%88%D0%BA%D0%B5%D1%82%D1%91%D1%80%D0%B0%201979%20%D1%84%D0%B8%D0%BB%D1%8C%D0%BC","искать")</f>
        <v/>
      </c>
      <c r="N7278" s="3" t="n"/>
      <c r="O7278" s="2" t="n"/>
      <c r="P7278" s="2" t="n"/>
    </row>
    <row r="7279">
      <c r="A7279" s="2" t="n">
        <v>7278</v>
      </c>
      <c r="B7279" s="2" t="inlineStr"/>
      <c r="C7279" s="2" t="n">
        <v>10782</v>
      </c>
      <c r="D7279" s="3" t="inlineStr">
        <is>
          <t>Ханума</t>
        </is>
      </c>
      <c r="E7279" s="2" t="n">
        <v>1978</v>
      </c>
      <c r="F7279" s="2" t="inlineStr">
        <is>
          <t>фильм-спектакль</t>
        </is>
      </c>
      <c r="G7279" s="2" t="inlineStr">
        <is>
          <t>Ленфильм</t>
        </is>
      </c>
      <c r="H7279" s="2" t="n">
        <v>4735</v>
      </c>
      <c r="I7279" s="2" t="inlineStr"/>
      <c r="J7279" s="2" t="inlineStr"/>
      <c r="K7279" s="3" t="inlineStr">
        <is>
          <t>Действие происходит в конце XIX века в торговом армянском квартале Тифлиса Авлабаре, где соперничают две свахи — Ханума, которая считается лучшей, и Кабато.
Старый князь Вано Пантиашвили, прокутивший всё, что было возможно, ищет богатую невесту, чтобы из её приданого оплатить долги и выкупить заложенное имущество. Даже собственному слуге, Тимоте, он уже полгода не платит за работу. Сестра князя Текле журит его за неспособность удержать деньги в кармане. Ханума подыскала ему немолодую и, как выяснится в финале, некрасивую невесту с приличным приданым — Гулико, которую князь знает только по описанию (причём её возраст с каждым упоминанием о ней постепенно увеличивается). Но его мало интересует сама кандидатура невесты, главным образом он стремится получить деньги. Чтобы переманить славу лучшей свахи к себе, Кабато в день смотрин предлагает князю Сону, юную и прекрасную дочь купца Микича Котрянца. Кабато убеждает князя в том, что у Гулико никакого приданого нет, и приводит к нему Микича с приказчиком Акопом. Дочь купца представляется князю не лучшей партией, но размеры приданого поражают его воображение.
Будучи разбогатевшим сапожником, Микич мечтает выдать Сону замуж за аристократа, чтобы получить доступ в высшее общество и ездить по городу в карете с гербом; в то же время он считает такой брак, независимо от возраста жениха, истинным счастьем и для самой Соны. Князь и купец заключают предварительный договор, и Микич приглашает будущего зятя на смотрины. Князь отказывает Хануме, и та, разозлившись, грозится всё-таки сделать по-своему. Сона в отчаянии: она хочет выйти замуж только за любимого человека — своего учителя. Его специально нанял Микич, чтобы он научил Сону французскому языку, танцам, музыке и хорошим манерам. Но никто не знает, что это Котэ Пантиашвили — племянник князя Вано, тоже унаследовавший княжеский титул. Князь Вано промотал даже состояние своего покойного брата, отца Котэ, поэтому молодой князь вынужден сам зарабатывать на жизнь. Тем не менее, Котэ гордится тем, что умеет и хочет честно трудиться. Приказчик Микича Акоп не видит большого блага в том, чтобы молоденькая Сона стала женой старика, рассыпающегося на части. Бабушка Соны, которая до поры до времени не высказывает своего мнения, давно заметила взаимную склонность учителя и ученицы и тоже не против именно их супружества. Ханума, имеющая в этом деле свой интерес, берётся помочь влюблённым. Когда в отсутствие Микича в его дом приезжает князь, перед ним, надев свадебное платье с фатой, скособочившись и сильно хромая, вместо Соны предстаёт Ханума, исполняющая скабрёзные куплеты. Шокированный как обликом «невесты», так и её вульгарными манерами, князь в ужасе покидает дом, не дождавшись хозяина.
Наутро к князю является возмущённый Микич. Он не может понять, почему князь не согласен на свадьбу. Оказывается, Микич скупил все его долговые векселя, чтобы никто не подумал, будто это брак по расчёту, и не стал бы предъявлять их к оплате, если бы брак состоялся, но теперь он угрожает князю долговой тюрьмой. Кабато удаётся примирить их, хотя Акоп отчаянно противодействует этому, и Микич отправляется за дополнительными деньгами. Ханума велит Акопу тайно привезти в сад князя Сону и выдает её за Гулико — свою невесту. Князь, восхищённый красотой мнимой Гулико, на радостях переменяет мнение и заявляет об этом вернувшемуся Микичу. В ярости купец даёт ему на раздумье день, угрожая всё теми же векселями. От отчаяния князь решает покончить с собой в общественной бане. Но Ханума пробирается туда и стыдит его за малодушие, а Котэ с её подсказки предлагает себя в женихи Соны. Микичу ведь нужен лишь княжеский титул, поэтому ему не так уж важно, какой князь станет его зятем. Князь Вано приходит в восторг и соглашается.
Когда Котэ приходит на очередной урок к Соне, Микич заявляет, что хочет на это посмотреть — как же с таким воспитанием Сона не угодила такому жениху? Котэ и Сона хитростью ведут понятный лишь им диалог, но, в конце концов, они открыто признаются в любви друг к другу. Микич прогоняет Котэ, оскорблённый наглостью простого учителя, и не слушает объяснений Соны. Сговорившись с Тимоте и Акопом, Ханума подстраивает «похищение невесты» якобы князем Вано. На самом деле, Сона отправляется венчаться с милым её сердцу Котэ. В свою очередь, Акоп сообщает свахе о том, что любит её, и Ханума отвечает ему взаимностью. Затем сам князь прибывает сюда с сестрой, и обман раскрывается. Ханума признаётся во всём, рассказывает Микичу о княжеском титуле Котэ, и Микич с радостью принимает избранника дочери. Огорчённой Кабато Ханума передаёт своё звание лучшей свахи в городе (ведь именно она смогла сосватать своими проделками саму Хануму), и играются три свадьбы: Котэ с Соной, князя с Гулико и Акопа с Ханумой.</t>
        </is>
      </c>
      <c r="L7279" s="2" t="inlineStr">
        <is>
          <t>https://ru.wikipedia.org/w/index.php?title=%D0%A5%D0%B0%D0%BD%D1%83%D0%BC%D0%B0_%28%D1%81%D0%BF%D0%B5%D0%BA%D1%82%D0%B0%D0%BA%D0%BB%D1%8C%29&amp;oldid=155551719</t>
        </is>
      </c>
      <c r="M7279" s="2">
        <f>HYPERLINK("https://ru.wikipedia.org/w/index.php?search=%D0%A5%D0%B0%D0%BD%D1%83%D0%BC%D0%B0%201978%20%D1%84%D0%B8%D0%BB%D1%8C%D0%BC","искать")</f>
        <v/>
      </c>
      <c r="N7279" s="3" t="n"/>
      <c r="O7279" s="2" t="n"/>
      <c r="P7279" s="2" t="n"/>
    </row>
    <row r="7280">
      <c r="A7280" s="2" t="n">
        <v>7279</v>
      </c>
      <c r="B7280" s="2" t="inlineStr"/>
      <c r="C7280" s="2" t="n">
        <v>9705</v>
      </c>
      <c r="D7280" s="3" t="inlineStr">
        <is>
          <t>Убийцы выходят на дорогу</t>
        </is>
      </c>
      <c r="E7280" s="2" t="n">
        <v>1942</v>
      </c>
      <c r="F7280" s="2" t="inlineStr">
        <is>
          <t>кинофильм</t>
        </is>
      </c>
      <c r="G7280" s="2" t="n"/>
      <c r="H7280" s="2" t="n">
        <v>4742</v>
      </c>
      <c r="I7280" s="2" t="inlineStr"/>
      <c r="J7280" s="2" t="inlineStr"/>
      <c r="K7280" s="3" t="inlineStr">
        <is>
          <t>Авторы фильма создают образ «двух Германий». Картина состоит из нескольких сюжетных линий:
Пьяные солдаты Третьего Рейха идут по тёмным улицам и рассуждают о национальном единстве. Понимая, что они оказались в незнакомом месте, оба выхватывают оружие из кобуры. Из окна одного из домов внезапно высовывается старик. Испуганные солдаты стреляют в него и убегают с криками о помощи.
В дом к одной из немок приходят два солдата и приносят ей «подарок от фюрера», так называемую Зимнюю помощь: несколько картофелин, яблок и 5 марок в конверте. Накануне женщина сдала 10 марок на подобные «подарки». Радостная старушка берёт одно яблоко и предлагает по яблоку солдатам. Те с удовольствием угощаются. Её беременная дочь, однако, не выказывает особой радости, и мать проговаривается, что её зять не доволен повышением цен. Солдаты уводят молодую женщину для проведения обыска в её доме. Её мать в бессилии кидает недоеденное яблоко в спину одного из солдат.
Тео обедает на кухне в доме, где работает его невеста Анна, с которой они уже четыре года вместе. Гордая своим женихом, она просит Тео показать кухарке Нине и шофёру, какие им выдают сапоги. Нина спрашивает у Тео о его работе, но тот отказывается разглашать служебную тайну. Выслушав желание своего возлюбленного выпить пива, Анна со всех ног выбегает из кухни. В это время приходит брат Нины безработный Франц. Тео он кажется подозрительным. Выпив принесённого Анной пива, он, используя Франца, показывает один из методов слежки за инакомыслящими — отпечаток белого креста, оставляемый на «объекте» после похлопывания по спине. Сам знак наносится мелом на ладонь сыщика. Поняв значение инсценировки, Франц, Нина и шофёр под разными предлогами оставляют Анну и Тео на кухне одних. Анна просит у Тео отдать её 20 марок, внесённых в совместный бюджет, чтобы купить пальто своей сестре. Выясняется, что денег практически не осталось, что сапоги обошлись Тео в 27 марок и это не единственная трата. Анна обвиняет жениха в том, что он лгал ей, что якобы при Гитлере стало лучше жить. Оставив невесту в слезах, Тео уходит на работу. Анна просит вошедшую в кухню Нину предупредить Франца о возможной опасности, а также посмотреть ей на спину. Повернув её к свету, Нина видит пять белых крестов.
В доме одной немецкой четы раздаётся звонок. Узнав от служанки, кто звонит, хозяин велит ответить, что никого нет дома. На улице идёт сильный дождь и супруги рассуждают о причинах их отказа некогда дружеской семье. Однако они остерегаются высказывать крамольные речи при служанке, муж которой служит в полиции. Тем временем их сын Генрих, юный гитлеровец, читает статью о казнях над евреями. Рассерженный отец выхватывает у него газету и в сердцах говорит несколько непозволительных слов. Чтобы замять недоразумение мать даёт Генриху 10 пфеннигов, чтобы тот себе что-нибудь купил, но вспоминает, что идёт дождь и отправляет мальчика написать письмо, а сама идёт успокоить мужа. Проведя с ним несколько минут, она обнаруживает, что сын исчез. Супруги предполагают, что он пошёл доносить на них. Они пытаются вспомнить, что конкретно они говорили, что делали. Вдруг хлопает входная дверь. Оба в страхе ожидают облавы. В комнату входит промокший Генрих с пакетом конфет в руках.
Рабочий авиастроительного завода возвращается домой. Там его встречает соседка, пришедшая помочь его жене Марте по хозяйству. Оказывается, Марте пришла похоронка на её брата-лётчика, погибшего в войне с СССР. Соседка рассказывает страшные истории о том, как немецкие лётчики добивают своих выбросившихся с парашютом соотечественников, чтобы те ничего не рассказали, попав в плен к советским солдатам. Убитая горем Марта высказывает крамольные речи, приводя в ужас соседку и своего мужа.
Трое мародёров во главе с капитаном, бросив и обобрав своего раненого сообщника, пробираются по заснеженной территории Советского Союза. Вскоре один из солдат понимает, что по ошибке оставил раненому мешок с награбленным, и вместе с капитаном возвращается назад, оставив третьего на привале. Однако своего товарища они не находят. Пройдя по следам, где тот полз, они видят следы от саней. Возвратившись к привалу, они обнаруживают своего третьего сообщника мёртвым, а вокруг — снова следы саней. Испугавшись, что их окружили, мародёры пытаются вырваться, но попадают под автоматную очередь. Солдат пытается сдаться, но капитан убивает его выстрелом в спину и, подняв руки, сам сдаётся в плен. Он кричит, что славянин, что он простой солдат, что он убил капитана. На его крик выходит партизанка с автоматом. Увидев, что перед ним женщина, капитан выхватывает из кобуры пистолет, но та опережает его и расстреливает в упор. К ней подъезжает мальчик на санях, из которых выглядывает подобранный ими раненый мародёр, и забирает оружие капитана.</t>
        </is>
      </c>
      <c r="L7280" s="2" t="inlineStr">
        <is>
          <t>https://ru.wikipedia.org/w/index.php?title=%D0%A3%D0%B1%D0%B8%D0%B9%D1%86%D1%8B_%D0%B2%D1%8B%D1%85%D0%BE%D0%B4%D1%8F%D1%82_%D0%BD%D0%B0_%D0%B4%D0%BE%D1%80%D0%BE%D0%B3%D1%83&amp;oldid=151517433</t>
        </is>
      </c>
      <c r="M7280" s="2">
        <f>HYPERLINK("https://ru.wikipedia.org/w/index.php?search=%D0%A3%D0%B1%D0%B8%D0%B9%D1%86%D1%8B%20%D0%B2%D1%8B%D1%85%D0%BE%D0%B4%D1%8F%D1%82%20%D0%BD%D0%B0%20%D0%B4%D0%BE%D1%80%D0%BE%D0%B3%D1%83%201942%20%D1%84%D0%B8%D0%BB%D1%8C%D0%BC","искать")</f>
        <v/>
      </c>
      <c r="N7280" s="3" t="n"/>
      <c r="O7280" s="2" t="n"/>
      <c r="P7280" s="2" t="n"/>
    </row>
    <row r="7281">
      <c r="A7281" s="2" t="n">
        <v>7280</v>
      </c>
      <c r="B7281" s="2" t="inlineStr"/>
      <c r="C7281" s="2" t="n">
        <v>7692</v>
      </c>
      <c r="D7281" s="3" t="inlineStr">
        <is>
          <t>Ищите женщину</t>
        </is>
      </c>
      <c r="E7281" s="2" t="n">
        <v>1982</v>
      </c>
      <c r="F7281" s="2" t="inlineStr">
        <is>
          <t>телефильм</t>
        </is>
      </c>
      <c r="G7281" s="2" t="inlineStr">
        <is>
          <t>Киностудия «Мосфильм»; Творческое объединение телевизионных фильмов</t>
        </is>
      </c>
      <c r="H7281" s="2" t="n">
        <v>5044</v>
      </c>
      <c r="I7281" s="2" t="inlineStr"/>
      <c r="J7281" s="2" t="inlineStr"/>
      <c r="K7281" s="3" t="inlineStr">
        <is>
          <t>1 серия
Париж, 1982 год, канун Нового года. В нотариальной конторе мэтра Роше царит предпраздничная суета. Сотрудники отметили Рождество и готовятся к встрече Нового года. Пока клиент конторы Жак-Пьер Антуан беседует с секретарём Сюзанной Бриссар, его собака Нико что-то чувствует и пытается проникнуть в закрытый кабинет мэтра. Появляется сам мэтр, заглядывает в свой кабинет и, увидев там нечто, спешно в грубой форме отправляет служащих по домам. Но секретарь-телефонистка мадемуазель Алиса Постик не торопится, поскольку живёт в том же доме, где располагается нотариальная контора. Повернувшись на звук шагов, в наступивших сумерках она видит, как мэтр Роше, шатаясь, выходит из своего кабинета и падает на стол. Заметив торчащий из его спины нож, женщина пытается дозвониться в полицию, но, не в силах справиться с волнением, падает в обморок. На вызов приезжает полицейский Максимэн, который не обнаруживает никакого трупа и обещает мадемуазель Постик два дня тюрьмы за ложный вызов полиции.
Затем в конторе появляется инспектор Грандэн, в котором Алиса узнаёт друга своей юности Анри (Рири́). Она не виделась с ним двадцать лет. Инспектор приступает к расследованию, предполагая, что труп мог исчезнуть, но факт убийства всё-таки имел место. В его руках имеется вещественное доказательство: испачканная чем-то красным скатерть со стола, на котором Алиса видела тело мэтра Роше, однако без экспертизы невозможно определить, кровь это или чернила.
Грандэн расспрашивает Алису о её коллегах — служащих конторы, устанавливая мотив для убийства мэтра Роше. Одновременно он приглашает в контору всех служащих, а также супругу мэтра, Клару. В ходе бесед со всеми присутствующими выясняется, что секретарша Бриссар безответно влюблена в своего шефа, заместитель мэтра Робер симпатизирует мадам Роше, а у неё самой есть любовник, с которым она встречается в квартире Робера, и мэтр Роше знает об этой связи. В это время в конторе неожиданно появляется сам мэтр Роше, живой и невредимый, который очень удивлён тем, что его жены не было в опере, куда они собирались этим вечером.
2 серия
Казалось бы, дело можно закрывать, но Алиса находит две новые улики: ключ с брелоком и инициалами GN (ЖН), и пуговицу с перламутром, а также заметку в газете «Труп на Лебяжьем острове». Вопреки запрету мэтра Роше не вспоминать о курьёзном случае, связанном с его «убийством», мадемуазель Постик, как заядлая любительница детективов, продолжает своё расследование.
Несмотря на то, что некто при внезапно пропавшем освещении в темноте накидывает на Алису скатерть и похищает у неё пуговицу, а ключ опознаёт Максимэн как вещь его соседа, Алиса не сдаётся. Она набирается смелости и сообщает Грандэну о своих находках и догадке относительно заметки в газете. Инспектор Грандэн недоволен её энергичностью, но всё же решает проверить её улики. Он сравнивает описание пуговицы, найденной Алисой в конторе, с пуговицами на куртке убитого с Лебяжьего острова, и они оказываются идентичными. Тем временем Максимэн возвращает Алисе ключ со словами, что это не ключ его соседа. Полиция устанавливает, что убитым является некто Жюльен Налестро, любовник мадам Роше. Узнав об этом, мэтр Роше в панике убегает, опасаясь, что в убийстве обвинят его. Однако инспектор Грандэн выясняет, что нотариус виновен только в сокрытии тела, которое обнаружил в своём кабинете. Мэтр Роше, зная о любви телефонистки к детективам и почти уверенный в её впечатлительности, инсценировал своё убийство лишь для того, чтобы вынести труп из конторы. Нотариус всё рассчитал верно — Алиса упала в обморок, а он незаметно избавился от тела и ушёл сам.
Неугомонная Алиса решает создать ситуацию, во время которой она поможет Грандэну окончательно установить убийцу: при всех она заявляет, будто у неё имеется третья улика, после чего служащие прощаются друг с другом и уходят. Настоящим убийцей оказывается Робер, который накануне заманил Налестро в контору и убил его в кабинете мэтра, тем самым надеясь избавиться сразу и от мужа, и от любовника мадам Роше. Затем он планировал обольстить мадам Роше, чтобы жениться на ней и стать хозяином конторы. Поняв, что дело провалилось, и надеясь узнать, что собой представляет «третья улика», клерк возвращается в контору и пытается расправиться с Алисой. Он думает, что она осталась одна, но в шкафу прячется инспектор Грандэн. Робер раскрывает ей свой план и говорит, что не может позволить ей жить. Всё это слышит инспектор, однако по нелепой случайности он не может ничем помочь — Алиса нечаянно его заперла. Появившийся в последний момент в конторе Максимэн бросается на Робера и после долгой схватки надевает на преступника наручники.
Алиса освобождает Грандэна из шкафа, а затем рассказывает позвонившей в контору своей подруге Жоржетте, что она уволится, станет частным детективом и будет работать вместе с инспектором Грандэном, который, наконец, сделал ей предложение, и она дала согласие. Грандэн замирает в недоумении и задаётся вопросом «Ну какой из меня...?», на что Алиса ему отвечает: «При хорошей женщине и мужчина может стать человеком».</t>
        </is>
      </c>
      <c r="L7281" s="2" t="inlineStr">
        <is>
          <t>https://ru.wikipedia.org/w/index.php?title=%D0%98%D1%89%D0%B8%D1%82%D0%B5_%D0%B6%D0%B5%D0%BD%D1%89%D0%B8%D0%BD%D1%83_%28%D1%84%D0%B8%D0%BB%D1%8C%D0%BC%2C_1982%29&amp;oldid=154768235</t>
        </is>
      </c>
      <c r="M7281" s="2">
        <f>HYPERLINK("https://ru.wikipedia.org/w/index.php?search=%D0%98%D1%89%D0%B8%D1%82%D0%B5%20%D0%B6%D0%B5%D0%BD%D1%89%D0%B8%D0%BD%D1%83%201982%20%D1%84%D0%B8%D0%BB%D1%8C%D0%BC","искать")</f>
        <v/>
      </c>
      <c r="N7281" s="3" t="n"/>
      <c r="O7281" s="2" t="n"/>
      <c r="P7281" s="2" t="n"/>
    </row>
    <row r="7282">
      <c r="A7282" s="2" t="n">
        <v>7281</v>
      </c>
      <c r="B7282" s="2" t="inlineStr"/>
      <c r="C7282" s="2" t="n">
        <v>7940</v>
      </c>
      <c r="D7282" s="3" t="inlineStr">
        <is>
          <t>Назначаешься внучкой</t>
        </is>
      </c>
      <c r="E7282" s="2" t="n">
        <v>1975</v>
      </c>
      <c r="F7282" s="2" t="inlineStr">
        <is>
          <t>телефильм</t>
        </is>
      </c>
      <c r="G7282" s="2" t="n"/>
      <c r="H7282" s="2" t="n">
        <v>5069</v>
      </c>
      <c r="I7282" s="2" t="inlineStr"/>
      <c r="J7282" s="2" t="inlineStr"/>
      <c r="K7282" s="3" t="inlineStr">
        <is>
          <t>Лето 1942 года, Великая Отечественная война. В южном приморском городе живёт одна семья. Старшая сестра Мотя служит в Красной Армии прожектористом, и две младшие сестры — Вера (14 лет) и Евдокия, или Дуся (16 лет) (Ирина Гришина). Дуся осаждает военкома, она рвется на фронт. Военком решает направить её в разведшколу. Она оканчивает курс обучения радиста и получает конспиративную кличку «Чижик».
Начальник разведки фронта (Даниил Нетребин) приглашает Дусю на беседу и спрашивает её, согласна ли она стать связной и радисткой в тылу врага у «деда», зная, что его предыдущего связного схватили, пытали и казнили гестаповцы. Дуся, не колеблясь, отвечает, что готова выполнить любое задание.
Согласно «легенде», Дусю зовут Женя (по аусвайсу она Евдокимова Евгения Ивановна из Ростова, 1927 г. р.). Теперь она внучка «деда», дочь его дочери, умершей в Ростове от тифа.
Осенней ночью её с самолета забрасывают в тыл врага, неподалёку от Ростова-на-Дону. Приземлившись, Дуся прячет на пасеке парашют, мешок с боеприпасами и рацию и направляется в станицу.
Дуся не знает человека, к которому идёт, она знает только его конспиративную кличку «Дед», пароль и отзыв. Опознав «Деда» (Борис Андреев) по паролю и отзыву, она оказывается в его доме. Несмотря на всё отчаяние Дуси, «Дед», понимая, что она не должна выглядеть привлекательной, постригает её оказавшимися под рукой овечьими ножницами.
Дуся видит, что на «Деде» форма полицая, и в её душу закрадываются сомнения.
Ранее, чтобы стать для оккупантов своим человеком, дед Тимофей спас утопавшего в Дону гауптмана Штольца (Николай Прокопович). В благодарность Штольц, став заместителем коменданта станицы, держит Тимофея при себе, определив его в полицаи. Соседка Тимофея (Майя Булгакова), для которой дед Тимофей — полицай, ненавидит его и его внучку — как и многие другие жители станицы.
Как-то раз Штольц, ужиная у Тимофея, много выпил и, выходя из его дома в проливной дождь, поскользнулся и упал. Тимофей, бросившись его поднимать, попытался вытащить у него из кармана так нужную подпольщикам печать. Штольц, почувствовав, что Тимофей залез к нему в карман, схватил его за руку, уличая его в попытке совершить кражу. Тимофей утверждает, что Штольц его не так понял. За Тимофея вступается Женя, и Штольц, сменив гнев на милость, даже извиняется за свои подозрения перед стариком. Но «Дед» видит в его извинениях подвох, и вот промокшие под дождём Тимофей и Женя сидят на сквозняке у открытой двери с оружием в руках, ожидая, что вот-вот к ним нагрянут гестаповцы.
Всё обошлось, но дед Тимофей простудился и тяжело заболел. Женя же, выполняя задание «Деда», идёт на базар, чтобы позвать к «Деду» полицая Сашко (Владимир Артёмов), который, зная, кто такие дед Тимофей и Женя на самом деле, и понимая, что немцы могут быть скоро разгромлены, хочет заслужить себе прощение.
Женя идёт на рынок, взяв на продажу коробку спичек и лук, но у неё с собой ещё и лимонка, которую она взяла тайком от деда. На базаре Женю обыскивает полицай Сашко. Он находит у неё лимонку, называет дурой, но не выдаёт.
Там же Женя видит женщину в пальто с очень заметной пуговицей. Это то самое пальто, которое она примеряла, когда выбирала себе одежду перед заброской в тыл врага. Женя называет этой женщине пароль, та отвечает отзывом. Теперь Женя знает, что это тоже советская разведчица (Людмила Давыдова).
К Тимофею, как ему и было сказано Женей, приходит полицай Сашко. Тимофей приказывает ему забрать вкладку из тайника рядом с комендатурой. Сашко отказывается: он боится, что его поймают. Тогда Тимофей меняет ему задание: за содержимым тайника должна будет пойти Женя, а Сашко должен при этом подстраховывать её и отвлекать от неё внимание.
Перед тем, как Жене выйти из дома, к ней подходит соседка, она просит у неё еды для своих умирающих от голода дочерей. Женя даёт ей картошку, а потом, опасаясь, что во время выполнения задания её могут схватить, открывается соседке, чтобы та смогла бы помочь спастись деду. Женя рассказывает ей о приближающемся разгроме фашистов под Сталинградом и просит, чтобы та рассказывала об этом советским людям.
При выполнении задания в Сашко в упор стреляет немецкий офицер, но в ответ Сашко успевает выстрелить в того два раза.
Как выясняется позже, Сашко остался жив и его допрашивают гестаповцы. В связи с угрозой разоблачения дед Тимофей и Женя должны немедленно уйти из станицы. Об этом им сообщает та самая разведчица, которую Женя встретила на базаре. Она также рассказывает им, что для выполнения задания она сумела войти в доверие к Штольцу благодаря сообщению, переданному по рации Женей. Позднее Женя узнает, что разведчица выполнила задание ценой собственной жизни.
Дед Тимофей и Женя покидают станицу. Женя идёт к линии фронта, дед должен добраться до явки в Ростове. Перед уходом дед Тимофей устанавливает в их доме мину натяжного действия. По пути он показывает место, где был похоронен казненный фашистами разведчик Андрей, бывший до Жени связным у деда. Вскоре раздаётся взрыв. Это сработала мина, установленная в доме.
Под ближним мостом дед и Женя прощаются. Каждый идёт в свою сторону.</t>
        </is>
      </c>
      <c r="L7282" s="2" t="inlineStr">
        <is>
          <t>https://ru.wikipedia.org/w/index.php?title=%D0%9D%D0%B0%D0%B7%D0%BD%D0%B0%D1%87%D0%B0%D0%B5%D1%88%D1%8C%D1%81%D1%8F_%D0%B2%D0%BD%D1%83%D1%87%D0%BA%D0%BE%D0%B9&amp;oldid=154700280</t>
        </is>
      </c>
      <c r="M7282" s="2">
        <f>HYPERLINK("https://ru.wikipedia.org/w/index.php?search=%D0%9D%D0%B0%D0%B7%D0%BD%D0%B0%D1%87%D0%B0%D0%B5%D1%88%D1%8C%D1%81%D1%8F%20%D0%B2%D0%BD%D1%83%D1%87%D0%BA%D0%BE%D0%B9%201975%20%D1%84%D0%B8%D0%BB%D1%8C%D0%BC","искать")</f>
        <v/>
      </c>
      <c r="N7282" s="3" t="n"/>
      <c r="O7282" s="2" t="n"/>
      <c r="P7282" s="2" t="n"/>
    </row>
    <row r="7283">
      <c r="A7283" s="2" t="n">
        <v>7282</v>
      </c>
      <c r="B7283" s="2" t="inlineStr"/>
      <c r="C7283" s="2" t="n">
        <v>10274</v>
      </c>
      <c r="D7283" s="3" t="inlineStr">
        <is>
          <t>Солярис</t>
        </is>
      </c>
      <c r="E7283" s="2" t="n">
        <v>1968</v>
      </c>
      <c r="F7283" s="2" t="inlineStr">
        <is>
          <t>фильм-спектакль</t>
        </is>
      </c>
      <c r="G7283" s="2" t="inlineStr">
        <is>
          <t>Главня редакция литературно-драматических программ ЦТ</t>
        </is>
      </c>
      <c r="H7283" s="2" t="n">
        <v>5082</v>
      </c>
      <c r="I7283" s="2" t="inlineStr"/>
      <c r="J7283" s="2" t="inlineStr"/>
      <c r="K7283" s="3" t="inlineStr">
        <is>
          <t>На исследовательскую станцию, расположенную на планете Солярис, прибывает учёный Крис Кельвин. На станции Кельвин встречает доктора Снаута, который выглядит чрезвычайно напуганным его появлением. Поняв, кто перед ним, Снаут немного успокаивается и сообщает, что начальник станции Гибарян недавно покончил с собой, а ещё один работник станции — Сарториус — забаррикадировался в лаборатории, и советует Кельвину не терять головы и быть готовым ко всему. Поговорив с Сарториусом у дверей лаборатории, Кельвин понимает, что внутри есть ещё кто-то. В каюте к Кельвину приходит девушка, в которой он узнаёт свою жену Хари, десять лет назад совершившую самоубийство после ссоры с ним. Девушка выглядит, осознаёт и ведёт себя как Хари, которая никогда не умирала, но при этом не понимает, каким образом она очутилась на станции, и чувствует, что многое забыла. Кельвин не верит, что появившееся существо и есть настоящая Хари, и отправляет её на ракете за пределы станции.
Снаут рассказывает Кельвину, что подобные «гости» посещают каждого сотрудника станции, и предполагает, что они извлечены из сознания людей разумным океаном Соляриса в ответ на рентгеновское воздействие. Эти фантомы — воплощение воспоминаний, которые человек пытается забыть, или мыслей, которых он стыдится. Гибарян покончил с собой, чтобы остальные не обнаружили, что за «гость» его посещал, Сарториус старается быть нормальным (что для него значит быть официальным), а сам Снаут чрезвычайно устал и предлагает просить Землю о помощи. При общем обсуждении ситуации Сарториус фактически соглашается со Снаутом, считая, что станцию нужно временно закрыть, поскольку учёные являются объектом исследования океана, что и опасно, и унизительно. Кельвин не согласен с коллегами, считая, что исследования необходимо продолжить невзирая на опасность: «Отказавшись от познания, мы лишили бы себя права называться учёными». В итоге и Сарториус, и Снаут соглашаются остаться на станции.
В каюте Кельвин встречает новое воплощение Хари, ничего не знающее о предыдущем. Кельвин понимает, что начинает радоваться её присутствию, однако во сне он бормочет об обмане и велит «Хари» уйти. «Хари» слышит это и с плачем просит у Кельвина объяснений, опасаясь, что он её разлюбил, к тому же она понимает, что с ней что-то не так — она не помнит самых простых вещей. Кельвин успокаивает «девушку».
Одновременно учёные пытаются разобраться, кем или чем по сути являются «гости», и Кельвин устанавливает, что основой структуры этих существ выступают нейтрино, стабильность которых обеспечивает океан. К Кельвину приходит проведший тяжёлую ночь Снаут, и тот знакомит его с «Хари». Снаут рассказывает Кельвину о своём проекте антинейтринного поля, позволяющего уничтожать нейтринные системы. Кельвин размышляет о том, что боится потерять «Хари», и решает выиграть время, предложив тщательно проверить расчёты. Снаут догадывается о чувствах Кельвина и говорит Сарториусу, что понимает тяжесть положения Криса: Кельвин винит себя в смерти жены, а теперь должен пойти на уничтожение фантома, принимающего себя за неё. Снаут считает, что попытки что-либо объяснить Кельвину могут привести к трагедии (как в случае с Гибаряном), и предлагает воспользоваться помощью самой «Хари».
«Хари» всё больше мучает непонимание того, как же она появилась на станции. Она находит записанное на магнитофон послание Гибаряна Кельвину (они были друзьями), в котором тот объясняет сущность фантомов, полагая, что перед учёными возникла дилемма — уничтожение собственных мыслей, что невозможно, или уничтожение фантомов, что «слишком похоже на убийство», а также упоминает о смерти Хари. Прослушав послание, «Хари»-фантом совершает самоубийство, но вновь оживает после того, как её тело находит Кельвин. «Хари» говорит Крису, что осознала свою нечеловеческую сущность и что любит он вовсе не её, а настоящую Хари. Тем не менее Кельвин в ответ на это ей сообщает, что теперь любит именно её.
Кельвин сообщает Снауту, что собирается покинуть станцию вместе с «Хари». Снаут отвечает, что в нечеловеческой ситуации Кельвин пытается поступать как человек: «это красиво, но бесполезно». Он предлагает взглянуть на ситуацию глазами учёного, но Кельвин отвергает все доводы, говоря, что любит «Хари». Кельвин соглашается на эксперимент трансляции мыслей человека океану (цель которого — прекращение появления фантомов), однако мысленно просит океан убрать «гостей» Снаута и Сарториуса, но оставить «Хари».
Снаут втайне от Кельвина сообщает «Хари», что бегство на Землю закончится для неё гибелью и что её существование обрекает Кельвина на вечное пребывание на станции, а это рано или поздно убьёт любовь Криса к ней. Обдумав слова Снаута, «Хари» соглашается на своё уничтожение антинейтринным полем. Узнав о случившемся, Кельвин обвиняет коллег в её смерти и надеется, что «Хари» вернётся, однако Снаут сообщает Крису, что после отправки его мысленного сообщения океану «гости» перестали приходить. Снаут и Сарториус собираются остаться на станции, чтобы продолжить работу. Кельвин после размышлений тоже принимает решение остаться — в надежде на новый контакт с океаном.</t>
        </is>
      </c>
      <c r="L7283" s="2" t="inlineStr">
        <is>
          <t>https://ru.wikipedia.org/w/index.php?title=%D0%A1%D0%BE%D0%BB%D1%8F%D1%80%D0%B8%D1%81_%28%D1%84%D0%B8%D0%BB%D1%8C%D0%BC%2C_1968%29&amp;oldid=153510865</t>
        </is>
      </c>
      <c r="M7283" s="2">
        <f>HYPERLINK("https://ru.wikipedia.org/w/index.php?search=%D0%A1%D0%BE%D0%BB%D1%8F%D1%80%D0%B8%D1%81%201968%20%D1%84%D0%B8%D0%BB%D1%8C%D0%BC","искать")</f>
        <v/>
      </c>
      <c r="N7283" s="3" t="n"/>
      <c r="O7283" s="2" t="n"/>
      <c r="P7283" s="2" t="n"/>
    </row>
    <row r="7284">
      <c r="A7284" s="2" t="n">
        <v>7283</v>
      </c>
      <c r="B7284" s="2" t="inlineStr"/>
      <c r="C7284" s="2" t="n">
        <v>9327</v>
      </c>
      <c r="D7284" s="3" t="inlineStr">
        <is>
          <t>Дежа вю</t>
        </is>
      </c>
      <c r="E7284" s="2" t="n">
        <v>1989</v>
      </c>
      <c r="F7284" s="2" t="inlineStr">
        <is>
          <t>кинофильм</t>
        </is>
      </c>
      <c r="G7284" s="2" t="n"/>
      <c r="H7284" s="2" t="n">
        <v>5221</v>
      </c>
      <c r="I7284" s="2" t="inlineStr"/>
      <c r="J7284" s="2" t="inlineStr"/>
      <c r="K7284" s="3" t="inlineStr">
        <is>
          <t>1925 год. В США — время всеобщего сухого закона. Мафия чикагских бутлегеров разыскивает некоего Мика Нича — Микиту Ничипорука (Владимир Головин), который оказался стукачом. Выясняется, что он сбежал в советскую Одессу, где организовал «великий самогонный путь» по доставке самогона по побережью Северного Ледовитого океана из молодой страны Советов в Америку.
Для ликвидации предателя нанимается самый знаменитый нью-йоркский киллер — американский гангстер польского происхождения Джон Поллак по прозвищу «Профессор» (Ежи Штур), под видом энтомолога, следующего на Суматру ловить бабочек. Поллак прибывает в Одессу (на одном пароходе с возвращающимися из штатов Маяковским и Лилей Брик) под легендой «навестить могилу отца», чтобы выполнить контракт на ликвидацию предателя.
В поисках своей жертвы Поллак попадает в самые невероятные ситуации, связанные со спецификой жизни советской Одессы в эпоху начала построения социализма и Новой экономической политики. Сначала, поскольку он оказывается первым пассажиром рейса «Русфлота» Нью-Йорк — Константинополь — Одесса: ему устраивают шумную и торжественную встречу в порту, навязывают культурную программу пребывания в СССР и приставляют гида — комсомолку Аглаю Глушко (Галина Петрова). К тому же его осаждают пионеры и журналисты. Всё это время Джон безуспешно пытается освободиться от совершенно не нужного ему сопровождения.
Далее в гостинице Поллаку вначале повреждают ручку от тележки кофра, которая на самом деле была стволом разобранной и спрятанной в багаже винтовки. Потом его поселяют в номере, который оказывается трёхместным, и Поллак вынужден делить его с харьковским кооператором Петром Мусиевичем Кривонощенко (Виктор Степанов), а позже ещё и с кооператорами евреем Абрамом Семёновичем из Владивостока и узбеком Ахмедом из Ташкента.
Обменивая нелегально доллары в булочной, Джон узнаёт в одном из её работников Микиту Ничипорука и отправляет ему посылку с дохлой рыбой. Ничипорук понимает, что на языке сицилийской мафии это означает смертный приговор. Подручный Ничипорука Японец (Николай Караченцов), не веря, что в Одессу действительно приехал мафиози, всё-таки советует Миките скрыться в Куяльнике и пытается расправиться с американским киллером.
В попытке оторваться от гида Аглаи и в поисках оружия Поллак натыкается на группу армян, которые принимают его за своего родственника-эмигранта, так как фамилия этой многочисленной армянской семьи — Полакян. Они обещают Джону достать оружие.
Армяне спаивают его и приводят на кладбище, где похоронены члены семьи Полакян, в том числе женщина, чью могилу показывают Поллаку, говоря, что это могила его матери, и могилу недавно убитого мужчины, сообщая, что этот убитый — его брат, за смерть которого он должен отомстить.
Джон просыпается утром в поезде среди всё той же многочисленной армянской семьи. Те сообщают ему, что едут в Ереван, так как там скрывается убийца его «брата». Поллак на ходу прыгает из поезда. Ударившись головой и получив ретроградную амнезию, он забывает о своей первоначальной цели и теперь живёт согласно своей легенде — просто как профессор. Ничипорук, по наводке Японца встретившись с киллером, расстреливает его из «Томпсона», однако убитым оказывается не Поллак, а его «коллега» — русский профессор-энтомолог Бабочкин (Всеволод Сафонов). В результате Поллак переживает несколько покушений на себя и цепь потерь и возвращений памяти, периодически испытывая дежавю.
После очередной неудачной попытки убийства «Профессора» Японец встречает Поллака в нелегальном казино, расположенном в подвале той же булочной, связывает его и пытает. Освободившись, Поллак всё-таки выходит на след Ничипорука.
Однако, выследив свою жертву, Джон невольно помогает сотрудникам милиции, которые ведут активную борьбу с самогоноварением, арестовать самогонщика. В отделении Поллак узнаёт, что все, кто постоянно попадались ему на глаза, — кооператор Кривонощенко, работник кладбища, влюблённая пара Жорж (Олег Шкловский) и Дита (Лиза Махульская) — работники милиции, которые следили за ним по «ложному обвинению». Однако Джон заявляет, что обвинение — не ложное, и требует посадить его в одну тюрьму с Ничипоруком, так как в Америке его ждёт смертный приговор за невыполнение оплаченного контракта на убийство. В милиции ему не верят и насильно сажают на пароход, следующий до Суматры. Поллак после нескольких неудачных попыток сбежать с судна всё-таки остаётся в Одессе, но попадает в психиатрическую лечебницу с диагнозом паранойя.
Фильм заканчивается эмиграцией из Одессы в Нью-Йорк бывшего подручного Ничипорука Японца и прибытием в Одессу другого киллера (Войцех Высоцкий), который должен расправиться с самим Поллаком за невыполнение контракта. Однако новый убийца тоже оказался юбилейным — тысячным — пассажиром рейса «Русфлота» Нью-Йорк — Константинополь — Одесса. Его также встречает Глушко из «Русфлота» с группой (в составе её группы присутствует пионер-активист, портье Костя (Василий Мищенко) из гостиницы и сержант Васин (Виктор Павловский), игравший кладбищенского сторожа) и лейтенант Афродита Переплётчикова в образе цыганки. Удивлённого посланника мафии задаривают, подхватывают на руки и вместе с багажом запихивают в автомобиль. Становится ясно, что до Джона Поллака он не доберётся.</t>
        </is>
      </c>
      <c r="L7284" s="2" t="inlineStr">
        <is>
          <t>https://ru.wikipedia.org/w/index.php?title=%D0%94%D0%B5%D0%B6%D0%B0_%D0%B2%D1%8E_%28%D1%84%D0%B8%D0%BB%D1%8C%D0%BC%2C_1989%29&amp;oldid=154694507</t>
        </is>
      </c>
      <c r="M7284" s="2">
        <f>HYPERLINK("https://ru.wikipedia.org/w/index.php?search=%D0%94%D0%B5%D0%B6%D0%B0%20%D0%B2%D1%8E%201989%20%D1%84%D0%B8%D0%BB%D1%8C%D0%BC","искать")</f>
        <v/>
      </c>
      <c r="N7284" s="3" t="n"/>
      <c r="O7284" s="2" t="n"/>
      <c r="P7284" s="2" t="n"/>
    </row>
    <row r="7285">
      <c r="A7285" s="2" t="n">
        <v>7284</v>
      </c>
      <c r="B7285" s="2" t="inlineStr"/>
      <c r="C7285" s="2" t="n">
        <v>8476</v>
      </c>
      <c r="D7285" s="3" t="inlineStr">
        <is>
          <t>Три дня в Москве</t>
        </is>
      </c>
      <c r="E7285" s="2" t="n">
        <v>1974</v>
      </c>
      <c r="F7285" s="2" t="inlineStr">
        <is>
          <t>телефильм</t>
        </is>
      </c>
      <c r="G7285" s="2" t="inlineStr">
        <is>
          <t>Киностудия «Мосфильм». Творческое объединение телевизионных фильмов</t>
        </is>
      </c>
      <c r="H7285" s="2" t="n">
        <v>5284</v>
      </c>
      <c r="I7285" s="2" t="inlineStr"/>
      <c r="J7285" s="2" t="inlineStr"/>
      <c r="K7285" s="3" t="inlineStr">
        <is>
          <t>В Сибири старшему лейтенанту Петру Степанову (Иван Рыжов) — начальнику молоденького милиционера Ивана Федотова (Семён Морозов) — досталась трёхдневная путёвка в Москву, но он лететь не может. Поэтому он «приказывает» Ивану отправиться в Москву вместо себя, отдаёт ему свои путёвку и билеты и заставляет отказывающегося (из скромности) Ивана сесть в самолёт, сразу взлетевший.
В столице Иван сразу же попал в нелепую ситуацию, показавшись подозрительным одной бдительной гражданке, которая сдала его — милиционера — в милицию. Там младший лейтенант очаровательная Оля (Наталья Варлей) во всём разобралась и оставила в душе парня неизгладимое впечатление. Так начались приключения гостя столицы…
Соседом Ивана по гостиничному номеру оказался его земляк, парень из Сибири, Герман Коробков (Станислав Садальский). Герман просит Ивана взглянуть на его невесту Лену (Мария Коренева) и одобрить выбор. Встреча происходит в кафе. Когда Лена приходит, Герман бросает к её ногам шкуру якобы убитого в Сибири медведя. Они начинают строить планы. За их беседой с грустью наблюдает ещё один парень — Коля (Владимир Обрезков), который давно знает и любит Лену. Коля исполняет песню «Баллада о юном рыцаре», а потом уходит за букетом цветов для Лены. Тем временем Лена сообщает Герману, что по распределению собирается ехать в Сибирь. Тут Герман и открывается: оказалось, что ему нужна не девушка, а московская прописка. «Значит, Москва — мимо, прощай, трёхкомнатная квартира!.. Пересох твой Байкал…» — говорит он в отчаянии. И признаётся, что шкура — не медведь, а дешёвый кролик, которого он купил здесь, в Москве. Возвращается Коля, который преподносит Лене цветы и поздравляет её с тем, что она выходит замуж за этого нехорошего человека. И тем же самым букетом Коля, словно веником, бьёт Германа по голове. Иван пытается вступиться, но Герман, который уже не хочет жениться на Лене, так как этот брак не даст ему московскую квартиру, останавливает Ивана, для пущего признаваясь: «Да, я плохой человек, я получил по заслугам!» «Молодец, Коля… Пойдём», — давясь слезами, говорит Лена своему давнему знакомому, и они уходят. Следом за ними уходит и Иван, хотя Герман пытается его остановить, говоря, что сейчас другая придёт. И действительно, тут же появляется другая девушка — Вера (Светлана Крючкова), с которой Иван, уходя, сталкивается прямо в дверях. Герман бросает и к её ногам ту самую шкуру, говоря те самые слова, которые несколько минут назад говорил Лене: «Сибирский медведь у твоих ног!» Впрочем, официантки, на глазах которых происходила вся эта некрасивая сцена, разоблачают Германа: «Девушка, это кролик».
На следующий день Герман собирается на третье свидание, но Иван стремится ему помешать. Он одевается в форму милиционера и преследует Германа по пятам. Желая избавиться от него, Герман толкает к нему старушку с требованием перевести её через дорогу. Старушка (Валентина Сперантова) оказывается очень назойливой, и, даже перейдя дорогу, не отпускает Ивана, а просит подсобить ей устроиться в дом престарелых. Иван ведёт её в отделение к Оле, где старушка упорно называет его своим внуком. Оля разочарована, что Иван хочет сдать родную бабушку в дом престарелых. На объяснения Ивана, что это не его бабушка, реагирует негативно. А бабушка, достигнув желаемого, приглашает Ивана в гости на день рождения.
Появляется Герман, который спешит на третье свидание домой к третьей девушке, Иван продолжает его преследовать. Когда третья невеста открывает Герману дверь квартиры, выясняется, что она — тот самый очаровательный милиционер Оля. Герман впервые видит Олю в милицейской форме и обескуражен тем, что она оказалась милиционером. Оля, аккомпанируя себе на фортепьяно, поёт им оказавшуюся как нельзя к месту песню:
Иван вынуждает Германа сознаться во всём. Оля расстроена, но на просьбу Ивана показать ему Москву всё же соглашается.
На следующий день они гуляют по Москве, смотрят достопримечательности. В частности, гуляют вблизи метромоста на Ленинских горах, где находится одноимённая станция метро, посещают бассейн «Москва», а потом вместе с рабочими оказываются на одной из строившихся в те годы типовых станций метро колонного типа и мелкого заложения — «Щукинской». Иногда их догоняет Герман и дразнит «Тили-тили-тесто, два сапога — пара!».
Иван признаётся Оле в любви, просит её руки, но Оля отказывается и хочет уйти. Желая удержать девушку, Иван приводит её в гости на день рождения к старушке. Там Оля в очередной раз «убеждается», что бабушка Ивану — родная. Она разочарована, что Федотов обманывал её, утверждая обратное. Даже когда бабушка признаётся, что Иван ей не внук, Оля всё равно не верит, считая, что бабушка его просто выгораживает, и уходит.
Расстроенный Иван рассказывает обо всём случайному знакомому за рулём «Волги». Тот, желая ему помочь, отвозит Ивана в дом культуры, где с той самой песней «Ты говоришь мне о любви» должна выступать Оля. Перед Олей выступает Лена (та самая бывшая невеста Германа), которая поёт песню «Тает снег». Автолюбитель оказывается лётчиком-космонавтом и становится почётным гостем мероприятия. Взяв слово, он просит Олю поверить Ивану. И Оля, наконец-то, верит. Но Ивану уже пора улетать. Обменявшись несколькими словами и пообещав друг другу «удочерить» бабушку, влюблённые расстаются.
Счастливый Иван возвращается домой.</t>
        </is>
      </c>
      <c r="L7285" s="2" t="inlineStr">
        <is>
          <t>https://ru.wikipedia.org/w/index.php?title=%D0%A2%D1%80%D0%B8_%D0%B4%D0%BD%D1%8F_%D0%B2_%D0%9C%D0%BE%D1%81%D0%BA%D0%B2%D0%B5&amp;oldid=154286970</t>
        </is>
      </c>
      <c r="M7285" s="2">
        <f>HYPERLINK("https://ru.wikipedia.org/w/index.php?search=%D0%A2%D1%80%D0%B8%20%D0%B4%D0%BD%D1%8F%20%D0%B2%20%D0%9C%D0%BE%D1%81%D0%BA%D0%B2%D0%B5%201974%20%D1%84%D0%B8%D0%BB%D1%8C%D0%BC","искать")</f>
        <v/>
      </c>
      <c r="N7285" s="3" t="n"/>
      <c r="O7285" s="2" t="n"/>
      <c r="P7285" s="2" t="n"/>
    </row>
    <row r="7286">
      <c r="A7286" s="2" t="n">
        <v>7285</v>
      </c>
      <c r="B7286" s="2" t="inlineStr"/>
      <c r="C7286" s="2" t="n">
        <v>9446</v>
      </c>
      <c r="D7286" s="3" t="inlineStr">
        <is>
          <t>Куколка</t>
        </is>
      </c>
      <c r="E7286" s="2" t="n">
        <v>1988</v>
      </c>
      <c r="F7286" s="2" t="inlineStr">
        <is>
          <t>кинофильм</t>
        </is>
      </c>
      <c r="G7286" s="2" t="n"/>
      <c r="H7286" s="2" t="n">
        <v>5364</v>
      </c>
      <c r="I7286" s="2" t="inlineStr"/>
      <c r="J7286" s="2" t="inlineStr"/>
      <c r="K7286" s="3" t="inlineStr">
        <is>
          <t>Таня Серебрякова в свои 15 лет уже успевает стать профессиональной спортсменкой и чемпионкой мира по спортивной гимнастике, поездить по миру. Но на разминке перед очередным соревнованием она получает серьёзную травму позвоночника. Тренер заставляет Таню выступать, несмотря на боль в спине, так как это приносит государству валюту. Позднее выясняется, что травма серьёзная, и Тане придётся навсегда оставить большой спорт. Чемпионка возвращается домой к маме (которая так и не устроила личную жизнь) и становится обычной девятиклассницей в провинциальной школе.
Таня быстро оценивает обстановку и пытается реализовать с детства заложенную тренером программу — побеждать (главный приз должен достаться ей, чего бы это ни стоило). Героиня пробует применить навыки, полученные в спортшколе. Но обычная школа — не спортивная арена, здесь другие законы. Поступки Тани задевают человеческие чувства, с которыми спортсменку не учили считаться.
Попытки классных хулиганов поставить на место новенькую ученицу для неё не представляют проблемы, так как она хорошо умеет драться. Из-за этого школьный «авторитет» Шура «Пятиэтажный» теряет статус классного лидера и становится её «шестёркой». Некоторые начинают уважать Таню — как из-за физической силы, блестящей спортивной карьеры и медалей, так и из-за редких и дефицитных в советское время вещей (плеер, видеомагнитофон), привезённых ею из-за границы. Другие же просто не вступают с ней в контакт. Она считает себя уникальной, так как в «свои 15 такого добилась, чего остальным никогда не увидеть», вследствие чего подчёркивает своё превосходство над сверстниками в стенах школы, не подчиняется многим школьным правилам и распорядкам, находит в каждом однокласснике слабое место и в итоге становится неформальным лидером класса.
Однако проблемы есть и у Тани — она влюбляется в одноклассника Алексея Панова, в котором она чувствует независимого человека, не прогибающегося под её авторитет. Панов — бывший хулиган, чуть не попавший в колонию, но взятый на поруки молодой классной руководительницей Еленой Михайловной (и тайно в неё влюблённый). Эта учительница, будучи сама молодой женщиной, старается быть другом учеников, имеет весьма либеральные взгляды на преподавание, «шагая в ногу» с перестройкой, хотя, с другой стороны, использует авторитарные методы поддержания дисциплины в классе. Из-за последних с Еленой Михайловной у Тани тоже проблемы — она грубит и препирается с ней, приходя на уроки в джинсах вместо школьной формы. И в конце концов психологически подавляет учительницу, оставляя за собой право на любое неподчинение.
Однажды Елена Михайловна приглашает учеников на свой день рождения. Татьяна, солгав, что и у неё день рождения в тот же день, договаривается с учительницей о праздновании сначала у себя, а затем у неё. Переманив одноклассников к себе, чемпионка организовывает дискотеку с едой и напитками, а затем устраивает просмотр видеокассет, среди которых фильмы ужасов и эротика. Увлёкшись фильмом, одноклассники решают опоздать на день рождения учительницы. Панов единственный, кто не пошёл к Тане, так как в это время разгружал вагоны. На заработанные деньги он покупает цветы для учительницы. Татьяна в сопровождении крепких одноклассников, оставив остальных ребят смотреть фильм, идёт к Елене Михайловне якобы предупредить об опоздании и в подъезде её дома дожидается Панова. Когда он появляется, начинается конфликт, перерастающий в драку, после которой Таня, оставшись наедине с Пановым, признаётся ему в любви. Однако взаимности не получается: её избранник отвергает ровесницу и уходит к учительнице, которой и признаётся в любви. При этом, по-своему мудрый, юный хулиган заявляет ей, что она ошибается в своих учениках: никто из них никогда не станет её искренним другом. А вот он, Панов, её любит, хотя и не знает, как ему с этим быть. Уходя, Таня с одноклассниками замечают, что в квартире Елены Михайловны гаснет свет. Таким образом, зрителю предложено догадаться, что в тот вечер учительница и ученик вступили в интимную связь…
Наутро ученики чувствуют себя виноватыми перед классной, к которой так никто и не пришёл, а уязвлённая неудачей в любви Таня ни на что не обращает внимания и назло учительнице слушает плеер. Елена Михайловна, после длинного монолога о своей неудавшейся первой любви (она аналогично влюбилась в своего преподавателя, и тому пришлось перейти в другой класс, поэтому Елена призывает своих учеников быть готовыми к тому, что в будущем они аналогично могут, сами того не осознавая, разрушить чью-то судьбу, что может обернуться для них бумерангом), отбирает плеер и кладёт его к себе в стол, но на перемене Таня похищает его и ломает, после чего притворно требует установить, кто виноват в пропаже плеера. Её обман раскрывают, и чемпионка в порыве отчаяния бежит в школьный спортзал. Видимо, ощущая свою жизнь загубленной, а себя человеком конченым, она исступлённо выполняет разные акробатические элементы на бревне, многократно неудачно падает, чем усугубляет свою травму, и её разбивает паралич. Елена Михайловна находит свою ученицу слишком поздно. Она прижимает её к себе, но та в ответ лишь шепчет: «Отпусти меня. Мне больно». Таню увозит «скорая помощь», а Панов, ошеломлённый откровениями Елены Михайловны и Таниной бедой, бросается вслед за машиной, которая увозит ломавшую до этого все преграды на своём пути, а теперь навсегда поверженную гимнастку.</t>
        </is>
      </c>
      <c r="L7286" s="2" t="inlineStr">
        <is>
          <t>https://ru.wikipedia.org/w/index.php?title=%D0%9A%D1%83%D0%BA%D0%BE%D0%BB%D0%BA%D0%B0_%28%D1%84%D0%B8%D0%BB%D1%8C%D0%BC%2C_1988%29&amp;oldid=153687898</t>
        </is>
      </c>
      <c r="M7286" s="2">
        <f>HYPERLINK("https://ru.wikipedia.org/w/index.php?search=%D0%9A%D1%83%D0%BA%D0%BE%D0%BB%D0%BA%D0%B0%201988%20%D1%84%D0%B8%D0%BB%D1%8C%D0%BC","искать")</f>
        <v/>
      </c>
      <c r="N7286" s="3" t="n"/>
      <c r="O7286" s="2" t="n"/>
      <c r="P7286" s="2" t="n"/>
    </row>
    <row r="7287">
      <c r="A7287" s="2" t="n">
        <v>7286</v>
      </c>
      <c r="B7287" s="2" t="inlineStr"/>
      <c r="C7287" s="2" t="n">
        <v>7237</v>
      </c>
      <c r="D7287" s="3" t="inlineStr">
        <is>
          <t>Батальоны просят огня</t>
        </is>
      </c>
      <c r="E7287" s="2" t="n">
        <v>1985</v>
      </c>
      <c r="F7287" s="2" t="inlineStr">
        <is>
          <t>телефильм</t>
        </is>
      </c>
      <c r="G7287" s="2" t="inlineStr">
        <is>
          <t>Мосфильм</t>
        </is>
      </c>
      <c r="H7287" s="2" t="n">
        <v>5420</v>
      </c>
      <c r="I7287" s="2" t="inlineStr"/>
      <c r="J7287" s="2" t="inlineStr"/>
      <c r="K7287" s="3" t="inlineStr">
        <is>
          <t>Основа сюжета фильма — важный этап Великой Отечественной войны: форсирование советскими войсками Днепра в ходе летне-осенней кампании 1943 года, а именно — события на Букринском плацдарме южнее Киева.
Два батальона 85-го стрелкового полка под командованием майора Бульбанюка и капитана Максимова должны форсировать Днепр, чтобы южнее города Днепрова (вымышленное название) создать плацдарм в районе деревень Новомихайловка и Белохатка для последующего наступления дивизии — так была поставлена боевая задача. Батальонам был отдан приказ: укрепившись на плацдарме и завязав бой, подать сигнал дивизии «просим огня» — и вся дивизионная артиллерия нанесёт удар по противнику, а сама дивизия после артподготовки перейдёт в наступление. Поддержать батальоны во время переправы и завязывания боя должна батарея стрелкового полка полковника Гуляева, которой до ранения командовал капитан Ермаков. Но поскольку после предыдущей неудачной попытки переправы через Днепр из четырёх орудий в батарее осталось лишь два, для восполнения потерь из артполка был выделен взвод в составе двух орудий с расчётами под командованием лейтенанта Ерошина.
Таков был первоначальный план. Но командование внезапно меняет весь план наступления, приказав дивизии сняться с занимаемых позиций, переместиться севернее Днепрова и, соединившись с другой дивизией, которая недавно понесла большие потери в боях, атаковать город с севера. Уже вступившим в бой батальонам приказано не отступать — теперь их действия несут отвлекающий характер. Исполняя приказ командования, командир дивизии полковник Иверзев в срочном порядке отзывает все полки, в том числе и артиллерию, оставляя батальоны без огневой поддержки и тем самым обрекая их на верную гибель. Для поддержки батальонов на правом берегу остаются лишь два орудия той самой батареи, которой ранее командовал Ермаков, а после его ранения — старший лейтенант Кондратьев. Приказ батарее поддержать батальоны приходит слишком поздно, когда оба батальона оказываются в окружении. За это время они несколько раз подавали сигнал с просьбой огня, но огневой поддержки не получили.
С первых же минут боя теряется связь с батальонами. Поэтому у Кондратьева нет никаких сведений об их местоположении, из-за чего он не может открыть огонь. Вся батарея терпеливо ждёт приказа командира полка Гуляева, как только будут получены координаты от связистов. Тем временем батальоны окружены, немцы стягивают в район Новомихайловки всё больше и больше сил. Орудия, приданные батальонам, разбиты, лейтенант Ерошин гибнет, а капитан Ермаков с остатками артиллеристов приходит на КП батальона Бульбанюка, готовый командовать любым из подразделений пехоты. Но поскольку командир батальона Бульбанюк тяжело ранен, начальник штаба Орлов и капитан Ермаков вдвоём берут на себя командование батальоном. Когда становится очевидно, что поддержки огнём не будет, и помощи ждать неоткуда, оба командира и раненый Бульбанюк понимают, что батальон обречён. Тогда Ермаков приказывает ординарцу полковника Гуляева Жорке пройти по всем траншеям и сказать солдатам, что час назад началось долгожданное наступление дивизии. Ермаков идёт на эту ложь, чтобы до последнего сохранить в солдатах надежду. Орлов с группой бойцов отходит на фланг обороны, чтобы отразить атаку немецких танков на позицию батальона. Но танки всё же прорываются, и Орлов гибнет со всеми, кто был с ним. Тогда Ермаков решает выходить из окружения с оставшимися от всего батальона двумя десятками человек. К этому моменту Бульбанюк, понимая, что его батальон неизбежно погибнет, а его ранение смертельно, застрелился.
Тем временем командир батареи Кондратьев, устав ждать приказа, просит полковника Гуляева разрешить открыть огонь по старым координатам батальонов. Гуляев поначалу не разрешает: ведь если координаты изменились, то огонь батареи может накрыть своих. Но в то же время и он, и Кондратьев понимают, что дальнейшее промедление может стоить жизни последним оставшимся в живых бойцам батальонов. Кондратьев готов взять на себя всю ответственность за ошибку и открыть огонь без приказа, однако в последний момент Гуляев всё-таки отдаёт этот приказ. Батарея стреляет по старым координатам и помогает батальону Максимова у Белохатки. От батальона Бульбанюка остались лишь пятеро солдат и капитан Ермаков, который всё-таки выводит последних уцелевших к Днепру. Батарея Кондратьева, открыв огонь для поддержки батальонов, обнаружила себя перед противником и была уничтожена немецкой артиллерией, а сам Кондратьев получил ранение и был отправлен в госпиталь.
Сразу после возвращения в полк Ермаков является к полковнику Гуляеву, который уже не надеялся увидеть его живым, и требует доставить его к командиру дивизии Иверзеву. Приехав к комдиву, Ермаков в лицо ему говорит всё, что думает о нём, бросившем два батальона на смерть, и называет его «сухарём», которого больше не может «считать человеком и офицером». За оскорбление старшего по званию Ермакова арестовали, но под трибунал он всё же не попал. После успешного взятия Днепрова полковник Иверзев, который лично повёл людей в атаку, был ранен и на себе испытал, каково это командовать батальоном в бою, простил Ермакова и даже внёс его в список представленных к наградам, как и погибших Бульбанюка и Орлова. В конце концов Ермаков возвращается из-под ареста и на переправе встречает свою любимую женщину — медсестру Шуру из батареи Кондратьева. Молча, обнявшись, они идут по понтонному мосту через Днепр.</t>
        </is>
      </c>
      <c r="L7287" s="2" t="inlineStr">
        <is>
          <t>https://ru.wikipedia.org/w/index.php?title=%D0%91%D0%B0%D1%82%D0%B0%D0%BB%D1%8C%D0%BE%D0%BD%D1%8B_%D0%BF%D1%80%D0%BE%D1%81%D1%8F%D1%82_%D0%BE%D0%B3%D0%BD%D1%8F_%28%D1%84%D0%B8%D0%BB%D1%8C%D0%BC%29&amp;oldid=154691523</t>
        </is>
      </c>
      <c r="M7287" s="2">
        <f>HYPERLINK("https://ru.wikipedia.org/w/index.php?search=%D0%91%D0%B0%D1%82%D0%B0%D0%BB%D1%8C%D0%BE%D0%BD%D1%8B%20%D0%BF%D1%80%D0%BE%D1%81%D1%8F%D1%82%20%D0%BE%D0%B3%D0%BD%D1%8F%201985%20%D1%84%D0%B8%D0%BB%D1%8C%D0%BC","искать")</f>
        <v/>
      </c>
      <c r="N7287" s="3" t="n"/>
      <c r="O7287" s="2" t="n"/>
      <c r="P7287" s="2" t="n"/>
    </row>
    <row r="7288">
      <c r="A7288" s="2" t="n">
        <v>7287</v>
      </c>
      <c r="B7288" s="2" t="inlineStr"/>
      <c r="C7288" s="2" t="n">
        <v>7964</v>
      </c>
      <c r="D7288" s="3" t="inlineStr">
        <is>
          <t>Не покидай...</t>
        </is>
      </c>
      <c r="E7288" s="2" t="n">
        <v>1989</v>
      </c>
      <c r="F7288" s="2" t="inlineStr">
        <is>
          <t>телефильм</t>
        </is>
      </c>
      <c r="G7288" s="2" t="n"/>
      <c r="H7288" s="2" t="n">
        <v>5478</v>
      </c>
      <c r="I7288" s="2" t="inlineStr"/>
      <c r="J7288" s="2" t="inlineStr"/>
      <c r="K7288" s="3" t="inlineStr">
        <is>
          <t>Действие происходит в сказочном королевстве Абидония. 16 лет назад правившие там король Анри Второй и королева Эмма погибли при загадочных обстоятельствах, и с тех пор на троне сидит король Теодор — бывший кавалерийский полковник, большой знаток и любитель лошадей. На престол он взошёл благодаря женитьбе на сестре покойной королевы — Флоре. Фактически же страной правят канцлер граф Давиль и его жена Оттилия — ещё одна сестра покойной королевы. Их стараниями в стране подавляется всякое инакомыслие.
Дочь королевской четы принцесса Альбина мечтает выйти замуж за иностранного принца и вырваться наконец из однообразной дворцовой жизни, где единственной её компанией является немой поэт Патрик — воспитанник королевы, потерявший родителей в детстве. Он влюблён в Альбину и не скрывает этого, но девушка не воспринимает его всерьёз из-за неблагородного происхождения и немоты. В Патрика, в свою очередь, беззаветно влюблена служанка Марселла, но тот слишком занят своими чувствами к Альбине.
В Абидонию с визитом на высшем уровне направляется Пенапью, наследный принц соседнего королевства Пенагония. Всем очевидно, что целью визита будет сватовство. Но принца преследуют неудачи: по пути в Абидонию его кортеж попадает в разбойничью засаду, охранники сдаются или разбегаются, а принц чуть было не гибнет. Его спасают странствующие артисты Жак и Марта. Отец Жака, Жан-Жак Веснушка — друг покойного короля Абидонии, Анри Второго — при Теодоре был сослан на остров Берцовой Кости, где и умер. Перед ссылкой Жан-Жак успел закопать свой театральный реквизит, и теперь Жак и Марта откопали сундук с куклами Веснушки, а на обратном пути наткнулись на висящего над пропастью Пенапью.
Пенапью уговаривает спасителей отвезти его ко двору абидонского короля, обещая попросить у того для артистов разрешение выступать в королевстве. После приезда в столицу компания почти сразу оказывается в руках королевской полиции. Принцу Пенапью удаётся попасть на допрос к королю, которому принц рассказывает об украденном разбойниками жеребце Милорде (его везли, чтобы подарить Теодору, если сватовство удастся). Король, страстный любитель лошадей, признаёт Пенапью и принимает его при дворе.
Однако на глаза королю попадается сундук из повозки артистов. Узнав знакомых кукол (одна из которых изображает самого короля, а другая — канцлера), король распоряжается посадить артистов в подземелье, а реквизит поручает Марселле с тем, чтобы она сожгла содержимое сундука Веснушки. Но ни у Марселлы, ни у Патрика, заставшего её и решившего помочь, не поднимается рука сжечь кукол. Они переносят сундук в комнату Патрика и находят в нём засохшую голубую розу. По легенде, аромат этой розы заставляет любого вдохнувшего его говорить правду. Марселла ставит цветок в вазу с водой, в надежде, что роза оживёт.
Тем временем во дворце начинается обед в честь гостя из Пенагонии. Королевская семья слегка удивлена наивностью и простодушием заморского принца, но гость всё же им нравится. Однако в тот вечер во дворце начинают происходить странные вещи. Все его обитатели вдруг становятся удивительно откровенны друг с другом. Король признаётся, что его гвардейцы отбили у разбойников Милорда и тайно привезли в королевские конюшни. Затем скромная Марселла дерзит Альбине, изводящей Патрика. Наконец, сам Патрик неожиданно излечивается от немоты… Вскоре выясняется, что виной всему — голубая роза, которая снова цветёт и дарит свой волшебный аромат.
Полковник Удилак является к королю с неслыханной просьбой: выпустить из тюрьмы артистов, чтобы те повеселили гуляющих в честь обретения Милорда гвардейцев. Так Пенапью узнаёт, что его друзья не уехали на гастроли в соседнее королевство, а заперты по приказу короля.
Тем временем Теодор и Оттилия, под воздействием аромата розы, рассказывают королеве Флоре и Альбине, что 16 лет назад король Анри и королева Эмма были убиты в результате заговора Теодора, канцлера и Оттилии. Единственным спасшимся членом семьи был Патрик — законный наследник престола, потерявший голос и память в тот день, когда стал свидетелем убийства родителей. Флоре позволили воспитывать мальчика лишь при условии, что его права на престол будут тайной для всех. Альбина обвиняет канцлера и его сообщников в том, что они «отняли их с Патриком друг у друга», жалея о том, что из-за своей гордости отвергала любовь настоящего принца, красавца и поэта.
Канцлер хочет удержать уходящую Альбину, но его останавливает король Теодор. Вдохнув волшебного аромата, он признаётся, что не хочет ни власти, ни почестей, жалеет, что потерял семью, и мечтает о простой жизни. Патрик, Пенапью и Марселла, объединившись с Удилаком и гвардейцами, освобождают из заточения Жака и Марту, а затем отправляются в город, где царит необычайное веселье, где люди впервые за многие годы не боятся друг друга и властей.
Вдоволь нагулявшись, вся компания, наконец, возвращается во дворец.
Канцлер узнаёт, в чём причина откровения, которое напало на всех во дворце, — Марселла рассказывает ему о розе (сам он не поддался чарам цветка из-за насморка). В последней попытке вернуть всё назад канцлер стреляет в цветок, но попадает в Марселлу. Понимая, что игра проиграна, он кончает с собой.
Всем ясно, что Марселла смертельно ранена. К тому же для неё не находят доктора. Патрик поёт ей песню о надежде, и все присутствующие слушают её со слезами на глазах. Вдруг на лице Пенапью выражается изумление: роза на груди у Марселлы постепенно из голубой превращается в красную. Возможно, это намёк, что Марселла осталась жива.</t>
        </is>
      </c>
      <c r="L7288" s="2" t="inlineStr">
        <is>
          <t>https://ru.wikipedia.org/w/index.php?title=%D0%9D%D0%B5_%D0%BF%D0%BE%D0%BA%D0%B8%D0%B4%D0%B0%D0%B9%E2%80%A6&amp;oldid=154671195</t>
        </is>
      </c>
      <c r="M7288" s="2">
        <f>HYPERLINK("https://ru.wikipedia.org/w/index.php?search=%D0%9D%D0%B5%20%D0%BF%D0%BE%D0%BA%D0%B8%D0%B4%D0%B0%D0%B9...%201989%20%D1%84%D0%B8%D0%BB%D1%8C%D0%BC","искать")</f>
        <v/>
      </c>
      <c r="N7288" s="3" t="n"/>
      <c r="O7288" s="2" t="n"/>
      <c r="P7288" s="2" t="n"/>
    </row>
    <row r="7289">
      <c r="A7289" s="2" t="n">
        <v>7288</v>
      </c>
      <c r="B7289" s="2" t="inlineStr"/>
      <c r="C7289" s="2" t="n">
        <v>8654</v>
      </c>
      <c r="D7289" s="3" t="inlineStr">
        <is>
          <t>Взбесившийся автобус</t>
        </is>
      </c>
      <c r="E7289" s="2" t="n">
        <v>1990</v>
      </c>
      <c r="F7289" s="2" t="inlineStr">
        <is>
          <t>кинофильм</t>
        </is>
      </c>
      <c r="G7289" s="2" t="inlineStr">
        <is>
          <t>Киностудия им. М. Горького; Экспериментальное творческое объединение «Ладья»; КТК «Бенефис»</t>
        </is>
      </c>
      <c r="H7289" s="2" t="n">
        <v>5571</v>
      </c>
      <c r="I7289" s="2" t="inlineStr"/>
      <c r="J7289" s="2" t="inlineStr"/>
      <c r="K7289" s="3" t="inlineStr">
        <is>
          <t>Орджоникидзе, 1988 год. Павел Мелкоянц (Игорь Бочкин) и Джафар угоняют пассажирский автобус с городского автовокзала. В последний момент Джафар отказывается ехать вместе с Павлом и выходит из автобуса. Павел забирает своих сообщников Седого (Сергей Максачёв), Жилу (Амаяк Акопян) и Молчуна (Каха Дзадзамия), затем супругу Тамару (Анна Самохина), которая не в курсе преступных планов мужа. Они подъезжают к городской типографии, где на экскурсии находится группа детей с учительницей. Вышедших из типографии ребят приглашают в автобус, якобы для того, чтобы доставить в школу.
Тем временем милиция сообщает по служебной связи об угоне автобуса (о захвате детей пока никто не подозревает). Угнанный автобус замечен местными сотрудниками КГБ, услышавшими по радиостанции своего служебного автомобиля сообщение УВД. Полковник госбезопасности Орлов (Ивар Калныньш) решает «помочь родственной организации».
Автобус выезжает на площадь перед зданием местного исполкома. Преступники замечают следующую за ними «Волгу» и Мелкоянц обстреливает её, водитель ранен осколками стекла.
Милиция, внутренние войска оперативно оцепляют площадь. Подъезжают пожарные машины и «скорая помощь». По требованию террористов они получают рацию для разговора с «представителем власти» — полковником Орловым. Тамара, не желающая участвовать в террористическом акте, выходит из автобуса и передаёт Орлову ультиматум бандитов, сообщает о количестве террористов, захваченных детей и о том, что в автобусе находятся оружие, канистры с бензином и взрывчатка. В случае стрельбы автобус может взорваться вместе с заложниками.
Террористы выдвигают свои требования: два миллиона долларов, миллион рублей золотом и полёт на самолёте в государство без дипломатических отношений с СССР. Автобус должен въехать в самолёт. Власти СССР согласовывают детали. Согласие получено; но самолёт, который может забрать такой автобус, может взлететь только с аэродрома в Минеральных Водах, куда и приходится ехать почти 6 часов колонной из автомобилей ГАИ (в одном из них — полковник Орлов и Тамара), подразделения внутренних войск, пожарных и «скорой помощи». За колонной устремляются автомобили с родителями и многочисленными родственниками заложников.
По пути преступники решают забрать с собой сидящего в тюрьме сообщника Виктора (Александр Вдовин) и отпускают взамен Эвелину, одну из малолетних заложниц; однако заключённый, которому осталось лишь несколько месяцев до освобождения и который не в восторге от плана своих дружков, наотрез отказывается ехать с террористами.
По дороге преступники решают лететь в Пакистан, который поддерживает афганских моджахедов и не выдаёт военнопленных. Они не знают, что у Пакистана есть соглашение с СССР о выдаче преступников. МИД связывается с послом в Пакистане, но Жила отказывается от этой идеи («Прокрутят динамо, посадят в Кабуле и пришьют как духов»). Как вариант рассматривают ЮАР, однако Седой сразу отклоняет его из-за расовых предрассудков. Молчун предлагает Чили, но от этого варианта отказывается сам главарь из-за проходящих демонстраций против режима Пиночета, опасаясь, что его могут свергнуть. Наконец выбирают Израиль, с которым у СССР нет официальных отношений. МИД предлагает бандитам Финляндию, но Мелкоянц отвечает категорическим отказом и настаивает на Израиле.
Тем временем полковник Орлов получает сообщение о «хвосте» из машин с родителями и другими родственниками заложников. Он отдаёт приказ остановить машины, но разъярённые родственники сталкивают машину ГАИ в пропасть, в результате чего она взрывается. Тогда Орлов приказывает внутренним войскам перекрыть дорогу, успокоить родителей и объяснить им всю ситуацию.
Колонна с автобусом въезжает на лётное поле аэропорта Минеральные Воды. Им предоставлен тяжёлый транспортный самолёт Ил-76.
Автобус загоняют в грузовой отсек Ил-76ТД, доставлены требуемые бандитами автоматы Калашникова, бронежилеты, наручники, мешки с деньгами. Дети обменены на экипаж — теперь лётчики, пристёгнутые наручниками к штурвалам в кабине, и полковник Орлов — их заложники. Учительница (Анна Тихонова) не успевает выйти со своим классом, её задерживает Седой (чего в реальности не было) и пытается изнасиловать. Орлов мешает ему, преступники избивают его, надевают наручники и подвешивают руки к лебёдке.
Самолёт летит в Израиль. Террористы решают отпраздновать это событие, пригласив Тамару и учительницу, выпить и потанцевать. Один из преступников с автоматом находится в кабине возле экипажа. Учительницу затаскивают в салон автобуса, где пытаются изнасиловать. Тамара освобождает Орлова, и тот вступает в драку с бандитами, в итоге отстояв честь женщины.
Самолёт приземляется в аэропорту Тель-Авива. Переводчик провожает преступников через оцепление и журналистов к автомобилю, где они изъявляют желание «ехать в лучший отель Тель-Авива, обязательно с пятью звёздами, фонтаном и садом». Вместо этого преступники доставлены в тюрьму. Местные власти принимают решение передать террористов в СССР, но при условии, что никто из преступников не будет казнен. По запросу дипломатов прилетает Ту-134 с сотрудниками спецслужб. Перед выездом из тюрьмы Мелкоянц изъявляет желание «перекреститься в евреев», надеясь так отменить выдачу себя в СССР, но полицейские, на самом деле не испытывая ни капли жалости к тем, кто похитил детей и угнал самолёт, заталкивают преступников в полицейский «Transit» и отвозят в аэропорт, где передают сотрудникам госбезопасности.
Вся компания вновь оказывается в том же Ил-76, но уже под конвоем. Самолёт летит обратно в СССР и совершает посадку в Москве, где преступников увозят на «Волгах» КГБ.</t>
        </is>
      </c>
      <c r="L7289" s="2" t="inlineStr">
        <is>
          <t>https://ru.wikipedia.org/w/index.php?title=%D0%92%D0%B7%D0%B1%D0%B5%D1%81%D0%B8%D0%B2%D1%88%D0%B8%D0%B9%D1%81%D1%8F_%D0%B0%D0%B2%D1%82%D0%BE%D0%B1%D1%83%D1%81&amp;oldid=152740197</t>
        </is>
      </c>
      <c r="M7289" s="2">
        <f>HYPERLINK("https://ru.wikipedia.org/w/index.php?search=%D0%92%D0%B7%D0%B1%D0%B5%D1%81%D0%B8%D0%B2%D1%88%D0%B8%D0%B9%D1%81%D1%8F%20%D0%B0%D0%B2%D1%82%D0%BE%D0%B1%D1%83%D1%81%201990%20%D1%84%D0%B8%D0%BB%D1%8C%D0%BC","искать")</f>
        <v/>
      </c>
      <c r="N7289" s="3" t="n"/>
      <c r="O7289" s="2" t="n"/>
      <c r="P7289" s="2" t="n"/>
    </row>
    <row r="7290">
      <c r="A7290" s="2" t="n">
        <v>7289</v>
      </c>
      <c r="B7290" s="2" t="inlineStr"/>
      <c r="C7290" s="2" t="n">
        <v>7878</v>
      </c>
      <c r="D7290" s="3" t="inlineStr">
        <is>
          <t>Мираж</t>
        </is>
      </c>
      <c r="E7290" s="2" t="n">
        <v>1983</v>
      </c>
      <c r="F7290" s="2" t="inlineStr">
        <is>
          <t>телефильм</t>
        </is>
      </c>
      <c r="G7290" s="2" t="n"/>
      <c r="H7290" s="2" t="n">
        <v>5583</v>
      </c>
      <c r="I7290" s="2" t="inlineStr"/>
      <c r="J7290" s="2" t="inlineStr"/>
      <c r="K7290" s="3" t="inlineStr">
        <is>
          <t>У девушки Джинни Гордон отец кончает с собой. Задолго до смерти он застраховал свою жизнь, но по закону наследники самоубийц по такому договору ничего не получают.
В отчаянии, в поисках денег, Джинни решает ограбить инкассаторский автомобиль с тремя миллионами долларов в сейфе. Она выходит на профессионального преступника Фрэнка Моргана, недавно вышедшего из тюрьмы. Он соглашается стать реализатором плана и руководителем. Фрэнк находит помощников: своего давнего друга Эдварда «Эдда» Блэка — бывшего солдата, воевавшего во Вьетнаме, который соглашается помочь в качестве стрелка и пилота; своего друга Джузеппе «Джипо» Мандини, автомеханика-итальянца, которого запугала мафия, — помочь со вскрытием сейфа; бывшего боксёра и инкассатора Эла Китсона быть в качестве водителя.
Все четверо собираются у Джипо в гараже, и Фрэнк посвящает их в план. Эдд и Фрэнк — за, Китсон и Джипо — против. Приходит Джинни, и, влюбившись в неё, Эл соглашается, а Джипо надеется на чудо. В качестве прикрытия решают использовать специальным образом подготовленный трейлер, в который они спрячут броневик, а Китсон и Джинни буду играть роль молодожёнов, отправившихся в свадебное путешествие. Чтобы приобрести трейлер, требуется не менее 5000 долларов; Джинни, Фрэнк, Эдд и Китсон грабят ночное кафе в соседнем городке. Спустя две недели команда заканчивает подготовку. Наконец, начинается момент истины: Джинни в образе роскошной красотки на спортивном автомобиле должна обогнать броневик и привлечь внимание инкассаторов, затем при помощи Фрэнка и Эдда нужно сымитировать аварию, а Джипо с Китсоном перекроют дорогу, чтобы никто не помешал инкассаторам оказаться на «месте аварии» и увидеть горящую машину и лежащую на дороге красавицу в луже крови — это, по логике преступников, должно сподвигнуть инкассаторов, вопреки должностным инструкциям, остановиться и открыть дверь броневика. Сначала всё идёт по плану — инкассаторы останавливают машину и один из них выходит, чтобы оказать помощь пострадавшей… Но, внезапно, подорванное во Вьетнаме здоровье Блэка даёт о себе знать: страдающий неконтролируемыми приступами кашля ветеран делает поспешный и неточный выстрел из винтовки, который не убивает, а только ранит водителя броневика, успевшего нажать кнопку экстренной блокировки сейфа. В перестрелке Фрэнк убивает вышедшего из машины охранника, но и сам получает ранение в плечо. Тем не менее, далее грабители действуют по плану: броневик с забаррикадировавшимся внутри водителем они загоняют в трейлер и едут в автокемпинг. По дороге Джипо, Фрэнк и Блэк обнаруживают в броневике включённый радиомаяк. Однако Джипо блокирует его, отключив от автомобильного аккумулятора броневика. При попытке открыть дверь кабины с водительской стороны, раненый водитель, притворившийся мёртвым, убивает Фрэнка, хотя и сам погибает от ответной пули.
В кемпинге Китсон и Блэк хоронят убитых Фрэнка и охранника. Тем временем, полиция арестовывает друга убитого преступниками водителя бронемашины Томпсона — Джона Стоукера, который уже два года находится без работы, участвует в демонстрациях и собирает средства для жертв сальвадорской хунты. Полиция уверена, что Стоукер и Томпсон — члены банды. В свою очередь, штаб округа объявил о вознаграждении в размере 15 000 долларов тому, кто поможет найти броневик. За три дня, в течение которых преступники жили в кемпинге и пытались открыть сейф, сын одного из постояльцев всячески исследует трейлер снаружи, после чего приходит к выводу, что в нём находится бронемашина, и сообщает об этом отцу, но тот ему не верит. Желая получить вознаграждение, подросток пишет письмо в полицию. Через какое-то время СМИ сообщают, что Стоукер, находясь под арестом, совершает самоубийство. Герои же решают бежать в горы. В это время в кемпинг к Фредди Брэдфорду-младшему (мальчику, отославшему письмо в полицию) приезжают шериф Купер и офицер Делони. Мальчик рассказывает о своих подозрениях и полиция приступает к поиску трейлера. В горах Джипо решает сбежать, но Китсон и Блэк бросаются за ним в погоню. Сев на камень, Джипо оказывается рядом с ядовитой змеёй, от укуса которой погибает.
Вернувшись к трейлеру, Блэк собирается вскрыть сейф автогеном. Китсон, решивший выйти из дела и уехать вместе с Джинни, вступает с ним в драку. Внезапно появляется вертолёт, с которого докладывают о местонахождении трейлера полиции и военным. Преступники решают пересечь мексиканскую границу за горами. Во время перестрелки с полицией погибает Блэк: ветеран Вьетнама даёт свой последний бой, в котором обречён на поражение. Эл и Джинни с трудом взбираются на вершину скалы. Там Джинни раскаивается в содеянном и просит прощения у всех, кому она причинила боль и смерть. Двое решают не сдаваться полиции. Взявшись за руки, они прыгают вниз с обрыва…
В новостях сообщают о том, как была ликвидирована группа преступников, похитивших броневик. Джон Стоукер якобы являлся предводителем банды и позже он покончил с собой в камере. В кемпинге банда избавилась от двух якобы нежелательных свидетелей — водителя Томпсона, которого также представляют членом банды, и профессионального преступника Франклина Моргана, решившего выдать их полиции. После расправы банда отправилась в горы, чтобы перейти границу, где была обнаружена капитаном службы безопасности Делани и шерифом Купером. В горах участники банды якобы избавились от второго свидетеля Джузеппе Мандини. Оставшиеся члены банды — Эдвард Блэк, Александр Китсон и единственная женщина в банде Джинни Гордон — бросили сейф, пытались бежать, но были обезврежены. Нашедшие бронемашину шериф с комиссаром получили награду от штаба военного округа.</t>
        </is>
      </c>
      <c r="L7290" s="2" t="inlineStr">
        <is>
          <t>https://ru.wikipedia.org/w/index.php?title=%D0%9C%D0%B8%D1%80%D0%B0%D0%B6_%28%D1%84%D0%B8%D0%BB%D1%8C%D0%BC%2C_1983%29&amp;oldid=155587373</t>
        </is>
      </c>
      <c r="M7290" s="2">
        <f>HYPERLINK("https://ru.wikipedia.org/w/index.php?search=%D0%9C%D0%B8%D1%80%D0%B0%D0%B6%201983%20%D1%84%D0%B8%D0%BB%D1%8C%D0%BC","искать")</f>
        <v/>
      </c>
      <c r="N7290" s="3" t="n"/>
      <c r="O7290" s="2" t="n"/>
      <c r="P7290" s="2" t="n"/>
    </row>
    <row r="7291">
      <c r="A7291" s="2" t="n">
        <v>7290</v>
      </c>
      <c r="B7291" s="2" t="inlineStr"/>
      <c r="C7291" s="2" t="n">
        <v>9778</v>
      </c>
      <c r="D7291" s="3" t="inlineStr">
        <is>
          <t>Эсперанса</t>
        </is>
      </c>
      <c r="E7291" s="2" t="n">
        <v>1988</v>
      </c>
      <c r="F7291" s="2" t="inlineStr">
        <is>
          <t>кинофильм</t>
        </is>
      </c>
      <c r="G7291" s="2" t="n"/>
      <c r="H7291" s="2" t="n">
        <v>6277</v>
      </c>
      <c r="I7291" s="2" t="inlineStr"/>
      <c r="J7291" s="2" t="inlineStr"/>
      <c r="K7291" s="3" t="inlineStr">
        <is>
          <t>1918 год. Октябрьская революция вносит разлад в семью дворян Ольховских. Глава семьи — врач Алексей Ольховский — сочувствует большевикам, его дочь Тамара — комиссар в Красной Армии, брат Анатоль — эсер, с приходом белых в родной город Александров становится штабс-капитаном Добровольческой армии, и сдаёт своего брата Алексея белой контрразведке. Младший сын Алексея Владимир, пытается освободить своего отца с помощью угроз — он направляет пистолет на своего дядю и требует немедленно отпустить заложника. Анатоль оказывает сопротивление, получает ранение в плечо и теряет сознание. Жеманный восемнадцатилетний юноша, только что закончивший гимназию, думает, что убил своего дядю и пытается спастить бегством вместе со своим сообщником Николаем. В тот же день они были арестованы. После скорого прихода красных в город, Николай и Владимир со своим отцом оказываются на свободе, после чего Николай вступает добровольцем в Красную Армию. Отец и сын пытаются найти приют в Киеве, где живёт сестра Алексея, но она оказывается поборницей белого дела, и ждёт в скором времени в гости другого своего брата — Анатоля, после чего отец с сыном вынуждены её срочно покинуть. Скитаясь по степям Украины, Владимир заболевает тифом, но чудом им удаётся найти госпиталь Красного Креста. В нём нет ни одного врача, только медсёстры и один фельдшер (да и тот ветеринар), поэтому Алексей тут же приступает к работе. О больном Владимире заботится сестра Аннушка, он влюбляется в неё, но вскоре узнаёт, что она обручена с Николаем, бойцом Красной Армии и его старым другом. В ночи госпиталь подвергается нападению зелёных, они убивают раненных, вместе с ними в атаке участвует Анатоль, Николай получает ранение, зелёные берут в заложники Аннушку и Николая, устраивают им опереточную свадьбу, после чего в пьяном угаре катаются по степи на повозках. В этот момент они нарываются на отряд Красной Армии, завязывается бой, в котором зелёные убивают Аннушку и Николая.
1919 год. На корабле Алексей со своим младшим сыном Владимиром покидает Россию, и скоропостижно умирает, так и не добравшись до берега — его погребли в море. Волею судеб Владимир оказывается в Мексике. На корабле он познакомился с офицером Добровольческой армии Михаилом (Мишелем) Андреевым. Человек тонкой душевной организации, знаток поэзии, в особенности Лермонтова, ему стыдно за участие в братоубийственной войне. Они прибывают в порт Веракрус в день рождения Владимира 16 сентября — День независимости Мексики. Случайным образом они знакомятся на улице со Степаном Борщёвым — отставным солдатом, который участвовал в географической экспедиции, которая потерпела крушение у берегов Аргентины в 1917 году. Степану понадобилось два года, чтобы добраться до Мексики, где он должен был встретиться с профессор Корзухиным в Мехико. Втроём — Степан, Мишель и Владимир — начают свой пеший путь в сторону Мехико. В стране продолжается революция, и сапатисты принимают их за американцев. Только поддержка со стороны местных жителей спасает их от расстрела. В итоге им удалось добраться до Мехико, где профессор находит им работу — они становятся шахтёрами.
1921 год. Мишель устал от тяжёлой жизни. Он совершает самоубийство, застрелившись из пистолета. Степан и Владимир хоронят его. Владимир уже неплохо знает испанский, и поступает в университет на кафедру геофизики, Степан так же покидает работу, теперь его путь лежит в Канаду. Несколько лет спустя профессор Корзухин умирает на руках Владимира в мексиканском синематографе, где тот подрабатывал тапёром, будучи талантливым пианистом. В конце концов Владимир защищает докторскую диссертацию, получает мексиканское гражданство и находит работу в очень престижной иностранной фирме по добыче нефти. В его задачу входит поиск нефтяных месторождений, с чем он блестяще справляется. В то же время он находит свою любовь – Каталину, наполовину мексиканку, наполовину ирландку, с которой вместе живёт до самой старости. По дороге из Табаско в Мехико, Владимир заболел лихорадкой, и был оставлен пожить в доме у местного врача. Каталина — дочь доктора, ухаживала за Владимиром до самого выздоровления.
На месте геологических разработок были обнаружены каменные статуи ольмеков. Местные жители отказываются дальше производить взрывные работы, управляющий компании, жадный американец, с помощью военных и Владимира пытается заставить их, но Владимир встаёт на сторону рабочих, понимая, что эти камни священны для них, и представляют собой не меньшую ценность для Мексики, чем нефть, а то и большую.
В 1938 году президент Карденас приветствует Владимира и других геологов во дворце. Только что произошла национализация нефтяной промышленности, которая должна обогатить весь мексиканский народ, и к становлению которой Владимир приложил немало усилий. Ольховский получает приглашения Льва Давидовича Троцкого к себе домой. На столе у него лежит Майн кампф, сам Троцкий изображён очень нервным. Он восхваляет Ленина, недоумевает, почему Сикейрос покушался на него, хотя художники обычно так далеки от политики, с тоской вспоминает время, когда на поезде исколесил все фронты, проклинает сталинские репрессии, после чего уходит и устраивает жене истерику, нормального диалога между ним и Ольховским не состоялось. Седова благодарит Ольховского за визит, и объясняет приглашение тем, что Троцкий ненавидит белую эмиграцию, а встречаться с официальными представителями СССР не имеет никакой возможности, и поэтому испытывает огромную тоску по общению с русскими, которых в его окружении нет. Она желает ему счастья, и с завистью говорит, что тому удастся пережить Сталина, а им уже нет.
В годы Великой Отечественной войны Ольховский оказывал финансовую поддержку Красной Армии, за что в послевоенного время Посол СССР в Мексике вручает ему Почётную грамоту Верховного Совета РСФСР.
В финальной сцене Ольховский изображён очень пожилым больным человеком, прикованным к постели. У него большая семья — жена, дети, внуки, они празднуют его день рождения (и по совместительству День независимости). К нему в комнату заглядывает маленькая внучка, но он не в силах что-либо сказать ей. У него видение — образ Степана Борщёва зовёт его в дальний путь, даря ему сапоги. Владимир засыпает, он видит себя гимназистом, играющим на пианино дома в Александрове в кругу семьи, после чего мирно уходит из жизни.</t>
        </is>
      </c>
      <c r="L7291" s="2" t="inlineStr">
        <is>
          <t>https://ru.wikipedia.org/w/index.php?title=%D0%AD%D1%81%D0%BF%D0%B5%D1%80%D0%B0%D0%BD%D1%81%D0%B0_%28%D1%84%D0%B8%D0%BB%D1%8C%D0%BC%29&amp;oldid=149829031</t>
        </is>
      </c>
      <c r="M7291" s="2">
        <f>HYPERLINK("https://ru.wikipedia.org/w/index.php?search=%D0%AD%D1%81%D0%BF%D0%B5%D1%80%D0%B0%D0%BD%D1%81%D0%B0%201988%20%D1%84%D0%B8%D0%BB%D1%8C%D0%BC","искать")</f>
        <v/>
      </c>
      <c r="N7291" s="3" t="n"/>
      <c r="O7291" s="2" t="n"/>
      <c r="P7291" s="2" t="n"/>
    </row>
    <row r="7292">
      <c r="A7292" s="2" t="n">
        <v>7291</v>
      </c>
      <c r="B7292" s="2" t="inlineStr"/>
      <c r="C7292" s="2" t="n">
        <v>7251</v>
      </c>
      <c r="D7292" s="3" t="inlineStr">
        <is>
          <t>Берегите женщин</t>
        </is>
      </c>
      <c r="E7292" s="2" t="n">
        <v>1981</v>
      </c>
      <c r="F7292" s="2" t="inlineStr">
        <is>
          <t>телефильм</t>
        </is>
      </c>
      <c r="G7292" s="2" t="inlineStr">
        <is>
          <t>Одесская к/с</t>
        </is>
      </c>
      <c r="H7292" s="2" t="n">
        <v>6362</v>
      </c>
      <c r="I7292" s="2" t="inlineStr"/>
      <c r="J7292" s="2" t="inlineStr"/>
      <c r="K7292" s="3" t="inlineStr">
        <is>
          <t>Молодого журналиста-практиканта Евгения Ма́словского командируют в морской порт, чтобы он освоил на практике свою профессию и написал репортаж о работе на судах. По предложению заместителя начальника порта по кадрам Айвазова его «внедряют» в экипаж буксира «Циклон» коком.
Неожиданно оказывается, что весь экипаж судна состоит из девушек. Капитан отсутствует, и молодому человеку предлагают зайти позднее. Сидя на берегу, Женя задумчиво наигрывает на гитаре морские песни и тем самым обращает на себя внимание проходящего мимо комсомольского активиста Назара Остапенко. При этом сам Остапенко совершенно лишён способностей к музыке, поэтому его дуэт с Женей разваливается, не успев сложиться.
Вернувшись на буксир, Женя наконец встречается с капитаном — симпатичной блондинкой Любой и приступает к службе на «Циклоне» — довольно-таки обшарпанном и потрёпанном судне. Дело в том, что девушки хотят доказать родителям свою самостоятельность и готовность к службе в гражданском флоте. Родители, напротив, пытаются показать дочерям, что это не женское дело, и специально устраивают им назначение на старый буксир, выработавший свой ресурс. По мнению родителей, грязная и неинтересная работа очень скоро наскучит их дочерям, и в результате они сами откажутся от продолжения морской карьеры. А чтобы ещё больше отравить жизнь экипажа, заведующий портовым складом дядя Вова (по совместительству ещё и отец одной из членов экипажа) умышленно поставляет на «Циклон» только макароны.
Девичий экипаж «Циклона» принимает «в штыки» появление на судне мужчины, воспринимая его как лазутчика, о чём свидетельствуют записи в дневнике свежеиспечённого кока. К тому же Женя совершенно не умеет готовить. Перед приготовлением макарон он их старательно моет, а поняв, что намыл слишком много — раскладывает на палубе буксира сушиться. Однообразное и невкусное питание окончательно портит отношения экипажа с коком, очень скоро девушки объявляют ему бойкот и перестают с ним разговаривать.
Тем временем культурно-массовые мероприятия в порту идут полным ходом. Вскоре после того, как Женя оформился на «Циклон», происходит торжественное открытие молодёжного клуба. Ключевую позицию в программах клуба занимает самодеятельный ансамбль «Девятый вал», который организовали 4 молодых специалиста судоремонтного завода: слесарь-сборщик 5-го разряда Вадим Рябоконь (руководитель) и инженеры Костик Опрятин, Сергей Варновский и Слава Блиничкин. Но сразу после открытия клуба Остапенко направляет Блиничкина на курсы повышения квалификации. Из-за этого под угрозой срыва выступление коллектива на важном концерте. Случайно познакомившись с Женей, музыканты немедленно убеждаются в его способностях к исполнению и предлагают ему присоединиться к ним. Ввиду того, что Женя не справляется со своими должностными обязанностями и даже не может толком разжечь камбузную плиту (при этом едва не взорвав буксир), Люба как непосредственный начальник Жени строго запрещает подобную деятельность. В результате Остапенко, выйдя на сцену вместо отсутствующего Блиничкина, полностью заваливает выступление ансамбля.
Музыканты снова вынуждены просить, чтобы Женю отпускали с работы пораньше для проведения репетиций. Капитан отвечает гордым отказом, тем более что на буксир поступило очередное задание из порта. Но в тот самый момент на «Циклоне» не запускается двигатель, отказывает переговорное устройство, а вдобавок возникают кое-какие мелкие неполадки. Поскольку молодые люди — передовики науки и производства, они организуют на месте необходимый ремонт, чем немедленно завоёвывают симпатии рядовых членов экипажа.
Постепенно Женя вливается в коллектив ансамбля, чему также способствует следующее событие. Дядя Вова, доставив на «Циклон» очередную порцию макарон, просит «студента» помочь с доставкой продовольствия на близстоящие суда. Быстро сообразив, Женя сплавляет макароны соседям и получает в своё распоряжение предназначавшийся им разнообразный набор продуктов. Когда дядя Вова понимает, что произошло, уже поздно.
Побывав на одном из выступлений «Девятого вала», все девушки (кроме капитана) постепенно влюбляются в музыкантов, и молодые люди начинают приходить на «Циклон». Но Люба не позволяет проводить на «Циклоне» репетиции ансамбля, тем более что Женю ждёт очередной конфуз. Дядя Вова не забыл, как «студент» обошёл его на повороте, и подготовил достойный ответ. За разговорами он подсовывает Жене острый кайенский перец, рекомендуя эту нехитрую пряность как редкий и ценный ингредиент. Ничего не подозревающий кок приправляет перцем пшённую кашу и подаёт её в кают-компанию. Разглагольствуя на тему приготовления каши, Женя съедает большую ложку своего блюда и замолкает на полуслове. Дядя Вова отомщён.
На очередном заседании комитета комсомола участники «Девятого вала» выносят заключение, что служба на судне, пребывающем в подобном состоянии, совершенно немыслима, тем более для девушек, и представляют его главному инженеру судоремонтного завода. Главный инженер не хочет заниматься проектом восстановления выработавшего ресурс судна, и молодым людям приходится изыскивать другие пути.
На «Циклоне» же все готовятся к дню рождения капитана, но в самый торжественный момент праздник срывается из-за статьи в местной газете, которую по поручению друзей написал Женя с целью организации ремонта буксира (девушкам обещали новый). Более того, Люба сообщает Жене о том, что его практика на буксире окончена.
Благодаря случайному столкновению на улице с автомобилем, за рулём которого — женщина, Костик подвозит её в порт и вместе с ней попадает в кабинет начальника портофлота, которым она и является. Вскоре к Костику присоединяются Вадим и Сергей, и вместе они добиваются решения на восстановление «Циклона». Поскольку капитальный ремонт буксира — это сюрприз, девушкам ничего не сообщается, и в их стане царит уныние. Одетые в гражданское, они чуть не плача уходят с буксира…
И вот отутюженный «Циклон» покачивается на волнах. В процессе ремонта и непосредственной подготовки буксира к плаванию все молодые люди так или иначе вступают в конфликт с отцами своих возлюбленных, после чего все знакомятся. Женя фотографирует всех на память, а потом сообщает Любе, что его переводят на другое судно. По глазам Любы понятно, что она сожалеет об этом, но режиссёр фильма оставляет зрителю самому дорисовать сюжет этой истории. Под финальную песню Юрия Антонова «Жизнь» буксир уходит в море.</t>
        </is>
      </c>
      <c r="L7292" s="2" t="inlineStr">
        <is>
          <t>https://ru.wikipedia.org/w/index.php?title=%D0%91%D0%B5%D1%80%D0%B5%D0%B3%D0%B8%D1%82%D0%B5_%D0%B6%D0%B5%D0%BD%D1%89%D0%B8%D0%BD&amp;oldid=152202855</t>
        </is>
      </c>
      <c r="M7292" s="2">
        <f>HYPERLINK("https://ru.wikipedia.org/w/index.php?search=%D0%91%D0%B5%D1%80%D0%B5%D0%B3%D0%B8%D1%82%D0%B5%20%D0%B6%D0%B5%D0%BD%D1%89%D0%B8%D0%BD%201981%20%D1%84%D0%B8%D0%BB%D1%8C%D0%BC","искать")</f>
        <v/>
      </c>
      <c r="N7292" s="3" t="n"/>
      <c r="O7292" s="2" t="n"/>
      <c r="P7292" s="2" t="n"/>
    </row>
    <row r="7293">
      <c r="A7293" s="2" t="n">
        <v>7292</v>
      </c>
      <c r="B7293" s="2" t="inlineStr"/>
      <c r="C7293" s="2" t="n">
        <v>7555</v>
      </c>
      <c r="D7293" s="3" t="inlineStr">
        <is>
          <t>Дороги Анны Фирлинг</t>
        </is>
      </c>
      <c r="E7293" s="2" t="n">
        <v>1985</v>
      </c>
      <c r="F7293" s="2" t="inlineStr">
        <is>
          <t>телефильм</t>
        </is>
      </c>
      <c r="G7293" s="2" t="n"/>
      <c r="H7293" s="2" t="n">
        <v>6410</v>
      </c>
      <c r="I7293" s="2" t="inlineStr"/>
      <c r="J7293" s="2" t="inlineStr"/>
      <c r="K7293" s="3" t="inlineStr">
        <is>
          <t>Весна 1624 года. Период Тридцатилетней войны. Шведский военачальник Аксель Оксеншерна набирает войско для похода на Польшу, однако вербовка идёт плохо. Фельдфебель и Вербовщик встречают на дороге фургон маркитантки Анны Фирлинг, по прозвищу Кураж. По дорогам войны она скитается со своими взрослыми сыновьями и немой дочерью Катрин, которая потеряла речь от страха, когда в самом начале войны на них напал вражеский солдат. Пока Фельдфебель заговаривает зубы мамаше Кураж, Вербовщик обрабатывает её старшего сына. Несмотря на протесты матери, предсказывающей ему скорую гибель, Эйлиф уходит с Вербовщиком.
Проходит два года. В Польше, у палатки шведского военачальника, мамаша Кураж торгуется с его поваром-голландцем по поводу каплуна; военачальник появляется вместе с Эйлифом, который, как выясняется, совершил «подвиг»: отбил у крестьян 20 голов скота, изрубив при этом четверых. Командующий награждает его чаркой лучшего вина.
Проходит ещё три года; другой сын Анны, Фиш стал казначеем Финского полка, в который влилась и мамаша Кураж со своим фургоном. Война «наладилась», и дела у неё идут — грех жаловаться. Давняя встреча у палатки военачальника произвела неизгладимое впечатление на повара-голландца, — в сопровождении священника он приходит к Кураж поговорить о политике, об этой войне, где, по его словам, «немножко грабёж, немножко резня, немножко поджигательство и, не забыть бы, немножко изнасилие». Тем временем приближаются католики, армия лютеран стремительно отступает, исчезает вслед за ней и повар. Вместе с не успевшим скрыться священником, дочерью и Фишем, в последний момент прибежавшим к матери, чтобы спрятать в её фургоне полковую казну, Кураж оказывается на территории, занятой католиками.
Честного Фиша тяготит то, что солдаты по его вине не получают жалование, он решает добраться всё-таки до своего полка и передать им ларец с полковой казной. Немая Катрин видит вражеских разведчиков, нарядившихся нищими. Однако Фиш не понимает её отчаянных предостережений, приняв жесты за нежелание расставаться с братом, он уходит. Едва успев перепрятать ларец, он попадает в руки к католикам, давно ищущим вражеского казначея. Кураж, чтобы подкупить фельдфебеля (нарядившегося одноглазым нищим) и спасти сына, которому грозит смертная казнь, готова заложить свой фургон; бывшая полковая проститутка Иветта, ставшая подругой полковника-католика, даёт Кураж под залог 200 гульденов и сама ведёт переговоры с фельдфебелем. Однако выплатить долг Кураж рассчитывала из полковой казны, от Иветты она узнаёт: под пытками Фиш признался в том, что, заметив погоню, он выбросил ларец в реку. Выкупать фургон не на что, — Кураж просит Иветту поторговаться, снизить «выкуп» за сына до 120 гульденов: на оставшиеся 80 можно будет начать всё сначала. Пока Кураж торгуется, Фиша приговаривают к смертной казни; Кураж соглашается отдать все 200 гульденов, но опаздывает: её сына расстреляли. Вскоре прибегает Иветта и сообщает: враги не поверили Фишу, что он выбросил ларец и не связан с Кураж. Судья приказал показать ей тело сына, дабы убедиться в отсутствии между ними каких-либо связей. Кураж вынуждены изобразить ледяное спокойствие при виде тела своего сына.
Прошло ещё несколько лет; мамаша Кураж со своим фургоном исколесила пол-Европы. Однажды, когда Катрин отлучилась, на девушку напали разбойники и изуродовали ей лицо. Шансы на удачные замужество стали ничтожно малы: никто не возьмет в жёны немую со шрамом на лице. Несмотря на это, дело Анны процветает, но в битве под Лютценом погибает шведский король Густав Адольф, и воюющие стороны заключают мир. Для Кураж мир — разорение: теперь её товар никому не нужен. Священник осуждает её сожаления: война есть преступление против Бога, и желает порвать с мамашей Кураж все отношения. Осознав это, Анна становится рада миру: по крайней мере второго сына война у неё не отнимет. У её палатки вновь появляется повар, — в полку давно не платят жалование, и он на мели. Приходит и постаревшая, но богатая Иветта, теперь уже вдова полковника; в поваре она узнаёт погубившего её дон-жуана: за ним она когда-то отправилась на войну и в результате стала проституткой. Повар не принимает её претензии: в конце концов, на войне она нашла своё счастье.
Кураж отправляется на базар вместе с Иветтой — продать свой товар, пока за него хоть что-то могут заплатить, у фургона остаются только повар и священник. В отсутствие Анны под конвоем приводят Эйлифа: оставшись не у дел, голодая, он повторил свой давний «подвиг» — отобрал у крестьянина скотину, зарезав при этом хозяйку; но в мирное время за это расстреливают, и повидаться с матерью ему разрешили перед казнью. Узнав, что её нет, Эйлиф просит ничего ей не сообщать. Священник уходит вместе с солдатами, чтобы исповедовать приговоренного перед казнью. Вскоре Кураж возвращается со своим товаром и счастлива тем, что не успела его продать: оказывается, мир закончился и уже третий день опять идёт война. Она вновь отправляется в путь и берёт с собой повара, который ничего не рассказывает ей об Эйлифе.
Осень 1634 года, «война за веру» идёт уже шестнадцать лет. «Германия потеряла больше половины своего населения. Кто уцелел от резни, того уносит мор. В некогда цветущих краях свирепствует голод. Волки бродят по улицам сгоревших городов». И повару, и Кураж надоело скитаться, торговля не идёт: людям нечем платить, наступил массовый голод. Повар получает известие о том, что его мать умерла от холеры и в наследство ему достался маленький трактир; он зовёт с собой Кураж, но — без Катрин: троих его трактир не прокормит. Кураж отказывается бросить дочь.
Два года Кураж и Катрин скитаются по Германии в обозе войска. Фургон останавливается на ночь у крестьянского дома рядом с небольшим протестантским городом. Глубокой ночью Катрин слышит, как три католика требуют, чтобы крестьянин показал им дорогу в город; за ними движется полк. Пока крестьяне молятся, чтобы в городе кто-нибудь проснулся и не дал погубить всё население, включая маленьких детей, Катрин забирается на крышу дома и начинает бить в барабан. Солдаты пытаются угрозами остановить её, а, поняв, что она не боится, в припадке ярости расстреливают девушку из мушкетов. Грохот выстрелов будит население города и они отражают нападение. Оплакав дочь, Кураж, так и не узнавшая о казни Эйлифа, вновь впрягается в свой фургон: «Надо опять налаживать торговлю». Солдаты уходят далеко вперёд, а оставшаяся в одиночестве Анна пытается тащить фургон.</t>
        </is>
      </c>
      <c r="L7293" s="2" t="inlineStr">
        <is>
          <t>https://ru.wikipedia.org/w/index.php?title=%D0%94%D0%BE%D1%80%D0%BE%D0%B3%D0%B8_%D0%90%D0%BD%D0%BD%D1%8B_%D0%A4%D0%B8%D1%80%D0%BB%D0%B8%D0%BD%D0%B3&amp;oldid=154695276</t>
        </is>
      </c>
      <c r="M7293" s="2">
        <f>HYPERLINK("https://ru.wikipedia.org/w/index.php?search=%D0%94%D0%BE%D1%80%D0%BE%D0%B3%D0%B8%20%D0%90%D0%BD%D0%BD%D1%8B%20%D0%A4%D0%B8%D1%80%D0%BB%D0%B8%D0%BD%D0%B3%201985%20%D1%84%D0%B8%D0%BB%D1%8C%D0%BC","искать")</f>
        <v/>
      </c>
      <c r="N7293" s="3" t="n"/>
      <c r="O7293" s="2" t="n"/>
      <c r="P7293" s="2" t="n"/>
    </row>
    <row r="7294">
      <c r="A7294" s="2" t="n">
        <v>7293</v>
      </c>
      <c r="B7294" s="2" t="inlineStr"/>
      <c r="C7294" s="2" t="n">
        <v>9312</v>
      </c>
      <c r="D7294" s="3" t="inlineStr">
        <is>
          <t>Город Зеро</t>
        </is>
      </c>
      <c r="E7294" s="2" t="n">
        <v>1988</v>
      </c>
      <c r="F7294" s="2" t="inlineStr">
        <is>
          <t>кинофильм</t>
        </is>
      </c>
      <c r="G7294" s="2" t="n"/>
      <c r="H7294" s="2" t="n">
        <v>6531</v>
      </c>
      <c r="I7294" s="2" t="inlineStr"/>
      <c r="J7294" s="2" t="inlineStr"/>
      <c r="K7294" s="3" t="inlineStr">
        <is>
          <t>Инженер машиностроительного завода из Москвы Алексей Варакин (Леонид Филатов) приезжает в провинциальный город в командировку с целью согласовать технические детали изменения конструкции кондиционеров, которые местный механический завод поставляет его предприятию на протяжении пятнадцати лет.
Несуразности начинаются уже на проходной завода, где не оказывается пропуска, который он заказал лишь полчаса тому назад. Секретарша директора завода работает совершенно обнажённой, но на это никто не обращает внимания. Директор (Армен Джигарханян) не знает, что главный инженер завода умер в результате несчастного случая ещё восемь месяцев назад.
В ресторане Варакин заказывает солянку, бифштекс и бутылку минеральной воды. Официант настоятельно предлагает в качестве подарка от повара десерт — торт в виде головы Варакина. Несмотря на предупреждение о том, что повар может обидеться и покончить с собой, Варакин возмущённо отказывается от угощения и собирается уйти, но гремит выстрел, и повар с револьвером в руке и пулей в сердце падает замертво на пол.
Варакин пытается поскорее убраться из странного города. Однако в кассе вокзала ему говорят, что билетов нет. Таксист вместо железнодорожной станции Перебродино привозит Варакина в Перебродово — глухомань, в которой почему-то оказывается местный краеведческий музей. Хранитель музея (Евгений Евстигнеев) предлагает подождать машину, а пока посмотреть экспозицию. И демонстрирует коллекцию диковинных экспонатов, найденных поблизости местным купцом Бутовым, страстным любителем археологии: саркофаг Дардана, останки когорты XIV легиона, кровать Аттилы, на которой тот надругался над вестготской королевой на глазах у своей орды, пистолет Петра Урусова, из которого тот, по словам хранителя, застрелил Лжедмитрия II, голова которого экспонируется тут же. Далее следуют восковые фигуры: первых исполнителей рок-н-ролла в этом городе; князя Владимира; эсера Азефа; монаха Юлиана — посла и разведчика венгерского короля Белы IV в России; батьки Махно с адъютантом Гаврюшей; Зиновия Пешкова в бытность его французским послом в Китае; местного поэта Василия Чугунова (стихи, декламируемые хранителем музея как принадлежащие этому персонажу, были написаны Николаем Пановым); начальника Гулага товарища Бермана; архитектора академика Ивана Фомина; бежавшего из ссылки молодого Сталина, произносящего тост за «светлое будущее». Завершается экскурсия экспозицией скульптора Троицкого «Грёзы», где с одной стороны изображён многонациональный советский народ, включая ударников производства, спортсменов и стиляг, а с другой — рок-музыканты, люди в форме клуба «Спартак», девушки в мини-юбках, члены общества «Память», воины-интернационалисты, хиппи и рокеры.
Варакин останавливается на ночлег у местного электрика, малолетний сын которого Миша сообщает постояльцу, что тот никогда не уедет из этого города, точно называет его фамилию, имя, отчество, год рождения (1945-й) и год смерти (2015-й), а также имена четырёх его дочерей, от лица которых тому поставят могильный памятник на здешнем кладбище. Появляется Анна, местная автомобилистка, которая на красных «Жигулях» пытается вывезти Варакина на станцию Перебродино, где останавливаются два московских поезда, но её пассажира перехватывает чёрная «Волга» с сотрудниками милиции.
Следователь (Алексей Жарков) предъявляет Варакину найденную в вещах погибшего повара фотографию с подписью, которая свидетельствует, что повар Николаев — отец Варакина и что настоящее имя Алексея — Махмуд. С Варакина взята подписка о невыезде, но следователь оставляет за ним возможность обжаловать данное решение у прокурора города. Варакин продолжает считать случившееся недоразумением. Местный прокурор (Владимир Меньшов) приглашает Варакина к себе и признаётся ему в своём потаённом желании совершить какое-нибудь отчаянное немотивированное преступление, «что-нибудь такое, сумасшедшее, чего от тебя совсем никто не ждёт». Он также излагает свою версию произошедшего, согласно которой трагедия в ресторане — не самоубийство, а спланированное убийство. Внезапно заигравший в тот вечер джаз призван был отвлечь внимание Варакина от выстрела. Прокурор рассказывает о серьёзности дела и излагает философию укрепления российского государства «со времён татаро-монгольского нашествия». Государство отнимает индивидуальность, а взамен даёт сопричастность величию, силе и бессмертию. Однако, по мнению прокурора, современные советские люди соблазняются «западными идейками», что угрожает российской государственности, но тем не менее «все наши революции в конечном счёте приводили не к разрушению, а к укреплению и усилению государства, и так будет всегда». Прокурор убеждён, что дело Николаева, на первый взгляд совершенно пустячное, имеет чрезвычайно глубокий смысл, касается интересов государства, поэтому уезжать Варакину ни в коем случае нельзя.
То, что воспринимается Варакиным как несуразность и полный абсурд, для жителей города, судя по всему, — обыденность. Сначала Варакин поражается происходящему и пытается как-то бороться с цепью иррациональных событий, которые с ним происходят, но мало-помалу смиряется с обстоятельствами, приспосабливается к ним и тоже начинает принимать иррациональный ход вещей как данность. Он уже не возражает против того, что является Махмудом, родным сыном погибшего повара Николаева.
Анна умоляет ехать вместе с ней на дачу к поэту Чугунову (Олег Басилашвили). Тот рассказывает Варакину, что повар Николаев был тем самым «первым исполнителем рок-н-ролла» в городе, на молодёжном вечере во Дворце культуры имени Жданова 18 мая 1957 года, а его недоброжелатель, секретарь горкома комсомола, позднее стал прокурором. Чугунов приглашает Варакина на открытие Клуба поклонников рок-н-ролла имени Николаева, где оказывается вся элита этого города. Чугунов на открытии заявляет, что это «победа демократии». Начинаются танцы. Прокурор пытается застрелиться на глазах у всех присутствующих, но пистолет несколько раз даёт осечку.
К Варакину в номер приходит бывшая партнёрша Николаева по рок-н-ролльному танцу. Она с помощью своего сына рассказывает о своей нелёгкой судьбе, как её исключили из комсомола и медучилища, после чего она пробовала отравиться уксусом, но лишь потеряла голос. Потом приходят Чугунов и прокурор. Затем ещё несколько человек. Компания перемещается на природу к «дубу власти Дмитрия Донского». Прокурор неожиданно советует Варакину бежать, и тот бежит, в тумане находит лодку без вёсел и, оттолкнувшись от берега, отплывает в ней на стрежень, где лодку подхватывает течение. Дальнейшая судьба героя неясна.</t>
        </is>
      </c>
      <c r="L7294" s="2" t="inlineStr">
        <is>
          <t>https://ru.wikipedia.org/w/index.php?title=%D0%93%D0%BE%D1%80%D0%BE%D0%B4_%D0%97%D0%B5%D1%80%D0%BE&amp;oldid=155603251</t>
        </is>
      </c>
      <c r="M7294" s="2">
        <f>HYPERLINK("https://ru.wikipedia.org/w/index.php?search=%D0%93%D0%BE%D1%80%D0%BE%D0%B4%20%D0%97%D0%B5%D1%80%D0%BE%201988%20%D1%84%D0%B8%D0%BB%D1%8C%D0%BC","искать")</f>
        <v/>
      </c>
      <c r="N7294" s="3" t="n"/>
      <c r="O7294" s="2" t="n"/>
      <c r="P7294" s="2" t="n"/>
    </row>
    <row r="7295">
      <c r="A7295" s="2" t="n">
        <v>7294</v>
      </c>
      <c r="B7295" s="2" t="inlineStr"/>
      <c r="C7295" s="2" t="n">
        <v>8163</v>
      </c>
      <c r="D7295" s="3" t="inlineStr">
        <is>
          <t>Поражение</t>
        </is>
      </c>
      <c r="E7295" s="2" t="n">
        <v>1987</v>
      </c>
      <c r="F7295" s="2" t="inlineStr">
        <is>
          <t>телефильм</t>
        </is>
      </c>
      <c r="G7295" s="2" t="n"/>
      <c r="H7295" s="2" t="n">
        <v>6552</v>
      </c>
      <c r="I7295" s="2" t="inlineStr"/>
      <c r="J7295" s="2" t="inlineStr"/>
      <c r="K7295" s="3" t="inlineStr">
        <is>
          <t>1 серия «Поиск правды»
Студенты-физики Сергей Крылов и Олег Тулин совершенно по-разному смотрят на мир. Крылов прямолинеен и не способен на компромиссы, Тулин же дипломат по натуре, умеет лавировать и ладить с самыми различными людьми, но, несмотря на непохожие характеры, они друзья. Их объединяет мечта покорить грозу.
Телефильм начинается с того, что профессор Денисов отказывается брать в лабораторию Крылова, заявив ему, что он малоспособный. Вспылив, Крылов уходит на завод. Тулин пытается уговорить друга не бросать учёбу, но Сергей непреклонен.
На заводе способности Крылова оценили по достоинству и взяли в КБ, где в него влюбилась сотрудница Ада. Крылов не замечает её чувств, он думает только о науке. По настоянию заводского начальства Крылов сдал экстерном университетский курс, но, невзирая на блестящие перспективы на заводе, уходит оттуда, чтобы попасть на работу в лабораторию профессора Данкевича. В это время Сергей встречает Лену и влюбляется в неё.
Исследовательская работа лаборатории Данкевича протекает трудно. На учёном совете принято решение лишить финансирования работы Данкевича и передать средства лаборатории, которой руководил профессор Денисов. Крылову предлагают отправиться в кругосветное путешествие вместе с научной экспедицией. Лену обрадовало такое предложение, и она советует Сергею ехать. Отчаявшись добиться справедливости, Крылов соглашается. Перед отъездом Лена сообщает ему, что выходит замуж за другого.
Данкевич, оставшись без работы, лаборатории и учеников, заболевает и вскоре умирает в больнице.
2 серия «Полуправда»
Вернувшись из кругосветного путешествия, Крылов узнаёт о смерти Данкевича. Знакомый покойного профессор Голицын приглашает молодого учёного к себе в лабораторию. Сергей уезжает в Кахетию и принимает участие в работе противоградовой службы. Там завязываются его отношения с коллегой Наташей. Но, несмотря на симпатию к девушке, после болезненного расставания с Леной Сергей боится снова влюбляться. Метеорологи успешно предотвращают градообразование, но однажды противоградовые мероприятия оказались бессильны. На район обрушился сильный град, погубивший урожай и многих животных. Старик, работающий на метеостанции, обвинил в граде противоградовую службу. Остро ощущая своё бессилие перед стихией, Крылов возвращается в Москву.
В Москве, работая в лаборатории Голицына, Сергей сожалеет, что не взял с собой Наташу. Он понял, что привязался к ней и сейчас скучает по девушке. Но Наташа не отвечает на его письма. Тоска мешает Сергею работать. Голицын недоволен им. Тем не менее, он неожиданно предлагает Крылову занять вакантную должность заведующего лабораторией. На эту же должность претендует другой сотрудник лаборатории, Агатов.
В Москву приезжает Олег Тулин. Он встречается с генералом Южиным и старается его убедить позволить ему полёты в грозовые облака с научной целью. Южин знакомит Тулина с опытным пилотом Хоботневым, не раз летавшем в грозу на истребителе.
Крылов, защищая работу Тулина, ссорится с Голицыным. Агатов плетёт против Крылова интриги, пытаясь выставить его перед профессором в самом неприглядном свете. В результате Сергей уходит из института. Узнав об этом, Тулин великодушно берёт его в свою группу. Перед экспедицией Крылов заезжает в Кахетию, чтобы объясниться с Наташей, но там узнаёт, что она уехала, и никто не знает, где она теперь.
3 серия «Правда и полуправда»
Тулину удалось добиться разрешения на полёты в грозу. Два друга с помощью научного сотрудника Веры Матвеевны, аспиранта Ричарда и студентов Жени, Кати и Алёши начали исследовательскую работу грозовых явлений в Абхазии. Присматривать за научной группой из Москвы прислали Агатова.
Олегу приглянулась студентка Женя, и он начинает оказывать ей знаки внимания, несмотря на то, что девушка встречается с Ричардом. В процессе работы между Тулиным и Крыловым возникают разногласия. Олега раздражает, что Сергей всё ставит под сомнение и советует ему не торопиться с выводами. Он просит у Тулина возможности перепроверить результаты на модели.
Тем временем Агатов требует приостановить полёты. Не в силах воевать на два фронта Тулин решает отправить Сергея вместе с Ричардом в Тбилиси, где они должны протестировать модель. С ними едут Агатов и лётчики, чтобы получить новый самолёт. Отъезд Ричарда развязывает руки Тулину, и он прилагает все усилия, чтобы обольстить Женю.
В Тбилиси, пока Крылов и Ричард работали за компьютерами научного института, лётная группа и Агатов осмотрели экспериментальный самолёт, после чего приступили к знакомству с местными достопримечательностями. На рынке лётчики разыгрывают Агатова. По возвращении в Сухуми Агатов узнаёт от дежурной в гостинице все новости об оставшихся там участниках экспедиции, в том числе о том, что Тулин ухаживал за Женей. Он намекает об отношениях Олега и Жени Ричарду, но тот не желает верить в подлость Тулина и ссорится с Агатовым. В расстроенных чувствах молодой человек разыскивает Женю и встречает её на мосту с Тулиным. Обидевшись, Агатов требует отправить Ричарда в Москву. Но за Ричарда заступается Крылов.
Перед самым вылетом Тулин сообщает Крылову о том, что едет в город, чтобы встретиться с замминистра Богдановским, и берёт с собой Женю. Также он распорядился оставить Агатова на локаторе. Руководить полётом предстоит Крылову. Агатов рассказывает Ричарду, как Тулин был рад отправить его в Москву. Ричард пытается поговорить с Женей, но она спешит и ей не до разговоров.
4 серия «Прикосновение к истине»
После встречи с Богдановским Тулин проводит с Женей время на пляже. В это время из-за неправильного прогноза, данного Агатовым, самолёт с научной группой попадает в эпицентр сильнейшей грозы. Самолёт терпит аварию, исследователи и экипаж десантируются, за исключением Ричарда — тот, пытаясь достать застрявшую кассету с результатами работы группы, задерживается в салоне, и это стоит ему жизни.
Узнав о трагедии, Женя раскаивается в своём поведении. Она потрясена эгоизмом Тулина, который в сложившейся ситуации беспокоится только о себе.
На комиссии, которая занималась расследованием авиакатастрофы, Тулин быстро сдаёт позиции. Сергей не понимает его и старается отстоять работу. Неожиданно профессор Голицын становится на его сторону. Тем не менее, дальнейшие полёты невозможны, работы закрывают и группу распускают.
К Сергею Крылову приезжает Ада, любившая его все эти годы. Он понимает, что она — его судьба, и им суждено быть вместе. Олег Тулин покидает место своего поражения в полном смятении. Его мучает совесть, в том числе и из-за Жени.
Пути Крылова и Тулина окончательно расходятся — и в науке, и в жизни.</t>
        </is>
      </c>
      <c r="L7295" s="2" t="inlineStr">
        <is>
          <t>https://ru.wikipedia.org/w/index.php?title=%D0%9F%D0%BE%D1%80%D0%B0%D0%B6%D0%B5%D0%BD%D0%B8%D0%B5_%28%D1%84%D0%B8%D0%BB%D1%8C%D0%BC%2C_1987%29&amp;oldid=154702829</t>
        </is>
      </c>
      <c r="M7295" s="2">
        <f>HYPERLINK("https://ru.wikipedia.org/w/index.php?search=%D0%9F%D0%BE%D1%80%D0%B0%D0%B6%D0%B5%D0%BD%D0%B8%D0%B5%201987%20%D1%84%D0%B8%D0%BB%D1%8C%D0%BC","искать")</f>
        <v/>
      </c>
      <c r="N7295" s="3" t="n"/>
      <c r="O7295" s="2" t="n"/>
      <c r="P7295" s="2" t="n"/>
    </row>
    <row r="7296">
      <c r="A7296" s="2" t="n">
        <v>7295</v>
      </c>
      <c r="B7296" s="2" t="inlineStr"/>
      <c r="C7296" s="2" t="n">
        <v>8444</v>
      </c>
      <c r="D7296" s="3" t="inlineStr">
        <is>
          <t>ТАСС уполномочен заявить...</t>
        </is>
      </c>
      <c r="E7296" s="2" t="n">
        <v>1984</v>
      </c>
      <c r="F7296" s="2" t="inlineStr">
        <is>
          <t>телефильм</t>
        </is>
      </c>
      <c r="G7296" s="2" t="inlineStr">
        <is>
          <t>к/с им. Горького</t>
        </is>
      </c>
      <c r="H7296" s="2" t="n">
        <v>6942</v>
      </c>
      <c r="I7296" s="2" t="inlineStr"/>
      <c r="J7296" s="2" t="inlineStr"/>
      <c r="K7296" s="3" t="inlineStr">
        <is>
          <t>Основные действия фильма разворачиваются в Москве и в вымышленной африканской стране под названием Тразиланд, граничащей с другим вымышленным государством — Нагонией. В Тразиланде действие происходит в столице — Луисбурге.
При переходе из Мурманска к берегам Луисбурга взрывается транспортное судно «Академик Чистаков», приписанное к порту Одессы, с грузом в виде сельскохозяйственной техники, грузовиков и медикаментов. Есть жертвы. КГБ СССР становится известно, что в Москве работает агент ЦРУ под кодовым именем Трианон, который передаёт американцам сведения, связанные с положением в Нагонии и помощи, оказываемой Советским Союзом дружественному правительству Джорджа Гриссо. В поисках шпиона КГБ СССР выходит на научного сотрудника института экономики Ольгу Винтер. Подозрение сотрудников КГБ СССР в шпионаже падает на её мужа, инженера Зотова, от которого Ольга ушла к Сергею Дубову. Зотов — инженер-корабел, контролирующий поставки из СССР в Нагонию, постоянно контактирует с иностранцами, в том числе с американцем Джоном Глэббом.
Сотрудник КГБ СССР полковник Виталий Славин занимается подброшенным в советское посольство в Луисбурге анонимным письмом. Проведя предварительный анализ сложившейся ситуации для решения вопроса и поиска автора письма на месте Славин вылетает в Африку. Получив первичную информацию от начальника службы безопасности посольства Игоря Минаева Славин, на основе этой информации выходит на бывшего «власовца» Айвена Белью (Ивана Белого), который случайно оказался единственным свидетелем вербовки в номере 607 отеля «Hilton» советского специалиста американской разведкой. Напуганный Белью не идёт на контакт и пытается улететь из страны. Славин и Минаев успевают перехватить Белью в аэропорту и убеждают его помочь в обнаружении завербованного специалиста с последующим возвращением к своим родным в Советский Союз. Белью через пришедшего к нему домой садовника Архипкина передаёт Славину, что будет его ждать в 9 часов утра в бойлерной отеля. Но на следующий день в своей квартире Белью убивает снайпер. Славин убеждён, что убийство организовано ЦРУ и теперь возможен только один путь — вынудить сотрудников ЦРУ самим раскрыть своего агента.
В Москве генерал КГБ Константинов под видом специалиста, командируемого в Тразиланд, лично знакомится с недавно вернувшейся оттуда Ольгой Винтер. Параллельно спецслужбой прорабатывается всё её окружение — от заместителя директора внешнеторговой организации «Межсудоремонт» Шаргина до бывшего автомеханика посольства Парамонова и продавца магазина Цызина.
Тем временем в Луисбурге руководство ЦРУ с помощью своей нелегальной резидентуры — Роберта Лоренса и Джона Глэбба готовит в Нагонии операцию «Факел» — военный переворот с целью свержения просоветского правительства Джорджа Гриссо и установления власти проамериканской хунты генерала Марио Огано.
Глэбб с помощью своей напарницы Пилар знакомится со Славиным и завязывает внешне дружеские отношения. Одновременно Глэбб даёт указание шефу местной криминальной полиции Стау установить за Славиным плотную слежку.
Неожиданно в Москве умирает Ольга Винтер. Глэбб разворачивает операцию по прикрытию Трианона, целью которой является компроментация перед властями Тразиланда Зотова как завербованного агента ЦРУ. Пилар лично сообщает Зотову о «самоубийстве его бывшей супруги, которая была ранее завербована ЦРУ», и пытается уговорить его остаться на Западе, так как ему якобы угрожает опасность при возвращении на Родину. Но Зотов уверен в невиновности жены. При аресте и обыске подчинёнными Стау обнаруживаются ими же ранее подброшенные «доказательства шпионской деятельности» инженера. Зотов, оказавший активное сопротивление, тяжело ранен и помещён под охраной в местный госпиталь для последующей переправки в США.
Генерал КГБ СССР Константинов возглавляет разработку агента Трианона. Он выясняет, что вскрытие тела Винтер не проводилось по просьбе её отца, которому Дубов сообщил, что она была внебрачно беременна.
В Луисбурге Славин изучает полученную из Москвы информацию по биографии Глэбба и выясняет, что Джон Глэбб, будучи в 1960-х годах заместителем резидента ЦРУ в Гонконге, часто использовал своё положение в спецслужбах США для организации производства наркотиков в промышленных масштабах и транспортировки их по всему миру. Среди преступлений американца упоминается, в частности, пересылка героина в выпотрошенных и начинённых этим наркотиком трупах младенцев, которых он предварительно массово закупал живыми у небогатых родителей в Непале специально для этой цели. Другой компрометирующей деталью является жена Глэбба Эмма Шанц, немка с нацистскими родственниками и обладательница крупного состояния, которую он подсадил на наркотики и держит взаперти в психиатрической клинике в надежде получить наследство. В фильме показана её индивидуальная палата-камера и интерьеры клиники, напоминающие не столько больницу, сколько фешенебельную европейскую виллу, построенную по проекту архитектора-модерниста.
В Москве тело Винтер эксгумировано. Вскрытие опровергает данные о её беременности, но выявляет факт отравления быстродействующим неизвестным импортным ядом. Сотрудники КГБ СССР начинают подозревать Дубова в убийстве Ольги. Слежка за ним показывает, что он обменивается посланиями с сотрудником американского посольства в Москве, в точности так, как это было обговорено в перехваченных шифровках Трианону. Американцы передают Дубову не только микроплёнки с посланиями, но также ювелирные изделия, причём такие, какие в СССР не производятся, и это становится одной из дополнительных улик против него.
Между тем, о злоупотреблениях Глэбба становится известно его начальнику Лоренсу, главе резидентуры ЦРУ в Луисбурге, и Глэбб легко принимает решение отравить его и свалить это убийство на Славина. В результате спланированной акции Славин оказывается в тюрьме, однако успевает проинформировать о провокации по телефону Минаева.
В Москве при аресте и обыске Дубов успевает принять яд и умирает. Операция «Лесник» оказывается под угрозой срыва. Чтобы выйти на связного Дубова из посольства США в Москве, КГБ СССР использует загримированного сотрудника и очередную подругу Дубова — 22-х летнюю студентку Ольгу Вронскую.
Глэбб, который теперь стал главой резидентуры в Луисбурге, обеспокоен заявлениями Славина. Придя к нему в тюремную камеру Глэбб узнаёт, что у арестованного есть компроментирующие документы о неприглядных делах и что его карьера, а может быть и жизнь, находятся под угрозой. Умело шантажируя Глэбба, Славин заставляет его добиться отсрочки операции «Факел» с военным переворотом в Нагонии.
Убедив американцев в том, что агент Трианон жив и действует, сотрудникам КГБ СССР удаётся выманить атташе по культуре посольства США (и одновременно сотрудника ЦРУ) Роберта Лунса на передачу спецконтейнера с материалами на Лужнецком железнодорожном мосту, где его и задерживают. Взятие с поличным и высылка Лунса вынуждает ЦРУ окончательно отказаться от проведения военного переворота в Нагонии.</t>
        </is>
      </c>
      <c r="L7296" s="2" t="inlineStr">
        <is>
          <t>https://ru.wikipedia.org/w/index.php?title=%D0%A2%D0%90%D0%A1%D0%A1_%D1%83%D0%BF%D0%BE%D0%BB%D0%BD%D0%BE%D0%BC%D0%BE%D1%87%D0%B5%D0%BD_%D0%B7%D0%B0%D1%8F%D0%B2%D0%B8%D1%82%D1%8C%E2%80%A6_%28%D1%82%D0%B5%D0%BB%D0%B5%D1%81%D0%B5%D1%80%D0%B8%D0%B0%D0%BB%29&amp;oldid=155301704</t>
        </is>
      </c>
      <c r="M7296" s="2">
        <f>HYPERLINK("https://ru.wikipedia.org/w/index.php?search=%D0%A2%D0%90%D0%A1%D0%A1%20%D1%83%D0%BF%D0%BE%D0%BB%D0%BD%D0%BE%D0%BC%D0%BE%D1%87%D0%B5%D0%BD%20%D0%B7%D0%B0%D1%8F%D0%B2%D0%B8%D1%82%D1%8C...%201984%20%D1%84%D0%B8%D0%BB%D1%8C%D0%BC","искать")</f>
        <v/>
      </c>
      <c r="N7296" s="3" t="n"/>
      <c r="O7296" s="2" t="n"/>
      <c r="P7296" s="2" t="n"/>
    </row>
    <row r="7297">
      <c r="A7297" s="2" t="n">
        <v>7296</v>
      </c>
      <c r="B7297" s="2" t="inlineStr"/>
      <c r="C7297" s="2" t="n">
        <v>7308</v>
      </c>
      <c r="D7297" s="3" t="inlineStr">
        <is>
          <t>Вариант "Омега"</t>
        </is>
      </c>
      <c r="E7297" s="2" t="n">
        <v>1975</v>
      </c>
      <c r="F7297" s="2" t="inlineStr">
        <is>
          <t>телефильм</t>
        </is>
      </c>
      <c r="G7297" s="2" t="inlineStr">
        <is>
          <t>Творческое объединение «Экран»</t>
        </is>
      </c>
      <c r="H7297" s="2" t="n">
        <v>7369</v>
      </c>
      <c r="I7297" s="2" t="inlineStr"/>
      <c r="J7297" s="2" t="inlineStr"/>
      <c r="K7297" s="3" t="inlineStr">
        <is>
          <t>В начале 1942 года, после четырёх лет работы в Германии, советский разведчик-нелегал Сергей Скорин переходит линию фронта к своим, но при этом получает тяжёлое ранение.
Весной того же 1942 года в оккупированный немцами Таллин (для немцев — Ре́валь, Reval) приезжает опытнейший сотрудник абвера — «любимец адмирала Канариса» барон Георг фон Шлоссер. В 1939 году, работая в Москве, он представил своему руководству обстоятельный аналитический доклад, свидетельствующий о высоком уровне военного потенциала СССР. Доклад не понравился Гитлеру, и Шлоссер был отстранён от практической работы. Но теперь майор Шлоссер — высококлассный разведчик и знаток России — вызван в Берлин из фамильного замка и командирован в Таллин, чтобы совместно с «Бюро Целлариуса» организовать и провести операцию по организации канала дезинформации советского командования.
Согласно плану Шлоссера, в советский тыл забрасывают двух диверсантов — курсантов таллинской разведшколы абвера. Барон лично и очень тщательно работает с кандидатами, не особо скрывая свою личность; при этом он целенаправленно подбирает состав пары таким образом, чтобы один из диверсантов наверняка явился с повинной и рассказал о длительном пребывании в Таллине со специальным заданием личного эмиссара адмирала Канариса. Шлоссер обоснованно рассчитывает, что далее, на основании этой информации, в Таллин непременно должен быть направлен, по крайней мере, хотя бы один сотрудник советской разведки, чтобы выяснить характер задания Шлоссера и, если это окажется возможным, попытаться установить личный с ним контакт: барон знает, что в советских внешнеполитических кругах его считают человеком, симпатизировавшим России, а не фанатиком (что соответствует действительности, Шлоссер — безусловный патриот Германии, но совсем не сторонник нацизма). Майор с нетерпением ждёт появления русского агента, организовав наблюдение за всеми прибывающими в Таллин и тщательное исследование личности каждого из них.
В конце июня старший лейтенант госбезопасности Скорин, оправившись от ранения, получает новое задание — отправиться в Таллин, найти подходы к Шлоссеру и выяснить планы руководства немецкой разведки. Скорин появляется в городе под именем гауптмана Пауля Кригера, восстанавливающегося после тяжёлого ранения и разыскивающего свою невесту-эстонку, ранее проживавшую в городе, с которой он якобы познакомился перед войной в Финляндии, когда учился в Хельсинкском университете. Сергей знакомится со Шлоссером и несколько раз — на глазах внимательного и опытного барона — намеренно допускает ряд «оплошностей», и тот начинает активную разработку «гауптмана Кригера». Собранных улик в итоге оказывается достаточно, чтобы разоблачить и задержать Скорина. Не производя формального ареста, его поселяют под охраной в специально подготовленном для этого особняке и даже разрешают — под тщательным наблюдением и плотной, хотя и очень профессионально скрытой охраной — ежедневные прогулки по городу и короткое общение со знакомыми на улицах; для всех Пауль Кригер по-прежнему ищет свою невесту.
В конце концов Шлоссер использует на Скорине собственные «гуманные» интеллектуально-психологические методы давления наряду с кроваво-садистскими пытками заместителя местного отделения гестапо штурмбанфюрера Франца Маггиля, друга детства Шлоссера (отец Маггиля, фермер, когда-то арендовал землю у старого барона, отца Шлоссера). Скорин «соглашается» на сотрудничество с абвером. Начинается радиоигра: Скорин отправляет в Центр разведдонесения, которые ему готовит Шлоссер. В каждую радиограмму разведчик вставляет сигнал о работе под контролем: точку, которую в конце текста сообщения, составленного лично бароном, аккуратный немец просто не мог не поставить, но которой раньше в сообщениях советского разведчика не было. Однако Шлоссер предусмотрел и это: передачи Скорина не идут прямо в эфир, а записываются на магнитофон, о чём Сергей не догадывается. Это позволяет майору сначала вычислить условный сигнал («Я её поставил, он её передал. Умно́»), а затем постоянно вырезать его из записанной на плёнке морзянки и передавать сообщения Скорина в Москву в резервное время связи без сигнала о работе под контролем.
Операция по дезинформации советского командования входит в кульминационную фазу: в середине ноября, накануне начала советского контрнаступления под Сталинградом, Скорин передаёт в Центр подготовленную Шлоссером радиограмму о том, что Япония якобы планирует напасть на Советский Союз. Отправив «главное» сообщение, ради которого и затевалась вся сложнейшая шпионская игра, Шлоссер сообщает Скорину, что его сигнал о работе под контролем был раскрыт и обезврежен. Барон рассчитывает сломать советского разведчика и получить ценнейшего двойного агента, уже сознательно сотрудничающего с абвером. Узнав обо всём, Сергей делает вид, что падает духом и инсценирует длительный запой. Все немецкие участники операции, как из абвера, так и из гестапо, по итогам блестяще проведённой операции получают новые звания и награды.
Между тем, невзирая на донесения о том, что СССР усиливает военное присутствие на Дальнем Востоке, события на советско-германском фронте — прежде всего, под Сталинградом — продолжают развиваться совсем не так, как должны были бы, если бы Москва поверила сообщению Шлоссера. И уже теперь Сергей раскрывает барону свою комбинацию, то есть суть многослойного и очень рискованного «варианта Омега». Выясняется, что он совершенно сознательно «подставился» Шлоссеру («Вы думаете, я действительно не знаю, как немцы курят или платят деньги?»), сам спровоцировал свой провал и своё предсказуемое участие в немецкой радиоигре, но всё-таки сумел передать в Центр по заранее специально подготовленному и ранее ни разу не задействованному резервному каналу связи сообщение о том, что данные о намерениях Японии — это дезинформация. Таким образом, барон фон Шлоссер в разгар Сталинградской битвы, имевшей определяющее значение для исхода войны, фактически сам предоставил советскому командованию совершенно бесценную стратегическую информацию о том, что Япония не предполагает в настоящее время вступать в войну против СССР, а также, пусть и с санкции адмирала Канариса, множество других немаловажных и вполне правдивых сведений, ведь абвер по ходу дела был вынужден укреплять доверие советской разведки к «источникам» передаваемых Скориным данных. Более того, Шлоссер, пусть и фиктивно, уже дал Скорину подписку о работе на советскую разведку, залегендировав самого себя в качестве одного из основных источников. И в результате — что и составляло главную цель всей операции «Омега» — Шлоссер оказался на крючке, что сделало возможным, исходя из обстоятельств, в дальнейшем использовать новоиспечённого полковника абвера, в полной мере вернувшего доверие своих шефов, для работы в интересах Советского Союза.
Скорину остаётся бесследно скрыться из Таллина. За спиной Шлоссера он выходит на оберштурмбанфюрера Маггиля и умело пользуется распрями между двумя разведывательными управлениями — абвером и гестапо. Маггиль арестовывает возлюбленную Шлоссера и обменивает её на Скорина. Местное подполье инсценирует нападение партизан на автомобиль Маггиля и «убийство» Скорина при попытке побега. Франц Маггиль отправляется на Восточный фронт, а репутация Шлоссера остаётся безупречной.
В конце декабря Скорин возвращается в Москву. За успешно проведённую операцию он получает звание капитана и готовится к новому заданию.</t>
        </is>
      </c>
      <c r="L7297" s="2" t="inlineStr">
        <is>
          <t>https://ru.wikipedia.org/w/index.php?title=%D0%92%D0%B0%D1%80%D0%B8%D0%B0%D0%BD%D1%82_%C2%AB%D0%9E%D0%BC%D0%B5%D0%B3%D0%B0%C2%BB&amp;oldid=153802720</t>
        </is>
      </c>
      <c r="M7297" s="2">
        <f>HYPERLINK("https://ru.wikipedia.org/w/index.php?search=%D0%92%D0%B0%D1%80%D0%B8%D0%B0%D0%BD%D1%82%20%22%D0%9E%D0%BC%D0%B5%D0%B3%D0%B0%22%201975%20%D1%84%D0%B8%D0%BB%D1%8C%D0%BC","искать")</f>
        <v/>
      </c>
      <c r="N7297" s="3" t="n"/>
      <c r="O7297" s="2" t="n"/>
      <c r="P7297" s="2" t="n"/>
    </row>
    <row r="7298">
      <c r="A7298" s="2" t="n">
        <v>7297</v>
      </c>
      <c r="B7298" s="2" t="inlineStr"/>
      <c r="C7298" s="2" t="n">
        <v>7341</v>
      </c>
      <c r="D7298" s="3" t="inlineStr">
        <is>
          <t>Визит дамы</t>
        </is>
      </c>
      <c r="E7298" s="2" t="n">
        <v>1989</v>
      </c>
      <c r="F7298" s="2" t="inlineStr">
        <is>
          <t>телефильм</t>
        </is>
      </c>
      <c r="G7298" s="2" t="n"/>
      <c r="H7298" s="2" t="n">
        <v>7403</v>
      </c>
      <c r="I7298" s="2" t="inlineStr"/>
      <c r="J7298" s="2" t="inlineStr"/>
      <c r="K7298" s="3" t="inlineStr">
        <is>
          <t>Провинциальный европейский городок Гюллен охвачен волнением. В рамках своего путешествия по Европе город хочет посетить госпожа Клара Цаханассьян, американская миллиардерша, всемирно известная богачка — уроженка Гюллена. Верхушка города организует торжественную встречу в надежде, что госпожа Цаханассьян поможет своей малой Родине, испытывающей серьёзные финансовые трудности, особенно заметные на фоне процветающей послевоенной Европы: закрываются предприятия, не выдаются кредиты и субсидии…
Прибытие миллиардерши превосходит все ожидания. Она появляется инкогнито на экспрессе, по-хулигански тормознув его стоп-краном. Следом за ней приезжеат целый железнодорожный состав с поклажей, прислугой, гангстерами-телохранителями, автомобилем и ручным леопардом. С отцами города общается насмешливо-снисходительно, хотя в целом её поведение выглядит незлобно, а единственный человек, встреча с которым Клару, кажется, взволновала — это Альфред Илл, владелец разоряющейся, как и весь город, бакалеи…
Клара просит, чтобы Илл сопровождал её, и становится ясно, что когда-то у них был роман.
Вечером на торжественном приёме госпожа Цаханассьян делает сенсационное заявление: она намерена при соблюдении всего лишь одного условия подарить городу миллиард долларов, причём 500 миллионов передать в городскую казну, а ещё 500 миллионов распределить между жителями города.
После оглушительных оваций встаёт речь об единственном условии сделки, но тут Клара даёт слово своему дворецкому, в котором старожилы узнают бывшего окружного судью Хофера.
Дворецкий-судья рассказывает, что когда-то он рассмотрел дело по иску юной Клары Вешер, которая призвала к суду Альфреда Илла, требуя признать его отцом своего ребёнка… Однако в суд явились два свидетеля, которые дали показания, что они тоже спали с Кларой… Эти свидетели также присутствуют на вечере в свите миллиардерши: это Якоб Хюнлейн и Людвиг Шпар, известные ныне как Коби и Лоби. Они признаются, что лжесвидетельствовали за бутылку водки, которую им вручил Илл. После суда Клара Вешер была вынуждена покинуть город, так как была ославлена как гулящая. Она уехала в Гамбург, родила ребёнка, который прожил всего год. Сама Клара стала проституткой в борделе, куда однажды забрёл в поисках острых ощущений старый, но очень темпераментный миллиардер Цаханассьян, который влюбился в Клару и сделал своей женой и наследницей… Получив миллиарды после смерти мужа, Клара оплатила поиски лжесвидетелей, что было недёшево, поскольку оба они эмигрировали (один в Канаду, другой в Австралию). Тем не менее Коби и Лоби были найдены, во всём признались и в качестве наказания ослеплены и оскоплены гангстерами-телохранителями Клары. В то же время главный виновник — Альфред Илл — до сих пор оставался безнаказанным.
И вот единственным условием, которое отделяет Гюллен и его жителей от миллиарда долларов, является правосудие в отношении Клары Вешер: она требует смерти предавшего её и обманувшего правосудие Альфреда Илла.
В едином порыве и бургомистр, и все виднейшие горожане отказываются от позорной сделки.
Впрочем, Клара к этому готова: «Ничего, я подожду!»
Проходит несколько недель.
Клара Цаханассьян осталась в городе, поселившись со своими приближёнными в отеле. Она готовится к своей седьмой или восьмой свадьбе, на этот раз её избранником должен стать известнейший голливудский красавец-актёр, намного моложе по возрасту. Клара легко улаживает его дела и обеспечивает съёмку в очередном фильме, просто покупая самый многообещающий сценарий и назначая двойные гонорары всем участникам съёмок…
Жители Гюллена с интересом наблюдают за коловращением красавцев, модных дизайнеров и финансистов вокруг обиталища миллиардерши. Иллу все высказывают поддержку, мол, с кем в молодости не случалось ошибок.
Тем не менее Илл подозревает, что эта поддержка фальшива. Он замечает, что молочник начинает давать в долг, кельнер угощает выпивкой, в парикмахерской предлагают дорогой одеколон, у вахмистра во рту появился новый золотой зуб, а в городском соборе — новый орга́н.
Становится ясно, что, заявив о приверженности морали и гуманизму, горожане, от бургомистра до последнего пьяницы, тем не менее ждут, что кто-то убьёт Илла, тем самым обеспечив всем доступ к заветному миллиарду, и потихоньку начинают позволять себе лишнее…
Наконец, в день венчания Клары и молодого красавца, для жителей города проводится грандиозная ярмарка: одежда, техника, автомобили ведущих мировых производителей продаются в кредит… Илл видит, что даже его дочь не может устоять перед соблазнами. Илл в отчаянии приходит в церковь. Пастор встречает его обычными казёнными речами, но в конце исповеди в порыве настоящего человеколюбия призывает бежать из города.
Попытка побега не удаётся: подход к поезду ему перекрывает отряд городских охотников-любителей, вышедших на отстрел сбежавшего леопарда.
Утром после свадьбы бургомистр и настоятель собора идут к Кларе и с трудом находят её в одиночестве проводящей брачную ночь в Петеровом сарае на окраине Конрадовой рощи, где когда-то проходили её свидания с Иллом. Она уже отослала нового мужа и начала бракоразводный процесс. Бургомистр и святой отец просят госпожу Цаханассьян проявить милосердие: она ставит город перед необходимостью совершить ужасное преступление, но ведь можно не убивать Илла, можно вложить миллиард в городские предприятия, купить у города картинную галерею, даже эту Конрадову рощу… Но Клара говорит, что она и так всё купила, весь город давно уже принадлежит ей. Когда её выгоняли из города, была зима, она дрожала от холода, но когда в окнах вагона увидела очертания Петерова сарая, то поклялась, что вернётся. Она долго готовилась к возвращению, она вернулась и она настаивает на своих требованиях.
Горожане прячут друг от друга глаза. Единственный, кто пытается напомнить окружающим о совести — школьный учитель, но его обличительную речь не хотят слушать, а самого его уводят…
Поздно вечером Альфред и Клара встречаются и говорят о прошлом. Альфред спрашивает Клару о ребёнке, Клара рассказывает, что это была девочка, она назвала её Женевьевой, она умерла от менингита или какой-то подобной детской болезни… Перед уходом, Клара напоминает Иллу, что завтра вечером будет собрание городской общины.
Перед собранием к Иллу приходит вахмистр и бургомистр. Жена Илла уехала с детьми к родственникам. Он один и готов идти, но бургомистр начинает убеждать Илла, что всем было бы лучше, если бы Илл покончил с собой и спас своих соседей от необходимости принимать тяжкое решение… Вахмистр достаёт из кобуры пистолет и кладёт перед Иллом. Но Альфред Илл отказывается помогать городу сохранить лицо. Он примет любое решение городской общины, а вахмистру советует не забыть свой пистолет.
На городском собрании в здании цирка бургомистр сообщает, что город принял предложение госпожи Цаханассьян. Школьный учитель от лица местной интеллигенции выступает с витиеватой речью, из содержания которой уже нельзя понять, на чьей он стороне… Происходит голосование: руки подымают все, включая священника, учителя и самого Илла… Клара с ужасом и торжеством констатирует: «Ни один не отказался!» Илл уходит за кулисы… Клара Цаханассьян подписывает чек и бросает его из своей ложи, бургомистр и видные горожане ловят его… Тем временем из-за кулис появляется доктор и сообщает, что от переизбытка чувств Альфред Илл умер. Клара Цаханассьян единственная кричит: «Нет!» Вслед за этим тело Илла на катафалке провозят мимо неё и жителей города.</t>
        </is>
      </c>
      <c r="L7298" s="2" t="inlineStr">
        <is>
          <t>https://ru.wikipedia.org/w/index.php?title=%D0%92%D0%B8%D0%B7%D0%B8%D1%82_%D0%B4%D0%B0%D0%BC%D1%8B&amp;oldid=152264402</t>
        </is>
      </c>
      <c r="M7298" s="2">
        <f>HYPERLINK("https://ru.wikipedia.org/w/index.php?search=%D0%92%D0%B8%D0%B7%D0%B8%D1%82%20%D0%B4%D0%B0%D0%BC%D1%8B%201989%20%D1%84%D0%B8%D0%BB%D1%8C%D0%BC","искать")</f>
        <v/>
      </c>
      <c r="N7298" s="3" t="n"/>
      <c r="O7298" s="2" t="n"/>
      <c r="P7298" s="2" t="n"/>
    </row>
    <row r="7299">
      <c r="A7299" s="2" t="n">
        <v>7298</v>
      </c>
      <c r="B7299" s="2" t="inlineStr"/>
      <c r="C7299" s="2" t="n">
        <v>9498</v>
      </c>
      <c r="D7299" s="3" t="inlineStr">
        <is>
          <t>Небеса обетованные</t>
        </is>
      </c>
      <c r="E7299" s="2" t="n">
        <v>1991</v>
      </c>
      <c r="F7299" s="2" t="inlineStr">
        <is>
          <t>кинофильм</t>
        </is>
      </c>
      <c r="G7299" s="2" t="n"/>
      <c r="H7299" s="2" t="n">
        <v>7793</v>
      </c>
      <c r="I7299" s="2" t="inlineStr"/>
      <c r="J7299" s="2" t="inlineStr"/>
      <c r="K7299" s="3" t="inlineStr">
        <is>
          <t>Москва, осень, конец перестройки в СССР. На городской свалке, недалеко от железнодорожного вокзала, живут бездомные люди. Сообщество свалки крайне разнообразно — среди них скрипач-еврей Соломон, машинист (забравший на свалку свой паровоз), художница Фима. Однажды глава нищих Дмитрий Логинов (Митя), бывший партийный работник, а потом диссидент по прозвищу «Президент», вместе с Соломоном объявляют о том, что у них был контакт с инопланетянами, и что все бездомные скоро улетят на другую планету. Сигналом пришествия инопланетян должен будет служить снег голубого цвета.
Далее главным героем фильма становится Катя Иванова. С ней подло обошлись её двое сыновей: старший сын Кирилл «сплавил» мать из Ленинграда в Москву погостить у младшего сына Васи, который в день её приезда напился, избил мать и выгнал на улицу. Оставшаяся ни с чем женщина, потерявшая к тому же память, вынуждена бродить по улицам столицы в поисках еды. Она сталкивается с Фимой и пытается отобрать у неё булку. Завязывается потасовка, и в итоге булка достаётся бродячей собаке. Но Фима решает взять ничего не помнящую женщину под опеку, нарекает её Катей Ивановой и обещает обеспечить местом на свалке. Предприимчивая Фима отправляется с Катей в столовую милосердия, недавно открывшуюся в Сокольниках. Однако там им отказывают в еде, так как для получения бесплатного питания недостаточно просто быть нищим и нуждающимся, надо иметь документ об этом. Подруг по несчастью выдворяют из «заведения милосердия». В знак протеста Фима разбивает окно столовой, в итоге её и Катю арестовывает милиция на 15 суток.
Но из-за отсутствия камеры для женщин, Фиму и Катю определяют «в виде исключения» к временно задержанному Семёну Ефремовичу Бакурину, полковнику в отставке, участнику советско-японской войны. Бакурин угодил за решётку при следующих обстоятельствах: двое неизвестных пытались украсть колёса его машины, а он, увидев это и решив задержать воров, сбросил с балкона тяжёлую гирю на их машину, в результате чего сидевший в машине водитель оказался в длительном обмороке. В зависимости от того, выживет вор или умрёт, будет решаться судьба Бакурина: его либо выпустят, либо переведут в СИЗО как подозреваемого в убийстве при превышении пределов необходимой обороны.
В качестве исправительных работ Фима и Катя делают в отделении уборку. В это время Фима учит Катю, как правильно попрошайничать на улице, делится с ней своими взглядами на профессию нищенки и жизнь в целом. Вскоре отпускают Бакурина — вор пришёл в себя, и теперь судить будут его, а не полковника. Затем на свободу выходят Катя и Фима. Фима приводит Катю на свалку «к своим». Бакурин также приезжает на свалку в гости к новым знакомым. В этот момент на свалку приходят сотрудники американской фирмы. На месте свалки они планируют построить завод по изготовлению противозачаточных средств и отель, однако нищие прогоняют их. Им надо продержаться на свалке до появления голубого снега во что бы то ни стало.
Далее Фима, Катя, Президент и Семён Ефремович отправляются на свадьбу к Фёдору Степановичу Елистратову, брату Фимы, пианисту и солагернику Мити-Президента. Фёдор женился на юной учащейся ПТУ Жанне, которая искала себе комнату и набрела на дачу, где жил Фёдор Степанович, хотя и очень пожилой, но по-прежнему обожающий женщин интеллигент… Спустя некоторое время он сделал ей предложение руки и сердца, и в 8-й раз отправился под венец. По ходу празднества Фима флиртует с Бакуриным, рассказывает о своём с Федей отце-генерале. В конце вечера приезжают настоящие хозяева дачи, которую, как выяснилось, Фёдор, также бездомный, просто занял во время их отсутствия. Они вызывают милицию, всех бездомных арестовывают и отправляют в дом престарелых. Федя сожалеет о случившемся и корит себя за подлый поступок — ведь он обманул Жанну (и ему всё равно, что Жанна и её хваткая тётка из провинции на самом деле хотели просто захватить его дом). Фима же грубо отзывается о Жанне, что не нравится Феде, и он обвиняет сестру в том, что это она, Фима, из-за своей любви к богемному образу жизни, пока Фёдор сидел, растратила всё их имущество и «профукала» роскошную родительскую квартиру. На фоне пережитого Феде становится плохо с сердцем, и он умирает, превратившись в ангела.
Спустя некоторое время на свалку опять приходят представители фирмы вместе с председателем райисполкома Олегом Павловичем Мировым. Бездомным снова удаётся их выгнать, однако их противники не собираются сдаваться. Фима и Митя приходят к бывшей жене Мити Аглае Свидерской, ветерану партии, с просьбой устроить им приём в исполкоме. Аглая отказывается, мотивируя это «идейными соображениями». Митя, несмотря на то, что когда-то Аглая развелась с ним, как только его исключили из партии и посадили, испытывает к ней нежность и доброту. Он рассказывает ей о контакте с инопланетянами, и что он зарезервировал для неё место.
На следующий день на свалку заявляются Кирилл и Вася, сыновья Кати, и сожительница Васи Люська с целью забрать мать домой. Увидев их, Катя сразу вспоминает, кто она такая и как оказалась на улице. После этого она с помощью своих бездомных друзей выгоняет неблагодарных сыновей, не желая их больше видеть. Вслед за этим приезжает Бакурин, чтобы отметить с новыми друзьями свой день рождения. Фима делает подарок Бакурину — конуру на свалке, дающую право на отлёт; Бакурин с благодарностью принимает подарок. После чего Бакурин, Катя и Фима становятся свидетелями, как простодушный бродяга Степан выгоняет на улицу Соломона-скрипача, сопровождая все это антисемитской бранью. Соломон поясняет недоумевающим соседям, что Степа очень впечатлительный: он попрошайничает в парке, где на митинг собираются черносотенцы, и наслушавшись их речей, выпив, начинает бузить. Полковник успокаивает Степана, вылив на него ушат воды.
Катя готовит ужин на празднование дня рождения и рассказывает Мите, Фиме, Соломону и Бакурину свою историю — она работала на правительственной госдаче для высших партийных чиновников, от двух из которых и родила своих сыновей. Партийные начальники оставили Катю, но помогли ей получить для своих детей квартиры, сама же она отдавала сыновьям всё возможное, не замечая, что они вырастают копиями своих высокопоставленных отцов — такими же наглыми, расчётливыми, циничными, но инфантильными.
Появившийся на празднике протрезвевший Степан просит прощения у Соломона и других гостей, на что Президент укоряет его, поясняя, что «у нищих национальность общая».
С неба идёт голубой снег, а это означает, что скоро прибудут инопланетяне. Все местные жители собираются покинуть планету. Они видят яркий свет, который внезапно исчезает, и вместо инопланетян появляются армейские подразделения, ОМОН и председатель райисполкома Миров. Они требуют от бездомных немедленно покинуть территорию свалки и готовы начать снос танками, служащими в качестве бульдозеров. Появляется Аглая, возмущённая тем, что в исполкоме ей соврали, пообещав, что вопрос решится по-хорошему. Бакурин пытается образумить армию и милицию и призывает не совершать насилие. Но начальник милиции приказывает «убрать крикуна». Танк уничтожает «Москвич» полковника и чуть ли не давит самого Бакурина. После этого омоновцы и солдаты начинают штурм свалки, арестовывая её обитателей и сажая в милицейские машины, однако часть бездомных, среди них Митя-Президент, Аглая, Фима, Семён Ефремович, Катя, Машинист, Соломон и его друг Степан, оказывают сопротивление и в общей суматохе успевают сбежать на старом паровозе. Милиция на машине обгоняет его и переводит стрелку. Но паровоз, вместо того, чтобы столкнуться со стоящим на пути вагоном, неожиданно взлетает в небо. Увидевший это, Миров приказывает остановить паровоз с помощью зенитных установок ПВО «Шилка», однако и это не помогает. Паровоз навсегда покидает Землю, унося в небеса обетованные людей, которые на ней стали больше не нужны.</t>
        </is>
      </c>
      <c r="L7299" s="2" t="inlineStr">
        <is>
          <t>https://ru.wikipedia.org/w/index.php?title=%D0%9D%D0%B5%D0%B1%D0%B5%D1%81%D0%B0_%D0%BE%D0%B1%D0%B5%D1%82%D0%BE%D0%B2%D0%B0%D0%BD%D0%BD%D1%8B%D0%B5&amp;oldid=154737510</t>
        </is>
      </c>
      <c r="M7299" s="2">
        <f>HYPERLINK("https://ru.wikipedia.org/w/index.php?search=%D0%9D%D0%B5%D0%B1%D0%B5%D1%81%D0%B0%20%D0%BE%D0%B1%D0%B5%D1%82%D0%BE%D0%B2%D0%B0%D0%BD%D0%BD%D1%8B%D0%B5%201991%20%D1%84%D0%B8%D0%BB%D1%8C%D0%BC","искать")</f>
        <v/>
      </c>
      <c r="N7299" s="3" t="n"/>
      <c r="O7299" s="2" t="n"/>
      <c r="P7299" s="2" t="n"/>
    </row>
    <row r="7300">
      <c r="A7300" s="2" t="n">
        <v>7299</v>
      </c>
      <c r="B7300" s="2" t="inlineStr"/>
      <c r="C7300" s="2" t="n">
        <v>9271</v>
      </c>
      <c r="D7300" s="3" t="inlineStr">
        <is>
          <t>Виват, гардемарины!</t>
        </is>
      </c>
      <c r="E7300" s="2" t="n">
        <v>1991</v>
      </c>
      <c r="F7300" s="2" t="inlineStr">
        <is>
          <t>кинофильм</t>
        </is>
      </c>
      <c r="G7300" s="2" t="inlineStr">
        <is>
          <t>Мосфильм</t>
        </is>
      </c>
      <c r="H7300" s="2" t="n">
        <v>8290</v>
      </c>
      <c r="I7300" s="2" t="inlineStr"/>
      <c r="J7300" s="2" t="inlineStr"/>
      <c r="K7300" s="3" t="inlineStr">
        <is>
          <t>1744 год. Российская империя. Будучи бездетной, но при этом желая окончательно закрепить на российском престоле свою — «петровскую» — линию династии Романовых, императрица Елизавета Петровна решает женить своего привезённого из Пруссии племянника Карла Петера Ульриха, названного в России «Петром Фёдоровичем», на какой-нибудь знатной, но при этом желательно не очень богатой и не очень своевольной европейской «принцессе».
При этом сам Пётр Фёдорович уже неравнодушен к российской придворной красавице Анастасии Ягужинской, однако она влюблена в Александра Белова, который служит в лейб-гвардии императрицы. Императрица же помнит участие матери Анастасии — Анны Бестужевой — в прошлогоднем «раскрытом дворцовом заговоре» и поэтому не слишком жалует девушку. Она хочет побыстрее выдать Анастасию замуж за губернатора далёкого Тобольска.
Уединившись с Беловым в охотничьем домике, Анастасия рассказывает ему обо всём, и Белов клянётся, что никому не отдаст любимую. В это же время в домик наведывается разгульная компания во главе с нетрезвым наследником российского престола Петром Фёдоровичем. Белов, замотав лицо косынкой, даёт жёсткий отпор наследнику, вступает в бой с его спутниками и побеждает. Они с Анастасией скрываются. Позже Пётр пытается опознать Белова среди гвардейцев тётки-императрицы. Елизавету интригует смелый юноша-гвардеец и его заступничество за Ягужинскую, и она даёт Белову «секретное поручение государственной важности» — тайно привезти в Россию из Пруссии ещё одних своих важных гостей.
Об этом узнает вездесущий вице-канцлер Бестужев. Он вызывает к себе Алексея Корсака — друга Белова, который будет составлять Александру компанию в поездке в Пруссию, и поручает стать соглядатаем за Беловым, угрожая в случае отказа Корсаку «ссылкой на галеры» и «Сибирью» — для его жены и маленького сына за то, что гардемарин Алексей Корсак женился раньше, чем позволял флотский устав того времени.
Белов и Корсак отправляются в путь. Анастасия отправляется вместе с ними, чтобы избежать принудительного замужества в отсутствие Белова. Втроём они прибывают в Берлин, где останавливаются у российского посла в Пруссии — графа Чернышёва. Оставив здесь Анастасию, Александр и Алексей отправляются за гостями в маленький городок Цербст.
В это время Никита Оленев в сопровождении камердинера Гаврилы возвращается на зимние каникулы в Россию из европейского Гёттингенского университета. Его путь тоже лежит через городок Цербст. На подъезде к Цербсту он встречает юную прусскую всадницу с двумя спутниками и с первого взгляда влюбляется в прелестную «валькирию». «Валькирия» — немецкая принцесса София-Августа-Фредерика, которую все домашние называют просто Фике, приехав домой, узнаёт, что только что прибыли двое из России и привезли ей срочное приглашение в эту северную империю. Девушка должна ехать в Петербург, где её хочет видеть дальняя родственница — российская императрица Елизавета, которая ищет невесту своему племяннику — тоже вызванному из Пруссии будущему наследнику российского престола Петру.
В тот же вечер в Берлине во французском посольстве встречаются двое старых друзей: бывший посол Франции в России, а ныне посол Франции в Пруссии — Шетарди и дипломат — шевалье де Брильи. Шетарди сообщает де Брильи, что возможная претендентка на руку будущего российского императора — немецкая принцесса София-Августа-Фредерика — должна со дня на день выехать в Петербург в сопровождении матери Иоганны. Де Брильи поручается миссия: очаровать их и добыть какой-нибудь компромат на Фике и Иоганну, чтобы Франция получила возможность управлять волей возможной будущей жены русского цесаревича.
Из Цербста выезжает карета герцогини Иоганны и Софии под ложными именами «графинь Рейнбек». Перед этим Белова и Корсака запирают в одном из покоев замка, чтобы они не путались под ногами у знатных особ и случайно не расстроили важную миссию дам. Одновременно из Цербста выезжает карета Никиты Оленева, которому известно, что понравившаяся ему «Фике» едет в Берлин. В лесу дамы подбирают «раненого путешественника» из Парижа — де Брильи, на которого будто бы «напали разбойники». Догнавший их Оленев предлагает свою помощь. Но ограбление — на самом деле лишь инсценировка, с тем чтобы шевалье попал в карету к «графиням Рейнбек». Тем временем Белов и Корсак вырываются из замка в Цербсте и следуют за герцогиней и Фике.
По прибытии в Берлин «графини Рейнбек» отправляются на зимний музыкальный вечер, который прусский король Фридрих II устраивает в своём летнем дворце Сан-Суси. Корсак, нарядившись в женское платье, тоже едет в Сан-Суси вместе с Анастасией и посольской четой Чернышёвых. Во дворце король поочерёдно конфиденциально наставляет Иоганну и Софию в их тайной миссии на благо своей родины — будущем шпионаже в России. Корсак подслушивает их. Также у Иоганны происходит любовное свидание с де Брильи, во время которого он похищает у герцогини письма короля Фридриха. Но планы шевалье неожиданно нарушаются: рядом с российским послом он видит свою роковую любовь — Анастасию Ягужинскую.
Корсак возвращается из дворца и сообщает, что за Иоганной и Фике следит де Брильи. На очередном постоялом дворе друзья решают обмануть его: Никита уговорит «графинь Рейнбек» пересесть в свою карету и увезёт в безопасное место, а Белов и Корсак с помощью кареты герцогини отвлекут внимание де Брильи. После встречи с де Брильи Анастасия решает не расставаться больше с Беловым и настаивает на том, чтобы он взял её с собой. В итоге внимание шевалье отвлекают уже трое. Они запутывают де Брильи, его слугу Жака и их людей на лесной дороге. Белов, Ягужинская и Корсак укрываются на мельнице возле реки. Де Брильи, Жак и их люди окружают мельницу, но штурмовать не рискуют. Де Брильи боится, что в перестрелке пострадает Анастасия, а также Фике с матерью, которые, как он думает, тоже находятся здесь.
В это время Иоганна и Фике находятся уже на пограничном постоялом дворе, куда их привёз Никита Оленев. Ночью он признаётся юной Фике в любви. Хитрая принцесса берёт с него клятву вечной верности и служения. Утром за «графинями Рейнбек» прибывает казачий разъезд, чтобы доставить их в Петербург.
В то же самое время у реки, проникнув через кольцо осады на мельницу, Никита воссоединяется с Беловым и Корсаком. Они готовятся к битве. Неожиданно Белов и Оленев узнают, что Корсак тайно пишет обо всём происходящем отчёт Бестужеву. Друзья упрекают Алексея в предательстве. Он рассказывает о том, как вице-канцлер принудил его шпионить за Беловым и Иоганной, но подозрения Бестужева были не напрасны: «графиня Рейнбек» — прусская шпионка. Поэтому он закончит свой отчёт, и один из них должен остаться в живых, чтобы доставить его в Петербург. Де Брильи же наконец-то понимает, что герцогини на мельнице нет, и отдаёт приказ о штурме. В бою шевалье, завидев, что его слуга целится в его возлюбленную, бежит вперёд и закрывает собой Ягужинскую. Жак не успевает среагировать и стреляет в грудь хозяина. Между ним и Беловым завязывается дуэль, в ходе которой первый проигрывает, получая сильное ранение шпагой в грудь. Приземляясь на колени, стрелок замертво падает в воду. Ягужинская оплакивает умирающего у неё на руках де Брильи…
В Петербурге императрица Елизавета готовится к приёму в честь прибывших — герцогини Иоганны Ангальт-Цербстской и её дочери Софии-Августы-Фредерики. Но вездесущий Бестужев предоставляет Елизавете срочный отчёт о том, какие планы на самом деле вынашивают высокие гостьи. Елизавета предъявляет Иоганне и её дочери доказательства их шпионской деятельности. Фике бросается на колени перед Елизаветой и признаётся во всем, но клянётся, что готова служить России, стать русской и поменять свою веру на православную. Елизавета смягчается, приказывает не отменять праздник и нарядить Фике, как подобает невесте наследника русского престола. Тем более, что будущий жених сильно нервничает и грозится устроить дебош, если смотрины отменят или отложат на другое время.
На аудиенцию к императрице и Бестужеву, уже назначенному к этому времени канцлером, прибывают Белов, Корсак и Оленев. Во дворце на лестнице они встречают юную «графиню Рейнбек», но церемониймейстер не позволяет влюблённому Оленеву попытаться обнять её. И тут друзья наконец-то понимают, что они сопровождали из Пруссии в Россию не простую дочь графини, а будущую жену наследника престола Российской империи.</t>
        </is>
      </c>
      <c r="L7300" s="2" t="inlineStr">
        <is>
          <t>https://ru.wikipedia.org/w/index.php?title=%D0%92%D0%B8%D0%B2%D0%B0%D1%82%2C_%D0%B3%D0%B0%D1%80%D0%B4%D0%B5%D0%BC%D0%B0%D1%80%D0%B8%D0%BD%D1%8B%21&amp;oldid=155367862</t>
        </is>
      </c>
      <c r="M7300" s="2">
        <f>HYPERLINK("https://ru.wikipedia.org/w/index.php?search=%D0%92%D0%B8%D0%B2%D0%B0%D1%82%2C%20%D0%B3%D0%B0%D1%80%D0%B4%D0%B5%D0%BC%D0%B0%D1%80%D0%B8%D0%BD%D1%8B%21%201991%20%D1%84%D0%B8%D0%BB%D1%8C%D0%BC","искать")</f>
        <v/>
      </c>
      <c r="N7300" s="3" t="n"/>
      <c r="O7300" s="2" t="n"/>
      <c r="P7300" s="2" t="n"/>
    </row>
    <row r="7301">
      <c r="A7301" s="2" t="n">
        <v>7300</v>
      </c>
      <c r="B7301" s="2" t="inlineStr"/>
      <c r="C7301" s="2" t="n">
        <v>9434</v>
      </c>
      <c r="D7301" s="3" t="inlineStr">
        <is>
          <t>Коршуны добычей не делятся</t>
        </is>
      </c>
      <c r="E7301" s="2" t="n">
        <v>1988</v>
      </c>
      <c r="F7301" s="2" t="inlineStr">
        <is>
          <t>кинофильм</t>
        </is>
      </c>
      <c r="G7301" s="2" t="n"/>
      <c r="H7301" s="2" t="n">
        <v>8593</v>
      </c>
      <c r="I7301" s="2" t="inlineStr"/>
      <c r="J7301" s="2" t="inlineStr"/>
      <c r="K7301" s="3" t="inlineStr">
        <is>
          <t>1948 год. В молдавском селе действует антисоветское вооружённое формирование зажиточного в прошлом крестьянина Томы Стратана. Группировка срывает создание колхоза, ведёт антисоветскую агитацию, совершает вооружённые нападения. При этом распространяемые листовки написаны языком не «полуграмотного бандита», а человека хорошо информированного, исторически образованного и имеющего навыки политической пропаганды. Это наводит на мысль, что «в банде есть свой комиссар».
Для ликвидации «банды Стратана» органы МГБ направляют в село молодого лейтенанта Андрея Брумэ — комсомольского активиста и студента-филолога. Перед ним поставлена задача: внедриться в группировку, определить «политическое лицо банды», выявить её связи в крестьянской среде. Руководитель операции капитан МГБ Микулец особенно настаивает на последнем: он не скрывает своей заинтересованности в максимальном количестве заведённых дел и арестов. Лейтенант Брумэ приезжает в село под видом нового продавца сельского магазина.
Председатель сельсовета Мария Жосан, бывшая фронтовая медсестра, по приказу сверху принуждает сельчан подписываться на государственный заём. Поставлен план: 120 тысяч рублей. Жосан понимает, что обнищавшая деревня не в состоянии собрать таких денег и втайне явно сочувствует крестьянам. Однако действовать вынуждена жёстко, что вызывает глухую озлобленность и отчуждение. Хорошие отношения руководящая коммунистка поддерживает только с приезжей фельдшерицей Наташей Соловьёвой и деревенским священником, вполне признавшим советскую власть. Благосостояние позволяет священнику подписаться на 10 тысяч рублей.
Жосан заставляет подписаться на заём зажиточного сельчанина Тимофти. Тот отказывается и в запале предлагает ей купить у него портрет Сталина. Жосан приказывает бригадмильцу задержать Тимофти, но ему удаётся бежать в лес к Стратану.
Ночью Стратан со своими повстанцами наведывается в деревню. Под угрозой расстрела они заставляют Брумэ (в котором ещё не подозревают чекиста) открыть магазин. Брумэ легко вычисляет «комиссара» — это бывший студент Корнел. В то время, как другие боевики интересуются в магазине продуктами и тканями, Корнел изучает книжный отдел. Увидев книгу «Молодая гвардия», он задаёт «продавцу» вопрос: «Это ещё что такое? Я только Железную знаю». Между Андреем и Корнелом завязывается политическая дискуссия. Выясняется, что Корнел «ненавидит фашизм так же, как коммунизм» (он отлично разбирается в политических дефинициях и идеологических различиях), но более всего — «тех, кто им служит». Становится очевидным, кто мог написать листовку, обличающую «коммунистов-фанариотов» и призывающую бойкотировать государственный заём, который «пойдёт на танки для захвата второй половины Европы». В разговоре Корнел временами переходит на французский.
Брумэ узнаёт, что главным укрытием группировки в деревне является дом пожилой крестьянской четы Делимарц. Он пишет об этом рапорт Микульцу. Однако после разговора с Делимарцем проникается сочувствием к крестьянам и переписывает донесение, убирая из текста конкретные имена укрывателей.
После магазина повстанцы заходят домой к Марии Жосан. Над ней издеваются, заставляют танцевать босиком на ореховой скорлупе, однако серьёзного насилия не применяют и вскоре уходят. Андрей заступается за женщину, в результате получает выговор от Микульца — для капитана главное успех операции, а поведение Андрея может вызвать подозрения. Микулец лично берётся за выбивание займа: запирает крестьян в «холодную» и требует подписки, угрожая репрессиями (поводы он находит легко: «почему не воевал?», «не любишь советскую власть?» и т. д.). Тем временем у Андрея возникает симпатия к фельдшерице Наташе. Когда он подрабатывает водителем сельсоветовского грузовика, его останавливают в лесу люди Стратана и используют грузовик в своих целях. После перестрелки с бригадмиловцами им с трудом удаётся уйти. После этого Андрей становится «своим» и уходит в лес.
В базовой землянке Брумэ становится свидетелем «политпросвета», который ведёт Корнел: «Вас будут носить на руках! О вас напишут песни как о настоящих гайдуках!» Надежды Стратана более приземлённые: он рассчитывает на помощь США. Рядовые бойцы смотрят на всё реалистично и цинично: «Помним мы и прежние власти. Никому до мужика дела нет. А пока американцев ждёшь, Богу душу отдашь…»
Стратан запланировал налёт на сельсовет и захват денег, собранных на госзаём. Корнел категорически требует раздать их крестьянам: «Люди должны знать, что мы не бандиты! Мы их не грабим, а защищаем!» Многие против, но Стратан, после некоторых колебаний, соглашается с Корнелом.
Чтобы помочь раненому боевику, решено привести в землянку фельдшерицу Соловьёву. Брумэ передаёт через неё Микульцу информацию о плане налёта на сельсовет. Он уверен, что вся группировка будет там арестована без единого выстрела.
Однако, к удивлению Брумэ, Микулец не принимает никаких мер к захвату «бандитов». Забрав в сельсовете кассу, Стратан и Корнел собирают сельчан на площади у деревенской церкви. Они торжественно возвращают займовые деньги. Крестьяне искренне благодарят. Стратан напоминает: «Если бы не мы, вы бы давно уже в колхозе из общего котла жрали».
Однако вмешивается священник, призывающий не брать деньги назад: «Они в лес уйдут, а вам перед властью отвечать». Ему удаётся пробудить в людях страх, настроение толпы меняется. Взбешённый Стратан сжигает деньги. Корнел заявляет, что ему «стыдно за свой народ — молдавского зубра превратили в покорного вола».
При уходе из деревни повстанцы наталкиваются на бригадмил. Происходит боестолкновение, в котором ранен Андрей Брумэ: ведь для бригадмильцев он — один из «бандитов». Его захватывают в плен и помещают в тюремный госпиталь.
Там его посещает Микулец. Брумэ задаёт вопрос: «Почему банду не захватили в сельсовете, раз информация поступила вовремя?» Капитан МГБ раскрывается перед лейтенантом: «Твоя задача не ликвидировать банду, а узнать её связи. Бандиты даже помогают выявлять своих пособников, они нужны нам. Если бы Стратана не было, я должен был бы его выдумать». Брумэ, чекист «шараповского» типа, возмущён циничным признанием: «Банда не может быть нужна советской власти. Банда нужна лично вам для карьеры». Он собирается ехать разбираться к начальству в Кишинёв. Микулец предупреждает, что часовой не выпустит лейтенанта. «Я что, действительно арестован?» — спрашивает Брумэ. Микулец многозначительно молчит.
Брумэ удаётся бежать. Он приходит к цыгану Порумбелу, связному группировки, и требует связать его со Стратаном. Порумбел пытается убить Брумэ, но тот одерживает верх и вынуждает привести на базу повстанцев.
В ходе допроса повстанцы выясняют, кем в действительности является Андрей Брумэ. Главную роль в разоблачении играет Порумбел, который, оказывается, давно следил за Брумэ. Андрей убеждает сдаваться, обещая смягчение наказания. Стратан выводит Андрея и расстреливает из автомата. Раны не смертельны, но Стратан не знает об этом.
Вернувшись к сообщникам, Стратан предъявляет им жёсткие претензии. В группировке возникает внутренний конфликт. Стратан приводит в действие взрывное устройство. Погибают все боевики, кроме Стратана и Порумбела.
Стратан приходит к Делимарцам и встречает там Микульца. Он открывается капитану госбезопасности говорит, что готов сдаться, но требует гарантий для своей семьи. Микулец охотно соглашается, но требует, чтобы Стратан написал подробную явку с повинной перечислив всех, кто оказывал ему помощь — в том числе мужа и жену Делимарц, в доме которых они находятся. У Стратана исчезают все иллюзии: «Пожалеете вы мою семью, как же». Он вызывает Микульца на мужское соревнование: «Кто кого перепьёт, тот и уйдёт отсюда». Микулец соглашается и после нескольких стаканов отключается в алкогольном трансе. Стратан забирает его оружие и уходит.
Несколько месяцев спустя МГБ обнаруживает дом, где скрывается Тома Стратан с женой, сыном и дочерью. Его сдаёт всё тот же Порумбел, завербованный МГБ. Операцией командует Микулец, участвует выздоровевший после ранений Брумэ.
Микулец предлагает Стратану сдаться. Тот отказывается и вместе с женой и сыном принимает бой, перед этим выпустив через окно малолетнюю дочь. Несколько минут спустя отец и сын погибают в перестрелке.
На следующее утро Микулец уезжает из села, командовать местными силовыми структурами остаётся Брумэ. Перед самым отъездом Микулец напутствует Жосан насчёт госзайма: «Ещё восемь тысяч осталось. Взыскать!» Мария говорит о своей усталости.
Появляется Порумбел, тянущий за собой упирающуюся девочку: «Вот, поймал!» Это — дочь Томы Стратана. «Отпусти ребёнка», — приказывает лейтенант Брумэ. Растерянный Порумбел подчиняется. Девочка убегает к лесу.</t>
        </is>
      </c>
      <c r="L7301" s="2" t="inlineStr">
        <is>
          <t>https://ru.wikipedia.org/w/index.php?title=%D0%9A%D0%BE%D1%80%D1%88%D1%83%D0%BD%D1%8B_%D0%B4%D0%BE%D0%B1%D1%8B%D1%87%D0%B5%D0%B9_%D0%BD%D0%B5_%D0%B4%D0%B5%D0%BB%D1%8F%D1%82%D1%81%D1%8F&amp;oldid=146667018</t>
        </is>
      </c>
      <c r="M7301" s="2">
        <f>HYPERLINK("https://ru.wikipedia.org/w/index.php?search=%D0%9A%D0%BE%D1%80%D1%88%D1%83%D0%BD%D1%8B%20%D0%B4%D0%BE%D0%B1%D1%8B%D1%87%D0%B5%D0%B9%20%D0%BD%D0%B5%20%D0%B4%D0%B5%D0%BB%D1%8F%D1%82%D1%81%D1%8F%201988%20%D1%84%D0%B8%D0%BB%D1%8C%D0%BC","искать")</f>
        <v/>
      </c>
      <c r="N7301" s="3" t="n"/>
      <c r="O7301" s="2" t="n"/>
      <c r="P7301" s="2" t="n"/>
    </row>
    <row r="7302">
      <c r="A7302" s="2" t="n">
        <v>7301</v>
      </c>
      <c r="B7302" s="2" t="inlineStr"/>
      <c r="C7302" s="2" t="n">
        <v>9197</v>
      </c>
      <c r="D7302" s="3" t="inlineStr">
        <is>
          <t>Абориген</t>
        </is>
      </c>
      <c r="E7302" s="2" t="n">
        <v>1988</v>
      </c>
      <c r="F7302" s="2" t="inlineStr">
        <is>
          <t>кинофильм</t>
        </is>
      </c>
      <c r="G7302" s="2" t="inlineStr">
        <is>
          <t>к/с им. Горького</t>
        </is>
      </c>
      <c r="H7302" s="2" t="n">
        <v>8698</v>
      </c>
      <c r="I7302" s="2" t="inlineStr"/>
      <c r="J7302" s="2" t="inlineStr"/>
      <c r="K7302" s="3" t="inlineStr">
        <is>
          <t>Борис Хромов — подросток из Сургута, пятнадцати лет с трудным характером, ведёт «полудикий» образ жизни. Всё свободное от школы время он проводит в лодке на реке и, как его отец, погибший после развода с его матерью, занимается выловом рыбы, которую сдаёт местной перекупщице - Михайлине «кулачке».
Плывя по реке он попадает в место, где проходит тренировка молодёжного яхт-клуба и вступает в конфликт с одним из его старших воспитанников. Тот в грубой форме требует от Борьки, чтобы он не мешал курсантам тренироваться. Борис в ответ совершает навал на его катер, а затем, создавая мотором своей лодки волны, опрокидывает на бок клубные швертботы. Руководитель клуба молодых яхтсменов бросается за ним в погоню на катере, но в итоге врезается в берег из-за хитрых Борькиных манёвров.
Друг отца Юрий Куйбида, который живёт на списанном траулере и промышляет браконьерством, и к которому Борька периодически наведывается в гости, уговаривает его сходить домой и помириться с матерью. Тот соглашается и идёт домой, где у него возникает разговор на повышенных тонах с отчимом — Феликсом, который предлагает Борису продать отцовскую лодку и купить автомобиль. Борис отказывается наотрез, ругается с отчимом и, поздним вечером уйдя из дома, в расстроенных чувствах слоняется по городу и берегу реки, после чего возвращается к отцовскому приятелю. Тот сообщает ему, что на строительный участок теплотрассы приехал стройотряд, знакомый Борьке по прошлому году. Борька едет туда и узнаёт, что стройотряд не тот, который был в прошлом году, но тем не менее заводит со студентами журфака знакомство и договаривается ловить для них рыбу и готовить из неё еду. В благодарность его новые знакомые студенты хотят пригласить в гости Бориса в Москву «прокатить на метро» и «сводить в театр». Далее Борис становится свидетелем и отчасти невольным участником непростых взаимоотношений внутри отряда, впоследствии переросших в открытый конфликт. Командир отряда Олег и его подчинённый Степан влюблены в одну девушку — Алёну, у которой ранее были отношения со Степаном. У Борьки также возникают романтические чувства к Алёне, которой он рассказывает как погиб его отец.
Возвращаясь от стройотрядовцев, Борис встречается на реке с рыбаками артельщиками, которые выбрасывают выловленную ими рыбу обратно в реку. Он ругается на них и грозит «напустить Колчака» (участкового), но те объясняют ему, что им не доставили вовремя тару, из-за чего им теперь и пришлось выбросить весь улов. Борис берёт у них несколько нельм и муксунов, которые сдаёт перекупщице и на вырученные деньги покупает матери французские духи в подарок на день рождения. Так делал его покойный отец: даже, после развода с его матерью, он каждый год на день её рождения дарил ей цветы и французские духи. Мать, хоть и встречает сына с радостью, но не сообщает гостям о его приходе и жалуется ему, что устала постоянно жить в одиночестве и постоянной разлуке с его отцом, а теперь — с ним самим. Поздним вечером он снова тихо уходит из дома и снова бесцельно слоняется по берегу реки, где встречает четырёх воспитанников яхт-клуба, которые собираются его проучить за его проделки с «Кадетами». Избитый Борька идёт к Юрию, у которого оставил лодку и просит у него ключ от неё, чтобы отомстить своим обидчикам. Юрий, видя его состояние, отказывает и пытается отговорить Борьку от затеи свести счёты, а затем советует закончить школу, но в конце концов отдаёт ему ключ, так как Борька соврал, что едет к стройотрядовцам.
Незаметно, в темноте Борька подбирается к базе яхт-клуба и, во время отдыха курсантов у костра, отвязывает пришвартованные клубные шверботы, один из которых попадает под проходящий по реке буксир. Курсанты бросаются в воду за отшвартованными яхтами, а Борис подзадоривая их кричит им: «Спокойной ночи, лягушатники!».
На рассвете, по пути к стройотряду, Борис встречается на реке с милиционером, который его спрашивает «не видел ли он кого-нибудь из чужих» и просит сообщить если увидит «двух бритых». Приехав к студентам, Борис становится свидетелем спора Олега и Степана, который благодаря вовремя подоспевшему Виктору, едва не перерос в драку. Степан предлагает работать сверхурочно, чтобы заработать побольше. Олег объясняет ему, что бригада физически не сможет работать больше и предлагает Степану коллективную помощь от бригады, что тот воспринимает как личное оскорбление. Далее Степан предлагает Борьке «подзаработать на Москву», занявшись браконьерством осетровой икры. Борис пытается его отговорить от этой опасной затеи и говорит, что достанет деньги. Он едет к Юрию и просить дать денег ему взаймы, но тот отказывает и также предлагает Борьке взять сеть и выйти «на пески» (место нереста и браконьерства осетра). После Юрия Борис натыкается на стоящий на якоре буксир «Тайфун» и просит его капитана взять его на работу юнгой. Капитан выслушивает его, но вынужден отказать и предлагает Борьке приходить, когда он подрастёт и получит паспорт.
Придя домой, Борька застаёт в гостях тренера яхт-клуба, который жалуется матери и отчиму за его хулиганство на воде и говорит, что не видит другого выхода, как идти в милицию. Мать расстраивается и просит Бориса, чтобы он слушал Феликса. Феликс посылает её в магазин, а когда она уходит сам начинает жаловаться на Борьку тренеру, обвиняя его в том, что Борька угнал его лодку и что платить за него он не будет. Борька вскипает и кричит, что Феликс врёт и что лодка не его. Тренер, видя непростые взаимоотношения в семье и поняв, что Феликс был бы только рад избавиться от такого пасынка, рвёт заявление в милицию, говорит что платить за списанную яхту Феликсу не придётся и уводит Бориса на улицу. На улице он рассказывает Борьке про яхт-клуб, что многие его курсанты из похожих на Борькину неблагополучных семей и только вступление в яхт-клуб спасло многих «от сроков». Между ними завязывается дружба и они вдвоём на Борькиной лодке едут в тот самый яхт-клуб, где тренер знакомит его с его курсантами и представляет его как «бывшего пирата и нового члена клуба», затем предлагает Борису занять место в строю курсантов. Но Борьке не по нраву строевая дисциплина клуба, поэтому он молча покидает его базу, едет к Куйбиде и требует сеть, после чего решается выйти на «пески», захватив Степана. Местные браконьеры поначалу не узнав Борьку не пускают его к месту вылова, но впоследствии признав сообщают ему предупредительный сигнал в случае милицейской облавы на браконьеров. Во время вылова Степан выпрашивает у Борьки бутылку водки и напивается. Звучат два выстрела из ружья — это сигнал об облаве. Борис и Степан вынуждены уходить, но им удалось выловить нескольких осетров и выпотрошить икру из одного. Сбросив улов, они умело уходят от милицейского преследования и под утро возвращаются в лагерь стройотряда. Высадив Степана, Борис едет к Куйбиде, чтобы вернуть сеть и по дороге решает подремонтировать гребной винт, где встречает рыбака, который сообщает Борьке, что его отчим Феликс написал заявление в милицию на угон лодки. Борис прячет в берег реки сеть Куйбиды и возвращается в лагерь стройотряда. Из палатки командира выходит Степан со своим рюкзаком на плече и говорит Борьке: «Поехали». За ним следует Олег и говорит Борьке, что он не будет выяснять, где они были прошлой ночью со Степаном и чья была водка, но даёт понять Борьке, чтобы он больше в лагере не появлялся. Другие студенты возмущены таким отношением к Борису, т.к. он долгое время ловил для них рыбу и готовил им еду, на что Олег спрашивает Борьку: «Сколько мы тебе должны?», но Борис молча отказывается брать деньги и смотрит на Алёну, которая с расстроенным выражением лица молча смотрит на Бориса. Степан торопит Борьку и они вместе уезжают в город. По дороге Степан рассказывает Борьке, что стройотряд, по инициативе Олега, провёл комсомольское собрание, на котором было решено исключить Степана из отряда, а также от обиды плохо отзывается и об Олеге, и об Алёне, чем вызывает у Борьки на себя гнев.
Выбросив за борт рюкзак Степана и вынуждая его самого спрыгнуть в воду, Борька приходит в замешательство, случайно оказавшись в засаде милиции и подразделения ВВ, которую устроили для поимки беглых заключённых. Испугавшись, что облава устроена на него, так как ранее отцовский приятель сообщил ему, что его отчим написал заявление в милицию на угон отцовской лодки, пытается уйти от милицейского преследования и минует расставленные посты. Уйдя от погони, он оказывается в эпицентре облавы и застигнутым врасплох сбежавшими уголовниками. В финальной сцене Борька лежит на берегу без сознания, а двое бандитов отчаливают на его лодке от берега. На заднем плане пробегают милиционеры с собаками и солдаты-автоматчики, а из милицейского мегафона слышится сообщение: «Внимание! Преступники захватили лодку..».</t>
        </is>
      </c>
      <c r="L7302" s="2" t="inlineStr">
        <is>
          <t>https://ru.wikipedia.org/w/index.php?title=%D0%90%D0%B1%D0%BE%D1%80%D0%B8%D0%B3%D0%B5%D0%BD_%28%D1%84%D0%B8%D0%BB%D1%8C%D0%BC%29&amp;oldid=148926579</t>
        </is>
      </c>
      <c r="M7302" s="2">
        <f>HYPERLINK("https://ru.wikipedia.org/w/index.php?search=%D0%90%D0%B1%D0%BE%D1%80%D0%B8%D0%B3%D0%B5%D0%BD%201988%20%D1%84%D0%B8%D0%BB%D1%8C%D0%BC","искать")</f>
        <v/>
      </c>
      <c r="N7302" s="3" t="n"/>
      <c r="O7302" s="2" t="n"/>
      <c r="P7302" s="2" t="n"/>
    </row>
    <row r="7303">
      <c r="A7303" s="2" t="n">
        <v>7302</v>
      </c>
      <c r="B7303" s="2" t="inlineStr"/>
      <c r="C7303" s="2" t="n">
        <v>7288</v>
      </c>
      <c r="D7303" s="3" t="inlineStr">
        <is>
          <t>Быть человеком</t>
        </is>
      </c>
      <c r="E7303" s="2" t="n">
        <v>1973</v>
      </c>
      <c r="F7303" s="2" t="inlineStr">
        <is>
          <t>телефильм</t>
        </is>
      </c>
      <c r="G7303" s="2" t="inlineStr">
        <is>
          <t>Беларусьфильм</t>
        </is>
      </c>
      <c r="H7303" s="2" t="n">
        <v>8943</v>
      </c>
      <c r="I7303" s="2" t="inlineStr"/>
      <c r="J7303" s="2" t="inlineStr"/>
      <c r="K7303" s="3" t="inlineStr">
        <is>
          <t>Фильм начинается со сцены звонка Михаила Билоуса из телефона-автомата депутату райсовета. В разговоре Билоус сообщает что уезжает и дожидаться пока разберут его дело не будет. На предложения остаться не соглашается и вешает трубку.
На железнодорожном вокзале в Белоруссии проходят торжественные проводы комсомольцев на недавно начавшуюся стройку Мозырского нефтехимического комбината. Главный герой в этот момент прощается на перроне с крестной матерью, которую зовет Васильевной, и объясняет ей причины отъезда. Детство своё и родителей он помнит плохо (мама была санитаркой на фронте) и крестная заменила ему маму.
Далее показано как Михаил прибывает на стройку большого промышленного объекта () и ищет штаб. По громкой связи говорится о задачах 24 Съезда Партии (1971 год) и упоминаются достижения бригадира Злобина Николая (пионера бригадного подряда). Пробираясь по стройплощадке Николай знакомится с девушкой Надей, которая провождает его в штаб строительства. Там проходит в этот момент заседание, где Николай заявляет что прибыл по собственной инициативе без комсомольской путевки. Рассказывает, что с предыдущего места работы он ушёл по собственному желанию из-за конфликта с начальством. Один из участников заседания — прораб Петр Середа заявляет что берет его, а характер кандидата ему не помеха. Робкое возражение другого члена — Жуковой остается без внимания.
Из новоприбывших на стройку молодых парней и девушек формируется бригада, руководителем которой назначают Билоуса. В бригаде Николая оказываются также девушка Надя, с которой он познакомился ранее во время поисков штаба, и девушка прораба — Светлана. Но в бригаде собралась не только одна молодёжь — в неё попадает один семейный строитель (Буравчик) и пожилой местный житель — Петрович. Деревня Петровича находится около стройки и ходят слухи что она будете снесена.
Бригаде Михаила поручается ответственное задание — постройка здания операторской. Члены бригады кладут кирпичную кладку. В процессе работы бригадир и рабочие постепенно узнают друг друга. Михаил показывает себя инициативным руководителем — добивается дефицитных материалов и улучшает финансовые условия работы членов бригады.
Прораб озвучивает мысли о преобразовании бригады в комплексную. Билоус резок и нетерпим как к подчиненным так и к начальству. Но он не только требует с подчинённых, но и сам усиленно работает, по его собственному выражению, «как бельгийская лошадь» то есть за четверых.
Прораб Середа в чьем подчинении находится бригада готов к тому, что бригадиры будут совершать не самые правильные поступки, так он советует Михаилу слить тайком лишний бетон, который бригада не успевает израсходовать до конца рабочей смены. Но бригадир отказывается от подобных махинаций.
Небольшие личные трения между Михаилом и амбициозным членом его бригады Борисом Королевым перестают в открытое противостояние. В какой-то момент они пытаются подраться. За нежелание работать после завершения времени смены, чтобы не пропал цементный раствор, Билоус выгоняет Бориса из бригады. Вместе с Борисом Королевым уходит его приятель Зайцев, но потом передумав возвращается в бригаду.
Борис обращается к прорабу и вскоре сам становится бригадиром на той же стройке, а через некоторое время выводит свой коллектив в передовые. В отличие от Билоуса Королев находит общий язык с прорабом Середой и они активно взаимодействуют.
О Королеве начинают говорить по радио, печатают его портрет в газете. Прораб всячески помогает Королеву и создает благоприятные условия, несправедливо забирая ресурсы у других бригад. Обещанную бригаде Билоуса малую механизацию прораб также отдает Королеву.
Билоус после разговора с главным инженером и рассказам о несправедливости прораба получает для бригады новый объект — компрессорную. Об этом он сообщает бывшему детдомовцу Зайцеву (по кличке Заяц), когда навещает его в больнице и проносит ему изготовленный собственноручно костыль. Некоторое время ранее Зайцев упал с высоты на стройке и получил травму. Бригадир ставит ему условие переехать жить к нему, оставив жилье где тот жил с Королевым. Зайцев просил ему принести в больницу книжку «Новые методы строительства» авторства Александра Журавлева.
На стройке проходит собрание, где прораб приводит Королева в пример Билоусу, говоря о том что последний руководит коллективом с помощью таких устаревших методов как «бригадирский окрик» и волюнтаризм. Бригаду же Королева он называет лучшей бригадой и кандидатом на вымпел ЦК ВЛКСМ, которая берет на себя обязательства, а её члены имеют высокий коэффициент трудового участия (КТУ). Не выдержав несправедливой критики Билоус покидает собрание и в запале обижает девушку Надю, которая бежит за ним и хочет поддержать его. После ухода с собрания Билоус возвращается домой только на следующий день. Несправедливо обиженная Надя покидает бригаду Билоуса и переходит в бригаду к его сопернику — Королеву.
Во время работы на компрессорной Билоус своим решением вносит усовершенствование в конструкцию и очередной раз ссорится с прорабом Середой, который требует полного соответствия первичному проекту. Они вместе идут к главному инженеру, который встает на сторону Билоуса и подписывает исправленные документы. Инженер и прораб старые коллеги — уже не первую стройку начинают вместе, но и у инженера накопилось достаточно претензий к приемам Середы в работе. Разговор между ними в кабинете выглядит неоконченным, но как будто речь идет о том что инженер просит прораба уехать, и это уже случается не на первой их совместной стройке.
Желая найти ошибку у Билоуса, прораб Середа осматривает компрессорную и находит за что зацепиться — по ошибке заложили кирпичом окно на втором этаже, через которое должно вноситься в компрессорную оборудование. Сотрудница техотдела Жукова сообщает об этом Билоусу через члена бригады Петровича и просит с ней встретиться посреди ночи. На встрече она предлагает помочь и сказать, что сама не передала нужный чертеж Билоусу, но он отвергает предложение. Той же ночью он поднимает с кровати Андрея Буравчика и они идут на стройку. Стоя в корыте для бетона, Билоус разбирает заложенное кирпичом окно.
В эту же ночь для удержания передовых позиций своего коллектива Король (такую кличку бригадир Королев получил на стройке) по совету прораба прибегает к нечистоплотному приему и обманом выводит ночью свою бригаду воровать «ничейный» кирпич из тупика. Эту махинацию замечает Жека — бывший приятель Королева, когда приходит на стройку вслед за бригадиром. Жека сообщает Билоусу, и он сам приходит на место, где воруют кирпич и видит все своими глазами. Там же они сцепляется с Королевым, но затем Билоус уходит. Позже в тупик приходит и Буравчик.
Бригадир вместе с Жекой идут прямо на квартиру к парторгу стройки для разговора. Это недавно прибывший на стройку знакомый Билоуса по прошлому месту работы. Тот, который просил его не уезжать и дождаться окончания разбирательства. В разговоре выясняется, что другой член бригады — Буравчик уже сообщил парторгу о воровстве кирпича Королевым.
Билоус снова приходит к мысли уехать на другую стройку, но парторг останавливает его и отправляет на прием молодёжи из училища для работы на стройке.
В итоге Королева решением бригады снимают с поста руководителя и отправляют к парторгу. Парторг Решетников предлагает вопрос о том, останется ли Королев на стройке как рядовой работник, решать его бывшим подчиненным из бригады.
Друзья одеваются празднично в общежитии, Жека Зайцев цитирует стихотворение «Пролог» Евтушенко, Билоус рассказывает что отобрал 50 человек из выпускников училища для работы на стройке. На выходе из общежития они встречают Буравчика также как они одетого в костюм с галстуком и узнают что он имеет медаль «За трудовую доблесть», полученную им за стройку в Братске. Далее компания наблюдает как художник рисует изображение передовика и это уже портрет самого Билоуса. Он просит убрать с портрета «гаврилку» (галстук), но художник не соглашается и тот в ответ срывает свой галстук. Следующей они встречают Ларису — сотрудницу техотдела, которая сообщает Михаилу что Надя уезжает и через 2 часа поезд.
Билоус бежит к трассе, где останавливает водителя Гиви на грузовике, который вместо поездки в карьер везет Билоуса на вокзал. На вокзале он встречает около поезда бывшего прораба стройки Середу, который уезжает на стройку гигантской свинофермы. Середа в примирительном тоне зовет его с собой, но Михаил со злой иронией говорит, что он его уже там не застанет, скорее всего. В другом вагоне он находит Надю и с трудом объясняется с ней, предлагая жить вместе. В финальных кадрах фильма он и Надя стоят обнявшись на перроне на фоне уходящего поезда.
Одна из второстепенных сюжетных линий фильма показывает, что сотрудница техотдела Жукова (актриса Зоя Недбай) демонстрирует свое неравнодушие к главному герою — Николаю, но развития это чувство не получает, а потом и вовсе у неё в фильме появляется спутник. Роль Жуковой исполнила супруга актёра, сыгравшего бригадира Билоуса (Николай Сектименко).</t>
        </is>
      </c>
      <c r="L7303" s="2" t="inlineStr">
        <is>
          <t>https://ru.wikipedia.org/w/index.php?title=%D0%91%D1%8B%D1%82%D1%8C_%D1%87%D0%B5%D0%BB%D0%BE%D0%B2%D0%B5%D0%BA%D0%BE%D0%BC_%28%D1%84%D0%B8%D0%BB%D1%8C%D0%BC%2C_1973%29&amp;oldid=155357543</t>
        </is>
      </c>
      <c r="M7303" s="2">
        <f>HYPERLINK("https://ru.wikipedia.org/w/index.php?search=%D0%91%D1%8B%D1%82%D1%8C%20%D1%87%D0%B5%D0%BB%D0%BE%D0%B2%D0%B5%D0%BA%D0%BE%D0%BC%201973%20%D1%84%D0%B8%D0%BB%D1%8C%D0%BC","искать")</f>
        <v/>
      </c>
      <c r="N7303" s="3" t="n"/>
      <c r="O7303" s="2" t="n"/>
      <c r="P7303" s="2" t="n"/>
    </row>
    <row r="7304">
      <c r="A7304" s="2" t="n">
        <v>7303</v>
      </c>
      <c r="B7304" s="2" t="inlineStr"/>
      <c r="C7304" s="2" t="n">
        <v>8730</v>
      </c>
      <c r="D7304" s="3" t="inlineStr">
        <is>
          <t>Заряженные смертью</t>
        </is>
      </c>
      <c r="E7304" s="2" t="n">
        <v>1991</v>
      </c>
      <c r="F7304" s="2" t="inlineStr">
        <is>
          <t>кинофильм</t>
        </is>
      </c>
      <c r="G7304" s="2" t="n"/>
      <c r="H7304" s="2" t="n">
        <v>11513</v>
      </c>
      <c r="I7304" s="2" t="inlineStr"/>
      <c r="J7304" s="2" t="inlineStr"/>
      <c r="K7304" s="3" t="inlineStr">
        <is>
          <t>Действие происходит в начале 90 годов XX века. Холодная война закончилась, СССР и США перешли от конфронтации к сотрудничеству. Фильм начинается со сцены побега из колонии строгого режима группы заключённых, возглавляемых вором в законе Бузой. Пятеро заключённых сбегают, перерезав заграждения из колючей проволоки, убив охранников и захватив их автоматы, затем добираются до железной дороги и дальше отправляются на поезде. В это же время где-то на набережной Москвы-реки происходит разговор между вице-адмиралом советского флота и генерал-майором КГБ Сергеем Петровичем. Вице-адмирал рассказывает кагэбэшнику, что на Дальнем Востоке разведкой был замечен известный контрабандист Бен Койл, связанный с медельинским наркокартелем, контролирующим Колумбию, а значит, затевается транзит крупной партии наркотиков. Сергей Петрович отвечает, что лично знает Койла — когда-то тот, бывший другом революционера Че Гевары, доставил на Кубу для выполнения секретного задания троих сотрудников КГБ: его самого, Павла Никодимова, впоследствии ставшего вором в законе по кличке Буза, и Александра Старынина, командира отряда спецназа, ныне находящегося на пенсии.
Затем действие переносится на море, где советский ПСКР «Юрий Андропов» задерживает находящуюся в советской экономической зоне шхуну Койла. Чтобы не привлекать к себе внимания спецслужб, команда шхуны делает вид, что занимается ловлей краба, которая запрещена иностранным судам в этой зоне. На шхуну отправляется досмотровая команда во главе с лейтенантом Раковым, но Койл сразу же оплачивает штраф в 500 000 долларов, после чего досмотровая команда отправляется обратно, толком не досмотрев судно.
Американский вертолёт береговой охраны, пилотируемый Джерри Рэнклином, совершает плановый облёт морской территории, в ходе которого Джерри сбрасывает на палубу сейнера «Удачливый» пакет с дорогим табаком, затем облетает «Андропов» и возвращается на базу. Покинув базу, Джерри забирает мать-инвалидку и её сиделку, и они едут кататься на машине. Машина Джерри чуть не сталкивается с другой машиной, едущей навстречу по дороге с односторонним движением, нарушая правила. За её рулём оказывается Диана Тривилл, известная в городе стриптизёрша. Познакомившись, Джерри и Диана влюбляются с первого взгляда.
Помощник капитана «Удачливого» Сергей Красовский в шутку называет полученный пакет контрабандой, после чего Савва Ильич объясняет, что это подарок от начальника Джерри — командира авиабазы береговой охраны Тома, с которым они «вместе фашиста били».
В каюте «Андропова» происходит разговор между капитаном, старшим помощником и старшим мичманом, в котором он говорит, что главный морской закон — всегда помочь тому, кто в беде, а разбираться, друг он или враг, следует потом.
«Андропов» и «Удачливый» прибывают в советский порт. Раков и двое его друзей — молодых офицеров, отправляются в увольнительную. Сойдя на берег, они с удивлением замечают проходящего таможенный досмотр Койла, который, несмотря на потерю 500 тысяч долларов, совсем не выглядит удручённым. Офицеры договариваются встретиться вечером в японском ресторане.
Савва Ильич приходит в администрацию порта, чтобы поставить отметку в каком-то документе. Он разговаривает с работницей администрации Леной, которая ставит отметку, когда в помещение неожиданно входит местный милицейский начальник в чине майора и сообщает о сбежавших преступниках, которые могут появиться в порту. Савва Ильич в очередной раз укоряет майора за то, что тот посадил в тюрьму его сына.
Сергей Красовский получает звонок от Койла, который назначает ему встречу в том же японском ресторане, что выбрали Раков и его друзья. В итоге в ресторане одновременно оказываются Красовский со своей любовницей Ритой, Койл, Раков, двое его друзей из команды «Андропова», а также старпом «Андропова» Анатолий Чертин. Чертин пригласил в ресторан девушку, а та привела с собой подругу — Лену, с которой ранее разговаривал Савва Ильич; Чертин советует Лене обратить внимание на Ракова. Один из друзей Ракова поёт романтическую песню под аккомпанемент гитары, чем настраивает всех на лирический лад, второй приглашает Риту на танец. Пока они танцуют, Койл и Красовский обговаривают сделку: Красовский на сейнере должен будет провезти партию наркотиков через советскую территорию, где этого не может сделать шхуна Койла; Койл даёт Красовскому карту, на которой точкой обозначено место в море, где должны будут встретиться шхуна и сейнер, и где он заберёт груз. В это же время Лена, последовав совету, подходит к Ракову и просит пригласить её на танец. Между молодыми людьми возникает чувство, они собираются танцевать весь вечер, но внезапно появляются двое хамов, один из которых грубо хватает девушку за грудь, после чего завязывается драка, в которой участвуют все, кроме Койла.
На следующий день в порт прибывают сбежавшие заключённые. Переодевшись в рабочую одежду, они прикидываются ремонтниками и просят команду первого попавшегося траулера доставить их по воде к одному из причалов. Капитан траулера соглашается и берёт их на борт. Одновременно готовится к выходу в море «Удачливый»: Красовский приводит на сейнер Риту, которой якобы нужно куда-то доставить какой-то груз. О том, что грузом являются наркотики, на борту не знает никто, кроме самого Красовского.
Джерри приезжает в гости к Диане, которая в это время купается в бассейне полностью обнажённой. Они занимаются сексом.
Затем Джерри в компании начальника авиабазы Тома, его жены и своего напарника Рэя смотрит выступление Дианы, во время которого происходит ссора между ним и Рэем.
Спустя некоторое время рецидивисты требуют от капитана траулера выйти в открытое море. Капитан вступает в драку и выкидывает Киселя за борт, но не может справиться с остальными, и его жестоко избивают. Хрящ берёт в плен матроса, и, не желая убивать, заставляет того выпрыгнуть за борт и плыть к берегу, но Буза даёт Петуху автомат и приказывает застрелить плывущего матроса, что тот и делает. Двигатель траулера, который шёл на ремонт, окончательно перестаёт работать. Бандиты замечают приближающийся «Удачливый» и, подав знак с просьбой о помощи, захватывают его, попутно убивая нескольких матросов. Захватив сейнер, они расстреливают и топят траулер, капитана сейнера заставляют стать к штурвалу, а остальных членов команды замыкают в трюме, в одном помещении с грузом, предназначенным для Койла. В разговоре с капитаном Хрящ рассказывает ему о том, что, находясь в колонии в Тамбовской области, виделся с его сыном, отбывающим там срок.
Сергей Петрович, находясь у себя в кабинете, получает от органов госбезопасности Кубы запрос на информацию по поводу Койла и предоставляет её под свою ответственность.
Пограничники «Андропова» замечают «Удачливый» и приказывают остановиться. На сейнер направляется досмотровая команда из пяти человек во главе с Раковым. Рецидивисты устраивают засаду и пытаются перебить пограничников по тихому, но им это не удаётся — начинается бой, в ходе которого потери несут обе стороны: у пограничников остаются в живых Раков и один матрос, у бандитов тяжело ранен и истекает кровью Хрящ. Бандиты берут Ракова и матроса в плен, затем их сажают в трюм вместе с командой сейнера. На «Андропове» слышат стрельбу, объявляется боевая тревога. Бандиты сообщают пограничникам, что у них теперь 12 заложников, и требуют пропустить их.
Одновременно с этим в тот же район направляется вертолёт, пилотируемый Джерри и Рэем. Том сообщает Джерри по радио, что на радаре видны 3 объекта, и приказывает их проверить.
Вице-адмирал и генерал-майор снова прогуливаются по набережной Москва-реки, где первый рассказывает второму о захвате заложников, и о том, что группой бандитов руководит его старый знакомый Никодимов.
Капитан «Андропова» сначала отправляет к «Удачливому» боевую группу, но затем отзывает её и занимает выжидательную позицию.
В Москве Сергей Петрович приказывает подключить к делу группу Старынина.
Не дождавшись «Удачливого» в условленном месте, Койл приказывает капитану своей шхуны идти навстречу. Койл не собирается расплачиваться с Красовским и оставлять свидетелей — он планирует расстрелять всех людей и утопить сейнер; его подручные Крошка и Малыш достают из трюма и устанавливают на борту шхуны вооружение — автоматические пушки и пулемёты.
«Андропов» получает радиограмму, извещающую о том, что руководством КГБ принято решение о проведении операции по обезвреживанию бандитов, для чего на корабль будет направлена спецгруппа.
Сергею Петровичу докладывают, что Старынин «не совсем в форме». Он сам отправляется к старому боевому товарищу. Старынин постарел и стал очень сентиментален, но Сергею Петровичу удаётся уговорить его возглавить спецгруппу. Поскольку из группы Старынина никого, кроме него самого, не осталось, ему подбирают новую группу.
Рецидивисты отпускают пленённого матроса; вместе с ним на катере на «Андропов» отправляется истекающий кровью Хрящ. Когда катер подходит близко к кораблю, Хрящ убивает себя. Решив, что уже спаслись, Петух, Кисель и Клещ выводят из трюма Риту, намереваясь её изнасиловать. Савва Ильич пытается им помешать, и его избивают, в результате чего он больше не может вести корабль. Его бросают в трюм к остальным, а его место у штурвала занимает Красовский. После замены рулевого бандиты вновь пытаются изнасиловать Риту, но она полуголая выпрыгивает за борт. После того, как «Удачливый» отходит от места падения Риты на большое расстояние, появляется вертолёт Джерри и Рэя; Джерри спасает Риту и она рассказывает о том, что происходит на сейнере. Джерри докладывает начальству и получает приказ помогать русским в проведении спецоперации. Вертолёт следует за «Удачливым» на расстоянии.
На «Андропов» прибывает спецгруппа Старынина. Спецгруппа разделяется на 2 части: первая, вместе с Чертиным и его людьми идёт за «Удачливым» на катере, осуществляя отвлекающий манёвр, вторая ждёт своего часа на палубе «Андропова».
Ракову удаётся взломать замок двери в трюме и выйти на палубу. Отняв у одного из рецидивистов автомат, он вступает в бой.
Первой «Удачливый» настигает шхуна Койла. При сближении контрабандисты сразу начинают стрелять и убивают Красовского, затем Крошка и Малыш подбивают подоспевший вертолёт Джерри и убивают Рэя. Джерри, третий пилот и Рита покидают вертолёт, после чего он падает в воду. Одновременно с этим на палубы шхуны и сейнера при помощи кошек из воды поднимаются спецназовцы из второй части группы Старынина (как они добирались до места незамеченными, в фильме не объясняется). Один из контрабандистов пулемётной очередью подбивает катер отвлекающей группы. Группа успевает выпрыгнуть за борт, но Чертин гибнет вместе с катером. Вытаскивая из трюма сейнера заложников, Старынин получает смертельное ранение в спину от подкравшегося Никодимова, которого, в свою очередь, смертельно ранит Раков. Остальных рецидивистов убивают спецназовцы; также гибнут все контрабандисты, кроме самого Койла и рулевого его шхуны. Шхуна, преследуемая ПСКР, пытается уйти в море, но Раков, успевший ухватиться за канат, свисающий с её борта, забирается на палубу, выбрасывает рулевого за борт, и, наставив на Койла пистолет, арестует его. Койл сдаётся, демонстративно выбрасывая свой пистолет. Спасательная шлюпка подбирает всех оказавшихся за бортом.
В финальной сцене вице-адмирал и генерал-майор КГБ вновь прогуливаются по набережной Москва-реки, проходя мимо двоих рыбаков с удочками, и обсуждая итоги проведённой операции, при этом в качестве фона транслируется доклад капитана ПСКР «Андропов» Саакяна об успешно проведённой операции. Затем демонстрируется разговор рыбаков по поводу перестройки.</t>
        </is>
      </c>
      <c r="L7304" s="2" t="inlineStr">
        <is>
          <t>https://ru.wikipedia.org/w/index.php?title=%D0%97%D0%B0%D1%80%D1%8F%D0%B6%D0%B5%D0%BD%D0%BD%D1%8B%D0%B5_%D1%81%D0%BC%D0%B5%D1%80%D1%82%D1%8C%D1%8E&amp;oldid=155061226</t>
        </is>
      </c>
      <c r="M7304" s="2">
        <f>HYPERLINK("https://ru.wikipedia.org/w/index.php?search=%D0%97%D0%B0%D1%80%D1%8F%D0%B6%D0%B5%D0%BD%D0%BD%D1%8B%D0%B5%20%D1%81%D0%BC%D0%B5%D1%80%D1%82%D1%8C%D1%8E%201991%20%D1%84%D0%B8%D0%BB%D1%8C%D0%BC","искать")</f>
        <v/>
      </c>
      <c r="N7304" s="3" t="n"/>
      <c r="O7304" s="2" t="n"/>
      <c r="P7304" s="2" t="n"/>
    </row>
  </sheetData>
  <autoFilter ref="A1:P73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2026-10-19T23:19:49Z</dcterms:created>
  <dcterms:modified xmlns:dcterms="http://purl.org/dc/terms/" xmlns:xsi="http://www.w3.org/2001/XMLSchema-instance" xsi:type="dcterms:W3CDTF">2026-10-19T23:19:50Z</dcterms:modified>
</cp:coreProperties>
</file>